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codeName="ThisWorkbook"/>
  <mc:AlternateContent xmlns:mc="http://schemas.openxmlformats.org/markup-compatibility/2006">
    <mc:Choice Requires="x15">
      <x15ac:absPath xmlns:x15ac="http://schemas.microsoft.com/office/spreadsheetml/2010/11/ac" url="C:\Users\mperez\Desktop\ALEJANDRA PEREZ\NOMINAS\2023\enero\30.1\"/>
    </mc:Choice>
  </mc:AlternateContent>
  <xr:revisionPtr revIDLastSave="0" documentId="13_ncr:1_{100A0BEC-D3A5-4175-98C2-4C6816535D0C}" xr6:coauthVersionLast="47" xr6:coauthVersionMax="47" xr10:uidLastSave="{00000000-0000-0000-0000-000000000000}"/>
  <bookViews>
    <workbookView xWindow="-120" yWindow="-120" windowWidth="20730" windowHeight="11160" tabRatio="839" xr2:uid="{00000000-000D-0000-FFFF-FFFF00000000}"/>
  </bookViews>
  <sheets>
    <sheet name="distribucion" sheetId="2" r:id="rId1"/>
    <sheet name="boleto de ornato" sheetId="23" state="hidden" r:id="rId2"/>
    <sheet name="INCREMENTO SALARIO MINIMO " sheetId="22" state="hidden" r:id="rId3"/>
    <sheet name="Hoja2" sheetId="21" state="hidden" r:id="rId4"/>
    <sheet name="Hoja3" sheetId="27" r:id="rId5"/>
    <sheet name="Hoja4" sheetId="28" r:id="rId6"/>
    <sheet name="Nomina Proquima" sheetId="3" r:id="rId7"/>
    <sheet name="RECIBO E IGSS PROQUIMA" sheetId="4" r:id="rId8"/>
    <sheet name="Nomina Unhesa" sheetId="6" r:id="rId9"/>
    <sheet name="RECIBO E IGSS UNHESA" sheetId="7" r:id="rId10"/>
    <sheet name="Nomina Econacional" sheetId="9" state="hidden" r:id="rId11"/>
    <sheet name="RECIBO E IGSS ECONACIONAL" sheetId="10" state="hidden" r:id="rId12"/>
    <sheet name="CHEQUES ECONACIONAL" sheetId="11" state="hidden" r:id="rId13"/>
    <sheet name="Sol.Cheques" sheetId="12" r:id="rId14"/>
    <sheet name="Verificador de pago" sheetId="13" r:id="rId15"/>
    <sheet name="Hoja1" sheetId="25" r:id="rId16"/>
    <sheet name="Hoja1 (2)" sheetId="26" r:id="rId17"/>
  </sheets>
  <externalReferences>
    <externalReference r:id="rId18"/>
  </externalReferences>
  <definedNames>
    <definedName name="_xlnm._FilterDatabase" localSheetId="1" hidden="1">'boleto de ornato'!$A$7:$J$197</definedName>
    <definedName name="_xlnm._FilterDatabase" localSheetId="0" hidden="1">distribucion!$A$7:$JA$235</definedName>
    <definedName name="_xlnm._FilterDatabase" localSheetId="15" hidden="1">Hoja1!$C$8:$N$22</definedName>
    <definedName name="_xlnm._FilterDatabase" localSheetId="16" hidden="1">'Hoja1 (2)'!$C$8:$N$22</definedName>
    <definedName name="_xlnm._FilterDatabase" localSheetId="2" hidden="1">'INCREMENTO SALARIO MINIMO '!$A$7:$CY$134</definedName>
    <definedName name="_xlnm._FilterDatabase" localSheetId="6" hidden="1">'Nomina Proquima'!$A$6:$AL$148</definedName>
    <definedName name="_xlnm._FilterDatabase" localSheetId="8" hidden="1">'Nomina Unhesa'!$A$6:$AM$39</definedName>
    <definedName name="_xlnm._FilterDatabase" localSheetId="7" hidden="1">'RECIBO E IGSS PROQUIMA'!$A$2:$AC$41</definedName>
    <definedName name="_xlnm._FilterDatabase" localSheetId="9" hidden="1">'RECIBO E IGSS UNHESA'!$A$2:$XER$38</definedName>
    <definedName name="_xlnm.Print_Area" localSheetId="1">'boleto de ornato'!$A$1:$I$197</definedName>
    <definedName name="_xlnm.Print_Area" localSheetId="15">Hoja1!$A$1:$O$26</definedName>
    <definedName name="_xlnm.Print_Area" localSheetId="16">'Hoja1 (2)'!$A$1:$O$25</definedName>
    <definedName name="_xlnm.Print_Area" localSheetId="4">Hoja3!$A$1:$Y$153</definedName>
    <definedName name="_xlnm.Print_Area" localSheetId="2">'INCREMENTO SALARIO MINIMO '!$A$1:$CX$252</definedName>
    <definedName name="_xlnm.Print_Area" localSheetId="10">'Nomina Econacional'!$A$1:$AA$37</definedName>
    <definedName name="_xlnm.Print_Area" localSheetId="6">'Nomina Proquima'!$A$1:$AD$168</definedName>
    <definedName name="_xlnm.Print_Area" localSheetId="8">'Nomina Unhesa'!$A$1:$AB$187</definedName>
    <definedName name="_xlnm.Print_Area" localSheetId="13">Sol.Cheques!$A$1:$I$27</definedName>
    <definedName name="_xlnm.Print_Area" localSheetId="14">'Verificador de pago'!$A$1:$K$40</definedName>
    <definedName name="ECONACIONAL">'Nomina Econacional'!$A$4:$AB$153</definedName>
    <definedName name="Excel_BuiltIn__FilterDatabase" localSheetId="1">'boleto de ornato'!#REF!</definedName>
    <definedName name="Excel_BuiltIn__FilterDatabase" localSheetId="0">distribucion!$O$6:$O$236</definedName>
    <definedName name="Excel_BuiltIn__FilterDatabase" localSheetId="2">'INCREMENTO SALARIO MINIMO '!#REF!</definedName>
    <definedName name="Excel_BuiltIn__FilterDatabase" localSheetId="11">'RECIBO E IGSS ECONACIONAL'!$B$1:$AB$2</definedName>
    <definedName name="Excel_BuiltIn__FilterDatabase" localSheetId="7">'RECIBO E IGSS PROQUIMA'!$B$2:$AC$10</definedName>
    <definedName name="Excel_BuiltIn__FilterDatabase" localSheetId="9">'RECIBO E IGSS UNHESA'!$B$2:$AB$4</definedName>
    <definedName name="_xlnm.Print_Titles" localSheetId="6">'Nomina Proquima'!$2:$6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B555" i="2" l="1"/>
  <c r="BG544" i="2" s="1"/>
  <c r="CE475" i="2"/>
  <c r="BD521" i="2"/>
  <c r="A57" i="6" l="1"/>
  <c r="A58" i="6" s="1"/>
  <c r="A59" i="6" s="1"/>
  <c r="A60" i="6" s="1"/>
  <c r="A103" i="3"/>
  <c r="A104" i="3" s="1"/>
  <c r="A105" i="3" s="1"/>
  <c r="A106" i="3" s="1"/>
  <c r="A102" i="3"/>
  <c r="A64" i="3"/>
  <c r="A65" i="3" s="1"/>
  <c r="A25" i="3"/>
  <c r="A26" i="3" s="1"/>
  <c r="A27" i="3" s="1"/>
  <c r="A24" i="3"/>
  <c r="J13" i="13" l="1"/>
  <c r="J11" i="13"/>
  <c r="EV110" i="2" l="1"/>
  <c r="F60" i="2"/>
  <c r="AW215" i="2"/>
  <c r="BO215" i="2"/>
  <c r="BF114" i="2" l="1"/>
  <c r="BF113" i="2"/>
  <c r="EY109" i="2"/>
  <c r="EW109" i="2"/>
  <c r="EW110" i="2"/>
  <c r="FA110" i="2"/>
  <c r="EY110" i="2"/>
  <c r="EN110" i="2"/>
  <c r="EN105" i="2"/>
  <c r="EP224" i="2"/>
  <c r="EP225" i="2"/>
  <c r="EP209" i="2"/>
  <c r="EP84" i="2"/>
  <c r="EP57" i="2"/>
  <c r="ET214" i="2"/>
  <c r="BF146" i="2" l="1"/>
  <c r="AW146" i="2"/>
  <c r="BF148" i="2"/>
  <c r="AW148" i="2"/>
  <c r="BF147" i="2"/>
  <c r="AW147" i="2"/>
  <c r="BF86" i="2"/>
  <c r="BF87" i="2"/>
  <c r="BF88" i="2"/>
  <c r="AW87" i="2"/>
  <c r="AW85" i="2"/>
  <c r="AW107" i="2"/>
  <c r="AW102" i="2"/>
  <c r="BO211" i="2"/>
  <c r="BO213" i="2"/>
  <c r="AW213" i="2"/>
  <c r="BF97" i="2"/>
  <c r="AW97" i="2"/>
  <c r="AW108" i="2"/>
  <c r="BO210" i="2"/>
  <c r="AW210" i="2"/>
  <c r="AW136" i="2"/>
  <c r="P136" i="2"/>
  <c r="AW133" i="2"/>
  <c r="AW104" i="2"/>
  <c r="BF95" i="2"/>
  <c r="BF94" i="2"/>
  <c r="AW114" i="2"/>
  <c r="AW113" i="2"/>
  <c r="BO214" i="2"/>
  <c r="AW214" i="2"/>
  <c r="BF115" i="2"/>
  <c r="AW115" i="2"/>
  <c r="BF98" i="2"/>
  <c r="AW105" i="2"/>
  <c r="BF89" i="2"/>
  <c r="BE89" i="2"/>
  <c r="BO208" i="2"/>
  <c r="AW141" i="2"/>
  <c r="AX141" i="2"/>
  <c r="AW106" i="2"/>
  <c r="AW111" i="2"/>
  <c r="BO209" i="2"/>
  <c r="AW112" i="2"/>
  <c r="BF96" i="2"/>
  <c r="AW96" i="2"/>
  <c r="AW110" i="2"/>
  <c r="BO205" i="2"/>
  <c r="AW205" i="2"/>
  <c r="BF103" i="2"/>
  <c r="AW103" i="2"/>
  <c r="AW120" i="2"/>
  <c r="AV120" i="2"/>
  <c r="AW140" i="2"/>
  <c r="AW139" i="2"/>
  <c r="AW157" i="2" l="1"/>
  <c r="BF127" i="2" l="1"/>
  <c r="AW127" i="2"/>
  <c r="BF133" i="2"/>
  <c r="EQ133" i="2"/>
  <c r="BF138" i="2"/>
  <c r="AW138" i="2"/>
  <c r="BF140" i="2"/>
  <c r="EM177" i="2"/>
  <c r="EM159" i="2"/>
  <c r="EM155" i="2"/>
  <c r="EM131" i="2"/>
  <c r="EM78" i="2"/>
  <c r="EM31" i="2"/>
  <c r="EM49" i="2"/>
  <c r="EN213" i="2"/>
  <c r="EN211" i="2"/>
  <c r="EN209" i="2"/>
  <c r="EN208" i="2"/>
  <c r="EN206" i="2"/>
  <c r="EN205" i="2"/>
  <c r="EN157" i="2"/>
  <c r="EN148" i="2"/>
  <c r="EN147" i="2"/>
  <c r="EN145" i="2"/>
  <c r="EN137" i="2"/>
  <c r="EN133" i="2"/>
  <c r="EN132" i="2"/>
  <c r="EN130" i="2"/>
  <c r="EN129" i="2"/>
  <c r="EN128" i="2"/>
  <c r="EN127" i="2"/>
  <c r="EN126" i="2"/>
  <c r="EN84" i="2"/>
  <c r="EN120" i="2"/>
  <c r="EN119" i="2"/>
  <c r="EN115" i="2"/>
  <c r="EN113" i="2"/>
  <c r="EN108" i="2"/>
  <c r="EN107" i="2"/>
  <c r="EN104" i="2"/>
  <c r="EN102" i="2"/>
  <c r="EN98" i="2"/>
  <c r="EN96" i="2"/>
  <c r="EN89" i="2"/>
  <c r="EN90" i="2"/>
  <c r="EN88" i="2"/>
  <c r="EN87" i="2"/>
  <c r="EN86" i="2"/>
  <c r="EN77" i="2"/>
  <c r="EN75" i="2"/>
  <c r="EN68" i="2"/>
  <c r="EN71" i="2" s="1"/>
  <c r="EN63" i="2"/>
  <c r="EN58" i="2"/>
  <c r="EN57" i="2"/>
  <c r="EN54" i="2"/>
  <c r="EN39" i="2"/>
  <c r="EN36" i="2"/>
  <c r="EN35" i="2"/>
  <c r="EN14" i="2"/>
  <c r="BX33" i="2"/>
  <c r="BF33" i="2"/>
  <c r="AW33" i="2"/>
  <c r="EQ87" i="2"/>
  <c r="AW158" i="2"/>
  <c r="EQ62" i="2"/>
  <c r="EQ155" i="2"/>
  <c r="EQ84" i="2"/>
  <c r="EQ33" i="2"/>
  <c r="AW12" i="2"/>
  <c r="EL131" i="2"/>
  <c r="EN158" i="2"/>
  <c r="EN112" i="2"/>
  <c r="EN45" i="2"/>
  <c r="H13" i="12"/>
  <c r="BW58" i="2"/>
  <c r="BW57" i="2"/>
  <c r="BW56" i="2"/>
  <c r="BW55" i="2"/>
  <c r="BW54" i="2"/>
  <c r="BW53" i="2"/>
  <c r="BY59" i="2"/>
  <c r="BX58" i="2"/>
  <c r="BX57" i="2"/>
  <c r="BX56" i="2"/>
  <c r="BX55" i="2"/>
  <c r="BX54" i="2"/>
  <c r="CC59" i="2"/>
  <c r="CA59" i="2"/>
  <c r="BW64" i="2"/>
  <c r="BW63" i="2"/>
  <c r="BW62" i="2"/>
  <c r="BX145" i="2"/>
  <c r="BW65" i="2" l="1"/>
  <c r="BW59" i="2"/>
  <c r="N52" i="6"/>
  <c r="DY53" i="2"/>
  <c r="DX53" i="2"/>
  <c r="DW53" i="2"/>
  <c r="DV53" i="2"/>
  <c r="DU53" i="2"/>
  <c r="DT53" i="2"/>
  <c r="DS53" i="2"/>
  <c r="DR53" i="2"/>
  <c r="DR48" i="2"/>
  <c r="BF170" i="2"/>
  <c r="BE170" i="2"/>
  <c r="AW109" i="2"/>
  <c r="B50" i="6" l="1"/>
  <c r="FD89" i="2"/>
  <c r="FC89" i="2"/>
  <c r="FB89" i="2"/>
  <c r="FA89" i="2"/>
  <c r="EZ89" i="2"/>
  <c r="EY89" i="2"/>
  <c r="EW89" i="2"/>
  <c r="EV89" i="2"/>
  <c r="ET89" i="2"/>
  <c r="FE89" i="2" s="1"/>
  <c r="EX89" i="2"/>
  <c r="EH89" i="2"/>
  <c r="EG89" i="2"/>
  <c r="EF89" i="2"/>
  <c r="EE89" i="2"/>
  <c r="ED89" i="2"/>
  <c r="EC89" i="2"/>
  <c r="EB89" i="2"/>
  <c r="EA89" i="2"/>
  <c r="DY89" i="2"/>
  <c r="DX89" i="2"/>
  <c r="DW89" i="2"/>
  <c r="DV89" i="2"/>
  <c r="DU89" i="2"/>
  <c r="DT89" i="2"/>
  <c r="DS89" i="2"/>
  <c r="DR89" i="2"/>
  <c r="DP89" i="2"/>
  <c r="DO89" i="2"/>
  <c r="DN89" i="2"/>
  <c r="DM89" i="2"/>
  <c r="DL89" i="2"/>
  <c r="DK89" i="2"/>
  <c r="DJ89" i="2"/>
  <c r="DI89" i="2"/>
  <c r="CX89" i="2"/>
  <c r="CW89" i="2"/>
  <c r="CV89" i="2"/>
  <c r="CU89" i="2"/>
  <c r="CT89" i="2"/>
  <c r="CS89" i="2"/>
  <c r="CR89" i="2"/>
  <c r="CQ89" i="2"/>
  <c r="CL89" i="2"/>
  <c r="CJ89" i="2"/>
  <c r="CH89" i="2"/>
  <c r="CG89" i="2"/>
  <c r="CF89" i="2"/>
  <c r="CC89" i="2"/>
  <c r="CA89" i="2"/>
  <c r="BY89" i="2"/>
  <c r="BX89" i="2"/>
  <c r="BW89" i="2"/>
  <c r="BT89" i="2"/>
  <c r="BR89" i="2"/>
  <c r="BP89" i="2"/>
  <c r="BO89" i="2"/>
  <c r="BN89" i="2"/>
  <c r="BK89" i="2"/>
  <c r="BI89" i="2"/>
  <c r="BG89" i="2"/>
  <c r="BB89" i="2"/>
  <c r="AZ89" i="2"/>
  <c r="AX89" i="2"/>
  <c r="AW89" i="2"/>
  <c r="AV89" i="2"/>
  <c r="AI89" i="2"/>
  <c r="CK89" i="2" s="1"/>
  <c r="AG89" i="2"/>
  <c r="CI89" i="2" s="1"/>
  <c r="AE89" i="2"/>
  <c r="CB89" i="2" s="1"/>
  <c r="AC89" i="2"/>
  <c r="BZ89" i="2" s="1"/>
  <c r="AA89" i="2"/>
  <c r="BS89" i="2" s="1"/>
  <c r="Y89" i="2"/>
  <c r="BQ89" i="2" s="1"/>
  <c r="W89" i="2"/>
  <c r="BJ89" i="2" s="1"/>
  <c r="U89" i="2"/>
  <c r="BH89" i="2" s="1"/>
  <c r="S89" i="2"/>
  <c r="BA89" i="2" s="1"/>
  <c r="Q89" i="2"/>
  <c r="AY89" i="2" s="1"/>
  <c r="N89" i="2"/>
  <c r="G89" i="2"/>
  <c r="A89" i="2"/>
  <c r="X50" i="6" l="1"/>
  <c r="B42" i="7"/>
  <c r="D42" i="7"/>
  <c r="DQ89" i="2"/>
  <c r="DZ89" i="2"/>
  <c r="CY89" i="2"/>
  <c r="EI89" i="2"/>
  <c r="DA89" i="2"/>
  <c r="CD89" i="2"/>
  <c r="CE89" i="2" s="1"/>
  <c r="E50" i="6"/>
  <c r="J50" i="6"/>
  <c r="O50" i="6"/>
  <c r="U50" i="6"/>
  <c r="F50" i="6"/>
  <c r="K50" i="6"/>
  <c r="R50" i="6"/>
  <c r="V50" i="6"/>
  <c r="L50" i="6"/>
  <c r="S50" i="6"/>
  <c r="W50" i="6"/>
  <c r="C50" i="6"/>
  <c r="M50" i="6"/>
  <c r="T50" i="6"/>
  <c r="DB89" i="2"/>
  <c r="DE89" i="2"/>
  <c r="BL89" i="2"/>
  <c r="BM89" i="2" s="1"/>
  <c r="DF89" i="2"/>
  <c r="BU89" i="2"/>
  <c r="BV89" i="2" s="1"/>
  <c r="BC89" i="2"/>
  <c r="DC89" i="2"/>
  <c r="CM89" i="2"/>
  <c r="CN89" i="2" s="1"/>
  <c r="DD89" i="2"/>
  <c r="CZ89" i="2"/>
  <c r="G50" i="6" s="1"/>
  <c r="A68" i="4"/>
  <c r="B24" i="3"/>
  <c r="E68" i="4" s="1"/>
  <c r="AW86" i="2"/>
  <c r="BF90" i="2"/>
  <c r="AW90" i="2"/>
  <c r="AX88" i="2"/>
  <c r="BF84" i="2"/>
  <c r="AW84" i="2"/>
  <c r="BF145" i="2"/>
  <c r="AW145" i="2"/>
  <c r="BX83" i="2"/>
  <c r="BF83" i="2"/>
  <c r="AW83" i="2"/>
  <c r="FD33" i="2"/>
  <c r="FC33" i="2"/>
  <c r="FB33" i="2"/>
  <c r="FA33" i="2"/>
  <c r="EZ33" i="2"/>
  <c r="EY33" i="2"/>
  <c r="EX33" i="2"/>
  <c r="EW33" i="2"/>
  <c r="EV33" i="2"/>
  <c r="ET33" i="2"/>
  <c r="FE33" i="2" s="1"/>
  <c r="EH33" i="2"/>
  <c r="EG33" i="2"/>
  <c r="EF33" i="2"/>
  <c r="EE33" i="2"/>
  <c r="ED33" i="2"/>
  <c r="EC33" i="2"/>
  <c r="EB33" i="2"/>
  <c r="EA33" i="2"/>
  <c r="DY33" i="2"/>
  <c r="DX33" i="2"/>
  <c r="DW33" i="2"/>
  <c r="DV33" i="2"/>
  <c r="DU33" i="2"/>
  <c r="DT33" i="2"/>
  <c r="DS33" i="2"/>
  <c r="DR33" i="2"/>
  <c r="DP33" i="2"/>
  <c r="DO33" i="2"/>
  <c r="DN33" i="2"/>
  <c r="DM33" i="2"/>
  <c r="DL33" i="2"/>
  <c r="DK33" i="2"/>
  <c r="DJ33" i="2"/>
  <c r="DI33" i="2"/>
  <c r="DG33" i="2"/>
  <c r="DF33" i="2"/>
  <c r="DE33" i="2"/>
  <c r="DD33" i="2"/>
  <c r="DC33" i="2"/>
  <c r="DB33" i="2"/>
  <c r="DA33" i="2"/>
  <c r="CZ33" i="2"/>
  <c r="CL33" i="2"/>
  <c r="CJ33" i="2"/>
  <c r="CH33" i="2"/>
  <c r="CG33" i="2"/>
  <c r="CF33" i="2"/>
  <c r="CC33" i="2"/>
  <c r="CA33" i="2"/>
  <c r="BY33" i="2"/>
  <c r="BW33" i="2"/>
  <c r="BT33" i="2"/>
  <c r="BR33" i="2"/>
  <c r="BP33" i="2"/>
  <c r="BO33" i="2"/>
  <c r="BN33" i="2"/>
  <c r="BK33" i="2"/>
  <c r="BI33" i="2"/>
  <c r="BG33" i="2"/>
  <c r="BE33" i="2"/>
  <c r="BB33" i="2"/>
  <c r="AZ33" i="2"/>
  <c r="AX33" i="2"/>
  <c r="AV33" i="2"/>
  <c r="AI33" i="2"/>
  <c r="CK33" i="2" s="1"/>
  <c r="AG33" i="2"/>
  <c r="CI33" i="2" s="1"/>
  <c r="AE33" i="2"/>
  <c r="CB33" i="2" s="1"/>
  <c r="AC33" i="2"/>
  <c r="BZ33" i="2" s="1"/>
  <c r="AA33" i="2"/>
  <c r="BS33" i="2" s="1"/>
  <c r="Y33" i="2"/>
  <c r="BQ33" i="2" s="1"/>
  <c r="W33" i="2"/>
  <c r="BJ33" i="2" s="1"/>
  <c r="U33" i="2"/>
  <c r="BH33" i="2" s="1"/>
  <c r="S33" i="2"/>
  <c r="BA33" i="2" s="1"/>
  <c r="Q33" i="2"/>
  <c r="AY33" i="2" s="1"/>
  <c r="N33" i="2"/>
  <c r="G33" i="2"/>
  <c r="H50" i="6" l="1"/>
  <c r="I50" i="6" s="1"/>
  <c r="P50" i="6" s="1"/>
  <c r="CT33" i="2"/>
  <c r="K24" i="3" s="1"/>
  <c r="D50" i="6"/>
  <c r="Q50" i="6"/>
  <c r="Y50" i="6" s="1"/>
  <c r="DG89" i="2"/>
  <c r="DH89" i="2" s="1"/>
  <c r="CS33" i="2"/>
  <c r="J24" i="3" s="1"/>
  <c r="BD89" i="2"/>
  <c r="R24" i="3"/>
  <c r="W24" i="3"/>
  <c r="CU33" i="2"/>
  <c r="L24" i="3" s="1"/>
  <c r="T24" i="3"/>
  <c r="C24" i="3"/>
  <c r="S24" i="3"/>
  <c r="BL33" i="2"/>
  <c r="BM33" i="2" s="1"/>
  <c r="CW33" i="2"/>
  <c r="N24" i="3" s="1"/>
  <c r="E24" i="3"/>
  <c r="U24" i="3"/>
  <c r="B68" i="4"/>
  <c r="F68" i="4" s="1"/>
  <c r="F24" i="3"/>
  <c r="Q24" i="3"/>
  <c r="V24" i="3"/>
  <c r="CR33" i="2"/>
  <c r="H24" i="3" s="1"/>
  <c r="EI33" i="2"/>
  <c r="DH33" i="2"/>
  <c r="DQ33" i="2"/>
  <c r="DZ33" i="2"/>
  <c r="BU33" i="2"/>
  <c r="BV33" i="2" s="1"/>
  <c r="CV33" i="2"/>
  <c r="M24" i="3" s="1"/>
  <c r="CD33" i="2"/>
  <c r="CE33" i="2" s="1"/>
  <c r="CM33" i="2"/>
  <c r="CN33" i="2" s="1"/>
  <c r="CQ33" i="2"/>
  <c r="BC33" i="2"/>
  <c r="B57" i="6"/>
  <c r="FD95" i="2"/>
  <c r="FC95" i="2"/>
  <c r="FB95" i="2"/>
  <c r="FA95" i="2"/>
  <c r="EZ95" i="2"/>
  <c r="EY95" i="2"/>
  <c r="EX95" i="2"/>
  <c r="EW95" i="2"/>
  <c r="EV95" i="2"/>
  <c r="ET95" i="2"/>
  <c r="FE95" i="2" s="1"/>
  <c r="EH95" i="2"/>
  <c r="EG95" i="2"/>
  <c r="EF95" i="2"/>
  <c r="EE95" i="2"/>
  <c r="ED95" i="2"/>
  <c r="EC95" i="2"/>
  <c r="EB95" i="2"/>
  <c r="EA95" i="2"/>
  <c r="DY95" i="2"/>
  <c r="DX95" i="2"/>
  <c r="DW95" i="2"/>
  <c r="DV95" i="2"/>
  <c r="DU95" i="2"/>
  <c r="DT95" i="2"/>
  <c r="DS95" i="2"/>
  <c r="DR95" i="2"/>
  <c r="DP95" i="2"/>
  <c r="DO95" i="2"/>
  <c r="DN95" i="2"/>
  <c r="DM95" i="2"/>
  <c r="DL95" i="2"/>
  <c r="DK95" i="2"/>
  <c r="DJ95" i="2"/>
  <c r="DI95" i="2"/>
  <c r="CL95" i="2"/>
  <c r="CK95" i="2"/>
  <c r="CJ95" i="2"/>
  <c r="CI95" i="2"/>
  <c r="CH95" i="2"/>
  <c r="CG95" i="2"/>
  <c r="CF95" i="2"/>
  <c r="CC95" i="2"/>
  <c r="CB95" i="2"/>
  <c r="CA95" i="2"/>
  <c r="BZ95" i="2"/>
  <c r="BY95" i="2"/>
  <c r="BX95" i="2"/>
  <c r="BW95" i="2"/>
  <c r="BT95" i="2"/>
  <c r="BS95" i="2"/>
  <c r="BR95" i="2"/>
  <c r="BQ95" i="2"/>
  <c r="BP95" i="2"/>
  <c r="BO95" i="2"/>
  <c r="BN95" i="2"/>
  <c r="BK95" i="2"/>
  <c r="CW95" i="2" s="1"/>
  <c r="BI95" i="2"/>
  <c r="BG95" i="2"/>
  <c r="CS95" i="2" s="1"/>
  <c r="BE95" i="2"/>
  <c r="AW95" i="2"/>
  <c r="AV95" i="2"/>
  <c r="BC95" i="2" s="1"/>
  <c r="W95" i="2"/>
  <c r="BJ95" i="2" s="1"/>
  <c r="U95" i="2"/>
  <c r="BH95" i="2" s="1"/>
  <c r="CT95" i="2" s="1"/>
  <c r="X57" i="6" l="1"/>
  <c r="DB95" i="2"/>
  <c r="DD95" i="2"/>
  <c r="DA95" i="2"/>
  <c r="H57" i="6" s="1"/>
  <c r="B52" i="7"/>
  <c r="E52" i="7" s="1"/>
  <c r="Z50" i="6"/>
  <c r="AB50" i="6" s="1"/>
  <c r="U57" i="6"/>
  <c r="F57" i="6"/>
  <c r="O57" i="6"/>
  <c r="CX33" i="2"/>
  <c r="CY33" i="2" s="1"/>
  <c r="G24" i="3"/>
  <c r="BD33" i="2"/>
  <c r="CD95" i="2"/>
  <c r="CE95" i="2" s="1"/>
  <c r="R57" i="6"/>
  <c r="V57" i="6"/>
  <c r="DE95" i="2"/>
  <c r="M57" i="6" s="1"/>
  <c r="DF95" i="2"/>
  <c r="C57" i="6"/>
  <c r="J57" i="6"/>
  <c r="S57" i="6"/>
  <c r="W57" i="6"/>
  <c r="DQ95" i="2"/>
  <c r="DZ95" i="2"/>
  <c r="EI95" i="2"/>
  <c r="D52" i="7"/>
  <c r="E57" i="6"/>
  <c r="L57" i="6"/>
  <c r="T57" i="6"/>
  <c r="DC95" i="2"/>
  <c r="K57" i="6" s="1"/>
  <c r="CZ95" i="2"/>
  <c r="G57" i="6" s="1"/>
  <c r="CV95" i="2"/>
  <c r="BU95" i="2"/>
  <c r="BV95" i="2" s="1"/>
  <c r="CR95" i="2"/>
  <c r="CU95" i="2"/>
  <c r="CM95" i="2"/>
  <c r="CN95" i="2" s="1"/>
  <c r="BL95" i="2"/>
  <c r="BM95" i="2" s="1"/>
  <c r="BD95" i="2"/>
  <c r="CQ95" i="2"/>
  <c r="I24" i="3" l="1"/>
  <c r="O24" i="3" s="1"/>
  <c r="P24" i="3"/>
  <c r="X24" i="3" s="1"/>
  <c r="D24" i="3"/>
  <c r="Q57" i="6"/>
  <c r="Y57" i="6" s="1"/>
  <c r="I57" i="6"/>
  <c r="P57" i="6" s="1"/>
  <c r="CX95" i="2"/>
  <c r="CY95" i="2" s="1"/>
  <c r="DG95" i="2"/>
  <c r="DH95" i="2" s="1"/>
  <c r="D57" i="6"/>
  <c r="Y24" i="3" l="1"/>
  <c r="AA24" i="3" s="1"/>
  <c r="Z57" i="6"/>
  <c r="AB57" i="6" s="1"/>
  <c r="F11" i="3"/>
  <c r="B11" i="3"/>
  <c r="A67" i="4"/>
  <c r="B58" i="3"/>
  <c r="FD76" i="2"/>
  <c r="FC76" i="2"/>
  <c r="FB76" i="2"/>
  <c r="FA76" i="2"/>
  <c r="EZ76" i="2"/>
  <c r="EY76" i="2"/>
  <c r="EW76" i="2"/>
  <c r="EV76" i="2"/>
  <c r="ET76" i="2"/>
  <c r="FE76" i="2" s="1"/>
  <c r="EX76" i="2"/>
  <c r="EH76" i="2"/>
  <c r="EG76" i="2"/>
  <c r="EF76" i="2"/>
  <c r="EE76" i="2"/>
  <c r="ED76" i="2"/>
  <c r="EC76" i="2"/>
  <c r="EB76" i="2"/>
  <c r="EA76" i="2"/>
  <c r="DY76" i="2"/>
  <c r="DX76" i="2"/>
  <c r="DW76" i="2"/>
  <c r="DV76" i="2"/>
  <c r="DU76" i="2"/>
  <c r="DT76" i="2"/>
  <c r="DS76" i="2"/>
  <c r="DR76" i="2"/>
  <c r="DP76" i="2"/>
  <c r="DO76" i="2"/>
  <c r="DN76" i="2"/>
  <c r="DM76" i="2"/>
  <c r="DL76" i="2"/>
  <c r="DK76" i="2"/>
  <c r="DJ76" i="2"/>
  <c r="DI76" i="2"/>
  <c r="DG76" i="2"/>
  <c r="DF76" i="2"/>
  <c r="DE76" i="2"/>
  <c r="DD76" i="2"/>
  <c r="DC76" i="2"/>
  <c r="DB76" i="2"/>
  <c r="DA76" i="2"/>
  <c r="CZ76" i="2"/>
  <c r="CL76" i="2"/>
  <c r="CJ76" i="2"/>
  <c r="CH76" i="2"/>
  <c r="CG76" i="2"/>
  <c r="CF76" i="2"/>
  <c r="CC76" i="2"/>
  <c r="CA76" i="2"/>
  <c r="BY76" i="2"/>
  <c r="BX76" i="2"/>
  <c r="BW76" i="2"/>
  <c r="BT76" i="2"/>
  <c r="BR76" i="2"/>
  <c r="BP76" i="2"/>
  <c r="BO76" i="2"/>
  <c r="BN76" i="2"/>
  <c r="BK76" i="2"/>
  <c r="BI76" i="2"/>
  <c r="BG76" i="2"/>
  <c r="BF76" i="2"/>
  <c r="BE76" i="2"/>
  <c r="BB76" i="2"/>
  <c r="AZ76" i="2"/>
  <c r="AX76" i="2"/>
  <c r="AW76" i="2"/>
  <c r="AV76" i="2"/>
  <c r="AI76" i="2"/>
  <c r="CK76" i="2" s="1"/>
  <c r="AG76" i="2"/>
  <c r="CI76" i="2" s="1"/>
  <c r="AE76" i="2"/>
  <c r="CB76" i="2" s="1"/>
  <c r="AC76" i="2"/>
  <c r="BZ76" i="2" s="1"/>
  <c r="AA76" i="2"/>
  <c r="BS76" i="2" s="1"/>
  <c r="Y76" i="2"/>
  <c r="BQ76" i="2" s="1"/>
  <c r="W76" i="2"/>
  <c r="BJ76" i="2" s="1"/>
  <c r="U76" i="2"/>
  <c r="BH76" i="2" s="1"/>
  <c r="S76" i="2"/>
  <c r="BA76" i="2" s="1"/>
  <c r="Q76" i="2"/>
  <c r="AY76" i="2" s="1"/>
  <c r="N76" i="2"/>
  <c r="G76" i="2"/>
  <c r="EL88" i="2"/>
  <c r="EX84" i="2"/>
  <c r="BF155" i="2"/>
  <c r="BF225" i="2"/>
  <c r="BF181" i="2"/>
  <c r="BF159" i="2"/>
  <c r="B48" i="6"/>
  <c r="ET85" i="2"/>
  <c r="FD84" i="2"/>
  <c r="FC84" i="2"/>
  <c r="FA84" i="2"/>
  <c r="FL84" i="2" s="1"/>
  <c r="EZ84" i="2"/>
  <c r="EY84" i="2"/>
  <c r="EW84" i="2"/>
  <c r="EV84" i="2"/>
  <c r="FB84" i="2"/>
  <c r="EH84" i="2"/>
  <c r="EG84" i="2"/>
  <c r="EF84" i="2"/>
  <c r="EE84" i="2"/>
  <c r="ED84" i="2"/>
  <c r="EC84" i="2"/>
  <c r="EB84" i="2"/>
  <c r="EA84" i="2"/>
  <c r="DY84" i="2"/>
  <c r="DX84" i="2"/>
  <c r="DW84" i="2"/>
  <c r="DV84" i="2"/>
  <c r="DU84" i="2"/>
  <c r="DT84" i="2"/>
  <c r="DS84" i="2"/>
  <c r="DR84" i="2"/>
  <c r="DP84" i="2"/>
  <c r="DO84" i="2"/>
  <c r="DN84" i="2"/>
  <c r="DM84" i="2"/>
  <c r="DL84" i="2"/>
  <c r="DK84" i="2"/>
  <c r="DJ84" i="2"/>
  <c r="DI84" i="2"/>
  <c r="CX84" i="2"/>
  <c r="CW84" i="2"/>
  <c r="CV84" i="2"/>
  <c r="CU84" i="2"/>
  <c r="CT84" i="2"/>
  <c r="CS84" i="2"/>
  <c r="CR84" i="2"/>
  <c r="CQ84" i="2"/>
  <c r="CL84" i="2"/>
  <c r="CJ84" i="2"/>
  <c r="CH84" i="2"/>
  <c r="CG84" i="2"/>
  <c r="CF84" i="2"/>
  <c r="CC84" i="2"/>
  <c r="CA84" i="2"/>
  <c r="BY84" i="2"/>
  <c r="BX84" i="2"/>
  <c r="BW84" i="2"/>
  <c r="BT84" i="2"/>
  <c r="BR84" i="2"/>
  <c r="BP84" i="2"/>
  <c r="BO84" i="2"/>
  <c r="BN84" i="2"/>
  <c r="BK84" i="2"/>
  <c r="BI84" i="2"/>
  <c r="BG84" i="2"/>
  <c r="BE84" i="2"/>
  <c r="BB84" i="2"/>
  <c r="AZ84" i="2"/>
  <c r="AX84" i="2"/>
  <c r="AV84" i="2"/>
  <c r="AI84" i="2"/>
  <c r="CK84" i="2" s="1"/>
  <c r="AG84" i="2"/>
  <c r="CI84" i="2" s="1"/>
  <c r="AE84" i="2"/>
  <c r="CB84" i="2" s="1"/>
  <c r="AC84" i="2"/>
  <c r="BZ84" i="2" s="1"/>
  <c r="AA84" i="2"/>
  <c r="BS84" i="2" s="1"/>
  <c r="Y84" i="2"/>
  <c r="BQ84" i="2" s="1"/>
  <c r="W84" i="2"/>
  <c r="BJ84" i="2" s="1"/>
  <c r="U84" i="2"/>
  <c r="BH84" i="2" s="1"/>
  <c r="S84" i="2"/>
  <c r="BA84" i="2" s="1"/>
  <c r="Q84" i="2"/>
  <c r="AY84" i="2" s="1"/>
  <c r="N84" i="2"/>
  <c r="G84" i="2"/>
  <c r="A84" i="2"/>
  <c r="EQ128" i="2"/>
  <c r="EQ93" i="2"/>
  <c r="EQ57" i="2"/>
  <c r="EQ55" i="2"/>
  <c r="EQ53" i="2"/>
  <c r="EQ46" i="2"/>
  <c r="EQ45" i="2"/>
  <c r="EQ14" i="2"/>
  <c r="BO90" i="2"/>
  <c r="BO207" i="2"/>
  <c r="BO206" i="2"/>
  <c r="BF189" i="2"/>
  <c r="BF139" i="2"/>
  <c r="BF137" i="2"/>
  <c r="BF132" i="2"/>
  <c r="BF131" i="2"/>
  <c r="BF130" i="2"/>
  <c r="BF129" i="2"/>
  <c r="BF128" i="2"/>
  <c r="BF126" i="2"/>
  <c r="BF125" i="2"/>
  <c r="BF119" i="2"/>
  <c r="BF106" i="2"/>
  <c r="BF104" i="2"/>
  <c r="BF93" i="2"/>
  <c r="BF78" i="2"/>
  <c r="BF77" i="2"/>
  <c r="BF75" i="2"/>
  <c r="AW137" i="2"/>
  <c r="AW132" i="2"/>
  <c r="AW131" i="2"/>
  <c r="AW130" i="2"/>
  <c r="AW128" i="2"/>
  <c r="AW126" i="2"/>
  <c r="AW125" i="2"/>
  <c r="AW78" i="2"/>
  <c r="AW77" i="2"/>
  <c r="AW75" i="2"/>
  <c r="AW18" i="2"/>
  <c r="AW14" i="2"/>
  <c r="AW13" i="2"/>
  <c r="H70" i="28"/>
  <c r="G70" i="28"/>
  <c r="H65" i="28"/>
  <c r="F65" i="28"/>
  <c r="H63" i="28"/>
  <c r="G63" i="28"/>
  <c r="H62" i="28"/>
  <c r="G62" i="28"/>
  <c r="H61" i="28"/>
  <c r="G61" i="28"/>
  <c r="H60" i="28"/>
  <c r="H58" i="28"/>
  <c r="H57" i="28"/>
  <c r="H53" i="28"/>
  <c r="H49" i="28"/>
  <c r="H48" i="28"/>
  <c r="H47" i="28"/>
  <c r="H43" i="28"/>
  <c r="H42" i="28"/>
  <c r="G41" i="28"/>
  <c r="H41" i="28" s="1"/>
  <c r="A121" i="27"/>
  <c r="A122" i="27" s="1"/>
  <c r="A123" i="27" s="1"/>
  <c r="A124" i="27" s="1"/>
  <c r="A125" i="27" s="1"/>
  <c r="A126" i="27" s="1"/>
  <c r="A127" i="27" s="1"/>
  <c r="A128" i="27" s="1"/>
  <c r="A129" i="27" s="1"/>
  <c r="A130" i="27" s="1"/>
  <c r="A89" i="27"/>
  <c r="A90" i="27" s="1"/>
  <c r="A91" i="27" s="1"/>
  <c r="A92" i="27" s="1"/>
  <c r="A77" i="27"/>
  <c r="A78" i="27" s="1"/>
  <c r="A79" i="27" s="1"/>
  <c r="A80" i="27" s="1"/>
  <c r="A81" i="27" s="1"/>
  <c r="A82" i="27" s="1"/>
  <c r="A83" i="27" s="1"/>
  <c r="A84" i="27" s="1"/>
  <c r="A54" i="27"/>
  <c r="A55" i="27" s="1"/>
  <c r="A56" i="27" s="1"/>
  <c r="A57" i="27" s="1"/>
  <c r="A58" i="27" s="1"/>
  <c r="A59" i="27" s="1"/>
  <c r="A60" i="27" s="1"/>
  <c r="A61" i="27" s="1"/>
  <c r="A62" i="27" s="1"/>
  <c r="A63" i="27" s="1"/>
  <c r="A64" i="27" s="1"/>
  <c r="A65" i="27" s="1"/>
  <c r="A66" i="27" s="1"/>
  <c r="A44" i="27"/>
  <c r="A45" i="27" s="1"/>
  <c r="A46" i="27" s="1"/>
  <c r="A47" i="27" s="1"/>
  <c r="A48" i="27" s="1"/>
  <c r="A49" i="27" s="1"/>
  <c r="A32" i="27"/>
  <c r="A33" i="27" s="1"/>
  <c r="A25" i="27"/>
  <c r="A26" i="27" s="1"/>
  <c r="A17" i="27"/>
  <c r="A18" i="27" s="1"/>
  <c r="A19" i="27" s="1"/>
  <c r="A20" i="27" s="1"/>
  <c r="A10" i="27"/>
  <c r="A11" i="27" s="1"/>
  <c r="A12" i="27" s="1"/>
  <c r="M148" i="27"/>
  <c r="R136" i="27"/>
  <c r="Y135" i="27"/>
  <c r="T135" i="27"/>
  <c r="Y134" i="27"/>
  <c r="S134" i="27"/>
  <c r="S136" i="27" s="1"/>
  <c r="Y130" i="27"/>
  <c r="S130" i="27"/>
  <c r="T130" i="27" s="1"/>
  <c r="Y129" i="27"/>
  <c r="T129" i="27"/>
  <c r="Y128" i="27"/>
  <c r="S128" i="27"/>
  <c r="T128" i="27" s="1"/>
  <c r="Y127" i="27"/>
  <c r="S127" i="27"/>
  <c r="T127" i="27" s="1"/>
  <c r="Y126" i="27"/>
  <c r="T126" i="27"/>
  <c r="Y125" i="27"/>
  <c r="R131" i="27"/>
  <c r="Y124" i="27"/>
  <c r="S124" i="27"/>
  <c r="Y123" i="27"/>
  <c r="T123" i="27"/>
  <c r="Y122" i="27"/>
  <c r="T122" i="27"/>
  <c r="Y121" i="27"/>
  <c r="T121" i="27"/>
  <c r="Y120" i="27"/>
  <c r="T120" i="27"/>
  <c r="S117" i="27"/>
  <c r="R117" i="27"/>
  <c r="Y116" i="27"/>
  <c r="T116" i="27"/>
  <c r="T117" i="27" s="1"/>
  <c r="R114" i="27"/>
  <c r="Y113" i="27"/>
  <c r="S113" i="27"/>
  <c r="T113" i="27" s="1"/>
  <c r="Y112" i="27"/>
  <c r="S112" i="27"/>
  <c r="T112" i="27" s="1"/>
  <c r="S110" i="27"/>
  <c r="R110" i="27"/>
  <c r="Y109" i="27"/>
  <c r="T109" i="27"/>
  <c r="T110" i="27" s="1"/>
  <c r="S105" i="27"/>
  <c r="R105" i="27"/>
  <c r="Y104" i="27"/>
  <c r="T104" i="27"/>
  <c r="T105" i="27" s="1"/>
  <c r="R98" i="27"/>
  <c r="Y97" i="27"/>
  <c r="T97" i="27"/>
  <c r="Y96" i="27"/>
  <c r="S96" i="27"/>
  <c r="S98" i="27" s="1"/>
  <c r="Y95" i="27"/>
  <c r="T95" i="27"/>
  <c r="Y94" i="27"/>
  <c r="R93" i="27"/>
  <c r="Y92" i="27"/>
  <c r="S92" i="27"/>
  <c r="T92" i="27" s="1"/>
  <c r="Y91" i="27"/>
  <c r="T91" i="27"/>
  <c r="Y90" i="27"/>
  <c r="T90" i="27"/>
  <c r="Y89" i="27"/>
  <c r="S89" i="27"/>
  <c r="T89" i="27" s="1"/>
  <c r="Y88" i="27"/>
  <c r="T88" i="27"/>
  <c r="Y87" i="27"/>
  <c r="S87" i="27"/>
  <c r="R85" i="27"/>
  <c r="Y84" i="27"/>
  <c r="S84" i="27"/>
  <c r="T84" i="27" s="1"/>
  <c r="Y83" i="27"/>
  <c r="T83" i="27"/>
  <c r="Y82" i="27"/>
  <c r="T82" i="27"/>
  <c r="Y81" i="27"/>
  <c r="T81" i="27"/>
  <c r="Y80" i="27"/>
  <c r="T80" i="27"/>
  <c r="Y79" i="27"/>
  <c r="T79" i="27"/>
  <c r="Y78" i="27"/>
  <c r="T78" i="27"/>
  <c r="Y77" i="27"/>
  <c r="T77" i="27"/>
  <c r="Y76" i="27"/>
  <c r="T76" i="27"/>
  <c r="R72" i="27"/>
  <c r="Y71" i="27"/>
  <c r="S71" i="27"/>
  <c r="S72" i="27" s="1"/>
  <c r="Y70" i="27"/>
  <c r="T70" i="27"/>
  <c r="R67" i="27"/>
  <c r="Y66" i="27"/>
  <c r="S66" i="27"/>
  <c r="T66" i="27" s="1"/>
  <c r="Y65" i="27"/>
  <c r="S65" i="27"/>
  <c r="T65" i="27" s="1"/>
  <c r="Y64" i="27"/>
  <c r="S64" i="27"/>
  <c r="T64" i="27" s="1"/>
  <c r="Y63" i="27"/>
  <c r="S63" i="27"/>
  <c r="Y62" i="27"/>
  <c r="T62" i="27"/>
  <c r="Y61" i="27"/>
  <c r="T61" i="27"/>
  <c r="Y60" i="27"/>
  <c r="T60" i="27"/>
  <c r="Y59" i="27"/>
  <c r="T59" i="27"/>
  <c r="Y58" i="27"/>
  <c r="T58" i="27"/>
  <c r="Y57" i="27"/>
  <c r="T57" i="27"/>
  <c r="Y56" i="27"/>
  <c r="T56" i="27"/>
  <c r="Y54" i="27"/>
  <c r="T54" i="27"/>
  <c r="Y53" i="27"/>
  <c r="T53" i="27"/>
  <c r="R50" i="27"/>
  <c r="Y49" i="27"/>
  <c r="T49" i="27"/>
  <c r="Y48" i="27"/>
  <c r="T48" i="27"/>
  <c r="Y47" i="27"/>
  <c r="S47" i="27"/>
  <c r="T47" i="27" s="1"/>
  <c r="Y46" i="27"/>
  <c r="T46" i="27"/>
  <c r="Y44" i="27"/>
  <c r="T44" i="27"/>
  <c r="Y43" i="27"/>
  <c r="T43" i="27"/>
  <c r="S38" i="27"/>
  <c r="R38" i="27"/>
  <c r="Y37" i="27"/>
  <c r="T37" i="27"/>
  <c r="T38" i="27" s="1"/>
  <c r="S34" i="27"/>
  <c r="R34" i="27"/>
  <c r="Y33" i="27"/>
  <c r="T33" i="27"/>
  <c r="Y32" i="27"/>
  <c r="T32" i="27"/>
  <c r="Y31" i="27"/>
  <c r="T31" i="27"/>
  <c r="R27" i="27"/>
  <c r="Y26" i="27"/>
  <c r="T26" i="27"/>
  <c r="Y25" i="27"/>
  <c r="T25" i="27"/>
  <c r="Y24" i="27"/>
  <c r="S24" i="27"/>
  <c r="T24" i="27" s="1"/>
  <c r="T27" i="27" s="1"/>
  <c r="R21" i="27"/>
  <c r="Y20" i="27"/>
  <c r="T20" i="27"/>
  <c r="Y19" i="27"/>
  <c r="S19" i="27"/>
  <c r="T19" i="27" s="1"/>
  <c r="Y18" i="27"/>
  <c r="T18" i="27"/>
  <c r="Y17" i="27"/>
  <c r="T17" i="27"/>
  <c r="Y16" i="27"/>
  <c r="T16" i="27"/>
  <c r="S13" i="27"/>
  <c r="R13" i="27"/>
  <c r="Y12" i="27"/>
  <c r="T12" i="27"/>
  <c r="Y11" i="27"/>
  <c r="T11" i="27"/>
  <c r="Y10" i="27"/>
  <c r="T10" i="27"/>
  <c r="Y9" i="27"/>
  <c r="T9" i="27"/>
  <c r="E136" i="27"/>
  <c r="E117" i="27"/>
  <c r="E114" i="27"/>
  <c r="E110" i="27"/>
  <c r="E105" i="27"/>
  <c r="E98" i="27"/>
  <c r="E93" i="27"/>
  <c r="E85" i="27"/>
  <c r="E72" i="27"/>
  <c r="E67" i="27"/>
  <c r="E50" i="27"/>
  <c r="E38" i="27"/>
  <c r="E34" i="27"/>
  <c r="E27" i="27"/>
  <c r="E21" i="27"/>
  <c r="E13" i="27"/>
  <c r="G122" i="27"/>
  <c r="L122" i="27"/>
  <c r="G30" i="28"/>
  <c r="G29" i="28"/>
  <c r="G28" i="28"/>
  <c r="G16" i="28"/>
  <c r="G15" i="28"/>
  <c r="G14" i="28"/>
  <c r="L135" i="27"/>
  <c r="G135" i="27"/>
  <c r="L134" i="27"/>
  <c r="F134" i="27"/>
  <c r="F136" i="27" s="1"/>
  <c r="L130" i="27"/>
  <c r="F130" i="27"/>
  <c r="G130" i="27" s="1"/>
  <c r="L129" i="27"/>
  <c r="G129" i="27"/>
  <c r="L128" i="27"/>
  <c r="F128" i="27"/>
  <c r="G128" i="27" s="1"/>
  <c r="L127" i="27"/>
  <c r="F127" i="27"/>
  <c r="G127" i="27" s="1"/>
  <c r="L126" i="27"/>
  <c r="G126" i="27"/>
  <c r="L125" i="27"/>
  <c r="E125" i="27"/>
  <c r="G125" i="27" s="1"/>
  <c r="L124" i="27"/>
  <c r="F124" i="27"/>
  <c r="G124" i="27" s="1"/>
  <c r="L123" i="27"/>
  <c r="G123" i="27"/>
  <c r="L121" i="27"/>
  <c r="G121" i="27"/>
  <c r="L120" i="27"/>
  <c r="G120" i="27"/>
  <c r="F117" i="27"/>
  <c r="L116" i="27"/>
  <c r="G116" i="27"/>
  <c r="G117" i="27" s="1"/>
  <c r="L113" i="27"/>
  <c r="F113" i="27"/>
  <c r="L112" i="27"/>
  <c r="F112" i="27"/>
  <c r="G112" i="27" s="1"/>
  <c r="F110" i="27"/>
  <c r="L109" i="27"/>
  <c r="G109" i="27"/>
  <c r="G110" i="27" s="1"/>
  <c r="L104" i="27"/>
  <c r="G104" i="27"/>
  <c r="L97" i="27"/>
  <c r="G97" i="27"/>
  <c r="L96" i="27"/>
  <c r="F96" i="27"/>
  <c r="G96" i="27" s="1"/>
  <c r="L95" i="27"/>
  <c r="G95" i="27"/>
  <c r="L94" i="27"/>
  <c r="L92" i="27"/>
  <c r="F92" i="27"/>
  <c r="G92" i="27" s="1"/>
  <c r="L91" i="27"/>
  <c r="G91" i="27"/>
  <c r="L90" i="27"/>
  <c r="G90" i="27"/>
  <c r="L89" i="27"/>
  <c r="F89" i="27"/>
  <c r="G89" i="27" s="1"/>
  <c r="L88" i="27"/>
  <c r="G88" i="27"/>
  <c r="L87" i="27"/>
  <c r="F87" i="27"/>
  <c r="L84" i="27"/>
  <c r="F84" i="27"/>
  <c r="G84" i="27" s="1"/>
  <c r="L83" i="27"/>
  <c r="G83" i="27"/>
  <c r="L82" i="27"/>
  <c r="G82" i="27"/>
  <c r="L81" i="27"/>
  <c r="G81" i="27"/>
  <c r="L80" i="27"/>
  <c r="G80" i="27"/>
  <c r="L79" i="27"/>
  <c r="G79" i="27"/>
  <c r="L78" i="27"/>
  <c r="G78" i="27"/>
  <c r="L77" i="27"/>
  <c r="G77" i="27"/>
  <c r="L76" i="27"/>
  <c r="G76" i="27"/>
  <c r="L71" i="27"/>
  <c r="F71" i="27"/>
  <c r="F72" i="27" s="1"/>
  <c r="L70" i="27"/>
  <c r="G70" i="27"/>
  <c r="L66" i="27"/>
  <c r="F66" i="27"/>
  <c r="G66" i="27" s="1"/>
  <c r="L65" i="27"/>
  <c r="F65" i="27"/>
  <c r="G65" i="27" s="1"/>
  <c r="L64" i="27"/>
  <c r="F64" i="27"/>
  <c r="G64" i="27" s="1"/>
  <c r="L63" i="27"/>
  <c r="F63" i="27"/>
  <c r="L62" i="27"/>
  <c r="G62" i="27"/>
  <c r="L61" i="27"/>
  <c r="G61" i="27"/>
  <c r="L60" i="27"/>
  <c r="G60" i="27"/>
  <c r="L59" i="27"/>
  <c r="G59" i="27"/>
  <c r="L58" i="27"/>
  <c r="G58" i="27"/>
  <c r="L57" i="27"/>
  <c r="G57" i="27"/>
  <c r="L56" i="27"/>
  <c r="G56" i="27"/>
  <c r="L54" i="27"/>
  <c r="G54" i="27"/>
  <c r="L53" i="27"/>
  <c r="G53" i="27"/>
  <c r="L49" i="27"/>
  <c r="G49" i="27"/>
  <c r="L48" i="27"/>
  <c r="G48" i="27"/>
  <c r="L47" i="27"/>
  <c r="F47" i="27"/>
  <c r="G47" i="27" s="1"/>
  <c r="L46" i="27"/>
  <c r="G46" i="27"/>
  <c r="L44" i="27"/>
  <c r="G44" i="27"/>
  <c r="L43" i="27"/>
  <c r="G43" i="27"/>
  <c r="F38" i="27"/>
  <c r="L37" i="27"/>
  <c r="G37" i="27"/>
  <c r="L33" i="27"/>
  <c r="G33" i="27"/>
  <c r="L32" i="27"/>
  <c r="G32" i="27"/>
  <c r="L31" i="27"/>
  <c r="G31" i="27"/>
  <c r="F34" i="27"/>
  <c r="L26" i="27"/>
  <c r="G26" i="27"/>
  <c r="L25" i="27"/>
  <c r="G25" i="27"/>
  <c r="L24" i="27"/>
  <c r="F24" i="27"/>
  <c r="F27" i="27" s="1"/>
  <c r="L20" i="27"/>
  <c r="G20" i="27"/>
  <c r="L19" i="27"/>
  <c r="F19" i="27"/>
  <c r="F21" i="27" s="1"/>
  <c r="L18" i="27"/>
  <c r="G18" i="27"/>
  <c r="L17" i="27"/>
  <c r="G17" i="27"/>
  <c r="L16" i="27"/>
  <c r="G16" i="27"/>
  <c r="F13" i="27"/>
  <c r="L12" i="27"/>
  <c r="G12" i="27"/>
  <c r="L11" i="27"/>
  <c r="G11" i="27"/>
  <c r="L10" i="27"/>
  <c r="G10" i="27"/>
  <c r="L9" i="27"/>
  <c r="G9" i="27"/>
  <c r="J24" i="26"/>
  <c r="J24" i="25"/>
  <c r="CV76" i="2" l="1"/>
  <c r="CU76" i="2"/>
  <c r="L58" i="3" s="1"/>
  <c r="T58" i="3"/>
  <c r="BU84" i="2"/>
  <c r="BV84" i="2" s="1"/>
  <c r="CS76" i="2"/>
  <c r="Q58" i="3"/>
  <c r="E11" i="3"/>
  <c r="U58" i="3"/>
  <c r="E58" i="4"/>
  <c r="B58" i="4"/>
  <c r="CQ76" i="2"/>
  <c r="CW76" i="2"/>
  <c r="N58" i="3" s="1"/>
  <c r="F58" i="3"/>
  <c r="C11" i="3"/>
  <c r="G58" i="3"/>
  <c r="R58" i="3"/>
  <c r="V58" i="3"/>
  <c r="B67" i="4"/>
  <c r="F67" i="4" s="1"/>
  <c r="C58" i="3"/>
  <c r="M58" i="3"/>
  <c r="S58" i="3"/>
  <c r="W58" i="3"/>
  <c r="E67" i="4"/>
  <c r="E58" i="3"/>
  <c r="J58" i="3"/>
  <c r="CR76" i="2"/>
  <c r="H58" i="3" s="1"/>
  <c r="CD76" i="2"/>
  <c r="DH76" i="2"/>
  <c r="DQ76" i="2"/>
  <c r="DZ76" i="2"/>
  <c r="EI76" i="2"/>
  <c r="CT76" i="2"/>
  <c r="K58" i="3" s="1"/>
  <c r="BL76" i="2"/>
  <c r="BM76" i="2" s="1"/>
  <c r="CM76" i="2"/>
  <c r="CN76" i="2" s="1"/>
  <c r="CE76" i="2"/>
  <c r="BU76" i="2"/>
  <c r="BV76" i="2" s="1"/>
  <c r="BC76" i="2"/>
  <c r="J48" i="6"/>
  <c r="BL84" i="2"/>
  <c r="BM84" i="2" s="1"/>
  <c r="DB84" i="2"/>
  <c r="E48" i="6"/>
  <c r="CY84" i="2"/>
  <c r="DZ84" i="2"/>
  <c r="ET84" i="2"/>
  <c r="FE84" i="2" s="1"/>
  <c r="X48" i="6" s="1"/>
  <c r="M48" i="6"/>
  <c r="T48" i="6"/>
  <c r="F48" i="6"/>
  <c r="W48" i="6"/>
  <c r="S48" i="6"/>
  <c r="L48" i="6"/>
  <c r="V48" i="6"/>
  <c r="R48" i="6"/>
  <c r="K48" i="6"/>
  <c r="C48" i="6"/>
  <c r="U48" i="6"/>
  <c r="O48" i="6"/>
  <c r="CZ84" i="2"/>
  <c r="G48" i="6" s="1"/>
  <c r="DD84" i="2"/>
  <c r="DA84" i="2"/>
  <c r="DQ84" i="2"/>
  <c r="EI84" i="2"/>
  <c r="DF84" i="2"/>
  <c r="BC84" i="2"/>
  <c r="BD84" i="2" s="1"/>
  <c r="DE84" i="2"/>
  <c r="DC84" i="2"/>
  <c r="CD84" i="2"/>
  <c r="CE84" i="2" s="1"/>
  <c r="CM84" i="2"/>
  <c r="CN84" i="2" s="1"/>
  <c r="T21" i="27"/>
  <c r="T34" i="27"/>
  <c r="T50" i="27"/>
  <c r="S93" i="27"/>
  <c r="E73" i="27"/>
  <c r="S21" i="27"/>
  <c r="R73" i="27"/>
  <c r="S131" i="27"/>
  <c r="T71" i="27"/>
  <c r="T72" i="27" s="1"/>
  <c r="T96" i="27"/>
  <c r="T98" i="27" s="1"/>
  <c r="T124" i="27"/>
  <c r="T134" i="27"/>
  <c r="T136" i="27" s="1"/>
  <c r="E131" i="27"/>
  <c r="E139" i="27" s="1"/>
  <c r="N146" i="27" s="1"/>
  <c r="S67" i="27"/>
  <c r="T114" i="27"/>
  <c r="T85" i="27"/>
  <c r="T13" i="27"/>
  <c r="R139" i="27"/>
  <c r="S50" i="27"/>
  <c r="T63" i="27"/>
  <c r="T67" i="27" s="1"/>
  <c r="T87" i="27"/>
  <c r="T93" i="27" s="1"/>
  <c r="T125" i="27"/>
  <c r="S27" i="27"/>
  <c r="S85" i="27"/>
  <c r="S114" i="27"/>
  <c r="G71" i="27"/>
  <c r="G72" i="27" s="1"/>
  <c r="F105" i="27"/>
  <c r="F114" i="27"/>
  <c r="F67" i="27"/>
  <c r="G85" i="27"/>
  <c r="G38" i="27"/>
  <c r="G50" i="27"/>
  <c r="F93" i="27"/>
  <c r="G131" i="27"/>
  <c r="G13" i="27"/>
  <c r="G98" i="27"/>
  <c r="G19" i="27"/>
  <c r="G21" i="27" s="1"/>
  <c r="G24" i="27"/>
  <c r="G27" i="27" s="1"/>
  <c r="F98" i="27"/>
  <c r="G105" i="27"/>
  <c r="F131" i="27"/>
  <c r="G87" i="27"/>
  <c r="G93" i="27" s="1"/>
  <c r="G113" i="27"/>
  <c r="G114" i="27" s="1"/>
  <c r="G134" i="27"/>
  <c r="G136" i="27" s="1"/>
  <c r="F50" i="27"/>
  <c r="F85" i="27"/>
  <c r="G63" i="27"/>
  <c r="G67" i="27" s="1"/>
  <c r="P58" i="3" l="1"/>
  <c r="X58" i="3" s="1"/>
  <c r="I58" i="3"/>
  <c r="O58" i="3" s="1"/>
  <c r="CX76" i="2"/>
  <c r="CY76" i="2" s="1"/>
  <c r="D58" i="3"/>
  <c r="F58" i="4"/>
  <c r="BD76" i="2"/>
  <c r="H48" i="6"/>
  <c r="Q48" i="6"/>
  <c r="D48" i="6"/>
  <c r="DG84" i="2"/>
  <c r="DH84" i="2" s="1"/>
  <c r="T73" i="27"/>
  <c r="T131" i="27"/>
  <c r="N147" i="27"/>
  <c r="N148" i="27" s="1"/>
  <c r="S73" i="27"/>
  <c r="G34" i="27"/>
  <c r="G73" i="27"/>
  <c r="F73" i="27"/>
  <c r="Y48" i="6" l="1"/>
  <c r="I48" i="6"/>
  <c r="Y58" i="3"/>
  <c r="AA58" i="3" s="1"/>
  <c r="BX77" i="2"/>
  <c r="BX75" i="2"/>
  <c r="P48" i="6" l="1"/>
  <c r="Z48" i="6" l="1"/>
  <c r="AB48" i="6" s="1"/>
  <c r="FD38" i="2"/>
  <c r="FD47" i="2"/>
  <c r="BW14" i="2"/>
  <c r="BX14" i="2"/>
  <c r="BE14" i="2"/>
  <c r="BF14" i="2"/>
  <c r="AV14" i="2"/>
  <c r="EV209" i="2" l="1"/>
  <c r="EW209" i="2"/>
  <c r="FA209" i="2"/>
  <c r="ET18" i="2" l="1"/>
  <c r="ET17" i="2"/>
  <c r="ET16" i="2"/>
  <c r="ET15" i="2"/>
  <c r="ET14" i="2"/>
  <c r="EY209" i="2"/>
  <c r="EQ69" i="2"/>
  <c r="BO146" i="2"/>
  <c r="BO131" i="2"/>
  <c r="BF158" i="2"/>
  <c r="BF111" i="2"/>
  <c r="BF110" i="2"/>
  <c r="BF109" i="2"/>
  <c r="BF108" i="2"/>
  <c r="BF107" i="2"/>
  <c r="BF105" i="2"/>
  <c r="BF85" i="2"/>
  <c r="BF18" i="2"/>
  <c r="BF17" i="2"/>
  <c r="BF16" i="2"/>
  <c r="BF15" i="2"/>
  <c r="AW129" i="2"/>
  <c r="AW11" i="2"/>
  <c r="E36" i="13"/>
  <c r="A66" i="4" l="1"/>
  <c r="A140" i="6"/>
  <c r="A141" i="6" s="1"/>
  <c r="A142" i="6" s="1"/>
  <c r="A143" i="6" s="1"/>
  <c r="A144" i="6" s="1"/>
  <c r="A145" i="6" s="1"/>
  <c r="A146" i="6" s="1"/>
  <c r="A147" i="6" s="1"/>
  <c r="A148" i="6" s="1"/>
  <c r="A149" i="6" s="1"/>
  <c r="A56" i="6"/>
  <c r="A11" i="6"/>
  <c r="A12" i="6" s="1"/>
  <c r="A13" i="6" s="1"/>
  <c r="A135" i="3"/>
  <c r="A16" i="3"/>
  <c r="A46" i="2"/>
  <c r="A47" i="2" s="1"/>
  <c r="A48" i="2" s="1"/>
  <c r="A49" i="2" s="1"/>
  <c r="A23" i="2"/>
  <c r="A24" i="2" s="1"/>
  <c r="A25" i="2" s="1"/>
  <c r="A26" i="2" s="1"/>
  <c r="A27" i="2" s="1"/>
  <c r="A65" i="4" l="1"/>
  <c r="B33" i="3"/>
  <c r="FD48" i="2"/>
  <c r="FC48" i="2"/>
  <c r="FB48" i="2"/>
  <c r="FA48" i="2"/>
  <c r="EZ48" i="2"/>
  <c r="EY48" i="2"/>
  <c r="EX48" i="2"/>
  <c r="EW48" i="2"/>
  <c r="EV48" i="2"/>
  <c r="ET48" i="2"/>
  <c r="FE48" i="2" s="1"/>
  <c r="EH48" i="2"/>
  <c r="EG48" i="2"/>
  <c r="EF48" i="2"/>
  <c r="EE48" i="2"/>
  <c r="ED48" i="2"/>
  <c r="EC48" i="2"/>
  <c r="EB48" i="2"/>
  <c r="EA48" i="2"/>
  <c r="DY48" i="2"/>
  <c r="DX48" i="2"/>
  <c r="DW48" i="2"/>
  <c r="DV48" i="2"/>
  <c r="DU48" i="2"/>
  <c r="DT48" i="2"/>
  <c r="DS48" i="2"/>
  <c r="DP48" i="2"/>
  <c r="DO48" i="2"/>
  <c r="DN48" i="2"/>
  <c r="DM48" i="2"/>
  <c r="DL48" i="2"/>
  <c r="DK48" i="2"/>
  <c r="DJ48" i="2"/>
  <c r="DI48" i="2"/>
  <c r="DG48" i="2"/>
  <c r="DF48" i="2"/>
  <c r="DE48" i="2"/>
  <c r="DD48" i="2"/>
  <c r="DC48" i="2"/>
  <c r="DB48" i="2"/>
  <c r="DA48" i="2"/>
  <c r="CZ48" i="2"/>
  <c r="CL48" i="2"/>
  <c r="CJ48" i="2"/>
  <c r="CH48" i="2"/>
  <c r="CG48" i="2"/>
  <c r="CF48" i="2"/>
  <c r="CC48" i="2"/>
  <c r="CA48" i="2"/>
  <c r="BY48" i="2"/>
  <c r="BX48" i="2"/>
  <c r="BW48" i="2"/>
  <c r="BT48" i="2"/>
  <c r="BR48" i="2"/>
  <c r="BP48" i="2"/>
  <c r="BO48" i="2"/>
  <c r="BN48" i="2"/>
  <c r="BK48" i="2"/>
  <c r="BI48" i="2"/>
  <c r="BG48" i="2"/>
  <c r="BF48" i="2"/>
  <c r="BE48" i="2"/>
  <c r="BB48" i="2"/>
  <c r="AZ48" i="2"/>
  <c r="AX48" i="2"/>
  <c r="AW48" i="2"/>
  <c r="AV48" i="2"/>
  <c r="AI48" i="2"/>
  <c r="CK48" i="2" s="1"/>
  <c r="AG48" i="2"/>
  <c r="CI48" i="2" s="1"/>
  <c r="AE48" i="2"/>
  <c r="CB48" i="2" s="1"/>
  <c r="AC48" i="2"/>
  <c r="BZ48" i="2" s="1"/>
  <c r="AA48" i="2"/>
  <c r="BS48" i="2" s="1"/>
  <c r="Y48" i="2"/>
  <c r="BQ48" i="2" s="1"/>
  <c r="W48" i="2"/>
  <c r="BJ48" i="2" s="1"/>
  <c r="U48" i="2"/>
  <c r="BH48" i="2" s="1"/>
  <c r="S48" i="2"/>
  <c r="BA48" i="2" s="1"/>
  <c r="Q48" i="2"/>
  <c r="AY48" i="2" s="1"/>
  <c r="N48" i="2"/>
  <c r="G48" i="2"/>
  <c r="B28" i="6"/>
  <c r="D59" i="7" s="1"/>
  <c r="FC38" i="2"/>
  <c r="FB38" i="2"/>
  <c r="FA38" i="2"/>
  <c r="EZ38" i="2"/>
  <c r="EY38" i="2"/>
  <c r="EX38" i="2"/>
  <c r="EW38" i="2"/>
  <c r="EV38" i="2"/>
  <c r="ET38" i="2"/>
  <c r="FE38" i="2" s="1"/>
  <c r="EH38" i="2"/>
  <c r="EG38" i="2"/>
  <c r="EF38" i="2"/>
  <c r="EE38" i="2"/>
  <c r="ED38" i="2"/>
  <c r="EC38" i="2"/>
  <c r="EB38" i="2"/>
  <c r="EA38" i="2"/>
  <c r="DY38" i="2"/>
  <c r="DX38" i="2"/>
  <c r="DW38" i="2"/>
  <c r="DV38" i="2"/>
  <c r="DU38" i="2"/>
  <c r="DT38" i="2"/>
  <c r="DS38" i="2"/>
  <c r="DR38" i="2"/>
  <c r="DP38" i="2"/>
  <c r="DO38" i="2"/>
  <c r="DN38" i="2"/>
  <c r="DM38" i="2"/>
  <c r="DL38" i="2"/>
  <c r="DK38" i="2"/>
  <c r="DJ38" i="2"/>
  <c r="DI38" i="2"/>
  <c r="CL38" i="2"/>
  <c r="CJ38" i="2"/>
  <c r="CH38" i="2"/>
  <c r="CF38" i="2"/>
  <c r="CC38" i="2"/>
  <c r="CA38" i="2"/>
  <c r="BY38" i="2"/>
  <c r="BW38" i="2"/>
  <c r="BT38" i="2"/>
  <c r="BR38" i="2"/>
  <c r="BP38" i="2"/>
  <c r="BN38" i="2"/>
  <c r="BK38" i="2"/>
  <c r="BI38" i="2"/>
  <c r="BG38" i="2"/>
  <c r="BE38" i="2"/>
  <c r="BB38" i="2"/>
  <c r="CW38" i="2" s="1"/>
  <c r="AZ38" i="2"/>
  <c r="CU38" i="2" s="1"/>
  <c r="AX38" i="2"/>
  <c r="DB38" i="2" s="1"/>
  <c r="AV38" i="2"/>
  <c r="CZ38" i="2" s="1"/>
  <c r="AI38" i="2"/>
  <c r="CK38" i="2" s="1"/>
  <c r="AG38" i="2"/>
  <c r="CI38" i="2" s="1"/>
  <c r="AE38" i="2"/>
  <c r="CB38" i="2" s="1"/>
  <c r="AC38" i="2"/>
  <c r="BZ38" i="2" s="1"/>
  <c r="AA38" i="2"/>
  <c r="BS38" i="2" s="1"/>
  <c r="Y38" i="2"/>
  <c r="BQ38" i="2" s="1"/>
  <c r="W38" i="2"/>
  <c r="BJ38" i="2" s="1"/>
  <c r="U38" i="2"/>
  <c r="BH38" i="2" s="1"/>
  <c r="S38" i="2"/>
  <c r="BA38" i="2" s="1"/>
  <c r="CV38" i="2" s="1"/>
  <c r="Q38" i="2"/>
  <c r="AY38" i="2" s="1"/>
  <c r="N38" i="2"/>
  <c r="BX38" i="2"/>
  <c r="S33" i="3" l="1"/>
  <c r="W33" i="3"/>
  <c r="CM38" i="2"/>
  <c r="CW48" i="2"/>
  <c r="CU48" i="2"/>
  <c r="L33" i="3" s="1"/>
  <c r="DC38" i="2"/>
  <c r="K28" i="6" s="1"/>
  <c r="CS48" i="2"/>
  <c r="Q33" i="3"/>
  <c r="T33" i="3"/>
  <c r="E33" i="3"/>
  <c r="R33" i="3"/>
  <c r="F33" i="3"/>
  <c r="B65" i="4"/>
  <c r="F65" i="4" s="1"/>
  <c r="C28" i="6"/>
  <c r="J33" i="3"/>
  <c r="N33" i="3"/>
  <c r="E65" i="4"/>
  <c r="T28" i="6"/>
  <c r="X28" i="6"/>
  <c r="V33" i="3"/>
  <c r="U33" i="3"/>
  <c r="C33" i="3"/>
  <c r="DH48" i="2"/>
  <c r="DQ48" i="2"/>
  <c r="CR48" i="2"/>
  <c r="H33" i="3" s="1"/>
  <c r="DZ48" i="2"/>
  <c r="EI48" i="2"/>
  <c r="CM48" i="2"/>
  <c r="CN48" i="2" s="1"/>
  <c r="BC48" i="2"/>
  <c r="BD48" i="2" s="1"/>
  <c r="CV48" i="2"/>
  <c r="M33" i="3" s="1"/>
  <c r="CD48" i="2"/>
  <c r="CE48" i="2" s="1"/>
  <c r="CT48" i="2"/>
  <c r="K33" i="3" s="1"/>
  <c r="BL48" i="2"/>
  <c r="BU48" i="2"/>
  <c r="BV48" i="2" s="1"/>
  <c r="CQ48" i="2"/>
  <c r="G33" i="3" s="1"/>
  <c r="DD38" i="2"/>
  <c r="L28" i="6" s="1"/>
  <c r="E28" i="6"/>
  <c r="J28" i="6"/>
  <c r="O28" i="6"/>
  <c r="U28" i="6"/>
  <c r="DE38" i="2"/>
  <c r="M28" i="6" s="1"/>
  <c r="F28" i="6"/>
  <c r="R28" i="6"/>
  <c r="V28" i="6"/>
  <c r="B59" i="7"/>
  <c r="E59" i="7" s="1"/>
  <c r="DF38" i="2"/>
  <c r="G28" i="6"/>
  <c r="S28" i="6"/>
  <c r="W28" i="6"/>
  <c r="CD38" i="2"/>
  <c r="CE38" i="2" s="1"/>
  <c r="CQ38" i="2"/>
  <c r="DQ38" i="2"/>
  <c r="DZ38" i="2"/>
  <c r="EI38" i="2"/>
  <c r="CT38" i="2"/>
  <c r="BC38" i="2"/>
  <c r="BL38" i="2"/>
  <c r="BU38" i="2"/>
  <c r="AW38" i="2"/>
  <c r="CG38" i="2"/>
  <c r="BF38" i="2"/>
  <c r="BO38" i="2"/>
  <c r="CS38" i="2"/>
  <c r="G38" i="2"/>
  <c r="AX147" i="2"/>
  <c r="CN38" i="2" l="1"/>
  <c r="BV38" i="2"/>
  <c r="D33" i="3"/>
  <c r="I33" i="3"/>
  <c r="O33" i="3" s="1"/>
  <c r="P33" i="3"/>
  <c r="X33" i="3" s="1"/>
  <c r="CX48" i="2"/>
  <c r="CY48" i="2" s="1"/>
  <c r="BM48" i="2"/>
  <c r="D28" i="6"/>
  <c r="Q28" i="6"/>
  <c r="Y28" i="6" s="1"/>
  <c r="DA38" i="2"/>
  <c r="CX38" i="2"/>
  <c r="DG38" i="2"/>
  <c r="BM38" i="2"/>
  <c r="CR38" i="2"/>
  <c r="BD38" i="2"/>
  <c r="Y33" i="3" l="1"/>
  <c r="AA33" i="3" s="1"/>
  <c r="CY38" i="2"/>
  <c r="H28" i="6"/>
  <c r="I28" i="6" s="1"/>
  <c r="P28" i="6" s="1"/>
  <c r="Z28" i="6" s="1"/>
  <c r="AB28" i="6" s="1"/>
  <c r="DH38" i="2"/>
  <c r="A64" i="4"/>
  <c r="B134" i="3"/>
  <c r="ET158" i="2"/>
  <c r="FE158" i="2" s="1"/>
  <c r="FD158" i="2"/>
  <c r="FC158" i="2"/>
  <c r="FA158" i="2"/>
  <c r="EZ158" i="2"/>
  <c r="EY158" i="2"/>
  <c r="EX158" i="2"/>
  <c r="EW158" i="2"/>
  <c r="EV158" i="2"/>
  <c r="EH158" i="2"/>
  <c r="EG158" i="2"/>
  <c r="EF158" i="2"/>
  <c r="EE158" i="2"/>
  <c r="ED158" i="2"/>
  <c r="EC158" i="2"/>
  <c r="EB158" i="2"/>
  <c r="EA158" i="2"/>
  <c r="DY158" i="2"/>
  <c r="DX158" i="2"/>
  <c r="DW158" i="2"/>
  <c r="DV158" i="2"/>
  <c r="DU158" i="2"/>
  <c r="DT158" i="2"/>
  <c r="DS158" i="2"/>
  <c r="DR158" i="2"/>
  <c r="DP158" i="2"/>
  <c r="DO158" i="2"/>
  <c r="DN158" i="2"/>
  <c r="DM158" i="2"/>
  <c r="DL158" i="2"/>
  <c r="DK158" i="2"/>
  <c r="DJ158" i="2"/>
  <c r="DI158" i="2"/>
  <c r="DG158" i="2"/>
  <c r="DF158" i="2"/>
  <c r="DE158" i="2"/>
  <c r="DD158" i="2"/>
  <c r="DC158" i="2"/>
  <c r="DB158" i="2"/>
  <c r="DA158" i="2"/>
  <c r="CZ158" i="2"/>
  <c r="CL158" i="2"/>
  <c r="CJ158" i="2"/>
  <c r="CH158" i="2"/>
  <c r="CG158" i="2"/>
  <c r="CF158" i="2"/>
  <c r="CC158" i="2"/>
  <c r="CA158" i="2"/>
  <c r="BY158" i="2"/>
  <c r="BX158" i="2"/>
  <c r="BW158" i="2"/>
  <c r="BT158" i="2"/>
  <c r="BR158" i="2"/>
  <c r="BP158" i="2"/>
  <c r="BO158" i="2"/>
  <c r="BN158" i="2"/>
  <c r="BK158" i="2"/>
  <c r="BI158" i="2"/>
  <c r="BG158" i="2"/>
  <c r="BE158" i="2"/>
  <c r="BB158" i="2"/>
  <c r="AZ158" i="2"/>
  <c r="AX158" i="2"/>
  <c r="AV158" i="2"/>
  <c r="AI158" i="2"/>
  <c r="CK158" i="2" s="1"/>
  <c r="AG158" i="2"/>
  <c r="CI158" i="2" s="1"/>
  <c r="AE158" i="2"/>
  <c r="CB158" i="2" s="1"/>
  <c r="AC158" i="2"/>
  <c r="BZ158" i="2" s="1"/>
  <c r="AA158" i="2"/>
  <c r="BS158" i="2" s="1"/>
  <c r="Y158" i="2"/>
  <c r="BQ158" i="2" s="1"/>
  <c r="W158" i="2"/>
  <c r="BJ158" i="2" s="1"/>
  <c r="U158" i="2"/>
  <c r="BH158" i="2" s="1"/>
  <c r="S158" i="2"/>
  <c r="BA158" i="2" s="1"/>
  <c r="Q158" i="2"/>
  <c r="AY158" i="2" s="1"/>
  <c r="N158" i="2"/>
  <c r="G158" i="2"/>
  <c r="B32" i="3"/>
  <c r="FC47" i="2"/>
  <c r="FA47" i="2"/>
  <c r="EZ47" i="2"/>
  <c r="EY47" i="2"/>
  <c r="EX47" i="2"/>
  <c r="EW47" i="2"/>
  <c r="EV47" i="2"/>
  <c r="ET47" i="2"/>
  <c r="FE47" i="2" s="1"/>
  <c r="EH47" i="2"/>
  <c r="EG47" i="2"/>
  <c r="EF47" i="2"/>
  <c r="EE47" i="2"/>
  <c r="ED47" i="2"/>
  <c r="EC47" i="2"/>
  <c r="EB47" i="2"/>
  <c r="EA47" i="2"/>
  <c r="DY47" i="2"/>
  <c r="DX47" i="2"/>
  <c r="DW47" i="2"/>
  <c r="DV47" i="2"/>
  <c r="DU47" i="2"/>
  <c r="DT47" i="2"/>
  <c r="DS47" i="2"/>
  <c r="DR47" i="2"/>
  <c r="DP47" i="2"/>
  <c r="DO47" i="2"/>
  <c r="DN47" i="2"/>
  <c r="DM47" i="2"/>
  <c r="DL47" i="2"/>
  <c r="DK47" i="2"/>
  <c r="DJ47" i="2"/>
  <c r="DI47" i="2"/>
  <c r="DG47" i="2"/>
  <c r="DF47" i="2"/>
  <c r="DE47" i="2"/>
  <c r="DD47" i="2"/>
  <c r="DC47" i="2"/>
  <c r="DB47" i="2"/>
  <c r="DA47" i="2"/>
  <c r="CZ47" i="2"/>
  <c r="CL47" i="2"/>
  <c r="CJ47" i="2"/>
  <c r="CH47" i="2"/>
  <c r="CG47" i="2"/>
  <c r="CF47" i="2"/>
  <c r="CC47" i="2"/>
  <c r="CA47" i="2"/>
  <c r="BY47" i="2"/>
  <c r="BX47" i="2"/>
  <c r="BW47" i="2"/>
  <c r="BT47" i="2"/>
  <c r="BR47" i="2"/>
  <c r="BP47" i="2"/>
  <c r="BO47" i="2"/>
  <c r="BN47" i="2"/>
  <c r="BK47" i="2"/>
  <c r="BI47" i="2"/>
  <c r="BG47" i="2"/>
  <c r="BF47" i="2"/>
  <c r="BE47" i="2"/>
  <c r="BB47" i="2"/>
  <c r="AZ47" i="2"/>
  <c r="AX47" i="2"/>
  <c r="AW47" i="2"/>
  <c r="AV47" i="2"/>
  <c r="AI47" i="2"/>
  <c r="CK47" i="2" s="1"/>
  <c r="AG47" i="2"/>
  <c r="CI47" i="2" s="1"/>
  <c r="AE47" i="2"/>
  <c r="CB47" i="2" s="1"/>
  <c r="AC47" i="2"/>
  <c r="BZ47" i="2" s="1"/>
  <c r="AA47" i="2"/>
  <c r="BS47" i="2" s="1"/>
  <c r="Y47" i="2"/>
  <c r="BQ47" i="2" s="1"/>
  <c r="W47" i="2"/>
  <c r="BJ47" i="2" s="1"/>
  <c r="U47" i="2"/>
  <c r="BH47" i="2" s="1"/>
  <c r="S47" i="2"/>
  <c r="BA47" i="2" s="1"/>
  <c r="Q47" i="2"/>
  <c r="AY47" i="2" s="1"/>
  <c r="N47" i="2"/>
  <c r="G47" i="2"/>
  <c r="W32" i="3" l="1"/>
  <c r="E66" i="4"/>
  <c r="B66" i="4"/>
  <c r="W134" i="3"/>
  <c r="CR158" i="2"/>
  <c r="BL158" i="2"/>
  <c r="CW158" i="2"/>
  <c r="N134" i="3" s="1"/>
  <c r="C134" i="3"/>
  <c r="H134" i="3"/>
  <c r="S134" i="3"/>
  <c r="CW47" i="2"/>
  <c r="N32" i="3" s="1"/>
  <c r="E134" i="3"/>
  <c r="T134" i="3"/>
  <c r="B64" i="4"/>
  <c r="CV47" i="2"/>
  <c r="M32" i="3" s="1"/>
  <c r="CS158" i="2"/>
  <c r="J134" i="3" s="1"/>
  <c r="V134" i="3"/>
  <c r="F134" i="3"/>
  <c r="Q134" i="3"/>
  <c r="U134" i="3"/>
  <c r="E64" i="4"/>
  <c r="R134" i="3"/>
  <c r="U32" i="3"/>
  <c r="F32" i="3"/>
  <c r="E32" i="3"/>
  <c r="Q32" i="3"/>
  <c r="T32" i="3"/>
  <c r="DH158" i="2"/>
  <c r="EI158" i="2"/>
  <c r="CQ158" i="2"/>
  <c r="G134" i="3" s="1"/>
  <c r="DQ158" i="2"/>
  <c r="DZ158" i="2"/>
  <c r="CV158" i="2"/>
  <c r="M134" i="3" s="1"/>
  <c r="BC158" i="2"/>
  <c r="BD158" i="2" s="1"/>
  <c r="BU158" i="2"/>
  <c r="BV158" i="2" s="1"/>
  <c r="CD158" i="2"/>
  <c r="CE158" i="2" s="1"/>
  <c r="CM158" i="2"/>
  <c r="CN158" i="2" s="1"/>
  <c r="CT158" i="2"/>
  <c r="K134" i="3" s="1"/>
  <c r="BM158" i="2"/>
  <c r="CU158" i="2"/>
  <c r="L134" i="3" s="1"/>
  <c r="FB158" i="2"/>
  <c r="R32" i="3"/>
  <c r="V32" i="3"/>
  <c r="CU47" i="2"/>
  <c r="L32" i="3" s="1"/>
  <c r="C32" i="3"/>
  <c r="S32" i="3"/>
  <c r="CR47" i="2"/>
  <c r="H32" i="3" s="1"/>
  <c r="EI47" i="2"/>
  <c r="DQ47" i="2"/>
  <c r="DZ47" i="2"/>
  <c r="DH47" i="2"/>
  <c r="CT47" i="2"/>
  <c r="K32" i="3" s="1"/>
  <c r="BL47" i="2"/>
  <c r="BM47" i="2" s="1"/>
  <c r="CQ47" i="2"/>
  <c r="G32" i="3" s="1"/>
  <c r="CM47" i="2"/>
  <c r="CN47" i="2" s="1"/>
  <c r="BU47" i="2"/>
  <c r="BV47" i="2" s="1"/>
  <c r="CD47" i="2"/>
  <c r="CE47" i="2" s="1"/>
  <c r="FB47" i="2"/>
  <c r="BC47" i="2"/>
  <c r="CS47" i="2"/>
  <c r="J32" i="3" s="1"/>
  <c r="J17" i="13"/>
  <c r="J18" i="13" s="1"/>
  <c r="F64" i="4" l="1"/>
  <c r="F66" i="4"/>
  <c r="D134" i="3"/>
  <c r="P134" i="3"/>
  <c r="X134" i="3" s="1"/>
  <c r="I134" i="3"/>
  <c r="O134" i="3" s="1"/>
  <c r="CX158" i="2"/>
  <c r="CY158" i="2" s="1"/>
  <c r="P32" i="3"/>
  <c r="D32" i="3"/>
  <c r="I32" i="3"/>
  <c r="O32" i="3" s="1"/>
  <c r="CX47" i="2"/>
  <c r="CY47" i="2" s="1"/>
  <c r="BD47" i="2"/>
  <c r="J20" i="13"/>
  <c r="X32" i="3" l="1"/>
  <c r="Y134" i="3"/>
  <c r="AA134" i="3" s="1"/>
  <c r="H16" i="12"/>
  <c r="H19" i="12" s="1"/>
  <c r="Y32" i="3" l="1"/>
  <c r="AA32" i="3" s="1"/>
  <c r="A63" i="4"/>
  <c r="B102" i="3"/>
  <c r="E63" i="4" s="1"/>
  <c r="AV129" i="2"/>
  <c r="ET129" i="2"/>
  <c r="FD129" i="2"/>
  <c r="FC129" i="2"/>
  <c r="FA129" i="2"/>
  <c r="EZ129" i="2"/>
  <c r="EX129" i="2"/>
  <c r="EW129" i="2"/>
  <c r="EV129" i="2"/>
  <c r="FE129" i="2"/>
  <c r="EY129" i="2"/>
  <c r="EH129" i="2"/>
  <c r="EG129" i="2"/>
  <c r="EF129" i="2"/>
  <c r="EE129" i="2"/>
  <c r="ED129" i="2"/>
  <c r="EC129" i="2"/>
  <c r="EB129" i="2"/>
  <c r="EA129" i="2"/>
  <c r="DY129" i="2"/>
  <c r="DX129" i="2"/>
  <c r="DW129" i="2"/>
  <c r="DV129" i="2"/>
  <c r="DU129" i="2"/>
  <c r="DT129" i="2"/>
  <c r="DS129" i="2"/>
  <c r="DR129" i="2"/>
  <c r="DP129" i="2"/>
  <c r="DO129" i="2"/>
  <c r="DN129" i="2"/>
  <c r="DM129" i="2"/>
  <c r="DL129" i="2"/>
  <c r="DK129" i="2"/>
  <c r="DJ129" i="2"/>
  <c r="DI129" i="2"/>
  <c r="DG129" i="2"/>
  <c r="DF129" i="2"/>
  <c r="DE129" i="2"/>
  <c r="DD129" i="2"/>
  <c r="DC129" i="2"/>
  <c r="DB129" i="2"/>
  <c r="DA129" i="2"/>
  <c r="CZ129" i="2"/>
  <c r="CL129" i="2"/>
  <c r="CJ129" i="2"/>
  <c r="CG129" i="2"/>
  <c r="CF129" i="2"/>
  <c r="CC129" i="2"/>
  <c r="CA129" i="2"/>
  <c r="BY129" i="2"/>
  <c r="BX129" i="2"/>
  <c r="BW129" i="2"/>
  <c r="BT129" i="2"/>
  <c r="BR129" i="2"/>
  <c r="BP129" i="2"/>
  <c r="BO129" i="2"/>
  <c r="BN129" i="2"/>
  <c r="BK129" i="2"/>
  <c r="BI129" i="2"/>
  <c r="BG129" i="2"/>
  <c r="BE129" i="2"/>
  <c r="BB129" i="2"/>
  <c r="AZ129" i="2"/>
  <c r="AX129" i="2"/>
  <c r="AI129" i="2"/>
  <c r="CK129" i="2" s="1"/>
  <c r="AG129" i="2"/>
  <c r="CI129" i="2" s="1"/>
  <c r="AE129" i="2"/>
  <c r="CB129" i="2" s="1"/>
  <c r="AC129" i="2"/>
  <c r="BZ129" i="2" s="1"/>
  <c r="AA129" i="2"/>
  <c r="BS129" i="2" s="1"/>
  <c r="Y129" i="2"/>
  <c r="BQ129" i="2" s="1"/>
  <c r="W129" i="2"/>
  <c r="BJ129" i="2" s="1"/>
  <c r="U129" i="2"/>
  <c r="BH129" i="2" s="1"/>
  <c r="S129" i="2"/>
  <c r="BA129" i="2" s="1"/>
  <c r="Q129" i="2"/>
  <c r="AY129" i="2" s="1"/>
  <c r="N129" i="2"/>
  <c r="G129" i="2"/>
  <c r="AV11" i="2"/>
  <c r="CM129" i="2" l="1"/>
  <c r="CD129" i="2"/>
  <c r="T102" i="3"/>
  <c r="CR129" i="2"/>
  <c r="H102" i="3" s="1"/>
  <c r="CU129" i="2"/>
  <c r="CQ129" i="2"/>
  <c r="CV129" i="2"/>
  <c r="M102" i="3" s="1"/>
  <c r="BU129" i="2"/>
  <c r="BV129" i="2" s="1"/>
  <c r="C102" i="3"/>
  <c r="S102" i="3"/>
  <c r="CW129" i="2"/>
  <c r="N102" i="3" s="1"/>
  <c r="E102" i="3"/>
  <c r="U102" i="3"/>
  <c r="F102" i="3"/>
  <c r="Q102" i="3"/>
  <c r="V102" i="3"/>
  <c r="B63" i="4"/>
  <c r="G102" i="3"/>
  <c r="L102" i="3"/>
  <c r="R102" i="3"/>
  <c r="W102" i="3"/>
  <c r="DQ129" i="2"/>
  <c r="DH129" i="2"/>
  <c r="DZ129" i="2"/>
  <c r="EI129" i="2"/>
  <c r="CN129" i="2"/>
  <c r="BL129" i="2"/>
  <c r="BM129" i="2" s="1"/>
  <c r="CT129" i="2"/>
  <c r="K102" i="3" s="1"/>
  <c r="CE129" i="2"/>
  <c r="FB129" i="2"/>
  <c r="BC129" i="2"/>
  <c r="BD129" i="2" s="1"/>
  <c r="CS129" i="2"/>
  <c r="J102" i="3" s="1"/>
  <c r="FC104" i="2"/>
  <c r="FB104" i="2"/>
  <c r="ET104" i="2"/>
  <c r="FE104" i="2" s="1"/>
  <c r="A62" i="4"/>
  <c r="B104" i="3"/>
  <c r="EW127" i="2"/>
  <c r="EV127" i="2"/>
  <c r="ET126" i="2"/>
  <c r="BF57" i="2"/>
  <c r="BF56" i="2"/>
  <c r="BF55" i="2"/>
  <c r="BF54" i="2"/>
  <c r="BF10" i="2"/>
  <c r="AW70" i="2"/>
  <c r="AW69" i="2"/>
  <c r="AW68" i="2"/>
  <c r="AW64" i="2"/>
  <c r="AW63" i="2"/>
  <c r="AW62" i="2"/>
  <c r="AW58" i="2"/>
  <c r="AW57" i="2"/>
  <c r="AW56" i="2"/>
  <c r="AW55" i="2"/>
  <c r="AW54" i="2"/>
  <c r="AW27" i="2"/>
  <c r="AW25" i="2"/>
  <c r="AW24" i="2"/>
  <c r="AW23" i="2"/>
  <c r="AW22" i="2"/>
  <c r="AW10" i="2"/>
  <c r="AV46" i="2"/>
  <c r="AV45" i="2"/>
  <c r="AW45" i="2"/>
  <c r="AW49" i="2"/>
  <c r="AW46" i="2"/>
  <c r="AV18" i="2"/>
  <c r="F63" i="4" l="1"/>
  <c r="I102" i="3"/>
  <c r="O102" i="3" s="1"/>
  <c r="D102" i="3"/>
  <c r="P102" i="3"/>
  <c r="X102" i="3" s="1"/>
  <c r="CX129" i="2"/>
  <c r="CY129" i="2" s="1"/>
  <c r="C104" i="3"/>
  <c r="E104" i="3"/>
  <c r="B62" i="4"/>
  <c r="F104" i="3"/>
  <c r="E62" i="4"/>
  <c r="F62" i="4" l="1"/>
  <c r="Y102" i="3"/>
  <c r="AA102" i="3" s="1"/>
  <c r="AA153" i="6" l="1"/>
  <c r="AB153" i="6" s="1"/>
  <c r="AC118" i="6"/>
  <c r="AC76" i="6"/>
  <c r="AD128" i="6"/>
  <c r="AD124" i="6"/>
  <c r="AD97" i="6"/>
  <c r="AD96" i="6"/>
  <c r="AD95" i="6"/>
  <c r="AD94" i="6"/>
  <c r="AD93" i="6"/>
  <c r="AD92" i="6"/>
  <c r="AD91" i="6"/>
  <c r="AD90" i="6"/>
  <c r="AD89" i="6"/>
  <c r="AD88" i="6"/>
  <c r="AD87" i="6"/>
  <c r="AD86" i="6"/>
  <c r="AD83" i="6"/>
  <c r="AD82" i="6"/>
  <c r="AD81" i="6"/>
  <c r="AD53" i="6"/>
  <c r="AD40" i="6"/>
  <c r="AD22" i="6"/>
  <c r="AD20" i="6"/>
  <c r="AD19" i="6"/>
  <c r="AD16" i="6"/>
  <c r="AD15" i="6"/>
  <c r="AC157" i="6"/>
  <c r="AC156" i="6"/>
  <c r="AC149" i="6"/>
  <c r="AC148" i="6"/>
  <c r="AC147" i="6"/>
  <c r="AC146" i="6"/>
  <c r="AC145" i="6"/>
  <c r="AC143" i="6"/>
  <c r="AC135" i="6"/>
  <c r="AC134" i="6"/>
  <c r="AC104" i="6"/>
  <c r="AC103" i="6"/>
  <c r="AC102" i="6"/>
  <c r="AC84" i="6"/>
  <c r="AC72" i="6"/>
  <c r="AC64" i="6"/>
  <c r="AC60" i="6"/>
  <c r="AC59" i="6"/>
  <c r="AC55" i="6"/>
  <c r="AC38" i="6"/>
  <c r="AC37" i="6"/>
  <c r="AC33" i="6"/>
  <c r="AC30" i="6"/>
  <c r="AC27" i="6"/>
  <c r="AC26" i="6"/>
  <c r="AC17" i="6"/>
  <c r="AC13" i="6"/>
  <c r="AC9" i="6"/>
  <c r="AC162" i="6" l="1"/>
  <c r="AD162" i="6" s="1"/>
  <c r="FD104" i="2" l="1"/>
  <c r="FA104" i="2"/>
  <c r="EZ104" i="2"/>
  <c r="EY104" i="2"/>
  <c r="EX104" i="2"/>
  <c r="EW104" i="2"/>
  <c r="EV104" i="2"/>
  <c r="ET157" i="2" l="1"/>
  <c r="EQ145" i="2"/>
  <c r="ET45" i="2"/>
  <c r="EQ40" i="2" l="1"/>
  <c r="A69" i="3" l="1"/>
  <c r="A70" i="3" s="1"/>
  <c r="A71" i="3" s="1"/>
  <c r="A72" i="3" s="1"/>
  <c r="A73" i="3" s="1"/>
  <c r="A74" i="3" s="1"/>
  <c r="A75" i="3" s="1"/>
  <c r="A76" i="3" s="1"/>
  <c r="A77" i="3" s="1"/>
  <c r="A78" i="3" s="1"/>
  <c r="A79" i="3" s="1"/>
  <c r="A80" i="3" s="1"/>
  <c r="A81" i="3" s="1"/>
  <c r="A77" i="2"/>
  <c r="A78" i="2" s="1"/>
  <c r="N78" i="6"/>
  <c r="B77" i="6"/>
  <c r="FD139" i="2"/>
  <c r="FC139" i="2"/>
  <c r="FB139" i="2"/>
  <c r="FA139" i="2"/>
  <c r="EZ139" i="2"/>
  <c r="EY139" i="2"/>
  <c r="EX139" i="2"/>
  <c r="EW139" i="2"/>
  <c r="EV139" i="2"/>
  <c r="ET139" i="2"/>
  <c r="FE139" i="2" s="1"/>
  <c r="EH139" i="2"/>
  <c r="EG139" i="2"/>
  <c r="EF139" i="2"/>
  <c r="EE139" i="2"/>
  <c r="ED139" i="2"/>
  <c r="EC139" i="2"/>
  <c r="EB139" i="2"/>
  <c r="EA139" i="2"/>
  <c r="DY139" i="2"/>
  <c r="DX139" i="2"/>
  <c r="DW139" i="2"/>
  <c r="DV139" i="2"/>
  <c r="DU139" i="2"/>
  <c r="DT139" i="2"/>
  <c r="DS139" i="2"/>
  <c r="DR139" i="2"/>
  <c r="DP139" i="2"/>
  <c r="DO139" i="2"/>
  <c r="DN139" i="2"/>
  <c r="DM139" i="2"/>
  <c r="DL139" i="2"/>
  <c r="DK139" i="2"/>
  <c r="DJ139" i="2"/>
  <c r="DI139" i="2"/>
  <c r="CX139" i="2"/>
  <c r="CW139" i="2"/>
  <c r="CV139" i="2"/>
  <c r="CU139" i="2"/>
  <c r="CT139" i="2"/>
  <c r="CS139" i="2"/>
  <c r="CR139" i="2"/>
  <c r="CQ139" i="2"/>
  <c r="CL139" i="2"/>
  <c r="CJ139" i="2"/>
  <c r="CH139" i="2"/>
  <c r="CG139" i="2"/>
  <c r="CF139" i="2"/>
  <c r="CC139" i="2"/>
  <c r="CA139" i="2"/>
  <c r="BY139" i="2"/>
  <c r="BW139" i="2"/>
  <c r="BT139" i="2"/>
  <c r="BR139" i="2"/>
  <c r="BP139" i="2"/>
  <c r="BN139" i="2"/>
  <c r="BK139" i="2"/>
  <c r="BI139" i="2"/>
  <c r="BG139" i="2"/>
  <c r="BE139" i="2"/>
  <c r="BB139" i="2"/>
  <c r="AZ139" i="2"/>
  <c r="AX139" i="2"/>
  <c r="AV139" i="2"/>
  <c r="AI139" i="2"/>
  <c r="CK139" i="2" s="1"/>
  <c r="AG139" i="2"/>
  <c r="CI139" i="2" s="1"/>
  <c r="AE139" i="2"/>
  <c r="CB139" i="2" s="1"/>
  <c r="AC139" i="2"/>
  <c r="BZ139" i="2" s="1"/>
  <c r="AA139" i="2"/>
  <c r="BS139" i="2" s="1"/>
  <c r="Y139" i="2"/>
  <c r="BQ139" i="2" s="1"/>
  <c r="W139" i="2"/>
  <c r="BJ139" i="2" s="1"/>
  <c r="U139" i="2"/>
  <c r="BH139" i="2" s="1"/>
  <c r="S139" i="2"/>
  <c r="BA139" i="2" s="1"/>
  <c r="Q139" i="2"/>
  <c r="AY139" i="2" s="1"/>
  <c r="N139" i="2"/>
  <c r="BX139" i="2"/>
  <c r="A61" i="4"/>
  <c r="B16" i="3"/>
  <c r="E61" i="4" s="1"/>
  <c r="FD23" i="2"/>
  <c r="FC23" i="2"/>
  <c r="FB23" i="2"/>
  <c r="FA23" i="2"/>
  <c r="EZ23" i="2"/>
  <c r="EX23" i="2"/>
  <c r="EW23" i="2"/>
  <c r="EV23" i="2"/>
  <c r="ET23" i="2"/>
  <c r="FE23" i="2" s="1"/>
  <c r="EY23" i="2"/>
  <c r="DP23" i="2"/>
  <c r="DO23" i="2"/>
  <c r="DN23" i="2"/>
  <c r="DM23" i="2"/>
  <c r="DL23" i="2"/>
  <c r="DK23" i="2"/>
  <c r="DJ23" i="2"/>
  <c r="DI23" i="2"/>
  <c r="DG23" i="2"/>
  <c r="DF23" i="2"/>
  <c r="DE23" i="2"/>
  <c r="DD23" i="2"/>
  <c r="DC23" i="2"/>
  <c r="DB23" i="2"/>
  <c r="DA23" i="2"/>
  <c r="CZ23" i="2"/>
  <c r="CC23" i="2"/>
  <c r="CA23" i="2"/>
  <c r="BY23" i="2"/>
  <c r="BX23" i="2"/>
  <c r="BW23" i="2"/>
  <c r="BT23" i="2"/>
  <c r="BR23" i="2"/>
  <c r="BP23" i="2"/>
  <c r="BO23" i="2"/>
  <c r="BN23" i="2"/>
  <c r="BK23" i="2"/>
  <c r="BI23" i="2"/>
  <c r="BG23" i="2"/>
  <c r="BF23" i="2"/>
  <c r="BE23" i="2"/>
  <c r="BB23" i="2"/>
  <c r="AZ23" i="2"/>
  <c r="AX23" i="2"/>
  <c r="AV23" i="2"/>
  <c r="AE23" i="2"/>
  <c r="CB23" i="2" s="1"/>
  <c r="AC23" i="2"/>
  <c r="BZ23" i="2" s="1"/>
  <c r="AA23" i="2"/>
  <c r="BS23" i="2" s="1"/>
  <c r="Y23" i="2"/>
  <c r="BQ23" i="2" s="1"/>
  <c r="W23" i="2"/>
  <c r="BJ23" i="2" s="1"/>
  <c r="U23" i="2"/>
  <c r="BH23" i="2" s="1"/>
  <c r="S23" i="2"/>
  <c r="BA23" i="2" s="1"/>
  <c r="Q23" i="2"/>
  <c r="AY23" i="2" s="1"/>
  <c r="N23" i="2"/>
  <c r="G23" i="2"/>
  <c r="DD139" i="2" l="1"/>
  <c r="L77" i="6" s="1"/>
  <c r="DB139" i="2"/>
  <c r="J77" i="6" s="1"/>
  <c r="U77" i="6"/>
  <c r="AC77" i="6"/>
  <c r="CS23" i="2"/>
  <c r="J16" i="3" s="1"/>
  <c r="DF139" i="2"/>
  <c r="F77" i="6"/>
  <c r="R77" i="6"/>
  <c r="V77" i="6"/>
  <c r="B58" i="7"/>
  <c r="BC139" i="2"/>
  <c r="BD139" i="2" s="1"/>
  <c r="S77" i="6"/>
  <c r="W77" i="6"/>
  <c r="D58" i="7"/>
  <c r="C77" i="6"/>
  <c r="T77" i="6"/>
  <c r="X77" i="6"/>
  <c r="CD139" i="2"/>
  <c r="CE139" i="2" s="1"/>
  <c r="CM139" i="2"/>
  <c r="CN139" i="2" s="1"/>
  <c r="E77" i="6"/>
  <c r="O77" i="6"/>
  <c r="DQ139" i="2"/>
  <c r="DZ139" i="2"/>
  <c r="CY139" i="2"/>
  <c r="EI139" i="2"/>
  <c r="DE139" i="2"/>
  <c r="M77" i="6" s="1"/>
  <c r="BU139" i="2"/>
  <c r="DC139" i="2"/>
  <c r="K77" i="6" s="1"/>
  <c r="BL139" i="2"/>
  <c r="CZ139" i="2"/>
  <c r="G77" i="6" s="1"/>
  <c r="BO139" i="2"/>
  <c r="DA139" i="2" s="1"/>
  <c r="H77" i="6" s="1"/>
  <c r="G139" i="2"/>
  <c r="Q16" i="3"/>
  <c r="S16" i="3"/>
  <c r="B61" i="4"/>
  <c r="C16" i="3"/>
  <c r="U16" i="3"/>
  <c r="F16" i="3"/>
  <c r="W16" i="3"/>
  <c r="E16" i="3"/>
  <c r="T16" i="3"/>
  <c r="CU23" i="2"/>
  <c r="L16" i="3" s="1"/>
  <c r="CV23" i="2"/>
  <c r="M16" i="3" s="1"/>
  <c r="CW23" i="2"/>
  <c r="N16" i="3" s="1"/>
  <c r="R16" i="3"/>
  <c r="V16" i="3"/>
  <c r="CQ23" i="2"/>
  <c r="G16" i="3" s="1"/>
  <c r="CR23" i="2"/>
  <c r="H16" i="3" s="1"/>
  <c r="BL23" i="2"/>
  <c r="BM23" i="2" s="1"/>
  <c r="DH23" i="2"/>
  <c r="DQ23" i="2"/>
  <c r="CD23" i="2"/>
  <c r="CE23" i="2" s="1"/>
  <c r="CT23" i="2"/>
  <c r="K16" i="3" s="1"/>
  <c r="BU23" i="2"/>
  <c r="BV23" i="2" s="1"/>
  <c r="BC23" i="2"/>
  <c r="BD23" i="2" s="1"/>
  <c r="BP211" i="2"/>
  <c r="W111" i="2"/>
  <c r="W110" i="2"/>
  <c r="W109" i="2"/>
  <c r="W108" i="2"/>
  <c r="W107" i="2"/>
  <c r="W106" i="2"/>
  <c r="W105" i="2"/>
  <c r="W104" i="2"/>
  <c r="W103" i="2"/>
  <c r="W102" i="2"/>
  <c r="U115" i="2"/>
  <c r="U114" i="2"/>
  <c r="U113" i="2"/>
  <c r="U112" i="2"/>
  <c r="U111" i="2"/>
  <c r="U110" i="2"/>
  <c r="U109" i="2"/>
  <c r="U108" i="2"/>
  <c r="U107" i="2"/>
  <c r="U106" i="2"/>
  <c r="U105" i="2"/>
  <c r="U104" i="2"/>
  <c r="F61" i="4" l="1"/>
  <c r="E58" i="7"/>
  <c r="DG139" i="2"/>
  <c r="DH139" i="2" s="1"/>
  <c r="D77" i="6"/>
  <c r="Q77" i="6"/>
  <c r="Y77" i="6" s="1"/>
  <c r="I77" i="6"/>
  <c r="P77" i="6" s="1"/>
  <c r="BV139" i="2"/>
  <c r="BM139" i="2"/>
  <c r="I16" i="3"/>
  <c r="O16" i="3" s="1"/>
  <c r="P16" i="3"/>
  <c r="X16" i="3" s="1"/>
  <c r="D16" i="3"/>
  <c r="CX23" i="2"/>
  <c r="CY23" i="2" s="1"/>
  <c r="A60" i="4"/>
  <c r="EH104" i="2"/>
  <c r="EG104" i="2"/>
  <c r="EF104" i="2"/>
  <c r="EE104" i="2"/>
  <c r="ED104" i="2"/>
  <c r="EC104" i="2"/>
  <c r="EB104" i="2"/>
  <c r="EA104" i="2"/>
  <c r="DY104" i="2"/>
  <c r="DX104" i="2"/>
  <c r="DW104" i="2"/>
  <c r="DV104" i="2"/>
  <c r="DU104" i="2"/>
  <c r="DT104" i="2"/>
  <c r="DS104" i="2"/>
  <c r="DR104" i="2"/>
  <c r="DP104" i="2"/>
  <c r="DO104" i="2"/>
  <c r="DN104" i="2"/>
  <c r="DM104" i="2"/>
  <c r="DL104" i="2"/>
  <c r="DK104" i="2"/>
  <c r="DJ104" i="2"/>
  <c r="DI104" i="2"/>
  <c r="DG104" i="2"/>
  <c r="DF104" i="2"/>
  <c r="DE104" i="2"/>
  <c r="DD104" i="2"/>
  <c r="DC104" i="2"/>
  <c r="DB104" i="2"/>
  <c r="DA104" i="2"/>
  <c r="CZ104" i="2"/>
  <c r="CL104" i="2"/>
  <c r="CK104" i="2"/>
  <c r="CJ104" i="2"/>
  <c r="CI104" i="2"/>
  <c r="CH104" i="2"/>
  <c r="CG104" i="2"/>
  <c r="CF104" i="2"/>
  <c r="CC104" i="2"/>
  <c r="CB104" i="2"/>
  <c r="CA104" i="2"/>
  <c r="BZ104" i="2"/>
  <c r="BY104" i="2"/>
  <c r="BX104" i="2"/>
  <c r="BW104" i="2"/>
  <c r="BT104" i="2"/>
  <c r="BS104" i="2"/>
  <c r="BR104" i="2"/>
  <c r="BQ104" i="2"/>
  <c r="BP104" i="2"/>
  <c r="BO104" i="2"/>
  <c r="BN104" i="2"/>
  <c r="BK104" i="2"/>
  <c r="BJ104" i="2"/>
  <c r="BI104" i="2"/>
  <c r="BH104" i="2"/>
  <c r="BG104" i="2"/>
  <c r="BE104" i="2"/>
  <c r="BB104" i="2"/>
  <c r="BA104" i="2"/>
  <c r="AZ104" i="2"/>
  <c r="AY104" i="2"/>
  <c r="AX104" i="2"/>
  <c r="AV104" i="2"/>
  <c r="B70" i="3"/>
  <c r="A59" i="4"/>
  <c r="B69" i="3"/>
  <c r="FD103" i="2"/>
  <c r="FC103" i="2"/>
  <c r="FB103" i="2"/>
  <c r="FA103" i="2"/>
  <c r="EZ103" i="2"/>
  <c r="EY103" i="2"/>
  <c r="EX103" i="2"/>
  <c r="EW103" i="2"/>
  <c r="EV103" i="2"/>
  <c r="ET103" i="2"/>
  <c r="FE103" i="2" s="1"/>
  <c r="EH103" i="2"/>
  <c r="EG103" i="2"/>
  <c r="EF103" i="2"/>
  <c r="EE103" i="2"/>
  <c r="ED103" i="2"/>
  <c r="EC103" i="2"/>
  <c r="EB103" i="2"/>
  <c r="EA103" i="2"/>
  <c r="DY103" i="2"/>
  <c r="DX103" i="2"/>
  <c r="DW103" i="2"/>
  <c r="DV103" i="2"/>
  <c r="DU103" i="2"/>
  <c r="DT103" i="2"/>
  <c r="DS103" i="2"/>
  <c r="DR103" i="2"/>
  <c r="DP103" i="2"/>
  <c r="DO103" i="2"/>
  <c r="DN103" i="2"/>
  <c r="DM103" i="2"/>
  <c r="DL103" i="2"/>
  <c r="DK103" i="2"/>
  <c r="DJ103" i="2"/>
  <c r="DI103" i="2"/>
  <c r="CL103" i="2"/>
  <c r="CJ103" i="2"/>
  <c r="CH103" i="2"/>
  <c r="CG103" i="2"/>
  <c r="CF103" i="2"/>
  <c r="CC103" i="2"/>
  <c r="CA103" i="2"/>
  <c r="BY103" i="2"/>
  <c r="BX103" i="2"/>
  <c r="BW103" i="2"/>
  <c r="BT103" i="2"/>
  <c r="BR103" i="2"/>
  <c r="BP103" i="2"/>
  <c r="BO103" i="2"/>
  <c r="BN103" i="2"/>
  <c r="BK103" i="2"/>
  <c r="BI103" i="2"/>
  <c r="BG103" i="2"/>
  <c r="BE103" i="2"/>
  <c r="BB103" i="2"/>
  <c r="DF103" i="2" s="1"/>
  <c r="AZ103" i="2"/>
  <c r="AX103" i="2"/>
  <c r="DA103" i="2"/>
  <c r="AV103" i="2"/>
  <c r="AI103" i="2"/>
  <c r="CK103" i="2" s="1"/>
  <c r="AG103" i="2"/>
  <c r="CI103" i="2" s="1"/>
  <c r="AE103" i="2"/>
  <c r="CB103" i="2" s="1"/>
  <c r="AC103" i="2"/>
  <c r="BZ103" i="2" s="1"/>
  <c r="AA103" i="2"/>
  <c r="BS103" i="2" s="1"/>
  <c r="Y103" i="2"/>
  <c r="BQ103" i="2" s="1"/>
  <c r="BJ103" i="2"/>
  <c r="U103" i="2"/>
  <c r="BH103" i="2" s="1"/>
  <c r="S103" i="2"/>
  <c r="BA103" i="2" s="1"/>
  <c r="Q103" i="2"/>
  <c r="AY103" i="2" s="1"/>
  <c r="N103" i="2"/>
  <c r="G103" i="2"/>
  <c r="A103" i="2"/>
  <c r="A104" i="2" s="1"/>
  <c r="A105" i="2" s="1"/>
  <c r="A106" i="2" s="1"/>
  <c r="A107" i="2" s="1"/>
  <c r="A108" i="2" s="1"/>
  <c r="A109" i="2" s="1"/>
  <c r="A110" i="2" s="1"/>
  <c r="A111" i="2" s="1"/>
  <c r="A112" i="2" s="1"/>
  <c r="A113" i="2" s="1"/>
  <c r="A114" i="2" s="1"/>
  <c r="A115" i="2" s="1"/>
  <c r="W70" i="3" l="1"/>
  <c r="Z77" i="6"/>
  <c r="AB77" i="6" s="1"/>
  <c r="Y16" i="3"/>
  <c r="AA16" i="3" s="1"/>
  <c r="CR104" i="2"/>
  <c r="H70" i="3" s="1"/>
  <c r="CQ104" i="2"/>
  <c r="G70" i="3" s="1"/>
  <c r="CV104" i="2"/>
  <c r="M70" i="3" s="1"/>
  <c r="CD104" i="2"/>
  <c r="CE104" i="2" s="1"/>
  <c r="CM104" i="2"/>
  <c r="CN104" i="2" s="1"/>
  <c r="B60" i="4"/>
  <c r="E60" i="4"/>
  <c r="T69" i="3"/>
  <c r="CW104" i="2"/>
  <c r="N70" i="3" s="1"/>
  <c r="BU104" i="2"/>
  <c r="BV104" i="2" s="1"/>
  <c r="CT104" i="2"/>
  <c r="K70" i="3" s="1"/>
  <c r="BL104" i="2"/>
  <c r="BM104" i="2" s="1"/>
  <c r="CU104" i="2"/>
  <c r="L70" i="3" s="1"/>
  <c r="DQ104" i="2"/>
  <c r="DZ104" i="2"/>
  <c r="EI104" i="2"/>
  <c r="DH104" i="2"/>
  <c r="CT103" i="2"/>
  <c r="K69" i="3" s="1"/>
  <c r="BC104" i="2"/>
  <c r="CS104" i="2"/>
  <c r="J70" i="3" s="1"/>
  <c r="E70" i="3"/>
  <c r="T70" i="3"/>
  <c r="CV103" i="2"/>
  <c r="M69" i="3" s="1"/>
  <c r="CU103" i="2"/>
  <c r="L69" i="3" s="1"/>
  <c r="CS103" i="2"/>
  <c r="J69" i="3" s="1"/>
  <c r="CR103" i="2"/>
  <c r="H69" i="3" s="1"/>
  <c r="CQ103" i="2"/>
  <c r="G69" i="3" s="1"/>
  <c r="F70" i="3"/>
  <c r="Q70" i="3"/>
  <c r="U70" i="3"/>
  <c r="R70" i="3"/>
  <c r="V70" i="3"/>
  <c r="C70" i="3"/>
  <c r="S70" i="3"/>
  <c r="F69" i="3"/>
  <c r="U69" i="3"/>
  <c r="Q69" i="3"/>
  <c r="B59" i="4"/>
  <c r="E59" i="4"/>
  <c r="C69" i="3"/>
  <c r="S69" i="3"/>
  <c r="W69" i="3"/>
  <c r="CW103" i="2"/>
  <c r="N69" i="3" s="1"/>
  <c r="R69" i="3"/>
  <c r="V69" i="3"/>
  <c r="BU103" i="2"/>
  <c r="BV103" i="2" s="1"/>
  <c r="CM103" i="2"/>
  <c r="CN103" i="2" s="1"/>
  <c r="E69" i="3"/>
  <c r="DZ103" i="2"/>
  <c r="DB103" i="2"/>
  <c r="DD103" i="2"/>
  <c r="DQ103" i="2"/>
  <c r="CZ103" i="2"/>
  <c r="EI103" i="2"/>
  <c r="DC103" i="2"/>
  <c r="BC103" i="2"/>
  <c r="BL103" i="2"/>
  <c r="BM103" i="2" s="1"/>
  <c r="DE103" i="2"/>
  <c r="CD103" i="2"/>
  <c r="CE103" i="2" s="1"/>
  <c r="F59" i="4" l="1"/>
  <c r="F60" i="4"/>
  <c r="AD77" i="6"/>
  <c r="CX104" i="2"/>
  <c r="CY104" i="2" s="1"/>
  <c r="P70" i="3"/>
  <c r="D70" i="3"/>
  <c r="D69" i="3"/>
  <c r="BD104" i="2"/>
  <c r="I70" i="3"/>
  <c r="O70" i="3" s="1"/>
  <c r="P69" i="3"/>
  <c r="X69" i="3" s="1"/>
  <c r="DG103" i="2"/>
  <c r="DH103" i="2" s="1"/>
  <c r="CX103" i="2"/>
  <c r="CY103" i="2" s="1"/>
  <c r="I69" i="3"/>
  <c r="O69" i="3" s="1"/>
  <c r="BD103" i="2"/>
  <c r="X70" i="3" l="1"/>
  <c r="Y69" i="3"/>
  <c r="AA69" i="3" s="1"/>
  <c r="Y70" i="3" l="1"/>
  <c r="AA70" i="3" s="1"/>
  <c r="FC98" i="2" l="1"/>
  <c r="FC97" i="2"/>
  <c r="BO225" i="2"/>
  <c r="BF13" i="2" l="1"/>
  <c r="BF12" i="2"/>
  <c r="BF11" i="2"/>
  <c r="EL102" i="2"/>
  <c r="N31" i="6" l="1"/>
  <c r="ET209" i="2"/>
  <c r="FE209" i="2" s="1"/>
  <c r="A94" i="2"/>
  <c r="A95" i="2" s="1"/>
  <c r="A43" i="6"/>
  <c r="A44" i="6" s="1"/>
  <c r="A26" i="6"/>
  <c r="A27" i="6" s="1"/>
  <c r="A28" i="6" s="1"/>
  <c r="A29" i="6" s="1"/>
  <c r="A30" i="6" s="1"/>
  <c r="A54" i="2"/>
  <c r="A55" i="2" s="1"/>
  <c r="A56" i="2" s="1"/>
  <c r="A57" i="2" s="1"/>
  <c r="A58" i="2" s="1"/>
  <c r="A96" i="2" l="1"/>
  <c r="A97" i="2" s="1"/>
  <c r="A98" i="2" s="1"/>
  <c r="EX209" i="2"/>
  <c r="FB55" i="2"/>
  <c r="N45" i="6"/>
  <c r="B44" i="6"/>
  <c r="FD56" i="2"/>
  <c r="FC56" i="2"/>
  <c r="FB56" i="2"/>
  <c r="FA56" i="2"/>
  <c r="EZ56" i="2"/>
  <c r="EY56" i="2"/>
  <c r="EX56" i="2"/>
  <c r="EW56" i="2"/>
  <c r="EV56" i="2"/>
  <c r="ET56" i="2"/>
  <c r="FE56" i="2" s="1"/>
  <c r="EI56" i="2"/>
  <c r="DP56" i="2"/>
  <c r="DO56" i="2"/>
  <c r="DN56" i="2"/>
  <c r="DM56" i="2"/>
  <c r="DL56" i="2"/>
  <c r="DK56" i="2"/>
  <c r="DJ56" i="2"/>
  <c r="DI56" i="2"/>
  <c r="CX56" i="2"/>
  <c r="CW56" i="2"/>
  <c r="CV56" i="2"/>
  <c r="CU56" i="2"/>
  <c r="CT56" i="2"/>
  <c r="CS56" i="2"/>
  <c r="CR56" i="2"/>
  <c r="CQ56" i="2"/>
  <c r="CG56" i="2"/>
  <c r="CF56" i="2"/>
  <c r="BT56" i="2"/>
  <c r="BR56" i="2"/>
  <c r="BP56" i="2"/>
  <c r="BO56" i="2"/>
  <c r="BN56" i="2"/>
  <c r="BK56" i="2"/>
  <c r="BI56" i="2"/>
  <c r="BG56" i="2"/>
  <c r="BE56" i="2"/>
  <c r="BB56" i="2"/>
  <c r="AZ56" i="2"/>
  <c r="AX56" i="2"/>
  <c r="AV56" i="2"/>
  <c r="AI56" i="2"/>
  <c r="CK56" i="2" s="1"/>
  <c r="AG56" i="2"/>
  <c r="CI56" i="2" s="1"/>
  <c r="AE56" i="2"/>
  <c r="CB56" i="2" s="1"/>
  <c r="AC56" i="2"/>
  <c r="BZ56" i="2" s="1"/>
  <c r="AA56" i="2"/>
  <c r="BS56" i="2" s="1"/>
  <c r="Y56" i="2"/>
  <c r="BQ56" i="2" s="1"/>
  <c r="W56" i="2"/>
  <c r="BJ56" i="2" s="1"/>
  <c r="U56" i="2"/>
  <c r="BH56" i="2" s="1"/>
  <c r="S56" i="2"/>
  <c r="BA56" i="2" s="1"/>
  <c r="Q56" i="2"/>
  <c r="AY56" i="2" s="1"/>
  <c r="N56" i="2"/>
  <c r="G56" i="2"/>
  <c r="B43" i="6"/>
  <c r="FD55" i="2"/>
  <c r="FC55" i="2"/>
  <c r="FA55" i="2"/>
  <c r="EZ55" i="2"/>
  <c r="EX55" i="2"/>
  <c r="EW55" i="2"/>
  <c r="EV55" i="2"/>
  <c r="EY55" i="2"/>
  <c r="EI55" i="2"/>
  <c r="DP55" i="2"/>
  <c r="DO55" i="2"/>
  <c r="DN55" i="2"/>
  <c r="DM55" i="2"/>
  <c r="DL55" i="2"/>
  <c r="DK55" i="2"/>
  <c r="DJ55" i="2"/>
  <c r="DI55" i="2"/>
  <c r="CX55" i="2"/>
  <c r="CW55" i="2"/>
  <c r="CV55" i="2"/>
  <c r="CU55" i="2"/>
  <c r="CT55" i="2"/>
  <c r="CS55" i="2"/>
  <c r="CR55" i="2"/>
  <c r="CQ55" i="2"/>
  <c r="CG55" i="2"/>
  <c r="BT55" i="2"/>
  <c r="BR55" i="2"/>
  <c r="BP55" i="2"/>
  <c r="BO55" i="2"/>
  <c r="BK55" i="2"/>
  <c r="BI55" i="2"/>
  <c r="BG55" i="2"/>
  <c r="BB55" i="2"/>
  <c r="AZ55" i="2"/>
  <c r="AX55" i="2"/>
  <c r="N55" i="2"/>
  <c r="CF55" i="2"/>
  <c r="FD13" i="2"/>
  <c r="T11" i="3" s="1"/>
  <c r="FC13" i="2"/>
  <c r="U11" i="3" s="1"/>
  <c r="FB13" i="2"/>
  <c r="FA13" i="2"/>
  <c r="EZ13" i="2"/>
  <c r="EY13" i="2"/>
  <c r="V11" i="3" s="1"/>
  <c r="EX13" i="2"/>
  <c r="S11" i="3" s="1"/>
  <c r="EW13" i="2"/>
  <c r="R11" i="3" s="1"/>
  <c r="EV13" i="2"/>
  <c r="Q11" i="3" s="1"/>
  <c r="ET13" i="2"/>
  <c r="FE13" i="2" s="1"/>
  <c r="W11" i="3" s="1"/>
  <c r="CL13" i="2"/>
  <c r="CJ13" i="2"/>
  <c r="CH13" i="2"/>
  <c r="CG13" i="2"/>
  <c r="CF13" i="2"/>
  <c r="CC13" i="2"/>
  <c r="CA13" i="2"/>
  <c r="BY13" i="2"/>
  <c r="BX13" i="2"/>
  <c r="BW13" i="2"/>
  <c r="BT13" i="2"/>
  <c r="BR13" i="2"/>
  <c r="BP13" i="2"/>
  <c r="BO13" i="2"/>
  <c r="BN13" i="2"/>
  <c r="BK13" i="2"/>
  <c r="BI13" i="2"/>
  <c r="BG13" i="2"/>
  <c r="BE13" i="2"/>
  <c r="BB13" i="2"/>
  <c r="AZ13" i="2"/>
  <c r="AX13" i="2"/>
  <c r="AV13" i="2"/>
  <c r="AI13" i="2"/>
  <c r="CK13" i="2" s="1"/>
  <c r="AG13" i="2"/>
  <c r="CI13" i="2" s="1"/>
  <c r="AE13" i="2"/>
  <c r="CB13" i="2" s="1"/>
  <c r="AC13" i="2"/>
  <c r="BZ13" i="2" s="1"/>
  <c r="AA13" i="2"/>
  <c r="BS13" i="2" s="1"/>
  <c r="Y13" i="2"/>
  <c r="BQ13" i="2" s="1"/>
  <c r="W13" i="2"/>
  <c r="BJ13" i="2" s="1"/>
  <c r="U13" i="2"/>
  <c r="BH13" i="2" s="1"/>
  <c r="S13" i="2"/>
  <c r="BA13" i="2" s="1"/>
  <c r="Q13" i="2"/>
  <c r="AY13" i="2" s="1"/>
  <c r="N13" i="2"/>
  <c r="G13" i="2"/>
  <c r="B25" i="6"/>
  <c r="D55" i="7" s="1"/>
  <c r="BO87" i="2"/>
  <c r="L24" i="26"/>
  <c r="K24" i="26"/>
  <c r="D51" i="26"/>
  <c r="D49" i="26"/>
  <c r="D45" i="26"/>
  <c r="G22" i="26"/>
  <c r="I22" i="26" s="1"/>
  <c r="M21" i="26"/>
  <c r="N21" i="26" s="1"/>
  <c r="G19" i="26"/>
  <c r="H19" i="26" s="1"/>
  <c r="G18" i="26"/>
  <c r="H18" i="26" s="1"/>
  <c r="M17" i="26"/>
  <c r="N17" i="26" s="1"/>
  <c r="G16" i="26"/>
  <c r="I16" i="26" s="1"/>
  <c r="G15" i="26"/>
  <c r="H15" i="26" s="1"/>
  <c r="G14" i="26"/>
  <c r="M13" i="26"/>
  <c r="N13" i="26" s="1"/>
  <c r="G12" i="26"/>
  <c r="M12" i="26" s="1"/>
  <c r="N12" i="26" s="1"/>
  <c r="M11" i="26"/>
  <c r="N11" i="26" s="1"/>
  <c r="G10" i="26"/>
  <c r="M10" i="26" s="1"/>
  <c r="N10" i="26" s="1"/>
  <c r="G9" i="26"/>
  <c r="M9" i="26" s="1"/>
  <c r="N9" i="26" s="1"/>
  <c r="A206" i="2"/>
  <c r="A11" i="2"/>
  <c r="A12" i="2" s="1"/>
  <c r="A13" i="2" s="1"/>
  <c r="A14" i="2" s="1"/>
  <c r="A15" i="2" s="1"/>
  <c r="A16" i="2" s="1"/>
  <c r="A17" i="2" s="1"/>
  <c r="A18" i="2" s="1"/>
  <c r="D49" i="25"/>
  <c r="D45" i="25"/>
  <c r="D51" i="25" s="1"/>
  <c r="CD56" i="2" l="1"/>
  <c r="CE56" i="2" s="1"/>
  <c r="DF13" i="2"/>
  <c r="DB13" i="2"/>
  <c r="ET55" i="2"/>
  <c r="FE55" i="2" s="1"/>
  <c r="X43" i="6" s="1"/>
  <c r="DD56" i="2"/>
  <c r="L44" i="6" s="1"/>
  <c r="BF19" i="2"/>
  <c r="D56" i="7"/>
  <c r="AC43" i="6"/>
  <c r="B55" i="7"/>
  <c r="AC25" i="6"/>
  <c r="B57" i="7"/>
  <c r="AC44" i="6"/>
  <c r="H16" i="26"/>
  <c r="M16" i="26" s="1"/>
  <c r="N16" i="26" s="1"/>
  <c r="A207" i="2"/>
  <c r="A208" i="2" s="1"/>
  <c r="A209" i="2" s="1"/>
  <c r="A210" i="2" s="1"/>
  <c r="A211" i="2" s="1"/>
  <c r="A212" i="2" s="1"/>
  <c r="A213" i="2" s="1"/>
  <c r="A214" i="2" s="1"/>
  <c r="A215" i="2" s="1"/>
  <c r="W44" i="6"/>
  <c r="X44" i="6"/>
  <c r="CR13" i="2"/>
  <c r="H11" i="3" s="1"/>
  <c r="DE56" i="2"/>
  <c r="M44" i="6" s="1"/>
  <c r="V44" i="6"/>
  <c r="CT13" i="2"/>
  <c r="K11" i="3" s="1"/>
  <c r="DB55" i="2"/>
  <c r="J43" i="6" s="1"/>
  <c r="R43" i="6"/>
  <c r="CV13" i="2"/>
  <c r="M11" i="3" s="1"/>
  <c r="V43" i="6"/>
  <c r="C43" i="6"/>
  <c r="E44" i="6"/>
  <c r="CU13" i="2"/>
  <c r="L11" i="3" s="1"/>
  <c r="E43" i="6"/>
  <c r="U43" i="6"/>
  <c r="DA56" i="2"/>
  <c r="H44" i="6" s="1"/>
  <c r="T44" i="6"/>
  <c r="C44" i="6"/>
  <c r="S44" i="6"/>
  <c r="D57" i="7"/>
  <c r="R44" i="6"/>
  <c r="U44" i="6"/>
  <c r="F44" i="6"/>
  <c r="O43" i="6"/>
  <c r="O44" i="6"/>
  <c r="CQ13" i="2"/>
  <c r="G11" i="3" s="1"/>
  <c r="DF56" i="2"/>
  <c r="F43" i="6"/>
  <c r="S43" i="6"/>
  <c r="W43" i="6"/>
  <c r="B56" i="7"/>
  <c r="T43" i="6"/>
  <c r="BL56" i="2"/>
  <c r="BM56" i="2" s="1"/>
  <c r="BC56" i="2"/>
  <c r="BD56" i="2" s="1"/>
  <c r="CY56" i="2"/>
  <c r="DQ56" i="2"/>
  <c r="DC56" i="2"/>
  <c r="K44" i="6" s="1"/>
  <c r="BU56" i="2"/>
  <c r="BV56" i="2" s="1"/>
  <c r="CM56" i="2"/>
  <c r="DB56" i="2"/>
  <c r="J44" i="6" s="1"/>
  <c r="CZ56" i="2"/>
  <c r="G44" i="6" s="1"/>
  <c r="DF55" i="2"/>
  <c r="DA55" i="2"/>
  <c r="H43" i="6" s="1"/>
  <c r="DQ55" i="2"/>
  <c r="CY55" i="2"/>
  <c r="W55" i="2"/>
  <c r="BJ55" i="2" s="1"/>
  <c r="AE55" i="2"/>
  <c r="CB55" i="2" s="1"/>
  <c r="BE55" i="2"/>
  <c r="Q55" i="2"/>
  <c r="AY55" i="2" s="1"/>
  <c r="Y55" i="2"/>
  <c r="BQ55" i="2" s="1"/>
  <c r="AG55" i="2"/>
  <c r="CI55" i="2" s="1"/>
  <c r="BN55" i="2"/>
  <c r="DD55" i="2"/>
  <c r="L43" i="6" s="1"/>
  <c r="S55" i="2"/>
  <c r="BA55" i="2" s="1"/>
  <c r="AA55" i="2"/>
  <c r="BS55" i="2" s="1"/>
  <c r="AI55" i="2"/>
  <c r="CK55" i="2" s="1"/>
  <c r="G55" i="2"/>
  <c r="U55" i="2"/>
  <c r="BH55" i="2" s="1"/>
  <c r="AC55" i="2"/>
  <c r="BZ55" i="2" s="1"/>
  <c r="CD55" i="2" s="1"/>
  <c r="CE55" i="2" s="1"/>
  <c r="AV55" i="2"/>
  <c r="BV13" i="2"/>
  <c r="CS13" i="2"/>
  <c r="J11" i="3" s="1"/>
  <c r="CW13" i="2"/>
  <c r="N11" i="3" s="1"/>
  <c r="DA13" i="2"/>
  <c r="BM13" i="2"/>
  <c r="CD13" i="2"/>
  <c r="CE13" i="2" s="1"/>
  <c r="BC13" i="2"/>
  <c r="CM13" i="2"/>
  <c r="CN13" i="2" s="1"/>
  <c r="DC13" i="2"/>
  <c r="DE13" i="2"/>
  <c r="DD13" i="2"/>
  <c r="CZ13" i="2"/>
  <c r="C25" i="6"/>
  <c r="F25" i="6"/>
  <c r="E25" i="6"/>
  <c r="O25" i="6"/>
  <c r="I19" i="26"/>
  <c r="M19" i="26" s="1"/>
  <c r="N19" i="26" s="1"/>
  <c r="G24" i="26"/>
  <c r="I18" i="26"/>
  <c r="M18" i="26" s="1"/>
  <c r="N18" i="26" s="1"/>
  <c r="H22" i="26"/>
  <c r="M22" i="26" s="1"/>
  <c r="N22" i="26" s="1"/>
  <c r="I15" i="26"/>
  <c r="M15" i="26" s="1"/>
  <c r="N15" i="26" s="1"/>
  <c r="H14" i="26"/>
  <c r="H24" i="26" s="1"/>
  <c r="M20" i="26"/>
  <c r="N20" i="26" s="1"/>
  <c r="I14" i="26"/>
  <c r="P11" i="3" l="1"/>
  <c r="X11" i="3" s="1"/>
  <c r="D11" i="3"/>
  <c r="I11" i="3"/>
  <c r="O11" i="3" s="1"/>
  <c r="E57" i="7"/>
  <c r="E56" i="7"/>
  <c r="CM55" i="2"/>
  <c r="Q44" i="6"/>
  <c r="Y44" i="6" s="1"/>
  <c r="I44" i="6"/>
  <c r="P44" i="6" s="1"/>
  <c r="DG56" i="2"/>
  <c r="DH56" i="2" s="1"/>
  <c r="D44" i="6"/>
  <c r="DE55" i="2"/>
  <c r="M43" i="6" s="1"/>
  <c r="DC55" i="2"/>
  <c r="K43" i="6" s="1"/>
  <c r="BU55" i="2"/>
  <c r="BV55" i="2" s="1"/>
  <c r="BL55" i="2"/>
  <c r="BM55" i="2" s="1"/>
  <c r="BC55" i="2"/>
  <c r="CZ55" i="2"/>
  <c r="G43" i="6" s="1"/>
  <c r="I43" i="6" s="1"/>
  <c r="DG13" i="2"/>
  <c r="DH13" i="2" s="1"/>
  <c r="CX13" i="2"/>
  <c r="CY13" i="2" s="1"/>
  <c r="BD13" i="2"/>
  <c r="I24" i="26"/>
  <c r="M14" i="26"/>
  <c r="N14" i="26" s="1"/>
  <c r="Y11" i="3" l="1"/>
  <c r="AA11" i="3" s="1"/>
  <c r="P43" i="6"/>
  <c r="Z44" i="6"/>
  <c r="AB44" i="6" s="1"/>
  <c r="Q43" i="6"/>
  <c r="Y43" i="6" s="1"/>
  <c r="D43" i="6"/>
  <c r="DG55" i="2"/>
  <c r="DH55" i="2" s="1"/>
  <c r="BD55" i="2"/>
  <c r="AD44" i="6" l="1"/>
  <c r="Z43" i="6"/>
  <c r="AB43" i="6" s="1"/>
  <c r="B56" i="6"/>
  <c r="FD94" i="2"/>
  <c r="FC94" i="2"/>
  <c r="FB94" i="2"/>
  <c r="FA94" i="2"/>
  <c r="EZ94" i="2"/>
  <c r="EY94" i="2"/>
  <c r="EX94" i="2"/>
  <c r="EW94" i="2"/>
  <c r="EV94" i="2"/>
  <c r="ET94" i="2"/>
  <c r="FE94" i="2" s="1"/>
  <c r="EH94" i="2"/>
  <c r="EG94" i="2"/>
  <c r="EF94" i="2"/>
  <c r="EE94" i="2"/>
  <c r="ED94" i="2"/>
  <c r="EC94" i="2"/>
  <c r="EB94" i="2"/>
  <c r="EA94" i="2"/>
  <c r="DY94" i="2"/>
  <c r="DX94" i="2"/>
  <c r="DW94" i="2"/>
  <c r="DV94" i="2"/>
  <c r="DU94" i="2"/>
  <c r="DT94" i="2"/>
  <c r="DS94" i="2"/>
  <c r="DR94" i="2"/>
  <c r="DP94" i="2"/>
  <c r="DO94" i="2"/>
  <c r="DN94" i="2"/>
  <c r="DM94" i="2"/>
  <c r="DL94" i="2"/>
  <c r="DK94" i="2"/>
  <c r="DJ94" i="2"/>
  <c r="DI94" i="2"/>
  <c r="CX94" i="2"/>
  <c r="CW94" i="2"/>
  <c r="CV94" i="2"/>
  <c r="CU94" i="2"/>
  <c r="CT94" i="2"/>
  <c r="CS94" i="2"/>
  <c r="CR94" i="2"/>
  <c r="CQ94" i="2"/>
  <c r="CL94" i="2"/>
  <c r="CJ94" i="2"/>
  <c r="CH94" i="2"/>
  <c r="CG94" i="2"/>
  <c r="CF94" i="2"/>
  <c r="CC94" i="2"/>
  <c r="CA94" i="2"/>
  <c r="BY94" i="2"/>
  <c r="BX94" i="2"/>
  <c r="BW94" i="2"/>
  <c r="BT94" i="2"/>
  <c r="BR94" i="2"/>
  <c r="BP94" i="2"/>
  <c r="BO94" i="2"/>
  <c r="BN94" i="2"/>
  <c r="BK94" i="2"/>
  <c r="BI94" i="2"/>
  <c r="BG94" i="2"/>
  <c r="BE94" i="2"/>
  <c r="BB94" i="2"/>
  <c r="AZ94" i="2"/>
  <c r="AX94" i="2"/>
  <c r="AW94" i="2"/>
  <c r="AV94" i="2"/>
  <c r="AI94" i="2"/>
  <c r="CK94" i="2" s="1"/>
  <c r="AG94" i="2"/>
  <c r="CI94" i="2" s="1"/>
  <c r="AE94" i="2"/>
  <c r="CB94" i="2" s="1"/>
  <c r="AC94" i="2"/>
  <c r="BZ94" i="2" s="1"/>
  <c r="AA94" i="2"/>
  <c r="BS94" i="2" s="1"/>
  <c r="Y94" i="2"/>
  <c r="BQ94" i="2" s="1"/>
  <c r="W94" i="2"/>
  <c r="BJ94" i="2" s="1"/>
  <c r="U94" i="2"/>
  <c r="BH94" i="2" s="1"/>
  <c r="S94" i="2"/>
  <c r="BA94" i="2" s="1"/>
  <c r="Q94" i="2"/>
  <c r="AY94" i="2" s="1"/>
  <c r="N94" i="2"/>
  <c r="G94" i="2"/>
  <c r="W96" i="2"/>
  <c r="BF214" i="2"/>
  <c r="BF206" i="2"/>
  <c r="AD43" i="6" l="1"/>
  <c r="D54" i="7"/>
  <c r="AC56" i="6"/>
  <c r="E55" i="7"/>
  <c r="DE94" i="2"/>
  <c r="M56" i="6" s="1"/>
  <c r="BL94" i="2"/>
  <c r="BM94" i="2" s="1"/>
  <c r="DF94" i="2"/>
  <c r="X56" i="6"/>
  <c r="C56" i="6"/>
  <c r="T56" i="6"/>
  <c r="E56" i="6"/>
  <c r="O56" i="6"/>
  <c r="U56" i="6"/>
  <c r="DC94" i="2"/>
  <c r="DB94" i="2"/>
  <c r="J56" i="6" s="1"/>
  <c r="CD94" i="2"/>
  <c r="CE94" i="2" s="1"/>
  <c r="F56" i="6"/>
  <c r="K56" i="6"/>
  <c r="R56" i="6"/>
  <c r="V56" i="6"/>
  <c r="B54" i="7"/>
  <c r="S56" i="6"/>
  <c r="W56" i="6"/>
  <c r="CY94" i="2"/>
  <c r="DQ94" i="2"/>
  <c r="DZ94" i="2"/>
  <c r="EI94" i="2"/>
  <c r="DA94" i="2"/>
  <c r="H56" i="6" s="1"/>
  <c r="BC94" i="2"/>
  <c r="CM94" i="2"/>
  <c r="CN94" i="2" s="1"/>
  <c r="BU94" i="2"/>
  <c r="BV94" i="2" s="1"/>
  <c r="CZ94" i="2"/>
  <c r="G56" i="6" s="1"/>
  <c r="DD94" i="2"/>
  <c r="L56" i="6" s="1"/>
  <c r="I56" i="6" l="1"/>
  <c r="P56" i="6" s="1"/>
  <c r="Q56" i="6"/>
  <c r="Y56" i="6" s="1"/>
  <c r="D56" i="6"/>
  <c r="E54" i="7"/>
  <c r="DG94" i="2"/>
  <c r="DH94" i="2" s="1"/>
  <c r="BD94" i="2"/>
  <c r="Z56" i="6" l="1"/>
  <c r="AB56" i="6" s="1"/>
  <c r="G12" i="25"/>
  <c r="AD56" i="6" l="1"/>
  <c r="L24" i="25"/>
  <c r="K24" i="25"/>
  <c r="M21" i="25"/>
  <c r="G22" i="25"/>
  <c r="H22" i="25" s="1"/>
  <c r="G19" i="25"/>
  <c r="I19" i="25" s="1"/>
  <c r="G18" i="25"/>
  <c r="I18" i="25" s="1"/>
  <c r="G16" i="25"/>
  <c r="I16" i="25" s="1"/>
  <c r="G15" i="25"/>
  <c r="I15" i="25" s="1"/>
  <c r="G14" i="25"/>
  <c r="M11" i="25"/>
  <c r="G9" i="25"/>
  <c r="G10" i="25"/>
  <c r="M10" i="25" s="1"/>
  <c r="M13" i="25"/>
  <c r="M9" i="25" l="1"/>
  <c r="G24" i="25"/>
  <c r="H14" i="25"/>
  <c r="H19" i="25"/>
  <c r="M19" i="25" s="1"/>
  <c r="N19" i="25" s="1"/>
  <c r="H15" i="25"/>
  <c r="M15" i="25" s="1"/>
  <c r="N15" i="25" s="1"/>
  <c r="M20" i="25"/>
  <c r="N20" i="25" s="1"/>
  <c r="H16" i="25"/>
  <c r="I22" i="25"/>
  <c r="I24" i="25" s="1"/>
  <c r="H18" i="25"/>
  <c r="M18" i="25" s="1"/>
  <c r="N18" i="25" s="1"/>
  <c r="M17" i="25"/>
  <c r="N17" i="25" s="1"/>
  <c r="M16" i="25"/>
  <c r="N16" i="25" s="1"/>
  <c r="M12" i="25"/>
  <c r="N12" i="25" s="1"/>
  <c r="N13" i="25"/>
  <c r="N9" i="25"/>
  <c r="N21" i="25"/>
  <c r="N11" i="25"/>
  <c r="N10" i="25"/>
  <c r="M14" i="25" l="1"/>
  <c r="N14" i="25" s="1"/>
  <c r="H24" i="25"/>
  <c r="M22" i="25"/>
  <c r="N22" i="25" s="1"/>
  <c r="A57" i="4" l="1"/>
  <c r="B71" i="3"/>
  <c r="F71" i="3" s="1"/>
  <c r="FD106" i="2"/>
  <c r="FC106" i="2"/>
  <c r="FB106" i="2"/>
  <c r="FA106" i="2"/>
  <c r="EZ106" i="2"/>
  <c r="EX106" i="2"/>
  <c r="EW106" i="2"/>
  <c r="EV106" i="2"/>
  <c r="ET106" i="2"/>
  <c r="FE106" i="2" s="1"/>
  <c r="EY106" i="2"/>
  <c r="DG106" i="2"/>
  <c r="DF106" i="2"/>
  <c r="DE106" i="2"/>
  <c r="DD106" i="2"/>
  <c r="DC106" i="2"/>
  <c r="DB106" i="2"/>
  <c r="DA106" i="2"/>
  <c r="CZ106" i="2"/>
  <c r="CG106" i="2"/>
  <c r="CF106" i="2"/>
  <c r="CC106" i="2"/>
  <c r="CA106" i="2"/>
  <c r="BY106" i="2"/>
  <c r="BX106" i="2"/>
  <c r="BW106" i="2"/>
  <c r="BT106" i="2"/>
  <c r="BR106" i="2"/>
  <c r="BP106" i="2"/>
  <c r="BO106" i="2"/>
  <c r="BN106" i="2"/>
  <c r="BK106" i="2"/>
  <c r="BI106" i="2"/>
  <c r="BG106" i="2"/>
  <c r="BE106" i="2"/>
  <c r="BB106" i="2"/>
  <c r="AZ106" i="2"/>
  <c r="AX106" i="2"/>
  <c r="AV106" i="2"/>
  <c r="AE106" i="2"/>
  <c r="CB106" i="2" s="1"/>
  <c r="AC106" i="2"/>
  <c r="BZ106" i="2" s="1"/>
  <c r="AA106" i="2"/>
  <c r="BS106" i="2" s="1"/>
  <c r="Y106" i="2"/>
  <c r="BQ106" i="2" s="1"/>
  <c r="BJ106" i="2"/>
  <c r="BH106" i="2"/>
  <c r="S106" i="2"/>
  <c r="BA106" i="2" s="1"/>
  <c r="Q106" i="2"/>
  <c r="AY106" i="2" s="1"/>
  <c r="N106" i="2"/>
  <c r="G106" i="2"/>
  <c r="A56" i="4"/>
  <c r="B112" i="3"/>
  <c r="E56" i="4" s="1"/>
  <c r="FD140" i="2"/>
  <c r="FC140" i="2"/>
  <c r="FB140" i="2"/>
  <c r="FA140" i="2"/>
  <c r="EZ140" i="2"/>
  <c r="EY140" i="2"/>
  <c r="EX140" i="2"/>
  <c r="EW140" i="2"/>
  <c r="EV140" i="2"/>
  <c r="ET140" i="2"/>
  <c r="FE140" i="2" s="1"/>
  <c r="EH140" i="2"/>
  <c r="EG140" i="2"/>
  <c r="EF140" i="2"/>
  <c r="EE140" i="2"/>
  <c r="ED140" i="2"/>
  <c r="EC140" i="2"/>
  <c r="EB140" i="2"/>
  <c r="EA140" i="2"/>
  <c r="DY140" i="2"/>
  <c r="DX140" i="2"/>
  <c r="DW140" i="2"/>
  <c r="DV140" i="2"/>
  <c r="DU140" i="2"/>
  <c r="DT140" i="2"/>
  <c r="DS140" i="2"/>
  <c r="DR140" i="2"/>
  <c r="DP140" i="2"/>
  <c r="DO140" i="2"/>
  <c r="DN140" i="2"/>
  <c r="DM140" i="2"/>
  <c r="DL140" i="2"/>
  <c r="DK140" i="2"/>
  <c r="DJ140" i="2"/>
  <c r="DI140" i="2"/>
  <c r="CL140" i="2"/>
  <c r="CJ140" i="2"/>
  <c r="CH140" i="2"/>
  <c r="CF140" i="2"/>
  <c r="CC140" i="2"/>
  <c r="CA140" i="2"/>
  <c r="BY140" i="2"/>
  <c r="BW140" i="2"/>
  <c r="BT140" i="2"/>
  <c r="BR140" i="2"/>
  <c r="BP140" i="2"/>
  <c r="BN140" i="2"/>
  <c r="BK140" i="2"/>
  <c r="BI140" i="2"/>
  <c r="BG140" i="2"/>
  <c r="BE140" i="2"/>
  <c r="BB140" i="2"/>
  <c r="DF140" i="2" s="1"/>
  <c r="AZ140" i="2"/>
  <c r="DD140" i="2" s="1"/>
  <c r="AX140" i="2"/>
  <c r="DB140" i="2" s="1"/>
  <c r="AV140" i="2"/>
  <c r="AI140" i="2"/>
  <c r="CK140" i="2" s="1"/>
  <c r="AG140" i="2"/>
  <c r="CI140" i="2" s="1"/>
  <c r="AE140" i="2"/>
  <c r="CB140" i="2" s="1"/>
  <c r="AC140" i="2"/>
  <c r="BZ140" i="2" s="1"/>
  <c r="AA140" i="2"/>
  <c r="BS140" i="2" s="1"/>
  <c r="Y140" i="2"/>
  <c r="BQ140" i="2" s="1"/>
  <c r="W140" i="2"/>
  <c r="BJ140" i="2" s="1"/>
  <c r="U140" i="2"/>
  <c r="BH140" i="2" s="1"/>
  <c r="S140" i="2"/>
  <c r="BA140" i="2" s="1"/>
  <c r="Q140" i="2"/>
  <c r="AY140" i="2" s="1"/>
  <c r="N140" i="2"/>
  <c r="BX140" i="2"/>
  <c r="B123" i="6"/>
  <c r="FD181" i="2"/>
  <c r="FC181" i="2"/>
  <c r="FB181" i="2"/>
  <c r="FA181" i="2"/>
  <c r="EZ181" i="2"/>
  <c r="EY181" i="2"/>
  <c r="EX181" i="2"/>
  <c r="EW181" i="2"/>
  <c r="EV181" i="2"/>
  <c r="ET181" i="2"/>
  <c r="FE181" i="2" s="1"/>
  <c r="EH181" i="2"/>
  <c r="EG181" i="2"/>
  <c r="EF181" i="2"/>
  <c r="EE181" i="2"/>
  <c r="ED181" i="2"/>
  <c r="EC181" i="2"/>
  <c r="EB181" i="2"/>
  <c r="EA181" i="2"/>
  <c r="DY181" i="2"/>
  <c r="DX181" i="2"/>
  <c r="DW181" i="2"/>
  <c r="DV181" i="2"/>
  <c r="DU181" i="2"/>
  <c r="DT181" i="2"/>
  <c r="DS181" i="2"/>
  <c r="DR181" i="2"/>
  <c r="DP181" i="2"/>
  <c r="DO181" i="2"/>
  <c r="DN181" i="2"/>
  <c r="DM181" i="2"/>
  <c r="DL181" i="2"/>
  <c r="DK181" i="2"/>
  <c r="DJ181" i="2"/>
  <c r="DI181" i="2"/>
  <c r="CX181" i="2"/>
  <c r="CW181" i="2"/>
  <c r="CV181" i="2"/>
  <c r="CU181" i="2"/>
  <c r="CT181" i="2"/>
  <c r="CS181" i="2"/>
  <c r="CR181" i="2"/>
  <c r="CQ181" i="2"/>
  <c r="CL181" i="2"/>
  <c r="CJ181" i="2"/>
  <c r="CH181" i="2"/>
  <c r="CG181" i="2"/>
  <c r="CF181" i="2"/>
  <c r="CC181" i="2"/>
  <c r="CA181" i="2"/>
  <c r="BY181" i="2"/>
  <c r="BX181" i="2"/>
  <c r="BW181" i="2"/>
  <c r="BT181" i="2"/>
  <c r="BR181" i="2"/>
  <c r="BP181" i="2"/>
  <c r="BO181" i="2"/>
  <c r="BN181" i="2"/>
  <c r="BK181" i="2"/>
  <c r="BI181" i="2"/>
  <c r="BG181" i="2"/>
  <c r="BE181" i="2"/>
  <c r="BB181" i="2"/>
  <c r="AZ181" i="2"/>
  <c r="AX181" i="2"/>
  <c r="AW181" i="2"/>
  <c r="AV181" i="2"/>
  <c r="AI181" i="2"/>
  <c r="CK181" i="2" s="1"/>
  <c r="AG181" i="2"/>
  <c r="CI181" i="2" s="1"/>
  <c r="AE181" i="2"/>
  <c r="CB181" i="2" s="1"/>
  <c r="AC181" i="2"/>
  <c r="BZ181" i="2" s="1"/>
  <c r="AA181" i="2"/>
  <c r="BS181" i="2" s="1"/>
  <c r="Y181" i="2"/>
  <c r="BQ181" i="2" s="1"/>
  <c r="W181" i="2"/>
  <c r="BJ181" i="2" s="1"/>
  <c r="U181" i="2"/>
  <c r="BH181" i="2" s="1"/>
  <c r="S181" i="2"/>
  <c r="BA181" i="2" s="1"/>
  <c r="Q181" i="2"/>
  <c r="AY181" i="2" s="1"/>
  <c r="N181" i="2"/>
  <c r="G181" i="2"/>
  <c r="G182" i="2" s="1"/>
  <c r="B53" i="7" l="1"/>
  <c r="E53" i="7" s="1"/>
  <c r="AC123" i="6"/>
  <c r="Q71" i="3"/>
  <c r="CV140" i="2"/>
  <c r="M112" i="3" s="1"/>
  <c r="CT140" i="2"/>
  <c r="K112" i="3" s="1"/>
  <c r="CU140" i="2"/>
  <c r="L112" i="3" s="1"/>
  <c r="CR106" i="2"/>
  <c r="H71" i="3" s="1"/>
  <c r="B57" i="4"/>
  <c r="CU106" i="2"/>
  <c r="R71" i="3"/>
  <c r="C71" i="3"/>
  <c r="E57" i="4"/>
  <c r="L71" i="3"/>
  <c r="V71" i="3"/>
  <c r="S71" i="3"/>
  <c r="U71" i="3"/>
  <c r="E71" i="3"/>
  <c r="T71" i="3"/>
  <c r="W71" i="3"/>
  <c r="DH106" i="2"/>
  <c r="CW106" i="2"/>
  <c r="N71" i="3" s="1"/>
  <c r="E112" i="3"/>
  <c r="T112" i="3"/>
  <c r="W112" i="3"/>
  <c r="S112" i="3"/>
  <c r="C112" i="3"/>
  <c r="CT106" i="2"/>
  <c r="K71" i="3" s="1"/>
  <c r="BU106" i="2"/>
  <c r="BV106" i="2" s="1"/>
  <c r="BC106" i="2"/>
  <c r="BL106" i="2"/>
  <c r="BM106" i="2" s="1"/>
  <c r="CD106" i="2"/>
  <c r="CE106" i="2" s="1"/>
  <c r="CV106" i="2"/>
  <c r="M71" i="3" s="1"/>
  <c r="CS106" i="2"/>
  <c r="J71" i="3" s="1"/>
  <c r="CQ106" i="2"/>
  <c r="G71" i="3" s="1"/>
  <c r="CM140" i="2"/>
  <c r="F112" i="3"/>
  <c r="Q112" i="3"/>
  <c r="U112" i="3"/>
  <c r="B56" i="4"/>
  <c r="BC140" i="2"/>
  <c r="BU140" i="2"/>
  <c r="CQ140" i="2"/>
  <c r="G112" i="3" s="1"/>
  <c r="BL181" i="2"/>
  <c r="BM181" i="2" s="1"/>
  <c r="CZ181" i="2"/>
  <c r="G123" i="6" s="1"/>
  <c r="G125" i="6" s="1"/>
  <c r="CS140" i="2"/>
  <c r="J112" i="3" s="1"/>
  <c r="CW140" i="2"/>
  <c r="N112" i="3" s="1"/>
  <c r="R112" i="3"/>
  <c r="V112" i="3"/>
  <c r="DQ140" i="2"/>
  <c r="DZ140" i="2"/>
  <c r="EI140" i="2"/>
  <c r="BL140" i="2"/>
  <c r="DG140" i="2" s="1"/>
  <c r="CD140" i="2"/>
  <c r="CE140" i="2" s="1"/>
  <c r="DC140" i="2"/>
  <c r="DE140" i="2"/>
  <c r="CG140" i="2"/>
  <c r="CZ140" i="2"/>
  <c r="BO140" i="2"/>
  <c r="G140" i="2"/>
  <c r="DD181" i="2"/>
  <c r="L123" i="6" s="1"/>
  <c r="DF181" i="2"/>
  <c r="BU181" i="2"/>
  <c r="BV181" i="2" s="1"/>
  <c r="CM181" i="2"/>
  <c r="CN181" i="2" s="1"/>
  <c r="DE181" i="2"/>
  <c r="M123" i="6" s="1"/>
  <c r="DC181" i="2"/>
  <c r="K123" i="6" s="1"/>
  <c r="DA181" i="2"/>
  <c r="H123" i="6" s="1"/>
  <c r="X123" i="6"/>
  <c r="D53" i="7"/>
  <c r="E123" i="6"/>
  <c r="O123" i="6"/>
  <c r="U123" i="6"/>
  <c r="F123" i="6"/>
  <c r="R123" i="6"/>
  <c r="V123" i="6"/>
  <c r="W123" i="6"/>
  <c r="S123" i="6"/>
  <c r="C123" i="6"/>
  <c r="T123" i="6"/>
  <c r="DQ181" i="2"/>
  <c r="DZ181" i="2"/>
  <c r="CY181" i="2"/>
  <c r="EI181" i="2"/>
  <c r="CD181" i="2"/>
  <c r="CE181" i="2" s="1"/>
  <c r="BC181" i="2"/>
  <c r="DB181" i="2"/>
  <c r="J123" i="6" s="1"/>
  <c r="F57" i="4" l="1"/>
  <c r="F56" i="4"/>
  <c r="BV140" i="2"/>
  <c r="BM140" i="2"/>
  <c r="CN140" i="2"/>
  <c r="D71" i="3"/>
  <c r="I71" i="3"/>
  <c r="O71" i="3" s="1"/>
  <c r="P71" i="3"/>
  <c r="X71" i="3" s="1"/>
  <c r="CX106" i="2"/>
  <c r="CY106" i="2" s="1"/>
  <c r="BD106" i="2"/>
  <c r="P112" i="3"/>
  <c r="X112" i="3" s="1"/>
  <c r="D112" i="3"/>
  <c r="BD140" i="2"/>
  <c r="CR140" i="2"/>
  <c r="CX140" i="2"/>
  <c r="D123" i="6"/>
  <c r="DA140" i="2"/>
  <c r="DH140" i="2" s="1"/>
  <c r="DG181" i="2"/>
  <c r="DH181" i="2" s="1"/>
  <c r="Q123" i="6"/>
  <c r="Y123" i="6" s="1"/>
  <c r="I123" i="6"/>
  <c r="P123" i="6" s="1"/>
  <c r="BD181" i="2"/>
  <c r="Y71" i="3" l="1"/>
  <c r="AA71" i="3" s="1"/>
  <c r="H112" i="3"/>
  <c r="I112" i="3" s="1"/>
  <c r="O112" i="3" s="1"/>
  <c r="Y112" i="3" s="1"/>
  <c r="AA112" i="3" s="1"/>
  <c r="CY140" i="2"/>
  <c r="Z123" i="6"/>
  <c r="AB123" i="6" s="1"/>
  <c r="AD123" i="6" l="1"/>
  <c r="BF208" i="2" l="1"/>
  <c r="BF207" i="2"/>
  <c r="AW206" i="2"/>
  <c r="BO83" i="2"/>
  <c r="AW17" i="2" l="1"/>
  <c r="AW16" i="2"/>
  <c r="AW15" i="2"/>
  <c r="EV14" i="2"/>
  <c r="FC14" i="2"/>
  <c r="FB14" i="2"/>
  <c r="EY14" i="2"/>
  <c r="A3" i="3" l="1"/>
  <c r="B10" i="6" l="1"/>
  <c r="FD14" i="2"/>
  <c r="FA14" i="2"/>
  <c r="EZ14" i="2"/>
  <c r="EX14" i="2"/>
  <c r="EW14" i="2"/>
  <c r="FE14" i="2"/>
  <c r="CX14" i="2"/>
  <c r="CW14" i="2"/>
  <c r="CV14" i="2"/>
  <c r="CU14" i="2"/>
  <c r="CT14" i="2"/>
  <c r="CS14" i="2"/>
  <c r="CR14" i="2"/>
  <c r="CQ14" i="2"/>
  <c r="CL14" i="2"/>
  <c r="CJ14" i="2"/>
  <c r="CH14" i="2"/>
  <c r="CG14" i="2"/>
  <c r="CF14" i="2"/>
  <c r="CC14" i="2"/>
  <c r="CA14" i="2"/>
  <c r="BY14" i="2"/>
  <c r="BT14" i="2"/>
  <c r="BR14" i="2"/>
  <c r="BP14" i="2"/>
  <c r="BO14" i="2"/>
  <c r="BN14" i="2"/>
  <c r="BK14" i="2"/>
  <c r="BI14" i="2"/>
  <c r="BG14" i="2"/>
  <c r="BB14" i="2"/>
  <c r="AZ14" i="2"/>
  <c r="AX14" i="2"/>
  <c r="AI14" i="2"/>
  <c r="CK14" i="2" s="1"/>
  <c r="AG14" i="2"/>
  <c r="CI14" i="2" s="1"/>
  <c r="AE14" i="2"/>
  <c r="CB14" i="2" s="1"/>
  <c r="AC14" i="2"/>
  <c r="BZ14" i="2" s="1"/>
  <c r="AA14" i="2"/>
  <c r="BS14" i="2" s="1"/>
  <c r="Y14" i="2"/>
  <c r="BQ14" i="2" s="1"/>
  <c r="W14" i="2"/>
  <c r="BJ14" i="2" s="1"/>
  <c r="U14" i="2"/>
  <c r="BH14" i="2" s="1"/>
  <c r="S14" i="2"/>
  <c r="BA14" i="2" s="1"/>
  <c r="Q14" i="2"/>
  <c r="AY14" i="2" s="1"/>
  <c r="N14" i="2"/>
  <c r="G14" i="2"/>
  <c r="F12" i="3"/>
  <c r="B12" i="3"/>
  <c r="FD18" i="2"/>
  <c r="FC18" i="2"/>
  <c r="FB18" i="2"/>
  <c r="FA18" i="2"/>
  <c r="EZ18" i="2"/>
  <c r="EY18" i="2"/>
  <c r="EX18" i="2"/>
  <c r="EW18" i="2"/>
  <c r="EV18" i="2"/>
  <c r="FE18" i="2"/>
  <c r="EH18" i="2"/>
  <c r="EG18" i="2"/>
  <c r="EF18" i="2"/>
  <c r="EE18" i="2"/>
  <c r="ED18" i="2"/>
  <c r="EC18" i="2"/>
  <c r="EB18" i="2"/>
  <c r="EA18" i="2"/>
  <c r="DY18" i="2"/>
  <c r="DX18" i="2"/>
  <c r="DW18" i="2"/>
  <c r="DV18" i="2"/>
  <c r="DU18" i="2"/>
  <c r="DT18" i="2"/>
  <c r="DS18" i="2"/>
  <c r="DR18" i="2"/>
  <c r="DP18" i="2"/>
  <c r="DO18" i="2"/>
  <c r="DN18" i="2"/>
  <c r="DM18" i="2"/>
  <c r="DL18" i="2"/>
  <c r="DK18" i="2"/>
  <c r="DJ18" i="2"/>
  <c r="DI18" i="2"/>
  <c r="DG18" i="2"/>
  <c r="DF18" i="2"/>
  <c r="DE18" i="2"/>
  <c r="DD18" i="2"/>
  <c r="DC18" i="2"/>
  <c r="DB18" i="2"/>
  <c r="DA18" i="2"/>
  <c r="CZ18" i="2"/>
  <c r="CL18" i="2"/>
  <c r="CJ18" i="2"/>
  <c r="CH18" i="2"/>
  <c r="CG18" i="2"/>
  <c r="CF18" i="2"/>
  <c r="CC18" i="2"/>
  <c r="CA18" i="2"/>
  <c r="BY18" i="2"/>
  <c r="BX18" i="2"/>
  <c r="BW18" i="2"/>
  <c r="BT18" i="2"/>
  <c r="BR18" i="2"/>
  <c r="BP18" i="2"/>
  <c r="BO18" i="2"/>
  <c r="BN18" i="2"/>
  <c r="BK18" i="2"/>
  <c r="BI18" i="2"/>
  <c r="BG18" i="2"/>
  <c r="BE18" i="2"/>
  <c r="BB18" i="2"/>
  <c r="AZ18" i="2"/>
  <c r="AX18" i="2"/>
  <c r="AI18" i="2"/>
  <c r="CK18" i="2" s="1"/>
  <c r="AG18" i="2"/>
  <c r="CI18" i="2" s="1"/>
  <c r="AE18" i="2"/>
  <c r="CB18" i="2" s="1"/>
  <c r="AC18" i="2"/>
  <c r="BZ18" i="2" s="1"/>
  <c r="AA18" i="2"/>
  <c r="BS18" i="2" s="1"/>
  <c r="Y18" i="2"/>
  <c r="BQ18" i="2" s="1"/>
  <c r="W18" i="2"/>
  <c r="BJ18" i="2" s="1"/>
  <c r="U18" i="2"/>
  <c r="BH18" i="2" s="1"/>
  <c r="S18" i="2"/>
  <c r="BA18" i="2" s="1"/>
  <c r="Q18" i="2"/>
  <c r="AY18" i="2" s="1"/>
  <c r="N18" i="2"/>
  <c r="G18" i="2"/>
  <c r="E55" i="4" l="1"/>
  <c r="AC10" i="6"/>
  <c r="CW18" i="2"/>
  <c r="DF14" i="2"/>
  <c r="T12" i="3"/>
  <c r="X10" i="6"/>
  <c r="N12" i="3"/>
  <c r="C12" i="3"/>
  <c r="E12" i="3"/>
  <c r="DB14" i="2"/>
  <c r="B51" i="7"/>
  <c r="DD14" i="2"/>
  <c r="L10" i="6" s="1"/>
  <c r="D51" i="7"/>
  <c r="T10" i="6"/>
  <c r="C10" i="6"/>
  <c r="U10" i="6"/>
  <c r="E10" i="6"/>
  <c r="J10" i="6"/>
  <c r="O10" i="6"/>
  <c r="V10" i="6"/>
  <c r="R10" i="6"/>
  <c r="F10" i="6"/>
  <c r="S10" i="6"/>
  <c r="W10" i="6"/>
  <c r="DA14" i="2"/>
  <c r="H10" i="6" s="1"/>
  <c r="BM14" i="2"/>
  <c r="CD14" i="2"/>
  <c r="CE14" i="2" s="1"/>
  <c r="BC14" i="2"/>
  <c r="BD14" i="2" s="1"/>
  <c r="CY14" i="2"/>
  <c r="BV14" i="2"/>
  <c r="CM14" i="2"/>
  <c r="CN14" i="2" s="1"/>
  <c r="DC14" i="2"/>
  <c r="K10" i="6" s="1"/>
  <c r="DE14" i="2"/>
  <c r="M10" i="6" s="1"/>
  <c r="CZ14" i="2"/>
  <c r="G10" i="6" s="1"/>
  <c r="CT18" i="2"/>
  <c r="K12" i="3" s="1"/>
  <c r="CS18" i="2"/>
  <c r="J12" i="3" s="1"/>
  <c r="BL18" i="2"/>
  <c r="BM18" i="2" s="1"/>
  <c r="Q12" i="3"/>
  <c r="U12" i="3"/>
  <c r="R12" i="3"/>
  <c r="V12" i="3"/>
  <c r="B55" i="4"/>
  <c r="S12" i="3"/>
  <c r="W12" i="3"/>
  <c r="CR18" i="2"/>
  <c r="H12" i="3" s="1"/>
  <c r="BU18" i="2"/>
  <c r="BV18" i="2" s="1"/>
  <c r="DH18" i="2"/>
  <c r="DQ18" i="2"/>
  <c r="DZ18" i="2"/>
  <c r="EI18" i="2"/>
  <c r="CM18" i="2"/>
  <c r="CN18" i="2" s="1"/>
  <c r="BC18" i="2"/>
  <c r="BD18" i="2" s="1"/>
  <c r="CV18" i="2"/>
  <c r="M12" i="3" s="1"/>
  <c r="CD18" i="2"/>
  <c r="CE18" i="2" s="1"/>
  <c r="CU18" i="2"/>
  <c r="L12" i="3" s="1"/>
  <c r="CQ18" i="2"/>
  <c r="G12" i="3" s="1"/>
  <c r="E51" i="7" l="1"/>
  <c r="P12" i="3"/>
  <c r="X12" i="3" s="1"/>
  <c r="I10" i="6"/>
  <c r="P10" i="6" s="1"/>
  <c r="D10" i="6"/>
  <c r="Q10" i="6"/>
  <c r="DG14" i="2"/>
  <c r="DH14" i="2" s="1"/>
  <c r="F55" i="4"/>
  <c r="I12" i="3"/>
  <c r="O12" i="3" s="1"/>
  <c r="D12" i="3"/>
  <c r="CX18" i="2"/>
  <c r="CY18" i="2" s="1"/>
  <c r="EN121" i="2"/>
  <c r="EN91" i="2"/>
  <c r="Y10" i="6" l="1"/>
  <c r="Z10" i="6" s="1"/>
  <c r="AB10" i="6" s="1"/>
  <c r="Y12" i="3"/>
  <c r="AA12" i="3" s="1"/>
  <c r="AD10" i="6" l="1"/>
  <c r="Y51" i="7"/>
  <c r="A119" i="3"/>
  <c r="A120" i="3" s="1"/>
  <c r="B12" i="6" l="1"/>
  <c r="FD16" i="2"/>
  <c r="FC16" i="2"/>
  <c r="FB16" i="2"/>
  <c r="FA16" i="2"/>
  <c r="EZ16" i="2"/>
  <c r="EY16" i="2"/>
  <c r="EX16" i="2"/>
  <c r="EW16" i="2"/>
  <c r="EV16" i="2"/>
  <c r="FE16" i="2"/>
  <c r="EH16" i="2"/>
  <c r="EG16" i="2"/>
  <c r="EF16" i="2"/>
  <c r="EE16" i="2"/>
  <c r="ED16" i="2"/>
  <c r="EC16" i="2"/>
  <c r="EB16" i="2"/>
  <c r="EA16" i="2"/>
  <c r="DY16" i="2"/>
  <c r="DX16" i="2"/>
  <c r="DW16" i="2"/>
  <c r="DV16" i="2"/>
  <c r="DU16" i="2"/>
  <c r="DT16" i="2"/>
  <c r="DS16" i="2"/>
  <c r="DR16" i="2"/>
  <c r="DP16" i="2"/>
  <c r="DO16" i="2"/>
  <c r="DN16" i="2"/>
  <c r="DM16" i="2"/>
  <c r="DL16" i="2"/>
  <c r="DK16" i="2"/>
  <c r="DJ16" i="2"/>
  <c r="DI16" i="2"/>
  <c r="CX16" i="2"/>
  <c r="CW16" i="2"/>
  <c r="CV16" i="2"/>
  <c r="CU16" i="2"/>
  <c r="CT16" i="2"/>
  <c r="CS16" i="2"/>
  <c r="CR16" i="2"/>
  <c r="CQ16" i="2"/>
  <c r="CL16" i="2"/>
  <c r="CJ16" i="2"/>
  <c r="CH16" i="2"/>
  <c r="CG16" i="2"/>
  <c r="CF16" i="2"/>
  <c r="CC16" i="2"/>
  <c r="CA16" i="2"/>
  <c r="BY16" i="2"/>
  <c r="BX16" i="2"/>
  <c r="BW16" i="2"/>
  <c r="BT16" i="2"/>
  <c r="BR16" i="2"/>
  <c r="BP16" i="2"/>
  <c r="BO16" i="2"/>
  <c r="BN16" i="2"/>
  <c r="BK16" i="2"/>
  <c r="BI16" i="2"/>
  <c r="BG16" i="2"/>
  <c r="BE16" i="2"/>
  <c r="BB16" i="2"/>
  <c r="AZ16" i="2"/>
  <c r="AX16" i="2"/>
  <c r="AV16" i="2"/>
  <c r="AI16" i="2"/>
  <c r="CK16" i="2" s="1"/>
  <c r="AG16" i="2"/>
  <c r="CI16" i="2" s="1"/>
  <c r="AE16" i="2"/>
  <c r="CB16" i="2" s="1"/>
  <c r="AC16" i="2"/>
  <c r="BZ16" i="2" s="1"/>
  <c r="AA16" i="2"/>
  <c r="BS16" i="2" s="1"/>
  <c r="Y16" i="2"/>
  <c r="BQ16" i="2" s="1"/>
  <c r="W16" i="2"/>
  <c r="BJ16" i="2" s="1"/>
  <c r="U16" i="2"/>
  <c r="BH16" i="2" s="1"/>
  <c r="S16" i="2"/>
  <c r="BA16" i="2" s="1"/>
  <c r="Q16" i="2"/>
  <c r="AY16" i="2" s="1"/>
  <c r="N16" i="2"/>
  <c r="G16" i="2"/>
  <c r="B11" i="6"/>
  <c r="FD15" i="2"/>
  <c r="FC15" i="2"/>
  <c r="FB15" i="2"/>
  <c r="FA15" i="2"/>
  <c r="EZ15" i="2"/>
  <c r="EY15" i="2"/>
  <c r="EX15" i="2"/>
  <c r="EW15" i="2"/>
  <c r="EV15" i="2"/>
  <c r="FE15" i="2"/>
  <c r="EH15" i="2"/>
  <c r="EG15" i="2"/>
  <c r="EF15" i="2"/>
  <c r="EE15" i="2"/>
  <c r="ED15" i="2"/>
  <c r="EC15" i="2"/>
  <c r="EB15" i="2"/>
  <c r="EA15" i="2"/>
  <c r="DY15" i="2"/>
  <c r="DX15" i="2"/>
  <c r="DW15" i="2"/>
  <c r="DV15" i="2"/>
  <c r="DU15" i="2"/>
  <c r="DT15" i="2"/>
  <c r="DS15" i="2"/>
  <c r="DR15" i="2"/>
  <c r="DP15" i="2"/>
  <c r="DO15" i="2"/>
  <c r="DN15" i="2"/>
  <c r="DM15" i="2"/>
  <c r="DL15" i="2"/>
  <c r="DK15" i="2"/>
  <c r="DJ15" i="2"/>
  <c r="DI15" i="2"/>
  <c r="CX15" i="2"/>
  <c r="CW15" i="2"/>
  <c r="CV15" i="2"/>
  <c r="CU15" i="2"/>
  <c r="CT15" i="2"/>
  <c r="CS15" i="2"/>
  <c r="CR15" i="2"/>
  <c r="CQ15" i="2"/>
  <c r="CL15" i="2"/>
  <c r="CJ15" i="2"/>
  <c r="CH15" i="2"/>
  <c r="CG15" i="2"/>
  <c r="CF15" i="2"/>
  <c r="CC15" i="2"/>
  <c r="CA15" i="2"/>
  <c r="BY15" i="2"/>
  <c r="BX15" i="2"/>
  <c r="BW15" i="2"/>
  <c r="BT15" i="2"/>
  <c r="BR15" i="2"/>
  <c r="BP15" i="2"/>
  <c r="BO15" i="2"/>
  <c r="BN15" i="2"/>
  <c r="BK15" i="2"/>
  <c r="BI15" i="2"/>
  <c r="BG15" i="2"/>
  <c r="BE15" i="2"/>
  <c r="BB15" i="2"/>
  <c r="AZ15" i="2"/>
  <c r="AX15" i="2"/>
  <c r="AV15" i="2"/>
  <c r="AI15" i="2"/>
  <c r="CK15" i="2" s="1"/>
  <c r="AG15" i="2"/>
  <c r="CI15" i="2" s="1"/>
  <c r="AE15" i="2"/>
  <c r="CB15" i="2" s="1"/>
  <c r="AC15" i="2"/>
  <c r="BZ15" i="2" s="1"/>
  <c r="AA15" i="2"/>
  <c r="BS15" i="2" s="1"/>
  <c r="Y15" i="2"/>
  <c r="BQ15" i="2" s="1"/>
  <c r="W15" i="2"/>
  <c r="BJ15" i="2" s="1"/>
  <c r="U15" i="2"/>
  <c r="BH15" i="2" s="1"/>
  <c r="S15" i="2"/>
  <c r="BA15" i="2" s="1"/>
  <c r="Q15" i="2"/>
  <c r="AY15" i="2" s="1"/>
  <c r="N15" i="2"/>
  <c r="G15" i="2"/>
  <c r="X59" i="7" l="1"/>
  <c r="T59" i="7"/>
  <c r="K59" i="7"/>
  <c r="P59" i="7"/>
  <c r="N59" i="7"/>
  <c r="U59" i="7"/>
  <c r="Q59" i="7"/>
  <c r="I59" i="7"/>
  <c r="O59" i="7"/>
  <c r="S59" i="7"/>
  <c r="F59" i="7"/>
  <c r="W59" i="7"/>
  <c r="Y59" i="7"/>
  <c r="M59" i="7"/>
  <c r="R59" i="7"/>
  <c r="H59" i="7"/>
  <c r="V59" i="7"/>
  <c r="L59" i="7"/>
  <c r="J59" i="7"/>
  <c r="G59" i="7"/>
  <c r="Z59" i="7"/>
  <c r="B50" i="7"/>
  <c r="AC12" i="6"/>
  <c r="B49" i="7"/>
  <c r="AC11" i="6"/>
  <c r="DC16" i="2"/>
  <c r="K12" i="6" s="1"/>
  <c r="DF15" i="2"/>
  <c r="DB16" i="2"/>
  <c r="J12" i="6" s="1"/>
  <c r="S12" i="6"/>
  <c r="DD16" i="2"/>
  <c r="L12" i="6" s="1"/>
  <c r="W12" i="6"/>
  <c r="DF16" i="2"/>
  <c r="F12" i="6"/>
  <c r="BU15" i="2"/>
  <c r="BV15" i="2" s="1"/>
  <c r="DB15" i="2"/>
  <c r="J11" i="6" s="1"/>
  <c r="DA16" i="2"/>
  <c r="H12" i="6" s="1"/>
  <c r="D50" i="7"/>
  <c r="T12" i="6"/>
  <c r="X12" i="6"/>
  <c r="C12" i="6"/>
  <c r="O12" i="6"/>
  <c r="U12" i="6"/>
  <c r="E12" i="6"/>
  <c r="R12" i="6"/>
  <c r="V12" i="6"/>
  <c r="CY16" i="2"/>
  <c r="DQ16" i="2"/>
  <c r="DZ16" i="2"/>
  <c r="EI16" i="2"/>
  <c r="DQ15" i="2"/>
  <c r="DZ15" i="2"/>
  <c r="DA15" i="2"/>
  <c r="H11" i="6" s="1"/>
  <c r="BL16" i="2"/>
  <c r="BM16" i="2" s="1"/>
  <c r="BU16" i="2"/>
  <c r="BV16" i="2" s="1"/>
  <c r="CD16" i="2"/>
  <c r="CE16" i="2" s="1"/>
  <c r="DE16" i="2"/>
  <c r="M12" i="6" s="1"/>
  <c r="BC16" i="2"/>
  <c r="BD16" i="2" s="1"/>
  <c r="CM16" i="2"/>
  <c r="CN16" i="2" s="1"/>
  <c r="CZ16" i="2"/>
  <c r="D49" i="7"/>
  <c r="C11" i="6"/>
  <c r="T11" i="6"/>
  <c r="X11" i="6"/>
  <c r="DC15" i="2"/>
  <c r="K11" i="6" s="1"/>
  <c r="S11" i="6"/>
  <c r="W11" i="6"/>
  <c r="CY15" i="2"/>
  <c r="EI15" i="2"/>
  <c r="E11" i="6"/>
  <c r="O11" i="6"/>
  <c r="U11" i="6"/>
  <c r="F11" i="6"/>
  <c r="R11" i="6"/>
  <c r="V11" i="6"/>
  <c r="BL15" i="2"/>
  <c r="BM15" i="2" s="1"/>
  <c r="CM15" i="2"/>
  <c r="CN15" i="2" s="1"/>
  <c r="BC15" i="2"/>
  <c r="BD15" i="2" s="1"/>
  <c r="DE15" i="2"/>
  <c r="M11" i="6" s="1"/>
  <c r="CD15" i="2"/>
  <c r="CE15" i="2" s="1"/>
  <c r="CZ15" i="2"/>
  <c r="G11" i="6" s="1"/>
  <c r="DD15" i="2"/>
  <c r="L11" i="6" s="1"/>
  <c r="E50" i="7" l="1"/>
  <c r="E49" i="7"/>
  <c r="DG16" i="2"/>
  <c r="DH16" i="2" s="1"/>
  <c r="G12" i="6"/>
  <c r="I11" i="6"/>
  <c r="P11" i="6" s="1"/>
  <c r="Q11" i="6"/>
  <c r="Y11" i="6" s="1"/>
  <c r="D11" i="6"/>
  <c r="DG15" i="2"/>
  <c r="DH15" i="2" s="1"/>
  <c r="BF205" i="2"/>
  <c r="AW98" i="2"/>
  <c r="D12" i="6" l="1"/>
  <c r="Q12" i="6"/>
  <c r="I12" i="6"/>
  <c r="P12" i="6" s="1"/>
  <c r="Z11" i="6"/>
  <c r="AB11" i="6" s="1"/>
  <c r="EV102" i="2"/>
  <c r="EY102" i="2"/>
  <c r="AD11" i="6" l="1"/>
  <c r="Y49" i="7"/>
  <c r="Y12" i="6"/>
  <c r="BX78" i="2"/>
  <c r="BW78" i="2"/>
  <c r="Z12" i="6" l="1"/>
  <c r="AB12" i="6" s="1"/>
  <c r="AD12" i="6" l="1"/>
  <c r="Y50" i="7"/>
  <c r="A10" i="3"/>
  <c r="ET137" i="2" l="1"/>
  <c r="BO137" i="2"/>
  <c r="W137" i="2"/>
  <c r="U137" i="2"/>
  <c r="S137" i="2"/>
  <c r="Q137" i="2"/>
  <c r="EW102" i="2" l="1"/>
  <c r="A189" i="2" l="1"/>
  <c r="A190" i="2" s="1"/>
  <c r="A4" i="7" l="1"/>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3" i="7" s="1"/>
  <c r="A54" i="7" s="1"/>
  <c r="A55" i="7" s="1"/>
  <c r="A56" i="7" s="1"/>
  <c r="A57" i="7" s="1"/>
  <c r="A58" i="7" s="1"/>
  <c r="A59" i="7" s="1"/>
  <c r="CL12" i="2" l="1"/>
  <c r="CJ12" i="2"/>
  <c r="CH12" i="2"/>
  <c r="CG12" i="2"/>
  <c r="CF12" i="2"/>
  <c r="CL11" i="2"/>
  <c r="CJ11" i="2"/>
  <c r="CH11" i="2"/>
  <c r="CG11" i="2"/>
  <c r="CF11" i="2"/>
  <c r="F10" i="3" l="1"/>
  <c r="B10" i="3"/>
  <c r="E54" i="4" s="1"/>
  <c r="FD11" i="2"/>
  <c r="FC11" i="2"/>
  <c r="FB11" i="2"/>
  <c r="FA11" i="2"/>
  <c r="EZ11" i="2"/>
  <c r="EY11" i="2"/>
  <c r="EX11" i="2"/>
  <c r="EW11" i="2"/>
  <c r="ET11" i="2"/>
  <c r="FE11" i="2" s="1"/>
  <c r="EV11" i="2"/>
  <c r="DG11" i="2"/>
  <c r="DF11" i="2"/>
  <c r="DE11" i="2"/>
  <c r="DD11" i="2"/>
  <c r="DC11" i="2"/>
  <c r="DB11" i="2"/>
  <c r="DA11" i="2"/>
  <c r="CZ11" i="2"/>
  <c r="CC11" i="2"/>
  <c r="CA11" i="2"/>
  <c r="BY11" i="2"/>
  <c r="BX11" i="2"/>
  <c r="BW11" i="2"/>
  <c r="BT11" i="2"/>
  <c r="BR11" i="2"/>
  <c r="BP11" i="2"/>
  <c r="BO11" i="2"/>
  <c r="BN11" i="2"/>
  <c r="BK11" i="2"/>
  <c r="BI11" i="2"/>
  <c r="BG11" i="2"/>
  <c r="BE11" i="2"/>
  <c r="BB11" i="2"/>
  <c r="AZ11" i="2"/>
  <c r="AX11" i="2"/>
  <c r="AI11" i="2"/>
  <c r="CK11" i="2" s="1"/>
  <c r="AG11" i="2"/>
  <c r="CI11" i="2" s="1"/>
  <c r="AE11" i="2"/>
  <c r="CB11" i="2" s="1"/>
  <c r="AC11" i="2"/>
  <c r="BZ11" i="2" s="1"/>
  <c r="AA11" i="2"/>
  <c r="BS11" i="2" s="1"/>
  <c r="Y11" i="2"/>
  <c r="BQ11" i="2" s="1"/>
  <c r="W11" i="2"/>
  <c r="BJ11" i="2" s="1"/>
  <c r="U11" i="2"/>
  <c r="BH11" i="2" s="1"/>
  <c r="S11" i="2"/>
  <c r="BA11" i="2" s="1"/>
  <c r="Q11" i="2"/>
  <c r="AY11" i="2" s="1"/>
  <c r="N11" i="2"/>
  <c r="G11" i="2"/>
  <c r="CM11" i="2" l="1"/>
  <c r="CN11" i="2" s="1"/>
  <c r="CT11" i="2"/>
  <c r="CR11" i="2"/>
  <c r="H10" i="3" s="1"/>
  <c r="CW11" i="2"/>
  <c r="N10" i="3" s="1"/>
  <c r="T10" i="3"/>
  <c r="C10" i="3"/>
  <c r="Q10" i="3"/>
  <c r="U10" i="3"/>
  <c r="CS11" i="2"/>
  <c r="J10" i="3" s="1"/>
  <c r="E10" i="3"/>
  <c r="R10" i="3"/>
  <c r="V10" i="3"/>
  <c r="B54" i="4"/>
  <c r="K10" i="3"/>
  <c r="CU11" i="2"/>
  <c r="L10" i="3" s="1"/>
  <c r="S10" i="3"/>
  <c r="W10" i="3"/>
  <c r="CV11" i="2"/>
  <c r="M10" i="3" s="1"/>
  <c r="CD11" i="2"/>
  <c r="CE11" i="2" s="1"/>
  <c r="DH11" i="2"/>
  <c r="BM11" i="2"/>
  <c r="BV11" i="2"/>
  <c r="BC11" i="2"/>
  <c r="CQ11" i="2"/>
  <c r="G10" i="3" s="1"/>
  <c r="CX11" i="2" l="1"/>
  <c r="CY11" i="2" s="1"/>
  <c r="F54" i="4"/>
  <c r="BD11" i="2"/>
  <c r="I10" i="3" l="1"/>
  <c r="O10" i="3" s="1"/>
  <c r="D10" i="3"/>
  <c r="B108" i="6"/>
  <c r="AC108" i="6" s="1"/>
  <c r="FD170" i="2"/>
  <c r="ET170" i="2"/>
  <c r="FE170" i="2" s="1"/>
  <c r="Q170" i="2"/>
  <c r="X108" i="6" l="1"/>
  <c r="X10" i="3"/>
  <c r="U108" i="6"/>
  <c r="F108" i="6"/>
  <c r="B48" i="7"/>
  <c r="E108" i="6"/>
  <c r="O108" i="6"/>
  <c r="D48" i="7"/>
  <c r="C108" i="6"/>
  <c r="E48" i="7" l="1"/>
  <c r="Y10" i="3"/>
  <c r="AA10" i="3" s="1"/>
  <c r="CQ54" i="2"/>
  <c r="BK54" i="2"/>
  <c r="A146" i="2"/>
  <c r="A147" i="2" s="1"/>
  <c r="A148" i="2" s="1"/>
  <c r="B42" i="6" l="1"/>
  <c r="FD54" i="2"/>
  <c r="FC54" i="2"/>
  <c r="FB54" i="2"/>
  <c r="FA54" i="2"/>
  <c r="EZ54" i="2"/>
  <c r="EY54" i="2"/>
  <c r="EX54" i="2"/>
  <c r="EW54" i="2"/>
  <c r="ET54" i="2"/>
  <c r="FE54" i="2" s="1"/>
  <c r="ET98" i="2"/>
  <c r="E42" i="6" l="1"/>
  <c r="AC42" i="6"/>
  <c r="D47" i="7"/>
  <c r="B47" i="7"/>
  <c r="X42" i="6"/>
  <c r="X45" i="6" s="1"/>
  <c r="V42" i="6"/>
  <c r="V45" i="6" s="1"/>
  <c r="U42" i="6"/>
  <c r="U45" i="6" s="1"/>
  <c r="T42" i="6"/>
  <c r="T45" i="6" s="1"/>
  <c r="S42" i="6"/>
  <c r="S45" i="6" s="1"/>
  <c r="O42" i="6"/>
  <c r="O45" i="6" s="1"/>
  <c r="F42" i="6"/>
  <c r="C42" i="6"/>
  <c r="W42" i="6"/>
  <c r="W45" i="6" s="1"/>
  <c r="EV54" i="2"/>
  <c r="R42" i="6" s="1"/>
  <c r="R45" i="6" s="1"/>
  <c r="EI54" i="2"/>
  <c r="DP54" i="2"/>
  <c r="DO54" i="2"/>
  <c r="DN54" i="2"/>
  <c r="DM54" i="2"/>
  <c r="DL54" i="2"/>
  <c r="DK54" i="2"/>
  <c r="DJ54" i="2"/>
  <c r="DI54" i="2"/>
  <c r="CG54" i="2"/>
  <c r="BT54" i="2"/>
  <c r="BR54" i="2"/>
  <c r="BP54" i="2"/>
  <c r="BO54" i="2"/>
  <c r="DA54" i="2" s="1"/>
  <c r="BI54" i="2"/>
  <c r="BG54" i="2"/>
  <c r="BB54" i="2"/>
  <c r="CW54" i="2" s="1"/>
  <c r="AZ54" i="2"/>
  <c r="CU54" i="2" s="1"/>
  <c r="AX54" i="2"/>
  <c r="N54" i="2"/>
  <c r="E54" i="2"/>
  <c r="BE54" i="2" s="1"/>
  <c r="B71" i="6"/>
  <c r="AC71" i="6" s="1"/>
  <c r="FD132" i="2"/>
  <c r="FC132" i="2"/>
  <c r="FB132" i="2"/>
  <c r="FA132" i="2"/>
  <c r="FL132" i="2" s="1"/>
  <c r="EZ132" i="2"/>
  <c r="EY132" i="2"/>
  <c r="EX132" i="2"/>
  <c r="EW132" i="2"/>
  <c r="EV132" i="2"/>
  <c r="ET132" i="2"/>
  <c r="FE132" i="2" s="1"/>
  <c r="EH132" i="2"/>
  <c r="EG132" i="2"/>
  <c r="EF132" i="2"/>
  <c r="EE132" i="2"/>
  <c r="ED132" i="2"/>
  <c r="EC132" i="2"/>
  <c r="EB132" i="2"/>
  <c r="EA132" i="2"/>
  <c r="DY132" i="2"/>
  <c r="DX132" i="2"/>
  <c r="DW132" i="2"/>
  <c r="DV132" i="2"/>
  <c r="DU132" i="2"/>
  <c r="DT132" i="2"/>
  <c r="DS132" i="2"/>
  <c r="DR132" i="2"/>
  <c r="DP132" i="2"/>
  <c r="DO132" i="2"/>
  <c r="DN132" i="2"/>
  <c r="DM132" i="2"/>
  <c r="DL132" i="2"/>
  <c r="DK132" i="2"/>
  <c r="DJ132" i="2"/>
  <c r="DI132" i="2"/>
  <c r="CL132" i="2"/>
  <c r="CJ132" i="2"/>
  <c r="CH132" i="2"/>
  <c r="CG132" i="2"/>
  <c r="CF132" i="2"/>
  <c r="CC132" i="2"/>
  <c r="CA132" i="2"/>
  <c r="BY132" i="2"/>
  <c r="BX132" i="2"/>
  <c r="BW132" i="2"/>
  <c r="BT132" i="2"/>
  <c r="BR132" i="2"/>
  <c r="BP132" i="2"/>
  <c r="BO132" i="2"/>
  <c r="BN132" i="2"/>
  <c r="BK132" i="2"/>
  <c r="BI132" i="2"/>
  <c r="BG132" i="2"/>
  <c r="BE132" i="2"/>
  <c r="BB132" i="2"/>
  <c r="CW132" i="2" s="1"/>
  <c r="AZ132" i="2"/>
  <c r="AX132" i="2"/>
  <c r="AV132" i="2"/>
  <c r="AI132" i="2"/>
  <c r="CK132" i="2" s="1"/>
  <c r="AG132" i="2"/>
  <c r="CI132" i="2" s="1"/>
  <c r="AE132" i="2"/>
  <c r="CB132" i="2" s="1"/>
  <c r="AC132" i="2"/>
  <c r="BZ132" i="2" s="1"/>
  <c r="AA132" i="2"/>
  <c r="BS132" i="2" s="1"/>
  <c r="Y132" i="2"/>
  <c r="BQ132" i="2" s="1"/>
  <c r="W132" i="2"/>
  <c r="BJ132" i="2" s="1"/>
  <c r="U132" i="2"/>
  <c r="BH132" i="2" s="1"/>
  <c r="S132" i="2"/>
  <c r="BA132" i="2" s="1"/>
  <c r="Q132" i="2"/>
  <c r="AY132" i="2" s="1"/>
  <c r="N132" i="2"/>
  <c r="G132" i="2"/>
  <c r="BF64" i="2"/>
  <c r="DE132" i="2" l="1"/>
  <c r="M71" i="6" s="1"/>
  <c r="Y54" i="2"/>
  <c r="BQ54" i="2" s="1"/>
  <c r="AG54" i="2"/>
  <c r="CI54" i="2" s="1"/>
  <c r="DB54" i="2"/>
  <c r="J42" i="6" s="1"/>
  <c r="J45" i="6" s="1"/>
  <c r="DD54" i="2"/>
  <c r="L42" i="6" s="1"/>
  <c r="L45" i="6" s="1"/>
  <c r="Q54" i="2"/>
  <c r="AY54" i="2" s="1"/>
  <c r="BN54" i="2"/>
  <c r="H42" i="6"/>
  <c r="H45" i="6" s="1"/>
  <c r="DC132" i="2"/>
  <c r="K71" i="6" s="1"/>
  <c r="DD132" i="2"/>
  <c r="L71" i="6" s="1"/>
  <c r="DB132" i="2"/>
  <c r="J71" i="6" s="1"/>
  <c r="DF132" i="2"/>
  <c r="DQ132" i="2"/>
  <c r="DZ132" i="2"/>
  <c r="V71" i="6"/>
  <c r="D46" i="7"/>
  <c r="E47" i="7"/>
  <c r="DF54" i="2"/>
  <c r="DQ54" i="2"/>
  <c r="CR54" i="2"/>
  <c r="CT54" i="2"/>
  <c r="S54" i="2"/>
  <c r="BA54" i="2" s="1"/>
  <c r="AA54" i="2"/>
  <c r="BS54" i="2" s="1"/>
  <c r="AI54" i="2"/>
  <c r="CK54" i="2" s="1"/>
  <c r="CS54" i="2"/>
  <c r="G54" i="2"/>
  <c r="U54" i="2"/>
  <c r="BH54" i="2" s="1"/>
  <c r="AC54" i="2"/>
  <c r="BZ54" i="2" s="1"/>
  <c r="AV54" i="2"/>
  <c r="CF54" i="2"/>
  <c r="W54" i="2"/>
  <c r="BJ54" i="2" s="1"/>
  <c r="AE54" i="2"/>
  <c r="CB54" i="2" s="1"/>
  <c r="DA132" i="2"/>
  <c r="H71" i="6" s="1"/>
  <c r="CZ132" i="2"/>
  <c r="G71" i="6" s="1"/>
  <c r="S71" i="6"/>
  <c r="W71" i="6"/>
  <c r="C71" i="6"/>
  <c r="X71" i="6"/>
  <c r="E71" i="6"/>
  <c r="O71" i="6"/>
  <c r="U71" i="6"/>
  <c r="B46" i="7"/>
  <c r="T71" i="6"/>
  <c r="F71" i="6"/>
  <c r="R71" i="6"/>
  <c r="CR132" i="2"/>
  <c r="CU132" i="2"/>
  <c r="EI132" i="2"/>
  <c r="CM132" i="2"/>
  <c r="CN132" i="2" s="1"/>
  <c r="CV132" i="2"/>
  <c r="CD132" i="2"/>
  <c r="CE132" i="2" s="1"/>
  <c r="CT132" i="2"/>
  <c r="BC132" i="2"/>
  <c r="BL132" i="2"/>
  <c r="BM132" i="2" s="1"/>
  <c r="BU132" i="2"/>
  <c r="BV132" i="2" s="1"/>
  <c r="CQ132" i="2"/>
  <c r="CS132" i="2"/>
  <c r="CD54" i="2" l="1"/>
  <c r="CE54" i="2" s="1"/>
  <c r="E46" i="7"/>
  <c r="BU54" i="2"/>
  <c r="BV54" i="2" s="1"/>
  <c r="DC54" i="2"/>
  <c r="K42" i="6" s="1"/>
  <c r="K45" i="6" s="1"/>
  <c r="CM54" i="2"/>
  <c r="CV54" i="2"/>
  <c r="DE54" i="2"/>
  <c r="M42" i="6" s="1"/>
  <c r="M45" i="6" s="1"/>
  <c r="BL54" i="2"/>
  <c r="BM54" i="2" s="1"/>
  <c r="CZ54" i="2"/>
  <c r="G42" i="6" s="1"/>
  <c r="G45" i="6" s="1"/>
  <c r="BC54" i="2"/>
  <c r="D71" i="6"/>
  <c r="Q71" i="6"/>
  <c r="Y71" i="6" s="1"/>
  <c r="BD132" i="2"/>
  <c r="DG132" i="2"/>
  <c r="DH132" i="2" s="1"/>
  <c r="I71" i="6"/>
  <c r="P71" i="6" s="1"/>
  <c r="CX132" i="2"/>
  <c r="CY132" i="2" s="1"/>
  <c r="A3" i="6"/>
  <c r="DG54" i="2" l="1"/>
  <c r="DH54" i="2" s="1"/>
  <c r="BD54" i="2"/>
  <c r="I42" i="6"/>
  <c r="I45" i="6" s="1"/>
  <c r="D42" i="6"/>
  <c r="Q42" i="6"/>
  <c r="Q45" i="6" s="1"/>
  <c r="CX54" i="2"/>
  <c r="CY54" i="2" s="1"/>
  <c r="Z71" i="6"/>
  <c r="AB71" i="6" s="1"/>
  <c r="AD71" i="6" l="1"/>
  <c r="P42" i="6"/>
  <c r="P45" i="6" s="1"/>
  <c r="Y42" i="6"/>
  <c r="Y45" i="6" s="1"/>
  <c r="Z42" i="6" l="1"/>
  <c r="AB42" i="6" s="1"/>
  <c r="AA45" i="6" l="1"/>
  <c r="AD42" i="6"/>
  <c r="Z45" i="6"/>
  <c r="AB45" i="6" l="1"/>
  <c r="FD126" i="2" l="1"/>
  <c r="T104" i="3" s="1"/>
  <c r="FC126" i="2"/>
  <c r="U104" i="3" s="1"/>
  <c r="FB126" i="2"/>
  <c r="FA126" i="2"/>
  <c r="EZ126" i="2"/>
  <c r="EY126" i="2"/>
  <c r="V104" i="3" s="1"/>
  <c r="EX126" i="2"/>
  <c r="S104" i="3" s="1"/>
  <c r="EW126" i="2"/>
  <c r="R104" i="3" s="1"/>
  <c r="EV126" i="2"/>
  <c r="Q104" i="3" s="1"/>
  <c r="FE126" i="2"/>
  <c r="W104" i="3" s="1"/>
  <c r="EH126" i="2"/>
  <c r="EG126" i="2"/>
  <c r="EF126" i="2"/>
  <c r="EE126" i="2"/>
  <c r="ED126" i="2"/>
  <c r="EC126" i="2"/>
  <c r="EB126" i="2"/>
  <c r="EA126" i="2"/>
  <c r="DY126" i="2"/>
  <c r="DX126" i="2"/>
  <c r="DW126" i="2"/>
  <c r="DV126" i="2"/>
  <c r="DU126" i="2"/>
  <c r="DT126" i="2"/>
  <c r="DS126" i="2"/>
  <c r="DR126" i="2"/>
  <c r="DP126" i="2"/>
  <c r="DO126" i="2"/>
  <c r="DN126" i="2"/>
  <c r="DM126" i="2"/>
  <c r="DL126" i="2"/>
  <c r="DK126" i="2"/>
  <c r="DJ126" i="2"/>
  <c r="DI126" i="2"/>
  <c r="CL126" i="2"/>
  <c r="CJ126" i="2"/>
  <c r="CH126" i="2"/>
  <c r="CG126" i="2"/>
  <c r="CF126" i="2"/>
  <c r="CC126" i="2"/>
  <c r="CA126" i="2"/>
  <c r="BY126" i="2"/>
  <c r="BX126" i="2"/>
  <c r="BW126" i="2"/>
  <c r="BT126" i="2"/>
  <c r="BR126" i="2"/>
  <c r="BP126" i="2"/>
  <c r="BO126" i="2"/>
  <c r="BN126" i="2"/>
  <c r="BI126" i="2"/>
  <c r="BG126" i="2"/>
  <c r="BE126" i="2"/>
  <c r="BB126" i="2"/>
  <c r="AZ126" i="2"/>
  <c r="AX126" i="2"/>
  <c r="AV126" i="2"/>
  <c r="AI126" i="2"/>
  <c r="CK126" i="2" s="1"/>
  <c r="AG126" i="2"/>
  <c r="CI126" i="2" s="1"/>
  <c r="AE126" i="2"/>
  <c r="CB126" i="2" s="1"/>
  <c r="AC126" i="2"/>
  <c r="BZ126" i="2" s="1"/>
  <c r="AA126" i="2"/>
  <c r="BS126" i="2" s="1"/>
  <c r="Y126" i="2"/>
  <c r="BQ126" i="2" s="1"/>
  <c r="W126" i="2"/>
  <c r="BJ126" i="2" s="1"/>
  <c r="U126" i="2"/>
  <c r="BH126" i="2" s="1"/>
  <c r="S126" i="2"/>
  <c r="BA126" i="2" s="1"/>
  <c r="Q126" i="2"/>
  <c r="AY126" i="2" s="1"/>
  <c r="N126" i="2"/>
  <c r="G126" i="2"/>
  <c r="B29" i="6"/>
  <c r="ET41" i="2"/>
  <c r="FE41" i="2" s="1"/>
  <c r="FD41" i="2"/>
  <c r="FC41" i="2"/>
  <c r="FA41" i="2"/>
  <c r="EZ41" i="2"/>
  <c r="EY41" i="2"/>
  <c r="EX41" i="2"/>
  <c r="EW41" i="2"/>
  <c r="EV41" i="2"/>
  <c r="EH41" i="2"/>
  <c r="EG41" i="2"/>
  <c r="EF41" i="2"/>
  <c r="EE41" i="2"/>
  <c r="ED41" i="2"/>
  <c r="EC41" i="2"/>
  <c r="EB41" i="2"/>
  <c r="EA41" i="2"/>
  <c r="DY41" i="2"/>
  <c r="DX41" i="2"/>
  <c r="DW41" i="2"/>
  <c r="DV41" i="2"/>
  <c r="DU41" i="2"/>
  <c r="DT41" i="2"/>
  <c r="DS41" i="2"/>
  <c r="DR41" i="2"/>
  <c r="DP41" i="2"/>
  <c r="DO41" i="2"/>
  <c r="DN41" i="2"/>
  <c r="DM41" i="2"/>
  <c r="DL41" i="2"/>
  <c r="DK41" i="2"/>
  <c r="DJ41" i="2"/>
  <c r="DI41" i="2"/>
  <c r="CL41" i="2"/>
  <c r="CJ41" i="2"/>
  <c r="CH41" i="2"/>
  <c r="CG41" i="2"/>
  <c r="CF41" i="2"/>
  <c r="CC41" i="2"/>
  <c r="CA41" i="2"/>
  <c r="BY41" i="2"/>
  <c r="BX41" i="2"/>
  <c r="BW41" i="2"/>
  <c r="BT41" i="2"/>
  <c r="BR41" i="2"/>
  <c r="BP41" i="2"/>
  <c r="BO41" i="2"/>
  <c r="BN41" i="2"/>
  <c r="BK41" i="2"/>
  <c r="CW41" i="2" s="1"/>
  <c r="BI41" i="2"/>
  <c r="BG41" i="2"/>
  <c r="BF41" i="2"/>
  <c r="BE41" i="2"/>
  <c r="BB41" i="2"/>
  <c r="AZ41" i="2"/>
  <c r="CU41" i="2" s="1"/>
  <c r="AX41" i="2"/>
  <c r="AW41" i="2"/>
  <c r="AV41" i="2"/>
  <c r="AI41" i="2"/>
  <c r="CK41" i="2" s="1"/>
  <c r="AG41" i="2"/>
  <c r="CI41" i="2" s="1"/>
  <c r="AE41" i="2"/>
  <c r="CB41" i="2" s="1"/>
  <c r="AC41" i="2"/>
  <c r="BZ41" i="2" s="1"/>
  <c r="AA41" i="2"/>
  <c r="BS41" i="2" s="1"/>
  <c r="Y41" i="2"/>
  <c r="BQ41" i="2" s="1"/>
  <c r="W41" i="2"/>
  <c r="BJ41" i="2" s="1"/>
  <c r="U41" i="2"/>
  <c r="BH41" i="2" s="1"/>
  <c r="S41" i="2"/>
  <c r="BA41" i="2" s="1"/>
  <c r="Q41" i="2"/>
  <c r="AY41" i="2" s="1"/>
  <c r="N41" i="2"/>
  <c r="G41" i="2"/>
  <c r="N120" i="6"/>
  <c r="B119" i="6"/>
  <c r="EU179" i="2"/>
  <c r="ES179" i="2"/>
  <c r="ER179" i="2"/>
  <c r="EQ179" i="2"/>
  <c r="EP179" i="2"/>
  <c r="EO179" i="2"/>
  <c r="EN179" i="2"/>
  <c r="EM179" i="2"/>
  <c r="EL179" i="2"/>
  <c r="EK179" i="2"/>
  <c r="EJ179" i="2"/>
  <c r="CP179" i="2"/>
  <c r="CO179" i="2"/>
  <c r="AU179" i="2"/>
  <c r="AT179" i="2"/>
  <c r="AS179" i="2"/>
  <c r="AR179" i="2"/>
  <c r="AQ179" i="2"/>
  <c r="AP179" i="2"/>
  <c r="AO179" i="2"/>
  <c r="AN179" i="2"/>
  <c r="AM179" i="2"/>
  <c r="AL179" i="2"/>
  <c r="AK179" i="2"/>
  <c r="AJ179" i="2"/>
  <c r="AH179" i="2"/>
  <c r="AF179" i="2"/>
  <c r="AD179" i="2"/>
  <c r="AB179" i="2"/>
  <c r="Z179" i="2"/>
  <c r="X179" i="2"/>
  <c r="V179" i="2"/>
  <c r="T179" i="2"/>
  <c r="R179" i="2"/>
  <c r="P179" i="2"/>
  <c r="E179" i="2"/>
  <c r="FD178" i="2"/>
  <c r="FC178" i="2"/>
  <c r="FB178" i="2"/>
  <c r="FA178" i="2"/>
  <c r="FL178" i="2" s="1"/>
  <c r="EZ178" i="2"/>
  <c r="EY178" i="2"/>
  <c r="EX178" i="2"/>
  <c r="EW178" i="2"/>
  <c r="EV178" i="2"/>
  <c r="ET178" i="2"/>
  <c r="FE178" i="2" s="1"/>
  <c r="EH178" i="2"/>
  <c r="EG178" i="2"/>
  <c r="EF178" i="2"/>
  <c r="EE178" i="2"/>
  <c r="ED178" i="2"/>
  <c r="EC178" i="2"/>
  <c r="EB178" i="2"/>
  <c r="EA178" i="2"/>
  <c r="DY178" i="2"/>
  <c r="DX178" i="2"/>
  <c r="DW178" i="2"/>
  <c r="DV178" i="2"/>
  <c r="DU178" i="2"/>
  <c r="DT178" i="2"/>
  <c r="DS178" i="2"/>
  <c r="DR178" i="2"/>
  <c r="DP178" i="2"/>
  <c r="DO178" i="2"/>
  <c r="DN178" i="2"/>
  <c r="DM178" i="2"/>
  <c r="DL178" i="2"/>
  <c r="DK178" i="2"/>
  <c r="DJ178" i="2"/>
  <c r="DI178" i="2"/>
  <c r="CX178" i="2"/>
  <c r="CW178" i="2"/>
  <c r="CV178" i="2"/>
  <c r="CU178" i="2"/>
  <c r="CT178" i="2"/>
  <c r="CS178" i="2"/>
  <c r="CR178" i="2"/>
  <c r="CQ178" i="2"/>
  <c r="CL178" i="2"/>
  <c r="CJ178" i="2"/>
  <c r="CH178" i="2"/>
  <c r="CF178" i="2"/>
  <c r="CC178" i="2"/>
  <c r="CA178" i="2"/>
  <c r="BY178" i="2"/>
  <c r="BW178" i="2"/>
  <c r="BT178" i="2"/>
  <c r="BR178" i="2"/>
  <c r="BP178" i="2"/>
  <c r="BN178" i="2"/>
  <c r="BK178" i="2"/>
  <c r="BI178" i="2"/>
  <c r="BG178" i="2"/>
  <c r="BE178" i="2"/>
  <c r="BB178" i="2"/>
  <c r="AZ178" i="2"/>
  <c r="AX178" i="2"/>
  <c r="DB178" i="2" s="1"/>
  <c r="AV178" i="2"/>
  <c r="AI178" i="2"/>
  <c r="CK178" i="2" s="1"/>
  <c r="AG178" i="2"/>
  <c r="CI178" i="2" s="1"/>
  <c r="AE178" i="2"/>
  <c r="CB178" i="2" s="1"/>
  <c r="AC178" i="2"/>
  <c r="AA178" i="2"/>
  <c r="BS178" i="2" s="1"/>
  <c r="Y178" i="2"/>
  <c r="BQ178" i="2" s="1"/>
  <c r="W178" i="2"/>
  <c r="U178" i="2"/>
  <c r="BH178" i="2" s="1"/>
  <c r="S178" i="2"/>
  <c r="BA178" i="2" s="1"/>
  <c r="Q178" i="2"/>
  <c r="AY178" i="2" s="1"/>
  <c r="N178" i="2"/>
  <c r="F178" i="2"/>
  <c r="BF178" i="2" s="1"/>
  <c r="CV126" i="2" l="1"/>
  <c r="M104" i="3" s="1"/>
  <c r="CQ126" i="2"/>
  <c r="G104" i="3" s="1"/>
  <c r="CW126" i="2"/>
  <c r="N104" i="3" s="1"/>
  <c r="Y56" i="7"/>
  <c r="Y57" i="7"/>
  <c r="Y47" i="7"/>
  <c r="CS126" i="2"/>
  <c r="J104" i="3" s="1"/>
  <c r="CT126" i="2"/>
  <c r="K104" i="3" s="1"/>
  <c r="CU126" i="2"/>
  <c r="L104" i="3" s="1"/>
  <c r="CR126" i="2"/>
  <c r="H104" i="3" s="1"/>
  <c r="D44" i="7"/>
  <c r="AC119" i="6"/>
  <c r="D45" i="7"/>
  <c r="AC29" i="6"/>
  <c r="DE41" i="2"/>
  <c r="M29" i="6" s="1"/>
  <c r="CG178" i="2"/>
  <c r="G178" i="2"/>
  <c r="DB41" i="2"/>
  <c r="J29" i="6" s="1"/>
  <c r="DF126" i="2"/>
  <c r="DC41" i="2"/>
  <c r="K29" i="6" s="1"/>
  <c r="DF41" i="2"/>
  <c r="DD41" i="2"/>
  <c r="L29" i="6" s="1"/>
  <c r="BU126" i="2"/>
  <c r="BV126" i="2" s="1"/>
  <c r="DE126" i="2"/>
  <c r="BC126" i="2"/>
  <c r="DF178" i="2"/>
  <c r="BJ178" i="2"/>
  <c r="BL178" i="2" s="1"/>
  <c r="BM178" i="2" s="1"/>
  <c r="DD178" i="2"/>
  <c r="L119" i="6" s="1"/>
  <c r="DB126" i="2"/>
  <c r="CM41" i="2"/>
  <c r="CN41" i="2" s="1"/>
  <c r="DD126" i="2"/>
  <c r="CM126" i="2"/>
  <c r="CN126" i="2" s="1"/>
  <c r="DA126" i="2"/>
  <c r="T29" i="6"/>
  <c r="C29" i="6"/>
  <c r="DQ126" i="2"/>
  <c r="DZ126" i="2"/>
  <c r="EI126" i="2"/>
  <c r="DA41" i="2"/>
  <c r="H29" i="6" s="1"/>
  <c r="CZ41" i="2"/>
  <c r="G29" i="6" s="1"/>
  <c r="X29" i="6"/>
  <c r="DC126" i="2"/>
  <c r="BL126" i="2"/>
  <c r="CD126" i="2"/>
  <c r="CE126" i="2" s="1"/>
  <c r="CZ126" i="2"/>
  <c r="E29" i="6"/>
  <c r="O29" i="6"/>
  <c r="U29" i="6"/>
  <c r="F29" i="6"/>
  <c r="R29" i="6"/>
  <c r="V29" i="6"/>
  <c r="B45" i="7"/>
  <c r="S29" i="6"/>
  <c r="W29" i="6"/>
  <c r="CQ41" i="2"/>
  <c r="CR41" i="2"/>
  <c r="DZ41" i="2"/>
  <c r="EI41" i="2"/>
  <c r="DQ41" i="2"/>
  <c r="CD41" i="2"/>
  <c r="CE41" i="2" s="1"/>
  <c r="BL41" i="2"/>
  <c r="CV41" i="2"/>
  <c r="BC41" i="2"/>
  <c r="BU41" i="2"/>
  <c r="BV41" i="2" s="1"/>
  <c r="FB41" i="2"/>
  <c r="CT41" i="2"/>
  <c r="CS41" i="2"/>
  <c r="E119" i="6"/>
  <c r="O119" i="6"/>
  <c r="F119" i="6"/>
  <c r="R119" i="6"/>
  <c r="J119" i="6"/>
  <c r="U119" i="6"/>
  <c r="V119" i="6"/>
  <c r="S119" i="6"/>
  <c r="W119" i="6"/>
  <c r="B44" i="7"/>
  <c r="C119" i="6"/>
  <c r="T119" i="6"/>
  <c r="X119" i="6"/>
  <c r="BZ178" i="2"/>
  <c r="DC178" i="2" s="1"/>
  <c r="CY178" i="2"/>
  <c r="DQ178" i="2"/>
  <c r="DZ178" i="2"/>
  <c r="EI178" i="2"/>
  <c r="BU178" i="2"/>
  <c r="CM178" i="2"/>
  <c r="BC178" i="2"/>
  <c r="BO178" i="2"/>
  <c r="CZ178" i="2"/>
  <c r="G119" i="6" s="1"/>
  <c r="BX178" i="2"/>
  <c r="AW178" i="2"/>
  <c r="D104" i="3" l="1"/>
  <c r="I104" i="3"/>
  <c r="O104" i="3" s="1"/>
  <c r="P104" i="3"/>
  <c r="X104" i="3" s="1"/>
  <c r="E44" i="7"/>
  <c r="E45" i="7"/>
  <c r="BD126" i="2"/>
  <c r="CX126" i="2"/>
  <c r="CY126" i="2" s="1"/>
  <c r="BV178" i="2"/>
  <c r="DE178" i="2"/>
  <c r="K119" i="6"/>
  <c r="DG126" i="2"/>
  <c r="DH126" i="2" s="1"/>
  <c r="D29" i="6"/>
  <c r="I29" i="6"/>
  <c r="P29" i="6" s="1"/>
  <c r="BM126" i="2"/>
  <c r="Q29" i="6"/>
  <c r="Y29" i="6" s="1"/>
  <c r="BM41" i="2"/>
  <c r="DG41" i="2"/>
  <c r="DH41" i="2" s="1"/>
  <c r="CX41" i="2"/>
  <c r="CY41" i="2" s="1"/>
  <c r="BD41" i="2"/>
  <c r="DA178" i="2"/>
  <c r="H119" i="6" s="1"/>
  <c r="I119" i="6" s="1"/>
  <c r="CN178" i="2"/>
  <c r="CD178" i="2"/>
  <c r="DG178" i="2" s="1"/>
  <c r="BD178" i="2"/>
  <c r="Y104" i="3" l="1"/>
  <c r="AA104" i="3" s="1"/>
  <c r="M119" i="6"/>
  <c r="Q119" i="6" s="1"/>
  <c r="Y119" i="6" s="1"/>
  <c r="Z29" i="6"/>
  <c r="AB29" i="6" s="1"/>
  <c r="DH178" i="2"/>
  <c r="CE178" i="2"/>
  <c r="AD29" i="6" l="1"/>
  <c r="Y45" i="7"/>
  <c r="D119" i="6"/>
  <c r="P119" i="6"/>
  <c r="Z119" i="6" s="1"/>
  <c r="AB119" i="6" s="1"/>
  <c r="AD119" i="6" l="1"/>
  <c r="BF211" i="2"/>
  <c r="BF210" i="2"/>
  <c r="BF102" i="2"/>
  <c r="AW211" i="2"/>
  <c r="AW208" i="2"/>
  <c r="AW189" i="2"/>
  <c r="BO85" i="2" l="1"/>
  <c r="BF39" i="2"/>
  <c r="AW39" i="2"/>
  <c r="A71" i="6" l="1"/>
  <c r="A72" i="6" s="1"/>
  <c r="B25" i="3" l="1"/>
  <c r="E53" i="4" s="1"/>
  <c r="ET37" i="2"/>
  <c r="FE37" i="2" s="1"/>
  <c r="C25" i="3" l="1"/>
  <c r="W25" i="3"/>
  <c r="E25" i="3"/>
  <c r="F25" i="3"/>
  <c r="B53" i="4"/>
  <c r="F53" i="4" l="1"/>
  <c r="FD37" i="2"/>
  <c r="T25" i="3" s="1"/>
  <c r="FC37" i="2"/>
  <c r="U25" i="3" s="1"/>
  <c r="FB37" i="2"/>
  <c r="FA37" i="2"/>
  <c r="EZ37" i="2"/>
  <c r="EX37" i="2"/>
  <c r="S25" i="3" s="1"/>
  <c r="EW37" i="2"/>
  <c r="R25" i="3" s="1"/>
  <c r="EY37" i="2"/>
  <c r="V25" i="3" s="1"/>
  <c r="EV37" i="2"/>
  <c r="Q25" i="3" s="1"/>
  <c r="EH37" i="2"/>
  <c r="EG37" i="2"/>
  <c r="EF37" i="2"/>
  <c r="EE37" i="2"/>
  <c r="ED37" i="2"/>
  <c r="EC37" i="2"/>
  <c r="EB37" i="2"/>
  <c r="EA37" i="2"/>
  <c r="DY37" i="2"/>
  <c r="DX37" i="2"/>
  <c r="DW37" i="2"/>
  <c r="DV37" i="2"/>
  <c r="DU37" i="2"/>
  <c r="DT37" i="2"/>
  <c r="DS37" i="2"/>
  <c r="DR37" i="2"/>
  <c r="DP37" i="2"/>
  <c r="DO37" i="2"/>
  <c r="DN37" i="2"/>
  <c r="DM37" i="2"/>
  <c r="DL37" i="2"/>
  <c r="DK37" i="2"/>
  <c r="DJ37" i="2"/>
  <c r="DI37" i="2"/>
  <c r="DG37" i="2"/>
  <c r="DF37" i="2"/>
  <c r="DE37" i="2"/>
  <c r="DD37" i="2"/>
  <c r="DC37" i="2"/>
  <c r="DB37" i="2"/>
  <c r="DA37" i="2"/>
  <c r="CZ37" i="2"/>
  <c r="CL37" i="2"/>
  <c r="CJ37" i="2"/>
  <c r="CH37" i="2"/>
  <c r="CG37" i="2"/>
  <c r="CF37" i="2"/>
  <c r="CC37" i="2"/>
  <c r="CA37" i="2"/>
  <c r="BY37" i="2"/>
  <c r="BX37" i="2"/>
  <c r="BW37" i="2"/>
  <c r="BT37" i="2"/>
  <c r="BR37" i="2"/>
  <c r="BP37" i="2"/>
  <c r="BO37" i="2"/>
  <c r="BN37" i="2"/>
  <c r="BK37" i="2"/>
  <c r="BI37" i="2"/>
  <c r="BG37" i="2"/>
  <c r="BF37" i="2"/>
  <c r="BE37" i="2"/>
  <c r="BB37" i="2"/>
  <c r="AZ37" i="2"/>
  <c r="AX37" i="2"/>
  <c r="AW37" i="2"/>
  <c r="AV37" i="2"/>
  <c r="AI37" i="2"/>
  <c r="CK37" i="2" s="1"/>
  <c r="AG37" i="2"/>
  <c r="CI37" i="2" s="1"/>
  <c r="AE37" i="2"/>
  <c r="CB37" i="2" s="1"/>
  <c r="AC37" i="2"/>
  <c r="BZ37" i="2" s="1"/>
  <c r="AA37" i="2"/>
  <c r="BS37" i="2" s="1"/>
  <c r="Y37" i="2"/>
  <c r="BQ37" i="2" s="1"/>
  <c r="W37" i="2"/>
  <c r="BJ37" i="2" s="1"/>
  <c r="U37" i="2"/>
  <c r="BH37" i="2" s="1"/>
  <c r="S37" i="2"/>
  <c r="BA37" i="2" s="1"/>
  <c r="Q37" i="2"/>
  <c r="AY37" i="2" s="1"/>
  <c r="N37" i="2"/>
  <c r="G37" i="2"/>
  <c r="CW37" i="2" l="1"/>
  <c r="N25" i="3" s="1"/>
  <c r="CV37" i="2"/>
  <c r="M25" i="3" s="1"/>
  <c r="CU37" i="2"/>
  <c r="L25" i="3" s="1"/>
  <c r="DQ37" i="2"/>
  <c r="DZ37" i="2"/>
  <c r="EI37" i="2"/>
  <c r="DH37" i="2"/>
  <c r="CR37" i="2"/>
  <c r="H25" i="3" s="1"/>
  <c r="CQ37" i="2"/>
  <c r="G25" i="3" s="1"/>
  <c r="CD37" i="2"/>
  <c r="CE37" i="2" s="1"/>
  <c r="CM37" i="2"/>
  <c r="CN37" i="2" s="1"/>
  <c r="BL37" i="2"/>
  <c r="BM37" i="2" s="1"/>
  <c r="CT37" i="2"/>
  <c r="K25" i="3" s="1"/>
  <c r="BU37" i="2"/>
  <c r="BV37" i="2" s="1"/>
  <c r="BC37" i="2"/>
  <c r="BD37" i="2" s="1"/>
  <c r="CS37" i="2"/>
  <c r="J25" i="3" s="1"/>
  <c r="AI17" i="2"/>
  <c r="AI12" i="2"/>
  <c r="CK12" i="2" s="1"/>
  <c r="AG17" i="2"/>
  <c r="AG12" i="2"/>
  <c r="CI12" i="2" s="1"/>
  <c r="AE17" i="2"/>
  <c r="AE12" i="2"/>
  <c r="AC17" i="2"/>
  <c r="AC12" i="2"/>
  <c r="CM12" i="2" l="1"/>
  <c r="CN12" i="2" s="1"/>
  <c r="I25" i="3"/>
  <c r="O25" i="3" s="1"/>
  <c r="D25" i="3"/>
  <c r="P25" i="3"/>
  <c r="X25" i="3" s="1"/>
  <c r="CX37" i="2"/>
  <c r="CY37" i="2" s="1"/>
  <c r="Y25" i="3" l="1"/>
  <c r="AA25" i="3" s="1"/>
  <c r="AA154" i="6" l="1"/>
  <c r="FD32" i="2"/>
  <c r="U25" i="6" s="1"/>
  <c r="FC32" i="2"/>
  <c r="V25" i="6" s="1"/>
  <c r="FB32" i="2"/>
  <c r="FA32" i="2"/>
  <c r="EZ32" i="2"/>
  <c r="EY32" i="2"/>
  <c r="W25" i="6" s="1"/>
  <c r="EX32" i="2"/>
  <c r="T25" i="6" s="1"/>
  <c r="EW32" i="2"/>
  <c r="S25" i="6" s="1"/>
  <c r="EV32" i="2"/>
  <c r="R25" i="6" s="1"/>
  <c r="ET32" i="2"/>
  <c r="FE32" i="2" s="1"/>
  <c r="X25" i="6" s="1"/>
  <c r="EH32" i="2"/>
  <c r="EG32" i="2"/>
  <c r="EF32" i="2"/>
  <c r="EE32" i="2"/>
  <c r="ED32" i="2"/>
  <c r="EC32" i="2"/>
  <c r="EB32" i="2"/>
  <c r="EA32" i="2"/>
  <c r="DY32" i="2"/>
  <c r="DX32" i="2"/>
  <c r="DW32" i="2"/>
  <c r="DV32" i="2"/>
  <c r="DU32" i="2"/>
  <c r="DT32" i="2"/>
  <c r="DS32" i="2"/>
  <c r="DR32" i="2"/>
  <c r="DP32" i="2"/>
  <c r="DO32" i="2"/>
  <c r="DN32" i="2"/>
  <c r="DM32" i="2"/>
  <c r="DL32" i="2"/>
  <c r="DK32" i="2"/>
  <c r="DJ32" i="2"/>
  <c r="DI32" i="2"/>
  <c r="CL32" i="2"/>
  <c r="CJ32" i="2"/>
  <c r="CH32" i="2"/>
  <c r="CG32" i="2"/>
  <c r="CF32" i="2"/>
  <c r="CC32" i="2"/>
  <c r="CA32" i="2"/>
  <c r="BY32" i="2"/>
  <c r="BX32" i="2"/>
  <c r="BW32" i="2"/>
  <c r="BT32" i="2"/>
  <c r="BR32" i="2"/>
  <c r="BP32" i="2"/>
  <c r="BO32" i="2"/>
  <c r="BN32" i="2"/>
  <c r="BK32" i="2"/>
  <c r="BI32" i="2"/>
  <c r="BG32" i="2"/>
  <c r="BF32" i="2"/>
  <c r="BE32" i="2"/>
  <c r="BB32" i="2"/>
  <c r="AZ32" i="2"/>
  <c r="AX32" i="2"/>
  <c r="AW32" i="2"/>
  <c r="AV32" i="2"/>
  <c r="AI32" i="2"/>
  <c r="CK32" i="2" s="1"/>
  <c r="AG32" i="2"/>
  <c r="CI32" i="2" s="1"/>
  <c r="AE32" i="2"/>
  <c r="CB32" i="2" s="1"/>
  <c r="AC32" i="2"/>
  <c r="BZ32" i="2" s="1"/>
  <c r="AA32" i="2"/>
  <c r="BS32" i="2" s="1"/>
  <c r="Y32" i="2"/>
  <c r="BQ32" i="2" s="1"/>
  <c r="W32" i="2"/>
  <c r="BJ32" i="2" s="1"/>
  <c r="U32" i="2"/>
  <c r="BH32" i="2" s="1"/>
  <c r="S32" i="2"/>
  <c r="BA32" i="2" s="1"/>
  <c r="Q32" i="2"/>
  <c r="AY32" i="2" s="1"/>
  <c r="N32" i="2"/>
  <c r="G32" i="2"/>
  <c r="EL208" i="2"/>
  <c r="DE32" i="2" l="1"/>
  <c r="M25" i="6" s="1"/>
  <c r="CZ32" i="2"/>
  <c r="G25" i="6" s="1"/>
  <c r="DF32" i="2"/>
  <c r="DD32" i="2"/>
  <c r="L25" i="6" s="1"/>
  <c r="DC32" i="2"/>
  <c r="K25" i="6" s="1"/>
  <c r="DB32" i="2"/>
  <c r="J25" i="6" s="1"/>
  <c r="DA32" i="2"/>
  <c r="H25" i="6" s="1"/>
  <c r="BL32" i="2"/>
  <c r="BM32" i="2" s="1"/>
  <c r="CQ32" i="2"/>
  <c r="CW32" i="2"/>
  <c r="CS32" i="2"/>
  <c r="CU32" i="2"/>
  <c r="CR32" i="2"/>
  <c r="CT32" i="2"/>
  <c r="CV32" i="2"/>
  <c r="DQ32" i="2"/>
  <c r="DZ32" i="2"/>
  <c r="EI32" i="2"/>
  <c r="CM32" i="2"/>
  <c r="CN32" i="2" s="1"/>
  <c r="BU32" i="2"/>
  <c r="BV32" i="2" s="1"/>
  <c r="CD32" i="2"/>
  <c r="CE32" i="2" s="1"/>
  <c r="BC32" i="2"/>
  <c r="D25" i="6" l="1"/>
  <c r="I25" i="6"/>
  <c r="P25" i="6" s="1"/>
  <c r="Q25" i="6"/>
  <c r="DG32" i="2"/>
  <c r="DH32" i="2" s="1"/>
  <c r="CX32" i="2"/>
  <c r="CY32" i="2" s="1"/>
  <c r="BD32" i="2"/>
  <c r="BO127" i="2"/>
  <c r="AW207" i="2"/>
  <c r="AW119" i="2"/>
  <c r="Y25" i="6" l="1"/>
  <c r="Z25" i="6" s="1"/>
  <c r="AB25" i="6" s="1"/>
  <c r="FB53" i="2"/>
  <c r="P142" i="2"/>
  <c r="Y55" i="7" l="1"/>
  <c r="AD25" i="6"/>
  <c r="AV146" i="2"/>
  <c r="BE212" i="2"/>
  <c r="AV131" i="2" l="1"/>
  <c r="ET64" i="2"/>
  <c r="ET63" i="2"/>
  <c r="ET62" i="2"/>
  <c r="ET58" i="2"/>
  <c r="FE58" i="2" s="1"/>
  <c r="ET57" i="2"/>
  <c r="FE57" i="2" s="1"/>
  <c r="ET53" i="2"/>
  <c r="FE53" i="2" s="1"/>
  <c r="EH59" i="2"/>
  <c r="EG59" i="2"/>
  <c r="EF59" i="2"/>
  <c r="EE59" i="2"/>
  <c r="ED59" i="2"/>
  <c r="EC59" i="2"/>
  <c r="EB59" i="2"/>
  <c r="EA59" i="2"/>
  <c r="DZ59" i="2"/>
  <c r="DY59" i="2"/>
  <c r="DX59" i="2"/>
  <c r="DW59" i="2"/>
  <c r="DV59" i="2"/>
  <c r="DU59" i="2"/>
  <c r="DT59" i="2"/>
  <c r="DS59" i="2"/>
  <c r="DR59" i="2"/>
  <c r="EI58" i="2"/>
  <c r="EI57" i="2"/>
  <c r="EI53" i="2"/>
  <c r="EI49" i="2"/>
  <c r="EI59" i="2" l="1"/>
  <c r="ET65" i="2"/>
  <c r="H57" i="7" l="1"/>
  <c r="U57" i="7"/>
  <c r="J57" i="7"/>
  <c r="T57" i="7"/>
  <c r="L57" i="7"/>
  <c r="I57" i="7"/>
  <c r="K57" i="7"/>
  <c r="R57" i="7"/>
  <c r="Q57" i="7"/>
  <c r="P57" i="7"/>
  <c r="M57" i="7"/>
  <c r="S57" i="7"/>
  <c r="V57" i="7"/>
  <c r="F57" i="7"/>
  <c r="O57" i="7"/>
  <c r="G57" i="7"/>
  <c r="N57" i="7"/>
  <c r="W57" i="7"/>
  <c r="Z57" i="7"/>
  <c r="X57" i="7"/>
  <c r="L56" i="7"/>
  <c r="U56" i="7"/>
  <c r="J56" i="7"/>
  <c r="P56" i="7"/>
  <c r="I56" i="7"/>
  <c r="K56" i="7"/>
  <c r="R56" i="7"/>
  <c r="T56" i="7"/>
  <c r="M56" i="7"/>
  <c r="S56" i="7"/>
  <c r="V56" i="7"/>
  <c r="G56" i="7"/>
  <c r="Q56" i="7"/>
  <c r="F56" i="7"/>
  <c r="N56" i="7"/>
  <c r="W56" i="7"/>
  <c r="O56" i="7"/>
  <c r="H56" i="7"/>
  <c r="X56" i="7"/>
  <c r="Z56" i="7"/>
  <c r="L55" i="7"/>
  <c r="S55" i="7"/>
  <c r="Q55" i="7"/>
  <c r="F55" i="7"/>
  <c r="V55" i="7"/>
  <c r="T55" i="7"/>
  <c r="I55" i="7"/>
  <c r="N55" i="7"/>
  <c r="P55" i="7"/>
  <c r="U55" i="7"/>
  <c r="J55" i="7"/>
  <c r="H55" i="7"/>
  <c r="R55" i="7"/>
  <c r="X55" i="7"/>
  <c r="W55" i="7"/>
  <c r="G55" i="7"/>
  <c r="M55" i="7"/>
  <c r="O55" i="7"/>
  <c r="K55" i="7"/>
  <c r="Z55" i="7"/>
  <c r="U51" i="7"/>
  <c r="S51" i="7"/>
  <c r="R51" i="7"/>
  <c r="I51" i="7"/>
  <c r="V51" i="7"/>
  <c r="H51" i="7"/>
  <c r="Q51" i="7"/>
  <c r="J51" i="7"/>
  <c r="T51" i="7"/>
  <c r="P51" i="7"/>
  <c r="K51" i="7"/>
  <c r="L51" i="7"/>
  <c r="F51" i="7"/>
  <c r="M51" i="7"/>
  <c r="G51" i="7"/>
  <c r="N51" i="7"/>
  <c r="O51" i="7"/>
  <c r="X51" i="7"/>
  <c r="W51" i="7"/>
  <c r="Z51" i="7"/>
  <c r="P50" i="7"/>
  <c r="F50" i="7"/>
  <c r="Q50" i="7"/>
  <c r="L50" i="7"/>
  <c r="Z50" i="7"/>
  <c r="K50" i="7"/>
  <c r="H50" i="7"/>
  <c r="U50" i="7"/>
  <c r="J50" i="7"/>
  <c r="I50" i="7"/>
  <c r="T50" i="7"/>
  <c r="M50" i="7"/>
  <c r="S50" i="7"/>
  <c r="R50" i="7"/>
  <c r="V50" i="7"/>
  <c r="G50" i="7"/>
  <c r="N50" i="7"/>
  <c r="O50" i="7"/>
  <c r="W50" i="7"/>
  <c r="X50" i="7"/>
  <c r="Z49" i="7"/>
  <c r="H49" i="7"/>
  <c r="X49" i="7"/>
  <c r="M49" i="7"/>
  <c r="G49" i="7"/>
  <c r="N49" i="7"/>
  <c r="K49" i="7"/>
  <c r="P49" i="7"/>
  <c r="U49" i="7"/>
  <c r="F49" i="7"/>
  <c r="V49" i="7"/>
  <c r="S49" i="7"/>
  <c r="T49" i="7"/>
  <c r="I49" i="7"/>
  <c r="J49" i="7"/>
  <c r="L49" i="7"/>
  <c r="W49" i="7"/>
  <c r="Q49" i="7"/>
  <c r="O49" i="7"/>
  <c r="R49" i="7"/>
  <c r="H45" i="7"/>
  <c r="X45" i="7"/>
  <c r="M45" i="7"/>
  <c r="K45" i="7"/>
  <c r="N45" i="7"/>
  <c r="L45" i="7"/>
  <c r="S45" i="7"/>
  <c r="Q45" i="7"/>
  <c r="O45" i="7"/>
  <c r="R45" i="7"/>
  <c r="P45" i="7"/>
  <c r="U45" i="7"/>
  <c r="F45" i="7"/>
  <c r="V45" i="7"/>
  <c r="W45" i="7"/>
  <c r="T45" i="7"/>
  <c r="I45" i="7"/>
  <c r="J45" i="7"/>
  <c r="G45" i="7"/>
  <c r="Z45" i="7"/>
  <c r="FD125" i="2" l="1"/>
  <c r="F53" i="2" l="1"/>
  <c r="F160" i="2"/>
  <c r="BF160" i="2" s="1"/>
  <c r="BO160" i="2" l="1"/>
  <c r="AW53" i="2"/>
  <c r="BF53" i="2"/>
  <c r="AW160" i="2"/>
  <c r="BO53" i="2"/>
  <c r="FD53" i="2" l="1"/>
  <c r="B119" i="3" l="1"/>
  <c r="E52" i="4" s="1"/>
  <c r="G146" i="2"/>
  <c r="FD146" i="2"/>
  <c r="FC146" i="2"/>
  <c r="FB146" i="2"/>
  <c r="FA146" i="2"/>
  <c r="FL146" i="2" s="1"/>
  <c r="EZ146" i="2"/>
  <c r="EY146" i="2"/>
  <c r="EX146" i="2"/>
  <c r="EW146" i="2"/>
  <c r="EV146" i="2"/>
  <c r="ET146" i="2"/>
  <c r="FE146" i="2" s="1"/>
  <c r="EH146" i="2"/>
  <c r="EG146" i="2"/>
  <c r="EF146" i="2"/>
  <c r="EE146" i="2"/>
  <c r="ED146" i="2"/>
  <c r="EC146" i="2"/>
  <c r="EB146" i="2"/>
  <c r="EA146" i="2"/>
  <c r="DY146" i="2"/>
  <c r="DX146" i="2"/>
  <c r="DW146" i="2"/>
  <c r="DV146" i="2"/>
  <c r="DU146" i="2"/>
  <c r="DT146" i="2"/>
  <c r="DS146" i="2"/>
  <c r="DR146" i="2"/>
  <c r="DO146" i="2"/>
  <c r="DM146" i="2"/>
  <c r="DL146" i="2"/>
  <c r="DK146" i="2"/>
  <c r="DG146" i="2"/>
  <c r="DF146" i="2"/>
  <c r="DE146" i="2"/>
  <c r="DD146" i="2"/>
  <c r="DC146" i="2"/>
  <c r="DB146" i="2"/>
  <c r="DA146" i="2"/>
  <c r="CZ146" i="2"/>
  <c r="CL146" i="2"/>
  <c r="CJ146" i="2"/>
  <c r="CH146" i="2"/>
  <c r="CG146" i="2"/>
  <c r="CF146" i="2"/>
  <c r="CC146" i="2"/>
  <c r="CA146" i="2"/>
  <c r="BY146" i="2"/>
  <c r="BX146" i="2"/>
  <c r="BW146" i="2"/>
  <c r="BT146" i="2"/>
  <c r="BR146" i="2"/>
  <c r="BP146" i="2"/>
  <c r="BN146" i="2"/>
  <c r="BK146" i="2"/>
  <c r="BI146" i="2"/>
  <c r="BG146" i="2"/>
  <c r="DJ146" i="2"/>
  <c r="BE146" i="2"/>
  <c r="BB146" i="2"/>
  <c r="AZ146" i="2"/>
  <c r="AX146" i="2"/>
  <c r="AI146" i="2"/>
  <c r="CK146" i="2" s="1"/>
  <c r="AG146" i="2"/>
  <c r="CI146" i="2" s="1"/>
  <c r="AE146" i="2"/>
  <c r="CB146" i="2" s="1"/>
  <c r="AC146" i="2"/>
  <c r="BZ146" i="2" s="1"/>
  <c r="AA146" i="2"/>
  <c r="BS146" i="2" s="1"/>
  <c r="Y146" i="2"/>
  <c r="BQ146" i="2" s="1"/>
  <c r="W146" i="2"/>
  <c r="BJ146" i="2" s="1"/>
  <c r="U146" i="2"/>
  <c r="BH146" i="2" s="1"/>
  <c r="S146" i="2"/>
  <c r="BA146" i="2" s="1"/>
  <c r="DN146" i="2" s="1"/>
  <c r="Q146" i="2"/>
  <c r="AY146" i="2" s="1"/>
  <c r="N146" i="2"/>
  <c r="EL62" i="2"/>
  <c r="BB53" i="2"/>
  <c r="B39" i="3"/>
  <c r="T39" i="3" s="1"/>
  <c r="FC53" i="2"/>
  <c r="FA53" i="2"/>
  <c r="EZ53" i="2"/>
  <c r="EY53" i="2"/>
  <c r="EX53" i="2"/>
  <c r="EW53" i="2"/>
  <c r="EV53" i="2"/>
  <c r="DP53" i="2"/>
  <c r="DO53" i="2"/>
  <c r="DN53" i="2"/>
  <c r="DM53" i="2"/>
  <c r="DL53" i="2"/>
  <c r="DK53" i="2"/>
  <c r="DJ53" i="2"/>
  <c r="DI53" i="2"/>
  <c r="DG53" i="2"/>
  <c r="DF53" i="2"/>
  <c r="DE53" i="2"/>
  <c r="DD53" i="2"/>
  <c r="DC53" i="2"/>
  <c r="DB53" i="2"/>
  <c r="DA53" i="2"/>
  <c r="CZ53" i="2"/>
  <c r="BT53" i="2"/>
  <c r="BR53" i="2"/>
  <c r="BP53" i="2"/>
  <c r="BK53" i="2"/>
  <c r="BI53" i="2"/>
  <c r="BG53" i="2"/>
  <c r="BE53" i="2"/>
  <c r="AZ53" i="2"/>
  <c r="AX53" i="2"/>
  <c r="AI53" i="2"/>
  <c r="CK53" i="2" s="1"/>
  <c r="AE53" i="2"/>
  <c r="CB53" i="2" s="1"/>
  <c r="AA53" i="2"/>
  <c r="BS53" i="2" s="1"/>
  <c r="W53" i="2"/>
  <c r="BJ53" i="2" s="1"/>
  <c r="S53" i="2"/>
  <c r="BA53" i="2" s="1"/>
  <c r="N53" i="2"/>
  <c r="BX53" i="2"/>
  <c r="CF53" i="2"/>
  <c r="EL112" i="2"/>
  <c r="EL110" i="2"/>
  <c r="EL90" i="2"/>
  <c r="BX59" i="2" l="1"/>
  <c r="CW146" i="2"/>
  <c r="N119" i="3" s="1"/>
  <c r="CU146" i="2"/>
  <c r="L119" i="3" s="1"/>
  <c r="S119" i="3"/>
  <c r="W119" i="3"/>
  <c r="C119" i="3"/>
  <c r="CQ146" i="2"/>
  <c r="G119" i="3" s="1"/>
  <c r="E119" i="3"/>
  <c r="T119" i="3"/>
  <c r="CR146" i="2"/>
  <c r="H119" i="3" s="1"/>
  <c r="F119" i="3"/>
  <c r="Q119" i="3"/>
  <c r="U119" i="3"/>
  <c r="B52" i="4"/>
  <c r="CT146" i="2"/>
  <c r="K119" i="3" s="1"/>
  <c r="CS146" i="2"/>
  <c r="J119" i="3" s="1"/>
  <c r="R119" i="3"/>
  <c r="V119" i="3"/>
  <c r="BL146" i="2"/>
  <c r="BM146" i="2" s="1"/>
  <c r="CD146" i="2"/>
  <c r="CE146" i="2" s="1"/>
  <c r="CV146" i="2"/>
  <c r="M119" i="3" s="1"/>
  <c r="BU146" i="2"/>
  <c r="BV146" i="2" s="1"/>
  <c r="DI146" i="2"/>
  <c r="DH146" i="2"/>
  <c r="DZ146" i="2"/>
  <c r="EI146" i="2"/>
  <c r="BC146" i="2"/>
  <c r="CM146" i="2"/>
  <c r="CN146" i="2" s="1"/>
  <c r="U39" i="3"/>
  <c r="C39" i="3"/>
  <c r="Q39" i="3"/>
  <c r="E39" i="3"/>
  <c r="R39" i="3"/>
  <c r="V39" i="3"/>
  <c r="B51" i="4"/>
  <c r="CS53" i="2"/>
  <c r="J39" i="3" s="1"/>
  <c r="F39" i="3"/>
  <c r="S39" i="3"/>
  <c r="W39" i="3"/>
  <c r="E51" i="4"/>
  <c r="CU53" i="2"/>
  <c r="L39" i="3" s="1"/>
  <c r="CW53" i="2"/>
  <c r="N39" i="3" s="1"/>
  <c r="DH53" i="2"/>
  <c r="DQ53" i="2"/>
  <c r="CV53" i="2"/>
  <c r="M39" i="3" s="1"/>
  <c r="CG53" i="2"/>
  <c r="CR53" i="2" s="1"/>
  <c r="Q53" i="2"/>
  <c r="AY53" i="2" s="1"/>
  <c r="Y53" i="2"/>
  <c r="BQ53" i="2" s="1"/>
  <c r="AG53" i="2"/>
  <c r="CI53" i="2" s="1"/>
  <c r="CM53" i="2" s="1"/>
  <c r="BN53" i="2"/>
  <c r="G53" i="2"/>
  <c r="U53" i="2"/>
  <c r="BH53" i="2" s="1"/>
  <c r="BL53" i="2" s="1"/>
  <c r="AC53" i="2"/>
  <c r="BZ53" i="2" s="1"/>
  <c r="CD53" i="2" s="1"/>
  <c r="AV53" i="2"/>
  <c r="CQ53" i="2" s="1"/>
  <c r="CE53" i="2" l="1"/>
  <c r="F51" i="4"/>
  <c r="F52" i="4"/>
  <c r="I119" i="3"/>
  <c r="O119" i="3" s="1"/>
  <c r="P119" i="3"/>
  <c r="X119" i="3" s="1"/>
  <c r="D119" i="3"/>
  <c r="DP146" i="2"/>
  <c r="DQ146" i="2" s="1"/>
  <c r="CX146" i="2"/>
  <c r="CY146" i="2" s="1"/>
  <c r="BD146" i="2"/>
  <c r="BU53" i="2"/>
  <c r="BV53" i="2" s="1"/>
  <c r="CT53" i="2"/>
  <c r="K39" i="3" s="1"/>
  <c r="BM53" i="2"/>
  <c r="BC53" i="2"/>
  <c r="G39" i="3"/>
  <c r="H39" i="3"/>
  <c r="Y119" i="3" l="1"/>
  <c r="AA119" i="3" s="1"/>
  <c r="CX53" i="2"/>
  <c r="CY53" i="2" s="1"/>
  <c r="P39" i="3"/>
  <c r="X39" i="3" s="1"/>
  <c r="D39" i="3"/>
  <c r="I39" i="3"/>
  <c r="O39" i="3" s="1"/>
  <c r="BD53" i="2"/>
  <c r="Y39" i="3" l="1"/>
  <c r="AA39" i="3" s="1"/>
  <c r="BF40" i="2" l="1"/>
  <c r="BF36" i="2"/>
  <c r="BF35" i="2"/>
  <c r="BF34" i="2"/>
  <c r="BF27" i="2"/>
  <c r="BF25" i="2"/>
  <c r="BF24" i="2"/>
  <c r="BF22" i="2"/>
  <c r="BO145" i="2"/>
  <c r="BO86" i="2"/>
  <c r="AW40" i="2" l="1"/>
  <c r="AW36" i="2"/>
  <c r="AW35" i="2"/>
  <c r="AW34" i="2"/>
  <c r="F88" i="2"/>
  <c r="AW88" i="2" l="1"/>
  <c r="AW91" i="2" s="1"/>
  <c r="BO88" i="2"/>
  <c r="AW71" i="2"/>
  <c r="BE90" i="2" l="1"/>
  <c r="B70" i="6" l="1"/>
  <c r="ET125" i="2"/>
  <c r="FE125" i="2" s="1"/>
  <c r="BO125" i="2"/>
  <c r="FC125" i="2"/>
  <c r="FB125" i="2"/>
  <c r="FA125" i="2"/>
  <c r="EZ125" i="2"/>
  <c r="EX125" i="2"/>
  <c r="EV125" i="2"/>
  <c r="EY125" i="2"/>
  <c r="EW125" i="2"/>
  <c r="EH125" i="2"/>
  <c r="EG125" i="2"/>
  <c r="EF125" i="2"/>
  <c r="EE125" i="2"/>
  <c r="ED125" i="2"/>
  <c r="EC125" i="2"/>
  <c r="EB125" i="2"/>
  <c r="EA125" i="2"/>
  <c r="DY125" i="2"/>
  <c r="DX125" i="2"/>
  <c r="DW125" i="2"/>
  <c r="DV125" i="2"/>
  <c r="DU125" i="2"/>
  <c r="DT125" i="2"/>
  <c r="DS125" i="2"/>
  <c r="DR125" i="2"/>
  <c r="DP125" i="2"/>
  <c r="DO125" i="2"/>
  <c r="DN125" i="2"/>
  <c r="DM125" i="2"/>
  <c r="DL125" i="2"/>
  <c r="DK125" i="2"/>
  <c r="DJ125" i="2"/>
  <c r="DI125" i="2"/>
  <c r="CX125" i="2"/>
  <c r="CW125" i="2"/>
  <c r="CV125" i="2"/>
  <c r="CU125" i="2"/>
  <c r="CT125" i="2"/>
  <c r="CS125" i="2"/>
  <c r="CR125" i="2"/>
  <c r="CQ125" i="2"/>
  <c r="CL125" i="2"/>
  <c r="CJ125" i="2"/>
  <c r="CH125" i="2"/>
  <c r="CG125" i="2"/>
  <c r="CF125" i="2"/>
  <c r="CC125" i="2"/>
  <c r="CA125" i="2"/>
  <c r="BY125" i="2"/>
  <c r="BX125" i="2"/>
  <c r="BW125" i="2"/>
  <c r="BT125" i="2"/>
  <c r="BR125" i="2"/>
  <c r="BP125" i="2"/>
  <c r="BN125" i="2"/>
  <c r="BI125" i="2"/>
  <c r="BG125" i="2"/>
  <c r="BE125" i="2"/>
  <c r="BB125" i="2"/>
  <c r="AZ125" i="2"/>
  <c r="AX125" i="2"/>
  <c r="AV125" i="2"/>
  <c r="AI125" i="2"/>
  <c r="CK125" i="2" s="1"/>
  <c r="AG125" i="2"/>
  <c r="CI125" i="2" s="1"/>
  <c r="AE125" i="2"/>
  <c r="CB125" i="2" s="1"/>
  <c r="AC125" i="2"/>
  <c r="BZ125" i="2" s="1"/>
  <c r="AA125" i="2"/>
  <c r="BS125" i="2" s="1"/>
  <c r="Y125" i="2"/>
  <c r="BQ125" i="2" s="1"/>
  <c r="W125" i="2"/>
  <c r="BJ125" i="2" s="1"/>
  <c r="U125" i="2"/>
  <c r="BH125" i="2" s="1"/>
  <c r="S125" i="2"/>
  <c r="BA125" i="2" s="1"/>
  <c r="Q125" i="2"/>
  <c r="AY125" i="2" s="1"/>
  <c r="N125" i="2"/>
  <c r="G125" i="2"/>
  <c r="B43" i="7" l="1"/>
  <c r="AC70" i="6"/>
  <c r="DD125" i="2"/>
  <c r="L70" i="6" s="1"/>
  <c r="F70" i="6"/>
  <c r="W70" i="6"/>
  <c r="U70" i="6"/>
  <c r="X70" i="6"/>
  <c r="D43" i="7"/>
  <c r="DE125" i="2"/>
  <c r="M70" i="6" s="1"/>
  <c r="DF125" i="2"/>
  <c r="R70" i="6"/>
  <c r="C70" i="6"/>
  <c r="O70" i="6"/>
  <c r="S70" i="6"/>
  <c r="T70" i="6"/>
  <c r="V70" i="6"/>
  <c r="E70" i="6"/>
  <c r="CM125" i="2"/>
  <c r="CN125" i="2" s="1"/>
  <c r="CY125" i="2"/>
  <c r="EI125" i="2"/>
  <c r="DA125" i="2"/>
  <c r="H70" i="6" s="1"/>
  <c r="DQ125" i="2"/>
  <c r="DZ125" i="2"/>
  <c r="BL125" i="2"/>
  <c r="BM125" i="2" s="1"/>
  <c r="CZ125" i="2"/>
  <c r="G70" i="6" s="1"/>
  <c r="BU125" i="2"/>
  <c r="BV125" i="2" s="1"/>
  <c r="BC125" i="2"/>
  <c r="DC125" i="2"/>
  <c r="K70" i="6" s="1"/>
  <c r="CD125" i="2"/>
  <c r="CE125" i="2" s="1"/>
  <c r="DB125" i="2"/>
  <c r="J70" i="6" s="1"/>
  <c r="EN161" i="2"/>
  <c r="E43" i="7" l="1"/>
  <c r="I70" i="6"/>
  <c r="P70" i="6" s="1"/>
  <c r="D70" i="6"/>
  <c r="Q70" i="6"/>
  <c r="Y70" i="6" s="1"/>
  <c r="DG125" i="2"/>
  <c r="DH125" i="2" s="1"/>
  <c r="BD125" i="2"/>
  <c r="Z70" i="6" l="1"/>
  <c r="AB70" i="6" s="1"/>
  <c r="AD70" i="6" l="1"/>
  <c r="EL121" i="2"/>
  <c r="ET90" i="2"/>
  <c r="ET88" i="2"/>
  <c r="ET87" i="2"/>
  <c r="ET86" i="2"/>
  <c r="B26" i="3"/>
  <c r="E50" i="4" s="1"/>
  <c r="FD34" i="2"/>
  <c r="FC34" i="2"/>
  <c r="FB34" i="2"/>
  <c r="FA34" i="2"/>
  <c r="EZ34" i="2"/>
  <c r="EY34" i="2"/>
  <c r="EX34" i="2"/>
  <c r="EW34" i="2"/>
  <c r="ET34" i="2"/>
  <c r="FE34" i="2" s="1"/>
  <c r="EV34" i="2"/>
  <c r="EH34" i="2"/>
  <c r="EG34" i="2"/>
  <c r="EF34" i="2"/>
  <c r="EE34" i="2"/>
  <c r="ED34" i="2"/>
  <c r="EC34" i="2"/>
  <c r="EB34" i="2"/>
  <c r="EA34" i="2"/>
  <c r="DY34" i="2"/>
  <c r="DX34" i="2"/>
  <c r="DW34" i="2"/>
  <c r="DV34" i="2"/>
  <c r="DU34" i="2"/>
  <c r="DT34" i="2"/>
  <c r="DS34" i="2"/>
  <c r="DR34" i="2"/>
  <c r="DP34" i="2"/>
  <c r="DO34" i="2"/>
  <c r="DN34" i="2"/>
  <c r="DM34" i="2"/>
  <c r="DL34" i="2"/>
  <c r="DK34" i="2"/>
  <c r="DJ34" i="2"/>
  <c r="DI34" i="2"/>
  <c r="DG34" i="2"/>
  <c r="DF34" i="2"/>
  <c r="DE34" i="2"/>
  <c r="DD34" i="2"/>
  <c r="DC34" i="2"/>
  <c r="DB34" i="2"/>
  <c r="DA34" i="2"/>
  <c r="CZ34" i="2"/>
  <c r="CL34" i="2"/>
  <c r="CJ34" i="2"/>
  <c r="CH34" i="2"/>
  <c r="CG34" i="2"/>
  <c r="CF34" i="2"/>
  <c r="CC34" i="2"/>
  <c r="CA34" i="2"/>
  <c r="BY34" i="2"/>
  <c r="BX34" i="2"/>
  <c r="BW34" i="2"/>
  <c r="BT34" i="2"/>
  <c r="BR34" i="2"/>
  <c r="BP34" i="2"/>
  <c r="BO34" i="2"/>
  <c r="BN34" i="2"/>
  <c r="BK34" i="2"/>
  <c r="BI34" i="2"/>
  <c r="BG34" i="2"/>
  <c r="BE34" i="2"/>
  <c r="BB34" i="2"/>
  <c r="AZ34" i="2"/>
  <c r="AX34" i="2"/>
  <c r="AV34" i="2"/>
  <c r="AI34" i="2"/>
  <c r="CK34" i="2" s="1"/>
  <c r="AG34" i="2"/>
  <c r="CI34" i="2" s="1"/>
  <c r="AE34" i="2"/>
  <c r="CB34" i="2" s="1"/>
  <c r="AC34" i="2"/>
  <c r="BZ34" i="2" s="1"/>
  <c r="AA34" i="2"/>
  <c r="BS34" i="2" s="1"/>
  <c r="Y34" i="2"/>
  <c r="BQ34" i="2" s="1"/>
  <c r="W34" i="2"/>
  <c r="BJ34" i="2" s="1"/>
  <c r="U34" i="2"/>
  <c r="BH34" i="2" s="1"/>
  <c r="S34" i="2"/>
  <c r="BA34" i="2" s="1"/>
  <c r="Q34" i="2"/>
  <c r="AY34" i="2" s="1"/>
  <c r="N34" i="2"/>
  <c r="G34" i="2"/>
  <c r="AV78" i="2"/>
  <c r="ET78" i="2"/>
  <c r="FE78" i="2" s="1"/>
  <c r="R47" i="7" l="1"/>
  <c r="I47" i="7"/>
  <c r="Q47" i="7"/>
  <c r="F47" i="7"/>
  <c r="Z47" i="7"/>
  <c r="S47" i="7"/>
  <c r="G47" i="7"/>
  <c r="K47" i="7"/>
  <c r="W47" i="7"/>
  <c r="X47" i="7"/>
  <c r="L47" i="7"/>
  <c r="J47" i="7"/>
  <c r="V47" i="7"/>
  <c r="T47" i="7"/>
  <c r="N47" i="7"/>
  <c r="U47" i="7"/>
  <c r="H47" i="7"/>
  <c r="O47" i="7"/>
  <c r="P47" i="7"/>
  <c r="M47" i="7"/>
  <c r="CW34" i="2"/>
  <c r="N26" i="3" s="1"/>
  <c r="CU34" i="2"/>
  <c r="L26" i="3" s="1"/>
  <c r="S26" i="3"/>
  <c r="E26" i="3"/>
  <c r="F26" i="3"/>
  <c r="T26" i="3"/>
  <c r="B50" i="4"/>
  <c r="U26" i="3"/>
  <c r="C26" i="3"/>
  <c r="Q26" i="3"/>
  <c r="W26" i="3"/>
  <c r="R26" i="3"/>
  <c r="V26" i="3"/>
  <c r="CR34" i="2"/>
  <c r="H26" i="3" s="1"/>
  <c r="DQ34" i="2"/>
  <c r="DZ34" i="2"/>
  <c r="EI34" i="2"/>
  <c r="CT34" i="2"/>
  <c r="K26" i="3" s="1"/>
  <c r="DH34" i="2"/>
  <c r="BL34" i="2"/>
  <c r="BM34" i="2" s="1"/>
  <c r="CQ34" i="2"/>
  <c r="G26" i="3" s="1"/>
  <c r="CM34" i="2"/>
  <c r="CN34" i="2" s="1"/>
  <c r="CV34" i="2"/>
  <c r="M26" i="3" s="1"/>
  <c r="BU34" i="2"/>
  <c r="BV34" i="2" s="1"/>
  <c r="CD34" i="2"/>
  <c r="CE34" i="2" s="1"/>
  <c r="BC34" i="2"/>
  <c r="CS34" i="2"/>
  <c r="J26" i="3" s="1"/>
  <c r="BN90" i="2"/>
  <c r="BE224" i="2"/>
  <c r="BE225" i="2"/>
  <c r="BF68" i="2"/>
  <c r="BF63" i="2"/>
  <c r="BF62" i="2"/>
  <c r="BF58" i="2"/>
  <c r="AW155" i="2"/>
  <c r="F50" i="4" l="1"/>
  <c r="BE226" i="2"/>
  <c r="I26" i="3"/>
  <c r="O26" i="3" s="1"/>
  <c r="P26" i="3"/>
  <c r="X26" i="3" s="1"/>
  <c r="D26" i="3"/>
  <c r="CX34" i="2"/>
  <c r="CY34" i="2" s="1"/>
  <c r="BD34" i="2"/>
  <c r="AW31" i="2"/>
  <c r="AW42" i="2" s="1"/>
  <c r="Y26" i="3" l="1"/>
  <c r="AA26" i="3" s="1"/>
  <c r="BC549" i="2"/>
  <c r="BD549" i="2" s="1"/>
  <c r="FB157" i="2" l="1"/>
  <c r="BE157" i="2" l="1"/>
  <c r="F157" i="2"/>
  <c r="BF157" i="2" l="1"/>
  <c r="BF161" i="2" s="1"/>
  <c r="B111" i="3" l="1"/>
  <c r="E49" i="4" s="1"/>
  <c r="FD137" i="2"/>
  <c r="FC137" i="2"/>
  <c r="FB137" i="2"/>
  <c r="FA137" i="2"/>
  <c r="EZ137" i="2"/>
  <c r="EY137" i="2"/>
  <c r="EX137" i="2"/>
  <c r="EW137" i="2"/>
  <c r="EV137" i="2"/>
  <c r="FE137" i="2"/>
  <c r="EH137" i="2"/>
  <c r="EG137" i="2"/>
  <c r="EF137" i="2"/>
  <c r="EE137" i="2"/>
  <c r="ED137" i="2"/>
  <c r="EC137" i="2"/>
  <c r="EB137" i="2"/>
  <c r="EA137" i="2"/>
  <c r="DY137" i="2"/>
  <c r="DX137" i="2"/>
  <c r="DW137" i="2"/>
  <c r="DV137" i="2"/>
  <c r="DU137" i="2"/>
  <c r="DT137" i="2"/>
  <c r="DS137" i="2"/>
  <c r="DR137" i="2"/>
  <c r="DP137" i="2"/>
  <c r="DO137" i="2"/>
  <c r="DN137" i="2"/>
  <c r="DM137" i="2"/>
  <c r="DL137" i="2"/>
  <c r="DK137" i="2"/>
  <c r="DJ137" i="2"/>
  <c r="DI137" i="2"/>
  <c r="DG137" i="2"/>
  <c r="DF137" i="2"/>
  <c r="DE137" i="2"/>
  <c r="DD137" i="2"/>
  <c r="DC137" i="2"/>
  <c r="DB137" i="2"/>
  <c r="DA137" i="2"/>
  <c r="CZ137" i="2"/>
  <c r="CL137" i="2"/>
  <c r="CJ137" i="2"/>
  <c r="CH137" i="2"/>
  <c r="CG137" i="2"/>
  <c r="CF137" i="2"/>
  <c r="CC137" i="2"/>
  <c r="CA137" i="2"/>
  <c r="BY137" i="2"/>
  <c r="BW137" i="2"/>
  <c r="BT137" i="2"/>
  <c r="BR137" i="2"/>
  <c r="BP137" i="2"/>
  <c r="BN137" i="2"/>
  <c r="BK137" i="2"/>
  <c r="BI137" i="2"/>
  <c r="BG137" i="2"/>
  <c r="BE137" i="2"/>
  <c r="BB137" i="2"/>
  <c r="AZ137" i="2"/>
  <c r="AX137" i="2"/>
  <c r="AV137" i="2"/>
  <c r="AI137" i="2"/>
  <c r="CK137" i="2" s="1"/>
  <c r="AG137" i="2"/>
  <c r="CI137" i="2" s="1"/>
  <c r="AE137" i="2"/>
  <c r="CB137" i="2" s="1"/>
  <c r="AC137" i="2"/>
  <c r="BZ137" i="2" s="1"/>
  <c r="AA137" i="2"/>
  <c r="BS137" i="2" s="1"/>
  <c r="Y137" i="2"/>
  <c r="BQ137" i="2" s="1"/>
  <c r="BJ137" i="2"/>
  <c r="BH137" i="2"/>
  <c r="BA137" i="2"/>
  <c r="AY137" i="2"/>
  <c r="N137" i="2"/>
  <c r="G137" i="2"/>
  <c r="BX137" i="2"/>
  <c r="B113" i="3"/>
  <c r="FD141" i="2"/>
  <c r="FC141" i="2"/>
  <c r="FB141" i="2"/>
  <c r="FA141" i="2"/>
  <c r="EZ141" i="2"/>
  <c r="EY141" i="2"/>
  <c r="EX141" i="2"/>
  <c r="EW141" i="2"/>
  <c r="EV141" i="2"/>
  <c r="ET141" i="2"/>
  <c r="FE141" i="2" s="1"/>
  <c r="EH141" i="2"/>
  <c r="EG141" i="2"/>
  <c r="EF141" i="2"/>
  <c r="EE141" i="2"/>
  <c r="ED141" i="2"/>
  <c r="EC141" i="2"/>
  <c r="EB141" i="2"/>
  <c r="EA141" i="2"/>
  <c r="DY141" i="2"/>
  <c r="DX141" i="2"/>
  <c r="DW141" i="2"/>
  <c r="DV141" i="2"/>
  <c r="DU141" i="2"/>
  <c r="DT141" i="2"/>
  <c r="DS141" i="2"/>
  <c r="DR141" i="2"/>
  <c r="DP141" i="2"/>
  <c r="DO141" i="2"/>
  <c r="DN141" i="2"/>
  <c r="DM141" i="2"/>
  <c r="DL141" i="2"/>
  <c r="DK141" i="2"/>
  <c r="DJ141" i="2"/>
  <c r="DI141" i="2"/>
  <c r="DG141" i="2"/>
  <c r="DF141" i="2"/>
  <c r="DE141" i="2"/>
  <c r="DD141" i="2"/>
  <c r="DC141" i="2"/>
  <c r="DB141" i="2"/>
  <c r="DA141" i="2"/>
  <c r="CZ141" i="2"/>
  <c r="CL141" i="2"/>
  <c r="CJ141" i="2"/>
  <c r="CH141" i="2"/>
  <c r="CF141" i="2"/>
  <c r="CC141" i="2"/>
  <c r="CA141" i="2"/>
  <c r="BY141" i="2"/>
  <c r="BW141" i="2"/>
  <c r="BT141" i="2"/>
  <c r="BR141" i="2"/>
  <c r="BP141" i="2"/>
  <c r="BN141" i="2"/>
  <c r="BK141" i="2"/>
  <c r="BI141" i="2"/>
  <c r="BG141" i="2"/>
  <c r="BE141" i="2"/>
  <c r="BB141" i="2"/>
  <c r="AZ141" i="2"/>
  <c r="AV141" i="2"/>
  <c r="AI141" i="2"/>
  <c r="CK141" i="2" s="1"/>
  <c r="AG141" i="2"/>
  <c r="CI141" i="2" s="1"/>
  <c r="AE141" i="2"/>
  <c r="CB141" i="2" s="1"/>
  <c r="AC141" i="2"/>
  <c r="BZ141" i="2" s="1"/>
  <c r="AA141" i="2"/>
  <c r="BS141" i="2" s="1"/>
  <c r="Y141" i="2"/>
  <c r="BQ141" i="2" s="1"/>
  <c r="W141" i="2"/>
  <c r="BJ141" i="2" s="1"/>
  <c r="U141" i="2"/>
  <c r="BH141" i="2" s="1"/>
  <c r="S141" i="2"/>
  <c r="BA141" i="2" s="1"/>
  <c r="Q141" i="2"/>
  <c r="AY141" i="2" s="1"/>
  <c r="N141" i="2"/>
  <c r="CW141" i="2" l="1"/>
  <c r="BF141" i="2"/>
  <c r="CR137" i="2"/>
  <c r="G141" i="2"/>
  <c r="CS137" i="2"/>
  <c r="J111" i="3" s="1"/>
  <c r="CD141" i="2"/>
  <c r="CM141" i="2"/>
  <c r="CD137" i="2"/>
  <c r="BX141" i="2"/>
  <c r="CU141" i="2"/>
  <c r="L113" i="3" s="1"/>
  <c r="CG141" i="2"/>
  <c r="CU137" i="2"/>
  <c r="L111" i="3" s="1"/>
  <c r="W113" i="3"/>
  <c r="CW137" i="2"/>
  <c r="F111" i="3"/>
  <c r="S111" i="3"/>
  <c r="W111" i="3"/>
  <c r="N111" i="3"/>
  <c r="T111" i="3"/>
  <c r="T113" i="3"/>
  <c r="C111" i="3"/>
  <c r="Q111" i="3"/>
  <c r="U111" i="3"/>
  <c r="B49" i="4"/>
  <c r="N113" i="3"/>
  <c r="E111" i="3"/>
  <c r="R111" i="3"/>
  <c r="V111" i="3"/>
  <c r="CS141" i="2"/>
  <c r="J113" i="3" s="1"/>
  <c r="BC141" i="2"/>
  <c r="DH137" i="2"/>
  <c r="DQ137" i="2"/>
  <c r="DZ137" i="2"/>
  <c r="E113" i="3"/>
  <c r="BC137" i="2"/>
  <c r="BD137" i="2" s="1"/>
  <c r="EI137" i="2"/>
  <c r="CM137" i="2"/>
  <c r="CN137" i="2" s="1"/>
  <c r="CV137" i="2"/>
  <c r="M111" i="3" s="1"/>
  <c r="BU137" i="2"/>
  <c r="CE137" i="2"/>
  <c r="CT137" i="2"/>
  <c r="K111" i="3" s="1"/>
  <c r="BL137" i="2"/>
  <c r="BM137" i="2" s="1"/>
  <c r="CQ137" i="2"/>
  <c r="G111" i="3" s="1"/>
  <c r="BU141" i="2"/>
  <c r="DH141" i="2"/>
  <c r="DQ141" i="2"/>
  <c r="DZ141" i="2"/>
  <c r="F113" i="3"/>
  <c r="Q113" i="3"/>
  <c r="U113" i="3"/>
  <c r="B48" i="4"/>
  <c r="R113" i="3"/>
  <c r="V113" i="3"/>
  <c r="E48" i="4"/>
  <c r="C113" i="3"/>
  <c r="S113" i="3"/>
  <c r="EI141" i="2"/>
  <c r="CV141" i="2"/>
  <c r="M113" i="3" s="1"/>
  <c r="CT141" i="2"/>
  <c r="K113" i="3" s="1"/>
  <c r="BL141" i="2"/>
  <c r="CQ141" i="2"/>
  <c r="G113" i="3" s="1"/>
  <c r="BO141" i="2"/>
  <c r="F49" i="4" l="1"/>
  <c r="F48" i="4"/>
  <c r="BD141" i="2"/>
  <c r="CN141" i="2"/>
  <c r="CE141" i="2"/>
  <c r="BV141" i="2"/>
  <c r="CX141" i="2"/>
  <c r="P111" i="3"/>
  <c r="X111" i="3" s="1"/>
  <c r="D111" i="3"/>
  <c r="BV137" i="2"/>
  <c r="CX137" i="2"/>
  <c r="H111" i="3"/>
  <c r="I111" i="3" s="1"/>
  <c r="O111" i="3" s="1"/>
  <c r="P113" i="3"/>
  <c r="X113" i="3" s="1"/>
  <c r="D113" i="3"/>
  <c r="BM141" i="2"/>
  <c r="CR141" i="2"/>
  <c r="B125" i="3"/>
  <c r="FD189" i="2"/>
  <c r="FC189" i="2"/>
  <c r="FB189" i="2"/>
  <c r="FA189" i="2"/>
  <c r="EZ189" i="2"/>
  <c r="EY189" i="2"/>
  <c r="EX189" i="2"/>
  <c r="EW189" i="2"/>
  <c r="EV189" i="2"/>
  <c r="ET189" i="2"/>
  <c r="FE189" i="2" s="1"/>
  <c r="EH189" i="2"/>
  <c r="EG189" i="2"/>
  <c r="EF189" i="2"/>
  <c r="EE189" i="2"/>
  <c r="ED189" i="2"/>
  <c r="EC189" i="2"/>
  <c r="EB189" i="2"/>
  <c r="EA189" i="2"/>
  <c r="DY189" i="2"/>
  <c r="DX189" i="2"/>
  <c r="DW189" i="2"/>
  <c r="DV189" i="2"/>
  <c r="DU189" i="2"/>
  <c r="DT189" i="2"/>
  <c r="DS189" i="2"/>
  <c r="DR189" i="2"/>
  <c r="DP189" i="2"/>
  <c r="DO189" i="2"/>
  <c r="DN189" i="2"/>
  <c r="DM189" i="2"/>
  <c r="DL189" i="2"/>
  <c r="DK189" i="2"/>
  <c r="DJ189" i="2"/>
  <c r="DI189" i="2"/>
  <c r="CL189" i="2"/>
  <c r="CJ189" i="2"/>
  <c r="CH189" i="2"/>
  <c r="CF189" i="2"/>
  <c r="CC189" i="2"/>
  <c r="CA189" i="2"/>
  <c r="BY189" i="2"/>
  <c r="BW189" i="2"/>
  <c r="BT189" i="2"/>
  <c r="BR189" i="2"/>
  <c r="DD189" i="2" s="1"/>
  <c r="BP189" i="2"/>
  <c r="BO189" i="2"/>
  <c r="BN189" i="2"/>
  <c r="BK189" i="2"/>
  <c r="BI189" i="2"/>
  <c r="BG189" i="2"/>
  <c r="BE189" i="2"/>
  <c r="BB189" i="2"/>
  <c r="DF189" i="2" s="1"/>
  <c r="AZ189" i="2"/>
  <c r="AX189" i="2"/>
  <c r="AV189" i="2"/>
  <c r="AI189" i="2"/>
  <c r="CK189" i="2" s="1"/>
  <c r="AG189" i="2"/>
  <c r="CI189" i="2" s="1"/>
  <c r="AE189" i="2"/>
  <c r="CB189" i="2" s="1"/>
  <c r="AC189" i="2"/>
  <c r="BZ189" i="2" s="1"/>
  <c r="AA189" i="2"/>
  <c r="BS189" i="2" s="1"/>
  <c r="Y189" i="2"/>
  <c r="BQ189" i="2" s="1"/>
  <c r="W189" i="2"/>
  <c r="BJ189" i="2" s="1"/>
  <c r="U189" i="2"/>
  <c r="BH189" i="2" s="1"/>
  <c r="S189" i="2"/>
  <c r="BA189" i="2" s="1"/>
  <c r="Q189" i="2"/>
  <c r="AY189" i="2" s="1"/>
  <c r="N189" i="2"/>
  <c r="BX189" i="2"/>
  <c r="CV189" i="2" l="1"/>
  <c r="M125" i="3" s="1"/>
  <c r="M126" i="3" s="1"/>
  <c r="CQ189" i="2"/>
  <c r="G125" i="3" s="1"/>
  <c r="T125" i="3"/>
  <c r="T126" i="3" s="1"/>
  <c r="CS189" i="2"/>
  <c r="J125" i="3" s="1"/>
  <c r="J126" i="3" s="1"/>
  <c r="CU189" i="2"/>
  <c r="L125" i="3" s="1"/>
  <c r="L126" i="3" s="1"/>
  <c r="Y111" i="3"/>
  <c r="AA111" i="3" s="1"/>
  <c r="CY137" i="2"/>
  <c r="CY141" i="2"/>
  <c r="H113" i="3"/>
  <c r="I113" i="3" s="1"/>
  <c r="O113" i="3" s="1"/>
  <c r="Y113" i="3" s="1"/>
  <c r="AA113" i="3" s="1"/>
  <c r="CT189" i="2"/>
  <c r="K125" i="3" s="1"/>
  <c r="K126" i="3" s="1"/>
  <c r="CW189" i="2"/>
  <c r="N125" i="3" s="1"/>
  <c r="N126" i="3" s="1"/>
  <c r="B47" i="4"/>
  <c r="E47" i="4"/>
  <c r="U125" i="3"/>
  <c r="U126" i="3" s="1"/>
  <c r="V125" i="3"/>
  <c r="V126" i="3" s="1"/>
  <c r="W125" i="3"/>
  <c r="W126" i="3" s="1"/>
  <c r="C125" i="3"/>
  <c r="Q125" i="3"/>
  <c r="Q126" i="3" s="1"/>
  <c r="R125" i="3"/>
  <c r="R126" i="3" s="1"/>
  <c r="E125" i="3"/>
  <c r="S125" i="3"/>
  <c r="S126" i="3" s="1"/>
  <c r="F125" i="3"/>
  <c r="EI189" i="2"/>
  <c r="DE189" i="2"/>
  <c r="CZ189" i="2"/>
  <c r="DZ189" i="2"/>
  <c r="DQ189" i="2"/>
  <c r="CD189" i="2"/>
  <c r="CE189" i="2" s="1"/>
  <c r="CM189" i="2"/>
  <c r="BC189" i="2"/>
  <c r="DC189" i="2"/>
  <c r="BL189" i="2"/>
  <c r="BM189" i="2" s="1"/>
  <c r="DB189" i="2"/>
  <c r="G189" i="2"/>
  <c r="BU189" i="2"/>
  <c r="BV189" i="2" s="1"/>
  <c r="CG189" i="2"/>
  <c r="F47" i="4" l="1"/>
  <c r="CX189" i="2"/>
  <c r="CR189" i="2"/>
  <c r="H125" i="3" s="1"/>
  <c r="H126" i="3" s="1"/>
  <c r="G126" i="3"/>
  <c r="P125" i="3"/>
  <c r="D125" i="3"/>
  <c r="CN189" i="2"/>
  <c r="DA189" i="2"/>
  <c r="BD189" i="2"/>
  <c r="DG189" i="2"/>
  <c r="CY189" i="2" l="1"/>
  <c r="I125" i="3"/>
  <c r="I126" i="3" s="1"/>
  <c r="P126" i="3"/>
  <c r="X125" i="3"/>
  <c r="X126" i="3" s="1"/>
  <c r="DH189" i="2"/>
  <c r="O125" i="3" l="1"/>
  <c r="O126" i="3" s="1"/>
  <c r="Y125" i="3" l="1"/>
  <c r="AA125" i="3" s="1"/>
  <c r="AA126" i="3" l="1"/>
  <c r="Z126" i="3"/>
  <c r="AB126" i="3" s="1"/>
  <c r="Y126" i="3"/>
  <c r="AD126" i="3" l="1"/>
  <c r="AC126" i="3"/>
  <c r="FD75" i="2"/>
  <c r="FB75" i="2"/>
  <c r="FD87" i="2"/>
  <c r="FD86" i="2"/>
  <c r="FB86" i="2"/>
  <c r="FB87" i="2"/>
  <c r="EY86" i="2" l="1"/>
  <c r="B73" i="3"/>
  <c r="E46" i="4" s="1"/>
  <c r="FD108" i="2"/>
  <c r="FC108" i="2"/>
  <c r="FB108" i="2"/>
  <c r="FA108" i="2"/>
  <c r="EZ108" i="2"/>
  <c r="EY108" i="2"/>
  <c r="EX108" i="2"/>
  <c r="EW108" i="2"/>
  <c r="EV108" i="2"/>
  <c r="ET108" i="2"/>
  <c r="FE108" i="2" s="1"/>
  <c r="DG108" i="2"/>
  <c r="DF108" i="2"/>
  <c r="DE108" i="2"/>
  <c r="DD108" i="2"/>
  <c r="DC108" i="2"/>
  <c r="DB108" i="2"/>
  <c r="DA108" i="2"/>
  <c r="CZ108" i="2"/>
  <c r="CG108" i="2"/>
  <c r="CF108" i="2"/>
  <c r="CC108" i="2"/>
  <c r="CA108" i="2"/>
  <c r="BY108" i="2"/>
  <c r="BX108" i="2"/>
  <c r="BW108" i="2"/>
  <c r="BT108" i="2"/>
  <c r="BR108" i="2"/>
  <c r="BP108" i="2"/>
  <c r="BO108" i="2"/>
  <c r="BN108" i="2"/>
  <c r="BK108" i="2"/>
  <c r="BI108" i="2"/>
  <c r="BG108" i="2"/>
  <c r="BE108" i="2"/>
  <c r="BB108" i="2"/>
  <c r="AZ108" i="2"/>
  <c r="AX108" i="2"/>
  <c r="AV108" i="2"/>
  <c r="AE108" i="2"/>
  <c r="CB108" i="2" s="1"/>
  <c r="AC108" i="2"/>
  <c r="BZ108" i="2" s="1"/>
  <c r="AA108" i="2"/>
  <c r="BS108" i="2" s="1"/>
  <c r="Y108" i="2"/>
  <c r="BQ108" i="2" s="1"/>
  <c r="BJ108" i="2"/>
  <c r="BH108" i="2"/>
  <c r="S108" i="2"/>
  <c r="BA108" i="2" s="1"/>
  <c r="Q108" i="2"/>
  <c r="AY108" i="2" s="1"/>
  <c r="N108" i="2"/>
  <c r="G108" i="2"/>
  <c r="B72" i="3"/>
  <c r="E45" i="4" s="1"/>
  <c r="ET107" i="2"/>
  <c r="FE107" i="2" s="1"/>
  <c r="FD107" i="2"/>
  <c r="FC107" i="2"/>
  <c r="FB107" i="2"/>
  <c r="FA107" i="2"/>
  <c r="EZ107" i="2"/>
  <c r="EY107" i="2"/>
  <c r="EX107" i="2"/>
  <c r="EW107" i="2"/>
  <c r="EV107" i="2"/>
  <c r="DG107" i="2"/>
  <c r="DF107" i="2"/>
  <c r="DE107" i="2"/>
  <c r="DD107" i="2"/>
  <c r="DC107" i="2"/>
  <c r="DB107" i="2"/>
  <c r="DA107" i="2"/>
  <c r="CZ107" i="2"/>
  <c r="CG107" i="2"/>
  <c r="CF107" i="2"/>
  <c r="CC107" i="2"/>
  <c r="CA107" i="2"/>
  <c r="BY107" i="2"/>
  <c r="BX107" i="2"/>
  <c r="BW107" i="2"/>
  <c r="BT107" i="2"/>
  <c r="BR107" i="2"/>
  <c r="BP107" i="2"/>
  <c r="BO107" i="2"/>
  <c r="BN107" i="2"/>
  <c r="BK107" i="2"/>
  <c r="BI107" i="2"/>
  <c r="BG107" i="2"/>
  <c r="BE107" i="2"/>
  <c r="BB107" i="2"/>
  <c r="AZ107" i="2"/>
  <c r="AX107" i="2"/>
  <c r="AV107" i="2"/>
  <c r="AE107" i="2"/>
  <c r="CB107" i="2" s="1"/>
  <c r="AC107" i="2"/>
  <c r="BZ107" i="2" s="1"/>
  <c r="AA107" i="2"/>
  <c r="BS107" i="2" s="1"/>
  <c r="Y107" i="2"/>
  <c r="BQ107" i="2" s="1"/>
  <c r="BJ107" i="2"/>
  <c r="BH107" i="2"/>
  <c r="S107" i="2"/>
  <c r="BA107" i="2" s="1"/>
  <c r="Q107" i="2"/>
  <c r="AY107" i="2" s="1"/>
  <c r="N107" i="2"/>
  <c r="G107" i="2"/>
  <c r="B44" i="4"/>
  <c r="B46" i="3"/>
  <c r="FE63" i="2"/>
  <c r="FD63" i="2"/>
  <c r="FC63" i="2"/>
  <c r="FB63" i="2"/>
  <c r="FA63" i="2"/>
  <c r="EZ63" i="2"/>
  <c r="EY63" i="2"/>
  <c r="EX63" i="2"/>
  <c r="EW63" i="2"/>
  <c r="EV63" i="2"/>
  <c r="EH63" i="2"/>
  <c r="EG63" i="2"/>
  <c r="EF63" i="2"/>
  <c r="EE63" i="2"/>
  <c r="ED63" i="2"/>
  <c r="EC63" i="2"/>
  <c r="EB63" i="2"/>
  <c r="EA63" i="2"/>
  <c r="DY63" i="2"/>
  <c r="DX63" i="2"/>
  <c r="DW63" i="2"/>
  <c r="DV63" i="2"/>
  <c r="DU63" i="2"/>
  <c r="DT63" i="2"/>
  <c r="DS63" i="2"/>
  <c r="DR63" i="2"/>
  <c r="DP63" i="2"/>
  <c r="DO63" i="2"/>
  <c r="DN63" i="2"/>
  <c r="DM63" i="2"/>
  <c r="DL63" i="2"/>
  <c r="DK63" i="2"/>
  <c r="DJ63" i="2"/>
  <c r="DI63" i="2"/>
  <c r="DG63" i="2"/>
  <c r="DF63" i="2"/>
  <c r="DE63" i="2"/>
  <c r="DD63" i="2"/>
  <c r="DC63" i="2"/>
  <c r="DB63" i="2"/>
  <c r="DA63" i="2"/>
  <c r="CZ63" i="2"/>
  <c r="CL63" i="2"/>
  <c r="CJ63" i="2"/>
  <c r="CH63" i="2"/>
  <c r="CG63" i="2"/>
  <c r="CF63" i="2"/>
  <c r="CC63" i="2"/>
  <c r="CA63" i="2"/>
  <c r="BY63" i="2"/>
  <c r="BX63" i="2"/>
  <c r="BT63" i="2"/>
  <c r="BR63" i="2"/>
  <c r="BP63" i="2"/>
  <c r="BO63" i="2"/>
  <c r="BN63" i="2"/>
  <c r="BK63" i="2"/>
  <c r="BI63" i="2"/>
  <c r="BG63" i="2"/>
  <c r="BE63" i="2"/>
  <c r="BB63" i="2"/>
  <c r="AZ63" i="2"/>
  <c r="AX63" i="2"/>
  <c r="AV63" i="2"/>
  <c r="AI63" i="2"/>
  <c r="CK63" i="2" s="1"/>
  <c r="AG63" i="2"/>
  <c r="CI63" i="2" s="1"/>
  <c r="AE63" i="2"/>
  <c r="CB63" i="2" s="1"/>
  <c r="AC63" i="2"/>
  <c r="BZ63" i="2" s="1"/>
  <c r="AA63" i="2"/>
  <c r="BS63" i="2" s="1"/>
  <c r="Y63" i="2"/>
  <c r="BQ63" i="2" s="1"/>
  <c r="W63" i="2"/>
  <c r="BJ63" i="2" s="1"/>
  <c r="U63" i="2"/>
  <c r="BH63" i="2" s="1"/>
  <c r="S63" i="2"/>
  <c r="BA63" i="2" s="1"/>
  <c r="Q63" i="2"/>
  <c r="AY63" i="2" s="1"/>
  <c r="N63" i="2"/>
  <c r="G63" i="2"/>
  <c r="CW63" i="2" l="1"/>
  <c r="CU107" i="2"/>
  <c r="L72" i="3" s="1"/>
  <c r="S46" i="3"/>
  <c r="BU63" i="2"/>
  <c r="BV63" i="2" s="1"/>
  <c r="CW108" i="2"/>
  <c r="N73" i="3" s="1"/>
  <c r="CT107" i="2"/>
  <c r="K72" i="3" s="1"/>
  <c r="CS108" i="2"/>
  <c r="J73" i="3" s="1"/>
  <c r="CU63" i="2"/>
  <c r="L46" i="3" s="1"/>
  <c r="CU108" i="2"/>
  <c r="L73" i="3" s="1"/>
  <c r="CV108" i="2"/>
  <c r="M73" i="3" s="1"/>
  <c r="CV107" i="2"/>
  <c r="M72" i="3" s="1"/>
  <c r="CS107" i="2"/>
  <c r="J72" i="3" s="1"/>
  <c r="CW107" i="2"/>
  <c r="N72" i="3" s="1"/>
  <c r="W73" i="3"/>
  <c r="C73" i="3"/>
  <c r="S73" i="3"/>
  <c r="U72" i="3"/>
  <c r="CQ108" i="2"/>
  <c r="G73" i="3" s="1"/>
  <c r="CR108" i="2"/>
  <c r="H73" i="3" s="1"/>
  <c r="DH108" i="2"/>
  <c r="E73" i="3"/>
  <c r="T73" i="3"/>
  <c r="F73" i="3"/>
  <c r="Q73" i="3"/>
  <c r="U73" i="3"/>
  <c r="B46" i="4"/>
  <c r="E72" i="3"/>
  <c r="R73" i="3"/>
  <c r="V73" i="3"/>
  <c r="F72" i="3"/>
  <c r="Q72" i="3"/>
  <c r="W72" i="3"/>
  <c r="S72" i="3"/>
  <c r="C72" i="3"/>
  <c r="T72" i="3"/>
  <c r="B45" i="4"/>
  <c r="BL108" i="2"/>
  <c r="BM108" i="2" s="1"/>
  <c r="CT108" i="2"/>
  <c r="K73" i="3" s="1"/>
  <c r="BU108" i="2"/>
  <c r="BV108" i="2" s="1"/>
  <c r="CD108" i="2"/>
  <c r="CE108" i="2" s="1"/>
  <c r="BC108" i="2"/>
  <c r="BD108" i="2" s="1"/>
  <c r="R72" i="3"/>
  <c r="V72" i="3"/>
  <c r="F46" i="3"/>
  <c r="Q46" i="3"/>
  <c r="T46" i="3"/>
  <c r="N46" i="3"/>
  <c r="V46" i="3"/>
  <c r="E46" i="3"/>
  <c r="U46" i="3"/>
  <c r="CR107" i="2"/>
  <c r="H72" i="3" s="1"/>
  <c r="CQ107" i="2"/>
  <c r="G72" i="3" s="1"/>
  <c r="CD107" i="2"/>
  <c r="CE107" i="2" s="1"/>
  <c r="DH107" i="2"/>
  <c r="BU107" i="2"/>
  <c r="BV107" i="2" s="1"/>
  <c r="BC107" i="2"/>
  <c r="BL107" i="2"/>
  <c r="BM107" i="2" s="1"/>
  <c r="R46" i="3"/>
  <c r="W46" i="3"/>
  <c r="E44" i="4"/>
  <c r="C46" i="3"/>
  <c r="F44" i="4"/>
  <c r="CR63" i="2"/>
  <c r="H46" i="3" s="1"/>
  <c r="DH63" i="2"/>
  <c r="DQ63" i="2"/>
  <c r="DZ63" i="2"/>
  <c r="EI63" i="2"/>
  <c r="BL63" i="2"/>
  <c r="BM63" i="2" s="1"/>
  <c r="CM63" i="2"/>
  <c r="CN63" i="2" s="1"/>
  <c r="CT63" i="2"/>
  <c r="K46" i="3" s="1"/>
  <c r="BC63" i="2"/>
  <c r="CV63" i="2"/>
  <c r="M46" i="3" s="1"/>
  <c r="CD63" i="2"/>
  <c r="CE63" i="2" s="1"/>
  <c r="CS63" i="2"/>
  <c r="J46" i="3" s="1"/>
  <c r="CQ63" i="2"/>
  <c r="G46" i="3" s="1"/>
  <c r="F46" i="4" l="1"/>
  <c r="F45" i="4"/>
  <c r="E42" i="7"/>
  <c r="I73" i="3"/>
  <c r="O73" i="3" s="1"/>
  <c r="D73" i="3"/>
  <c r="P73" i="3"/>
  <c r="X73" i="3" s="1"/>
  <c r="CX108" i="2"/>
  <c r="CY108" i="2" s="1"/>
  <c r="I72" i="3"/>
  <c r="O72" i="3" s="1"/>
  <c r="D72" i="3"/>
  <c r="P72" i="3"/>
  <c r="X72" i="3" s="1"/>
  <c r="CX107" i="2"/>
  <c r="CY107" i="2" s="1"/>
  <c r="BD107" i="2"/>
  <c r="I46" i="3"/>
  <c r="O46" i="3" s="1"/>
  <c r="P46" i="3"/>
  <c r="X46" i="3" s="1"/>
  <c r="D46" i="3"/>
  <c r="CX63" i="2"/>
  <c r="CY63" i="2" s="1"/>
  <c r="BD63" i="2"/>
  <c r="FB90" i="2"/>
  <c r="AW159" i="2"/>
  <c r="V216" i="2"/>
  <c r="FE59" i="2" l="1"/>
  <c r="ET59" i="2"/>
  <c r="Y73" i="3"/>
  <c r="AA73" i="3" s="1"/>
  <c r="Y72" i="3"/>
  <c r="AA72" i="3" s="1"/>
  <c r="Y46" i="3"/>
  <c r="AA46" i="3" s="1"/>
  <c r="CC78" i="2"/>
  <c r="CC77" i="2"/>
  <c r="CC75" i="2"/>
  <c r="CC70" i="2"/>
  <c r="CC69" i="2"/>
  <c r="CC68" i="2"/>
  <c r="CC35" i="2"/>
  <c r="CC31" i="2"/>
  <c r="CA78" i="2"/>
  <c r="CA77" i="2"/>
  <c r="CA75" i="2"/>
  <c r="CA70" i="2"/>
  <c r="CA69" i="2"/>
  <c r="CA68" i="2"/>
  <c r="CA35" i="2"/>
  <c r="CA31" i="2"/>
  <c r="BY78" i="2"/>
  <c r="BY77" i="2"/>
  <c r="BY75" i="2"/>
  <c r="BY70" i="2"/>
  <c r="BY69" i="2"/>
  <c r="BY68" i="2"/>
  <c r="BY35" i="2"/>
  <c r="BY31" i="2"/>
  <c r="BX70" i="2"/>
  <c r="BX69" i="2"/>
  <c r="BX68" i="2"/>
  <c r="BX35" i="2"/>
  <c r="BX31" i="2"/>
  <c r="BW77" i="2"/>
  <c r="BW75" i="2"/>
  <c r="BW70" i="2"/>
  <c r="BW69" i="2"/>
  <c r="BW68" i="2"/>
  <c r="BW35" i="2"/>
  <c r="BW31" i="2"/>
  <c r="CE511" i="2"/>
  <c r="CE506" i="2"/>
  <c r="CE500" i="2"/>
  <c r="CE499" i="2"/>
  <c r="CE496" i="2"/>
  <c r="CE495" i="2"/>
  <c r="CE491" i="2"/>
  <c r="CE484" i="2"/>
  <c r="CE482" i="2"/>
  <c r="CE441" i="2" l="1"/>
  <c r="CE488" i="2" s="1"/>
  <c r="CD441" i="2"/>
  <c r="CC441" i="2"/>
  <c r="CB441" i="2"/>
  <c r="CA441" i="2"/>
  <c r="BZ441" i="2"/>
  <c r="BY441" i="2"/>
  <c r="BX441" i="2"/>
  <c r="BW441" i="2"/>
  <c r="BW488" i="2" s="1"/>
  <c r="A17" i="3" l="1"/>
  <c r="A19" i="3" s="1"/>
  <c r="CC213" i="2" l="1"/>
  <c r="CA213" i="2"/>
  <c r="BY213" i="2"/>
  <c r="BW213" i="2"/>
  <c r="CC212" i="2"/>
  <c r="CA212" i="2"/>
  <c r="BY212" i="2"/>
  <c r="BW212" i="2"/>
  <c r="CC211" i="2"/>
  <c r="CA211" i="2"/>
  <c r="BY211" i="2"/>
  <c r="BX211" i="2"/>
  <c r="BW211" i="2"/>
  <c r="CC120" i="2"/>
  <c r="CB120" i="2"/>
  <c r="CA120" i="2"/>
  <c r="BZ120" i="2"/>
  <c r="BY120" i="2"/>
  <c r="BW120" i="2"/>
  <c r="CC105" i="2"/>
  <c r="CA105" i="2"/>
  <c r="BY105" i="2"/>
  <c r="BX105" i="2"/>
  <c r="BW105" i="2"/>
  <c r="CC98" i="2"/>
  <c r="CA98" i="2"/>
  <c r="BY98" i="2"/>
  <c r="BX98" i="2"/>
  <c r="BW98" i="2"/>
  <c r="CC97" i="2"/>
  <c r="CA97" i="2"/>
  <c r="BY97" i="2"/>
  <c r="BX97" i="2"/>
  <c r="BW97" i="2"/>
  <c r="CC96" i="2"/>
  <c r="CA96" i="2"/>
  <c r="BY96" i="2"/>
  <c r="BW96" i="2"/>
  <c r="CC87" i="2"/>
  <c r="CA87" i="2"/>
  <c r="BY87" i="2"/>
  <c r="BX87" i="2"/>
  <c r="BW87" i="2"/>
  <c r="CC86" i="2"/>
  <c r="CA86" i="2"/>
  <c r="BY86" i="2"/>
  <c r="BX86" i="2"/>
  <c r="BW86" i="2"/>
  <c r="CC85" i="2"/>
  <c r="CA85" i="2"/>
  <c r="BY85" i="2"/>
  <c r="BX85" i="2"/>
  <c r="BW85" i="2"/>
  <c r="CC49" i="2"/>
  <c r="CA49" i="2"/>
  <c r="BY49" i="2"/>
  <c r="BX49" i="2"/>
  <c r="BW46" i="2"/>
  <c r="BW45" i="2"/>
  <c r="BW40" i="2"/>
  <c r="BW39" i="2"/>
  <c r="BW36" i="2"/>
  <c r="CC12" i="2"/>
  <c r="CB12" i="2"/>
  <c r="CA12" i="2"/>
  <c r="BZ12" i="2"/>
  <c r="BY12" i="2"/>
  <c r="BX12" i="2"/>
  <c r="BW12" i="2"/>
  <c r="CD120" i="2" l="1"/>
  <c r="CD12" i="2"/>
  <c r="CE12" i="2" s="1"/>
  <c r="B74" i="3"/>
  <c r="E43" i="4" s="1"/>
  <c r="FK105" i="2"/>
  <c r="FD105" i="2"/>
  <c r="FC105" i="2"/>
  <c r="FB105" i="2"/>
  <c r="FA105" i="2"/>
  <c r="EZ105" i="2"/>
  <c r="EY105" i="2"/>
  <c r="EX105" i="2"/>
  <c r="EW105" i="2"/>
  <c r="EV105" i="2"/>
  <c r="ET105" i="2"/>
  <c r="FE105" i="2" s="1"/>
  <c r="CG105" i="2"/>
  <c r="CF105" i="2"/>
  <c r="BT105" i="2"/>
  <c r="BR105" i="2"/>
  <c r="BP105" i="2"/>
  <c r="BO105" i="2"/>
  <c r="BN105" i="2"/>
  <c r="BK105" i="2"/>
  <c r="BI105" i="2"/>
  <c r="BG105" i="2"/>
  <c r="BE105" i="2"/>
  <c r="BB105" i="2"/>
  <c r="AZ105" i="2"/>
  <c r="AX105" i="2"/>
  <c r="AV105" i="2"/>
  <c r="AE105" i="2"/>
  <c r="CB105" i="2" s="1"/>
  <c r="AC105" i="2"/>
  <c r="BZ105" i="2" s="1"/>
  <c r="AA105" i="2"/>
  <c r="BS105" i="2" s="1"/>
  <c r="Y105" i="2"/>
  <c r="BQ105" i="2" s="1"/>
  <c r="BJ105" i="2"/>
  <c r="BH105" i="2"/>
  <c r="S105" i="2"/>
  <c r="BA105" i="2" s="1"/>
  <c r="DE105" i="2" s="1"/>
  <c r="Q105" i="2"/>
  <c r="AY105" i="2" s="1"/>
  <c r="N105" i="2"/>
  <c r="G105" i="2"/>
  <c r="CW105" i="2" l="1"/>
  <c r="N74" i="3" s="1"/>
  <c r="W74" i="3"/>
  <c r="C74" i="3"/>
  <c r="CD105" i="2"/>
  <c r="CE105" i="2" s="1"/>
  <c r="BL105" i="2"/>
  <c r="BM105" i="2" s="1"/>
  <c r="BU105" i="2"/>
  <c r="E74" i="3"/>
  <c r="S74" i="3"/>
  <c r="T74" i="3"/>
  <c r="F74" i="3"/>
  <c r="Q74" i="3"/>
  <c r="U74" i="3"/>
  <c r="B43" i="4"/>
  <c r="R74" i="3"/>
  <c r="V74" i="3"/>
  <c r="DA105" i="2"/>
  <c r="DD105" i="2"/>
  <c r="CS105" i="2"/>
  <c r="J74" i="3" s="1"/>
  <c r="BC105" i="2"/>
  <c r="BD105" i="2" s="1"/>
  <c r="CT105" i="2"/>
  <c r="K74" i="3" s="1"/>
  <c r="DB105" i="2"/>
  <c r="DF105" i="2"/>
  <c r="CQ105" i="2"/>
  <c r="G74" i="3" s="1"/>
  <c r="CU105" i="2"/>
  <c r="L74" i="3" s="1"/>
  <c r="DC105" i="2"/>
  <c r="DG105" i="2"/>
  <c r="CR105" i="2"/>
  <c r="H74" i="3" s="1"/>
  <c r="CV105" i="2"/>
  <c r="M74" i="3" s="1"/>
  <c r="CZ105" i="2"/>
  <c r="B142" i="6"/>
  <c r="AC142" i="6" s="1"/>
  <c r="FD207" i="2"/>
  <c r="FC207" i="2"/>
  <c r="FB207" i="2"/>
  <c r="FA207" i="2"/>
  <c r="FL207" i="2" s="1"/>
  <c r="EZ207" i="2"/>
  <c r="EY207" i="2"/>
  <c r="EX207" i="2"/>
  <c r="EW207" i="2"/>
  <c r="EV207" i="2"/>
  <c r="ET207" i="2"/>
  <c r="FE207" i="2" s="1"/>
  <c r="EH207" i="2"/>
  <c r="EG207" i="2"/>
  <c r="EF207" i="2"/>
  <c r="EE207" i="2"/>
  <c r="ED207" i="2"/>
  <c r="EC207" i="2"/>
  <c r="EB207" i="2"/>
  <c r="EA207" i="2"/>
  <c r="DY207" i="2"/>
  <c r="DX207" i="2"/>
  <c r="DW207" i="2"/>
  <c r="DV207" i="2"/>
  <c r="DU207" i="2"/>
  <c r="DT207" i="2"/>
  <c r="DS207" i="2"/>
  <c r="DR207" i="2"/>
  <c r="CX207" i="2"/>
  <c r="CW207" i="2"/>
  <c r="CV207" i="2"/>
  <c r="CU207" i="2"/>
  <c r="CT207" i="2"/>
  <c r="CS207" i="2"/>
  <c r="CR207" i="2"/>
  <c r="CQ207" i="2"/>
  <c r="CL207" i="2"/>
  <c r="CJ207" i="2"/>
  <c r="CH207" i="2"/>
  <c r="CG207" i="2"/>
  <c r="CF207" i="2"/>
  <c r="CC207" i="2"/>
  <c r="CA207" i="2"/>
  <c r="BY207" i="2"/>
  <c r="BX207" i="2"/>
  <c r="BW207" i="2"/>
  <c r="BT207" i="2"/>
  <c r="BR207" i="2"/>
  <c r="BP207" i="2"/>
  <c r="BN207" i="2"/>
  <c r="BK207" i="2"/>
  <c r="BI207" i="2"/>
  <c r="BG207" i="2"/>
  <c r="BE207" i="2"/>
  <c r="BB207" i="2"/>
  <c r="AZ207" i="2"/>
  <c r="AX207" i="2"/>
  <c r="AV207" i="2"/>
  <c r="AI207" i="2"/>
  <c r="CK207" i="2" s="1"/>
  <c r="AG207" i="2"/>
  <c r="CI207" i="2" s="1"/>
  <c r="AE207" i="2"/>
  <c r="CB207" i="2" s="1"/>
  <c r="AC207" i="2"/>
  <c r="BZ207" i="2" s="1"/>
  <c r="AA207" i="2"/>
  <c r="BS207" i="2" s="1"/>
  <c r="Y207" i="2"/>
  <c r="BQ207" i="2" s="1"/>
  <c r="W207" i="2"/>
  <c r="BJ207" i="2" s="1"/>
  <c r="U207" i="2"/>
  <c r="BH207" i="2" s="1"/>
  <c r="S207" i="2"/>
  <c r="BA207" i="2" s="1"/>
  <c r="Q207" i="2"/>
  <c r="AY207" i="2" s="1"/>
  <c r="N207" i="2"/>
  <c r="G207" i="2"/>
  <c r="F43" i="4" l="1"/>
  <c r="CX105" i="2"/>
  <c r="CY105" i="2" s="1"/>
  <c r="BV105" i="2"/>
  <c r="I74" i="3"/>
  <c r="O74" i="3" s="1"/>
  <c r="P74" i="3"/>
  <c r="X74" i="3" s="1"/>
  <c r="D74" i="3"/>
  <c r="DJ207" i="2"/>
  <c r="H142" i="6" s="1"/>
  <c r="X142" i="6"/>
  <c r="DH105" i="2"/>
  <c r="DN207" i="2"/>
  <c r="M142" i="6" s="1"/>
  <c r="DM207" i="2"/>
  <c r="L142" i="6" s="1"/>
  <c r="DI207" i="2"/>
  <c r="G142" i="6" s="1"/>
  <c r="DO207" i="2"/>
  <c r="DL207" i="2"/>
  <c r="K142" i="6" s="1"/>
  <c r="DK207" i="2"/>
  <c r="J142" i="6" s="1"/>
  <c r="E142" i="6"/>
  <c r="DZ207" i="2"/>
  <c r="EI207" i="2"/>
  <c r="CY207" i="2"/>
  <c r="S142" i="6"/>
  <c r="W142" i="6"/>
  <c r="O142" i="6"/>
  <c r="U142" i="6"/>
  <c r="F142" i="6"/>
  <c r="R142" i="6"/>
  <c r="V142" i="6"/>
  <c r="C142" i="6"/>
  <c r="T142" i="6"/>
  <c r="BL207" i="2"/>
  <c r="BM207" i="2" s="1"/>
  <c r="CM207" i="2"/>
  <c r="CN207" i="2" s="1"/>
  <c r="DB207" i="2"/>
  <c r="DA207" i="2"/>
  <c r="DD207" i="2"/>
  <c r="DF207" i="2"/>
  <c r="BU207" i="2"/>
  <c r="BV207" i="2" s="1"/>
  <c r="CD207" i="2"/>
  <c r="CE207" i="2" s="1"/>
  <c r="DC207" i="2"/>
  <c r="BC207" i="2"/>
  <c r="DE207" i="2"/>
  <c r="CZ207" i="2"/>
  <c r="B140" i="6"/>
  <c r="AC140" i="6" s="1"/>
  <c r="FD205" i="2"/>
  <c r="FC205" i="2"/>
  <c r="FB205" i="2"/>
  <c r="FA205" i="2"/>
  <c r="FL205" i="2" s="1"/>
  <c r="EZ205" i="2"/>
  <c r="EX205" i="2"/>
  <c r="EW205" i="2"/>
  <c r="EV205" i="2"/>
  <c r="ET205" i="2"/>
  <c r="FE205" i="2" s="1"/>
  <c r="EY205" i="2"/>
  <c r="EF205" i="2"/>
  <c r="CL205" i="2"/>
  <c r="CJ205" i="2"/>
  <c r="CH205" i="2"/>
  <c r="CG205" i="2"/>
  <c r="CF205" i="2"/>
  <c r="CC205" i="2"/>
  <c r="CA205" i="2"/>
  <c r="BY205" i="2"/>
  <c r="BX205" i="2"/>
  <c r="BW205" i="2"/>
  <c r="BT205" i="2"/>
  <c r="BR205" i="2"/>
  <c r="BP205" i="2"/>
  <c r="BN205" i="2"/>
  <c r="BK205" i="2"/>
  <c r="BI205" i="2"/>
  <c r="BG205" i="2"/>
  <c r="BE205" i="2"/>
  <c r="BB205" i="2"/>
  <c r="AZ205" i="2"/>
  <c r="AX205" i="2"/>
  <c r="AV205" i="2"/>
  <c r="AI205" i="2"/>
  <c r="CK205" i="2" s="1"/>
  <c r="AG205" i="2"/>
  <c r="CI205" i="2" s="1"/>
  <c r="AE205" i="2"/>
  <c r="CB205" i="2" s="1"/>
  <c r="AC205" i="2"/>
  <c r="BZ205" i="2" s="1"/>
  <c r="AA205" i="2"/>
  <c r="BS205" i="2" s="1"/>
  <c r="Y205" i="2"/>
  <c r="BQ205" i="2" s="1"/>
  <c r="W205" i="2"/>
  <c r="BJ205" i="2" s="1"/>
  <c r="U205" i="2"/>
  <c r="BH205" i="2" s="1"/>
  <c r="S205" i="2"/>
  <c r="BA205" i="2" s="1"/>
  <c r="Q205" i="2"/>
  <c r="AY205" i="2" s="1"/>
  <c r="N205" i="2"/>
  <c r="G205" i="2"/>
  <c r="B141" i="6"/>
  <c r="AC141" i="6" s="1"/>
  <c r="FK208" i="2"/>
  <c r="FD208" i="2"/>
  <c r="FC208" i="2"/>
  <c r="FB208" i="2"/>
  <c r="FA208" i="2"/>
  <c r="EZ208" i="2"/>
  <c r="EX208" i="2"/>
  <c r="EW208" i="2"/>
  <c r="EV208" i="2"/>
  <c r="ET208" i="2"/>
  <c r="FE208" i="2" s="1"/>
  <c r="EY208" i="2"/>
  <c r="EH208" i="2"/>
  <c r="EG208" i="2"/>
  <c r="EF208" i="2"/>
  <c r="EE208" i="2"/>
  <c r="ED208" i="2"/>
  <c r="EC208" i="2"/>
  <c r="EB208" i="2"/>
  <c r="EA208" i="2"/>
  <c r="DY208" i="2"/>
  <c r="DX208" i="2"/>
  <c r="DW208" i="2"/>
  <c r="DV208" i="2"/>
  <c r="DU208" i="2"/>
  <c r="DT208" i="2"/>
  <c r="DS208" i="2"/>
  <c r="DR208" i="2"/>
  <c r="CX208" i="2"/>
  <c r="CW208" i="2"/>
  <c r="CV208" i="2"/>
  <c r="CU208" i="2"/>
  <c r="CT208" i="2"/>
  <c r="CS208" i="2"/>
  <c r="CR208" i="2"/>
  <c r="CQ208" i="2"/>
  <c r="CL208" i="2"/>
  <c r="CJ208" i="2"/>
  <c r="CH208" i="2"/>
  <c r="CG208" i="2"/>
  <c r="CF208" i="2"/>
  <c r="CC208" i="2"/>
  <c r="CA208" i="2"/>
  <c r="BY208" i="2"/>
  <c r="BX208" i="2"/>
  <c r="BW208" i="2"/>
  <c r="BT208" i="2"/>
  <c r="BR208" i="2"/>
  <c r="BP208" i="2"/>
  <c r="BN208" i="2"/>
  <c r="BK208" i="2"/>
  <c r="BI208" i="2"/>
  <c r="BG208" i="2"/>
  <c r="BE208" i="2"/>
  <c r="BB208" i="2"/>
  <c r="AZ208" i="2"/>
  <c r="AX208" i="2"/>
  <c r="AV208" i="2"/>
  <c r="AI208" i="2"/>
  <c r="CK208" i="2" s="1"/>
  <c r="AG208" i="2"/>
  <c r="CI208" i="2" s="1"/>
  <c r="AE208" i="2"/>
  <c r="CB208" i="2" s="1"/>
  <c r="AC208" i="2"/>
  <c r="BZ208" i="2" s="1"/>
  <c r="AA208" i="2"/>
  <c r="BS208" i="2" s="1"/>
  <c r="Y208" i="2"/>
  <c r="BQ208" i="2" s="1"/>
  <c r="W208" i="2"/>
  <c r="BJ208" i="2" s="1"/>
  <c r="U208" i="2"/>
  <c r="BH208" i="2" s="1"/>
  <c r="S208" i="2"/>
  <c r="BA208" i="2" s="1"/>
  <c r="Q208" i="2"/>
  <c r="AY208" i="2" s="1"/>
  <c r="N208" i="2"/>
  <c r="G208" i="2"/>
  <c r="B139" i="6"/>
  <c r="FD206" i="2"/>
  <c r="FC206" i="2"/>
  <c r="FB206" i="2"/>
  <c r="FA206" i="2"/>
  <c r="FL206" i="2" s="1"/>
  <c r="EZ206" i="2"/>
  <c r="EX206" i="2"/>
  <c r="EW206" i="2"/>
  <c r="EV206" i="2"/>
  <c r="ET206" i="2"/>
  <c r="FE206" i="2" s="1"/>
  <c r="EY206" i="2"/>
  <c r="EH206" i="2"/>
  <c r="EG206" i="2"/>
  <c r="EF206" i="2"/>
  <c r="EE206" i="2"/>
  <c r="ED206" i="2"/>
  <c r="EC206" i="2"/>
  <c r="EB206" i="2"/>
  <c r="EA206" i="2"/>
  <c r="DY206" i="2"/>
  <c r="DX206" i="2"/>
  <c r="DW206" i="2"/>
  <c r="DV206" i="2"/>
  <c r="DU206" i="2"/>
  <c r="DT206" i="2"/>
  <c r="DS206" i="2"/>
  <c r="DR206" i="2"/>
  <c r="CX206" i="2"/>
  <c r="CW206" i="2"/>
  <c r="CV206" i="2"/>
  <c r="CU206" i="2"/>
  <c r="CT206" i="2"/>
  <c r="CS206" i="2"/>
  <c r="CR206" i="2"/>
  <c r="CQ206" i="2"/>
  <c r="CL206" i="2"/>
  <c r="CJ206" i="2"/>
  <c r="CH206" i="2"/>
  <c r="CG206" i="2"/>
  <c r="CF206" i="2"/>
  <c r="CC206" i="2"/>
  <c r="CA206" i="2"/>
  <c r="BY206" i="2"/>
  <c r="BX206" i="2"/>
  <c r="BW206" i="2"/>
  <c r="BT206" i="2"/>
  <c r="BR206" i="2"/>
  <c r="BP206" i="2"/>
  <c r="BN206" i="2"/>
  <c r="BK206" i="2"/>
  <c r="BI206" i="2"/>
  <c r="BG206" i="2"/>
  <c r="BE206" i="2"/>
  <c r="BB206" i="2"/>
  <c r="AZ206" i="2"/>
  <c r="AX206" i="2"/>
  <c r="DB206" i="2" s="1"/>
  <c r="AV206" i="2"/>
  <c r="AI206" i="2"/>
  <c r="CK206" i="2" s="1"/>
  <c r="AG206" i="2"/>
  <c r="CI206" i="2" s="1"/>
  <c r="AE206" i="2"/>
  <c r="CB206" i="2" s="1"/>
  <c r="AC206" i="2"/>
  <c r="BZ206" i="2" s="1"/>
  <c r="AA206" i="2"/>
  <c r="BS206" i="2" s="1"/>
  <c r="Y206" i="2"/>
  <c r="BQ206" i="2" s="1"/>
  <c r="W206" i="2"/>
  <c r="BJ206" i="2" s="1"/>
  <c r="U206" i="2"/>
  <c r="BH206" i="2" s="1"/>
  <c r="S206" i="2"/>
  <c r="BA206" i="2" s="1"/>
  <c r="Q206" i="2"/>
  <c r="AY206" i="2" s="1"/>
  <c r="N206" i="2"/>
  <c r="G206" i="2"/>
  <c r="E143" i="6"/>
  <c r="CP216" i="2"/>
  <c r="B144" i="6"/>
  <c r="AC144" i="6" s="1"/>
  <c r="FK209" i="2"/>
  <c r="FD209" i="2"/>
  <c r="FC209" i="2"/>
  <c r="FB209" i="2"/>
  <c r="FL209" i="2"/>
  <c r="EZ209" i="2"/>
  <c r="EG209" i="2"/>
  <c r="CL209" i="2"/>
  <c r="CJ209" i="2"/>
  <c r="CH209" i="2"/>
  <c r="CF209" i="2"/>
  <c r="CC209" i="2"/>
  <c r="CA209" i="2"/>
  <c r="BY209" i="2"/>
  <c r="BW209" i="2"/>
  <c r="BT209" i="2"/>
  <c r="BR209" i="2"/>
  <c r="BP209" i="2"/>
  <c r="BN209" i="2"/>
  <c r="BK209" i="2"/>
  <c r="BI209" i="2"/>
  <c r="BG209" i="2"/>
  <c r="BE209" i="2"/>
  <c r="BB209" i="2"/>
  <c r="AZ209" i="2"/>
  <c r="AX209" i="2"/>
  <c r="AV209" i="2"/>
  <c r="AI209" i="2"/>
  <c r="CK209" i="2" s="1"/>
  <c r="AG209" i="2"/>
  <c r="CI209" i="2" s="1"/>
  <c r="AE209" i="2"/>
  <c r="CB209" i="2" s="1"/>
  <c r="AC209" i="2"/>
  <c r="BZ209" i="2" s="1"/>
  <c r="AA209" i="2"/>
  <c r="BS209" i="2" s="1"/>
  <c r="Y209" i="2"/>
  <c r="BQ209" i="2" s="1"/>
  <c r="W209" i="2"/>
  <c r="BJ209" i="2" s="1"/>
  <c r="U209" i="2"/>
  <c r="BH209" i="2" s="1"/>
  <c r="S209" i="2"/>
  <c r="BA209" i="2" s="1"/>
  <c r="Q209" i="2"/>
  <c r="AY209" i="2" s="1"/>
  <c r="N209" i="2"/>
  <c r="F209" i="2"/>
  <c r="O156" i="6"/>
  <c r="EH225" i="2"/>
  <c r="EG225" i="2"/>
  <c r="EF225" i="2"/>
  <c r="EE225" i="2"/>
  <c r="ED225" i="2"/>
  <c r="EC225" i="2"/>
  <c r="EB225" i="2"/>
  <c r="EA225" i="2"/>
  <c r="DY225" i="2"/>
  <c r="DX225" i="2"/>
  <c r="DW225" i="2"/>
  <c r="DV225" i="2"/>
  <c r="DU225" i="2"/>
  <c r="DT225" i="2"/>
  <c r="DS225" i="2"/>
  <c r="DR225" i="2"/>
  <c r="DP225" i="2"/>
  <c r="DO225" i="2"/>
  <c r="DN225" i="2"/>
  <c r="DM225" i="2"/>
  <c r="DL225" i="2"/>
  <c r="DK225" i="2"/>
  <c r="DJ225" i="2"/>
  <c r="DI225" i="2"/>
  <c r="CX225" i="2"/>
  <c r="CW225" i="2"/>
  <c r="CV225" i="2"/>
  <c r="CU225" i="2"/>
  <c r="CT225" i="2"/>
  <c r="CS225" i="2"/>
  <c r="CR225" i="2"/>
  <c r="CQ225" i="2"/>
  <c r="DJ224" i="2"/>
  <c r="EH224" i="2"/>
  <c r="EG224" i="2"/>
  <c r="EF224" i="2"/>
  <c r="EE224" i="2"/>
  <c r="ED224" i="2"/>
  <c r="EC224" i="2"/>
  <c r="EB224" i="2"/>
  <c r="EA224" i="2"/>
  <c r="DY224" i="2"/>
  <c r="DX224" i="2"/>
  <c r="DW224" i="2"/>
  <c r="DV224" i="2"/>
  <c r="DU224" i="2"/>
  <c r="DT224" i="2"/>
  <c r="DS224" i="2"/>
  <c r="DR224" i="2"/>
  <c r="DP224" i="2"/>
  <c r="DO224" i="2"/>
  <c r="DN224" i="2"/>
  <c r="DM224" i="2"/>
  <c r="DL224" i="2"/>
  <c r="DK224" i="2"/>
  <c r="DI224" i="2"/>
  <c r="CX224" i="2"/>
  <c r="CW224" i="2"/>
  <c r="CV224" i="2"/>
  <c r="CU224" i="2"/>
  <c r="CT224" i="2"/>
  <c r="CS224" i="2"/>
  <c r="CR224" i="2"/>
  <c r="CQ224" i="2"/>
  <c r="E156" i="6"/>
  <c r="F156" i="6"/>
  <c r="FB96" i="2"/>
  <c r="B58" i="6"/>
  <c r="AC58" i="6" s="1"/>
  <c r="FK96" i="2"/>
  <c r="FD96" i="2"/>
  <c r="FC96" i="2"/>
  <c r="FA96" i="2"/>
  <c r="FL96" i="2" s="1"/>
  <c r="EZ96" i="2"/>
  <c r="EY96" i="2"/>
  <c r="EX96" i="2"/>
  <c r="EW96" i="2"/>
  <c r="EV96" i="2"/>
  <c r="CX96" i="2"/>
  <c r="CW96" i="2"/>
  <c r="CV96" i="2"/>
  <c r="CU96" i="2"/>
  <c r="CT96" i="2"/>
  <c r="CS96" i="2"/>
  <c r="CR96" i="2"/>
  <c r="CQ96" i="2"/>
  <c r="BT96" i="2"/>
  <c r="BR96" i="2"/>
  <c r="BP96" i="2"/>
  <c r="BN96" i="2"/>
  <c r="BK96" i="2"/>
  <c r="BI96" i="2"/>
  <c r="BG96" i="2"/>
  <c r="BE96" i="2"/>
  <c r="BB96" i="2"/>
  <c r="DO96" i="2" s="1"/>
  <c r="AZ96" i="2"/>
  <c r="DM96" i="2" s="1"/>
  <c r="AX96" i="2"/>
  <c r="DK96" i="2" s="1"/>
  <c r="AV96" i="2"/>
  <c r="AI96" i="2"/>
  <c r="AG96" i="2"/>
  <c r="AE96" i="2"/>
  <c r="CB96" i="2" s="1"/>
  <c r="AC96" i="2"/>
  <c r="BZ96" i="2" s="1"/>
  <c r="AA96" i="2"/>
  <c r="BS96" i="2" s="1"/>
  <c r="Y96" i="2"/>
  <c r="BQ96" i="2" s="1"/>
  <c r="BJ96" i="2"/>
  <c r="U96" i="2"/>
  <c r="BH96" i="2" s="1"/>
  <c r="S96" i="2"/>
  <c r="BA96" i="2" s="1"/>
  <c r="Q96" i="2"/>
  <c r="AY96" i="2" s="1"/>
  <c r="DL96" i="2" s="1"/>
  <c r="N96" i="2"/>
  <c r="F96" i="2"/>
  <c r="AW209" i="2" l="1"/>
  <c r="C139" i="6"/>
  <c r="AC139" i="6"/>
  <c r="D41" i="7"/>
  <c r="C140" i="6"/>
  <c r="BF209" i="2"/>
  <c r="CZ96" i="2"/>
  <c r="G58" i="6" s="1"/>
  <c r="BX209" i="2"/>
  <c r="I142" i="6"/>
  <c r="P142" i="6" s="1"/>
  <c r="BO96" i="2"/>
  <c r="BX96" i="2"/>
  <c r="CD96" i="2"/>
  <c r="Y74" i="3"/>
  <c r="AA74" i="3" s="1"/>
  <c r="DP207" i="2"/>
  <c r="DQ207" i="2" s="1"/>
  <c r="V141" i="6"/>
  <c r="BD207" i="2"/>
  <c r="D142" i="6"/>
  <c r="Q142" i="6"/>
  <c r="Y142" i="6" s="1"/>
  <c r="O140" i="6"/>
  <c r="G209" i="2"/>
  <c r="X140" i="6"/>
  <c r="DO208" i="2"/>
  <c r="BC205" i="2"/>
  <c r="BD205" i="2" s="1"/>
  <c r="T140" i="6"/>
  <c r="DG207" i="2"/>
  <c r="DH207" i="2" s="1"/>
  <c r="DI205" i="2"/>
  <c r="G140" i="6" s="1"/>
  <c r="DL208" i="2"/>
  <c r="K141" i="6" s="1"/>
  <c r="W140" i="6"/>
  <c r="S140" i="6"/>
  <c r="F140" i="6"/>
  <c r="DN206" i="2"/>
  <c r="M139" i="6" s="1"/>
  <c r="DN208" i="2"/>
  <c r="M141" i="6" s="1"/>
  <c r="V140" i="6"/>
  <c r="R140" i="6"/>
  <c r="B41" i="7"/>
  <c r="U140" i="6"/>
  <c r="E140" i="6"/>
  <c r="DU205" i="2"/>
  <c r="CZ205" i="2"/>
  <c r="X144" i="6"/>
  <c r="DL206" i="2"/>
  <c r="K139" i="6" s="1"/>
  <c r="DI206" i="2"/>
  <c r="G139" i="6" s="1"/>
  <c r="DO206" i="2"/>
  <c r="DI208" i="2"/>
  <c r="G141" i="6" s="1"/>
  <c r="DK208" i="2"/>
  <c r="J141" i="6" s="1"/>
  <c r="DJ208" i="2"/>
  <c r="H141" i="6" s="1"/>
  <c r="DA205" i="2"/>
  <c r="DL205" i="2"/>
  <c r="K140" i="6" s="1"/>
  <c r="DY205" i="2"/>
  <c r="X141" i="6"/>
  <c r="CW205" i="2"/>
  <c r="DD205" i="2"/>
  <c r="DM205" i="2"/>
  <c r="L140" i="6" s="1"/>
  <c r="EC205" i="2"/>
  <c r="DM208" i="2"/>
  <c r="L141" i="6" s="1"/>
  <c r="DE205" i="2"/>
  <c r="EG205" i="2"/>
  <c r="CR205" i="2"/>
  <c r="BU205" i="2"/>
  <c r="BV205" i="2" s="1"/>
  <c r="CM205" i="2"/>
  <c r="CN205" i="2" s="1"/>
  <c r="CV205" i="2"/>
  <c r="BL205" i="2"/>
  <c r="BM205" i="2" s="1"/>
  <c r="CD205" i="2"/>
  <c r="CE205" i="2" s="1"/>
  <c r="CS205" i="2"/>
  <c r="CT205" i="2"/>
  <c r="DB205" i="2"/>
  <c r="DF205" i="2"/>
  <c r="DJ205" i="2"/>
  <c r="H140" i="6" s="1"/>
  <c r="DN205" i="2"/>
  <c r="M140" i="6" s="1"/>
  <c r="DR205" i="2"/>
  <c r="DV205" i="2"/>
  <c r="ED205" i="2"/>
  <c r="EH205" i="2"/>
  <c r="CQ205" i="2"/>
  <c r="CU205" i="2"/>
  <c r="DC205" i="2"/>
  <c r="DG205" i="2"/>
  <c r="DK205" i="2"/>
  <c r="J140" i="6" s="1"/>
  <c r="DO205" i="2"/>
  <c r="DS205" i="2"/>
  <c r="DW205" i="2"/>
  <c r="EA205" i="2"/>
  <c r="EE205" i="2"/>
  <c r="DT205" i="2"/>
  <c r="DX205" i="2"/>
  <c r="EB205" i="2"/>
  <c r="C141" i="6"/>
  <c r="R141" i="6"/>
  <c r="E141" i="6"/>
  <c r="X139" i="6"/>
  <c r="F141" i="6"/>
  <c r="U141" i="6"/>
  <c r="O141" i="6"/>
  <c r="S141" i="6"/>
  <c r="W141" i="6"/>
  <c r="T141" i="6"/>
  <c r="F139" i="6"/>
  <c r="CY208" i="2"/>
  <c r="EI208" i="2"/>
  <c r="U139" i="6"/>
  <c r="DA208" i="2"/>
  <c r="DF208" i="2"/>
  <c r="DD208" i="2"/>
  <c r="DE208" i="2"/>
  <c r="O139" i="6"/>
  <c r="DC208" i="2"/>
  <c r="DB208" i="2"/>
  <c r="CZ208" i="2"/>
  <c r="DZ208" i="2"/>
  <c r="DM206" i="2"/>
  <c r="L139" i="6" s="1"/>
  <c r="DK206" i="2"/>
  <c r="J139" i="6" s="1"/>
  <c r="DJ206" i="2"/>
  <c r="H139" i="6" s="1"/>
  <c r="BC208" i="2"/>
  <c r="BD208" i="2" s="1"/>
  <c r="CM208" i="2"/>
  <c r="CN208" i="2" s="1"/>
  <c r="BU208" i="2"/>
  <c r="BV208" i="2" s="1"/>
  <c r="CD208" i="2"/>
  <c r="CE208" i="2" s="1"/>
  <c r="BL208" i="2"/>
  <c r="BM208" i="2" s="1"/>
  <c r="BL206" i="2"/>
  <c r="BM206" i="2" s="1"/>
  <c r="V139" i="6"/>
  <c r="R139" i="6"/>
  <c r="E139" i="6"/>
  <c r="S139" i="6"/>
  <c r="W139" i="6"/>
  <c r="T139" i="6"/>
  <c r="V58" i="6"/>
  <c r="CZ206" i="2"/>
  <c r="DD206" i="2"/>
  <c r="DA206" i="2"/>
  <c r="DF206" i="2"/>
  <c r="CY206" i="2"/>
  <c r="DZ206" i="2"/>
  <c r="EI206" i="2"/>
  <c r="DE206" i="2"/>
  <c r="BC206" i="2"/>
  <c r="BD206" i="2" s="1"/>
  <c r="BU206" i="2"/>
  <c r="BV206" i="2" s="1"/>
  <c r="CD206" i="2"/>
  <c r="CE206" i="2" s="1"/>
  <c r="CM206" i="2"/>
  <c r="CN206" i="2" s="1"/>
  <c r="DC206" i="2"/>
  <c r="E144" i="6"/>
  <c r="O144" i="6"/>
  <c r="V144" i="6"/>
  <c r="F144" i="6"/>
  <c r="R144" i="6"/>
  <c r="U144" i="6"/>
  <c r="S144" i="6"/>
  <c r="W144" i="6"/>
  <c r="C144" i="6"/>
  <c r="T144" i="6"/>
  <c r="ET96" i="2"/>
  <c r="FE96" i="2" s="1"/>
  <c r="X58" i="6" s="1"/>
  <c r="G96" i="2"/>
  <c r="CG209" i="2"/>
  <c r="BL209" i="2"/>
  <c r="CM209" i="2"/>
  <c r="CD209" i="2"/>
  <c r="BC209" i="2"/>
  <c r="BU209" i="2"/>
  <c r="CQ209" i="2"/>
  <c r="CU209" i="2"/>
  <c r="DC209" i="2"/>
  <c r="DK209" i="2"/>
  <c r="J144" i="6" s="1"/>
  <c r="DO209" i="2"/>
  <c r="DS209" i="2"/>
  <c r="DW209" i="2"/>
  <c r="EA209" i="2"/>
  <c r="EE209" i="2"/>
  <c r="CR209" i="2"/>
  <c r="CV209" i="2"/>
  <c r="CZ209" i="2"/>
  <c r="DD209" i="2"/>
  <c r="DL209" i="2"/>
  <c r="K144" i="6" s="1"/>
  <c r="DT209" i="2"/>
  <c r="DX209" i="2"/>
  <c r="EB209" i="2"/>
  <c r="EF209" i="2"/>
  <c r="CT209" i="2"/>
  <c r="CX209" i="2"/>
  <c r="DB209" i="2"/>
  <c r="DF209" i="2"/>
  <c r="DN209" i="2"/>
  <c r="M144" i="6" s="1"/>
  <c r="DR209" i="2"/>
  <c r="DV209" i="2"/>
  <c r="ED209" i="2"/>
  <c r="EH209" i="2"/>
  <c r="CS209" i="2"/>
  <c r="CW209" i="2"/>
  <c r="DE209" i="2"/>
  <c r="DI209" i="2"/>
  <c r="G144" i="6" s="1"/>
  <c r="DM209" i="2"/>
  <c r="L144" i="6" s="1"/>
  <c r="DU209" i="2"/>
  <c r="DY209" i="2"/>
  <c r="EC209" i="2"/>
  <c r="DE96" i="2"/>
  <c r="M58" i="6" s="1"/>
  <c r="DB96" i="2"/>
  <c r="J58" i="6" s="1"/>
  <c r="DF96" i="2"/>
  <c r="CY225" i="2"/>
  <c r="DC96" i="2"/>
  <c r="K58" i="6" s="1"/>
  <c r="C58" i="6"/>
  <c r="T58" i="6"/>
  <c r="DD96" i="2"/>
  <c r="L58" i="6" s="1"/>
  <c r="E58" i="6"/>
  <c r="O58" i="6"/>
  <c r="U58" i="6"/>
  <c r="S58" i="6"/>
  <c r="W58" i="6"/>
  <c r="F58" i="6"/>
  <c r="R58" i="6"/>
  <c r="DQ225" i="2"/>
  <c r="DZ225" i="2"/>
  <c r="EI225" i="2"/>
  <c r="CY224" i="2"/>
  <c r="DQ224" i="2"/>
  <c r="DZ224" i="2"/>
  <c r="EI224" i="2"/>
  <c r="CY96" i="2"/>
  <c r="DN96" i="2"/>
  <c r="BL96" i="2"/>
  <c r="BC96" i="2"/>
  <c r="BU96" i="2"/>
  <c r="DI96" i="2"/>
  <c r="E41" i="7" l="1"/>
  <c r="Z142" i="6"/>
  <c r="AB142" i="6" s="1"/>
  <c r="CE209" i="2"/>
  <c r="BV96" i="2"/>
  <c r="CE96" i="2"/>
  <c r="BV209" i="2"/>
  <c r="BD209" i="2"/>
  <c r="BM209" i="2"/>
  <c r="I140" i="6"/>
  <c r="P140" i="6" s="1"/>
  <c r="DP205" i="2"/>
  <c r="DQ205" i="2" s="1"/>
  <c r="Q140" i="6"/>
  <c r="Y140" i="6" s="1"/>
  <c r="D140" i="6"/>
  <c r="D141" i="6"/>
  <c r="EI205" i="2"/>
  <c r="I141" i="6"/>
  <c r="P141" i="6" s="1"/>
  <c r="DH205" i="2"/>
  <c r="CX205" i="2"/>
  <c r="CY205" i="2" s="1"/>
  <c r="DZ205" i="2"/>
  <c r="DP208" i="2"/>
  <c r="DQ208" i="2" s="1"/>
  <c r="Q141" i="6"/>
  <c r="Y141" i="6" s="1"/>
  <c r="DA96" i="2"/>
  <c r="H58" i="6" s="1"/>
  <c r="I58" i="6" s="1"/>
  <c r="P58" i="6" s="1"/>
  <c r="DG208" i="2"/>
  <c r="DH208" i="2" s="1"/>
  <c r="DP206" i="2"/>
  <c r="DQ206" i="2" s="1"/>
  <c r="D139" i="6"/>
  <c r="Q139" i="6"/>
  <c r="Y139" i="6" s="1"/>
  <c r="I139" i="6"/>
  <c r="P139" i="6" s="1"/>
  <c r="BD96" i="2"/>
  <c r="DG206" i="2"/>
  <c r="DH206" i="2" s="1"/>
  <c r="CN209" i="2"/>
  <c r="DJ209" i="2"/>
  <c r="H144" i="6" s="1"/>
  <c r="I144" i="6" s="1"/>
  <c r="P144" i="6" s="1"/>
  <c r="DP209" i="2"/>
  <c r="D144" i="6"/>
  <c r="Q144" i="6"/>
  <c r="Y144" i="6" s="1"/>
  <c r="Q58" i="6"/>
  <c r="Y58" i="6" s="1"/>
  <c r="DA209" i="2"/>
  <c r="EI209" i="2"/>
  <c r="CY209" i="2"/>
  <c r="D58" i="6"/>
  <c r="DG209" i="2"/>
  <c r="DZ209" i="2"/>
  <c r="DG96" i="2"/>
  <c r="BM96" i="2"/>
  <c r="DP96" i="2"/>
  <c r="DJ96" i="2"/>
  <c r="DH209" i="2" l="1"/>
  <c r="DH96" i="2"/>
  <c r="Z140" i="6"/>
  <c r="AB140" i="6" s="1"/>
  <c r="Z141" i="6"/>
  <c r="AB141" i="6" s="1"/>
  <c r="Z139" i="6"/>
  <c r="AB139" i="6" s="1"/>
  <c r="DQ209" i="2"/>
  <c r="Z144" i="6"/>
  <c r="AB144" i="6" s="1"/>
  <c r="Z58" i="6"/>
  <c r="AB58" i="6" s="1"/>
  <c r="DQ96" i="2"/>
  <c r="EK71" i="2"/>
  <c r="AD142" i="6" l="1"/>
  <c r="AD139" i="6"/>
  <c r="AD58" i="6"/>
  <c r="AD141" i="6"/>
  <c r="AD144" i="6"/>
  <c r="AD140" i="6"/>
  <c r="BG215" i="2"/>
  <c r="A11" i="23" l="1"/>
  <c r="A12" i="23" s="1"/>
  <c r="H161" i="23"/>
  <c r="H157" i="23"/>
  <c r="H144" i="23"/>
  <c r="H138" i="23"/>
  <c r="H130" i="23"/>
  <c r="H139" i="23" s="1"/>
  <c r="H117" i="23"/>
  <c r="H112" i="23"/>
  <c r="H97" i="23"/>
  <c r="H78" i="23"/>
  <c r="H68" i="23"/>
  <c r="H60" i="23"/>
  <c r="H54" i="23"/>
  <c r="H48" i="23"/>
  <c r="H40" i="23"/>
  <c r="H34" i="23"/>
  <c r="H22" i="23"/>
  <c r="H13" i="23"/>
  <c r="B51" i="6"/>
  <c r="AC51" i="6" s="1"/>
  <c r="FC87" i="2"/>
  <c r="FA87" i="2"/>
  <c r="EZ87" i="2"/>
  <c r="EY87" i="2"/>
  <c r="EX87" i="2"/>
  <c r="EW87" i="2"/>
  <c r="EV87" i="2"/>
  <c r="FE87" i="2"/>
  <c r="CX87" i="2"/>
  <c r="CW87" i="2"/>
  <c r="CV87" i="2"/>
  <c r="CU87" i="2"/>
  <c r="CT87" i="2"/>
  <c r="CS87" i="2"/>
  <c r="CR87" i="2"/>
  <c r="CQ87" i="2"/>
  <c r="BT87" i="2"/>
  <c r="BR87" i="2"/>
  <c r="BP87" i="2"/>
  <c r="BN87" i="2"/>
  <c r="BK87" i="2"/>
  <c r="BI87" i="2"/>
  <c r="DM87" i="2" s="1"/>
  <c r="BG87" i="2"/>
  <c r="BE87" i="2"/>
  <c r="BB87" i="2"/>
  <c r="DO87" i="2" s="1"/>
  <c r="AZ87" i="2"/>
  <c r="AX87" i="2"/>
  <c r="AV87" i="2"/>
  <c r="AE87" i="2"/>
  <c r="CB87" i="2" s="1"/>
  <c r="AC87" i="2"/>
  <c r="BZ87" i="2" s="1"/>
  <c r="AA87" i="2"/>
  <c r="BS87" i="2" s="1"/>
  <c r="Y87" i="2"/>
  <c r="BQ87" i="2" s="1"/>
  <c r="W87" i="2"/>
  <c r="BJ87" i="2" s="1"/>
  <c r="U87" i="2"/>
  <c r="BH87" i="2" s="1"/>
  <c r="S87" i="2"/>
  <c r="BA87" i="2" s="1"/>
  <c r="DN87" i="2" s="1"/>
  <c r="Q87" i="2"/>
  <c r="AY87" i="2" s="1"/>
  <c r="DL87" i="2" s="1"/>
  <c r="N87" i="2"/>
  <c r="G87" i="2"/>
  <c r="DP90" i="2"/>
  <c r="DO90" i="2"/>
  <c r="DN90" i="2"/>
  <c r="DM90" i="2"/>
  <c r="DL90" i="2"/>
  <c r="DK90" i="2"/>
  <c r="DJ90" i="2"/>
  <c r="DI90" i="2"/>
  <c r="DP88" i="2"/>
  <c r="DO88" i="2"/>
  <c r="DN88" i="2"/>
  <c r="DM88" i="2"/>
  <c r="DL88" i="2"/>
  <c r="DK88" i="2"/>
  <c r="DJ88" i="2"/>
  <c r="DI88" i="2"/>
  <c r="DP85" i="2"/>
  <c r="DO85" i="2"/>
  <c r="DN85" i="2"/>
  <c r="DM85" i="2"/>
  <c r="DL85" i="2"/>
  <c r="DK85" i="2"/>
  <c r="DJ85" i="2"/>
  <c r="DI85" i="2"/>
  <c r="B49" i="6"/>
  <c r="EW86" i="2"/>
  <c r="FE86" i="2"/>
  <c r="DA86" i="2"/>
  <c r="FC86" i="2"/>
  <c r="FA86" i="2"/>
  <c r="EZ86" i="2"/>
  <c r="EX86" i="2"/>
  <c r="EV86" i="2"/>
  <c r="DF86" i="2"/>
  <c r="DE86" i="2"/>
  <c r="DD86" i="2"/>
  <c r="DC86" i="2"/>
  <c r="DB86" i="2"/>
  <c r="BT86" i="2"/>
  <c r="BR86" i="2"/>
  <c r="BP86" i="2"/>
  <c r="BN86" i="2"/>
  <c r="BK86" i="2"/>
  <c r="BI86" i="2"/>
  <c r="BG86" i="2"/>
  <c r="BE86" i="2"/>
  <c r="BB86" i="2"/>
  <c r="CW86" i="2" s="1"/>
  <c r="AZ86" i="2"/>
  <c r="CU86" i="2" s="1"/>
  <c r="AX86" i="2"/>
  <c r="CS86" i="2" s="1"/>
  <c r="CR86" i="2"/>
  <c r="AV86" i="2"/>
  <c r="AE86" i="2"/>
  <c r="CB86" i="2" s="1"/>
  <c r="AC86" i="2"/>
  <c r="BZ86" i="2" s="1"/>
  <c r="AA86" i="2"/>
  <c r="BS86" i="2" s="1"/>
  <c r="Y86" i="2"/>
  <c r="BQ86" i="2" s="1"/>
  <c r="W86" i="2"/>
  <c r="BJ86" i="2" s="1"/>
  <c r="U86" i="2"/>
  <c r="BH86" i="2" s="1"/>
  <c r="S86" i="2"/>
  <c r="BA86" i="2" s="1"/>
  <c r="Q86" i="2"/>
  <c r="AY86" i="2" s="1"/>
  <c r="CT86" i="2" s="1"/>
  <c r="N86" i="2"/>
  <c r="G86" i="2"/>
  <c r="S52" i="7" l="1"/>
  <c r="M52" i="7"/>
  <c r="G52" i="7"/>
  <c r="H52" i="7"/>
  <c r="P52" i="7"/>
  <c r="N52" i="7"/>
  <c r="X52" i="7"/>
  <c r="L52" i="7"/>
  <c r="O52" i="7"/>
  <c r="I52" i="7"/>
  <c r="U52" i="7"/>
  <c r="F52" i="7"/>
  <c r="Q52" i="7"/>
  <c r="J52" i="7"/>
  <c r="V52" i="7"/>
  <c r="K52" i="7"/>
  <c r="Y52" i="7"/>
  <c r="T52" i="7"/>
  <c r="R52" i="7"/>
  <c r="W52" i="7"/>
  <c r="Y29" i="7"/>
  <c r="Y34" i="7"/>
  <c r="Y46" i="7"/>
  <c r="Y58" i="7"/>
  <c r="Y22" i="7"/>
  <c r="Y10" i="7"/>
  <c r="Y35" i="7"/>
  <c r="Y44" i="7"/>
  <c r="Y43" i="7"/>
  <c r="Y42" i="7"/>
  <c r="Y41" i="7"/>
  <c r="AC49" i="6"/>
  <c r="H58" i="7"/>
  <c r="L58" i="7"/>
  <c r="I58" i="7"/>
  <c r="T58" i="7"/>
  <c r="W58" i="7"/>
  <c r="X58" i="7"/>
  <c r="P58" i="7"/>
  <c r="N58" i="7"/>
  <c r="S58" i="7"/>
  <c r="U58" i="7"/>
  <c r="M58" i="7"/>
  <c r="O58" i="7"/>
  <c r="K58" i="7"/>
  <c r="Q58" i="7"/>
  <c r="J58" i="7"/>
  <c r="R58" i="7"/>
  <c r="G58" i="7"/>
  <c r="Z58" i="7"/>
  <c r="F58" i="7"/>
  <c r="V58" i="7"/>
  <c r="I54" i="7"/>
  <c r="G54" i="7"/>
  <c r="V54" i="7"/>
  <c r="H54" i="7"/>
  <c r="T54" i="7"/>
  <c r="J54" i="7"/>
  <c r="R54" i="7"/>
  <c r="F54" i="7"/>
  <c r="O54" i="7"/>
  <c r="X54" i="7"/>
  <c r="P54" i="7"/>
  <c r="W54" i="7"/>
  <c r="Q54" i="7"/>
  <c r="K54" i="7"/>
  <c r="Z54" i="7"/>
  <c r="L54" i="7"/>
  <c r="N54" i="7"/>
  <c r="S54" i="7"/>
  <c r="M54" i="7"/>
  <c r="U54" i="7"/>
  <c r="Z53" i="7"/>
  <c r="V53" i="7"/>
  <c r="W53" i="7"/>
  <c r="M53" i="7"/>
  <c r="S53" i="7"/>
  <c r="O53" i="7"/>
  <c r="P53" i="7"/>
  <c r="L53" i="7"/>
  <c r="T53" i="7"/>
  <c r="Q53" i="7"/>
  <c r="G53" i="7"/>
  <c r="I53" i="7"/>
  <c r="X53" i="7"/>
  <c r="K53" i="7"/>
  <c r="N53" i="7"/>
  <c r="U53" i="7"/>
  <c r="F53" i="7"/>
  <c r="R53" i="7"/>
  <c r="J53" i="7"/>
  <c r="H53" i="7"/>
  <c r="S48" i="7"/>
  <c r="V48" i="7"/>
  <c r="F48" i="7"/>
  <c r="M48" i="7"/>
  <c r="L46" i="7"/>
  <c r="F46" i="7"/>
  <c r="T46" i="7"/>
  <c r="U46" i="7"/>
  <c r="J46" i="7"/>
  <c r="Z46" i="7"/>
  <c r="G46" i="7"/>
  <c r="H46" i="7"/>
  <c r="I46" i="7"/>
  <c r="N46" i="7"/>
  <c r="K46" i="7"/>
  <c r="S46" i="7"/>
  <c r="V46" i="7"/>
  <c r="X46" i="7"/>
  <c r="O46" i="7"/>
  <c r="R46" i="7"/>
  <c r="P46" i="7"/>
  <c r="Q46" i="7"/>
  <c r="W46" i="7"/>
  <c r="M46" i="7"/>
  <c r="X44" i="7"/>
  <c r="Q44" i="7"/>
  <c r="W44" i="7"/>
  <c r="F44" i="7"/>
  <c r="V44" i="7"/>
  <c r="K44" i="7"/>
  <c r="Z44" i="7"/>
  <c r="N44" i="7"/>
  <c r="J44" i="7"/>
  <c r="T44" i="7"/>
  <c r="I44" i="7"/>
  <c r="G44" i="7"/>
  <c r="R44" i="7"/>
  <c r="L44" i="7"/>
  <c r="H44" i="7"/>
  <c r="M44" i="7"/>
  <c r="P44" i="7"/>
  <c r="O44" i="7"/>
  <c r="U44" i="7"/>
  <c r="S44" i="7"/>
  <c r="R43" i="7"/>
  <c r="F43" i="7"/>
  <c r="I43" i="7"/>
  <c r="N43" i="7"/>
  <c r="X43" i="7"/>
  <c r="S43" i="7"/>
  <c r="M43" i="7"/>
  <c r="O43" i="7"/>
  <c r="V43" i="7"/>
  <c r="Z43" i="7"/>
  <c r="L43" i="7"/>
  <c r="P43" i="7"/>
  <c r="K43" i="7"/>
  <c r="J43" i="7"/>
  <c r="W43" i="7"/>
  <c r="U43" i="7"/>
  <c r="H43" i="7"/>
  <c r="T43" i="7"/>
  <c r="Q43" i="7"/>
  <c r="G43" i="7"/>
  <c r="M42" i="7"/>
  <c r="I42" i="7"/>
  <c r="F42" i="7"/>
  <c r="R42" i="7"/>
  <c r="U42" i="7"/>
  <c r="G42" i="7"/>
  <c r="S42" i="7"/>
  <c r="T42" i="7"/>
  <c r="Q42" i="7"/>
  <c r="V42" i="7"/>
  <c r="H42" i="7"/>
  <c r="P42" i="7"/>
  <c r="L42" i="7"/>
  <c r="K42" i="7"/>
  <c r="J42" i="7"/>
  <c r="Z42" i="7"/>
  <c r="O42" i="7"/>
  <c r="N42" i="7"/>
  <c r="W42" i="7"/>
  <c r="X42" i="7"/>
  <c r="CD87" i="2"/>
  <c r="CE87" i="2" s="1"/>
  <c r="V51" i="6"/>
  <c r="CD86" i="2"/>
  <c r="CE86" i="2" s="1"/>
  <c r="DA87" i="2"/>
  <c r="H51" i="6" s="1"/>
  <c r="DB87" i="2"/>
  <c r="J51" i="6" s="1"/>
  <c r="BU86" i="2"/>
  <c r="BV86" i="2" s="1"/>
  <c r="DJ86" i="2"/>
  <c r="H49" i="6" s="1"/>
  <c r="DK86" i="2"/>
  <c r="J49" i="6" s="1"/>
  <c r="DO86" i="2"/>
  <c r="R51" i="6"/>
  <c r="DN86" i="2"/>
  <c r="M49" i="6" s="1"/>
  <c r="E51" i="6"/>
  <c r="CZ87" i="2"/>
  <c r="G51" i="6" s="1"/>
  <c r="W51" i="6"/>
  <c r="O51" i="6"/>
  <c r="DD87" i="2"/>
  <c r="L51" i="6" s="1"/>
  <c r="DL86" i="2"/>
  <c r="K49" i="6" s="1"/>
  <c r="U51" i="6"/>
  <c r="F51" i="6"/>
  <c r="S51" i="6"/>
  <c r="X51" i="6"/>
  <c r="B40" i="7"/>
  <c r="V49" i="6"/>
  <c r="DM86" i="2"/>
  <c r="L49" i="6" s="1"/>
  <c r="CY87" i="2"/>
  <c r="DF87" i="2"/>
  <c r="T51" i="6"/>
  <c r="D40" i="7"/>
  <c r="DE87" i="2"/>
  <c r="M51" i="6" s="1"/>
  <c r="DC87" i="2"/>
  <c r="K51" i="6" s="1"/>
  <c r="C51" i="6"/>
  <c r="F49" i="6"/>
  <c r="D39" i="7"/>
  <c r="R49" i="6"/>
  <c r="R52" i="6" s="1"/>
  <c r="E49" i="6"/>
  <c r="DJ87" i="2"/>
  <c r="BC87" i="2"/>
  <c r="BL87" i="2"/>
  <c r="BM87" i="2" s="1"/>
  <c r="BU87" i="2"/>
  <c r="BV87" i="2" s="1"/>
  <c r="DI87" i="2"/>
  <c r="DK87" i="2"/>
  <c r="S49" i="6"/>
  <c r="W49" i="6"/>
  <c r="DI86" i="2"/>
  <c r="G49" i="6" s="1"/>
  <c r="T49" i="6"/>
  <c r="X49" i="6"/>
  <c r="DQ85" i="2"/>
  <c r="C49" i="6"/>
  <c r="B39" i="7"/>
  <c r="DQ88" i="2"/>
  <c r="DQ90" i="2"/>
  <c r="O49" i="6"/>
  <c r="U49" i="6"/>
  <c r="CZ86" i="2"/>
  <c r="CQ86" i="2"/>
  <c r="BL86" i="2"/>
  <c r="CV86" i="2"/>
  <c r="BC86" i="2"/>
  <c r="DG86" i="2" s="1"/>
  <c r="BG133" i="2"/>
  <c r="L52" i="6" l="1"/>
  <c r="W52" i="6"/>
  <c r="V52" i="6"/>
  <c r="O52" i="6"/>
  <c r="G52" i="6"/>
  <c r="H52" i="6"/>
  <c r="X52" i="6"/>
  <c r="S52" i="6"/>
  <c r="J52" i="6"/>
  <c r="M52" i="6"/>
  <c r="U52" i="6"/>
  <c r="T52" i="6"/>
  <c r="K52" i="6"/>
  <c r="E39" i="7"/>
  <c r="E40" i="7"/>
  <c r="D51" i="6"/>
  <c r="I51" i="6"/>
  <c r="P51" i="6" s="1"/>
  <c r="Q51" i="6"/>
  <c r="Y51" i="6" s="1"/>
  <c r="BD87" i="2"/>
  <c r="DG87" i="2"/>
  <c r="DH87" i="2" s="1"/>
  <c r="DH86" i="2"/>
  <c r="DP87" i="2"/>
  <c r="DQ87" i="2" s="1"/>
  <c r="I49" i="6"/>
  <c r="Q49" i="6"/>
  <c r="D49" i="6"/>
  <c r="BM86" i="2"/>
  <c r="DP86" i="2"/>
  <c r="DQ86" i="2" s="1"/>
  <c r="CX86" i="2"/>
  <c r="CY86" i="2" s="1"/>
  <c r="BD86" i="2"/>
  <c r="I52" i="6" l="1"/>
  <c r="Q52" i="6"/>
  <c r="Z51" i="6"/>
  <c r="AB51" i="6" s="1"/>
  <c r="P49" i="6"/>
  <c r="P52" i="6" s="1"/>
  <c r="Y49" i="6"/>
  <c r="Y52" i="6" s="1"/>
  <c r="H192" i="23"/>
  <c r="H185" i="23"/>
  <c r="H172" i="23"/>
  <c r="H168" i="23"/>
  <c r="AD51" i="6" l="1"/>
  <c r="Y40" i="7"/>
  <c r="H195" i="23"/>
  <c r="Z49" i="6"/>
  <c r="AB49" i="6" s="1"/>
  <c r="AB52" i="6" s="1"/>
  <c r="H162" i="23"/>
  <c r="H118" i="23"/>
  <c r="H145" i="23"/>
  <c r="H61" i="23"/>
  <c r="E192" i="23"/>
  <c r="G191" i="23"/>
  <c r="G190" i="23"/>
  <c r="F189" i="23"/>
  <c r="F192" i="23" s="1"/>
  <c r="F184" i="23"/>
  <c r="G183" i="23"/>
  <c r="F182" i="23"/>
  <c r="G182" i="23" s="1"/>
  <c r="F181" i="23"/>
  <c r="F180" i="23"/>
  <c r="F179" i="23"/>
  <c r="G178" i="23"/>
  <c r="E177" i="23"/>
  <c r="G176" i="23"/>
  <c r="E172" i="23"/>
  <c r="F171" i="23"/>
  <c r="G171" i="23" s="1"/>
  <c r="E168" i="23"/>
  <c r="F167" i="23"/>
  <c r="F168" i="23" s="1"/>
  <c r="E161" i="23"/>
  <c r="G160" i="23"/>
  <c r="F159" i="23"/>
  <c r="E157" i="23"/>
  <c r="G156" i="23"/>
  <c r="G155" i="23"/>
  <c r="G154" i="23"/>
  <c r="G153" i="23"/>
  <c r="F152" i="23"/>
  <c r="F151" i="23"/>
  <c r="G150" i="23"/>
  <c r="E144" i="23"/>
  <c r="G143" i="23"/>
  <c r="F142" i="23"/>
  <c r="G141" i="23"/>
  <c r="E138" i="23"/>
  <c r="G137" i="23"/>
  <c r="F136" i="23"/>
  <c r="G135" i="23"/>
  <c r="F134" i="23"/>
  <c r="F133" i="23"/>
  <c r="F132" i="23"/>
  <c r="E130" i="23"/>
  <c r="F129" i="23"/>
  <c r="F128" i="23"/>
  <c r="G127" i="23"/>
  <c r="G126" i="23"/>
  <c r="G125" i="23"/>
  <c r="G124" i="23"/>
  <c r="G123" i="23"/>
  <c r="G122" i="23"/>
  <c r="G121" i="23"/>
  <c r="E117" i="23"/>
  <c r="F116" i="23"/>
  <c r="F117" i="23" s="1"/>
  <c r="G115" i="23"/>
  <c r="E112" i="23"/>
  <c r="F111" i="23"/>
  <c r="F110" i="23"/>
  <c r="G110" i="23" s="1"/>
  <c r="F109" i="23"/>
  <c r="F108" i="23"/>
  <c r="F107" i="23"/>
  <c r="F106" i="23"/>
  <c r="G105" i="23"/>
  <c r="G104" i="23"/>
  <c r="G103" i="23"/>
  <c r="G102" i="23"/>
  <c r="G101" i="23"/>
  <c r="G100" i="23"/>
  <c r="E97" i="23"/>
  <c r="G96" i="23"/>
  <c r="G95" i="23"/>
  <c r="G94" i="23"/>
  <c r="G93" i="23"/>
  <c r="G92" i="23"/>
  <c r="G91" i="23"/>
  <c r="G90" i="23"/>
  <c r="G89" i="23"/>
  <c r="G88" i="23"/>
  <c r="G87" i="23"/>
  <c r="G86" i="23"/>
  <c r="G85" i="23"/>
  <c r="F84" i="23"/>
  <c r="F83" i="23"/>
  <c r="G82" i="23"/>
  <c r="G81" i="23"/>
  <c r="G80" i="23"/>
  <c r="F78" i="23"/>
  <c r="G77" i="23"/>
  <c r="G76" i="23"/>
  <c r="G73" i="23"/>
  <c r="E72" i="23"/>
  <c r="G72" i="23" s="1"/>
  <c r="F68" i="23"/>
  <c r="E68" i="23"/>
  <c r="G67" i="23"/>
  <c r="G66" i="23"/>
  <c r="G65" i="23"/>
  <c r="A65" i="23"/>
  <c r="A66" i="23" s="1"/>
  <c r="A67" i="23" s="1"/>
  <c r="A72" i="23" s="1"/>
  <c r="A73" i="23" s="1"/>
  <c r="A77" i="23" s="1"/>
  <c r="A80" i="23" s="1"/>
  <c r="A81" i="23" s="1"/>
  <c r="A82" i="23" s="1"/>
  <c r="A83" i="23" s="1"/>
  <c r="A84" i="23" s="1"/>
  <c r="A85" i="23" s="1"/>
  <c r="A86" i="23" s="1"/>
  <c r="A87" i="23" s="1"/>
  <c r="A88" i="23" s="1"/>
  <c r="A89" i="23" s="1"/>
  <c r="A90" i="23" s="1"/>
  <c r="A91" i="23" s="1"/>
  <c r="A92" i="23" s="1"/>
  <c r="A93" i="23" s="1"/>
  <c r="A94" i="23" s="1"/>
  <c r="A95" i="23" s="1"/>
  <c r="A96" i="23" s="1"/>
  <c r="A100" i="23" s="1"/>
  <c r="A101" i="23" s="1"/>
  <c r="A102" i="23" s="1"/>
  <c r="A103" i="23" s="1"/>
  <c r="A104" i="23" s="1"/>
  <c r="A105" i="23" s="1"/>
  <c r="A106" i="23" s="1"/>
  <c r="A107" i="23" s="1"/>
  <c r="A108" i="23" s="1"/>
  <c r="A109" i="23" s="1"/>
  <c r="A110" i="23" s="1"/>
  <c r="A111" i="23" s="1"/>
  <c r="A115" i="23" s="1"/>
  <c r="A116" i="23" s="1"/>
  <c r="A121" i="23" s="1"/>
  <c r="A122" i="23" s="1"/>
  <c r="A123" i="23" s="1"/>
  <c r="A124" i="23" s="1"/>
  <c r="A125" i="23" s="1"/>
  <c r="A126" i="23" s="1"/>
  <c r="A127" i="23" s="1"/>
  <c r="A128" i="23" s="1"/>
  <c r="A129" i="23" s="1"/>
  <c r="A132" i="23" s="1"/>
  <c r="A133" i="23" s="1"/>
  <c r="A134" i="23" s="1"/>
  <c r="A135" i="23" s="1"/>
  <c r="A136" i="23" s="1"/>
  <c r="A137" i="23" s="1"/>
  <c r="A141" i="23" s="1"/>
  <c r="A142" i="23" s="1"/>
  <c r="A143" i="23" s="1"/>
  <c r="A150" i="23" s="1"/>
  <c r="A151" i="23" s="1"/>
  <c r="A152" i="23" s="1"/>
  <c r="A153" i="23" s="1"/>
  <c r="A154" i="23" s="1"/>
  <c r="A159" i="23" s="1"/>
  <c r="A160" i="23" s="1"/>
  <c r="A167" i="23" s="1"/>
  <c r="A171" i="23" s="1"/>
  <c r="A177" i="23" s="1"/>
  <c r="A178" i="23" s="1"/>
  <c r="A179" i="23" s="1"/>
  <c r="A180" i="23" s="1"/>
  <c r="A181" i="23" s="1"/>
  <c r="A182" i="23" s="1"/>
  <c r="A183" i="23" s="1"/>
  <c r="A184" i="23" s="1"/>
  <c r="A189" i="23" s="1"/>
  <c r="A190" i="23" s="1"/>
  <c r="A191" i="23" s="1"/>
  <c r="G64" i="23"/>
  <c r="F60" i="23"/>
  <c r="E60" i="23"/>
  <c r="G59" i="23"/>
  <c r="G58" i="23"/>
  <c r="G57" i="23"/>
  <c r="E54" i="23"/>
  <c r="G53" i="23"/>
  <c r="F52" i="23"/>
  <c r="F54" i="23" s="1"/>
  <c r="G51" i="23"/>
  <c r="G47" i="23"/>
  <c r="G46" i="23"/>
  <c r="G45" i="23"/>
  <c r="F44" i="23"/>
  <c r="E44" i="23"/>
  <c r="A44" i="23"/>
  <c r="A45" i="23" s="1"/>
  <c r="A46" i="23" s="1"/>
  <c r="A47" i="23" s="1"/>
  <c r="A51" i="23" s="1"/>
  <c r="A52" i="23" s="1"/>
  <c r="A57" i="23" s="1"/>
  <c r="A58" i="23" s="1"/>
  <c r="A59" i="23" s="1"/>
  <c r="F43" i="23"/>
  <c r="E43" i="23"/>
  <c r="E40" i="23"/>
  <c r="G39" i="23"/>
  <c r="G38" i="23"/>
  <c r="F37" i="23"/>
  <c r="E34" i="23"/>
  <c r="G33" i="23"/>
  <c r="G32" i="23"/>
  <c r="G31" i="23"/>
  <c r="F30" i="23"/>
  <c r="G29" i="23"/>
  <c r="G28" i="23"/>
  <c r="G27" i="23"/>
  <c r="G26" i="23"/>
  <c r="G25" i="23"/>
  <c r="E22" i="23"/>
  <c r="G21" i="23"/>
  <c r="F20" i="23"/>
  <c r="F22" i="23" s="1"/>
  <c r="G19" i="23"/>
  <c r="G18" i="23"/>
  <c r="G17" i="23"/>
  <c r="G16" i="23"/>
  <c r="A16" i="23"/>
  <c r="A17" i="23" s="1"/>
  <c r="A18" i="23" s="1"/>
  <c r="A19" i="23" s="1"/>
  <c r="A20" i="23" s="1"/>
  <c r="A21" i="23" s="1"/>
  <c r="A25" i="23" s="1"/>
  <c r="A26" i="23" s="1"/>
  <c r="A27" i="23" s="1"/>
  <c r="A28" i="23" s="1"/>
  <c r="A29" i="23" s="1"/>
  <c r="A30" i="23" s="1"/>
  <c r="A31" i="23" s="1"/>
  <c r="A32" i="23" s="1"/>
  <c r="A33" i="23" s="1"/>
  <c r="A37" i="23" s="1"/>
  <c r="A38" i="23" s="1"/>
  <c r="A39" i="23" s="1"/>
  <c r="E13" i="23"/>
  <c r="G12" i="23"/>
  <c r="G11" i="23"/>
  <c r="F10" i="23"/>
  <c r="AA52" i="6" l="1"/>
  <c r="Z52" i="6"/>
  <c r="Y39" i="7"/>
  <c r="G78" i="23"/>
  <c r="E118" i="23"/>
  <c r="E139" i="23"/>
  <c r="E162" i="23"/>
  <c r="G116" i="23"/>
  <c r="G117" i="23" s="1"/>
  <c r="G68" i="23"/>
  <c r="G20" i="23"/>
  <c r="G22" i="23" s="1"/>
  <c r="G60" i="23"/>
  <c r="G52" i="23"/>
  <c r="G54" i="23" s="1"/>
  <c r="G134" i="23"/>
  <c r="F138" i="23"/>
  <c r="G132" i="23"/>
  <c r="G179" i="23"/>
  <c r="G184" i="23"/>
  <c r="G37" i="23"/>
  <c r="G40" i="23" s="1"/>
  <c r="F48" i="23"/>
  <c r="F34" i="23"/>
  <c r="E78" i="23"/>
  <c r="E145" i="23" s="1"/>
  <c r="G136" i="23"/>
  <c r="G129" i="23"/>
  <c r="F172" i="23"/>
  <c r="G167" i="23"/>
  <c r="G168" i="23" s="1"/>
  <c r="G152" i="23"/>
  <c r="E185" i="23"/>
  <c r="G10" i="23"/>
  <c r="G13" i="23" s="1"/>
  <c r="F13" i="23"/>
  <c r="E48" i="23"/>
  <c r="E61" i="23" s="1"/>
  <c r="G43" i="23"/>
  <c r="F40" i="23"/>
  <c r="G30" i="23"/>
  <c r="G34" i="23" s="1"/>
  <c r="G44" i="23"/>
  <c r="G83" i="23"/>
  <c r="G106" i="23"/>
  <c r="G107" i="23"/>
  <c r="G108" i="23"/>
  <c r="G109" i="23"/>
  <c r="F130" i="23"/>
  <c r="G133" i="23"/>
  <c r="F97" i="23"/>
  <c r="G84" i="23"/>
  <c r="G111" i="23"/>
  <c r="F112" i="23"/>
  <c r="G128" i="23"/>
  <c r="G151" i="23"/>
  <c r="G159" i="23"/>
  <c r="G161" i="23" s="1"/>
  <c r="F144" i="23"/>
  <c r="F161" i="23"/>
  <c r="G142" i="23"/>
  <c r="G144" i="23" s="1"/>
  <c r="F157" i="23"/>
  <c r="G180" i="23"/>
  <c r="G181" i="23"/>
  <c r="F185" i="23"/>
  <c r="G177" i="23"/>
  <c r="G189" i="23"/>
  <c r="G192" i="23" s="1"/>
  <c r="Q245" i="22"/>
  <c r="AD49" i="6" l="1"/>
  <c r="AC52" i="6"/>
  <c r="AD52" i="6" s="1"/>
  <c r="G97" i="23"/>
  <c r="F139" i="23"/>
  <c r="G130" i="23"/>
  <c r="G172" i="23"/>
  <c r="G157" i="23"/>
  <c r="G162" i="23" s="1"/>
  <c r="G185" i="23"/>
  <c r="G138" i="23"/>
  <c r="F145" i="23"/>
  <c r="F162" i="23"/>
  <c r="G112" i="23"/>
  <c r="G118" i="23" s="1"/>
  <c r="G48" i="23"/>
  <c r="F118" i="23"/>
  <c r="F61" i="23"/>
  <c r="G139" i="23" l="1"/>
  <c r="G145" i="23"/>
  <c r="G61" i="23"/>
  <c r="AE159" i="2" l="1"/>
  <c r="AC159" i="2"/>
  <c r="AE98" i="2"/>
  <c r="CB98" i="2" s="1"/>
  <c r="AC98" i="2"/>
  <c r="BZ98" i="2" s="1"/>
  <c r="AE97" i="2"/>
  <c r="CB97" i="2" s="1"/>
  <c r="AC97" i="2"/>
  <c r="BZ97" i="2" s="1"/>
  <c r="AE85" i="2"/>
  <c r="CB85" i="2" s="1"/>
  <c r="AC85" i="2"/>
  <c r="BZ85" i="2" s="1"/>
  <c r="AE49" i="2"/>
  <c r="CB49" i="2" s="1"/>
  <c r="AC49" i="2"/>
  <c r="BZ49" i="2" s="1"/>
  <c r="AA49" i="2"/>
  <c r="S127" i="2"/>
  <c r="AI215" i="2"/>
  <c r="AI214" i="2"/>
  <c r="AI213" i="2"/>
  <c r="AI212" i="2"/>
  <c r="AI211" i="2"/>
  <c r="AG215" i="2"/>
  <c r="AG214" i="2"/>
  <c r="AG213" i="2"/>
  <c r="AG212" i="2"/>
  <c r="AG211" i="2"/>
  <c r="AE215" i="2"/>
  <c r="AE214" i="2"/>
  <c r="AE213" i="2"/>
  <c r="CB213" i="2" s="1"/>
  <c r="AE212" i="2"/>
  <c r="CB212" i="2" s="1"/>
  <c r="AE211" i="2"/>
  <c r="CB211" i="2" s="1"/>
  <c r="AC215" i="2"/>
  <c r="AC214" i="2"/>
  <c r="AC213" i="2"/>
  <c r="BZ213" i="2" s="1"/>
  <c r="AC212" i="2"/>
  <c r="BZ212" i="2" s="1"/>
  <c r="AC211" i="2"/>
  <c r="BZ211" i="2" s="1"/>
  <c r="CD213" i="2" l="1"/>
  <c r="CD211" i="2"/>
  <c r="CE211" i="2" s="1"/>
  <c r="CD49" i="2"/>
  <c r="CE49" i="2" s="1"/>
  <c r="CD212" i="2"/>
  <c r="CD98" i="2"/>
  <c r="CE98" i="2" s="1"/>
  <c r="CD85" i="2"/>
  <c r="CE85" i="2" s="1"/>
  <c r="CD97" i="2"/>
  <c r="CE97" i="2" s="1"/>
  <c r="AI210" i="2" l="1"/>
  <c r="AE210" i="2"/>
  <c r="AC210" i="2"/>
  <c r="AG210" i="2"/>
  <c r="ET215" i="2"/>
  <c r="ET213" i="2"/>
  <c r="ET212" i="2"/>
  <c r="J245" i="22"/>
  <c r="E129" i="22" l="1"/>
  <c r="E115" i="22"/>
  <c r="E108" i="22"/>
  <c r="E104" i="22"/>
  <c r="E97" i="22"/>
  <c r="E88" i="22"/>
  <c r="E83" i="22"/>
  <c r="E68" i="22"/>
  <c r="P129" i="22"/>
  <c r="P115" i="22"/>
  <c r="P108" i="22"/>
  <c r="P104" i="22"/>
  <c r="P97" i="22"/>
  <c r="P88" i="22"/>
  <c r="P83" i="22"/>
  <c r="P68" i="22"/>
  <c r="P49" i="22"/>
  <c r="P44" i="22"/>
  <c r="P37" i="22"/>
  <c r="P32" i="22"/>
  <c r="P28" i="22"/>
  <c r="P23" i="22"/>
  <c r="P13" i="22"/>
  <c r="E49" i="22"/>
  <c r="E44" i="22"/>
  <c r="E37" i="22"/>
  <c r="E32" i="22"/>
  <c r="E28" i="22"/>
  <c r="E23" i="22"/>
  <c r="E13" i="22"/>
  <c r="S230" i="22"/>
  <c r="U218" i="22"/>
  <c r="T218" i="22"/>
  <c r="S218" i="22"/>
  <c r="V218" i="22" s="1"/>
  <c r="V219" i="22" s="1"/>
  <c r="U217" i="22"/>
  <c r="T217" i="22"/>
  <c r="S217" i="22"/>
  <c r="V217" i="22" s="1"/>
  <c r="U172" i="22"/>
  <c r="T172" i="22"/>
  <c r="S172" i="22"/>
  <c r="U171" i="22"/>
  <c r="T171" i="22"/>
  <c r="S171" i="22"/>
  <c r="U170" i="22"/>
  <c r="T170" i="22"/>
  <c r="S170" i="22"/>
  <c r="U169" i="22"/>
  <c r="T169" i="22"/>
  <c r="S169" i="22"/>
  <c r="U168" i="22"/>
  <c r="T168" i="22"/>
  <c r="S168" i="22"/>
  <c r="U167" i="22"/>
  <c r="T167" i="22"/>
  <c r="S167" i="22"/>
  <c r="U166" i="22"/>
  <c r="T166" i="22"/>
  <c r="S166" i="22"/>
  <c r="U165" i="22"/>
  <c r="U198" i="22" s="1"/>
  <c r="T165" i="22"/>
  <c r="T198" i="22" s="1"/>
  <c r="S165" i="22"/>
  <c r="U164" i="22"/>
  <c r="U197" i="22" s="1"/>
  <c r="T164" i="22"/>
  <c r="T197" i="22" s="1"/>
  <c r="S164" i="22"/>
  <c r="U163" i="22"/>
  <c r="U196" i="22" s="1"/>
  <c r="T163" i="22"/>
  <c r="T196" i="22" s="1"/>
  <c r="S163" i="22"/>
  <c r="U162" i="22"/>
  <c r="U195" i="22" s="1"/>
  <c r="T162" i="22"/>
  <c r="T195" i="22" s="1"/>
  <c r="S162" i="22"/>
  <c r="U161" i="22"/>
  <c r="U194" i="22" s="1"/>
  <c r="T161" i="22"/>
  <c r="T194" i="22" s="1"/>
  <c r="S161" i="22"/>
  <c r="U160" i="22"/>
  <c r="U193" i="22" s="1"/>
  <c r="T160" i="22"/>
  <c r="T193" i="22" s="1"/>
  <c r="S160" i="22"/>
  <c r="U159" i="22"/>
  <c r="U192" i="22" s="1"/>
  <c r="T159" i="22"/>
  <c r="T192" i="22" s="1"/>
  <c r="S159" i="22"/>
  <c r="U158" i="22"/>
  <c r="U191" i="22" s="1"/>
  <c r="T158" i="22"/>
  <c r="T191" i="22" s="1"/>
  <c r="S158" i="22"/>
  <c r="U157" i="22"/>
  <c r="U190" i="22" s="1"/>
  <c r="T157" i="22"/>
  <c r="T190" i="22" s="1"/>
  <c r="S157" i="22"/>
  <c r="U156" i="22"/>
  <c r="U189" i="22" s="1"/>
  <c r="T156" i="22"/>
  <c r="T189" i="22" s="1"/>
  <c r="S156" i="22"/>
  <c r="U155" i="22"/>
  <c r="U188" i="22" s="1"/>
  <c r="T155" i="22"/>
  <c r="T188" i="22" s="1"/>
  <c r="S155" i="22"/>
  <c r="U154" i="22"/>
  <c r="U187" i="22" s="1"/>
  <c r="T154" i="22"/>
  <c r="T187" i="22" s="1"/>
  <c r="S154" i="22"/>
  <c r="U153" i="22"/>
  <c r="U186" i="22" s="1"/>
  <c r="T153" i="22"/>
  <c r="T186" i="22" s="1"/>
  <c r="S153" i="22"/>
  <c r="U152" i="22"/>
  <c r="U185" i="22" s="1"/>
  <c r="T152" i="22"/>
  <c r="T185" i="22" s="1"/>
  <c r="S152" i="22"/>
  <c r="U151" i="22"/>
  <c r="U184" i="22" s="1"/>
  <c r="T151" i="22"/>
  <c r="T184" i="22" s="1"/>
  <c r="S151" i="22"/>
  <c r="V151" i="22" s="1"/>
  <c r="U150" i="22"/>
  <c r="U183" i="22" s="1"/>
  <c r="T150" i="22"/>
  <c r="T183" i="22" s="1"/>
  <c r="S150" i="22"/>
  <c r="V150" i="22" s="1"/>
  <c r="U149" i="22"/>
  <c r="U182" i="22" s="1"/>
  <c r="U206" i="22" s="1"/>
  <c r="T149" i="22"/>
  <c r="T182" i="22" s="1"/>
  <c r="T206" i="22" s="1"/>
  <c r="S149" i="22"/>
  <c r="V149" i="22" s="1"/>
  <c r="V173" i="22" s="1"/>
  <c r="V174" i="22" s="1"/>
  <c r="U141" i="22"/>
  <c r="T141" i="22"/>
  <c r="S141" i="22"/>
  <c r="V141" i="22" s="1"/>
  <c r="U140" i="22"/>
  <c r="T140" i="22"/>
  <c r="S140" i="22"/>
  <c r="V140" i="22" s="1"/>
  <c r="U139" i="22"/>
  <c r="T139" i="22"/>
  <c r="S139" i="22"/>
  <c r="V139" i="22" s="1"/>
  <c r="U138" i="22"/>
  <c r="T138" i="22"/>
  <c r="S138" i="22"/>
  <c r="V138" i="22" s="1"/>
  <c r="U137" i="22"/>
  <c r="T137" i="22"/>
  <c r="S137" i="22"/>
  <c r="V137" i="22" s="1"/>
  <c r="U136" i="22"/>
  <c r="T136" i="22"/>
  <c r="S136" i="22"/>
  <c r="V136" i="22" s="1"/>
  <c r="U135" i="22"/>
  <c r="U142" i="22" s="1"/>
  <c r="U143" i="22" s="1"/>
  <c r="T135" i="22"/>
  <c r="T142" i="22" s="1"/>
  <c r="T143" i="22" s="1"/>
  <c r="S135" i="22"/>
  <c r="V135" i="22" s="1"/>
  <c r="V142" i="22" s="1"/>
  <c r="V143" i="22" s="1"/>
  <c r="V128" i="22"/>
  <c r="Q128" i="22"/>
  <c r="R128" i="22" s="1"/>
  <c r="V127" i="22"/>
  <c r="R127" i="22"/>
  <c r="V126" i="22"/>
  <c r="Q126" i="22"/>
  <c r="R126" i="22" s="1"/>
  <c r="V125" i="22"/>
  <c r="Q125" i="22"/>
  <c r="R125" i="22" s="1"/>
  <c r="V124" i="22"/>
  <c r="Q124" i="22"/>
  <c r="R124" i="22" s="1"/>
  <c r="V123" i="22"/>
  <c r="Q123" i="22"/>
  <c r="V122" i="22"/>
  <c r="R122" i="22"/>
  <c r="V121" i="22"/>
  <c r="R121" i="22"/>
  <c r="V120" i="22"/>
  <c r="R120" i="22"/>
  <c r="Q115" i="22"/>
  <c r="V114" i="22"/>
  <c r="R114" i="22"/>
  <c r="R115" i="22" s="1"/>
  <c r="Q108" i="22"/>
  <c r="V107" i="22"/>
  <c r="R107" i="22"/>
  <c r="R108" i="22" s="1"/>
  <c r="V106" i="22"/>
  <c r="V103" i="22"/>
  <c r="R103" i="22"/>
  <c r="V102" i="22"/>
  <c r="Q102" i="22"/>
  <c r="R102" i="22" s="1"/>
  <c r="V101" i="22"/>
  <c r="R101" i="22"/>
  <c r="V100" i="22"/>
  <c r="Q100" i="22"/>
  <c r="R100" i="22" s="1"/>
  <c r="V99" i="22"/>
  <c r="Q99" i="22"/>
  <c r="V96" i="22"/>
  <c r="Q96" i="22"/>
  <c r="R96" i="22" s="1"/>
  <c r="V95" i="22"/>
  <c r="Q95" i="22"/>
  <c r="R95" i="22" s="1"/>
  <c r="V94" i="22"/>
  <c r="R94" i="22"/>
  <c r="V93" i="22"/>
  <c r="R93" i="22"/>
  <c r="V92" i="22"/>
  <c r="R92" i="22"/>
  <c r="V91" i="22"/>
  <c r="R91" i="22"/>
  <c r="V87" i="22"/>
  <c r="Q87" i="22"/>
  <c r="R87" i="22" s="1"/>
  <c r="V86" i="22"/>
  <c r="R86" i="22"/>
  <c r="V82" i="22"/>
  <c r="Q82" i="22"/>
  <c r="R82" i="22" s="1"/>
  <c r="V81" i="22"/>
  <c r="Q81" i="22"/>
  <c r="R81" i="22" s="1"/>
  <c r="V80" i="22"/>
  <c r="Q80" i="22"/>
  <c r="R80" i="22" s="1"/>
  <c r="V79" i="22"/>
  <c r="Q79" i="22"/>
  <c r="R79" i="22" s="1"/>
  <c r="V78" i="22"/>
  <c r="Q78" i="22"/>
  <c r="R78" i="22" s="1"/>
  <c r="V77" i="22"/>
  <c r="Q77" i="22"/>
  <c r="R77" i="22" s="1"/>
  <c r="V76" i="22"/>
  <c r="R76" i="22"/>
  <c r="V75" i="22"/>
  <c r="R75" i="22"/>
  <c r="V74" i="22"/>
  <c r="R74" i="22"/>
  <c r="V73" i="22"/>
  <c r="R73" i="22"/>
  <c r="V72" i="22"/>
  <c r="R72" i="22"/>
  <c r="V71" i="22"/>
  <c r="R71" i="22"/>
  <c r="V67" i="22"/>
  <c r="V66" i="22"/>
  <c r="R66" i="22"/>
  <c r="V65" i="22"/>
  <c r="R65" i="22"/>
  <c r="V64" i="22"/>
  <c r="R64" i="22"/>
  <c r="V63" i="22"/>
  <c r="R63" i="22"/>
  <c r="V62" i="22"/>
  <c r="R62" i="22"/>
  <c r="V61" i="22"/>
  <c r="R61" i="22"/>
  <c r="V60" i="22"/>
  <c r="R60" i="22"/>
  <c r="V59" i="22"/>
  <c r="R59" i="22"/>
  <c r="V58" i="22"/>
  <c r="V57" i="22"/>
  <c r="R57" i="22"/>
  <c r="V56" i="22"/>
  <c r="R56" i="22"/>
  <c r="V55" i="22"/>
  <c r="Q55" i="22"/>
  <c r="V54" i="22"/>
  <c r="Q54" i="22"/>
  <c r="R54" i="22" s="1"/>
  <c r="V53" i="22"/>
  <c r="R53" i="22"/>
  <c r="V52" i="22"/>
  <c r="R52" i="22"/>
  <c r="V51" i="22"/>
  <c r="R51" i="22"/>
  <c r="Q49" i="22"/>
  <c r="V48" i="22"/>
  <c r="R48" i="22"/>
  <c r="R49" i="22" s="1"/>
  <c r="Q44" i="22"/>
  <c r="V43" i="22"/>
  <c r="R43" i="22"/>
  <c r="V42" i="22"/>
  <c r="R42" i="22"/>
  <c r="V41" i="22"/>
  <c r="R41" i="22"/>
  <c r="V40" i="22"/>
  <c r="R40" i="22"/>
  <c r="Q37" i="22"/>
  <c r="V36" i="22"/>
  <c r="R36" i="22"/>
  <c r="V35" i="22"/>
  <c r="R35" i="22"/>
  <c r="Q32" i="22"/>
  <c r="V31" i="22"/>
  <c r="R31" i="22"/>
  <c r="R32" i="22" s="1"/>
  <c r="Q28" i="22"/>
  <c r="V27" i="22"/>
  <c r="R27" i="22"/>
  <c r="V26" i="22"/>
  <c r="R26" i="22"/>
  <c r="V22" i="22"/>
  <c r="R22" i="22"/>
  <c r="V21" i="22"/>
  <c r="Q21" i="22"/>
  <c r="Q23" i="22" s="1"/>
  <c r="V20" i="22"/>
  <c r="R20" i="22"/>
  <c r="V19" i="22"/>
  <c r="R19" i="22"/>
  <c r="V18" i="22"/>
  <c r="R18" i="22"/>
  <c r="Q13" i="22"/>
  <c r="V12" i="22"/>
  <c r="R12" i="22"/>
  <c r="V11" i="22"/>
  <c r="R11" i="22"/>
  <c r="V10" i="22"/>
  <c r="R10" i="22"/>
  <c r="J172" i="22"/>
  <c r="I172" i="22"/>
  <c r="H172" i="22"/>
  <c r="J171" i="22"/>
  <c r="I171" i="22"/>
  <c r="H171" i="22"/>
  <c r="J167" i="22"/>
  <c r="I167" i="22"/>
  <c r="H167" i="22"/>
  <c r="K167" i="22" s="1"/>
  <c r="J165" i="22"/>
  <c r="I165" i="22"/>
  <c r="H165" i="22"/>
  <c r="K165" i="22" s="1"/>
  <c r="J160" i="22"/>
  <c r="I160" i="22"/>
  <c r="H160" i="22"/>
  <c r="J159" i="22"/>
  <c r="I159" i="22"/>
  <c r="H159" i="22"/>
  <c r="J153" i="22"/>
  <c r="I153" i="22"/>
  <c r="H153" i="22"/>
  <c r="K153" i="22" s="1"/>
  <c r="J151" i="22"/>
  <c r="I151" i="22"/>
  <c r="H151" i="22"/>
  <c r="J150" i="22"/>
  <c r="I150" i="22"/>
  <c r="H150" i="22"/>
  <c r="I140" i="22"/>
  <c r="J135" i="22"/>
  <c r="I135" i="22"/>
  <c r="H135" i="22"/>
  <c r="K135" i="22" s="1"/>
  <c r="K128" i="22"/>
  <c r="F128" i="22"/>
  <c r="K127" i="22"/>
  <c r="G127" i="22"/>
  <c r="K126" i="22"/>
  <c r="F126" i="22"/>
  <c r="K125" i="22"/>
  <c r="F125" i="22"/>
  <c r="K124" i="22"/>
  <c r="F124" i="22"/>
  <c r="K123" i="22"/>
  <c r="F123" i="22"/>
  <c r="K122" i="22"/>
  <c r="G122" i="22"/>
  <c r="K121" i="22"/>
  <c r="G121" i="22"/>
  <c r="K120" i="22"/>
  <c r="G120" i="22"/>
  <c r="K114" i="22"/>
  <c r="G114" i="22"/>
  <c r="K107" i="22"/>
  <c r="G107" i="22"/>
  <c r="K106" i="22"/>
  <c r="K103" i="22"/>
  <c r="G103" i="22"/>
  <c r="K102" i="22"/>
  <c r="F102" i="22"/>
  <c r="K101" i="22"/>
  <c r="G101" i="22"/>
  <c r="K100" i="22"/>
  <c r="F100" i="22"/>
  <c r="K99" i="22"/>
  <c r="F99" i="22"/>
  <c r="K96" i="22"/>
  <c r="F96" i="22"/>
  <c r="K95" i="22"/>
  <c r="F95" i="22"/>
  <c r="K94" i="22"/>
  <c r="G94" i="22"/>
  <c r="K93" i="22"/>
  <c r="G93" i="22"/>
  <c r="K92" i="22"/>
  <c r="G92" i="22"/>
  <c r="K91" i="22"/>
  <c r="G91" i="22"/>
  <c r="K87" i="22"/>
  <c r="F87" i="22"/>
  <c r="F88" i="22" s="1"/>
  <c r="K86" i="22"/>
  <c r="G86" i="22"/>
  <c r="K82" i="22"/>
  <c r="F82" i="22"/>
  <c r="K81" i="22"/>
  <c r="F81" i="22"/>
  <c r="K80" i="22"/>
  <c r="F80" i="22"/>
  <c r="K79" i="22"/>
  <c r="F79" i="22"/>
  <c r="G79" i="22" s="1"/>
  <c r="A79" i="22"/>
  <c r="A80" i="22" s="1"/>
  <c r="A81" i="22" s="1"/>
  <c r="A82" i="22" s="1"/>
  <c r="A86" i="22" s="1"/>
  <c r="A87" i="22" s="1"/>
  <c r="A91" i="22" s="1"/>
  <c r="A92" i="22" s="1"/>
  <c r="A93" i="22" s="1"/>
  <c r="A94" i="22" s="1"/>
  <c r="A95" i="22" s="1"/>
  <c r="A96" i="22" s="1"/>
  <c r="A99" i="22" s="1"/>
  <c r="A100" i="22" s="1"/>
  <c r="A101" i="22" s="1"/>
  <c r="A102" i="22" s="1"/>
  <c r="A103" i="22" s="1"/>
  <c r="A107" i="22" s="1"/>
  <c r="A114" i="22" s="1"/>
  <c r="A120" i="22" s="1"/>
  <c r="A121" i="22" s="1"/>
  <c r="A122" i="22" s="1"/>
  <c r="A123" i="22" s="1"/>
  <c r="A124" i="22" s="1"/>
  <c r="A125" i="22" s="1"/>
  <c r="A126" i="22" s="1"/>
  <c r="A127" i="22" s="1"/>
  <c r="A128" i="22" s="1"/>
  <c r="K78" i="22"/>
  <c r="F78" i="22"/>
  <c r="K77" i="22"/>
  <c r="F77" i="22"/>
  <c r="K76" i="22"/>
  <c r="G76" i="22"/>
  <c r="K75" i="22"/>
  <c r="G75" i="22"/>
  <c r="K74" i="22"/>
  <c r="G74" i="22"/>
  <c r="K73" i="22"/>
  <c r="G73" i="22"/>
  <c r="K72" i="22"/>
  <c r="G72" i="22"/>
  <c r="K71" i="22"/>
  <c r="G71" i="22"/>
  <c r="K67" i="22"/>
  <c r="K66" i="22"/>
  <c r="G66" i="22"/>
  <c r="K65" i="22"/>
  <c r="G65" i="22"/>
  <c r="K64" i="22"/>
  <c r="G64" i="22"/>
  <c r="K63" i="22"/>
  <c r="G63" i="22"/>
  <c r="K62" i="22"/>
  <c r="G62" i="22"/>
  <c r="K61" i="22"/>
  <c r="G61" i="22"/>
  <c r="K60" i="22"/>
  <c r="G60" i="22"/>
  <c r="K59" i="22"/>
  <c r="G59" i="22"/>
  <c r="K58" i="22"/>
  <c r="K57" i="22"/>
  <c r="G57" i="22"/>
  <c r="K56" i="22"/>
  <c r="G56" i="22"/>
  <c r="K55" i="22"/>
  <c r="F55" i="22"/>
  <c r="K54" i="22"/>
  <c r="F54" i="22"/>
  <c r="K53" i="22"/>
  <c r="G53" i="22"/>
  <c r="K52" i="22"/>
  <c r="G52" i="22"/>
  <c r="K51" i="22"/>
  <c r="G51" i="22"/>
  <c r="F49" i="22"/>
  <c r="K48" i="22"/>
  <c r="G48" i="22"/>
  <c r="A48" i="22"/>
  <c r="A51" i="22" s="1"/>
  <c r="A52" i="22" s="1"/>
  <c r="A53" i="22" s="1"/>
  <c r="A54" i="22" s="1"/>
  <c r="A55" i="22" s="1"/>
  <c r="A56" i="22" s="1"/>
  <c r="A57" i="22" s="1"/>
  <c r="A58" i="22" s="1"/>
  <c r="A59" i="22" s="1"/>
  <c r="A60" i="22" s="1"/>
  <c r="A61" i="22" s="1"/>
  <c r="A62" i="22" s="1"/>
  <c r="A63" i="22" s="1"/>
  <c r="A64" i="22" s="1"/>
  <c r="A65" i="22" s="1"/>
  <c r="A66" i="22" s="1"/>
  <c r="A67" i="22" s="1"/>
  <c r="A71" i="22" s="1"/>
  <c r="A72" i="22" s="1"/>
  <c r="A73" i="22" s="1"/>
  <c r="A74" i="22" s="1"/>
  <c r="A75" i="22" s="1"/>
  <c r="A76" i="22" s="1"/>
  <c r="A77" i="22" s="1"/>
  <c r="K43" i="22"/>
  <c r="G43" i="22"/>
  <c r="K42" i="22"/>
  <c r="G42" i="22"/>
  <c r="K41" i="22"/>
  <c r="G41" i="22"/>
  <c r="K40" i="22"/>
  <c r="G40" i="22"/>
  <c r="K36" i="22"/>
  <c r="G36" i="22"/>
  <c r="K35" i="22"/>
  <c r="G35" i="22"/>
  <c r="A35" i="22"/>
  <c r="A36" i="22" s="1"/>
  <c r="A40" i="22" s="1"/>
  <c r="A41" i="22" s="1"/>
  <c r="A42" i="22" s="1"/>
  <c r="A43" i="22" s="1"/>
  <c r="K31" i="22"/>
  <c r="G31" i="22"/>
  <c r="K27" i="22"/>
  <c r="G27" i="22"/>
  <c r="F28" i="22"/>
  <c r="K26" i="22"/>
  <c r="G26" i="22"/>
  <c r="A26" i="22"/>
  <c r="A27" i="22" s="1"/>
  <c r="A31" i="22" s="1"/>
  <c r="K22" i="22"/>
  <c r="G22" i="22"/>
  <c r="K21" i="22"/>
  <c r="F21" i="22"/>
  <c r="K20" i="22"/>
  <c r="G20" i="22"/>
  <c r="K19" i="22"/>
  <c r="G19" i="22"/>
  <c r="K18" i="22"/>
  <c r="G18" i="22"/>
  <c r="K12" i="22"/>
  <c r="G12" i="22"/>
  <c r="K11" i="22"/>
  <c r="G11" i="22"/>
  <c r="K10" i="22"/>
  <c r="G10" i="22"/>
  <c r="P109" i="22" l="1"/>
  <c r="P105" i="22"/>
  <c r="P131" i="22" s="1"/>
  <c r="E105" i="22"/>
  <c r="E131" i="22"/>
  <c r="R37" i="22"/>
  <c r="Q68" i="22"/>
  <c r="U219" i="22"/>
  <c r="U221" i="22" s="1"/>
  <c r="Q104" i="22"/>
  <c r="T219" i="22"/>
  <c r="T221" i="22" s="1"/>
  <c r="R99" i="22"/>
  <c r="R104" i="22" s="1"/>
  <c r="T201" i="22"/>
  <c r="U202" i="22"/>
  <c r="T205" i="22"/>
  <c r="S142" i="22"/>
  <c r="S143" i="22" s="1"/>
  <c r="U201" i="22"/>
  <c r="T199" i="22"/>
  <c r="U200" i="22"/>
  <c r="T203" i="22"/>
  <c r="U204" i="22"/>
  <c r="S182" i="22"/>
  <c r="S206" i="22" s="1"/>
  <c r="T200" i="22"/>
  <c r="T204" i="22"/>
  <c r="U205" i="22"/>
  <c r="U199" i="22"/>
  <c r="T202" i="22"/>
  <c r="U203" i="22"/>
  <c r="S219" i="22"/>
  <c r="R88" i="22"/>
  <c r="R44" i="22"/>
  <c r="R28" i="22"/>
  <c r="R13" i="22"/>
  <c r="Q83" i="22"/>
  <c r="R97" i="22"/>
  <c r="V154" i="22"/>
  <c r="S187" i="22"/>
  <c r="V187" i="22" s="1"/>
  <c r="V158" i="22"/>
  <c r="S191" i="22"/>
  <c r="V191" i="22" s="1"/>
  <c r="V162" i="22"/>
  <c r="S195" i="22"/>
  <c r="V195" i="22" s="1"/>
  <c r="V166" i="22"/>
  <c r="S199" i="22"/>
  <c r="V199" i="22" s="1"/>
  <c r="V170" i="22"/>
  <c r="S203" i="22"/>
  <c r="V203" i="22" s="1"/>
  <c r="S183" i="22"/>
  <c r="V183" i="22" s="1"/>
  <c r="V167" i="22"/>
  <c r="S200" i="22"/>
  <c r="V200" i="22" s="1"/>
  <c r="V171" i="22"/>
  <c r="S204" i="22"/>
  <c r="V204" i="22" s="1"/>
  <c r="R83" i="22"/>
  <c r="Q97" i="22"/>
  <c r="Q129" i="22"/>
  <c r="V153" i="22"/>
  <c r="S186" i="22"/>
  <c r="V186" i="22" s="1"/>
  <c r="V157" i="22"/>
  <c r="S190" i="22"/>
  <c r="V190" i="22" s="1"/>
  <c r="V161" i="22"/>
  <c r="S194" i="22"/>
  <c r="V194" i="22" s="1"/>
  <c r="V165" i="22"/>
  <c r="S198" i="22"/>
  <c r="V198" i="22" s="1"/>
  <c r="V169" i="22"/>
  <c r="S202" i="22"/>
  <c r="V202" i="22" s="1"/>
  <c r="S173" i="22"/>
  <c r="S174" i="22" s="1"/>
  <c r="S184" i="22"/>
  <c r="V184" i="22" s="1"/>
  <c r="U208" i="22"/>
  <c r="S229" i="22" s="1"/>
  <c r="V155" i="22"/>
  <c r="S188" i="22"/>
  <c r="V188" i="22" s="1"/>
  <c r="V159" i="22"/>
  <c r="S192" i="22"/>
  <c r="V192" i="22" s="1"/>
  <c r="V163" i="22"/>
  <c r="S196" i="22"/>
  <c r="V196" i="22" s="1"/>
  <c r="Q88" i="22"/>
  <c r="V152" i="22"/>
  <c r="S185" i="22"/>
  <c r="V185" i="22" s="1"/>
  <c r="V156" i="22"/>
  <c r="S189" i="22"/>
  <c r="V189" i="22" s="1"/>
  <c r="V160" i="22"/>
  <c r="S193" i="22"/>
  <c r="V193" i="22" s="1"/>
  <c r="V164" i="22"/>
  <c r="S197" i="22"/>
  <c r="V197" i="22" s="1"/>
  <c r="V168" i="22"/>
  <c r="S201" i="22"/>
  <c r="V201" i="22" s="1"/>
  <c r="V172" i="22"/>
  <c r="S205" i="22"/>
  <c r="V205" i="22" s="1"/>
  <c r="T173" i="22"/>
  <c r="T174" i="22" s="1"/>
  <c r="R21" i="22"/>
  <c r="R23" i="22" s="1"/>
  <c r="R55" i="22"/>
  <c r="R68" i="22" s="1"/>
  <c r="R123" i="22"/>
  <c r="R129" i="22" s="1"/>
  <c r="U173" i="22"/>
  <c r="U174" i="22" s="1"/>
  <c r="T230" i="22"/>
  <c r="U230" i="22" s="1"/>
  <c r="G87" i="22"/>
  <c r="G88" i="22" s="1"/>
  <c r="G100" i="22"/>
  <c r="G28" i="22"/>
  <c r="G99" i="22"/>
  <c r="G125" i="22"/>
  <c r="G55" i="22"/>
  <c r="I137" i="22"/>
  <c r="F115" i="22"/>
  <c r="J140" i="22"/>
  <c r="J204" i="22" s="1"/>
  <c r="I192" i="22"/>
  <c r="K160" i="22"/>
  <c r="J154" i="22"/>
  <c r="J157" i="22"/>
  <c r="J190" i="22" s="1"/>
  <c r="G21" i="22"/>
  <c r="G23" i="22" s="1"/>
  <c r="J164" i="22"/>
  <c r="J197" i="22" s="1"/>
  <c r="J166" i="22"/>
  <c r="J199" i="22" s="1"/>
  <c r="H168" i="22"/>
  <c r="I168" i="22"/>
  <c r="G44" i="22"/>
  <c r="F44" i="22"/>
  <c r="I154" i="22"/>
  <c r="I157" i="22"/>
  <c r="I190" i="22" s="1"/>
  <c r="H163" i="22"/>
  <c r="I163" i="22"/>
  <c r="H155" i="22"/>
  <c r="I155" i="22"/>
  <c r="J156" i="22"/>
  <c r="I156" i="22"/>
  <c r="H161" i="22"/>
  <c r="J162" i="22"/>
  <c r="J195" i="22" s="1"/>
  <c r="I162" i="22"/>
  <c r="I195" i="22" s="1"/>
  <c r="I164" i="22"/>
  <c r="I197" i="22" s="1"/>
  <c r="I166" i="22"/>
  <c r="I199" i="22" s="1"/>
  <c r="J169" i="22"/>
  <c r="I169" i="22"/>
  <c r="F68" i="22"/>
  <c r="G54" i="22"/>
  <c r="G78" i="22"/>
  <c r="H137" i="22"/>
  <c r="J138" i="22"/>
  <c r="F97" i="22"/>
  <c r="G102" i="22"/>
  <c r="G81" i="22"/>
  <c r="J192" i="22"/>
  <c r="K171" i="22"/>
  <c r="K172" i="22"/>
  <c r="I198" i="22"/>
  <c r="H192" i="22"/>
  <c r="J152" i="22"/>
  <c r="G82" i="22"/>
  <c r="G13" i="22"/>
  <c r="F13" i="22"/>
  <c r="F23" i="22"/>
  <c r="F37" i="22"/>
  <c r="F32" i="22"/>
  <c r="H138" i="22"/>
  <c r="F83" i="22"/>
  <c r="I186" i="22"/>
  <c r="G32" i="22"/>
  <c r="G49" i="22"/>
  <c r="I138" i="22"/>
  <c r="G77" i="22"/>
  <c r="G80" i="22"/>
  <c r="J198" i="22"/>
  <c r="F104" i="22"/>
  <c r="G95" i="22"/>
  <c r="G96" i="22"/>
  <c r="G108" i="22"/>
  <c r="F108" i="22"/>
  <c r="G123" i="22"/>
  <c r="F129" i="22"/>
  <c r="G124" i="22"/>
  <c r="G126" i="22"/>
  <c r="K151" i="22"/>
  <c r="K159" i="22"/>
  <c r="I204" i="22"/>
  <c r="G128" i="22"/>
  <c r="K150" i="22"/>
  <c r="B14" i="21"/>
  <c r="B6" i="21"/>
  <c r="I33" i="21"/>
  <c r="H33" i="21"/>
  <c r="J33" i="21" s="1"/>
  <c r="B29" i="21" s="1"/>
  <c r="R109" i="22" l="1"/>
  <c r="Q109" i="22"/>
  <c r="I237" i="22"/>
  <c r="P237" i="22"/>
  <c r="I236" i="22"/>
  <c r="P236" i="22"/>
  <c r="V182" i="22"/>
  <c r="V206" i="22" s="1"/>
  <c r="V221" i="22" s="1"/>
  <c r="Q105" i="22"/>
  <c r="Q131" i="22" s="1"/>
  <c r="R105" i="22"/>
  <c r="R131" i="22" s="1"/>
  <c r="S221" i="22"/>
  <c r="S208" i="22"/>
  <c r="T229" i="22"/>
  <c r="U229" i="22" s="1"/>
  <c r="K192" i="22"/>
  <c r="G104" i="22"/>
  <c r="J202" i="22"/>
  <c r="G68" i="22"/>
  <c r="I202" i="22"/>
  <c r="I201" i="22"/>
  <c r="H201" i="22"/>
  <c r="F105" i="22"/>
  <c r="F131" i="22" s="1"/>
  <c r="G115" i="22"/>
  <c r="H157" i="22"/>
  <c r="G97" i="22"/>
  <c r="G129" i="22"/>
  <c r="G83" i="22"/>
  <c r="H164" i="22"/>
  <c r="H197" i="22" s="1"/>
  <c r="K197" i="22" s="1"/>
  <c r="K138" i="22"/>
  <c r="J141" i="22"/>
  <c r="J205" i="22" s="1"/>
  <c r="J139" i="22"/>
  <c r="H140" i="22"/>
  <c r="J136" i="22"/>
  <c r="J200" i="22" s="1"/>
  <c r="G37" i="22"/>
  <c r="I141" i="22"/>
  <c r="I205" i="22" s="1"/>
  <c r="I139" i="22"/>
  <c r="J137" i="22"/>
  <c r="K137" i="22" s="1"/>
  <c r="J163" i="22"/>
  <c r="H194" i="22"/>
  <c r="K194" i="22" s="1"/>
  <c r="H169" i="22"/>
  <c r="I149" i="22"/>
  <c r="H141" i="22"/>
  <c r="H139" i="22"/>
  <c r="I161" i="22"/>
  <c r="I194" i="22" s="1"/>
  <c r="I152" i="22"/>
  <c r="B26" i="21"/>
  <c r="B34" i="21" s="1"/>
  <c r="C37" i="21" s="1"/>
  <c r="I238" i="22" l="1"/>
  <c r="K237" i="22"/>
  <c r="R237" i="22"/>
  <c r="P238" i="22"/>
  <c r="J236" i="22"/>
  <c r="J238" i="22" s="1"/>
  <c r="Q236" i="22"/>
  <c r="Q238" i="22" s="1"/>
  <c r="G105" i="22"/>
  <c r="G131" i="22" s="1"/>
  <c r="H218" i="22"/>
  <c r="I189" i="22"/>
  <c r="J155" i="22"/>
  <c r="K155" i="22" s="1"/>
  <c r="I188" i="22"/>
  <c r="J189" i="22"/>
  <c r="K164" i="22"/>
  <c r="J168" i="22"/>
  <c r="J201" i="22" s="1"/>
  <c r="K201" i="22" s="1"/>
  <c r="I218" i="22"/>
  <c r="H166" i="22"/>
  <c r="K166" i="22" s="1"/>
  <c r="I136" i="22"/>
  <c r="I200" i="22" s="1"/>
  <c r="K163" i="22"/>
  <c r="I183" i="22"/>
  <c r="I182" i="22"/>
  <c r="J184" i="22"/>
  <c r="H202" i="22"/>
  <c r="K202" i="22" s="1"/>
  <c r="K169" i="22"/>
  <c r="I158" i="22"/>
  <c r="I191" i="22" s="1"/>
  <c r="H154" i="22"/>
  <c r="K140" i="22"/>
  <c r="H204" i="22"/>
  <c r="K204" i="22" s="1"/>
  <c r="H156" i="22"/>
  <c r="I170" i="22"/>
  <c r="I203" i="22" s="1"/>
  <c r="H136" i="22"/>
  <c r="I185" i="22"/>
  <c r="K139" i="22"/>
  <c r="I173" i="22"/>
  <c r="I184" i="22"/>
  <c r="K141" i="22"/>
  <c r="H205" i="22"/>
  <c r="K205" i="22" s="1"/>
  <c r="H190" i="22"/>
  <c r="K190" i="22" s="1"/>
  <c r="K157" i="22"/>
  <c r="H198" i="22"/>
  <c r="K198" i="22" s="1"/>
  <c r="K236" i="22" l="1"/>
  <c r="K238" i="22" s="1"/>
  <c r="R236" i="22"/>
  <c r="R238" i="22"/>
  <c r="K168" i="22"/>
  <c r="I174" i="22"/>
  <c r="H199" i="22"/>
  <c r="K199" i="22" s="1"/>
  <c r="H162" i="22"/>
  <c r="J193" i="22"/>
  <c r="J149" i="22"/>
  <c r="I187" i="22"/>
  <c r="J188" i="22"/>
  <c r="J218" i="22"/>
  <c r="J187" i="22"/>
  <c r="H187" i="22"/>
  <c r="K154" i="22"/>
  <c r="H152" i="22"/>
  <c r="J161" i="22"/>
  <c r="I206" i="22"/>
  <c r="J185" i="22"/>
  <c r="H200" i="22"/>
  <c r="K200" i="22" s="1"/>
  <c r="H183" i="22"/>
  <c r="K156" i="22"/>
  <c r="H189" i="22"/>
  <c r="H188" i="22"/>
  <c r="H184" i="22"/>
  <c r="J183" i="22"/>
  <c r="J158" i="22" l="1"/>
  <c r="J191" i="22" s="1"/>
  <c r="K188" i="22"/>
  <c r="I193" i="22"/>
  <c r="K184" i="22"/>
  <c r="H230" i="22"/>
  <c r="J196" i="22"/>
  <c r="J186" i="22"/>
  <c r="K189" i="22"/>
  <c r="K136" i="22"/>
  <c r="I196" i="22"/>
  <c r="H149" i="22"/>
  <c r="I217" i="22"/>
  <c r="I219" i="22" s="1"/>
  <c r="I221" i="22" s="1"/>
  <c r="H217" i="22"/>
  <c r="J217" i="22"/>
  <c r="J219" i="22" s="1"/>
  <c r="K183" i="22"/>
  <c r="K162" i="22"/>
  <c r="H195" i="22"/>
  <c r="K195" i="22" s="1"/>
  <c r="J170" i="22"/>
  <c r="J203" i="22" s="1"/>
  <c r="K187" i="22"/>
  <c r="I142" i="22"/>
  <c r="I143" i="22" s="1"/>
  <c r="J194" i="22"/>
  <c r="K161" i="22"/>
  <c r="H158" i="22"/>
  <c r="J182" i="22"/>
  <c r="J206" i="22" s="1"/>
  <c r="J173" i="22"/>
  <c r="J174" i="22" s="1"/>
  <c r="K152" i="22"/>
  <c r="H185" i="22"/>
  <c r="K185" i="22" s="1"/>
  <c r="K218" i="22" l="1"/>
  <c r="J142" i="22"/>
  <c r="J143" i="22" s="1"/>
  <c r="H170" i="22"/>
  <c r="H203" i="22" s="1"/>
  <c r="K203" i="22" s="1"/>
  <c r="H142" i="22"/>
  <c r="H143" i="22" s="1"/>
  <c r="I230" i="22"/>
  <c r="J230" i="22" s="1"/>
  <c r="J221" i="22"/>
  <c r="K158" i="22"/>
  <c r="H191" i="22"/>
  <c r="K191" i="22" s="1"/>
  <c r="H193" i="22"/>
  <c r="K193" i="22" s="1"/>
  <c r="K217" i="22"/>
  <c r="H219" i="22"/>
  <c r="H182" i="22"/>
  <c r="H173" i="22"/>
  <c r="H174" i="22" s="1"/>
  <c r="K149" i="22"/>
  <c r="K173" i="22" s="1"/>
  <c r="K174" i="22" s="1"/>
  <c r="H186" i="22"/>
  <c r="K186" i="22" s="1"/>
  <c r="K170" i="22" l="1"/>
  <c r="K142" i="22"/>
  <c r="K143" i="22" s="1"/>
  <c r="H196" i="22"/>
  <c r="K196" i="22" s="1"/>
  <c r="K219" i="22"/>
  <c r="J208" i="22"/>
  <c r="H229" i="22" s="1"/>
  <c r="H206" i="22"/>
  <c r="K182" i="22"/>
  <c r="K206" i="22" s="1"/>
  <c r="K221" i="22" l="1"/>
  <c r="H221" i="22"/>
  <c r="H208" i="22"/>
  <c r="I229" i="22"/>
  <c r="J229" i="22" s="1"/>
  <c r="F9" i="3"/>
  <c r="B9" i="3"/>
  <c r="FD12" i="2"/>
  <c r="FC12" i="2"/>
  <c r="FB12" i="2"/>
  <c r="FA12" i="2"/>
  <c r="EZ12" i="2"/>
  <c r="EY12" i="2"/>
  <c r="EX12" i="2"/>
  <c r="EW12" i="2"/>
  <c r="EV12" i="2"/>
  <c r="ET12" i="2"/>
  <c r="FE12" i="2" s="1"/>
  <c r="DG12" i="2"/>
  <c r="DF12" i="2"/>
  <c r="DE12" i="2"/>
  <c r="DD12" i="2"/>
  <c r="DC12" i="2"/>
  <c r="DB12" i="2"/>
  <c r="DA12" i="2"/>
  <c r="CZ12" i="2"/>
  <c r="BT12" i="2"/>
  <c r="BR12" i="2"/>
  <c r="BP12" i="2"/>
  <c r="BO12" i="2"/>
  <c r="BN12" i="2"/>
  <c r="BK12" i="2"/>
  <c r="BI12" i="2"/>
  <c r="BG12" i="2"/>
  <c r="BE12" i="2"/>
  <c r="BB12" i="2"/>
  <c r="AZ12" i="2"/>
  <c r="AX12" i="2"/>
  <c r="AV12" i="2"/>
  <c r="AA12" i="2"/>
  <c r="BS12" i="2" s="1"/>
  <c r="Y12" i="2"/>
  <c r="BQ12" i="2" s="1"/>
  <c r="W12" i="2"/>
  <c r="BJ12" i="2" s="1"/>
  <c r="U12" i="2"/>
  <c r="BH12" i="2" s="1"/>
  <c r="S12" i="2"/>
  <c r="BA12" i="2" s="1"/>
  <c r="Q12" i="2"/>
  <c r="AY12" i="2" s="1"/>
  <c r="N12" i="2"/>
  <c r="G12" i="2"/>
  <c r="T68" i="4" l="1"/>
  <c r="Q68" i="4"/>
  <c r="R68" i="4"/>
  <c r="S68" i="4"/>
  <c r="V68" i="4"/>
  <c r="H68" i="4"/>
  <c r="I68" i="4"/>
  <c r="G68" i="4"/>
  <c r="N68" i="4"/>
  <c r="U68" i="4"/>
  <c r="W68" i="4"/>
  <c r="L68" i="4"/>
  <c r="M68" i="4"/>
  <c r="J68" i="4"/>
  <c r="K68" i="4"/>
  <c r="AA68" i="4"/>
  <c r="P68" i="4"/>
  <c r="O68" i="4"/>
  <c r="Y68" i="4"/>
  <c r="Z68" i="4"/>
  <c r="X68" i="4"/>
  <c r="I58" i="4"/>
  <c r="H58" i="4"/>
  <c r="K58" i="4"/>
  <c r="N58" i="4"/>
  <c r="Y58" i="4"/>
  <c r="U58" i="4"/>
  <c r="T58" i="4"/>
  <c r="AA58" i="4"/>
  <c r="G58" i="4"/>
  <c r="J58" i="4"/>
  <c r="M58" i="4"/>
  <c r="L58" i="4"/>
  <c r="R58" i="4"/>
  <c r="O58" i="4"/>
  <c r="Q58" i="4"/>
  <c r="P58" i="4"/>
  <c r="S58" i="4"/>
  <c r="W58" i="4"/>
  <c r="V58" i="4"/>
  <c r="Z58" i="4"/>
  <c r="X58" i="4"/>
  <c r="AA65" i="4"/>
  <c r="AA66" i="4"/>
  <c r="AA61" i="4"/>
  <c r="AA55" i="4"/>
  <c r="AA54" i="4"/>
  <c r="AA53" i="4"/>
  <c r="AA50" i="4"/>
  <c r="H65" i="4"/>
  <c r="U65" i="4"/>
  <c r="M65" i="4"/>
  <c r="V65" i="4"/>
  <c r="X65" i="4"/>
  <c r="H66" i="4"/>
  <c r="Q66" i="4"/>
  <c r="G66" i="4"/>
  <c r="R66" i="4"/>
  <c r="X66" i="4"/>
  <c r="Z66" i="4"/>
  <c r="O65" i="4"/>
  <c r="R65" i="4"/>
  <c r="J65" i="4"/>
  <c r="G65" i="4"/>
  <c r="P65" i="4"/>
  <c r="T66" i="4"/>
  <c r="N66" i="4"/>
  <c r="M66" i="4"/>
  <c r="S66" i="4"/>
  <c r="Y66" i="4"/>
  <c r="Q65" i="4"/>
  <c r="K65" i="4"/>
  <c r="T65" i="4"/>
  <c r="Z65" i="4"/>
  <c r="W65" i="4"/>
  <c r="Y65" i="4"/>
  <c r="V66" i="4"/>
  <c r="U66" i="4"/>
  <c r="I66" i="4"/>
  <c r="O66" i="4"/>
  <c r="N65" i="4"/>
  <c r="L65" i="4"/>
  <c r="S65" i="4"/>
  <c r="I65" i="4"/>
  <c r="W66" i="4"/>
  <c r="L66" i="4"/>
  <c r="J66" i="4"/>
  <c r="K66" i="4"/>
  <c r="P66" i="4"/>
  <c r="P61" i="4"/>
  <c r="Q61" i="4"/>
  <c r="N61" i="4"/>
  <c r="M61" i="4"/>
  <c r="O61" i="4"/>
  <c r="T61" i="4"/>
  <c r="Y61" i="4"/>
  <c r="R61" i="4"/>
  <c r="U61" i="4"/>
  <c r="S61" i="4"/>
  <c r="H61" i="4"/>
  <c r="X61" i="4"/>
  <c r="V61" i="4"/>
  <c r="G61" i="4"/>
  <c r="W61" i="4"/>
  <c r="L61" i="4"/>
  <c r="I61" i="4"/>
  <c r="J61" i="4"/>
  <c r="Z61" i="4"/>
  <c r="K61" i="4"/>
  <c r="X55" i="4"/>
  <c r="V55" i="4"/>
  <c r="N55" i="4"/>
  <c r="Z55" i="4"/>
  <c r="Q55" i="4"/>
  <c r="S55" i="4"/>
  <c r="L55" i="4"/>
  <c r="P55" i="4"/>
  <c r="K55" i="4"/>
  <c r="M55" i="4"/>
  <c r="J55" i="4"/>
  <c r="W55" i="4"/>
  <c r="Y55" i="4"/>
  <c r="O55" i="4"/>
  <c r="I55" i="4"/>
  <c r="R55" i="4"/>
  <c r="U55" i="4"/>
  <c r="G55" i="4"/>
  <c r="H55" i="4"/>
  <c r="T55" i="4"/>
  <c r="Q9" i="3"/>
  <c r="K54" i="4"/>
  <c r="I54" i="4"/>
  <c r="S54" i="4"/>
  <c r="Q54" i="4"/>
  <c r="R54" i="4"/>
  <c r="J54" i="4"/>
  <c r="L54" i="4"/>
  <c r="U54" i="4"/>
  <c r="T54" i="4"/>
  <c r="G54" i="4"/>
  <c r="M54" i="4"/>
  <c r="V54" i="4"/>
  <c r="W54" i="4"/>
  <c r="N54" i="4"/>
  <c r="H54" i="4"/>
  <c r="O54" i="4"/>
  <c r="P54" i="4"/>
  <c r="X54" i="4"/>
  <c r="Y54" i="4"/>
  <c r="Z54" i="4"/>
  <c r="V53" i="4"/>
  <c r="T53" i="4"/>
  <c r="G53" i="4"/>
  <c r="J53" i="4"/>
  <c r="H53" i="4"/>
  <c r="I53" i="4"/>
  <c r="K53" i="4"/>
  <c r="P53" i="4"/>
  <c r="N53" i="4"/>
  <c r="L53" i="4"/>
  <c r="M53" i="4"/>
  <c r="S53" i="4"/>
  <c r="Q53" i="4"/>
  <c r="R53" i="4"/>
  <c r="U53" i="4"/>
  <c r="W53" i="4"/>
  <c r="Y53" i="4"/>
  <c r="X53" i="4"/>
  <c r="O53" i="4"/>
  <c r="Z53" i="4"/>
  <c r="M50" i="4"/>
  <c r="V50" i="4"/>
  <c r="K50" i="4"/>
  <c r="Q50" i="4"/>
  <c r="J50" i="4"/>
  <c r="H50" i="4"/>
  <c r="O50" i="4"/>
  <c r="I50" i="4"/>
  <c r="R50" i="4"/>
  <c r="W50" i="4"/>
  <c r="L50" i="4"/>
  <c r="U50" i="4"/>
  <c r="N50" i="4"/>
  <c r="T50" i="4"/>
  <c r="S50" i="4"/>
  <c r="P50" i="4"/>
  <c r="G50" i="4"/>
  <c r="X50" i="4"/>
  <c r="Y50" i="4"/>
  <c r="Z50" i="4"/>
  <c r="U9" i="3"/>
  <c r="E9" i="3"/>
  <c r="CS12" i="2"/>
  <c r="J9" i="3" s="1"/>
  <c r="CR12" i="2"/>
  <c r="H9" i="3" s="1"/>
  <c r="T9" i="3"/>
  <c r="CU12" i="2"/>
  <c r="L9" i="3" s="1"/>
  <c r="BM12" i="2"/>
  <c r="R9" i="3"/>
  <c r="V9" i="3"/>
  <c r="B42" i="4"/>
  <c r="CV12" i="2"/>
  <c r="M9" i="3" s="1"/>
  <c r="CW12" i="2"/>
  <c r="N9" i="3" s="1"/>
  <c r="S9" i="3"/>
  <c r="W9" i="3"/>
  <c r="E42" i="4"/>
  <c r="C9" i="3"/>
  <c r="CQ12" i="2"/>
  <c r="G9" i="3" s="1"/>
  <c r="DH12" i="2"/>
  <c r="BC12" i="2"/>
  <c r="CX12" i="2" s="1"/>
  <c r="CT12" i="2"/>
  <c r="K9" i="3" s="1"/>
  <c r="BV12" i="2"/>
  <c r="F42" i="4" l="1"/>
  <c r="P9" i="3"/>
  <c r="P42" i="4" s="1"/>
  <c r="K42" i="4"/>
  <c r="S42" i="4"/>
  <c r="J42" i="4"/>
  <c r="G42" i="4"/>
  <c r="I42" i="4"/>
  <c r="Q42" i="4"/>
  <c r="U42" i="4"/>
  <c r="W42" i="4"/>
  <c r="V42" i="4"/>
  <c r="T42" i="4"/>
  <c r="N42" i="4"/>
  <c r="R42" i="4"/>
  <c r="M42" i="4"/>
  <c r="L42" i="4"/>
  <c r="I9" i="3"/>
  <c r="O9" i="3" s="1"/>
  <c r="D9" i="3"/>
  <c r="H42" i="4"/>
  <c r="CY12" i="2"/>
  <c r="BD12" i="2"/>
  <c r="O42" i="4" l="1"/>
  <c r="X9" i="3"/>
  <c r="Y9" i="3" l="1"/>
  <c r="AA9" i="3" s="1"/>
  <c r="X42" i="4"/>
  <c r="FB57" i="2"/>
  <c r="AA42" i="4" l="1"/>
  <c r="Z13" i="3"/>
  <c r="Y42" i="4"/>
  <c r="Z42" i="4" l="1"/>
  <c r="BG90" i="2"/>
  <c r="AV102" i="2"/>
  <c r="AV110" i="2" l="1"/>
  <c r="EQ164" i="2" l="1"/>
  <c r="A5" i="4" l="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B154" i="6" l="1"/>
  <c r="C52" i="3" l="1"/>
  <c r="B52" i="3"/>
  <c r="E41" i="4" s="1"/>
  <c r="EU71" i="2"/>
  <c r="ES71" i="2"/>
  <c r="ER71" i="2"/>
  <c r="EQ71" i="2"/>
  <c r="EP71" i="2"/>
  <c r="EO71" i="2"/>
  <c r="EM71" i="2"/>
  <c r="EL71" i="2"/>
  <c r="EJ71" i="2"/>
  <c r="CP71" i="2"/>
  <c r="CO71" i="2"/>
  <c r="AU71" i="2"/>
  <c r="AT71" i="2"/>
  <c r="AS71" i="2"/>
  <c r="AR71" i="2"/>
  <c r="AQ71" i="2"/>
  <c r="AP71" i="2"/>
  <c r="AO71" i="2"/>
  <c r="AN71" i="2"/>
  <c r="AM71" i="2"/>
  <c r="AL71" i="2"/>
  <c r="AK71" i="2"/>
  <c r="AJ71" i="2"/>
  <c r="AH71" i="2"/>
  <c r="AF71" i="2"/>
  <c r="AD71" i="2"/>
  <c r="AB71" i="2"/>
  <c r="Z71" i="2"/>
  <c r="X71" i="2"/>
  <c r="V71" i="2"/>
  <c r="T71" i="2"/>
  <c r="R71" i="2"/>
  <c r="P71" i="2"/>
  <c r="F71" i="2"/>
  <c r="E71" i="2"/>
  <c r="FD70" i="2"/>
  <c r="FC70" i="2"/>
  <c r="FB70" i="2"/>
  <c r="FA70" i="2"/>
  <c r="EZ70" i="2"/>
  <c r="EY70" i="2"/>
  <c r="EX70" i="2"/>
  <c r="EW70" i="2"/>
  <c r="EV70" i="2"/>
  <c r="ET70" i="2"/>
  <c r="FE70" i="2" s="1"/>
  <c r="EH70" i="2"/>
  <c r="EG70" i="2"/>
  <c r="EF70" i="2"/>
  <c r="EE70" i="2"/>
  <c r="ED70" i="2"/>
  <c r="EC70" i="2"/>
  <c r="EB70" i="2"/>
  <c r="EA70" i="2"/>
  <c r="DY70" i="2"/>
  <c r="DX70" i="2"/>
  <c r="DW70" i="2"/>
  <c r="DV70" i="2"/>
  <c r="DU70" i="2"/>
  <c r="DT70" i="2"/>
  <c r="DS70" i="2"/>
  <c r="DR70" i="2"/>
  <c r="DP70" i="2"/>
  <c r="DO70" i="2"/>
  <c r="DN70" i="2"/>
  <c r="DM70" i="2"/>
  <c r="DL70" i="2"/>
  <c r="DK70" i="2"/>
  <c r="DJ70" i="2"/>
  <c r="DI70" i="2"/>
  <c r="DG70" i="2"/>
  <c r="DF70" i="2"/>
  <c r="DE70" i="2"/>
  <c r="DD70" i="2"/>
  <c r="DC70" i="2"/>
  <c r="DB70" i="2"/>
  <c r="DA70" i="2"/>
  <c r="CZ70" i="2"/>
  <c r="CL70" i="2"/>
  <c r="CJ70" i="2"/>
  <c r="CH70" i="2"/>
  <c r="CG70" i="2"/>
  <c r="CF70" i="2"/>
  <c r="BT70" i="2"/>
  <c r="BR70" i="2"/>
  <c r="BP70" i="2"/>
  <c r="BO70" i="2"/>
  <c r="BN70" i="2"/>
  <c r="BK70" i="2"/>
  <c r="BI70" i="2"/>
  <c r="BG70" i="2"/>
  <c r="BF70" i="2"/>
  <c r="BE70" i="2"/>
  <c r="BB70" i="2"/>
  <c r="AZ70" i="2"/>
  <c r="AX70" i="2"/>
  <c r="AV70" i="2"/>
  <c r="AI70" i="2"/>
  <c r="CK70" i="2" s="1"/>
  <c r="AG70" i="2"/>
  <c r="CI70" i="2" s="1"/>
  <c r="AE70" i="2"/>
  <c r="CB70" i="2" s="1"/>
  <c r="AC70" i="2"/>
  <c r="BZ70" i="2" s="1"/>
  <c r="AA70" i="2"/>
  <c r="BS70" i="2" s="1"/>
  <c r="Y70" i="2"/>
  <c r="W70" i="2"/>
  <c r="BJ70" i="2" s="1"/>
  <c r="U70" i="2"/>
  <c r="BH70" i="2" s="1"/>
  <c r="S70" i="2"/>
  <c r="Q70" i="2"/>
  <c r="AY70" i="2" s="1"/>
  <c r="N70" i="2"/>
  <c r="G70" i="2"/>
  <c r="EI70" i="2" l="1"/>
  <c r="CD70" i="2"/>
  <c r="CE70" i="2" s="1"/>
  <c r="CW70" i="2"/>
  <c r="N52" i="3" s="1"/>
  <c r="U52" i="3"/>
  <c r="W52" i="3"/>
  <c r="V52" i="3"/>
  <c r="Q52" i="3"/>
  <c r="T52" i="3"/>
  <c r="R52" i="3"/>
  <c r="E52" i="3"/>
  <c r="S52" i="3"/>
  <c r="CS70" i="2"/>
  <c r="J52" i="3" s="1"/>
  <c r="F52" i="3"/>
  <c r="B41" i="4"/>
  <c r="CR70" i="2"/>
  <c r="BA70" i="2"/>
  <c r="BC70" i="2" s="1"/>
  <c r="BL70" i="2"/>
  <c r="BM70" i="2" s="1"/>
  <c r="BQ70" i="2"/>
  <c r="DH70" i="2"/>
  <c r="DQ70" i="2"/>
  <c r="DZ70" i="2"/>
  <c r="CM70" i="2"/>
  <c r="CQ70" i="2"/>
  <c r="CU70" i="2"/>
  <c r="L52" i="3" s="1"/>
  <c r="F41" i="4" l="1"/>
  <c r="CV70" i="2"/>
  <c r="M52" i="3" s="1"/>
  <c r="BD70" i="2"/>
  <c r="G52" i="3"/>
  <c r="H52" i="3"/>
  <c r="BU70" i="2"/>
  <c r="CX70" i="2" s="1"/>
  <c r="CN70" i="2"/>
  <c r="CT70" i="2"/>
  <c r="K52" i="3" l="1"/>
  <c r="D52" i="3" s="1"/>
  <c r="I52" i="3"/>
  <c r="CY70" i="2"/>
  <c r="BV70" i="2"/>
  <c r="P52" i="3" l="1"/>
  <c r="X52" i="3" s="1"/>
  <c r="O52" i="3"/>
  <c r="Y52" i="3" l="1"/>
  <c r="AA52" i="3" s="1"/>
  <c r="B63" i="3" l="1"/>
  <c r="FK85" i="2"/>
  <c r="FD85" i="2"/>
  <c r="FC85" i="2"/>
  <c r="FB85" i="2"/>
  <c r="FA85" i="2"/>
  <c r="EZ85" i="2"/>
  <c r="EY85" i="2"/>
  <c r="EX85" i="2"/>
  <c r="EW85" i="2"/>
  <c r="EV85" i="2"/>
  <c r="FE85" i="2"/>
  <c r="DG85" i="2"/>
  <c r="DF85" i="2"/>
  <c r="DE85" i="2"/>
  <c r="DD85" i="2"/>
  <c r="DC85" i="2"/>
  <c r="DB85" i="2"/>
  <c r="DA85" i="2"/>
  <c r="CZ85" i="2"/>
  <c r="BT85" i="2"/>
  <c r="BR85" i="2"/>
  <c r="BP85" i="2"/>
  <c r="BN85" i="2"/>
  <c r="BK85" i="2"/>
  <c r="BI85" i="2"/>
  <c r="BG85" i="2"/>
  <c r="BE85" i="2"/>
  <c r="BB85" i="2"/>
  <c r="AZ85" i="2"/>
  <c r="AX85" i="2"/>
  <c r="AV85" i="2"/>
  <c r="AA85" i="2"/>
  <c r="BS85" i="2" s="1"/>
  <c r="Y85" i="2"/>
  <c r="BQ85" i="2" s="1"/>
  <c r="W85" i="2"/>
  <c r="BJ85" i="2" s="1"/>
  <c r="U85" i="2"/>
  <c r="BH85" i="2" s="1"/>
  <c r="S85" i="2"/>
  <c r="BA85" i="2" s="1"/>
  <c r="Q85" i="2"/>
  <c r="AY85" i="2" s="1"/>
  <c r="N85" i="2"/>
  <c r="G85" i="2"/>
  <c r="CS85" i="2" l="1"/>
  <c r="J63" i="3" s="1"/>
  <c r="W63" i="3"/>
  <c r="BL85" i="2"/>
  <c r="BM85" i="2" s="1"/>
  <c r="CW85" i="2"/>
  <c r="N63" i="3" s="1"/>
  <c r="CU85" i="2"/>
  <c r="L63" i="3" s="1"/>
  <c r="E63" i="3"/>
  <c r="S63" i="3"/>
  <c r="F63" i="3"/>
  <c r="T63" i="3"/>
  <c r="C63" i="3"/>
  <c r="Q63" i="3"/>
  <c r="U63" i="3"/>
  <c r="R63" i="3"/>
  <c r="V63" i="3"/>
  <c r="CQ85" i="2"/>
  <c r="G63" i="3" s="1"/>
  <c r="CT85" i="2"/>
  <c r="K63" i="3" s="1"/>
  <c r="CR85" i="2"/>
  <c r="H63" i="3" s="1"/>
  <c r="DH85" i="2"/>
  <c r="CV85" i="2"/>
  <c r="M63" i="3" s="1"/>
  <c r="BU85" i="2"/>
  <c r="BV85" i="2" s="1"/>
  <c r="BC85" i="2"/>
  <c r="I63" i="3" l="1"/>
  <c r="O63" i="3" s="1"/>
  <c r="D63" i="3"/>
  <c r="P63" i="3"/>
  <c r="X63" i="3" s="1"/>
  <c r="CX85" i="2"/>
  <c r="CY85" i="2" s="1"/>
  <c r="BD85" i="2"/>
  <c r="Y63" i="3" l="1"/>
  <c r="AA63" i="3" s="1"/>
  <c r="E142" i="2" l="1"/>
  <c r="BP225" i="2"/>
  <c r="BO148" i="2" l="1"/>
  <c r="BO130" i="2"/>
  <c r="BO128" i="2"/>
  <c r="BO78" i="2"/>
  <c r="BO77" i="2"/>
  <c r="BO75" i="2"/>
  <c r="BF91" i="2"/>
  <c r="BF69" i="2"/>
  <c r="BF71" i="2" l="1"/>
  <c r="B34" i="3" l="1"/>
  <c r="FD46" i="2"/>
  <c r="FC46" i="2"/>
  <c r="FA46" i="2"/>
  <c r="EZ46" i="2"/>
  <c r="EY46" i="2"/>
  <c r="EX46" i="2"/>
  <c r="EW46" i="2"/>
  <c r="EV46" i="2"/>
  <c r="ET46" i="2"/>
  <c r="FE46" i="2" s="1"/>
  <c r="FB46" i="2"/>
  <c r="EH46" i="2"/>
  <c r="EG46" i="2"/>
  <c r="EF46" i="2"/>
  <c r="EE46" i="2"/>
  <c r="ED46" i="2"/>
  <c r="EC46" i="2"/>
  <c r="EB46" i="2"/>
  <c r="EA46" i="2"/>
  <c r="DY46" i="2"/>
  <c r="DX46" i="2"/>
  <c r="DW46" i="2"/>
  <c r="DV46" i="2"/>
  <c r="DU46" i="2"/>
  <c r="DT46" i="2"/>
  <c r="DS46" i="2"/>
  <c r="DR46" i="2"/>
  <c r="DP46" i="2"/>
  <c r="DO46" i="2"/>
  <c r="DN46" i="2"/>
  <c r="DM46" i="2"/>
  <c r="DL46" i="2"/>
  <c r="DK46" i="2"/>
  <c r="DJ46" i="2"/>
  <c r="DI46" i="2"/>
  <c r="DG46" i="2"/>
  <c r="DF46" i="2"/>
  <c r="DE46" i="2"/>
  <c r="DD46" i="2"/>
  <c r="DC46" i="2"/>
  <c r="DB46" i="2"/>
  <c r="DA46" i="2"/>
  <c r="CZ46" i="2"/>
  <c r="CL46" i="2"/>
  <c r="CJ46" i="2"/>
  <c r="CH46" i="2"/>
  <c r="CG46" i="2"/>
  <c r="CF46" i="2"/>
  <c r="CC46" i="2"/>
  <c r="CA46" i="2"/>
  <c r="BY46" i="2"/>
  <c r="BX46" i="2"/>
  <c r="BT46" i="2"/>
  <c r="BR46" i="2"/>
  <c r="BP46" i="2"/>
  <c r="BO46" i="2"/>
  <c r="BN46" i="2"/>
  <c r="BK46" i="2"/>
  <c r="BI46" i="2"/>
  <c r="BG46" i="2"/>
  <c r="BF46" i="2"/>
  <c r="BE46" i="2"/>
  <c r="BB46" i="2"/>
  <c r="AZ46" i="2"/>
  <c r="AX46" i="2"/>
  <c r="AI46" i="2"/>
  <c r="CK46" i="2" s="1"/>
  <c r="AG46" i="2"/>
  <c r="CI46" i="2" s="1"/>
  <c r="AE46" i="2"/>
  <c r="CB46" i="2" s="1"/>
  <c r="AC46" i="2"/>
  <c r="BZ46" i="2" s="1"/>
  <c r="AA46" i="2"/>
  <c r="BS46" i="2" s="1"/>
  <c r="Y46" i="2"/>
  <c r="BQ46" i="2" s="1"/>
  <c r="W46" i="2"/>
  <c r="BJ46" i="2" s="1"/>
  <c r="U46" i="2"/>
  <c r="BH46" i="2" s="1"/>
  <c r="S46" i="2"/>
  <c r="BA46" i="2" s="1"/>
  <c r="Q46" i="2"/>
  <c r="AY46" i="2" s="1"/>
  <c r="N46" i="2"/>
  <c r="G46" i="2"/>
  <c r="AA44" i="4" l="1"/>
  <c r="AA51" i="4"/>
  <c r="EI46" i="2"/>
  <c r="L51" i="4"/>
  <c r="I51" i="4"/>
  <c r="Q51" i="4"/>
  <c r="G51" i="4"/>
  <c r="W51" i="4"/>
  <c r="Y51" i="4"/>
  <c r="T51" i="4"/>
  <c r="Z51" i="4"/>
  <c r="N51" i="4"/>
  <c r="V51" i="4"/>
  <c r="M51" i="4"/>
  <c r="S51" i="4"/>
  <c r="J51" i="4"/>
  <c r="X51" i="4"/>
  <c r="K51" i="4"/>
  <c r="H51" i="4"/>
  <c r="R51" i="4"/>
  <c r="U51" i="4"/>
  <c r="O51" i="4"/>
  <c r="P51" i="4"/>
  <c r="K44" i="4"/>
  <c r="J44" i="4"/>
  <c r="G44" i="4"/>
  <c r="V44" i="4"/>
  <c r="Y44" i="4"/>
  <c r="S44" i="4"/>
  <c r="O44" i="4"/>
  <c r="X44" i="4"/>
  <c r="Z44" i="4"/>
  <c r="T44" i="4"/>
  <c r="Q44" i="4"/>
  <c r="P44" i="4"/>
  <c r="L44" i="4"/>
  <c r="U44" i="4"/>
  <c r="W44" i="4"/>
  <c r="H44" i="4"/>
  <c r="R44" i="4"/>
  <c r="M44" i="4"/>
  <c r="I44" i="4"/>
  <c r="N44" i="4"/>
  <c r="K41" i="7"/>
  <c r="P41" i="7"/>
  <c r="U41" i="7"/>
  <c r="J41" i="7"/>
  <c r="W41" i="7"/>
  <c r="T41" i="7"/>
  <c r="I41" i="7"/>
  <c r="N41" i="7"/>
  <c r="H41" i="7"/>
  <c r="X41" i="7"/>
  <c r="M41" i="7"/>
  <c r="O41" i="7"/>
  <c r="R41" i="7"/>
  <c r="G41" i="7"/>
  <c r="L41" i="7"/>
  <c r="S41" i="7"/>
  <c r="Q41" i="7"/>
  <c r="F41" i="7"/>
  <c r="V41" i="7"/>
  <c r="Z41" i="7"/>
  <c r="L40" i="7"/>
  <c r="I40" i="7"/>
  <c r="J40" i="7"/>
  <c r="H40" i="7"/>
  <c r="U40" i="7"/>
  <c r="F40" i="7"/>
  <c r="P40" i="7"/>
  <c r="M40" i="7"/>
  <c r="G40" i="7"/>
  <c r="R40" i="7"/>
  <c r="K40" i="7"/>
  <c r="T40" i="7"/>
  <c r="Q40" i="7"/>
  <c r="S40" i="7"/>
  <c r="V40" i="7"/>
  <c r="O40" i="7"/>
  <c r="W40" i="7"/>
  <c r="X40" i="7"/>
  <c r="N40" i="7"/>
  <c r="Z40" i="7"/>
  <c r="H39" i="7"/>
  <c r="L39" i="7"/>
  <c r="I39" i="7"/>
  <c r="F39" i="7"/>
  <c r="N39" i="7"/>
  <c r="V39" i="7"/>
  <c r="P39" i="7"/>
  <c r="M39" i="7"/>
  <c r="G39" i="7"/>
  <c r="J39" i="7"/>
  <c r="U39" i="7"/>
  <c r="T39" i="7"/>
  <c r="Q39" i="7"/>
  <c r="K39" i="7"/>
  <c r="R39" i="7"/>
  <c r="S39" i="7"/>
  <c r="W39" i="7"/>
  <c r="O39" i="7"/>
  <c r="X39" i="7"/>
  <c r="Z39" i="7"/>
  <c r="E34" i="3"/>
  <c r="T34" i="3"/>
  <c r="CW46" i="2"/>
  <c r="N34" i="3" s="1"/>
  <c r="CT46" i="2"/>
  <c r="K34" i="3" s="1"/>
  <c r="CU46" i="2"/>
  <c r="L34" i="3" s="1"/>
  <c r="W34" i="3"/>
  <c r="F34" i="3"/>
  <c r="U34" i="3"/>
  <c r="B40" i="4"/>
  <c r="Q34" i="3"/>
  <c r="E40" i="4"/>
  <c r="R34" i="3"/>
  <c r="V34" i="3"/>
  <c r="C34" i="3"/>
  <c r="S34" i="3"/>
  <c r="CR46" i="2"/>
  <c r="H34" i="3" s="1"/>
  <c r="CQ46" i="2"/>
  <c r="G34" i="3" s="1"/>
  <c r="DH46" i="2"/>
  <c r="DQ46" i="2"/>
  <c r="DZ46" i="2"/>
  <c r="BL46" i="2"/>
  <c r="BM46" i="2" s="1"/>
  <c r="BU46" i="2"/>
  <c r="BV46" i="2" s="1"/>
  <c r="CD46" i="2"/>
  <c r="CE46" i="2" s="1"/>
  <c r="CV46" i="2"/>
  <c r="M34" i="3" s="1"/>
  <c r="CM46" i="2"/>
  <c r="CN46" i="2" s="1"/>
  <c r="BC46" i="2"/>
  <c r="CS46" i="2"/>
  <c r="J34" i="3" s="1"/>
  <c r="M40" i="4" l="1"/>
  <c r="I40" i="4"/>
  <c r="V40" i="4"/>
  <c r="S40" i="4"/>
  <c r="U40" i="4"/>
  <c r="W40" i="4"/>
  <c r="N40" i="4"/>
  <c r="J40" i="4"/>
  <c r="K40" i="4"/>
  <c r="T40" i="4"/>
  <c r="R40" i="4"/>
  <c r="G40" i="4"/>
  <c r="F40" i="4"/>
  <c r="Q40" i="4"/>
  <c r="L40" i="4"/>
  <c r="I34" i="3"/>
  <c r="O34" i="3" s="1"/>
  <c r="O40" i="4" s="1"/>
  <c r="H40" i="4"/>
  <c r="P34" i="3"/>
  <c r="D34" i="3"/>
  <c r="CX46" i="2"/>
  <c r="CY46" i="2" s="1"/>
  <c r="BD46" i="2"/>
  <c r="X34" i="3" l="1"/>
  <c r="P40" i="4"/>
  <c r="Y34" i="3" l="1"/>
  <c r="AA34" i="3" s="1"/>
  <c r="X40" i="4"/>
  <c r="AA40" i="4" l="1"/>
  <c r="Z40" i="4"/>
  <c r="Y40" i="4"/>
  <c r="AC21" i="6" l="1"/>
  <c r="AD21" i="6" s="1"/>
  <c r="BO10" i="2"/>
  <c r="P116" i="2"/>
  <c r="N97" i="2"/>
  <c r="Q127" i="2" l="1"/>
  <c r="EO226" i="2" l="1"/>
  <c r="EO164" i="2"/>
  <c r="EO161" i="2"/>
  <c r="EO149" i="2"/>
  <c r="EO142" i="2"/>
  <c r="EO134" i="2"/>
  <c r="EO116" i="2"/>
  <c r="EO99" i="2"/>
  <c r="EO91" i="2"/>
  <c r="EO79" i="2"/>
  <c r="EO65" i="2"/>
  <c r="EO59" i="2"/>
  <c r="EO50" i="2"/>
  <c r="EO42" i="2"/>
  <c r="EO28" i="2"/>
  <c r="EO19" i="2"/>
  <c r="EO165" i="2" l="1"/>
  <c r="EO72" i="2"/>
  <c r="BE214" i="2"/>
  <c r="BE119" i="2" l="1"/>
  <c r="G69" i="2" l="1"/>
  <c r="C51" i="3"/>
  <c r="B51" i="3"/>
  <c r="FD69" i="2"/>
  <c r="FC69" i="2"/>
  <c r="FB69" i="2"/>
  <c r="FA69" i="2"/>
  <c r="EZ69" i="2"/>
  <c r="EX69" i="2"/>
  <c r="EW69" i="2"/>
  <c r="EV69" i="2"/>
  <c r="ET69" i="2"/>
  <c r="FE69" i="2" s="1"/>
  <c r="EY69" i="2"/>
  <c r="EH69" i="2"/>
  <c r="EG69" i="2"/>
  <c r="EF69" i="2"/>
  <c r="EE69" i="2"/>
  <c r="ED69" i="2"/>
  <c r="EC69" i="2"/>
  <c r="EB69" i="2"/>
  <c r="EA69" i="2"/>
  <c r="DY69" i="2"/>
  <c r="DX69" i="2"/>
  <c r="DW69" i="2"/>
  <c r="DV69" i="2"/>
  <c r="DU69" i="2"/>
  <c r="DT69" i="2"/>
  <c r="DS69" i="2"/>
  <c r="DR69" i="2"/>
  <c r="DP69" i="2"/>
  <c r="DO69" i="2"/>
  <c r="DN69" i="2"/>
  <c r="DM69" i="2"/>
  <c r="DL69" i="2"/>
  <c r="DK69" i="2"/>
  <c r="DJ69" i="2"/>
  <c r="DI69" i="2"/>
  <c r="CL69" i="2"/>
  <c r="CJ69" i="2"/>
  <c r="CH69" i="2"/>
  <c r="CG69" i="2"/>
  <c r="CF69" i="2"/>
  <c r="BT69" i="2"/>
  <c r="BR69" i="2"/>
  <c r="DD69" i="2" s="1"/>
  <c r="BP69" i="2"/>
  <c r="BO69" i="2"/>
  <c r="BN69" i="2"/>
  <c r="BK69" i="2"/>
  <c r="BI69" i="2"/>
  <c r="BG69" i="2"/>
  <c r="BE69" i="2"/>
  <c r="BB69" i="2"/>
  <c r="DF69" i="2" s="1"/>
  <c r="AZ69" i="2"/>
  <c r="AX69" i="2"/>
  <c r="DB69" i="2" s="1"/>
  <c r="DA69" i="2"/>
  <c r="AV69" i="2"/>
  <c r="AI69" i="2"/>
  <c r="CK69" i="2" s="1"/>
  <c r="AG69" i="2"/>
  <c r="CI69" i="2" s="1"/>
  <c r="AE69" i="2"/>
  <c r="CB69" i="2" s="1"/>
  <c r="AC69" i="2"/>
  <c r="BZ69" i="2" s="1"/>
  <c r="AA69" i="2"/>
  <c r="BS69" i="2" s="1"/>
  <c r="Y69" i="2"/>
  <c r="BQ69" i="2" s="1"/>
  <c r="W69" i="2"/>
  <c r="BJ69" i="2" s="1"/>
  <c r="U69" i="2"/>
  <c r="BH69" i="2" s="1"/>
  <c r="S69" i="2"/>
  <c r="BA69" i="2" s="1"/>
  <c r="Q69" i="2"/>
  <c r="AY69" i="2" s="1"/>
  <c r="DC69" i="2" s="1"/>
  <c r="N69" i="2"/>
  <c r="N159" i="2"/>
  <c r="P67" i="4" l="1"/>
  <c r="X67" i="4"/>
  <c r="I67" i="4"/>
  <c r="R67" i="4"/>
  <c r="K67" i="4"/>
  <c r="AA67" i="4"/>
  <c r="T67" i="4"/>
  <c r="Z67" i="4"/>
  <c r="M67" i="4"/>
  <c r="V67" i="4"/>
  <c r="S67" i="4"/>
  <c r="H67" i="4"/>
  <c r="Q67" i="4"/>
  <c r="O67" i="4"/>
  <c r="J67" i="4"/>
  <c r="W67" i="4"/>
  <c r="L67" i="4"/>
  <c r="U67" i="4"/>
  <c r="N67" i="4"/>
  <c r="Y67" i="4"/>
  <c r="G67" i="4"/>
  <c r="AA46" i="4"/>
  <c r="AA60" i="4"/>
  <c r="AA45" i="4"/>
  <c r="AA63" i="4"/>
  <c r="AA43" i="4"/>
  <c r="AA20" i="4"/>
  <c r="AA62" i="4"/>
  <c r="AA64" i="4"/>
  <c r="AA56" i="4"/>
  <c r="AA59" i="4"/>
  <c r="AA41" i="4"/>
  <c r="AA57" i="4"/>
  <c r="AA52" i="4"/>
  <c r="AA49" i="4"/>
  <c r="AA48" i="4"/>
  <c r="AA47" i="4"/>
  <c r="H64" i="4"/>
  <c r="P64" i="4"/>
  <c r="I64" i="4"/>
  <c r="L64" i="4"/>
  <c r="U64" i="4"/>
  <c r="O64" i="4"/>
  <c r="W64" i="4"/>
  <c r="T64" i="4"/>
  <c r="N64" i="4"/>
  <c r="V64" i="4"/>
  <c r="G64" i="4"/>
  <c r="Q64" i="4"/>
  <c r="X64" i="4"/>
  <c r="Z64" i="4"/>
  <c r="M64" i="4"/>
  <c r="S64" i="4"/>
  <c r="J64" i="4"/>
  <c r="R64" i="4"/>
  <c r="Y64" i="4"/>
  <c r="K64" i="4"/>
  <c r="I63" i="4"/>
  <c r="O63" i="4"/>
  <c r="Q63" i="4"/>
  <c r="J63" i="4"/>
  <c r="S63" i="4"/>
  <c r="K63" i="4"/>
  <c r="Y63" i="4"/>
  <c r="M63" i="4"/>
  <c r="Z63" i="4"/>
  <c r="U63" i="4"/>
  <c r="P63" i="4"/>
  <c r="G63" i="4"/>
  <c r="V63" i="4"/>
  <c r="W63" i="4"/>
  <c r="H63" i="4"/>
  <c r="X63" i="4"/>
  <c r="T63" i="4"/>
  <c r="N63" i="4"/>
  <c r="L63" i="4"/>
  <c r="R63" i="4"/>
  <c r="R62" i="4"/>
  <c r="G62" i="4"/>
  <c r="U62" i="4"/>
  <c r="N62" i="4"/>
  <c r="I62" i="4"/>
  <c r="Y62" i="4"/>
  <c r="S62" i="4"/>
  <c r="P62" i="4"/>
  <c r="Z62" i="4"/>
  <c r="M62" i="4"/>
  <c r="T62" i="4"/>
  <c r="Q62" i="4"/>
  <c r="W62" i="4"/>
  <c r="O62" i="4"/>
  <c r="H62" i="4"/>
  <c r="J62" i="4"/>
  <c r="L62" i="4"/>
  <c r="X62" i="4"/>
  <c r="K62" i="4"/>
  <c r="V62" i="4"/>
  <c r="Z60" i="4"/>
  <c r="R60" i="4"/>
  <c r="N60" i="4"/>
  <c r="W60" i="4"/>
  <c r="T60" i="4"/>
  <c r="M60" i="4"/>
  <c r="Q60" i="4"/>
  <c r="P60" i="4"/>
  <c r="H60" i="4"/>
  <c r="O60" i="4"/>
  <c r="V60" i="4"/>
  <c r="U60" i="4"/>
  <c r="G60" i="4"/>
  <c r="L60" i="4"/>
  <c r="I60" i="4"/>
  <c r="S60" i="4"/>
  <c r="J60" i="4"/>
  <c r="K60" i="4"/>
  <c r="Y60" i="4"/>
  <c r="X60" i="4"/>
  <c r="J59" i="4"/>
  <c r="W59" i="4"/>
  <c r="T59" i="4"/>
  <c r="G59" i="4"/>
  <c r="M59" i="4"/>
  <c r="V59" i="4"/>
  <c r="Y59" i="4"/>
  <c r="U59" i="4"/>
  <c r="L59" i="4"/>
  <c r="S59" i="4"/>
  <c r="X59" i="4"/>
  <c r="Z59" i="4"/>
  <c r="P59" i="4"/>
  <c r="R59" i="4"/>
  <c r="Q59" i="4"/>
  <c r="K59" i="4"/>
  <c r="O59" i="4"/>
  <c r="H59" i="4"/>
  <c r="N59" i="4"/>
  <c r="I59" i="4"/>
  <c r="M57" i="4"/>
  <c r="V57" i="4"/>
  <c r="U57" i="4"/>
  <c r="X57" i="4"/>
  <c r="S57" i="4"/>
  <c r="Q57" i="4"/>
  <c r="O57" i="4"/>
  <c r="Y57" i="4"/>
  <c r="R57" i="4"/>
  <c r="K57" i="4"/>
  <c r="L57" i="4"/>
  <c r="N57" i="4"/>
  <c r="J57" i="4"/>
  <c r="H57" i="4"/>
  <c r="P57" i="4"/>
  <c r="Z57" i="4"/>
  <c r="G57" i="4"/>
  <c r="T57" i="4"/>
  <c r="W57" i="4"/>
  <c r="I57" i="4"/>
  <c r="M56" i="4"/>
  <c r="P56" i="4"/>
  <c r="G56" i="4"/>
  <c r="L56" i="4"/>
  <c r="V56" i="4"/>
  <c r="I56" i="4"/>
  <c r="Y56" i="4"/>
  <c r="K56" i="4"/>
  <c r="H56" i="4"/>
  <c r="J56" i="4"/>
  <c r="Q56" i="4"/>
  <c r="S56" i="4"/>
  <c r="O56" i="4"/>
  <c r="R56" i="4"/>
  <c r="W56" i="4"/>
  <c r="N56" i="4"/>
  <c r="X56" i="4"/>
  <c r="T56" i="4"/>
  <c r="U56" i="4"/>
  <c r="Z56" i="4"/>
  <c r="BC69" i="2"/>
  <c r="BD69" i="2" s="1"/>
  <c r="EI69" i="2"/>
  <c r="W51" i="3"/>
  <c r="W53" i="3" s="1"/>
  <c r="E39" i="4"/>
  <c r="M52" i="4"/>
  <c r="S52" i="4"/>
  <c r="H52" i="4"/>
  <c r="K52" i="4"/>
  <c r="Z52" i="4"/>
  <c r="X52" i="4"/>
  <c r="Y52" i="4"/>
  <c r="V52" i="4"/>
  <c r="L52" i="4"/>
  <c r="G52" i="4"/>
  <c r="U52" i="4"/>
  <c r="P52" i="4"/>
  <c r="R52" i="4"/>
  <c r="J52" i="4"/>
  <c r="N52" i="4"/>
  <c r="T52" i="4"/>
  <c r="Q52" i="4"/>
  <c r="W52" i="4"/>
  <c r="O52" i="4"/>
  <c r="I52" i="4"/>
  <c r="I49" i="4"/>
  <c r="H49" i="4"/>
  <c r="P49" i="4"/>
  <c r="G49" i="4"/>
  <c r="X49" i="4"/>
  <c r="K49" i="4"/>
  <c r="Z49" i="4"/>
  <c r="U49" i="4"/>
  <c r="V49" i="4"/>
  <c r="O49" i="4"/>
  <c r="Y49" i="4"/>
  <c r="M49" i="4"/>
  <c r="L49" i="4"/>
  <c r="R49" i="4"/>
  <c r="W49" i="4"/>
  <c r="N49" i="4"/>
  <c r="T49" i="4"/>
  <c r="Q49" i="4"/>
  <c r="S49" i="4"/>
  <c r="J49" i="4"/>
  <c r="M48" i="4"/>
  <c r="G48" i="4"/>
  <c r="I48" i="4"/>
  <c r="T48" i="4"/>
  <c r="O48" i="4"/>
  <c r="N48" i="4"/>
  <c r="L48" i="4"/>
  <c r="Y48" i="4"/>
  <c r="J48" i="4"/>
  <c r="S48" i="4"/>
  <c r="V48" i="4"/>
  <c r="U48" i="4"/>
  <c r="W48" i="4"/>
  <c r="Q48" i="4"/>
  <c r="H48" i="4"/>
  <c r="R48" i="4"/>
  <c r="K48" i="4"/>
  <c r="P48" i="4"/>
  <c r="Z48" i="4"/>
  <c r="X48" i="4"/>
  <c r="T47" i="4"/>
  <c r="M47" i="4"/>
  <c r="R47" i="4"/>
  <c r="K47" i="4"/>
  <c r="J47" i="4"/>
  <c r="X47" i="4"/>
  <c r="P47" i="4"/>
  <c r="Q47" i="4"/>
  <c r="G47" i="4"/>
  <c r="I47" i="4"/>
  <c r="L47" i="4"/>
  <c r="S47" i="4"/>
  <c r="W47" i="4"/>
  <c r="O47" i="4"/>
  <c r="N47" i="4"/>
  <c r="V47" i="4"/>
  <c r="Y47" i="4"/>
  <c r="U47" i="4"/>
  <c r="H47" i="4"/>
  <c r="Z47" i="4"/>
  <c r="I46" i="4"/>
  <c r="R46" i="4"/>
  <c r="O46" i="4"/>
  <c r="Q46" i="4"/>
  <c r="K46" i="4"/>
  <c r="H46" i="4"/>
  <c r="L46" i="4"/>
  <c r="U46" i="4"/>
  <c r="G46" i="4"/>
  <c r="X46" i="4"/>
  <c r="V46" i="4"/>
  <c r="T46" i="4"/>
  <c r="W46" i="4"/>
  <c r="M46" i="4"/>
  <c r="Y46" i="4"/>
  <c r="S46" i="4"/>
  <c r="P46" i="4"/>
  <c r="J46" i="4"/>
  <c r="N46" i="4"/>
  <c r="Z46" i="4"/>
  <c r="L45" i="4"/>
  <c r="Z45" i="4"/>
  <c r="K45" i="4"/>
  <c r="R45" i="4"/>
  <c r="N45" i="4"/>
  <c r="H45" i="4"/>
  <c r="S45" i="4"/>
  <c r="Y45" i="4"/>
  <c r="P45" i="4"/>
  <c r="M45" i="4"/>
  <c r="G45" i="4"/>
  <c r="O45" i="4"/>
  <c r="U45" i="4"/>
  <c r="W45" i="4"/>
  <c r="V45" i="4"/>
  <c r="X45" i="4"/>
  <c r="J45" i="4"/>
  <c r="I45" i="4"/>
  <c r="Q45" i="4"/>
  <c r="T45" i="4"/>
  <c r="CD69" i="2"/>
  <c r="CE69" i="2" s="1"/>
  <c r="M43" i="4"/>
  <c r="X43" i="4"/>
  <c r="V43" i="4"/>
  <c r="L43" i="4"/>
  <c r="U43" i="4"/>
  <c r="I43" i="4"/>
  <c r="Y43" i="4"/>
  <c r="O43" i="4"/>
  <c r="W43" i="4"/>
  <c r="J43" i="4"/>
  <c r="H43" i="4"/>
  <c r="G43" i="4"/>
  <c r="S43" i="4"/>
  <c r="T43" i="4"/>
  <c r="K43" i="4"/>
  <c r="N43" i="4"/>
  <c r="Q43" i="4"/>
  <c r="R43" i="4"/>
  <c r="P43" i="4"/>
  <c r="Z43" i="4"/>
  <c r="J41" i="4"/>
  <c r="T41" i="4"/>
  <c r="G41" i="4"/>
  <c r="Y41" i="4"/>
  <c r="P41" i="4"/>
  <c r="Z41" i="4"/>
  <c r="N41" i="4"/>
  <c r="V41" i="4"/>
  <c r="K41" i="4"/>
  <c r="S41" i="4"/>
  <c r="O41" i="4"/>
  <c r="I41" i="4"/>
  <c r="U41" i="4"/>
  <c r="Q41" i="4"/>
  <c r="R41" i="4"/>
  <c r="L41" i="4"/>
  <c r="X41" i="4"/>
  <c r="H41" i="4"/>
  <c r="W41" i="4"/>
  <c r="M41" i="4"/>
  <c r="F51" i="3"/>
  <c r="Q51" i="3"/>
  <c r="Q53" i="3" s="1"/>
  <c r="CR69" i="2"/>
  <c r="H51" i="3" s="1"/>
  <c r="H53" i="3" s="1"/>
  <c r="CV69" i="2"/>
  <c r="M51" i="3" s="1"/>
  <c r="M53" i="3" s="1"/>
  <c r="DQ69" i="2"/>
  <c r="DZ69" i="2"/>
  <c r="CT69" i="2"/>
  <c r="K51" i="3" s="1"/>
  <c r="K53" i="3" s="1"/>
  <c r="CQ69" i="2"/>
  <c r="G51" i="3" s="1"/>
  <c r="G53" i="3" s="1"/>
  <c r="CS69" i="2"/>
  <c r="J51" i="3" s="1"/>
  <c r="J53" i="3" s="1"/>
  <c r="CU69" i="2"/>
  <c r="L51" i="3" s="1"/>
  <c r="L53" i="3" s="1"/>
  <c r="CW69" i="2"/>
  <c r="N51" i="3" s="1"/>
  <c r="N53" i="3" s="1"/>
  <c r="T51" i="3"/>
  <c r="T53" i="3" s="1"/>
  <c r="B39" i="4"/>
  <c r="BL69" i="2"/>
  <c r="BM69" i="2" s="1"/>
  <c r="E51" i="3"/>
  <c r="U51" i="3"/>
  <c r="U53" i="3" s="1"/>
  <c r="R51" i="3"/>
  <c r="R53" i="3" s="1"/>
  <c r="V51" i="3"/>
  <c r="V53" i="3" s="1"/>
  <c r="S51" i="3"/>
  <c r="S53" i="3" s="1"/>
  <c r="CM69" i="2"/>
  <c r="CN69" i="2" s="1"/>
  <c r="DE69" i="2"/>
  <c r="BU69" i="2"/>
  <c r="BV69" i="2" s="1"/>
  <c r="CZ69" i="2"/>
  <c r="J39" i="4" l="1"/>
  <c r="G39" i="4"/>
  <c r="V39" i="4"/>
  <c r="W39" i="4"/>
  <c r="S39" i="4"/>
  <c r="R39" i="4"/>
  <c r="T39" i="4"/>
  <c r="M39" i="4"/>
  <c r="L39" i="4"/>
  <c r="I39" i="4"/>
  <c r="H39" i="4"/>
  <c r="U39" i="4"/>
  <c r="CX69" i="2"/>
  <c r="CY69" i="2" s="1"/>
  <c r="F39" i="4"/>
  <c r="N39" i="4"/>
  <c r="K39" i="4"/>
  <c r="Q39" i="4"/>
  <c r="P51" i="3"/>
  <c r="D51" i="3"/>
  <c r="I51" i="3"/>
  <c r="DG69" i="2"/>
  <c r="DH69" i="2" s="1"/>
  <c r="O51" i="3" l="1"/>
  <c r="I53" i="3"/>
  <c r="P39" i="4"/>
  <c r="P53" i="3"/>
  <c r="X51" i="3"/>
  <c r="BE75" i="2"/>
  <c r="AV75" i="2"/>
  <c r="FF142" i="2"/>
  <c r="FG142" i="2"/>
  <c r="FH142" i="2"/>
  <c r="FI142" i="2"/>
  <c r="FJ142" i="2"/>
  <c r="O39" i="4" l="1"/>
  <c r="O53" i="3"/>
  <c r="X39" i="4"/>
  <c r="X53" i="3"/>
  <c r="Y51" i="3"/>
  <c r="AA51" i="3" s="1"/>
  <c r="F60" i="6"/>
  <c r="AA39" i="4" l="1"/>
  <c r="Z53" i="3"/>
  <c r="AA53" i="3"/>
  <c r="Y53" i="3"/>
  <c r="Y39" i="4"/>
  <c r="Z39" i="4" l="1"/>
  <c r="AC39" i="4"/>
  <c r="F103" i="6" l="1"/>
  <c r="E103" i="6"/>
  <c r="F38" i="7" s="1"/>
  <c r="E38" i="7"/>
  <c r="O103" i="6"/>
  <c r="M38" i="7" s="1"/>
  <c r="C103" i="6"/>
  <c r="EV159" i="2"/>
  <c r="R103" i="6" s="1"/>
  <c r="P38" i="7" s="1"/>
  <c r="EW159" i="2"/>
  <c r="S103" i="6" s="1"/>
  <c r="Q38" i="7" s="1"/>
  <c r="EX159" i="2"/>
  <c r="EY159" i="2"/>
  <c r="W103" i="6" s="1"/>
  <c r="U38" i="7" s="1"/>
  <c r="EZ159" i="2"/>
  <c r="FA159" i="2"/>
  <c r="FB159" i="2"/>
  <c r="FC159" i="2"/>
  <c r="V103" i="6" s="1"/>
  <c r="T38" i="7" s="1"/>
  <c r="FD159" i="2"/>
  <c r="ET159" i="2"/>
  <c r="FE159" i="2" s="1"/>
  <c r="X103" i="6" s="1"/>
  <c r="V38" i="7" s="1"/>
  <c r="CQ159" i="2"/>
  <c r="CR159" i="2"/>
  <c r="CS159" i="2"/>
  <c r="CT159" i="2"/>
  <c r="CU159" i="2"/>
  <c r="CV159" i="2"/>
  <c r="CW159" i="2"/>
  <c r="CX159" i="2"/>
  <c r="DI159" i="2"/>
  <c r="DJ159" i="2"/>
  <c r="DK159" i="2"/>
  <c r="DL159" i="2"/>
  <c r="DM159" i="2"/>
  <c r="DN159" i="2"/>
  <c r="DO159" i="2"/>
  <c r="DP159" i="2"/>
  <c r="DR159" i="2"/>
  <c r="DS159" i="2"/>
  <c r="DT159" i="2"/>
  <c r="DU159" i="2"/>
  <c r="DV159" i="2"/>
  <c r="DW159" i="2"/>
  <c r="DX159" i="2"/>
  <c r="DY159" i="2"/>
  <c r="EA159" i="2"/>
  <c r="EB159" i="2"/>
  <c r="EC159" i="2"/>
  <c r="ED159" i="2"/>
  <c r="EE159" i="2"/>
  <c r="EF159" i="2"/>
  <c r="EG159" i="2"/>
  <c r="EH159" i="2"/>
  <c r="BG159" i="2"/>
  <c r="BI159" i="2"/>
  <c r="BK159" i="2"/>
  <c r="BN159" i="2"/>
  <c r="BO159" i="2"/>
  <c r="BP159" i="2"/>
  <c r="BR159" i="2"/>
  <c r="BT159" i="2"/>
  <c r="BW159" i="2"/>
  <c r="BX159" i="2"/>
  <c r="BY159" i="2"/>
  <c r="BZ159" i="2"/>
  <c r="CA159" i="2"/>
  <c r="CB159" i="2"/>
  <c r="CC159" i="2"/>
  <c r="CF159" i="2"/>
  <c r="CG159" i="2"/>
  <c r="CH159" i="2"/>
  <c r="CI159" i="2"/>
  <c r="CJ159" i="2"/>
  <c r="CK159" i="2"/>
  <c r="CL159" i="2"/>
  <c r="BE159" i="2"/>
  <c r="AV159" i="2"/>
  <c r="AX159" i="2"/>
  <c r="AZ159" i="2"/>
  <c r="BB159" i="2"/>
  <c r="Q159" i="2"/>
  <c r="AY159" i="2" s="1"/>
  <c r="S159" i="2"/>
  <c r="BA159" i="2" s="1"/>
  <c r="U159" i="2"/>
  <c r="BH159" i="2" s="1"/>
  <c r="W159" i="2"/>
  <c r="BJ159" i="2" s="1"/>
  <c r="Y159" i="2"/>
  <c r="BQ159" i="2" s="1"/>
  <c r="AA159" i="2"/>
  <c r="BS159" i="2" s="1"/>
  <c r="G159" i="2"/>
  <c r="DA159" i="2" l="1"/>
  <c r="T103" i="6"/>
  <c r="R38" i="7" s="1"/>
  <c r="U103" i="6"/>
  <c r="S38" i="7" s="1"/>
  <c r="CM159" i="2"/>
  <c r="CN159" i="2" s="1"/>
  <c r="DF159" i="2"/>
  <c r="DC159" i="2"/>
  <c r="K103" i="6" s="1"/>
  <c r="J38" i="7" s="1"/>
  <c r="DB159" i="2"/>
  <c r="J103" i="6" s="1"/>
  <c r="I38" i="7" s="1"/>
  <c r="DZ159" i="2"/>
  <c r="DD159" i="2"/>
  <c r="L103" i="6" s="1"/>
  <c r="K38" i="7" s="1"/>
  <c r="CD159" i="2"/>
  <c r="CE159" i="2" s="1"/>
  <c r="BC159" i="2"/>
  <c r="BD159" i="2" s="1"/>
  <c r="DE159" i="2"/>
  <c r="M103" i="6" s="1"/>
  <c r="L38" i="7" s="1"/>
  <c r="CZ159" i="2"/>
  <c r="G103" i="6" s="1"/>
  <c r="G38" i="7" s="1"/>
  <c r="H103" i="6"/>
  <c r="H38" i="7" s="1"/>
  <c r="CY159" i="2"/>
  <c r="BU159" i="2"/>
  <c r="BV159" i="2" s="1"/>
  <c r="DQ159" i="2"/>
  <c r="EI159" i="2"/>
  <c r="BL159" i="2"/>
  <c r="BM159" i="2" s="1"/>
  <c r="D103" i="6" l="1"/>
  <c r="Q103" i="6"/>
  <c r="O38" i="7" s="1"/>
  <c r="DG159" i="2"/>
  <c r="DH159" i="2" s="1"/>
  <c r="I103" i="6"/>
  <c r="P103" i="6" s="1"/>
  <c r="N38" i="7" l="1"/>
  <c r="Y103" i="6"/>
  <c r="W38" i="7" s="1"/>
  <c r="E37" i="7"/>
  <c r="Z103" i="6" l="1"/>
  <c r="AB103" i="6" s="1"/>
  <c r="O60" i="6"/>
  <c r="M37" i="7" s="1"/>
  <c r="E60" i="6"/>
  <c r="F37" i="7" s="1"/>
  <c r="C60" i="6"/>
  <c r="EV98" i="2"/>
  <c r="R60" i="6" s="1"/>
  <c r="P37" i="7" s="1"/>
  <c r="EW98" i="2"/>
  <c r="S60" i="6" s="1"/>
  <c r="Q37" i="7" s="1"/>
  <c r="EX98" i="2"/>
  <c r="T60" i="6" s="1"/>
  <c r="R37" i="7" s="1"/>
  <c r="EY98" i="2"/>
  <c r="W60" i="6" s="1"/>
  <c r="U37" i="7" s="1"/>
  <c r="EZ98" i="2"/>
  <c r="FA98" i="2"/>
  <c r="FB98" i="2"/>
  <c r="V60" i="6"/>
  <c r="T37" i="7" s="1"/>
  <c r="FD98" i="2"/>
  <c r="U60" i="6" s="1"/>
  <c r="S37" i="7" s="1"/>
  <c r="DI98" i="2"/>
  <c r="DJ98" i="2"/>
  <c r="DK98" i="2"/>
  <c r="DL98" i="2"/>
  <c r="DM98" i="2"/>
  <c r="DN98" i="2"/>
  <c r="DO98" i="2"/>
  <c r="DP98" i="2"/>
  <c r="CQ98" i="2"/>
  <c r="CR98" i="2"/>
  <c r="CS98" i="2"/>
  <c r="CT98" i="2"/>
  <c r="CU98" i="2"/>
  <c r="CV98" i="2"/>
  <c r="CW98" i="2"/>
  <c r="CX98" i="2"/>
  <c r="BN98" i="2"/>
  <c r="BO98" i="2"/>
  <c r="BP98" i="2"/>
  <c r="BR98" i="2"/>
  <c r="BT98" i="2"/>
  <c r="BE98" i="2"/>
  <c r="BG98" i="2"/>
  <c r="BI98" i="2"/>
  <c r="BK98" i="2"/>
  <c r="AV98" i="2"/>
  <c r="AX98" i="2"/>
  <c r="AZ98" i="2"/>
  <c r="BB98" i="2"/>
  <c r="Q98" i="2"/>
  <c r="AY98" i="2" s="1"/>
  <c r="S98" i="2"/>
  <c r="BA98" i="2" s="1"/>
  <c r="U98" i="2"/>
  <c r="BH98" i="2" s="1"/>
  <c r="W98" i="2"/>
  <c r="BJ98" i="2" s="1"/>
  <c r="Y98" i="2"/>
  <c r="BQ98" i="2" s="1"/>
  <c r="AA98" i="2"/>
  <c r="BS98" i="2" s="1"/>
  <c r="N98" i="2"/>
  <c r="G98" i="2"/>
  <c r="AD103" i="6" l="1"/>
  <c r="Y38" i="7"/>
  <c r="FE98" i="2"/>
  <c r="X60" i="6" s="1"/>
  <c r="V37" i="7" s="1"/>
  <c r="X38" i="7"/>
  <c r="DD98" i="2"/>
  <c r="L60" i="6" s="1"/>
  <c r="K37" i="7" s="1"/>
  <c r="DA98" i="2"/>
  <c r="H60" i="6" s="1"/>
  <c r="H37" i="7" s="1"/>
  <c r="DF98" i="2"/>
  <c r="BC98" i="2"/>
  <c r="BD98" i="2" s="1"/>
  <c r="DC98" i="2"/>
  <c r="K60" i="6" s="1"/>
  <c r="J37" i="7" s="1"/>
  <c r="DE98" i="2"/>
  <c r="M60" i="6" s="1"/>
  <c r="L37" i="7" s="1"/>
  <c r="CY98" i="2"/>
  <c r="BL98" i="2"/>
  <c r="BM98" i="2" s="1"/>
  <c r="BU98" i="2"/>
  <c r="BV98" i="2" s="1"/>
  <c r="DB98" i="2"/>
  <c r="CZ98" i="2"/>
  <c r="G60" i="6" s="1"/>
  <c r="G37" i="7" s="1"/>
  <c r="DQ98" i="2"/>
  <c r="Z38" i="7" l="1"/>
  <c r="I60" i="6"/>
  <c r="Q60" i="6"/>
  <c r="O37" i="7" s="1"/>
  <c r="D60" i="6"/>
  <c r="J60" i="6"/>
  <c r="I37" i="7" s="1"/>
  <c r="DG98" i="2"/>
  <c r="DH98" i="2" s="1"/>
  <c r="Y60" i="6" l="1"/>
  <c r="W37" i="7" s="1"/>
  <c r="P60" i="6"/>
  <c r="N37" i="7" s="1"/>
  <c r="FL217" i="2"/>
  <c r="FL218" i="2"/>
  <c r="Z60" i="6" l="1"/>
  <c r="AB60" i="6" s="1"/>
  <c r="AD60" i="6" l="1"/>
  <c r="Y37" i="7"/>
  <c r="X37" i="7"/>
  <c r="Z37" i="7" l="1"/>
  <c r="FC110" i="2"/>
  <c r="ET112" i="2"/>
  <c r="ER59" i="2"/>
  <c r="ER50" i="2"/>
  <c r="EL142" i="2" l="1"/>
  <c r="EM142" i="2"/>
  <c r="EN142" i="2"/>
  <c r="EP142" i="2"/>
  <c r="EQ142" i="2"/>
  <c r="ER142" i="2"/>
  <c r="ES142" i="2"/>
  <c r="EK142" i="2"/>
  <c r="R142" i="2"/>
  <c r="T142" i="2"/>
  <c r="V142" i="2"/>
  <c r="X142" i="2"/>
  <c r="Z142" i="2"/>
  <c r="AB142" i="2"/>
  <c r="AD142" i="2"/>
  <c r="AF142" i="2"/>
  <c r="AH142" i="2"/>
  <c r="AJ142" i="2"/>
  <c r="AK142" i="2"/>
  <c r="AL142" i="2"/>
  <c r="AM142" i="2"/>
  <c r="AN142" i="2"/>
  <c r="AO142" i="2"/>
  <c r="AP142" i="2"/>
  <c r="AQ142" i="2"/>
  <c r="AR142" i="2"/>
  <c r="AS142" i="2"/>
  <c r="AT142" i="2"/>
  <c r="AU142" i="2"/>
  <c r="T99" i="2" l="1"/>
  <c r="G75" i="2"/>
  <c r="N75" i="2"/>
  <c r="Q75" i="2"/>
  <c r="AY75" i="2" s="1"/>
  <c r="S75" i="2"/>
  <c r="BA75" i="2" s="1"/>
  <c r="U75" i="2"/>
  <c r="BH75" i="2" s="1"/>
  <c r="W75" i="2"/>
  <c r="BJ75" i="2" s="1"/>
  <c r="Y75" i="2"/>
  <c r="BQ75" i="2" s="1"/>
  <c r="AA75" i="2"/>
  <c r="BS75" i="2" s="1"/>
  <c r="AC75" i="2"/>
  <c r="BZ75" i="2" s="1"/>
  <c r="AE75" i="2"/>
  <c r="CB75" i="2" s="1"/>
  <c r="AG75" i="2"/>
  <c r="CI75" i="2" s="1"/>
  <c r="AI75" i="2"/>
  <c r="CK75" i="2" s="1"/>
  <c r="AX75" i="2"/>
  <c r="AZ75" i="2"/>
  <c r="BB75" i="2"/>
  <c r="BG75" i="2"/>
  <c r="BI75" i="2"/>
  <c r="BK75" i="2"/>
  <c r="BN75" i="2"/>
  <c r="BP75" i="2"/>
  <c r="BR75" i="2"/>
  <c r="BT75" i="2"/>
  <c r="CF75" i="2"/>
  <c r="CG75" i="2"/>
  <c r="CH75" i="2"/>
  <c r="CJ75" i="2"/>
  <c r="CL75" i="2"/>
  <c r="CQ75" i="2"/>
  <c r="CR75" i="2"/>
  <c r="CS75" i="2"/>
  <c r="CT75" i="2"/>
  <c r="CU75" i="2"/>
  <c r="CV75" i="2"/>
  <c r="CW75" i="2"/>
  <c r="CX75" i="2"/>
  <c r="DI75" i="2"/>
  <c r="DJ75" i="2"/>
  <c r="DK75" i="2"/>
  <c r="DL75" i="2"/>
  <c r="DM75" i="2"/>
  <c r="DN75" i="2"/>
  <c r="DO75" i="2"/>
  <c r="DP75" i="2"/>
  <c r="DR75" i="2"/>
  <c r="DS75" i="2"/>
  <c r="DT75" i="2"/>
  <c r="DU75" i="2"/>
  <c r="DV75" i="2"/>
  <c r="DW75" i="2"/>
  <c r="DX75" i="2"/>
  <c r="DY75" i="2"/>
  <c r="EA75" i="2"/>
  <c r="EB75" i="2"/>
  <c r="EC75" i="2"/>
  <c r="ED75" i="2"/>
  <c r="EE75" i="2"/>
  <c r="EF75" i="2"/>
  <c r="EG75" i="2"/>
  <c r="EH75" i="2"/>
  <c r="ET75" i="2"/>
  <c r="FE75" i="2" s="1"/>
  <c r="EV75" i="2"/>
  <c r="EW75" i="2"/>
  <c r="EX75" i="2"/>
  <c r="EY75" i="2"/>
  <c r="EZ75" i="2"/>
  <c r="FA75" i="2"/>
  <c r="FL75" i="2" s="1"/>
  <c r="FC75" i="2"/>
  <c r="BC75" i="2" l="1"/>
  <c r="CD75" i="2"/>
  <c r="CE75" i="2" s="1"/>
  <c r="DZ75" i="2"/>
  <c r="CZ75" i="2"/>
  <c r="DE75" i="2"/>
  <c r="DQ75" i="2"/>
  <c r="DD75" i="2"/>
  <c r="CY75" i="2"/>
  <c r="EI75" i="2"/>
  <c r="BL75" i="2"/>
  <c r="BM75" i="2" s="1"/>
  <c r="CM75" i="2"/>
  <c r="CN75" i="2" s="1"/>
  <c r="BU75" i="2"/>
  <c r="BV75" i="2" s="1"/>
  <c r="DF75" i="2"/>
  <c r="DA75" i="2"/>
  <c r="DB75" i="2"/>
  <c r="DC75" i="2"/>
  <c r="DG75" i="2" l="1"/>
  <c r="DH75" i="2" s="1"/>
  <c r="BD75" i="2"/>
  <c r="R99" i="2" l="1"/>
  <c r="V99" i="2"/>
  <c r="X99" i="2"/>
  <c r="Z99" i="2"/>
  <c r="AB99" i="2"/>
  <c r="AD99" i="2"/>
  <c r="AF99" i="2"/>
  <c r="AH99" i="2"/>
  <c r="AJ99" i="2"/>
  <c r="AK99" i="2"/>
  <c r="AL99" i="2"/>
  <c r="AM99" i="2"/>
  <c r="AN99" i="2"/>
  <c r="AO99" i="2"/>
  <c r="AP99" i="2"/>
  <c r="AQ99" i="2"/>
  <c r="AR99" i="2"/>
  <c r="AS99" i="2"/>
  <c r="AT99" i="2"/>
  <c r="AU99" i="2"/>
  <c r="P99" i="2"/>
  <c r="E99" i="2"/>
  <c r="E185" i="2" l="1"/>
  <c r="EM182" i="2" l="1"/>
  <c r="E35" i="7"/>
  <c r="E36" i="7"/>
  <c r="N61" i="6"/>
  <c r="E116" i="2"/>
  <c r="FF99" i="2"/>
  <c r="FG99" i="2"/>
  <c r="FH99" i="2"/>
  <c r="FI99" i="2"/>
  <c r="FJ99" i="2"/>
  <c r="EL99" i="2"/>
  <c r="EM99" i="2"/>
  <c r="EP99" i="2"/>
  <c r="EQ99" i="2"/>
  <c r="EK99" i="2"/>
  <c r="EY127" i="2" l="1"/>
  <c r="EN99" i="2" l="1"/>
  <c r="M35" i="7"/>
  <c r="AV130" i="2" l="1"/>
  <c r="Q35" i="7" l="1"/>
  <c r="S35" i="7"/>
  <c r="F35" i="7"/>
  <c r="R35" i="7"/>
  <c r="V35" i="7"/>
  <c r="T35" i="7"/>
  <c r="P35" i="7"/>
  <c r="J35" i="7"/>
  <c r="I35" i="7"/>
  <c r="L35" i="7"/>
  <c r="K35" i="7"/>
  <c r="U35" i="7" l="1"/>
  <c r="H35" i="7"/>
  <c r="G35" i="7"/>
  <c r="N35" i="7" l="1"/>
  <c r="W35" i="7" l="1"/>
  <c r="O35" i="7"/>
  <c r="X35" i="7" l="1"/>
  <c r="Z35" i="7" l="1"/>
  <c r="N14" i="6" l="1"/>
  <c r="E19" i="2"/>
  <c r="EL19" i="2"/>
  <c r="P91" i="2" l="1"/>
  <c r="F64" i="3" l="1"/>
  <c r="F65" i="3"/>
  <c r="C65" i="3"/>
  <c r="EQ91" i="2"/>
  <c r="ER91" i="2"/>
  <c r="EM91" i="2"/>
  <c r="EP91" i="2"/>
  <c r="EK91" i="2"/>
  <c r="R91" i="2"/>
  <c r="T91" i="2"/>
  <c r="V91" i="2"/>
  <c r="X91" i="2"/>
  <c r="Z91" i="2"/>
  <c r="EM42" i="2"/>
  <c r="EN42" i="2"/>
  <c r="EP42" i="2"/>
  <c r="ER42" i="2"/>
  <c r="EK42" i="2"/>
  <c r="R42" i="2"/>
  <c r="T42" i="2"/>
  <c r="V42" i="2"/>
  <c r="X42" i="2"/>
  <c r="Z42" i="2"/>
  <c r="P42" i="2"/>
  <c r="E42" i="2"/>
  <c r="ER99" i="2" l="1"/>
  <c r="ES99" i="2"/>
  <c r="ES91" i="2"/>
  <c r="ES42" i="2" l="1"/>
  <c r="EQ182" i="2"/>
  <c r="EQ185" i="2"/>
  <c r="EQ161" i="2"/>
  <c r="EQ165" i="2" s="1"/>
  <c r="F157" i="6" l="1"/>
  <c r="E81" i="3" l="1"/>
  <c r="E226" i="2" l="1"/>
  <c r="EL226" i="2" l="1"/>
  <c r="EM226" i="2"/>
  <c r="EN226" i="2"/>
  <c r="EQ226" i="2"/>
  <c r="ER226" i="2"/>
  <c r="ES226" i="2"/>
  <c r="EK226" i="2"/>
  <c r="R226" i="2"/>
  <c r="T226" i="2"/>
  <c r="V226" i="2"/>
  <c r="X226" i="2"/>
  <c r="Z226" i="2"/>
  <c r="AB226" i="2"/>
  <c r="AD226" i="2"/>
  <c r="AF226" i="2"/>
  <c r="AH226" i="2"/>
  <c r="AJ226" i="2"/>
  <c r="AK226" i="2"/>
  <c r="AL226" i="2"/>
  <c r="AM226" i="2"/>
  <c r="AN226" i="2"/>
  <c r="AO226" i="2"/>
  <c r="AP226" i="2"/>
  <c r="AQ226" i="2"/>
  <c r="AR226" i="2"/>
  <c r="AS226" i="2"/>
  <c r="AT226" i="2"/>
  <c r="AU226" i="2"/>
  <c r="BK226" i="2"/>
  <c r="P226" i="2"/>
  <c r="EN216" i="2"/>
  <c r="EM116" i="2" l="1"/>
  <c r="EL116" i="2"/>
  <c r="EK116" i="2"/>
  <c r="AT116" i="2"/>
  <c r="E50" i="2"/>
  <c r="EV17" i="2"/>
  <c r="EW17" i="2"/>
  <c r="EX17" i="2"/>
  <c r="EY17" i="2"/>
  <c r="EZ17" i="2"/>
  <c r="FA17" i="2"/>
  <c r="FB17" i="2"/>
  <c r="FC17" i="2"/>
  <c r="FD17" i="2"/>
  <c r="EV24" i="2"/>
  <c r="EW24" i="2"/>
  <c r="EX24" i="2"/>
  <c r="EY24" i="2"/>
  <c r="EZ24" i="2"/>
  <c r="FA24" i="2"/>
  <c r="FB24" i="2"/>
  <c r="FC24" i="2"/>
  <c r="FD24" i="2"/>
  <c r="EV25" i="2"/>
  <c r="EW25" i="2"/>
  <c r="EX25" i="2"/>
  <c r="EZ25" i="2"/>
  <c r="FA25" i="2"/>
  <c r="FB25" i="2"/>
  <c r="FC25" i="2"/>
  <c r="FD25" i="2"/>
  <c r="EV26" i="2"/>
  <c r="EW26" i="2"/>
  <c r="EX26" i="2"/>
  <c r="EY26" i="2"/>
  <c r="EZ26" i="2"/>
  <c r="FA26" i="2"/>
  <c r="FB26" i="2"/>
  <c r="FC26" i="2"/>
  <c r="FD26" i="2"/>
  <c r="EV27" i="2"/>
  <c r="EW27" i="2"/>
  <c r="EX27" i="2"/>
  <c r="EY27" i="2"/>
  <c r="EZ27" i="2"/>
  <c r="FA27" i="2"/>
  <c r="FB27" i="2"/>
  <c r="FC27" i="2"/>
  <c r="FD27" i="2"/>
  <c r="EV35" i="2"/>
  <c r="EW35" i="2"/>
  <c r="EX35" i="2"/>
  <c r="EZ35" i="2"/>
  <c r="FA35" i="2"/>
  <c r="FB35" i="2"/>
  <c r="FC35" i="2"/>
  <c r="FD35" i="2"/>
  <c r="EV36" i="2"/>
  <c r="EW36" i="2"/>
  <c r="EX36" i="2"/>
  <c r="EY36" i="2"/>
  <c r="EZ36" i="2"/>
  <c r="FA36" i="2"/>
  <c r="FB36" i="2"/>
  <c r="FC36" i="2"/>
  <c r="FD36" i="2"/>
  <c r="EV39" i="2"/>
  <c r="EW39" i="2"/>
  <c r="EX39" i="2"/>
  <c r="EY39" i="2"/>
  <c r="EZ39" i="2"/>
  <c r="FA39" i="2"/>
  <c r="FB39" i="2"/>
  <c r="FC39" i="2"/>
  <c r="EV40" i="2"/>
  <c r="EW40" i="2"/>
  <c r="EX40" i="2"/>
  <c r="EY40" i="2"/>
  <c r="EZ40" i="2"/>
  <c r="FA40" i="2"/>
  <c r="FC40" i="2"/>
  <c r="FD40" i="2"/>
  <c r="EV49" i="2"/>
  <c r="EW49" i="2"/>
  <c r="EX49" i="2"/>
  <c r="EY49" i="2"/>
  <c r="EZ49" i="2"/>
  <c r="FA49" i="2"/>
  <c r="FB49" i="2"/>
  <c r="FC49" i="2"/>
  <c r="FD49" i="2"/>
  <c r="EV57" i="2"/>
  <c r="EW57" i="2"/>
  <c r="EX57" i="2"/>
  <c r="EY57" i="2"/>
  <c r="EZ57" i="2"/>
  <c r="FA57" i="2"/>
  <c r="FC57" i="2"/>
  <c r="FD57" i="2"/>
  <c r="EV58" i="2"/>
  <c r="EW58" i="2"/>
  <c r="EX58" i="2"/>
  <c r="EZ58" i="2"/>
  <c r="FA58" i="2"/>
  <c r="FB58" i="2"/>
  <c r="FC58" i="2"/>
  <c r="FD58" i="2"/>
  <c r="EV64" i="2"/>
  <c r="EW64" i="2"/>
  <c r="EX64" i="2"/>
  <c r="EY64" i="2"/>
  <c r="EZ64" i="2"/>
  <c r="FA64" i="2"/>
  <c r="FB64" i="2"/>
  <c r="FC64" i="2"/>
  <c r="FD64" i="2"/>
  <c r="EV77" i="2"/>
  <c r="EW77" i="2"/>
  <c r="EY77" i="2"/>
  <c r="EZ77" i="2"/>
  <c r="FA77" i="2"/>
  <c r="FB77" i="2"/>
  <c r="FC77" i="2"/>
  <c r="FD77" i="2"/>
  <c r="EV78" i="2"/>
  <c r="EW78" i="2"/>
  <c r="EX78" i="2"/>
  <c r="EY78" i="2"/>
  <c r="EZ78" i="2"/>
  <c r="FA78" i="2"/>
  <c r="FB78" i="2"/>
  <c r="FC78" i="2"/>
  <c r="FD78" i="2"/>
  <c r="EV88" i="2"/>
  <c r="EX88" i="2"/>
  <c r="EY88" i="2"/>
  <c r="EZ88" i="2"/>
  <c r="FA88" i="2"/>
  <c r="FB88" i="2"/>
  <c r="FC88" i="2"/>
  <c r="FD88" i="2"/>
  <c r="EV90" i="2"/>
  <c r="EW90" i="2"/>
  <c r="EX90" i="2"/>
  <c r="EY90" i="2"/>
  <c r="EZ90" i="2"/>
  <c r="FA90" i="2"/>
  <c r="FC90" i="2"/>
  <c r="FD90" i="2"/>
  <c r="EV93" i="2"/>
  <c r="EW93" i="2"/>
  <c r="EX93" i="2"/>
  <c r="EY93" i="2"/>
  <c r="EZ93" i="2"/>
  <c r="FA93" i="2"/>
  <c r="FB93" i="2"/>
  <c r="FC93" i="2"/>
  <c r="FD93" i="2"/>
  <c r="EV97" i="2"/>
  <c r="EW97" i="2"/>
  <c r="EX97" i="2"/>
  <c r="EY97" i="2"/>
  <c r="EZ97" i="2"/>
  <c r="FA97" i="2"/>
  <c r="FB97" i="2"/>
  <c r="FD97" i="2"/>
  <c r="EV109" i="2"/>
  <c r="EX109" i="2"/>
  <c r="EZ109" i="2"/>
  <c r="FA109" i="2"/>
  <c r="FB109" i="2"/>
  <c r="FC109" i="2"/>
  <c r="EX110" i="2"/>
  <c r="EZ110" i="2"/>
  <c r="FB110" i="2"/>
  <c r="EV111" i="2"/>
  <c r="EW111" i="2"/>
  <c r="EX111" i="2"/>
  <c r="EY111" i="2"/>
  <c r="EZ111" i="2"/>
  <c r="FA111" i="2"/>
  <c r="FB111" i="2"/>
  <c r="FC111" i="2"/>
  <c r="FD111" i="2"/>
  <c r="EV112" i="2"/>
  <c r="EW112" i="2"/>
  <c r="EX112" i="2"/>
  <c r="EZ112" i="2"/>
  <c r="FA112" i="2"/>
  <c r="FB112" i="2"/>
  <c r="FC112" i="2"/>
  <c r="EV113" i="2"/>
  <c r="EW113" i="2"/>
  <c r="EX113" i="2"/>
  <c r="EY113" i="2"/>
  <c r="EZ113" i="2"/>
  <c r="FA113" i="2"/>
  <c r="FB113" i="2"/>
  <c r="FC113" i="2"/>
  <c r="EV114" i="2"/>
  <c r="EW114" i="2"/>
  <c r="EX114" i="2"/>
  <c r="EZ114" i="2"/>
  <c r="FA114" i="2"/>
  <c r="FB114" i="2"/>
  <c r="FC114" i="2"/>
  <c r="FD114" i="2"/>
  <c r="G38" i="4"/>
  <c r="F38" i="4"/>
  <c r="F80" i="3"/>
  <c r="F81" i="3"/>
  <c r="EY115" i="2"/>
  <c r="V81" i="3" s="1"/>
  <c r="EP116" i="2"/>
  <c r="EQ116" i="2"/>
  <c r="ER116" i="2"/>
  <c r="R116" i="2"/>
  <c r="T116" i="2"/>
  <c r="V116" i="2"/>
  <c r="X116" i="2"/>
  <c r="Z116" i="2"/>
  <c r="ET115" i="2"/>
  <c r="EH115" i="2"/>
  <c r="EG115" i="2"/>
  <c r="EF115" i="2"/>
  <c r="EE115" i="2"/>
  <c r="ED115" i="2"/>
  <c r="EC115" i="2"/>
  <c r="EB115" i="2"/>
  <c r="EA115" i="2"/>
  <c r="DY115" i="2"/>
  <c r="DX115" i="2"/>
  <c r="DW115" i="2"/>
  <c r="DV115" i="2"/>
  <c r="DU115" i="2"/>
  <c r="DT115" i="2"/>
  <c r="DS115" i="2"/>
  <c r="DR115" i="2"/>
  <c r="DP115" i="2"/>
  <c r="DO115" i="2"/>
  <c r="DN115" i="2"/>
  <c r="DM115" i="2"/>
  <c r="DL115" i="2"/>
  <c r="DK115" i="2"/>
  <c r="DJ115" i="2"/>
  <c r="DI115" i="2"/>
  <c r="DG115" i="2"/>
  <c r="DF115" i="2"/>
  <c r="DE115" i="2"/>
  <c r="DD115" i="2"/>
  <c r="DC115" i="2"/>
  <c r="DB115" i="2"/>
  <c r="DA115" i="2"/>
  <c r="CZ115" i="2"/>
  <c r="CL115" i="2"/>
  <c r="CJ115" i="2"/>
  <c r="CH115" i="2"/>
  <c r="CC115" i="2"/>
  <c r="CA115" i="2"/>
  <c r="BY115" i="2"/>
  <c r="BT115" i="2"/>
  <c r="BR115" i="2"/>
  <c r="BP115" i="2"/>
  <c r="BK115" i="2"/>
  <c r="BI115" i="2"/>
  <c r="BG115" i="2"/>
  <c r="BE115" i="2"/>
  <c r="BB115" i="2"/>
  <c r="AZ115" i="2"/>
  <c r="AX115" i="2"/>
  <c r="AV115" i="2"/>
  <c r="AI115" i="2"/>
  <c r="CK115" i="2" s="1"/>
  <c r="AG115" i="2"/>
  <c r="CI115" i="2" s="1"/>
  <c r="AE115" i="2"/>
  <c r="CB115" i="2" s="1"/>
  <c r="AC115" i="2"/>
  <c r="BZ115" i="2" s="1"/>
  <c r="AA115" i="2"/>
  <c r="BS115" i="2" s="1"/>
  <c r="Y115" i="2"/>
  <c r="BQ115" i="2" s="1"/>
  <c r="W115" i="2"/>
  <c r="BJ115" i="2" s="1"/>
  <c r="BH115" i="2"/>
  <c r="S115" i="2"/>
  <c r="BA115" i="2" s="1"/>
  <c r="Q115" i="2"/>
  <c r="AY115" i="2" s="1"/>
  <c r="N115" i="2"/>
  <c r="F115" i="2"/>
  <c r="AB116" i="2"/>
  <c r="AD116" i="2"/>
  <c r="AF116" i="2"/>
  <c r="AH116" i="2"/>
  <c r="AJ116" i="2"/>
  <c r="AK116" i="2"/>
  <c r="AL116" i="2"/>
  <c r="AM116" i="2"/>
  <c r="AN116" i="2"/>
  <c r="AO116" i="2"/>
  <c r="AP116" i="2"/>
  <c r="AQ116" i="2"/>
  <c r="AR116" i="2"/>
  <c r="AS116" i="2"/>
  <c r="FF116" i="2"/>
  <c r="FG116" i="2"/>
  <c r="FH116" i="2"/>
  <c r="FI116" i="2"/>
  <c r="FJ116" i="2"/>
  <c r="CG115" i="2" l="1"/>
  <c r="V38" i="4"/>
  <c r="BN115" i="2"/>
  <c r="BW115" i="2"/>
  <c r="CD115" i="2" s="1"/>
  <c r="CF115" i="2"/>
  <c r="CM115" i="2" s="1"/>
  <c r="FE115" i="2"/>
  <c r="W81" i="3" s="1"/>
  <c r="W38" i="4" s="1"/>
  <c r="FA115" i="2"/>
  <c r="FL115" i="2" s="1"/>
  <c r="EW115" i="2"/>
  <c r="R81" i="3" s="1"/>
  <c r="R38" i="4" s="1"/>
  <c r="FD115" i="2"/>
  <c r="T81" i="3" s="1"/>
  <c r="T38" i="4" s="1"/>
  <c r="EZ115" i="2"/>
  <c r="EV115" i="2"/>
  <c r="Q81" i="3" s="1"/>
  <c r="Q38" i="4" s="1"/>
  <c r="FB115" i="2"/>
  <c r="EX115" i="2"/>
  <c r="S81" i="3" s="1"/>
  <c r="S38" i="4" s="1"/>
  <c r="FC115" i="2"/>
  <c r="U81" i="3" s="1"/>
  <c r="U38" i="4" s="1"/>
  <c r="CW115" i="2"/>
  <c r="CU115" i="2"/>
  <c r="CV115" i="2"/>
  <c r="BL115" i="2"/>
  <c r="DZ115" i="2"/>
  <c r="EI115" i="2"/>
  <c r="DH115" i="2"/>
  <c r="DQ115" i="2"/>
  <c r="CT115" i="2"/>
  <c r="BC115" i="2"/>
  <c r="CS115" i="2"/>
  <c r="G115" i="2"/>
  <c r="BX115" i="2"/>
  <c r="BO115" i="2"/>
  <c r="BF45" i="2" l="1"/>
  <c r="CN115" i="2"/>
  <c r="J81" i="3"/>
  <c r="J38" i="4" s="1"/>
  <c r="K81" i="3"/>
  <c r="K38" i="4" s="1"/>
  <c r="M81" i="3"/>
  <c r="M38" i="4" s="1"/>
  <c r="L81" i="3"/>
  <c r="L38" i="4" s="1"/>
  <c r="N81" i="3"/>
  <c r="N38" i="4" s="1"/>
  <c r="CQ115" i="2"/>
  <c r="G81" i="3" s="1"/>
  <c r="BU115" i="2"/>
  <c r="BV115" i="2" s="1"/>
  <c r="BM115" i="2"/>
  <c r="CE115" i="2"/>
  <c r="CR115" i="2"/>
  <c r="H81" i="3" s="1"/>
  <c r="I38" i="4" s="1"/>
  <c r="BD115" i="2"/>
  <c r="D81" i="3" l="1"/>
  <c r="CX115" i="2"/>
  <c r="CY115" i="2" s="1"/>
  <c r="H38" i="4"/>
  <c r="P81" i="3"/>
  <c r="P38" i="4" s="1"/>
  <c r="I81" i="3"/>
  <c r="O81" i="3" s="1"/>
  <c r="X81" i="3" l="1"/>
  <c r="X38" i="4" s="1"/>
  <c r="O38" i="4"/>
  <c r="Y81" i="3" l="1"/>
  <c r="AA81" i="3" s="1"/>
  <c r="AA38" i="4" l="1"/>
  <c r="AC38" i="4"/>
  <c r="Y38" i="4"/>
  <c r="Z38" i="4" l="1"/>
  <c r="EY114" i="2"/>
  <c r="ER121" i="2" l="1"/>
  <c r="FD109" i="2" l="1"/>
  <c r="FD110" i="2"/>
  <c r="FD112" i="2"/>
  <c r="FD113" i="2"/>
  <c r="EY112" i="2"/>
  <c r="EY58" i="2"/>
  <c r="EY35" i="2"/>
  <c r="EY25" i="2"/>
  <c r="ES116" i="2" l="1"/>
  <c r="EN116" i="2"/>
  <c r="O38" i="6" l="1"/>
  <c r="M36" i="7" s="1"/>
  <c r="F38" i="6"/>
  <c r="E38" i="6"/>
  <c r="F36" i="7" s="1"/>
  <c r="C38" i="6"/>
  <c r="E79" i="2"/>
  <c r="V38" i="6"/>
  <c r="T36" i="7" s="1"/>
  <c r="W38" i="6"/>
  <c r="U36" i="7" s="1"/>
  <c r="T38" i="6"/>
  <c r="R36" i="7" s="1"/>
  <c r="S38" i="6"/>
  <c r="Q36" i="7" s="1"/>
  <c r="R38" i="6"/>
  <c r="P36" i="7" s="1"/>
  <c r="X38" i="6"/>
  <c r="V36" i="7" s="1"/>
  <c r="U38" i="6"/>
  <c r="S36" i="7" s="1"/>
  <c r="L38" i="6" l="1"/>
  <c r="K36" i="7" s="1"/>
  <c r="J38" i="6"/>
  <c r="I36" i="7" s="1"/>
  <c r="H38" i="6"/>
  <c r="H36" i="7" s="1"/>
  <c r="G38" i="6"/>
  <c r="G36" i="7" s="1"/>
  <c r="M38" i="6"/>
  <c r="L36" i="7" s="1"/>
  <c r="K38" i="6"/>
  <c r="J36" i="7" s="1"/>
  <c r="D38" i="6" l="1"/>
  <c r="Q38" i="6"/>
  <c r="O36" i="7" s="1"/>
  <c r="I38" i="6"/>
  <c r="P38" i="6" s="1"/>
  <c r="N36" i="7" s="1"/>
  <c r="Y38" i="6" l="1"/>
  <c r="W36" i="7" s="1"/>
  <c r="Z38" i="6" l="1"/>
  <c r="AB38" i="6" s="1"/>
  <c r="AD38" i="6" l="1"/>
  <c r="Y36" i="7"/>
  <c r="X36" i="7"/>
  <c r="Z36" i="7" l="1"/>
  <c r="EM19" i="2" l="1"/>
  <c r="EN19" i="2"/>
  <c r="EP19" i="2"/>
  <c r="ER19" i="2"/>
  <c r="ES19" i="2"/>
  <c r="FB10" i="2"/>
  <c r="EQ19" i="2" l="1"/>
  <c r="ET10" i="2"/>
  <c r="FE10" i="2" s="1"/>
  <c r="F37" i="4" l="1"/>
  <c r="F41" i="3"/>
  <c r="E41" i="3"/>
  <c r="G37" i="4" s="1"/>
  <c r="C41" i="3"/>
  <c r="EL59" i="2"/>
  <c r="EM59" i="2"/>
  <c r="EP59" i="2"/>
  <c r="ES59" i="2"/>
  <c r="EK59" i="2"/>
  <c r="R59" i="2"/>
  <c r="T59" i="2"/>
  <c r="V59" i="2"/>
  <c r="X59" i="2"/>
  <c r="Z59" i="2"/>
  <c r="P59" i="2"/>
  <c r="T41" i="3"/>
  <c r="T37" i="4" s="1"/>
  <c r="U41" i="3"/>
  <c r="U37" i="4" s="1"/>
  <c r="FL58" i="2"/>
  <c r="V41" i="3"/>
  <c r="S41" i="3"/>
  <c r="S37" i="4" s="1"/>
  <c r="R41" i="3"/>
  <c r="R37" i="4" s="1"/>
  <c r="Q41" i="3"/>
  <c r="Q37" i="4" s="1"/>
  <c r="W41" i="3"/>
  <c r="W37" i="4" s="1"/>
  <c r="DP58" i="2"/>
  <c r="DO58" i="2"/>
  <c r="DN58" i="2"/>
  <c r="DM58" i="2"/>
  <c r="DL58" i="2"/>
  <c r="DK58" i="2"/>
  <c r="DJ58" i="2"/>
  <c r="DI58" i="2"/>
  <c r="DG58" i="2"/>
  <c r="DF58" i="2"/>
  <c r="DE58" i="2"/>
  <c r="DD58" i="2"/>
  <c r="DC58" i="2"/>
  <c r="DB58" i="2"/>
  <c r="DA58" i="2"/>
  <c r="CZ58" i="2"/>
  <c r="CG58" i="2"/>
  <c r="CF58" i="2"/>
  <c r="BT58" i="2"/>
  <c r="BR58" i="2"/>
  <c r="BP58" i="2"/>
  <c r="BO58" i="2"/>
  <c r="BN58" i="2"/>
  <c r="BK58" i="2"/>
  <c r="BI58" i="2"/>
  <c r="BG58" i="2"/>
  <c r="BE58" i="2"/>
  <c r="BB58" i="2"/>
  <c r="AZ58" i="2"/>
  <c r="AX58" i="2"/>
  <c r="AV58" i="2"/>
  <c r="AI58" i="2"/>
  <c r="CK58" i="2" s="1"/>
  <c r="AG58" i="2"/>
  <c r="CI58" i="2" s="1"/>
  <c r="AE58" i="2"/>
  <c r="CB58" i="2" s="1"/>
  <c r="AC58" i="2"/>
  <c r="BZ58" i="2" s="1"/>
  <c r="AA58" i="2"/>
  <c r="BS58" i="2" s="1"/>
  <c r="Y58" i="2"/>
  <c r="BQ58" i="2" s="1"/>
  <c r="W58" i="2"/>
  <c r="BJ58" i="2" s="1"/>
  <c r="U58" i="2"/>
  <c r="BH58" i="2" s="1"/>
  <c r="S58" i="2"/>
  <c r="BA58" i="2" s="1"/>
  <c r="Q58" i="2"/>
  <c r="AY58" i="2" s="1"/>
  <c r="N58" i="2"/>
  <c r="G58" i="2"/>
  <c r="CD58" i="2" l="1"/>
  <c r="CE58" i="2" s="1"/>
  <c r="V37" i="4"/>
  <c r="BC58" i="2"/>
  <c r="BD58" i="2" s="1"/>
  <c r="CS58" i="2"/>
  <c r="J41" i="3" s="1"/>
  <c r="J37" i="4" s="1"/>
  <c r="CW58" i="2"/>
  <c r="N41" i="3" s="1"/>
  <c r="N37" i="4" s="1"/>
  <c r="DH58" i="2"/>
  <c r="DQ58" i="2"/>
  <c r="BL58" i="2"/>
  <c r="BM58" i="2" s="1"/>
  <c r="CR58" i="2"/>
  <c r="H41" i="3" s="1"/>
  <c r="I37" i="4" s="1"/>
  <c r="CM58" i="2"/>
  <c r="CV58" i="2"/>
  <c r="M41" i="3" s="1"/>
  <c r="M37" i="4" s="1"/>
  <c r="CT58" i="2"/>
  <c r="K41" i="3" s="1"/>
  <c r="K37" i="4" s="1"/>
  <c r="BU58" i="2"/>
  <c r="BV58" i="2" s="1"/>
  <c r="CQ58" i="2"/>
  <c r="G41" i="3" s="1"/>
  <c r="CU58" i="2"/>
  <c r="L41" i="3" s="1"/>
  <c r="L37" i="4" s="1"/>
  <c r="P41" i="3" l="1"/>
  <c r="X41" i="3" s="1"/>
  <c r="X37" i="4" s="1"/>
  <c r="H37" i="4"/>
  <c r="CX58" i="2"/>
  <c r="CY58" i="2" s="1"/>
  <c r="I41" i="3"/>
  <c r="O41" i="3" s="1"/>
  <c r="O37" i="4" s="1"/>
  <c r="D41" i="3"/>
  <c r="P37" i="4" l="1"/>
  <c r="Y41" i="3"/>
  <c r="AA41" i="3" s="1"/>
  <c r="AA37" i="4" l="1"/>
  <c r="Y37" i="4"/>
  <c r="EN59" i="2" l="1"/>
  <c r="EQ42" i="2"/>
  <c r="EQ79" i="2"/>
  <c r="ET40" i="2" l="1"/>
  <c r="FB40" i="2"/>
  <c r="EQ59" i="2"/>
  <c r="EQ121" i="2"/>
  <c r="EQ216" i="2"/>
  <c r="EQ149" i="2"/>
  <c r="F36" i="4" l="1"/>
  <c r="EX77" i="2"/>
  <c r="E80" i="3"/>
  <c r="G36" i="4" s="1"/>
  <c r="C80" i="3"/>
  <c r="T80" i="3"/>
  <c r="T36" i="4" s="1"/>
  <c r="U80" i="3"/>
  <c r="U36" i="4" s="1"/>
  <c r="FL114" i="2"/>
  <c r="V80" i="3"/>
  <c r="S80" i="3"/>
  <c r="S36" i="4" s="1"/>
  <c r="R80" i="3"/>
  <c r="R36" i="4" s="1"/>
  <c r="Q80" i="3"/>
  <c r="Q36" i="4" s="1"/>
  <c r="ET114" i="2"/>
  <c r="FE114" i="2" s="1"/>
  <c r="W80" i="3" s="1"/>
  <c r="W36" i="4" s="1"/>
  <c r="EH114" i="2"/>
  <c r="EG114" i="2"/>
  <c r="EF114" i="2"/>
  <c r="EE114" i="2"/>
  <c r="ED114" i="2"/>
  <c r="EC114" i="2"/>
  <c r="EB114" i="2"/>
  <c r="EA114" i="2"/>
  <c r="DY114" i="2"/>
  <c r="DX114" i="2"/>
  <c r="DW114" i="2"/>
  <c r="DV114" i="2"/>
  <c r="DU114" i="2"/>
  <c r="DT114" i="2"/>
  <c r="DS114" i="2"/>
  <c r="DR114" i="2"/>
  <c r="DP114" i="2"/>
  <c r="DO114" i="2"/>
  <c r="DN114" i="2"/>
  <c r="DM114" i="2"/>
  <c r="DL114" i="2"/>
  <c r="DK114" i="2"/>
  <c r="DJ114" i="2"/>
  <c r="DI114" i="2"/>
  <c r="DG114" i="2"/>
  <c r="DF114" i="2"/>
  <c r="DE114" i="2"/>
  <c r="DD114" i="2"/>
  <c r="DC114" i="2"/>
  <c r="DB114" i="2"/>
  <c r="DA114" i="2"/>
  <c r="CZ114" i="2"/>
  <c r="CL114" i="2"/>
  <c r="CJ114" i="2"/>
  <c r="CH114" i="2"/>
  <c r="CF114" i="2"/>
  <c r="CC114" i="2"/>
  <c r="CA114" i="2"/>
  <c r="BY114" i="2"/>
  <c r="BW114" i="2"/>
  <c r="BT114" i="2"/>
  <c r="BR114" i="2"/>
  <c r="BP114" i="2"/>
  <c r="BN114" i="2"/>
  <c r="BK114" i="2"/>
  <c r="BI114" i="2"/>
  <c r="BG114" i="2"/>
  <c r="BE114" i="2"/>
  <c r="BB114" i="2"/>
  <c r="AZ114" i="2"/>
  <c r="AX114" i="2"/>
  <c r="AV114" i="2"/>
  <c r="AI114" i="2"/>
  <c r="CK114" i="2" s="1"/>
  <c r="AG114" i="2"/>
  <c r="CI114" i="2" s="1"/>
  <c r="AE114" i="2"/>
  <c r="CB114" i="2" s="1"/>
  <c r="AC114" i="2"/>
  <c r="BZ114" i="2" s="1"/>
  <c r="AA114" i="2"/>
  <c r="BS114" i="2" s="1"/>
  <c r="Y114" i="2"/>
  <c r="BQ114" i="2" s="1"/>
  <c r="W114" i="2"/>
  <c r="BJ114" i="2" s="1"/>
  <c r="BH114" i="2"/>
  <c r="S114" i="2"/>
  <c r="BA114" i="2" s="1"/>
  <c r="Q114" i="2"/>
  <c r="AY114" i="2" s="1"/>
  <c r="N114" i="2"/>
  <c r="F114" i="2"/>
  <c r="V36" i="4" l="1"/>
  <c r="BO114" i="2"/>
  <c r="CG114" i="2"/>
  <c r="G114" i="2"/>
  <c r="BX114" i="2"/>
  <c r="CW114" i="2"/>
  <c r="N80" i="3" s="1"/>
  <c r="N36" i="4" s="1"/>
  <c r="CT114" i="2"/>
  <c r="K80" i="3" s="1"/>
  <c r="CS114" i="2"/>
  <c r="J80" i="3" s="1"/>
  <c r="J36" i="4" s="1"/>
  <c r="BL114" i="2"/>
  <c r="CD114" i="2"/>
  <c r="CU114" i="2"/>
  <c r="L80" i="3" s="1"/>
  <c r="L36" i="4" s="1"/>
  <c r="DZ114" i="2"/>
  <c r="EI114" i="2"/>
  <c r="DH114" i="2"/>
  <c r="DQ114" i="2"/>
  <c r="BC114" i="2"/>
  <c r="CV114" i="2"/>
  <c r="M80" i="3" s="1"/>
  <c r="M36" i="4" s="1"/>
  <c r="BU114" i="2"/>
  <c r="CM114" i="2"/>
  <c r="CQ114" i="2"/>
  <c r="G80" i="3" l="1"/>
  <c r="H36" i="4" s="1"/>
  <c r="K36" i="4"/>
  <c r="BV114" i="2"/>
  <c r="CN114" i="2"/>
  <c r="CE114" i="2"/>
  <c r="CR114" i="2"/>
  <c r="BM114" i="2"/>
  <c r="CX114" i="2"/>
  <c r="BD114" i="2"/>
  <c r="P80" i="3" l="1"/>
  <c r="X80" i="3" s="1"/>
  <c r="X36" i="4" s="1"/>
  <c r="H80" i="3"/>
  <c r="I80" i="3" s="1"/>
  <c r="O80" i="3" s="1"/>
  <c r="O36" i="4" s="1"/>
  <c r="D80" i="3"/>
  <c r="CY114" i="2"/>
  <c r="P36" i="4" l="1"/>
  <c r="I36" i="4"/>
  <c r="Y80" i="3"/>
  <c r="AA80" i="3" s="1"/>
  <c r="AA36" i="4" l="1"/>
  <c r="Z36" i="4"/>
  <c r="AC36" i="4"/>
  <c r="Y36" i="4"/>
  <c r="AC80" i="3" l="1"/>
  <c r="E59" i="6" l="1"/>
  <c r="F34" i="7"/>
  <c r="E34" i="7"/>
  <c r="M34" i="7"/>
  <c r="S34" i="7"/>
  <c r="T34" i="7"/>
  <c r="R34" i="7"/>
  <c r="Q34" i="7"/>
  <c r="P34" i="7"/>
  <c r="V34" i="7" l="1"/>
  <c r="U34" i="7"/>
  <c r="G34" i="7"/>
  <c r="K34" i="7"/>
  <c r="I34" i="7"/>
  <c r="H34" i="7"/>
  <c r="L34" i="7" l="1"/>
  <c r="J34" i="7"/>
  <c r="N34" i="7" l="1"/>
  <c r="W34" i="7"/>
  <c r="AB34" i="7"/>
  <c r="O34" i="7" l="1"/>
  <c r="X34" i="7" l="1"/>
  <c r="Z34" i="7" l="1"/>
  <c r="EV22" i="2"/>
  <c r="EV31" i="2"/>
  <c r="EV42" i="2" s="1"/>
  <c r="EV10" i="2"/>
  <c r="R9" i="6" s="1"/>
  <c r="EV214" i="2"/>
  <c r="EV215" i="2"/>
  <c r="EV225" i="2"/>
  <c r="EV224" i="2"/>
  <c r="R156" i="6" s="1"/>
  <c r="ET220" i="2"/>
  <c r="ET211" i="2"/>
  <c r="ET210" i="2"/>
  <c r="ET188" i="2"/>
  <c r="ET156" i="2"/>
  <c r="ET155" i="2"/>
  <c r="ET148" i="2"/>
  <c r="ET147" i="2"/>
  <c r="ET138" i="2"/>
  <c r="FE138" i="2" s="1"/>
  <c r="ET136" i="2"/>
  <c r="ET133" i="2"/>
  <c r="FE133" i="2" s="1"/>
  <c r="ET131" i="2"/>
  <c r="ET130" i="2"/>
  <c r="ET127" i="2"/>
  <c r="ET120" i="2"/>
  <c r="ET119" i="2"/>
  <c r="ET111" i="2"/>
  <c r="ET113" i="2"/>
  <c r="ET110" i="2"/>
  <c r="ET109" i="2"/>
  <c r="ET102" i="2"/>
  <c r="ET97" i="2"/>
  <c r="FE97" i="2" s="1"/>
  <c r="ET93" i="2"/>
  <c r="ET83" i="2"/>
  <c r="ET68" i="2"/>
  <c r="ET71" i="2" s="1"/>
  <c r="ET49" i="2"/>
  <c r="ET39" i="2"/>
  <c r="ET36" i="2"/>
  <c r="ET35" i="2"/>
  <c r="ET31" i="2"/>
  <c r="ET27" i="2"/>
  <c r="ET26" i="2"/>
  <c r="ET25" i="2"/>
  <c r="ET24" i="2"/>
  <c r="ET22" i="2"/>
  <c r="FB133" i="2"/>
  <c r="FD39" i="2"/>
  <c r="ET142" i="2" l="1"/>
  <c r="ET99" i="2"/>
  <c r="ET91" i="2"/>
  <c r="ET42" i="2"/>
  <c r="EV226" i="2"/>
  <c r="ET116" i="2"/>
  <c r="ET19" i="2"/>
  <c r="ET216" i="2"/>
  <c r="ET177" i="2"/>
  <c r="ET179" i="2" s="1"/>
  <c r="ET163" i="2"/>
  <c r="ET164" i="2" s="1"/>
  <c r="ET160" i="2"/>
  <c r="EN134" i="2"/>
  <c r="BF59" i="2" l="1"/>
  <c r="Y211" i="2"/>
  <c r="Y210" i="2"/>
  <c r="E33" i="7" l="1"/>
  <c r="O76" i="6"/>
  <c r="O78" i="6" s="1"/>
  <c r="F76" i="6"/>
  <c r="E76" i="6"/>
  <c r="F33" i="7" s="1"/>
  <c r="C76" i="6"/>
  <c r="F35" i="4"/>
  <c r="C106" i="3"/>
  <c r="E106" i="3"/>
  <c r="G35" i="4" s="1"/>
  <c r="F138" i="2"/>
  <c r="FK138" i="2"/>
  <c r="FD138" i="2"/>
  <c r="FC138" i="2"/>
  <c r="V76" i="6" s="1"/>
  <c r="V78" i="6" s="1"/>
  <c r="FB138" i="2"/>
  <c r="FA138" i="2"/>
  <c r="EZ138" i="2"/>
  <c r="EY138" i="2"/>
  <c r="W76" i="6" s="1"/>
  <c r="W78" i="6" s="1"/>
  <c r="EX138" i="2"/>
  <c r="EW138" i="2"/>
  <c r="EV138" i="2"/>
  <c r="X76" i="6"/>
  <c r="X78" i="6" s="1"/>
  <c r="EH138" i="2"/>
  <c r="EG138" i="2"/>
  <c r="EF138" i="2"/>
  <c r="EE138" i="2"/>
  <c r="ED138" i="2"/>
  <c r="EC138" i="2"/>
  <c r="EB138" i="2"/>
  <c r="EA138" i="2"/>
  <c r="DY138" i="2"/>
  <c r="DX138" i="2"/>
  <c r="DW138" i="2"/>
  <c r="DV138" i="2"/>
  <c r="DU138" i="2"/>
  <c r="DT138" i="2"/>
  <c r="DS138" i="2"/>
  <c r="DR138" i="2"/>
  <c r="DP138" i="2"/>
  <c r="DO138" i="2"/>
  <c r="DN138" i="2"/>
  <c r="DM138" i="2"/>
  <c r="DL138" i="2"/>
  <c r="DK138" i="2"/>
  <c r="DJ138" i="2"/>
  <c r="DI138" i="2"/>
  <c r="CL138" i="2"/>
  <c r="CJ138" i="2"/>
  <c r="CH138" i="2"/>
  <c r="CF138" i="2"/>
  <c r="CC138" i="2"/>
  <c r="CA138" i="2"/>
  <c r="BY138" i="2"/>
  <c r="BW138" i="2"/>
  <c r="BT138" i="2"/>
  <c r="BR138" i="2"/>
  <c r="BP138" i="2"/>
  <c r="BN138" i="2"/>
  <c r="BK138" i="2"/>
  <c r="CW138" i="2" s="1"/>
  <c r="BI138" i="2"/>
  <c r="BG138" i="2"/>
  <c r="BE138" i="2"/>
  <c r="BB138" i="2"/>
  <c r="AZ138" i="2"/>
  <c r="CU138" i="2" s="1"/>
  <c r="AX138" i="2"/>
  <c r="AV138" i="2"/>
  <c r="AI138" i="2"/>
  <c r="CK138" i="2" s="1"/>
  <c r="AG138" i="2"/>
  <c r="CI138" i="2" s="1"/>
  <c r="AE138" i="2"/>
  <c r="CB138" i="2" s="1"/>
  <c r="AC138" i="2"/>
  <c r="BZ138" i="2" s="1"/>
  <c r="AA138" i="2"/>
  <c r="BS138" i="2" s="1"/>
  <c r="Y138" i="2"/>
  <c r="BQ138" i="2" s="1"/>
  <c r="W138" i="2"/>
  <c r="BJ138" i="2" s="1"/>
  <c r="U138" i="2"/>
  <c r="BH138" i="2" s="1"/>
  <c r="S138" i="2"/>
  <c r="BA138" i="2" s="1"/>
  <c r="Q138" i="2"/>
  <c r="AY138" i="2" s="1"/>
  <c r="N138" i="2"/>
  <c r="EL134" i="2"/>
  <c r="EM134" i="2"/>
  <c r="EP134" i="2"/>
  <c r="ER134" i="2"/>
  <c r="ES134" i="2"/>
  <c r="EK134" i="2"/>
  <c r="R134" i="2"/>
  <c r="T134" i="2"/>
  <c r="V134" i="2"/>
  <c r="X134" i="2"/>
  <c r="Z134" i="2"/>
  <c r="P134" i="2"/>
  <c r="P143" i="2" s="1"/>
  <c r="E134" i="2"/>
  <c r="E143" i="2" s="1"/>
  <c r="F133" i="2"/>
  <c r="FD133" i="2"/>
  <c r="T106" i="3" s="1"/>
  <c r="T35" i="4" s="1"/>
  <c r="FC133" i="2"/>
  <c r="U106" i="3" s="1"/>
  <c r="U35" i="4" s="1"/>
  <c r="FA133" i="2"/>
  <c r="FL133" i="2" s="1"/>
  <c r="EZ133" i="2"/>
  <c r="EX133" i="2"/>
  <c r="S106" i="3" s="1"/>
  <c r="S35" i="4" s="1"/>
  <c r="EW133" i="2"/>
  <c r="R106" i="3" s="1"/>
  <c r="R35" i="4" s="1"/>
  <c r="EV133" i="2"/>
  <c r="Q106" i="3" s="1"/>
  <c r="Q35" i="4" s="1"/>
  <c r="EY133" i="2"/>
  <c r="V106" i="3" s="1"/>
  <c r="EH133" i="2"/>
  <c r="EG133" i="2"/>
  <c r="EF133" i="2"/>
  <c r="EE133" i="2"/>
  <c r="ED133" i="2"/>
  <c r="EC133" i="2"/>
  <c r="EB133" i="2"/>
  <c r="EA133" i="2"/>
  <c r="DY133" i="2"/>
  <c r="DX133" i="2"/>
  <c r="DW133" i="2"/>
  <c r="DV133" i="2"/>
  <c r="DU133" i="2"/>
  <c r="DT133" i="2"/>
  <c r="DS133" i="2"/>
  <c r="DR133" i="2"/>
  <c r="DP133" i="2"/>
  <c r="DO133" i="2"/>
  <c r="DN133" i="2"/>
  <c r="DM133" i="2"/>
  <c r="DL133" i="2"/>
  <c r="DK133" i="2"/>
  <c r="DJ133" i="2"/>
  <c r="DI133" i="2"/>
  <c r="DG133" i="2"/>
  <c r="DF133" i="2"/>
  <c r="DE133" i="2"/>
  <c r="DD133" i="2"/>
  <c r="DC133" i="2"/>
  <c r="DB133" i="2"/>
  <c r="DA133" i="2"/>
  <c r="CZ133" i="2"/>
  <c r="CL133" i="2"/>
  <c r="CJ133" i="2"/>
  <c r="CH133" i="2"/>
  <c r="CF133" i="2"/>
  <c r="CC133" i="2"/>
  <c r="CA133" i="2"/>
  <c r="BY133" i="2"/>
  <c r="BW133" i="2"/>
  <c r="BT133" i="2"/>
  <c r="BR133" i="2"/>
  <c r="BP133" i="2"/>
  <c r="BN133" i="2"/>
  <c r="BK133" i="2"/>
  <c r="BI133" i="2"/>
  <c r="BE133" i="2"/>
  <c r="BB133" i="2"/>
  <c r="AZ133" i="2"/>
  <c r="AX133" i="2"/>
  <c r="AV133" i="2"/>
  <c r="AI133" i="2"/>
  <c r="CK133" i="2" s="1"/>
  <c r="AG133" i="2"/>
  <c r="CI133" i="2" s="1"/>
  <c r="AE133" i="2"/>
  <c r="CB133" i="2" s="1"/>
  <c r="AC133" i="2"/>
  <c r="BZ133" i="2" s="1"/>
  <c r="AA133" i="2"/>
  <c r="BS133" i="2" s="1"/>
  <c r="Y133" i="2"/>
  <c r="BQ133" i="2" s="1"/>
  <c r="W133" i="2"/>
  <c r="BJ133" i="2" s="1"/>
  <c r="U133" i="2"/>
  <c r="BH133" i="2" s="1"/>
  <c r="S133" i="2"/>
  <c r="BA133" i="2" s="1"/>
  <c r="Q133" i="2"/>
  <c r="AY133" i="2" s="1"/>
  <c r="N133" i="2"/>
  <c r="BF134" i="2" l="1"/>
  <c r="AW134" i="2"/>
  <c r="BO138" i="2"/>
  <c r="BO133" i="2"/>
  <c r="R76" i="6"/>
  <c r="R78" i="6" s="1"/>
  <c r="S76" i="6"/>
  <c r="S78" i="6" s="1"/>
  <c r="T76" i="6"/>
  <c r="T78" i="6" s="1"/>
  <c r="V35" i="4"/>
  <c r="G133" i="2"/>
  <c r="V33" i="7"/>
  <c r="M33" i="7"/>
  <c r="U33" i="7"/>
  <c r="T33" i="7"/>
  <c r="G138" i="2"/>
  <c r="BX138" i="2"/>
  <c r="CG138" i="2"/>
  <c r="DC138" i="2"/>
  <c r="K76" i="6" s="1"/>
  <c r="K78" i="6" s="1"/>
  <c r="DB138" i="2"/>
  <c r="J76" i="6" s="1"/>
  <c r="J78" i="6" s="1"/>
  <c r="W106" i="3"/>
  <c r="W35" i="4" s="1"/>
  <c r="CZ138" i="2"/>
  <c r="DF138" i="2"/>
  <c r="DE138" i="2"/>
  <c r="M76" i="6" s="1"/>
  <c r="M78" i="6" s="1"/>
  <c r="DD138" i="2"/>
  <c r="L76" i="6" s="1"/>
  <c r="L78" i="6" s="1"/>
  <c r="EI138" i="2"/>
  <c r="U76" i="6" s="1"/>
  <c r="U78" i="6" s="1"/>
  <c r="BL138" i="2"/>
  <c r="CQ138" i="2"/>
  <c r="CR138" i="2"/>
  <c r="CM138" i="2"/>
  <c r="DQ138" i="2"/>
  <c r="DZ138" i="2"/>
  <c r="CD138" i="2"/>
  <c r="CV138" i="2"/>
  <c r="BC138" i="2"/>
  <c r="CT138" i="2"/>
  <c r="BU138" i="2"/>
  <c r="CS138" i="2"/>
  <c r="BC133" i="2"/>
  <c r="BL133" i="2"/>
  <c r="CS133" i="2"/>
  <c r="J106" i="3" s="1"/>
  <c r="J35" i="4" s="1"/>
  <c r="CV133" i="2"/>
  <c r="M106" i="3" s="1"/>
  <c r="M35" i="4" s="1"/>
  <c r="DQ133" i="2"/>
  <c r="DZ133" i="2"/>
  <c r="CQ133" i="2"/>
  <c r="G106" i="3" s="1"/>
  <c r="H35" i="4" s="1"/>
  <c r="CW133" i="2"/>
  <c r="N106" i="3" s="1"/>
  <c r="N35" i="4" s="1"/>
  <c r="DH133" i="2"/>
  <c r="EI133" i="2"/>
  <c r="CM133" i="2"/>
  <c r="BU133" i="2"/>
  <c r="CD133" i="2"/>
  <c r="BX133" i="2"/>
  <c r="CT133" i="2"/>
  <c r="K106" i="3" s="1"/>
  <c r="K35" i="4" s="1"/>
  <c r="CG133" i="2"/>
  <c r="CU133" i="2"/>
  <c r="L106" i="3" s="1"/>
  <c r="L35" i="4" s="1"/>
  <c r="P33" i="7" l="1"/>
  <c r="R33" i="7"/>
  <c r="Q33" i="7"/>
  <c r="S33" i="7"/>
  <c r="G76" i="6"/>
  <c r="G78" i="6" s="1"/>
  <c r="BM133" i="2"/>
  <c r="BV138" i="2"/>
  <c r="J33" i="7"/>
  <c r="K33" i="7"/>
  <c r="L33" i="7"/>
  <c r="I33" i="7"/>
  <c r="BM138" i="2"/>
  <c r="CN138" i="2"/>
  <c r="DA138" i="2"/>
  <c r="H76" i="6" s="1"/>
  <c r="H78" i="6" s="1"/>
  <c r="CE138" i="2"/>
  <c r="BD138" i="2"/>
  <c r="P106" i="3"/>
  <c r="P35" i="4" s="1"/>
  <c r="CN133" i="2"/>
  <c r="D106" i="3"/>
  <c r="CX138" i="2"/>
  <c r="CY138" i="2" s="1"/>
  <c r="DG138" i="2"/>
  <c r="BV133" i="2"/>
  <c r="CE133" i="2"/>
  <c r="CX133" i="2"/>
  <c r="CR133" i="2"/>
  <c r="BD133" i="2"/>
  <c r="G33" i="7" l="1"/>
  <c r="D76" i="6"/>
  <c r="AB33" i="7" s="1"/>
  <c r="Q76" i="6"/>
  <c r="Q78" i="6" s="1"/>
  <c r="H33" i="7"/>
  <c r="DH138" i="2"/>
  <c r="I76" i="6"/>
  <c r="I78" i="6" s="1"/>
  <c r="X106" i="3"/>
  <c r="X35" i="4" s="1"/>
  <c r="CY133" i="2"/>
  <c r="H106" i="3"/>
  <c r="Y76" i="6" l="1"/>
  <c r="Y78" i="6" s="1"/>
  <c r="O33" i="7"/>
  <c r="P76" i="6"/>
  <c r="P78" i="6" s="1"/>
  <c r="I35" i="4"/>
  <c r="I106" i="3"/>
  <c r="O106" i="3" s="1"/>
  <c r="ET190" i="2"/>
  <c r="W33" i="7" l="1"/>
  <c r="N33" i="7"/>
  <c r="Z76" i="6"/>
  <c r="AB76" i="6" s="1"/>
  <c r="O35" i="4"/>
  <c r="Y106" i="3"/>
  <c r="AA106" i="3" s="1"/>
  <c r="AA35" i="4" l="1"/>
  <c r="AC35" i="4"/>
  <c r="AA78" i="6"/>
  <c r="AD78" i="6" s="1"/>
  <c r="Y33" i="7"/>
  <c r="AD76" i="6"/>
  <c r="AB78" i="6"/>
  <c r="Z78" i="6"/>
  <c r="X33" i="7"/>
  <c r="Y35" i="4"/>
  <c r="EK19" i="2"/>
  <c r="F19" i="2"/>
  <c r="Z35" i="4" l="1"/>
  <c r="Z33" i="7"/>
  <c r="G214" i="2"/>
  <c r="G211" i="2"/>
  <c r="G210" i="2"/>
  <c r="G160" i="2"/>
  <c r="G27" i="2"/>
  <c r="G25" i="2"/>
  <c r="G24" i="2"/>
  <c r="G22" i="2"/>
  <c r="G17" i="2"/>
  <c r="G10" i="2"/>
  <c r="G19" i="2" l="1"/>
  <c r="EV156" i="2" l="1"/>
  <c r="G225" i="2" l="1"/>
  <c r="G185" i="2"/>
  <c r="G170" i="2"/>
  <c r="G155" i="2"/>
  <c r="G148" i="2"/>
  <c r="G145" i="2"/>
  <c r="G131" i="2"/>
  <c r="G130" i="2"/>
  <c r="G128" i="2"/>
  <c r="G127" i="2"/>
  <c r="G119" i="2"/>
  <c r="G111" i="2"/>
  <c r="G110" i="2"/>
  <c r="G109" i="2"/>
  <c r="G102" i="2"/>
  <c r="G97" i="2"/>
  <c r="G93" i="2"/>
  <c r="G90" i="2"/>
  <c r="G88" i="2"/>
  <c r="G77" i="2"/>
  <c r="G78" i="2"/>
  <c r="G68" i="2"/>
  <c r="G71" i="2" s="1"/>
  <c r="G64" i="2"/>
  <c r="G62" i="2"/>
  <c r="G57" i="2"/>
  <c r="G49" i="2"/>
  <c r="G40" i="2"/>
  <c r="G39" i="2"/>
  <c r="G35" i="2"/>
  <c r="G31" i="2"/>
  <c r="Q13" i="3" l="1"/>
  <c r="ET145" i="2" l="1"/>
  <c r="FE156" i="2" l="1"/>
  <c r="W133" i="3" s="1"/>
  <c r="FD156" i="2"/>
  <c r="T133" i="3" s="1"/>
  <c r="FC156" i="2"/>
  <c r="U133" i="3" s="1"/>
  <c r="FB156" i="2"/>
  <c r="FA156" i="2"/>
  <c r="EZ156" i="2"/>
  <c r="EY156" i="2"/>
  <c r="V133" i="3" s="1"/>
  <c r="EX156" i="2"/>
  <c r="S133" i="3" s="1"/>
  <c r="EW156" i="2"/>
  <c r="R133" i="3" s="1"/>
  <c r="F156" i="2" l="1"/>
  <c r="AW156" i="2" s="1"/>
  <c r="AW161" i="2" l="1"/>
  <c r="G156" i="2"/>
  <c r="S136" i="2" l="1"/>
  <c r="ET77" i="2" l="1"/>
  <c r="EO216" i="2" l="1"/>
  <c r="E83" i="2" l="1"/>
  <c r="E91" i="2" s="1"/>
  <c r="G83" i="2" l="1"/>
  <c r="AV83" i="2"/>
  <c r="BE83" i="2"/>
  <c r="BN83" i="2"/>
  <c r="EK216" i="2" l="1"/>
  <c r="AB91" i="2" l="1"/>
  <c r="AD91" i="2"/>
  <c r="AF91" i="2"/>
  <c r="AH91" i="2"/>
  <c r="AJ91" i="2"/>
  <c r="AK91" i="2"/>
  <c r="AL91" i="2"/>
  <c r="AM91" i="2"/>
  <c r="AN91" i="2"/>
  <c r="AO91" i="2"/>
  <c r="AP91" i="2"/>
  <c r="AQ91" i="2"/>
  <c r="AR91" i="2"/>
  <c r="AS91" i="2"/>
  <c r="AT91" i="2"/>
  <c r="AU91" i="2"/>
  <c r="F91" i="2" l="1"/>
  <c r="G91" i="2"/>
  <c r="AV156" i="2" l="1"/>
  <c r="F59" i="2" l="1"/>
  <c r="N150" i="6" l="1"/>
  <c r="EM216" i="2"/>
  <c r="EP216" i="2"/>
  <c r="ER216" i="2"/>
  <c r="ES216" i="2"/>
  <c r="R216" i="2"/>
  <c r="T216" i="2"/>
  <c r="X216" i="2"/>
  <c r="Z216" i="2"/>
  <c r="P216" i="2"/>
  <c r="E216" i="2"/>
  <c r="ET128" i="2" l="1"/>
  <c r="CZ45" i="2" l="1"/>
  <c r="DA45" i="2"/>
  <c r="DB45" i="2"/>
  <c r="DC45" i="2"/>
  <c r="DD45" i="2"/>
  <c r="DE45" i="2"/>
  <c r="DF45" i="2"/>
  <c r="DG45" i="2"/>
  <c r="DI45" i="2"/>
  <c r="DJ45" i="2"/>
  <c r="DK45" i="2"/>
  <c r="DL45" i="2"/>
  <c r="DM45" i="2"/>
  <c r="DN45" i="2"/>
  <c r="DO45" i="2"/>
  <c r="DP45" i="2"/>
  <c r="AX45" i="2"/>
  <c r="AZ45" i="2"/>
  <c r="BB45" i="2"/>
  <c r="BE45" i="2"/>
  <c r="BG45" i="2"/>
  <c r="BI45" i="2"/>
  <c r="BK45" i="2"/>
  <c r="BN45" i="2"/>
  <c r="BP45" i="2"/>
  <c r="BR45" i="2"/>
  <c r="BT45" i="2"/>
  <c r="DH45" i="2" l="1"/>
  <c r="DQ45" i="2"/>
  <c r="E32" i="7" l="1"/>
  <c r="F34" i="4"/>
  <c r="F31" i="3" l="1"/>
  <c r="E31" i="3"/>
  <c r="G34" i="4" s="1"/>
  <c r="C31" i="3"/>
  <c r="FD45" i="2" l="1"/>
  <c r="T31" i="3" s="1"/>
  <c r="T34" i="4" s="1"/>
  <c r="N45" i="2"/>
  <c r="EK191" i="2" l="1"/>
  <c r="EK185" i="2"/>
  <c r="EK182" i="2"/>
  <c r="EK164" i="2"/>
  <c r="EK161" i="2"/>
  <c r="EK149" i="2"/>
  <c r="EK121" i="2"/>
  <c r="EK79" i="2"/>
  <c r="EK65" i="2"/>
  <c r="EK50" i="2"/>
  <c r="EK28" i="2"/>
  <c r="EK72" i="2" l="1"/>
  <c r="G45" i="2"/>
  <c r="FC45" i="2"/>
  <c r="U31" i="3" s="1"/>
  <c r="U34" i="4" s="1"/>
  <c r="FA45" i="2"/>
  <c r="FL45" i="2" s="1"/>
  <c r="EZ45" i="2"/>
  <c r="EY45" i="2"/>
  <c r="V31" i="3" s="1"/>
  <c r="EX45" i="2"/>
  <c r="S31" i="3" s="1"/>
  <c r="S34" i="4" s="1"/>
  <c r="EW45" i="2"/>
  <c r="R31" i="3" s="1"/>
  <c r="R34" i="4" s="1"/>
  <c r="EV45" i="2"/>
  <c r="Q31" i="3" s="1"/>
  <c r="Q34" i="4" s="1"/>
  <c r="FB45" i="2"/>
  <c r="EH45" i="2"/>
  <c r="EH50" i="2" s="1"/>
  <c r="EG45" i="2"/>
  <c r="EG50" i="2" s="1"/>
  <c r="EF45" i="2"/>
  <c r="EF50" i="2" s="1"/>
  <c r="EE45" i="2"/>
  <c r="EE50" i="2" s="1"/>
  <c r="ED45" i="2"/>
  <c r="ED50" i="2" s="1"/>
  <c r="EC45" i="2"/>
  <c r="EC50" i="2" s="1"/>
  <c r="EB45" i="2"/>
  <c r="EB50" i="2" s="1"/>
  <c r="EA45" i="2"/>
  <c r="EA50" i="2" s="1"/>
  <c r="DY45" i="2"/>
  <c r="DY50" i="2" s="1"/>
  <c r="DX45" i="2"/>
  <c r="DX50" i="2" s="1"/>
  <c r="DW45" i="2"/>
  <c r="DW50" i="2" s="1"/>
  <c r="DV45" i="2"/>
  <c r="DV50" i="2" s="1"/>
  <c r="DU45" i="2"/>
  <c r="DU50" i="2" s="1"/>
  <c r="DT45" i="2"/>
  <c r="DT50" i="2" s="1"/>
  <c r="DS45" i="2"/>
  <c r="DS50" i="2" s="1"/>
  <c r="DR45" i="2"/>
  <c r="DR50" i="2" s="1"/>
  <c r="CL45" i="2"/>
  <c r="CJ45" i="2"/>
  <c r="CH45" i="2"/>
  <c r="CG45" i="2"/>
  <c r="CF45" i="2"/>
  <c r="CC45" i="2"/>
  <c r="CA45" i="2"/>
  <c r="BY45" i="2"/>
  <c r="BX45" i="2"/>
  <c r="AI45" i="2"/>
  <c r="CK45" i="2" s="1"/>
  <c r="AG45" i="2"/>
  <c r="CI45" i="2" s="1"/>
  <c r="AE45" i="2"/>
  <c r="CB45" i="2" s="1"/>
  <c r="AC45" i="2"/>
  <c r="BZ45" i="2" s="1"/>
  <c r="AA45" i="2"/>
  <c r="BS45" i="2" s="1"/>
  <c r="Y45" i="2"/>
  <c r="BQ45" i="2" s="1"/>
  <c r="W45" i="2"/>
  <c r="BJ45" i="2" s="1"/>
  <c r="U45" i="2"/>
  <c r="BH45" i="2" s="1"/>
  <c r="S45" i="2"/>
  <c r="BA45" i="2" s="1"/>
  <c r="Q45" i="2"/>
  <c r="AY45" i="2" s="1"/>
  <c r="N170" i="2"/>
  <c r="FF226" i="2"/>
  <c r="FG226" i="2"/>
  <c r="FH226" i="2"/>
  <c r="FI226" i="2"/>
  <c r="FJ226" i="2"/>
  <c r="FK226" i="2"/>
  <c r="V34" i="4" l="1"/>
  <c r="BL45" i="2"/>
  <c r="CQ45" i="2"/>
  <c r="G31" i="3" s="1"/>
  <c r="CW45" i="2"/>
  <c r="N31" i="3" s="1"/>
  <c r="N34" i="4" s="1"/>
  <c r="BO45" i="2"/>
  <c r="CS45" i="2"/>
  <c r="J31" i="3" s="1"/>
  <c r="J34" i="4" s="1"/>
  <c r="CT45" i="2"/>
  <c r="K31" i="3" s="1"/>
  <c r="K34" i="4" s="1"/>
  <c r="BC45" i="2"/>
  <c r="BU45" i="2"/>
  <c r="CV45" i="2"/>
  <c r="M31" i="3" s="1"/>
  <c r="M34" i="4" s="1"/>
  <c r="CU45" i="2"/>
  <c r="L31" i="3" s="1"/>
  <c r="L34" i="4" s="1"/>
  <c r="EI45" i="2"/>
  <c r="EI50" i="2" s="1"/>
  <c r="DZ45" i="2"/>
  <c r="DZ50" i="2" s="1"/>
  <c r="CM45" i="2"/>
  <c r="CN45" i="2" s="1"/>
  <c r="CD45" i="2"/>
  <c r="CE45" i="2" s="1"/>
  <c r="FE45" i="2"/>
  <c r="W31" i="3" s="1"/>
  <c r="W34" i="4" s="1"/>
  <c r="EQ134" i="2"/>
  <c r="EL91" i="2"/>
  <c r="H34" i="4" l="1"/>
  <c r="EW88" i="2"/>
  <c r="BV45" i="2"/>
  <c r="BD45" i="2"/>
  <c r="CR45" i="2"/>
  <c r="H31" i="3" s="1"/>
  <c r="I34" i="4" s="1"/>
  <c r="BM45" i="2"/>
  <c r="CX45" i="2"/>
  <c r="P31" i="3"/>
  <c r="D31" i="3"/>
  <c r="FL77" i="2"/>
  <c r="FE77" i="2"/>
  <c r="FE79" i="2" s="1"/>
  <c r="EH77" i="2"/>
  <c r="EG77" i="2"/>
  <c r="EF77" i="2"/>
  <c r="EE77" i="2"/>
  <c r="ED77" i="2"/>
  <c r="EC77" i="2"/>
  <c r="EB77" i="2"/>
  <c r="EA77" i="2"/>
  <c r="DY77" i="2"/>
  <c r="DX77" i="2"/>
  <c r="DW77" i="2"/>
  <c r="DV77" i="2"/>
  <c r="DU77" i="2"/>
  <c r="DT77" i="2"/>
  <c r="DS77" i="2"/>
  <c r="DR77" i="2"/>
  <c r="DP77" i="2"/>
  <c r="DO77" i="2"/>
  <c r="DN77" i="2"/>
  <c r="DM77" i="2"/>
  <c r="DL77" i="2"/>
  <c r="DK77" i="2"/>
  <c r="DJ77" i="2"/>
  <c r="DI77" i="2"/>
  <c r="CL77" i="2"/>
  <c r="CJ77" i="2"/>
  <c r="CH77" i="2"/>
  <c r="CG77" i="2"/>
  <c r="CF77" i="2"/>
  <c r="BT77" i="2"/>
  <c r="BR77" i="2"/>
  <c r="BP77" i="2"/>
  <c r="BN77" i="2"/>
  <c r="BK77" i="2"/>
  <c r="BI77" i="2"/>
  <c r="BG77" i="2"/>
  <c r="BE77" i="2"/>
  <c r="BB77" i="2"/>
  <c r="DF77" i="2" s="1"/>
  <c r="AZ77" i="2"/>
  <c r="AX77" i="2"/>
  <c r="AV77" i="2"/>
  <c r="AI77" i="2"/>
  <c r="CK77" i="2" s="1"/>
  <c r="AG77" i="2"/>
  <c r="CI77" i="2" s="1"/>
  <c r="AE77" i="2"/>
  <c r="CB77" i="2" s="1"/>
  <c r="AC77" i="2"/>
  <c r="BZ77" i="2" s="1"/>
  <c r="AA77" i="2"/>
  <c r="BS77" i="2" s="1"/>
  <c r="Y77" i="2"/>
  <c r="BQ77" i="2" s="1"/>
  <c r="W77" i="2"/>
  <c r="BJ77" i="2" s="1"/>
  <c r="U77" i="2"/>
  <c r="BH77" i="2" s="1"/>
  <c r="S77" i="2"/>
  <c r="BA77" i="2" s="1"/>
  <c r="Q77" i="2"/>
  <c r="AY77" i="2" s="1"/>
  <c r="N77" i="2"/>
  <c r="R149" i="2"/>
  <c r="T149" i="2"/>
  <c r="V149" i="2"/>
  <c r="X149" i="2"/>
  <c r="Z149" i="2"/>
  <c r="P149" i="2"/>
  <c r="P161" i="2"/>
  <c r="E28" i="2"/>
  <c r="P19" i="2"/>
  <c r="E221" i="2"/>
  <c r="FL57" i="2"/>
  <c r="DP57" i="2"/>
  <c r="DO57" i="2"/>
  <c r="DN57" i="2"/>
  <c r="DM57" i="2"/>
  <c r="DL57" i="2"/>
  <c r="DK57" i="2"/>
  <c r="DJ57" i="2"/>
  <c r="DI57" i="2"/>
  <c r="CG57" i="2"/>
  <c r="BT57" i="2"/>
  <c r="BR57" i="2"/>
  <c r="BP57" i="2"/>
  <c r="BO57" i="2"/>
  <c r="BN57" i="2"/>
  <c r="BK57" i="2"/>
  <c r="BI57" i="2"/>
  <c r="BG57" i="2"/>
  <c r="BE57" i="2"/>
  <c r="BB57" i="2"/>
  <c r="DF57" i="2" s="1"/>
  <c r="AZ57" i="2"/>
  <c r="AX57" i="2"/>
  <c r="AI57" i="2"/>
  <c r="CK57" i="2" s="1"/>
  <c r="AG57" i="2"/>
  <c r="CI57" i="2" s="1"/>
  <c r="AE57" i="2"/>
  <c r="CB57" i="2" s="1"/>
  <c r="CB59" i="2" s="1"/>
  <c r="AC57" i="2"/>
  <c r="BZ57" i="2" s="1"/>
  <c r="AA57" i="2"/>
  <c r="BS57" i="2" s="1"/>
  <c r="Y57" i="2"/>
  <c r="BQ57" i="2" s="1"/>
  <c r="W57" i="2"/>
  <c r="BJ57" i="2" s="1"/>
  <c r="U57" i="2"/>
  <c r="BH57" i="2" s="1"/>
  <c r="S57" i="2"/>
  <c r="BA57" i="2" s="1"/>
  <c r="Q57" i="2"/>
  <c r="AY57" i="2" s="1"/>
  <c r="N57" i="2"/>
  <c r="P28" i="2"/>
  <c r="R19" i="2"/>
  <c r="T19" i="2"/>
  <c r="V19" i="2"/>
  <c r="X19" i="2"/>
  <c r="Z19" i="2"/>
  <c r="N17" i="2"/>
  <c r="BZ59" i="2" l="1"/>
  <c r="CD57" i="2"/>
  <c r="CD59" i="2" s="1"/>
  <c r="BC77" i="2"/>
  <c r="BD77" i="2" s="1"/>
  <c r="CD77" i="2"/>
  <c r="CE77" i="2" s="1"/>
  <c r="CY45" i="2"/>
  <c r="I31" i="3"/>
  <c r="O31" i="3" s="1"/>
  <c r="O34" i="4" s="1"/>
  <c r="X31" i="3"/>
  <c r="X34" i="4" s="1"/>
  <c r="P34" i="4"/>
  <c r="CV77" i="2"/>
  <c r="CS77" i="2"/>
  <c r="CT77" i="2"/>
  <c r="CU77" i="2"/>
  <c r="CQ77" i="2"/>
  <c r="CR77" i="2"/>
  <c r="CM77" i="2"/>
  <c r="CN77" i="2" s="1"/>
  <c r="CW77" i="2"/>
  <c r="BL77" i="2"/>
  <c r="BM77" i="2" s="1"/>
  <c r="DZ77" i="2"/>
  <c r="EI77" i="2"/>
  <c r="DB77" i="2"/>
  <c r="DA77" i="2"/>
  <c r="DD77" i="2"/>
  <c r="DQ77" i="2"/>
  <c r="DC77" i="2"/>
  <c r="DE77" i="2"/>
  <c r="BU77" i="2"/>
  <c r="BV77" i="2" s="1"/>
  <c r="CZ77" i="2"/>
  <c r="CT57" i="2"/>
  <c r="CU57" i="2"/>
  <c r="CV57" i="2"/>
  <c r="CS57" i="2"/>
  <c r="CW57" i="2"/>
  <c r="DB57" i="2"/>
  <c r="DD57" i="2"/>
  <c r="DE57" i="2"/>
  <c r="DQ57" i="2"/>
  <c r="BL57" i="2"/>
  <c r="BM57" i="2" s="1"/>
  <c r="DC57" i="2"/>
  <c r="BU57" i="2"/>
  <c r="BV57" i="2" s="1"/>
  <c r="AV57" i="2"/>
  <c r="DA57" i="2"/>
  <c r="CF57" i="2"/>
  <c r="CM57" i="2" s="1"/>
  <c r="AW59" i="2"/>
  <c r="CE57" i="2" l="1"/>
  <c r="CE59" i="2" s="1"/>
  <c r="Y31" i="3"/>
  <c r="AA31" i="3" s="1"/>
  <c r="CX77" i="2"/>
  <c r="CY77" i="2" s="1"/>
  <c r="DG77" i="2"/>
  <c r="DH77" i="2" s="1"/>
  <c r="CQ57" i="2"/>
  <c r="CR57" i="2"/>
  <c r="BC57" i="2"/>
  <c r="CZ57" i="2"/>
  <c r="AA34" i="4" l="1"/>
  <c r="Y34" i="4"/>
  <c r="DG57" i="2"/>
  <c r="DH57" i="2" s="1"/>
  <c r="CX57" i="2"/>
  <c r="CY57" i="2" s="1"/>
  <c r="BD57" i="2"/>
  <c r="Z34" i="4" l="1"/>
  <c r="AB31" i="3"/>
  <c r="AC34" i="4"/>
  <c r="AD31" i="3" l="1"/>
  <c r="AC31" i="3"/>
  <c r="EN28" i="2" l="1"/>
  <c r="EN149" i="2" l="1"/>
  <c r="F33" i="4" l="1"/>
  <c r="F133" i="3"/>
  <c r="E133" i="3"/>
  <c r="G33" i="4" s="1"/>
  <c r="C133" i="3"/>
  <c r="EM161" i="2"/>
  <c r="FL156" i="2"/>
  <c r="EH156" i="2"/>
  <c r="EG156" i="2"/>
  <c r="EF156" i="2"/>
  <c r="EE156" i="2"/>
  <c r="ED156" i="2"/>
  <c r="EC156" i="2"/>
  <c r="EB156" i="2"/>
  <c r="EA156" i="2"/>
  <c r="DY156" i="2"/>
  <c r="DX156" i="2"/>
  <c r="DW156" i="2"/>
  <c r="DV156" i="2"/>
  <c r="DU156" i="2"/>
  <c r="DT156" i="2"/>
  <c r="DS156" i="2"/>
  <c r="DR156" i="2"/>
  <c r="DP156" i="2"/>
  <c r="DO156" i="2"/>
  <c r="DN156" i="2"/>
  <c r="DM156" i="2"/>
  <c r="DL156" i="2"/>
  <c r="DK156" i="2"/>
  <c r="DJ156" i="2"/>
  <c r="DI156" i="2"/>
  <c r="CL156" i="2"/>
  <c r="CJ156" i="2"/>
  <c r="CH156" i="2"/>
  <c r="CF156" i="2"/>
  <c r="CC156" i="2"/>
  <c r="CA156" i="2"/>
  <c r="BY156" i="2"/>
  <c r="BW156" i="2"/>
  <c r="BT156" i="2"/>
  <c r="BR156" i="2"/>
  <c r="BP156" i="2"/>
  <c r="BN156" i="2"/>
  <c r="BK156" i="2"/>
  <c r="BI156" i="2"/>
  <c r="BG156" i="2"/>
  <c r="BE156" i="2"/>
  <c r="BB156" i="2"/>
  <c r="DF156" i="2" s="1"/>
  <c r="AZ156" i="2"/>
  <c r="DD156" i="2" s="1"/>
  <c r="AX156" i="2"/>
  <c r="DB156" i="2" s="1"/>
  <c r="CZ156" i="2"/>
  <c r="AI156" i="2"/>
  <c r="CK156" i="2" s="1"/>
  <c r="AG156" i="2"/>
  <c r="CI156" i="2" s="1"/>
  <c r="AE156" i="2"/>
  <c r="CB156" i="2" s="1"/>
  <c r="AC156" i="2"/>
  <c r="BZ156" i="2" s="1"/>
  <c r="AA156" i="2"/>
  <c r="BS156" i="2" s="1"/>
  <c r="Y156" i="2"/>
  <c r="BQ156" i="2" s="1"/>
  <c r="W156" i="2"/>
  <c r="BJ156" i="2" s="1"/>
  <c r="U156" i="2"/>
  <c r="BH156" i="2" s="1"/>
  <c r="S156" i="2"/>
  <c r="BA156" i="2" s="1"/>
  <c r="DE156" i="2" s="1"/>
  <c r="Q156" i="2"/>
  <c r="AY156" i="2" s="1"/>
  <c r="N156" i="2"/>
  <c r="CH59" i="2"/>
  <c r="CJ59" i="2"/>
  <c r="CL59" i="2"/>
  <c r="CN59" i="2"/>
  <c r="S33" i="4" l="1"/>
  <c r="V33" i="4"/>
  <c r="U33" i="4"/>
  <c r="Q133" i="3"/>
  <c r="W33" i="4"/>
  <c r="T33" i="4"/>
  <c r="R33" i="4"/>
  <c r="BX156" i="2"/>
  <c r="BO156" i="2"/>
  <c r="CG156" i="2"/>
  <c r="CS156" i="2"/>
  <c r="CT156" i="2"/>
  <c r="CV156" i="2"/>
  <c r="CW156" i="2"/>
  <c r="CQ156" i="2"/>
  <c r="G133" i="3" s="1"/>
  <c r="CU156" i="2"/>
  <c r="BL156" i="2"/>
  <c r="DC156" i="2"/>
  <c r="DA156" i="2"/>
  <c r="BU156" i="2"/>
  <c r="DQ156" i="2"/>
  <c r="DZ156" i="2"/>
  <c r="EI156" i="2"/>
  <c r="CD156" i="2"/>
  <c r="CM156" i="2"/>
  <c r="BC156" i="2"/>
  <c r="Q33" i="4" l="1"/>
  <c r="BM156" i="2"/>
  <c r="M133" i="3"/>
  <c r="M33" i="4" s="1"/>
  <c r="L133" i="3"/>
  <c r="L33" i="4" s="1"/>
  <c r="K133" i="3"/>
  <c r="CE156" i="2"/>
  <c r="N133" i="3"/>
  <c r="N33" i="4" s="1"/>
  <c r="J133" i="3"/>
  <c r="J33" i="4" s="1"/>
  <c r="H33" i="4"/>
  <c r="BV156" i="2"/>
  <c r="CN156" i="2"/>
  <c r="CR156" i="2"/>
  <c r="H133" i="3" s="1"/>
  <c r="I133" i="3" s="1"/>
  <c r="CX156" i="2"/>
  <c r="DG156" i="2"/>
  <c r="DH156" i="2" s="1"/>
  <c r="BD156" i="2"/>
  <c r="P133" i="3" l="1"/>
  <c r="X133" i="3" s="1"/>
  <c r="K33" i="4"/>
  <c r="D133" i="3"/>
  <c r="O133" i="3"/>
  <c r="I33" i="4"/>
  <c r="CY156" i="2"/>
  <c r="O33" i="4" l="1"/>
  <c r="Y133" i="3"/>
  <c r="AA133" i="3" s="1"/>
  <c r="X33" i="4"/>
  <c r="P33" i="4"/>
  <c r="AA33" i="4" l="1"/>
  <c r="Y33" i="4"/>
  <c r="AC45" i="6" l="1"/>
  <c r="AD45" i="6" s="1"/>
  <c r="AC33" i="4"/>
  <c r="Z33" i="4"/>
  <c r="EL42" i="2"/>
  <c r="AD133" i="3" l="1"/>
  <c r="F188" i="2"/>
  <c r="BF188" i="2" s="1"/>
  <c r="E59" i="2"/>
  <c r="AW188" i="2" l="1"/>
  <c r="G188" i="2"/>
  <c r="EQ171" i="2" l="1"/>
  <c r="AB42" i="2" l="1"/>
  <c r="AD42" i="2"/>
  <c r="AF42" i="2"/>
  <c r="AH42" i="2"/>
  <c r="AJ42" i="2"/>
  <c r="AK42" i="2"/>
  <c r="AL42" i="2"/>
  <c r="AM42" i="2"/>
  <c r="AN42" i="2"/>
  <c r="AO42" i="2"/>
  <c r="AP42" i="2"/>
  <c r="AQ42" i="2"/>
  <c r="AR42" i="2"/>
  <c r="AS42" i="2"/>
  <c r="O59" i="6" l="1"/>
  <c r="E30" i="7" l="1"/>
  <c r="E31" i="7"/>
  <c r="E29" i="7"/>
  <c r="F31" i="4"/>
  <c r="F32" i="4"/>
  <c r="O145" i="6"/>
  <c r="O146" i="6"/>
  <c r="O147" i="6"/>
  <c r="O148" i="6"/>
  <c r="M31" i="7" s="1"/>
  <c r="O149" i="6"/>
  <c r="M32" i="7" s="1"/>
  <c r="O143" i="6"/>
  <c r="E145" i="6" l="1"/>
  <c r="E146" i="6"/>
  <c r="E147" i="6"/>
  <c r="E148" i="6"/>
  <c r="F31" i="7" s="1"/>
  <c r="E149" i="6"/>
  <c r="F32" i="7" s="1"/>
  <c r="C145" i="6"/>
  <c r="C146" i="6"/>
  <c r="C147" i="6"/>
  <c r="C148" i="6"/>
  <c r="C149" i="6"/>
  <c r="C143" i="6"/>
  <c r="E149" i="2"/>
  <c r="P121" i="2"/>
  <c r="E121" i="2"/>
  <c r="CQ215" i="2"/>
  <c r="CP120" i="2"/>
  <c r="CP97" i="2"/>
  <c r="E122" i="2" l="1"/>
  <c r="CP111" i="2"/>
  <c r="F96" i="3" l="1"/>
  <c r="E96" i="3"/>
  <c r="G32" i="4" s="1"/>
  <c r="C96" i="3"/>
  <c r="F149" i="6"/>
  <c r="F148" i="6"/>
  <c r="F59" i="6"/>
  <c r="F30" i="7"/>
  <c r="C59" i="6"/>
  <c r="F29" i="7"/>
  <c r="C79" i="3"/>
  <c r="E79" i="3"/>
  <c r="G31" i="4" s="1"/>
  <c r="F79" i="3"/>
  <c r="AB59" i="2" l="1"/>
  <c r="AD59" i="2"/>
  <c r="AF59" i="2"/>
  <c r="AH59" i="2"/>
  <c r="AJ59" i="2"/>
  <c r="AK59" i="2"/>
  <c r="AL59" i="2"/>
  <c r="AM59" i="2"/>
  <c r="AN59" i="2"/>
  <c r="AO59" i="2"/>
  <c r="AP59" i="2"/>
  <c r="AQ59" i="2"/>
  <c r="AR59" i="2"/>
  <c r="AS59" i="2"/>
  <c r="BE59" i="2"/>
  <c r="S59" i="2"/>
  <c r="AV59" i="2" l="1"/>
  <c r="F30" i="4" l="1"/>
  <c r="E15" i="7" l="1"/>
  <c r="N73" i="6"/>
  <c r="AC41" i="6" l="1"/>
  <c r="AD41" i="6" s="1"/>
  <c r="F12" i="4" l="1"/>
  <c r="C72" i="6" l="1"/>
  <c r="E26" i="7" s="1"/>
  <c r="EP143" i="2" l="1"/>
  <c r="FK136" i="2"/>
  <c r="FK142" i="2" l="1"/>
  <c r="F134" i="2"/>
  <c r="G134" i="2"/>
  <c r="EL191" i="2" l="1"/>
  <c r="EM191" i="2"/>
  <c r="EN191" i="2"/>
  <c r="EO191" i="2"/>
  <c r="EP191" i="2"/>
  <c r="EQ191" i="2"/>
  <c r="ER191" i="2"/>
  <c r="ES191" i="2"/>
  <c r="R191" i="2"/>
  <c r="T191" i="2"/>
  <c r="V191" i="2"/>
  <c r="X191" i="2"/>
  <c r="Z191" i="2"/>
  <c r="P191" i="2"/>
  <c r="E191" i="2"/>
  <c r="BE112" i="2" l="1"/>
  <c r="N136" i="6" l="1"/>
  <c r="E135" i="6"/>
  <c r="F28" i="7" s="1"/>
  <c r="F135" i="6"/>
  <c r="O135" i="6"/>
  <c r="M28" i="7" s="1"/>
  <c r="C135" i="6"/>
  <c r="E28" i="7" s="1"/>
  <c r="C68" i="3"/>
  <c r="C75" i="3"/>
  <c r="C76" i="3"/>
  <c r="C77" i="3"/>
  <c r="C78" i="3"/>
  <c r="FK97" i="2" l="1"/>
  <c r="U59" i="6"/>
  <c r="V59" i="6"/>
  <c r="W59" i="6"/>
  <c r="T59" i="6"/>
  <c r="S59" i="6"/>
  <c r="R59" i="6"/>
  <c r="X59" i="6"/>
  <c r="BT97" i="2"/>
  <c r="BR97" i="2"/>
  <c r="BP97" i="2"/>
  <c r="BO97" i="2"/>
  <c r="BN97" i="2"/>
  <c r="BK97" i="2"/>
  <c r="BI97" i="2"/>
  <c r="BG97" i="2"/>
  <c r="BE97" i="2"/>
  <c r="BB97" i="2"/>
  <c r="AZ97" i="2"/>
  <c r="AX97" i="2"/>
  <c r="AV97" i="2"/>
  <c r="AA97" i="2"/>
  <c r="BS97" i="2" s="1"/>
  <c r="Y97" i="2"/>
  <c r="BQ97" i="2" s="1"/>
  <c r="W97" i="2"/>
  <c r="BJ97" i="2" s="1"/>
  <c r="U97" i="2"/>
  <c r="BH97" i="2" s="1"/>
  <c r="S97" i="2"/>
  <c r="BA97" i="2" s="1"/>
  <c r="Q97" i="2"/>
  <c r="AY97" i="2" s="1"/>
  <c r="F190" i="2"/>
  <c r="BF190" i="2" s="1"/>
  <c r="FD190" i="2"/>
  <c r="FC190" i="2"/>
  <c r="FB190" i="2"/>
  <c r="FA190" i="2"/>
  <c r="FL190" i="2" s="1"/>
  <c r="EZ190" i="2"/>
  <c r="EY190" i="2"/>
  <c r="EX190" i="2"/>
  <c r="T135" i="6" s="1"/>
  <c r="R28" i="7" s="1"/>
  <c r="EW190" i="2"/>
  <c r="S135" i="6" s="1"/>
  <c r="Q28" i="7" s="1"/>
  <c r="EV190" i="2"/>
  <c r="R135" i="6" s="1"/>
  <c r="P28" i="7" s="1"/>
  <c r="FE190" i="2"/>
  <c r="X135" i="6" s="1"/>
  <c r="V28" i="7" s="1"/>
  <c r="EH190" i="2"/>
  <c r="EG190" i="2"/>
  <c r="EF190" i="2"/>
  <c r="EE190" i="2"/>
  <c r="ED190" i="2"/>
  <c r="EC190" i="2"/>
  <c r="EB190" i="2"/>
  <c r="EA190" i="2"/>
  <c r="DY190" i="2"/>
  <c r="DX190" i="2"/>
  <c r="DW190" i="2"/>
  <c r="DV190" i="2"/>
  <c r="DU190" i="2"/>
  <c r="DT190" i="2"/>
  <c r="DS190" i="2"/>
  <c r="DR190" i="2"/>
  <c r="DP190" i="2"/>
  <c r="DO190" i="2"/>
  <c r="DN190" i="2"/>
  <c r="DM190" i="2"/>
  <c r="DL190" i="2"/>
  <c r="DK190" i="2"/>
  <c r="DJ190" i="2"/>
  <c r="DI190" i="2"/>
  <c r="CX190" i="2"/>
  <c r="CW190" i="2"/>
  <c r="CV190" i="2"/>
  <c r="CU190" i="2"/>
  <c r="CT190" i="2"/>
  <c r="CS190" i="2"/>
  <c r="CR190" i="2"/>
  <c r="CQ190" i="2"/>
  <c r="CL190" i="2"/>
  <c r="CJ190" i="2"/>
  <c r="CH190" i="2"/>
  <c r="CF190" i="2"/>
  <c r="CC190" i="2"/>
  <c r="CA190" i="2"/>
  <c r="BY190" i="2"/>
  <c r="BW190" i="2"/>
  <c r="BT190" i="2"/>
  <c r="BR190" i="2"/>
  <c r="BP190" i="2"/>
  <c r="BN190" i="2"/>
  <c r="BK190" i="2"/>
  <c r="BI190" i="2"/>
  <c r="BG190" i="2"/>
  <c r="BE190" i="2"/>
  <c r="BB190" i="2"/>
  <c r="AZ190" i="2"/>
  <c r="AX190" i="2"/>
  <c r="AV190" i="2"/>
  <c r="AI190" i="2"/>
  <c r="CK190" i="2" s="1"/>
  <c r="AG190" i="2"/>
  <c r="CI190" i="2" s="1"/>
  <c r="AE190" i="2"/>
  <c r="CB190" i="2" s="1"/>
  <c r="AC190" i="2"/>
  <c r="BZ190" i="2" s="1"/>
  <c r="AA190" i="2"/>
  <c r="BS190" i="2" s="1"/>
  <c r="Y190" i="2"/>
  <c r="BQ190" i="2" s="1"/>
  <c r="W190" i="2"/>
  <c r="BJ190" i="2" s="1"/>
  <c r="U190" i="2"/>
  <c r="BH190" i="2" s="1"/>
  <c r="S190" i="2"/>
  <c r="BA190" i="2" s="1"/>
  <c r="Q190" i="2"/>
  <c r="AY190" i="2" s="1"/>
  <c r="N190" i="2"/>
  <c r="N188" i="2"/>
  <c r="Q188" i="2"/>
  <c r="S188" i="2"/>
  <c r="U188" i="2"/>
  <c r="W188" i="2"/>
  <c r="Y188" i="2"/>
  <c r="AA188" i="2"/>
  <c r="AC188" i="2"/>
  <c r="BZ188" i="2" s="1"/>
  <c r="AE188" i="2"/>
  <c r="CB188" i="2" s="1"/>
  <c r="AG188" i="2"/>
  <c r="CI188" i="2" s="1"/>
  <c r="AI188" i="2"/>
  <c r="CK188" i="2" s="1"/>
  <c r="AV188" i="2"/>
  <c r="AX188" i="2"/>
  <c r="AZ188" i="2"/>
  <c r="BB188" i="2"/>
  <c r="BE188" i="2"/>
  <c r="BG188" i="2"/>
  <c r="BI188" i="2"/>
  <c r="BK188" i="2"/>
  <c r="BN188" i="2"/>
  <c r="BO188" i="2"/>
  <c r="BP188" i="2"/>
  <c r="BR188" i="2"/>
  <c r="BT188" i="2"/>
  <c r="BW188" i="2"/>
  <c r="BX188" i="2"/>
  <c r="BY188" i="2"/>
  <c r="CA188" i="2"/>
  <c r="CC188" i="2"/>
  <c r="CF188" i="2"/>
  <c r="CG188" i="2"/>
  <c r="CH188" i="2"/>
  <c r="CJ188" i="2"/>
  <c r="CL188" i="2"/>
  <c r="CQ188" i="2"/>
  <c r="CR188" i="2"/>
  <c r="CS188" i="2"/>
  <c r="CT188" i="2"/>
  <c r="CU188" i="2"/>
  <c r="CV188" i="2"/>
  <c r="CW188" i="2"/>
  <c r="CX188" i="2"/>
  <c r="DI188" i="2"/>
  <c r="DJ188" i="2"/>
  <c r="DK188" i="2"/>
  <c r="DL188" i="2"/>
  <c r="DM188" i="2"/>
  <c r="DN188" i="2"/>
  <c r="DO188" i="2"/>
  <c r="DP188" i="2"/>
  <c r="DR188" i="2"/>
  <c r="DS188" i="2"/>
  <c r="DT188" i="2"/>
  <c r="DU188" i="2"/>
  <c r="DV188" i="2"/>
  <c r="DW188" i="2"/>
  <c r="DX188" i="2"/>
  <c r="DY188" i="2"/>
  <c r="EA188" i="2"/>
  <c r="EB188" i="2"/>
  <c r="EC188" i="2"/>
  <c r="ED188" i="2"/>
  <c r="EE188" i="2"/>
  <c r="EF188" i="2"/>
  <c r="EG188" i="2"/>
  <c r="EH188" i="2"/>
  <c r="EX188" i="2"/>
  <c r="EV188" i="2"/>
  <c r="EW188" i="2"/>
  <c r="EY188" i="2"/>
  <c r="EZ188" i="2"/>
  <c r="FA188" i="2"/>
  <c r="FB188" i="2"/>
  <c r="FC188" i="2"/>
  <c r="FD188" i="2"/>
  <c r="AW190" i="2" l="1"/>
  <c r="AW191" i="2" s="1"/>
  <c r="AZ191" i="2"/>
  <c r="W135" i="6"/>
  <c r="U28" i="7" s="1"/>
  <c r="V135" i="6"/>
  <c r="T28" i="7" s="1"/>
  <c r="BF191" i="2"/>
  <c r="G190" i="2"/>
  <c r="G191" i="2" s="1"/>
  <c r="DD97" i="2"/>
  <c r="L59" i="6" s="1"/>
  <c r="CZ97" i="2"/>
  <c r="DA97" i="2"/>
  <c r="H59" i="6" s="1"/>
  <c r="DC97" i="2"/>
  <c r="K59" i="6" s="1"/>
  <c r="DB97" i="2"/>
  <c r="J59" i="6" s="1"/>
  <c r="DE97" i="2"/>
  <c r="M59" i="6" s="1"/>
  <c r="DF97" i="2"/>
  <c r="P30" i="7"/>
  <c r="Q30" i="7"/>
  <c r="U30" i="7"/>
  <c r="T30" i="7"/>
  <c r="S30" i="7"/>
  <c r="R30" i="7"/>
  <c r="BE191" i="2"/>
  <c r="FB191" i="2"/>
  <c r="FD191" i="2"/>
  <c r="EZ191" i="2"/>
  <c r="BT191" i="2"/>
  <c r="FC191" i="2"/>
  <c r="EY191" i="2"/>
  <c r="CW191" i="2"/>
  <c r="CS191" i="2"/>
  <c r="BP191" i="2"/>
  <c r="CU191" i="2"/>
  <c r="EV191" i="2"/>
  <c r="BG191" i="2"/>
  <c r="CQ191" i="2"/>
  <c r="BN191" i="2"/>
  <c r="CX191" i="2"/>
  <c r="CT191" i="2"/>
  <c r="BB191" i="2"/>
  <c r="AV191" i="2"/>
  <c r="FE188" i="2"/>
  <c r="FE191" i="2" s="1"/>
  <c r="ET191" i="2"/>
  <c r="CV191" i="2"/>
  <c r="CR191" i="2"/>
  <c r="AX191" i="2"/>
  <c r="BQ188" i="2"/>
  <c r="BQ191" i="2" s="1"/>
  <c r="Y191" i="2"/>
  <c r="AY188" i="2"/>
  <c r="AY191" i="2" s="1"/>
  <c r="Q191" i="2"/>
  <c r="CG190" i="2"/>
  <c r="F191" i="2"/>
  <c r="EX191" i="2"/>
  <c r="BR191" i="2"/>
  <c r="BK191" i="2"/>
  <c r="BJ188" i="2"/>
  <c r="BJ191" i="2" s="1"/>
  <c r="W191" i="2"/>
  <c r="FL188" i="2"/>
  <c r="FA191" i="2"/>
  <c r="BS188" i="2"/>
  <c r="BS191" i="2" s="1"/>
  <c r="AA191" i="2"/>
  <c r="BA188" i="2"/>
  <c r="BA191" i="2" s="1"/>
  <c r="S191" i="2"/>
  <c r="EW191" i="2"/>
  <c r="BI191" i="2"/>
  <c r="BH188" i="2"/>
  <c r="BH191" i="2" s="1"/>
  <c r="U191" i="2"/>
  <c r="BU97" i="2"/>
  <c r="CS97" i="2"/>
  <c r="CU97" i="2"/>
  <c r="CZ188" i="2"/>
  <c r="CM190" i="2"/>
  <c r="DB190" i="2"/>
  <c r="J135" i="6" s="1"/>
  <c r="I28" i="7" s="1"/>
  <c r="DD188" i="2"/>
  <c r="CW97" i="2"/>
  <c r="CQ97" i="2"/>
  <c r="CR97" i="2"/>
  <c r="CT97" i="2"/>
  <c r="BL97" i="2"/>
  <c r="CV97" i="2"/>
  <c r="BC97" i="2"/>
  <c r="DD190" i="2"/>
  <c r="L135" i="6" s="1"/>
  <c r="K28" i="7" s="1"/>
  <c r="DF188" i="2"/>
  <c r="BO190" i="2"/>
  <c r="BO191" i="2" s="1"/>
  <c r="DF190" i="2"/>
  <c r="BX190" i="2"/>
  <c r="DA188" i="2"/>
  <c r="CY190" i="2"/>
  <c r="DZ190" i="2"/>
  <c r="EI190" i="2"/>
  <c r="U135" i="6" s="1"/>
  <c r="S28" i="7" s="1"/>
  <c r="BL190" i="2"/>
  <c r="DQ190" i="2"/>
  <c r="DC190" i="2"/>
  <c r="K135" i="6" s="1"/>
  <c r="J28" i="7" s="1"/>
  <c r="BC190" i="2"/>
  <c r="DE190" i="2"/>
  <c r="M135" i="6" s="1"/>
  <c r="L28" i="7" s="1"/>
  <c r="BU190" i="2"/>
  <c r="CD190" i="2"/>
  <c r="CZ190" i="2"/>
  <c r="G135" i="6" s="1"/>
  <c r="DQ188" i="2"/>
  <c r="CY188" i="2"/>
  <c r="CD188" i="2"/>
  <c r="CE188" i="2" s="1"/>
  <c r="CM188" i="2"/>
  <c r="CN188" i="2" s="1"/>
  <c r="DZ188" i="2"/>
  <c r="EI188" i="2"/>
  <c r="DB188" i="2"/>
  <c r="BM97" i="2" l="1"/>
  <c r="BV97" i="2"/>
  <c r="BM190" i="2"/>
  <c r="G59" i="6"/>
  <c r="D59" i="6" s="1"/>
  <c r="DG97" i="2"/>
  <c r="DH97" i="2" s="1"/>
  <c r="L30" i="7"/>
  <c r="J30" i="7"/>
  <c r="K30" i="7"/>
  <c r="I30" i="7"/>
  <c r="BU188" i="2"/>
  <c r="BU191" i="2" s="1"/>
  <c r="DB191" i="2"/>
  <c r="CN190" i="2"/>
  <c r="DC188" i="2"/>
  <c r="DC191" i="2" s="1"/>
  <c r="DE188" i="2"/>
  <c r="DE191" i="2" s="1"/>
  <c r="BL188" i="2"/>
  <c r="BM188" i="2" s="1"/>
  <c r="BC188" i="2"/>
  <c r="BC191" i="2" s="1"/>
  <c r="BD190" i="2"/>
  <c r="CY191" i="2"/>
  <c r="DF191" i="2"/>
  <c r="CZ191" i="2"/>
  <c r="DD191" i="2"/>
  <c r="G28" i="7"/>
  <c r="D135" i="6"/>
  <c r="AB28" i="7" s="1"/>
  <c r="Q135" i="6"/>
  <c r="BV190" i="2"/>
  <c r="CE190" i="2"/>
  <c r="DA190" i="2"/>
  <c r="H135" i="6" s="1"/>
  <c r="H28" i="7" s="1"/>
  <c r="CX97" i="2"/>
  <c r="CY97" i="2" s="1"/>
  <c r="BD97" i="2"/>
  <c r="DG190" i="2"/>
  <c r="BM191" i="2" l="1"/>
  <c r="BV188" i="2"/>
  <c r="BV191" i="2" s="1"/>
  <c r="Q59" i="6"/>
  <c r="I59" i="6"/>
  <c r="P59" i="6" s="1"/>
  <c r="G30" i="7"/>
  <c r="H30" i="7"/>
  <c r="AB30" i="7"/>
  <c r="M30" i="7"/>
  <c r="BL191" i="2"/>
  <c r="DG188" i="2"/>
  <c r="DH188" i="2" s="1"/>
  <c r="BD188" i="2"/>
  <c r="BD191" i="2" s="1"/>
  <c r="DA191" i="2"/>
  <c r="O28" i="7"/>
  <c r="Y135" i="6"/>
  <c r="W28" i="7" s="1"/>
  <c r="I135" i="6"/>
  <c r="P135" i="6" s="1"/>
  <c r="DH190" i="2"/>
  <c r="Y59" i="6" l="1"/>
  <c r="Z59" i="6" s="1"/>
  <c r="AB59" i="6" s="1"/>
  <c r="O30" i="7"/>
  <c r="V30" i="7"/>
  <c r="N30" i="7"/>
  <c r="DG191" i="2"/>
  <c r="DH191" i="2"/>
  <c r="N28" i="7"/>
  <c r="Z135" i="6"/>
  <c r="AB135" i="6" s="1"/>
  <c r="AD135" i="6" l="1"/>
  <c r="Y28" i="7"/>
  <c r="AD59" i="6"/>
  <c r="Y30" i="7"/>
  <c r="X30" i="7"/>
  <c r="W30" i="7"/>
  <c r="X28" i="7"/>
  <c r="Z30" i="7" l="1"/>
  <c r="Z28" i="7"/>
  <c r="A31" i="2" l="1"/>
  <c r="A32" i="2" l="1"/>
  <c r="A34" i="2" s="1"/>
  <c r="A35" i="2" s="1"/>
  <c r="A36" i="2" s="1"/>
  <c r="A37" i="2" s="1"/>
  <c r="A38" i="2" s="1"/>
  <c r="A39" i="2" s="1"/>
  <c r="A40" i="2" s="1"/>
  <c r="A41" i="2" s="1"/>
  <c r="BE148" i="2"/>
  <c r="AV148" i="2"/>
  <c r="F20" i="4" l="1"/>
  <c r="EY148" i="2" l="1"/>
  <c r="FK110" i="2" l="1"/>
  <c r="FK109" i="2"/>
  <c r="FK102" i="2"/>
  <c r="FK120" i="2"/>
  <c r="FK212" i="2"/>
  <c r="FK213" i="2"/>
  <c r="FK99" i="2" l="1"/>
  <c r="FK116" i="2"/>
  <c r="S211" i="2"/>
  <c r="Z154" i="6" l="1"/>
  <c r="N65" i="6" l="1"/>
  <c r="E72" i="6"/>
  <c r="F26" i="7" s="1"/>
  <c r="F72" i="6"/>
  <c r="O72" i="6"/>
  <c r="M26" i="7" s="1"/>
  <c r="N24" i="2" l="1"/>
  <c r="N22" i="2"/>
  <c r="S214" i="2" l="1"/>
  <c r="F11" i="7" l="1"/>
  <c r="F146" i="6"/>
  <c r="M11" i="7"/>
  <c r="F12" i="7"/>
  <c r="F147" i="6"/>
  <c r="M12" i="7"/>
  <c r="E10" i="7"/>
  <c r="E11" i="7"/>
  <c r="E12" i="7"/>
  <c r="FD120" i="2" l="1"/>
  <c r="T96" i="3" s="1"/>
  <c r="T97" i="3" s="1"/>
  <c r="FD212" i="2"/>
  <c r="FD213" i="2"/>
  <c r="FD211" i="2"/>
  <c r="EV120" i="2"/>
  <c r="Q96" i="3" s="1"/>
  <c r="Q97" i="3" s="1"/>
  <c r="EW120" i="2"/>
  <c r="R96" i="3" s="1"/>
  <c r="R97" i="3" s="1"/>
  <c r="EX120" i="2"/>
  <c r="S96" i="3" s="1"/>
  <c r="S97" i="3" s="1"/>
  <c r="EY120" i="2"/>
  <c r="EZ120" i="2"/>
  <c r="FA120" i="2"/>
  <c r="FB120" i="2"/>
  <c r="FC120" i="2"/>
  <c r="U96" i="3" s="1"/>
  <c r="U97" i="3" s="1"/>
  <c r="EV212" i="2"/>
  <c r="EW212" i="2"/>
  <c r="EX212" i="2"/>
  <c r="EY212" i="2"/>
  <c r="W146" i="6" s="1"/>
  <c r="EZ212" i="2"/>
  <c r="FA212" i="2"/>
  <c r="FL212" i="2" s="1"/>
  <c r="FB212" i="2"/>
  <c r="FC212" i="2"/>
  <c r="EV213" i="2"/>
  <c r="EW213" i="2"/>
  <c r="EX213" i="2"/>
  <c r="EY213" i="2"/>
  <c r="W147" i="6" s="1"/>
  <c r="EZ213" i="2"/>
  <c r="FA213" i="2"/>
  <c r="FL213" i="2" s="1"/>
  <c r="FB213" i="2"/>
  <c r="FC213" i="2"/>
  <c r="FE120" i="2"/>
  <c r="W96" i="3" s="1"/>
  <c r="W97" i="3" s="1"/>
  <c r="FE212" i="2"/>
  <c r="FE213" i="2"/>
  <c r="CQ212" i="2"/>
  <c r="CR212" i="2"/>
  <c r="CS212" i="2"/>
  <c r="CT212" i="2"/>
  <c r="CU212" i="2"/>
  <c r="CV212" i="2"/>
  <c r="CW212" i="2"/>
  <c r="CX212" i="2"/>
  <c r="CQ213" i="2"/>
  <c r="CR213" i="2"/>
  <c r="CS213" i="2"/>
  <c r="CT213" i="2"/>
  <c r="CU213" i="2"/>
  <c r="CV213" i="2"/>
  <c r="CW213" i="2"/>
  <c r="CX213" i="2"/>
  <c r="AX120" i="2"/>
  <c r="AZ120" i="2"/>
  <c r="BB120" i="2"/>
  <c r="BE120" i="2"/>
  <c r="BG120" i="2"/>
  <c r="BI120" i="2"/>
  <c r="BK120" i="2"/>
  <c r="BN120" i="2"/>
  <c r="BP120" i="2"/>
  <c r="BR120" i="2"/>
  <c r="BT120" i="2"/>
  <c r="AV212" i="2"/>
  <c r="AX212" i="2"/>
  <c r="AZ212" i="2"/>
  <c r="BB212" i="2"/>
  <c r="BG212" i="2"/>
  <c r="BI212" i="2"/>
  <c r="BK212" i="2"/>
  <c r="BN212" i="2"/>
  <c r="BP212" i="2"/>
  <c r="BR212" i="2"/>
  <c r="BT212" i="2"/>
  <c r="AV213" i="2"/>
  <c r="AX213" i="2"/>
  <c r="AZ213" i="2"/>
  <c r="BB213" i="2"/>
  <c r="BE213" i="2"/>
  <c r="BG213" i="2"/>
  <c r="BI213" i="2"/>
  <c r="BK213" i="2"/>
  <c r="BN213" i="2"/>
  <c r="BP213" i="2"/>
  <c r="BR213" i="2"/>
  <c r="BT213" i="2"/>
  <c r="Q120" i="2"/>
  <c r="AY120" i="2" s="1"/>
  <c r="S120" i="2"/>
  <c r="BA120" i="2" s="1"/>
  <c r="U120" i="2"/>
  <c r="BH120" i="2" s="1"/>
  <c r="W120" i="2"/>
  <c r="BJ120" i="2" s="1"/>
  <c r="Y120" i="2"/>
  <c r="BQ120" i="2" s="1"/>
  <c r="AA120" i="2"/>
  <c r="BS120" i="2" s="1"/>
  <c r="Q212" i="2"/>
  <c r="AY212" i="2" s="1"/>
  <c r="S212" i="2"/>
  <c r="BA212" i="2" s="1"/>
  <c r="U212" i="2"/>
  <c r="BH212" i="2" s="1"/>
  <c r="W212" i="2"/>
  <c r="BJ212" i="2" s="1"/>
  <c r="Y212" i="2"/>
  <c r="BQ212" i="2" s="1"/>
  <c r="AA212" i="2"/>
  <c r="BS212" i="2" s="1"/>
  <c r="Q213" i="2"/>
  <c r="AY213" i="2" s="1"/>
  <c r="S213" i="2"/>
  <c r="BA213" i="2" s="1"/>
  <c r="U213" i="2"/>
  <c r="BH213" i="2" s="1"/>
  <c r="W213" i="2"/>
  <c r="BJ213" i="2" s="1"/>
  <c r="Y213" i="2"/>
  <c r="BQ213" i="2" s="1"/>
  <c r="AA213" i="2"/>
  <c r="BS213" i="2" s="1"/>
  <c r="N213" i="2"/>
  <c r="F213" i="2"/>
  <c r="N212" i="2"/>
  <c r="F212" i="2"/>
  <c r="BO212" i="2" s="1"/>
  <c r="N120" i="2"/>
  <c r="F120" i="2"/>
  <c r="AW121" i="2" l="1"/>
  <c r="BF120" i="2"/>
  <c r="BF121" i="2" s="1"/>
  <c r="BF212" i="2"/>
  <c r="AW212" i="2"/>
  <c r="BF213" i="2"/>
  <c r="BX212" i="2"/>
  <c r="CE212" i="2" s="1"/>
  <c r="BX213" i="2"/>
  <c r="CE213" i="2" s="1"/>
  <c r="W32" i="4"/>
  <c r="U32" i="4"/>
  <c r="S32" i="4"/>
  <c r="R32" i="4"/>
  <c r="Q32" i="4"/>
  <c r="T32" i="4"/>
  <c r="BX120" i="2"/>
  <c r="CE120" i="2" s="1"/>
  <c r="G213" i="2"/>
  <c r="G212" i="2"/>
  <c r="G120" i="2"/>
  <c r="G121" i="2" s="1"/>
  <c r="V96" i="3"/>
  <c r="V97" i="3" s="1"/>
  <c r="DN213" i="2"/>
  <c r="M147" i="6" s="1"/>
  <c r="DO213" i="2"/>
  <c r="DM213" i="2"/>
  <c r="L147" i="6" s="1"/>
  <c r="DM212" i="2"/>
  <c r="L146" i="6" s="1"/>
  <c r="DK213" i="2"/>
  <c r="DK212" i="2"/>
  <c r="J146" i="6" s="1"/>
  <c r="DL212" i="2"/>
  <c r="DI213" i="2"/>
  <c r="G147" i="6" s="1"/>
  <c r="DI212" i="2"/>
  <c r="G146" i="6" s="1"/>
  <c r="DO212" i="2"/>
  <c r="DL213" i="2"/>
  <c r="K147" i="6" s="1"/>
  <c r="DN212" i="2"/>
  <c r="M146" i="6" s="1"/>
  <c r="X146" i="6"/>
  <c r="V11" i="7" s="1"/>
  <c r="V147" i="6"/>
  <c r="T12" i="7" s="1"/>
  <c r="S147" i="6"/>
  <c r="Q12" i="7" s="1"/>
  <c r="S146" i="6"/>
  <c r="Q11" i="7" s="1"/>
  <c r="X147" i="6"/>
  <c r="V12" i="7" s="1"/>
  <c r="R147" i="6"/>
  <c r="P12" i="7" s="1"/>
  <c r="R146" i="6"/>
  <c r="P11" i="7" s="1"/>
  <c r="V146" i="6"/>
  <c r="T11" i="7" s="1"/>
  <c r="U147" i="6"/>
  <c r="S12" i="7" s="1"/>
  <c r="T147" i="6"/>
  <c r="R12" i="7" s="1"/>
  <c r="T146" i="6"/>
  <c r="R11" i="7" s="1"/>
  <c r="U146" i="6"/>
  <c r="S11" i="7" s="1"/>
  <c r="F121" i="2"/>
  <c r="CT120" i="2"/>
  <c r="K96" i="3" s="1"/>
  <c r="K97" i="3" s="1"/>
  <c r="CS120" i="2"/>
  <c r="J96" i="3" s="1"/>
  <c r="J97" i="3" s="1"/>
  <c r="CV120" i="2"/>
  <c r="M96" i="3" s="1"/>
  <c r="M97" i="3" s="1"/>
  <c r="CW120" i="2"/>
  <c r="N96" i="3" s="1"/>
  <c r="N97" i="3" s="1"/>
  <c r="CU120" i="2"/>
  <c r="L96" i="3" s="1"/>
  <c r="L97" i="3" s="1"/>
  <c r="CQ120" i="2"/>
  <c r="G96" i="3" s="1"/>
  <c r="G97" i="3" s="1"/>
  <c r="U12" i="7"/>
  <c r="U11" i="7"/>
  <c r="DB120" i="2"/>
  <c r="DD212" i="2"/>
  <c r="DF120" i="2"/>
  <c r="CZ213" i="2"/>
  <c r="DE212" i="2"/>
  <c r="DF213" i="2"/>
  <c r="CZ212" i="2"/>
  <c r="DC213" i="2"/>
  <c r="DD213" i="2"/>
  <c r="DB213" i="2"/>
  <c r="DD120" i="2"/>
  <c r="DC212" i="2"/>
  <c r="DB212" i="2"/>
  <c r="DE213" i="2"/>
  <c r="DE120" i="2"/>
  <c r="CZ120" i="2"/>
  <c r="CY212" i="2"/>
  <c r="DC120" i="2"/>
  <c r="DF212" i="2"/>
  <c r="CY213" i="2"/>
  <c r="BL212" i="2"/>
  <c r="BC120" i="2"/>
  <c r="BL120" i="2"/>
  <c r="BU213" i="2"/>
  <c r="BO120" i="2"/>
  <c r="BC213" i="2"/>
  <c r="BU120" i="2"/>
  <c r="BL213" i="2"/>
  <c r="BU212" i="2"/>
  <c r="BC212" i="2"/>
  <c r="J32" i="4" l="1"/>
  <c r="L32" i="4"/>
  <c r="K32" i="4"/>
  <c r="M32" i="4"/>
  <c r="CR120" i="2"/>
  <c r="H96" i="3" s="1"/>
  <c r="H97" i="3" s="1"/>
  <c r="V32" i="4"/>
  <c r="BM212" i="2"/>
  <c r="K11" i="7"/>
  <c r="BM120" i="2"/>
  <c r="L12" i="7"/>
  <c r="DP212" i="2"/>
  <c r="L11" i="7"/>
  <c r="N32" i="4"/>
  <c r="K12" i="7"/>
  <c r="P96" i="3"/>
  <c r="P97" i="3" s="1"/>
  <c r="H32" i="4"/>
  <c r="I11" i="7"/>
  <c r="G11" i="7"/>
  <c r="J12" i="7"/>
  <c r="G12" i="7"/>
  <c r="DP213" i="2"/>
  <c r="Q147" i="6"/>
  <c r="Y147" i="6" s="1"/>
  <c r="D147" i="6"/>
  <c r="AB12" i="7" s="1"/>
  <c r="J147" i="6"/>
  <c r="I12" i="7" s="1"/>
  <c r="DJ212" i="2"/>
  <c r="H146" i="6" s="1"/>
  <c r="DJ213" i="2"/>
  <c r="H147" i="6" s="1"/>
  <c r="K146" i="6"/>
  <c r="D146" i="6" s="1"/>
  <c r="AB11" i="7" s="1"/>
  <c r="CX120" i="2"/>
  <c r="BV213" i="2"/>
  <c r="BD120" i="2"/>
  <c r="DA120" i="2"/>
  <c r="BD212" i="2"/>
  <c r="DG212" i="2"/>
  <c r="DA212" i="2"/>
  <c r="BV212" i="2"/>
  <c r="BD213" i="2"/>
  <c r="DA213" i="2"/>
  <c r="BM213" i="2"/>
  <c r="DG213" i="2"/>
  <c r="BV120" i="2"/>
  <c r="DG120" i="2"/>
  <c r="S13" i="3" l="1"/>
  <c r="R13" i="3"/>
  <c r="W13" i="3"/>
  <c r="T13" i="3"/>
  <c r="U13" i="3"/>
  <c r="V13" i="3"/>
  <c r="I32" i="4"/>
  <c r="DQ212" i="2"/>
  <c r="X96" i="3"/>
  <c r="X97" i="3" s="1"/>
  <c r="P32" i="4"/>
  <c r="I96" i="3"/>
  <c r="I97" i="3" s="1"/>
  <c r="J11" i="7"/>
  <c r="O12" i="7"/>
  <c r="DQ213" i="2"/>
  <c r="Q146" i="6"/>
  <c r="CY120" i="2"/>
  <c r="D96" i="3"/>
  <c r="W12" i="7"/>
  <c r="DH120" i="2"/>
  <c r="H13" i="3"/>
  <c r="N13" i="3"/>
  <c r="DH213" i="2"/>
  <c r="DH212" i="2"/>
  <c r="G13" i="3"/>
  <c r="K13" i="3"/>
  <c r="L13" i="3"/>
  <c r="M13" i="3"/>
  <c r="O96" i="3" l="1"/>
  <c r="O97" i="3" s="1"/>
  <c r="X32" i="4"/>
  <c r="Y146" i="6"/>
  <c r="W11" i="7" s="1"/>
  <c r="O11" i="7"/>
  <c r="J13" i="3"/>
  <c r="I13" i="3"/>
  <c r="P13" i="3"/>
  <c r="H11" i="7"/>
  <c r="I146" i="6"/>
  <c r="P146" i="6" s="1"/>
  <c r="H12" i="7"/>
  <c r="I147" i="6"/>
  <c r="P147" i="6" s="1"/>
  <c r="Z147" i="6" s="1"/>
  <c r="AB147" i="6" s="1"/>
  <c r="AD147" i="6" l="1"/>
  <c r="Y12" i="7"/>
  <c r="O32" i="4"/>
  <c r="Y96" i="3"/>
  <c r="AA96" i="3" s="1"/>
  <c r="Z146" i="6"/>
  <c r="AB146" i="6" s="1"/>
  <c r="N12" i="7"/>
  <c r="N11" i="7"/>
  <c r="X13" i="3"/>
  <c r="AA97" i="3" l="1"/>
  <c r="AA32" i="4"/>
  <c r="AD146" i="6"/>
  <c r="Y11" i="7"/>
  <c r="Z97" i="3"/>
  <c r="Y97" i="3"/>
  <c r="O13" i="3"/>
  <c r="AA13" i="3"/>
  <c r="Y32" i="4"/>
  <c r="X11" i="7"/>
  <c r="X12" i="7"/>
  <c r="Y13" i="3" l="1"/>
  <c r="AC32" i="4"/>
  <c r="Z32" i="4"/>
  <c r="Z12" i="7"/>
  <c r="Z11" i="7"/>
  <c r="F163" i="2" l="1"/>
  <c r="AW163" i="2" l="1"/>
  <c r="AW164" i="2" s="1"/>
  <c r="BF163" i="2"/>
  <c r="BF164" i="2" s="1"/>
  <c r="G163" i="2"/>
  <c r="G164" i="2" s="1"/>
  <c r="AV155" i="2"/>
  <c r="S155" i="2" l="1"/>
  <c r="EV83" i="2" l="1"/>
  <c r="EV91" i="2" s="1"/>
  <c r="EW83" i="2"/>
  <c r="EW91" i="2" s="1"/>
  <c r="EX83" i="2"/>
  <c r="EX91" i="2" s="1"/>
  <c r="EY83" i="2"/>
  <c r="EY91" i="2" s="1"/>
  <c r="EZ83" i="2"/>
  <c r="EZ91" i="2" s="1"/>
  <c r="FA83" i="2"/>
  <c r="FA91" i="2" s="1"/>
  <c r="FB83" i="2"/>
  <c r="FB91" i="2" s="1"/>
  <c r="FC83" i="2"/>
  <c r="FC91" i="2" s="1"/>
  <c r="FD83" i="2"/>
  <c r="FD91" i="2" s="1"/>
  <c r="T65" i="3" l="1"/>
  <c r="U65" i="3"/>
  <c r="V65" i="3"/>
  <c r="AB3" i="4"/>
  <c r="FE83" i="2" l="1"/>
  <c r="F145" i="6"/>
  <c r="F18" i="4"/>
  <c r="F19" i="4"/>
  <c r="E65" i="3"/>
  <c r="W65" i="3" l="1"/>
  <c r="P65" i="2" l="1"/>
  <c r="P50" i="2"/>
  <c r="F164" i="2"/>
  <c r="E164" i="2"/>
  <c r="E161" i="2"/>
  <c r="F65" i="2"/>
  <c r="E65" i="2"/>
  <c r="E72" i="2" s="1"/>
  <c r="F50" i="2"/>
  <c r="FB155" i="2"/>
  <c r="E165" i="2" l="1"/>
  <c r="V10" i="7"/>
  <c r="AA83" i="2"/>
  <c r="AV88" i="2"/>
  <c r="AX83" i="2"/>
  <c r="AZ83" i="2"/>
  <c r="BB83" i="2"/>
  <c r="BG83" i="2"/>
  <c r="BI83" i="2"/>
  <c r="BK83" i="2"/>
  <c r="BP83" i="2"/>
  <c r="BR83" i="2"/>
  <c r="BT83" i="2"/>
  <c r="W83" i="2"/>
  <c r="U83" i="2"/>
  <c r="S83" i="2"/>
  <c r="Q83" i="2"/>
  <c r="BH83" i="2" l="1"/>
  <c r="BA83" i="2"/>
  <c r="BJ83" i="2"/>
  <c r="AY83" i="2"/>
  <c r="BL83" i="2" l="1"/>
  <c r="BC83" i="2"/>
  <c r="BD83" i="2" l="1"/>
  <c r="BM83" i="2"/>
  <c r="X10" i="7" l="1"/>
  <c r="Z10" i="7" l="1"/>
  <c r="FE49" i="2"/>
  <c r="W35" i="3" s="1"/>
  <c r="T35" i="3"/>
  <c r="U35" i="3"/>
  <c r="V35" i="3"/>
  <c r="CZ49" i="2" l="1"/>
  <c r="DA49" i="2"/>
  <c r="DB49" i="2"/>
  <c r="DC49" i="2"/>
  <c r="DD49" i="2"/>
  <c r="DE49" i="2"/>
  <c r="DF49" i="2"/>
  <c r="DG49" i="2"/>
  <c r="AV49" i="2"/>
  <c r="AW50" i="2"/>
  <c r="AX49" i="2"/>
  <c r="AY49" i="2"/>
  <c r="AZ49" i="2"/>
  <c r="BA49" i="2"/>
  <c r="BB49" i="2"/>
  <c r="BE49" i="2"/>
  <c r="BF49" i="2"/>
  <c r="BG49" i="2"/>
  <c r="BH49" i="2"/>
  <c r="BI49" i="2"/>
  <c r="BJ49" i="2"/>
  <c r="BK49" i="2"/>
  <c r="BN49" i="2"/>
  <c r="BO49" i="2"/>
  <c r="BP49" i="2"/>
  <c r="BQ49" i="2"/>
  <c r="BR49" i="2"/>
  <c r="BS49" i="2"/>
  <c r="BT49" i="2"/>
  <c r="CU49" i="2" l="1"/>
  <c r="CQ49" i="2"/>
  <c r="G35" i="3" s="1"/>
  <c r="G36" i="3" s="1"/>
  <c r="BU49" i="2"/>
  <c r="BV49" i="2" s="1"/>
  <c r="CT49" i="2"/>
  <c r="CW49" i="2"/>
  <c r="CS49" i="2"/>
  <c r="CV49" i="2"/>
  <c r="CR49" i="2"/>
  <c r="BC49" i="2"/>
  <c r="BD49" i="2" s="1"/>
  <c r="BL49" i="2"/>
  <c r="BM49" i="2" s="1"/>
  <c r="DH49" i="2"/>
  <c r="C35" i="3"/>
  <c r="CX49" i="2" l="1"/>
  <c r="CY49" i="2" s="1"/>
  <c r="E35" i="3"/>
  <c r="N211" i="2" l="1"/>
  <c r="N49" i="2"/>
  <c r="N147" i="2"/>
  <c r="N145" i="2"/>
  <c r="N144" i="2"/>
  <c r="N85" i="6"/>
  <c r="C84" i="6"/>
  <c r="E21" i="7" s="1"/>
  <c r="E84" i="6"/>
  <c r="F84" i="6"/>
  <c r="O84" i="6"/>
  <c r="O85" i="6" s="1"/>
  <c r="T62" i="3" l="1"/>
  <c r="U62" i="3"/>
  <c r="FL90" i="2"/>
  <c r="V62" i="3"/>
  <c r="EH90" i="2"/>
  <c r="EG90" i="2"/>
  <c r="EF90" i="2"/>
  <c r="EE90" i="2"/>
  <c r="ED90" i="2"/>
  <c r="EC90" i="2"/>
  <c r="EB90" i="2"/>
  <c r="EA90" i="2"/>
  <c r="DY90" i="2"/>
  <c r="DX90" i="2"/>
  <c r="DW90" i="2"/>
  <c r="DV90" i="2"/>
  <c r="DU90" i="2"/>
  <c r="DT90" i="2"/>
  <c r="DS90" i="2"/>
  <c r="DR90" i="2"/>
  <c r="DG90" i="2"/>
  <c r="DF90" i="2"/>
  <c r="DE90" i="2"/>
  <c r="DD90" i="2"/>
  <c r="DC90" i="2"/>
  <c r="DB90" i="2"/>
  <c r="DA90" i="2"/>
  <c r="CZ90" i="2"/>
  <c r="CL90" i="2"/>
  <c r="CJ90" i="2"/>
  <c r="CH90" i="2"/>
  <c r="CG90" i="2"/>
  <c r="CF90" i="2"/>
  <c r="CC90" i="2"/>
  <c r="CA90" i="2"/>
  <c r="BY90" i="2"/>
  <c r="BX90" i="2"/>
  <c r="BW90" i="2"/>
  <c r="BT90" i="2"/>
  <c r="BR90" i="2"/>
  <c r="BP90" i="2"/>
  <c r="BK90" i="2"/>
  <c r="BI90" i="2"/>
  <c r="BB90" i="2"/>
  <c r="AZ90" i="2"/>
  <c r="AX90" i="2"/>
  <c r="AV90" i="2"/>
  <c r="AV91" i="2" s="1"/>
  <c r="AI90" i="2"/>
  <c r="CK90" i="2" s="1"/>
  <c r="AG90" i="2"/>
  <c r="CI90" i="2" s="1"/>
  <c r="AE90" i="2"/>
  <c r="CB90" i="2" s="1"/>
  <c r="AC90" i="2"/>
  <c r="BZ90" i="2" s="1"/>
  <c r="AA90" i="2"/>
  <c r="BS90" i="2" s="1"/>
  <c r="Y90" i="2"/>
  <c r="BQ90" i="2" s="1"/>
  <c r="W90" i="2"/>
  <c r="BJ90" i="2" s="1"/>
  <c r="U90" i="2"/>
  <c r="BH90" i="2" s="1"/>
  <c r="S90" i="2"/>
  <c r="BA90" i="2" s="1"/>
  <c r="Q90" i="2"/>
  <c r="AY90" i="2" s="1"/>
  <c r="N90" i="2"/>
  <c r="FD160" i="2"/>
  <c r="U104" i="6" s="1"/>
  <c r="FC160" i="2"/>
  <c r="V104" i="6" s="1"/>
  <c r="FB160" i="2"/>
  <c r="FA160" i="2"/>
  <c r="FL160" i="2" s="1"/>
  <c r="EZ160" i="2"/>
  <c r="EX160" i="2"/>
  <c r="T104" i="6" s="1"/>
  <c r="EW160" i="2"/>
  <c r="EV160" i="2"/>
  <c r="FE160" i="2"/>
  <c r="X104" i="6" s="1"/>
  <c r="V13" i="7" s="1"/>
  <c r="EY160" i="2"/>
  <c r="W104" i="6" s="1"/>
  <c r="EH160" i="2"/>
  <c r="EG160" i="2"/>
  <c r="EF160" i="2"/>
  <c r="EE160" i="2"/>
  <c r="ED160" i="2"/>
  <c r="EC160" i="2"/>
  <c r="EB160" i="2"/>
  <c r="EA160" i="2"/>
  <c r="DY160" i="2"/>
  <c r="DX160" i="2"/>
  <c r="DW160" i="2"/>
  <c r="DV160" i="2"/>
  <c r="DU160" i="2"/>
  <c r="DT160" i="2"/>
  <c r="DS160" i="2"/>
  <c r="DR160" i="2"/>
  <c r="DP160" i="2"/>
  <c r="DO160" i="2"/>
  <c r="DN160" i="2"/>
  <c r="DM160" i="2"/>
  <c r="DL160" i="2"/>
  <c r="DK160" i="2"/>
  <c r="DJ160" i="2"/>
  <c r="DI160" i="2"/>
  <c r="CX160" i="2"/>
  <c r="CW160" i="2"/>
  <c r="CV160" i="2"/>
  <c r="CU160" i="2"/>
  <c r="CT160" i="2"/>
  <c r="CS160" i="2"/>
  <c r="CR160" i="2"/>
  <c r="CQ160" i="2"/>
  <c r="CL160" i="2"/>
  <c r="CJ160" i="2"/>
  <c r="CH160" i="2"/>
  <c r="CG160" i="2"/>
  <c r="CF160" i="2"/>
  <c r="CC160" i="2"/>
  <c r="CA160" i="2"/>
  <c r="BY160" i="2"/>
  <c r="BX160" i="2"/>
  <c r="BW160" i="2"/>
  <c r="BT160" i="2"/>
  <c r="BR160" i="2"/>
  <c r="BP160" i="2"/>
  <c r="BN160" i="2"/>
  <c r="BK160" i="2"/>
  <c r="BI160" i="2"/>
  <c r="BG160" i="2"/>
  <c r="BE160" i="2"/>
  <c r="BB160" i="2"/>
  <c r="AZ160" i="2"/>
  <c r="AX160" i="2"/>
  <c r="AV160" i="2"/>
  <c r="AI160" i="2"/>
  <c r="CK160" i="2" s="1"/>
  <c r="AG160" i="2"/>
  <c r="CI160" i="2" s="1"/>
  <c r="AE160" i="2"/>
  <c r="CB160" i="2" s="1"/>
  <c r="AC160" i="2"/>
  <c r="BZ160" i="2" s="1"/>
  <c r="AA160" i="2"/>
  <c r="BS160" i="2" s="1"/>
  <c r="Y160" i="2"/>
  <c r="BQ160" i="2" s="1"/>
  <c r="W160" i="2"/>
  <c r="BJ160" i="2" s="1"/>
  <c r="U160" i="2"/>
  <c r="BH160" i="2" s="1"/>
  <c r="S160" i="2"/>
  <c r="BA160" i="2" s="1"/>
  <c r="Q160" i="2"/>
  <c r="AY160" i="2" s="1"/>
  <c r="N160" i="2"/>
  <c r="DA160" i="2" l="1"/>
  <c r="FE90" i="2"/>
  <c r="W62" i="3" s="1"/>
  <c r="CM90" i="2"/>
  <c r="CN90" i="2" s="1"/>
  <c r="CR90" i="2"/>
  <c r="CT90" i="2"/>
  <c r="CS90" i="2"/>
  <c r="DZ90" i="2"/>
  <c r="DE160" i="2"/>
  <c r="CW90" i="2"/>
  <c r="DH90" i="2"/>
  <c r="EI90" i="2"/>
  <c r="CV90" i="2"/>
  <c r="CD90" i="2"/>
  <c r="CE90" i="2" s="1"/>
  <c r="BU90" i="2"/>
  <c r="BV90" i="2" s="1"/>
  <c r="BL90" i="2"/>
  <c r="BM90" i="2" s="1"/>
  <c r="BC90" i="2"/>
  <c r="BD90" i="2" s="1"/>
  <c r="CQ90" i="2"/>
  <c r="CU90" i="2"/>
  <c r="BL160" i="2"/>
  <c r="BM160" i="2" s="1"/>
  <c r="DB160" i="2"/>
  <c r="CM160" i="2"/>
  <c r="CN160" i="2" s="1"/>
  <c r="DQ160" i="2"/>
  <c r="CZ160" i="2"/>
  <c r="DD160" i="2"/>
  <c r="DF160" i="2"/>
  <c r="CY160" i="2"/>
  <c r="DZ160" i="2"/>
  <c r="EI160" i="2"/>
  <c r="BU160" i="2"/>
  <c r="BV160" i="2" s="1"/>
  <c r="CD160" i="2"/>
  <c r="CE160" i="2" s="1"/>
  <c r="BC160" i="2"/>
  <c r="BD160" i="2" s="1"/>
  <c r="DC160" i="2"/>
  <c r="FD131" i="2"/>
  <c r="U72" i="6" s="1"/>
  <c r="S26" i="7" s="1"/>
  <c r="FC131" i="2"/>
  <c r="V72" i="6" s="1"/>
  <c r="T26" i="7" s="1"/>
  <c r="FB131" i="2"/>
  <c r="FA131" i="2"/>
  <c r="FL131" i="2" s="1"/>
  <c r="EZ131" i="2"/>
  <c r="EY131" i="2"/>
  <c r="W72" i="6" s="1"/>
  <c r="EX131" i="2"/>
  <c r="T72" i="6" s="1"/>
  <c r="R26" i="7" s="1"/>
  <c r="EW131" i="2"/>
  <c r="S72" i="6" s="1"/>
  <c r="Q26" i="7" s="1"/>
  <c r="EV131" i="2"/>
  <c r="R72" i="6" s="1"/>
  <c r="P26" i="7" s="1"/>
  <c r="FE131" i="2"/>
  <c r="X72" i="6" s="1"/>
  <c r="V26" i="7" s="1"/>
  <c r="EH131" i="2"/>
  <c r="EG131" i="2"/>
  <c r="EF131" i="2"/>
  <c r="EE131" i="2"/>
  <c r="ED131" i="2"/>
  <c r="EC131" i="2"/>
  <c r="EB131" i="2"/>
  <c r="EA131" i="2"/>
  <c r="DY131" i="2"/>
  <c r="DX131" i="2"/>
  <c r="DW131" i="2"/>
  <c r="DV131" i="2"/>
  <c r="DU131" i="2"/>
  <c r="DT131" i="2"/>
  <c r="DS131" i="2"/>
  <c r="DR131" i="2"/>
  <c r="DP131" i="2"/>
  <c r="DO131" i="2"/>
  <c r="DN131" i="2"/>
  <c r="DM131" i="2"/>
  <c r="DL131" i="2"/>
  <c r="DK131" i="2"/>
  <c r="DJ131" i="2"/>
  <c r="DI131" i="2"/>
  <c r="CL131" i="2"/>
  <c r="CJ131" i="2"/>
  <c r="CH131" i="2"/>
  <c r="CG131" i="2"/>
  <c r="CF131" i="2"/>
  <c r="CC131" i="2"/>
  <c r="CA131" i="2"/>
  <c r="BY131" i="2"/>
  <c r="BX131" i="2"/>
  <c r="BW131" i="2"/>
  <c r="BT131" i="2"/>
  <c r="BR131" i="2"/>
  <c r="BP131" i="2"/>
  <c r="BN131" i="2"/>
  <c r="BK131" i="2"/>
  <c r="BI131" i="2"/>
  <c r="BG131" i="2"/>
  <c r="BE131" i="2"/>
  <c r="BB131" i="2"/>
  <c r="AZ131" i="2"/>
  <c r="AX131" i="2"/>
  <c r="AI131" i="2"/>
  <c r="CK131" i="2" s="1"/>
  <c r="AG131" i="2"/>
  <c r="CI131" i="2" s="1"/>
  <c r="AE131" i="2"/>
  <c r="CB131" i="2" s="1"/>
  <c r="AC131" i="2"/>
  <c r="BZ131" i="2" s="1"/>
  <c r="AA131" i="2"/>
  <c r="BS131" i="2" s="1"/>
  <c r="Y131" i="2"/>
  <c r="BQ131" i="2" s="1"/>
  <c r="W131" i="2"/>
  <c r="BJ131" i="2" s="1"/>
  <c r="U131" i="2"/>
  <c r="BH131" i="2" s="1"/>
  <c r="S131" i="2"/>
  <c r="BA131" i="2" s="1"/>
  <c r="Q131" i="2"/>
  <c r="AY131" i="2" s="1"/>
  <c r="N131" i="2"/>
  <c r="FD130" i="2"/>
  <c r="T105" i="3" s="1"/>
  <c r="FC130" i="2"/>
  <c r="U105" i="3" s="1"/>
  <c r="FB130" i="2"/>
  <c r="FA130" i="2"/>
  <c r="FL130" i="2" s="1"/>
  <c r="EZ130" i="2"/>
  <c r="EX130" i="2"/>
  <c r="EW130" i="2"/>
  <c r="EV130" i="2"/>
  <c r="FE130" i="2"/>
  <c r="W105" i="3" s="1"/>
  <c r="EY130" i="2"/>
  <c r="V105" i="3" s="1"/>
  <c r="EH130" i="2"/>
  <c r="EG130" i="2"/>
  <c r="EF130" i="2"/>
  <c r="EE130" i="2"/>
  <c r="ED130" i="2"/>
  <c r="EC130" i="2"/>
  <c r="EB130" i="2"/>
  <c r="EA130" i="2"/>
  <c r="DY130" i="2"/>
  <c r="DX130" i="2"/>
  <c r="DW130" i="2"/>
  <c r="DV130" i="2"/>
  <c r="DU130" i="2"/>
  <c r="DT130" i="2"/>
  <c r="DS130" i="2"/>
  <c r="DR130" i="2"/>
  <c r="DP130" i="2"/>
  <c r="DO130" i="2"/>
  <c r="DN130" i="2"/>
  <c r="DM130" i="2"/>
  <c r="DL130" i="2"/>
  <c r="DK130" i="2"/>
  <c r="DJ130" i="2"/>
  <c r="DI130" i="2"/>
  <c r="DG130" i="2"/>
  <c r="DF130" i="2"/>
  <c r="DE130" i="2"/>
  <c r="DD130" i="2"/>
  <c r="DC130" i="2"/>
  <c r="DB130" i="2"/>
  <c r="DA130" i="2"/>
  <c r="CZ130" i="2"/>
  <c r="CL130" i="2"/>
  <c r="CJ130" i="2"/>
  <c r="CH130" i="2"/>
  <c r="CG130" i="2"/>
  <c r="CF130" i="2"/>
  <c r="CC130" i="2"/>
  <c r="CA130" i="2"/>
  <c r="BY130" i="2"/>
  <c r="BX130" i="2"/>
  <c r="BW130" i="2"/>
  <c r="BT130" i="2"/>
  <c r="BR130" i="2"/>
  <c r="BP130" i="2"/>
  <c r="BN130" i="2"/>
  <c r="BK130" i="2"/>
  <c r="BI130" i="2"/>
  <c r="BG130" i="2"/>
  <c r="BE130" i="2"/>
  <c r="BB130" i="2"/>
  <c r="AZ130" i="2"/>
  <c r="AX130" i="2"/>
  <c r="AI130" i="2"/>
  <c r="CK130" i="2" s="1"/>
  <c r="AG130" i="2"/>
  <c r="CI130" i="2" s="1"/>
  <c r="AE130" i="2"/>
  <c r="CB130" i="2" s="1"/>
  <c r="AC130" i="2"/>
  <c r="BZ130" i="2" s="1"/>
  <c r="AA130" i="2"/>
  <c r="BS130" i="2" s="1"/>
  <c r="Y130" i="2"/>
  <c r="BQ130" i="2" s="1"/>
  <c r="W130" i="2"/>
  <c r="BJ130" i="2" s="1"/>
  <c r="U130" i="2"/>
  <c r="BH130" i="2" s="1"/>
  <c r="S130" i="2"/>
  <c r="BA130" i="2" s="1"/>
  <c r="Q130" i="2"/>
  <c r="AY130" i="2" s="1"/>
  <c r="N130" i="2"/>
  <c r="FD147" i="2"/>
  <c r="T120" i="3" s="1"/>
  <c r="FC147" i="2"/>
  <c r="U120" i="3" s="1"/>
  <c r="FB147" i="2"/>
  <c r="FA147" i="2"/>
  <c r="FL147" i="2" s="1"/>
  <c r="EZ147" i="2"/>
  <c r="EX147" i="2"/>
  <c r="EW147" i="2"/>
  <c r="EV147" i="2"/>
  <c r="FE147" i="2"/>
  <c r="W120" i="3" s="1"/>
  <c r="EY147" i="2"/>
  <c r="V120" i="3" s="1"/>
  <c r="EH147" i="2"/>
  <c r="EG147" i="2"/>
  <c r="EF147" i="2"/>
  <c r="EE147" i="2"/>
  <c r="ED147" i="2"/>
  <c r="EC147" i="2"/>
  <c r="EB147" i="2"/>
  <c r="EA147" i="2"/>
  <c r="DY147" i="2"/>
  <c r="DX147" i="2"/>
  <c r="DW147" i="2"/>
  <c r="DV147" i="2"/>
  <c r="DU147" i="2"/>
  <c r="DT147" i="2"/>
  <c r="DS147" i="2"/>
  <c r="DR147" i="2"/>
  <c r="DP147" i="2"/>
  <c r="DO147" i="2"/>
  <c r="DN147" i="2"/>
  <c r="DM147" i="2"/>
  <c r="DL147" i="2"/>
  <c r="DK147" i="2"/>
  <c r="DJ147" i="2"/>
  <c r="DI147" i="2"/>
  <c r="DG147" i="2"/>
  <c r="DF147" i="2"/>
  <c r="DE147" i="2"/>
  <c r="DD147" i="2"/>
  <c r="DC147" i="2"/>
  <c r="DB147" i="2"/>
  <c r="DA147" i="2"/>
  <c r="CZ147" i="2"/>
  <c r="CL147" i="2"/>
  <c r="CJ147" i="2"/>
  <c r="CH147" i="2"/>
  <c r="CF147" i="2"/>
  <c r="CC147" i="2"/>
  <c r="CA147" i="2"/>
  <c r="BY147" i="2"/>
  <c r="BW147" i="2"/>
  <c r="BT147" i="2"/>
  <c r="BR147" i="2"/>
  <c r="BP147" i="2"/>
  <c r="BN147" i="2"/>
  <c r="BK147" i="2"/>
  <c r="BI147" i="2"/>
  <c r="BG147" i="2"/>
  <c r="BE147" i="2"/>
  <c r="BB147" i="2"/>
  <c r="AZ147" i="2"/>
  <c r="AV147" i="2"/>
  <c r="AI147" i="2"/>
  <c r="CK147" i="2" s="1"/>
  <c r="AG147" i="2"/>
  <c r="CI147" i="2" s="1"/>
  <c r="AE147" i="2"/>
  <c r="CB147" i="2" s="1"/>
  <c r="AC147" i="2"/>
  <c r="BZ147" i="2" s="1"/>
  <c r="AA147" i="2"/>
  <c r="BS147" i="2" s="1"/>
  <c r="Y147" i="2"/>
  <c r="BQ147" i="2" s="1"/>
  <c r="W147" i="2"/>
  <c r="BJ147" i="2" s="1"/>
  <c r="U147" i="2"/>
  <c r="BH147" i="2" s="1"/>
  <c r="S147" i="2"/>
  <c r="BA147" i="2" s="1"/>
  <c r="Q147" i="2"/>
  <c r="AY147" i="2" s="1"/>
  <c r="F147" i="2"/>
  <c r="BF149" i="2" l="1"/>
  <c r="AW149" i="2"/>
  <c r="BO147" i="2"/>
  <c r="BO149" i="2" s="1"/>
  <c r="G147" i="2"/>
  <c r="G149" i="2" s="1"/>
  <c r="U26" i="7"/>
  <c r="F149" i="2"/>
  <c r="CR131" i="2"/>
  <c r="CT131" i="2"/>
  <c r="CU131" i="2"/>
  <c r="CS131" i="2"/>
  <c r="CW131" i="2"/>
  <c r="CV131" i="2"/>
  <c r="CQ131" i="2"/>
  <c r="CX90" i="2"/>
  <c r="CY90" i="2" s="1"/>
  <c r="DG160" i="2"/>
  <c r="DH160" i="2" s="1"/>
  <c r="CM130" i="2"/>
  <c r="CN130" i="2" s="1"/>
  <c r="DF131" i="2"/>
  <c r="CQ130" i="2"/>
  <c r="G105" i="3" s="1"/>
  <c r="BL147" i="2"/>
  <c r="BL130" i="2"/>
  <c r="BM130" i="2" s="1"/>
  <c r="CD131" i="2"/>
  <c r="CE131" i="2" s="1"/>
  <c r="DA131" i="2"/>
  <c r="H72" i="6" s="1"/>
  <c r="H26" i="7" s="1"/>
  <c r="BL131" i="2"/>
  <c r="BM131" i="2" s="1"/>
  <c r="DQ131" i="2"/>
  <c r="DZ131" i="2"/>
  <c r="EI131" i="2"/>
  <c r="CR130" i="2"/>
  <c r="CW130" i="2"/>
  <c r="DZ130" i="2"/>
  <c r="EI130" i="2"/>
  <c r="DC131" i="2"/>
  <c r="K72" i="6" s="1"/>
  <c r="J26" i="7" s="1"/>
  <c r="DB131" i="2"/>
  <c r="J72" i="6" s="1"/>
  <c r="I26" i="7" s="1"/>
  <c r="DD131" i="2"/>
  <c r="L72" i="6" s="1"/>
  <c r="K26" i="7" s="1"/>
  <c r="CU130" i="2"/>
  <c r="CD130" i="2"/>
  <c r="CE130" i="2" s="1"/>
  <c r="DH130" i="2"/>
  <c r="DQ130" i="2"/>
  <c r="CM131" i="2"/>
  <c r="CN131" i="2" s="1"/>
  <c r="DE131" i="2"/>
  <c r="M72" i="6" s="1"/>
  <c r="L26" i="7" s="1"/>
  <c r="BU131" i="2"/>
  <c r="BV131" i="2" s="1"/>
  <c r="BC131" i="2"/>
  <c r="CZ131" i="2"/>
  <c r="G72" i="6" s="1"/>
  <c r="G26" i="7" s="1"/>
  <c r="CV130" i="2"/>
  <c r="BC130" i="2"/>
  <c r="BD130" i="2" s="1"/>
  <c r="CT130" i="2"/>
  <c r="BU130" i="2"/>
  <c r="BV130" i="2" s="1"/>
  <c r="CS130" i="2"/>
  <c r="CV147" i="2"/>
  <c r="CQ147" i="2"/>
  <c r="CW147" i="2"/>
  <c r="DQ147" i="2"/>
  <c r="DZ147" i="2"/>
  <c r="DH147" i="2"/>
  <c r="EI147" i="2"/>
  <c r="BU147" i="2"/>
  <c r="CM147" i="2"/>
  <c r="CT147" i="2"/>
  <c r="CD147" i="2"/>
  <c r="BC147" i="2"/>
  <c r="CS147" i="2"/>
  <c r="CG147" i="2"/>
  <c r="CU147" i="2"/>
  <c r="BX147" i="2"/>
  <c r="FD148" i="2"/>
  <c r="FC148" i="2"/>
  <c r="FB148" i="2"/>
  <c r="FA148" i="2"/>
  <c r="FL148" i="2" s="1"/>
  <c r="EZ148" i="2"/>
  <c r="EX148" i="2"/>
  <c r="EW148" i="2"/>
  <c r="S84" i="6" s="1"/>
  <c r="S85" i="6" s="1"/>
  <c r="EV148" i="2"/>
  <c r="R84" i="6" s="1"/>
  <c r="R85" i="6" s="1"/>
  <c r="FE148" i="2"/>
  <c r="EH148" i="2"/>
  <c r="EG148" i="2"/>
  <c r="EF148" i="2"/>
  <c r="EE148" i="2"/>
  <c r="ED148" i="2"/>
  <c r="W84" i="6" s="1"/>
  <c r="EC148" i="2"/>
  <c r="EB148" i="2"/>
  <c r="EA148" i="2"/>
  <c r="DY148" i="2"/>
  <c r="DX148" i="2"/>
  <c r="DW148" i="2"/>
  <c r="DV148" i="2"/>
  <c r="DU148" i="2"/>
  <c r="DT148" i="2"/>
  <c r="DS148" i="2"/>
  <c r="DR148" i="2"/>
  <c r="DP148" i="2"/>
  <c r="DO148" i="2"/>
  <c r="DN148" i="2"/>
  <c r="DM148" i="2"/>
  <c r="DL148" i="2"/>
  <c r="DK148" i="2"/>
  <c r="DJ148" i="2"/>
  <c r="DI148" i="2"/>
  <c r="CX148" i="2"/>
  <c r="CW148" i="2"/>
  <c r="CV148" i="2"/>
  <c r="CU148" i="2"/>
  <c r="CT148" i="2"/>
  <c r="CS148" i="2"/>
  <c r="CR148" i="2"/>
  <c r="CQ148" i="2"/>
  <c r="CL148" i="2"/>
  <c r="CJ148" i="2"/>
  <c r="CH148" i="2"/>
  <c r="CG148" i="2"/>
  <c r="CF148" i="2"/>
  <c r="CC148" i="2"/>
  <c r="CA148" i="2"/>
  <c r="BY148" i="2"/>
  <c r="BX148" i="2"/>
  <c r="BW148" i="2"/>
  <c r="BT148" i="2"/>
  <c r="BR148" i="2"/>
  <c r="BP148" i="2"/>
  <c r="BN148" i="2"/>
  <c r="BK148" i="2"/>
  <c r="BI148" i="2"/>
  <c r="BG148" i="2"/>
  <c r="BB148" i="2"/>
  <c r="AZ148" i="2"/>
  <c r="AX148" i="2"/>
  <c r="AI148" i="2"/>
  <c r="CK148" i="2" s="1"/>
  <c r="AG148" i="2"/>
  <c r="CI148" i="2" s="1"/>
  <c r="AE148" i="2"/>
  <c r="CB148" i="2" s="1"/>
  <c r="AC148" i="2"/>
  <c r="BZ148" i="2" s="1"/>
  <c r="AA148" i="2"/>
  <c r="BS148" i="2" s="1"/>
  <c r="Y148" i="2"/>
  <c r="BQ148" i="2" s="1"/>
  <c r="W148" i="2"/>
  <c r="BJ148" i="2" s="1"/>
  <c r="U148" i="2"/>
  <c r="BH148" i="2" s="1"/>
  <c r="S148" i="2"/>
  <c r="BA148" i="2" s="1"/>
  <c r="Q148" i="2"/>
  <c r="AY148" i="2" s="1"/>
  <c r="N148" i="2"/>
  <c r="I72" i="6" l="1"/>
  <c r="P72" i="6" s="1"/>
  <c r="N26" i="7" s="1"/>
  <c r="Q72" i="6"/>
  <c r="D72" i="6"/>
  <c r="AB26" i="7" s="1"/>
  <c r="T84" i="6"/>
  <c r="T85" i="6" s="1"/>
  <c r="X84" i="6"/>
  <c r="V84" i="6"/>
  <c r="V85" i="6" s="1"/>
  <c r="W85" i="6"/>
  <c r="BD131" i="2"/>
  <c r="CX131" i="2"/>
  <c r="CY131" i="2" s="1"/>
  <c r="BM147" i="2"/>
  <c r="CN147" i="2"/>
  <c r="BV147" i="2"/>
  <c r="DG131" i="2"/>
  <c r="DH131" i="2" s="1"/>
  <c r="CX130" i="2"/>
  <c r="CY130" i="2" s="1"/>
  <c r="CE147" i="2"/>
  <c r="CX147" i="2"/>
  <c r="CR147" i="2"/>
  <c r="BD147" i="2"/>
  <c r="DD148" i="2"/>
  <c r="L84" i="6" s="1"/>
  <c r="L85" i="6" s="1"/>
  <c r="DB148" i="2"/>
  <c r="J84" i="6" s="1"/>
  <c r="J85" i="6" s="1"/>
  <c r="DC148" i="2"/>
  <c r="K84" i="6" s="1"/>
  <c r="K85" i="6" s="1"/>
  <c r="BL148" i="2"/>
  <c r="BM148" i="2" s="1"/>
  <c r="DF148" i="2"/>
  <c r="DA148" i="2"/>
  <c r="H84" i="6" s="1"/>
  <c r="H85" i="6" s="1"/>
  <c r="CY148" i="2"/>
  <c r="DQ148" i="2"/>
  <c r="DZ148" i="2"/>
  <c r="EI148" i="2"/>
  <c r="U84" i="6" s="1"/>
  <c r="U85" i="6" s="1"/>
  <c r="DE148" i="2"/>
  <c r="M84" i="6" s="1"/>
  <c r="M85" i="6" s="1"/>
  <c r="BU148" i="2"/>
  <c r="BV148" i="2" s="1"/>
  <c r="CD148" i="2"/>
  <c r="CE148" i="2" s="1"/>
  <c r="CM148" i="2"/>
  <c r="CN148" i="2" s="1"/>
  <c r="BC148" i="2"/>
  <c r="BD148" i="2" s="1"/>
  <c r="CZ148" i="2"/>
  <c r="G84" i="6" s="1"/>
  <c r="G85" i="6" s="1"/>
  <c r="Y72" i="6" l="1"/>
  <c r="W26" i="7" s="1"/>
  <c r="O26" i="7"/>
  <c r="X85" i="6"/>
  <c r="V21" i="7"/>
  <c r="I84" i="6"/>
  <c r="D84" i="6"/>
  <c r="Q84" i="6"/>
  <c r="CY147" i="2"/>
  <c r="DG148" i="2"/>
  <c r="DH148" i="2" s="1"/>
  <c r="Z72" i="6" l="1"/>
  <c r="AB72" i="6" s="1"/>
  <c r="I85" i="6"/>
  <c r="P84" i="6"/>
  <c r="Y84" i="6"/>
  <c r="Q85" i="6"/>
  <c r="AD72" i="6" l="1"/>
  <c r="Y26" i="7"/>
  <c r="X26" i="7"/>
  <c r="Y85" i="6"/>
  <c r="Z84" i="6"/>
  <c r="AB84" i="6" s="1"/>
  <c r="P85" i="6"/>
  <c r="Y21" i="7" l="1"/>
  <c r="AB85" i="6"/>
  <c r="AA85" i="6"/>
  <c r="AD85" i="6" s="1"/>
  <c r="AD84" i="6"/>
  <c r="Z85" i="6"/>
  <c r="X21" i="7"/>
  <c r="Z26" i="7" l="1"/>
  <c r="Z21" i="7" l="1"/>
  <c r="F3" i="4" l="1"/>
  <c r="F4" i="4"/>
  <c r="AD14" i="3" l="1"/>
  <c r="C64" i="3" l="1"/>
  <c r="U127" i="2" l="1"/>
  <c r="F47" i="3" l="1"/>
  <c r="F50" i="3"/>
  <c r="EX31" i="2" l="1"/>
  <c r="EX42" i="2" s="1"/>
  <c r="BM482" i="2" l="1"/>
  <c r="BM484" i="2"/>
  <c r="BM491" i="2"/>
  <c r="BM495" i="2"/>
  <c r="BM496" i="2"/>
  <c r="BM499" i="2"/>
  <c r="BM500" i="2"/>
  <c r="BM507" i="2"/>
  <c r="BM512" i="2"/>
  <c r="BF482" i="2"/>
  <c r="BF484" i="2"/>
  <c r="BF491" i="2"/>
  <c r="BF495" i="2"/>
  <c r="BF496" i="2"/>
  <c r="BF499" i="2"/>
  <c r="BF500" i="2"/>
  <c r="BF507" i="2"/>
  <c r="BF512" i="2"/>
  <c r="BD482" i="2"/>
  <c r="BD484" i="2"/>
  <c r="BD491" i="2"/>
  <c r="BD495" i="2"/>
  <c r="BD496" i="2"/>
  <c r="BD499" i="2"/>
  <c r="BD500" i="2"/>
  <c r="BD507" i="2"/>
  <c r="BD512" i="2"/>
  <c r="AW482" i="2"/>
  <c r="AW484" i="2"/>
  <c r="AW491" i="2"/>
  <c r="AW495" i="2"/>
  <c r="AW496" i="2"/>
  <c r="AW499" i="2"/>
  <c r="AW500" i="2"/>
  <c r="AW507" i="2"/>
  <c r="AW512" i="2"/>
  <c r="AX211" i="2" l="1"/>
  <c r="AZ211" i="2"/>
  <c r="BB211" i="2"/>
  <c r="AC23" i="6"/>
  <c r="AD23" i="6" s="1"/>
  <c r="AC24" i="6"/>
  <c r="AD24" i="6" s="1"/>
  <c r="AC32" i="6"/>
  <c r="AD32" i="6" s="1"/>
  <c r="AC35" i="6"/>
  <c r="AD35" i="6" s="1"/>
  <c r="AC36" i="6"/>
  <c r="AD36" i="6" s="1"/>
  <c r="AC46" i="6"/>
  <c r="AD46" i="6" s="1"/>
  <c r="AC47" i="6"/>
  <c r="AD47" i="6" s="1"/>
  <c r="AC54" i="6"/>
  <c r="AD54" i="6" s="1"/>
  <c r="AC62" i="6"/>
  <c r="AD62" i="6" s="1"/>
  <c r="AC63" i="6"/>
  <c r="AD63" i="6" s="1"/>
  <c r="AC66" i="6"/>
  <c r="AD66" i="6" s="1"/>
  <c r="AC68" i="6"/>
  <c r="AD68" i="6" s="1"/>
  <c r="AC69" i="6"/>
  <c r="AD69" i="6" s="1"/>
  <c r="AC74" i="6"/>
  <c r="AD74" i="6" s="1"/>
  <c r="AC75" i="6"/>
  <c r="AD75" i="6" s="1"/>
  <c r="AC79" i="6"/>
  <c r="AD79" i="6" s="1"/>
  <c r="AC98" i="6"/>
  <c r="AD98" i="6" s="1"/>
  <c r="AC99" i="6"/>
  <c r="AD99" i="6" s="1"/>
  <c r="AC100" i="6"/>
  <c r="AD100" i="6" s="1"/>
  <c r="AC101" i="6"/>
  <c r="AD101" i="6" s="1"/>
  <c r="AC106" i="6"/>
  <c r="AD106" i="6" s="1"/>
  <c r="AC107" i="6"/>
  <c r="AD107" i="6" s="1"/>
  <c r="AC110" i="6"/>
  <c r="AD110" i="6" s="1"/>
  <c r="AC111" i="6"/>
  <c r="AD111" i="6" s="1"/>
  <c r="AC113" i="6"/>
  <c r="AD113" i="6" s="1"/>
  <c r="AC114" i="6"/>
  <c r="AD114" i="6" s="1"/>
  <c r="AC116" i="6"/>
  <c r="AD116" i="6" s="1"/>
  <c r="AC117" i="6"/>
  <c r="AD117" i="6" s="1"/>
  <c r="AC121" i="6"/>
  <c r="AD121" i="6" s="1"/>
  <c r="AC122" i="6"/>
  <c r="AD122" i="6" s="1"/>
  <c r="AC126" i="6"/>
  <c r="AD126" i="6" s="1"/>
  <c r="AC127" i="6"/>
  <c r="AD127" i="6" s="1"/>
  <c r="AC130" i="6"/>
  <c r="AD130" i="6" s="1"/>
  <c r="AC132" i="6"/>
  <c r="AD132" i="6" s="1"/>
  <c r="AC133" i="6"/>
  <c r="AD133" i="6" s="1"/>
  <c r="AC137" i="6"/>
  <c r="AD137" i="6" s="1"/>
  <c r="AC138" i="6"/>
  <c r="AD138" i="6" s="1"/>
  <c r="AC151" i="6"/>
  <c r="AD151" i="6" s="1"/>
  <c r="AC152" i="6"/>
  <c r="AD152" i="6" s="1"/>
  <c r="AC155" i="6"/>
  <c r="AD155" i="6" s="1"/>
  <c r="AC159" i="6"/>
  <c r="AD159" i="6" s="1"/>
  <c r="AC161" i="6"/>
  <c r="AD161" i="6" s="1"/>
  <c r="AC164" i="6"/>
  <c r="Q211" i="2" l="1"/>
  <c r="AY211" i="2" s="1"/>
  <c r="FB177" i="2" l="1"/>
  <c r="FB179" i="2" s="1"/>
  <c r="ET225" i="2"/>
  <c r="EL216" i="2"/>
  <c r="AD21" i="3" l="1"/>
  <c r="AD22" i="3"/>
  <c r="AD29" i="3"/>
  <c r="AD30" i="3"/>
  <c r="AD37" i="3"/>
  <c r="AD38" i="3"/>
  <c r="AD43" i="3"/>
  <c r="AD44" i="3"/>
  <c r="AD49" i="3"/>
  <c r="AD50" i="3"/>
  <c r="AD54" i="3"/>
  <c r="AD55" i="3"/>
  <c r="AD56" i="3"/>
  <c r="AD60" i="3"/>
  <c r="AD61" i="3"/>
  <c r="AD67" i="3"/>
  <c r="AD94" i="3"/>
  <c r="AD95" i="3"/>
  <c r="AD98" i="3"/>
  <c r="AD99" i="3"/>
  <c r="AD100" i="3"/>
  <c r="AD109" i="3"/>
  <c r="AD115" i="3"/>
  <c r="AD117" i="3"/>
  <c r="AD128" i="3"/>
  <c r="AD129" i="3"/>
  <c r="AD130" i="3"/>
  <c r="AD131" i="3"/>
  <c r="AD132" i="3"/>
  <c r="AD137" i="3"/>
  <c r="AD141" i="3"/>
  <c r="AD142" i="3"/>
  <c r="FC59" i="2" l="1"/>
  <c r="AC153" i="6" l="1"/>
  <c r="AD153" i="6" s="1"/>
  <c r="C47" i="3" l="1"/>
  <c r="FD225" i="2"/>
  <c r="U157" i="6" s="1"/>
  <c r="FC225" i="2"/>
  <c r="V157" i="6" s="1"/>
  <c r="FB225" i="2"/>
  <c r="EZ225" i="2"/>
  <c r="EY225" i="2"/>
  <c r="W157" i="6" s="1"/>
  <c r="EX225" i="2"/>
  <c r="EW225" i="2"/>
  <c r="FD224" i="2"/>
  <c r="U156" i="6" s="1"/>
  <c r="FC224" i="2"/>
  <c r="V156" i="6" s="1"/>
  <c r="FB224" i="2"/>
  <c r="EZ224" i="2"/>
  <c r="EY224" i="2"/>
  <c r="W156" i="6" s="1"/>
  <c r="EX224" i="2"/>
  <c r="T156" i="6" s="1"/>
  <c r="EW224" i="2"/>
  <c r="S156" i="6" s="1"/>
  <c r="FD177" i="2"/>
  <c r="FC177" i="2"/>
  <c r="FA177" i="2"/>
  <c r="FA179" i="2" s="1"/>
  <c r="EZ177" i="2"/>
  <c r="EZ179" i="2" s="1"/>
  <c r="EY177" i="2"/>
  <c r="EX177" i="2"/>
  <c r="EX179" i="2" s="1"/>
  <c r="EW177" i="2"/>
  <c r="EW179" i="2" s="1"/>
  <c r="FC170" i="2"/>
  <c r="V108" i="6" s="1"/>
  <c r="T48" i="7" s="1"/>
  <c r="FB170" i="2"/>
  <c r="FA170" i="2"/>
  <c r="EZ170" i="2"/>
  <c r="EY170" i="2"/>
  <c r="W108" i="6" s="1"/>
  <c r="U48" i="7" s="1"/>
  <c r="EX170" i="2"/>
  <c r="T108" i="6" s="1"/>
  <c r="R48" i="7" s="1"/>
  <c r="EW170" i="2"/>
  <c r="S108" i="6" s="1"/>
  <c r="Q48" i="7" s="1"/>
  <c r="EV170" i="2"/>
  <c r="R108" i="6" s="1"/>
  <c r="P48" i="7" s="1"/>
  <c r="FD163" i="2"/>
  <c r="FC163" i="2"/>
  <c r="FB163" i="2"/>
  <c r="FA163" i="2"/>
  <c r="EZ163" i="2"/>
  <c r="EY163" i="2"/>
  <c r="EX163" i="2"/>
  <c r="EW163" i="2"/>
  <c r="EV163" i="2"/>
  <c r="FD157" i="2"/>
  <c r="FC157" i="2"/>
  <c r="FA157" i="2"/>
  <c r="EZ157" i="2"/>
  <c r="EY157" i="2"/>
  <c r="EX157" i="2"/>
  <c r="EW157" i="2"/>
  <c r="EV157" i="2"/>
  <c r="FD155" i="2"/>
  <c r="FC155" i="2"/>
  <c r="FA155" i="2"/>
  <c r="EZ155" i="2"/>
  <c r="EY155" i="2"/>
  <c r="EX155" i="2"/>
  <c r="EW155" i="2"/>
  <c r="FD145" i="2"/>
  <c r="FC145" i="2"/>
  <c r="FA145" i="2"/>
  <c r="EZ145" i="2"/>
  <c r="EY145" i="2"/>
  <c r="EX145" i="2"/>
  <c r="EW145" i="2"/>
  <c r="FD136" i="2"/>
  <c r="FD142" i="2" s="1"/>
  <c r="FC136" i="2"/>
  <c r="FC142" i="2" s="1"/>
  <c r="FB136" i="2"/>
  <c r="FB142" i="2" s="1"/>
  <c r="FA136" i="2"/>
  <c r="FA142" i="2" s="1"/>
  <c r="EZ136" i="2"/>
  <c r="EZ142" i="2" s="1"/>
  <c r="EY136" i="2"/>
  <c r="EY142" i="2" s="1"/>
  <c r="EX136" i="2"/>
  <c r="EW136" i="2"/>
  <c r="EV136" i="2"/>
  <c r="FD128" i="2"/>
  <c r="FC128" i="2"/>
  <c r="FA128" i="2"/>
  <c r="EZ128" i="2"/>
  <c r="EY128" i="2"/>
  <c r="EX128" i="2"/>
  <c r="EW128" i="2"/>
  <c r="EV128" i="2"/>
  <c r="FD127" i="2"/>
  <c r="T103" i="3" s="1"/>
  <c r="FC127" i="2"/>
  <c r="U103" i="3" s="1"/>
  <c r="FB127" i="2"/>
  <c r="FA127" i="2"/>
  <c r="EZ127" i="2"/>
  <c r="V103" i="3"/>
  <c r="EX127" i="2"/>
  <c r="FD215" i="2"/>
  <c r="U149" i="6" s="1"/>
  <c r="S32" i="7" s="1"/>
  <c r="FC215" i="2"/>
  <c r="V149" i="6" s="1"/>
  <c r="T32" i="7" s="1"/>
  <c r="FB215" i="2"/>
  <c r="FA215" i="2"/>
  <c r="FL215" i="2" s="1"/>
  <c r="EZ215" i="2"/>
  <c r="EY215" i="2"/>
  <c r="W149" i="6" s="1"/>
  <c r="EX215" i="2"/>
  <c r="T149" i="6" s="1"/>
  <c r="R32" i="7" s="1"/>
  <c r="EW215" i="2"/>
  <c r="S149" i="6" s="1"/>
  <c r="Q32" i="7" s="1"/>
  <c r="R149" i="6"/>
  <c r="P32" i="7" s="1"/>
  <c r="FD119" i="2"/>
  <c r="FC119" i="2"/>
  <c r="FB119" i="2"/>
  <c r="FA119" i="2"/>
  <c r="EZ119" i="2"/>
  <c r="EY119" i="2"/>
  <c r="EX119" i="2"/>
  <c r="EW119" i="2"/>
  <c r="EV119" i="2"/>
  <c r="EV121" i="2" s="1"/>
  <c r="FD214" i="2"/>
  <c r="U148" i="6" s="1"/>
  <c r="S31" i="7" s="1"/>
  <c r="FC214" i="2"/>
  <c r="V148" i="6" s="1"/>
  <c r="T31" i="7" s="1"/>
  <c r="FB214" i="2"/>
  <c r="FA214" i="2"/>
  <c r="FL214" i="2" s="1"/>
  <c r="EZ214" i="2"/>
  <c r="EY214" i="2"/>
  <c r="W148" i="6" s="1"/>
  <c r="EX214" i="2"/>
  <c r="T148" i="6" s="1"/>
  <c r="R31" i="7" s="1"/>
  <c r="EW214" i="2"/>
  <c r="S148" i="6" s="1"/>
  <c r="Q31" i="7" s="1"/>
  <c r="R148" i="6"/>
  <c r="P31" i="7" s="1"/>
  <c r="FD102" i="2"/>
  <c r="FC102" i="2"/>
  <c r="FB102" i="2"/>
  <c r="FA102" i="2"/>
  <c r="EZ102" i="2"/>
  <c r="EX102" i="2"/>
  <c r="U55" i="6"/>
  <c r="S23" i="7" s="1"/>
  <c r="V55" i="6"/>
  <c r="T23" i="7" s="1"/>
  <c r="W55" i="6"/>
  <c r="T55" i="6"/>
  <c r="R23" i="7" s="1"/>
  <c r="FD99" i="2"/>
  <c r="FC99" i="2"/>
  <c r="FB99" i="2"/>
  <c r="FA99" i="2"/>
  <c r="EZ99" i="2"/>
  <c r="EY99" i="2"/>
  <c r="EX99" i="2"/>
  <c r="EW99" i="2"/>
  <c r="EV99" i="2"/>
  <c r="FD210" i="2"/>
  <c r="FC210" i="2"/>
  <c r="FB210" i="2"/>
  <c r="FA210" i="2"/>
  <c r="EZ210" i="2"/>
  <c r="EY210" i="2"/>
  <c r="EX210" i="2"/>
  <c r="EV210" i="2"/>
  <c r="R143" i="6" s="1"/>
  <c r="S65" i="3"/>
  <c r="Q65" i="3"/>
  <c r="U37" i="6"/>
  <c r="V37" i="6"/>
  <c r="W37" i="6"/>
  <c r="T37" i="6"/>
  <c r="T57" i="3"/>
  <c r="T59" i="3" s="1"/>
  <c r="U57" i="3"/>
  <c r="U59" i="3" s="1"/>
  <c r="V57" i="3"/>
  <c r="V59" i="3" s="1"/>
  <c r="FD68" i="2"/>
  <c r="FD71" i="2" s="1"/>
  <c r="FC68" i="2"/>
  <c r="FC71" i="2" s="1"/>
  <c r="FB68" i="2"/>
  <c r="FB71" i="2" s="1"/>
  <c r="FA68" i="2"/>
  <c r="FA71" i="2" s="1"/>
  <c r="EZ68" i="2"/>
  <c r="EZ71" i="2" s="1"/>
  <c r="EY68" i="2"/>
  <c r="EY71" i="2" s="1"/>
  <c r="EX68" i="2"/>
  <c r="EX71" i="2" s="1"/>
  <c r="EW68" i="2"/>
  <c r="EW71" i="2" s="1"/>
  <c r="EV68" i="2"/>
  <c r="EV71" i="2" s="1"/>
  <c r="T47" i="3"/>
  <c r="U47" i="3"/>
  <c r="V47" i="3"/>
  <c r="FD62" i="2"/>
  <c r="FC62" i="2"/>
  <c r="FB62" i="2"/>
  <c r="FA62" i="2"/>
  <c r="EZ62" i="2"/>
  <c r="EY62" i="2"/>
  <c r="EX62" i="2"/>
  <c r="EW62" i="2"/>
  <c r="EV62" i="2"/>
  <c r="FD59" i="2"/>
  <c r="FB59" i="2"/>
  <c r="FA59" i="2"/>
  <c r="EZ59" i="2"/>
  <c r="EY59" i="2"/>
  <c r="EX59" i="2"/>
  <c r="EW59" i="2"/>
  <c r="EV59" i="2"/>
  <c r="T36" i="3"/>
  <c r="U36" i="3"/>
  <c r="EV50" i="2"/>
  <c r="U30" i="6"/>
  <c r="V30" i="6"/>
  <c r="W30" i="6"/>
  <c r="T30" i="6"/>
  <c r="FD31" i="2"/>
  <c r="FD42" i="2" s="1"/>
  <c r="FC31" i="2"/>
  <c r="FC42" i="2" s="1"/>
  <c r="FB31" i="2"/>
  <c r="FB42" i="2" s="1"/>
  <c r="FA31" i="2"/>
  <c r="FA42" i="2" s="1"/>
  <c r="EZ31" i="2"/>
  <c r="EZ42" i="2" s="1"/>
  <c r="EY31" i="2"/>
  <c r="EY42" i="2" s="1"/>
  <c r="FD22" i="2"/>
  <c r="FC22" i="2"/>
  <c r="FB22" i="2"/>
  <c r="FA22" i="2"/>
  <c r="EZ22" i="2"/>
  <c r="EY22" i="2"/>
  <c r="EX22" i="2"/>
  <c r="EW22" i="2"/>
  <c r="U13" i="6"/>
  <c r="V13" i="6"/>
  <c r="W13" i="6"/>
  <c r="T13" i="6"/>
  <c r="W118" i="6" l="1"/>
  <c r="W120" i="6" s="1"/>
  <c r="EY179" i="2"/>
  <c r="U118" i="6"/>
  <c r="U120" i="6" s="1"/>
  <c r="FD179" i="2"/>
  <c r="V118" i="6"/>
  <c r="V120" i="6" s="1"/>
  <c r="FC179" i="2"/>
  <c r="EV142" i="2"/>
  <c r="EX142" i="2"/>
  <c r="EW142" i="2"/>
  <c r="FD226" i="2"/>
  <c r="EX226" i="2"/>
  <c r="FC226" i="2"/>
  <c r="EW226" i="2"/>
  <c r="FB226" i="2"/>
  <c r="EZ226" i="2"/>
  <c r="EY226" i="2"/>
  <c r="EZ134" i="2"/>
  <c r="FD134" i="2"/>
  <c r="EW134" i="2"/>
  <c r="FA134" i="2"/>
  <c r="EX134" i="2"/>
  <c r="EY134" i="2"/>
  <c r="FC134" i="2"/>
  <c r="U32" i="7"/>
  <c r="U31" i="7"/>
  <c r="FD216" i="2"/>
  <c r="P29" i="7"/>
  <c r="Q29" i="7"/>
  <c r="V68" i="3"/>
  <c r="U68" i="3"/>
  <c r="T68" i="3"/>
  <c r="V77" i="3"/>
  <c r="U77" i="3"/>
  <c r="T77" i="3"/>
  <c r="U23" i="7"/>
  <c r="V36" i="3"/>
  <c r="U40" i="3"/>
  <c r="U42" i="3" s="1"/>
  <c r="V40" i="3"/>
  <c r="T40" i="3"/>
  <c r="W134" i="6"/>
  <c r="V134" i="6"/>
  <c r="U134" i="6"/>
  <c r="EW28" i="2"/>
  <c r="EV65" i="2"/>
  <c r="EX79" i="2"/>
  <c r="FB79" i="2"/>
  <c r="FC79" i="2"/>
  <c r="EY79" i="2"/>
  <c r="EV79" i="2"/>
  <c r="EZ79" i="2"/>
  <c r="FD79" i="2"/>
  <c r="EV28" i="2"/>
  <c r="EW79" i="2"/>
  <c r="FA79" i="2"/>
  <c r="R65" i="3"/>
  <c r="T42" i="3" l="1"/>
  <c r="V42" i="3"/>
  <c r="U30" i="4"/>
  <c r="V30" i="4"/>
  <c r="T30" i="4"/>
  <c r="U136" i="6"/>
  <c r="S27" i="7"/>
  <c r="W136" i="6"/>
  <c r="U27" i="7"/>
  <c r="V136" i="6"/>
  <c r="T27" i="7"/>
  <c r="O9" i="6"/>
  <c r="O17" i="6"/>
  <c r="O27" i="6"/>
  <c r="O30" i="6"/>
  <c r="O33" i="6"/>
  <c r="O34" i="6" s="1"/>
  <c r="O37" i="6"/>
  <c r="O102" i="6"/>
  <c r="O104" i="6"/>
  <c r="O118" i="6"/>
  <c r="O120" i="6" s="1"/>
  <c r="O134" i="6"/>
  <c r="O150" i="6"/>
  <c r="AX59" i="2"/>
  <c r="BE88" i="2"/>
  <c r="BE91" i="2" s="1"/>
  <c r="FA225" i="2"/>
  <c r="S142" i="2"/>
  <c r="F29" i="4"/>
  <c r="EN182" i="2"/>
  <c r="EN185" i="2"/>
  <c r="A31" i="3"/>
  <c r="BF185" i="2"/>
  <c r="BF412" i="2" s="1"/>
  <c r="ES65" i="2"/>
  <c r="ER65" i="2"/>
  <c r="EQ65" i="2"/>
  <c r="EP65" i="2"/>
  <c r="EN65" i="2"/>
  <c r="EM65" i="2"/>
  <c r="EL65" i="2"/>
  <c r="AU65" i="2"/>
  <c r="AT65" i="2"/>
  <c r="AS65" i="2"/>
  <c r="AR65" i="2"/>
  <c r="AQ65" i="2"/>
  <c r="AP65" i="2"/>
  <c r="AO65" i="2"/>
  <c r="AN65" i="2"/>
  <c r="AM65" i="2"/>
  <c r="AL65" i="2"/>
  <c r="AK65" i="2"/>
  <c r="AJ65" i="2"/>
  <c r="AH65" i="2"/>
  <c r="AF65" i="2"/>
  <c r="AD65" i="2"/>
  <c r="AB65" i="2"/>
  <c r="Z65" i="2"/>
  <c r="X65" i="2"/>
  <c r="V65" i="2"/>
  <c r="T65" i="2"/>
  <c r="R65" i="2"/>
  <c r="E47" i="3"/>
  <c r="FL64" i="2"/>
  <c r="S47" i="3"/>
  <c r="R47" i="3"/>
  <c r="EH64" i="2"/>
  <c r="EG64" i="2"/>
  <c r="EF64" i="2"/>
  <c r="EE64" i="2"/>
  <c r="ED64" i="2"/>
  <c r="EC64" i="2"/>
  <c r="EB64" i="2"/>
  <c r="EA64" i="2"/>
  <c r="DY64" i="2"/>
  <c r="DX64" i="2"/>
  <c r="DW64" i="2"/>
  <c r="DV64" i="2"/>
  <c r="DU64" i="2"/>
  <c r="DT64" i="2"/>
  <c r="DS64" i="2"/>
  <c r="DR64" i="2"/>
  <c r="DP64" i="2"/>
  <c r="DO64" i="2"/>
  <c r="DN64" i="2"/>
  <c r="DM64" i="2"/>
  <c r="DL64" i="2"/>
  <c r="DK64" i="2"/>
  <c r="DJ64" i="2"/>
  <c r="DI64" i="2"/>
  <c r="DG64" i="2"/>
  <c r="DF64" i="2"/>
  <c r="DE64" i="2"/>
  <c r="DD64" i="2"/>
  <c r="DC64" i="2"/>
  <c r="DB64" i="2"/>
  <c r="DA64" i="2"/>
  <c r="CZ64" i="2"/>
  <c r="CL64" i="2"/>
  <c r="CJ64" i="2"/>
  <c r="CH64" i="2"/>
  <c r="CG64" i="2"/>
  <c r="CF64" i="2"/>
  <c r="CC64" i="2"/>
  <c r="CA64" i="2"/>
  <c r="BY64" i="2"/>
  <c r="BX64" i="2"/>
  <c r="BT64" i="2"/>
  <c r="BR64" i="2"/>
  <c r="BP64" i="2"/>
  <c r="BO64" i="2"/>
  <c r="BN64" i="2"/>
  <c r="BK64" i="2"/>
  <c r="BI64" i="2"/>
  <c r="BG64" i="2"/>
  <c r="BE64" i="2"/>
  <c r="BB64" i="2"/>
  <c r="AZ64" i="2"/>
  <c r="AX64" i="2"/>
  <c r="AV64" i="2"/>
  <c r="AI64" i="2"/>
  <c r="CK64" i="2" s="1"/>
  <c r="AG64" i="2"/>
  <c r="AE64" i="2"/>
  <c r="CB64" i="2" s="1"/>
  <c r="AC64" i="2"/>
  <c r="BZ64" i="2" s="1"/>
  <c r="AA64" i="2"/>
  <c r="BS64" i="2" s="1"/>
  <c r="Y64" i="2"/>
  <c r="BQ64" i="2" s="1"/>
  <c r="W64" i="2"/>
  <c r="BJ64" i="2" s="1"/>
  <c r="U64" i="2"/>
  <c r="BH64" i="2" s="1"/>
  <c r="S64" i="2"/>
  <c r="BA64" i="2" s="1"/>
  <c r="Q64" i="2"/>
  <c r="N64" i="2"/>
  <c r="EW210" i="2"/>
  <c r="AD145" i="3"/>
  <c r="EV182" i="2"/>
  <c r="EV177" i="2"/>
  <c r="EV155" i="2"/>
  <c r="EV161" i="2" s="1"/>
  <c r="EV134" i="2"/>
  <c r="J283" i="2"/>
  <c r="EV145" i="2"/>
  <c r="EV149" i="2" s="1"/>
  <c r="Q64" i="3"/>
  <c r="FE215" i="2"/>
  <c r="X149" i="6" s="1"/>
  <c r="V32" i="7" s="1"/>
  <c r="FE119" i="2"/>
  <c r="X64" i="6" s="1"/>
  <c r="X65" i="6" s="1"/>
  <c r="FE110" i="2"/>
  <c r="W76" i="3" s="1"/>
  <c r="FE109" i="2"/>
  <c r="W75" i="3" s="1"/>
  <c r="FE211" i="2"/>
  <c r="FE111" i="2"/>
  <c r="W79" i="3" s="1"/>
  <c r="W31" i="4" s="1"/>
  <c r="FE93" i="2"/>
  <c r="X55" i="6" s="1"/>
  <c r="V23" i="7" s="1"/>
  <c r="W57" i="3"/>
  <c r="W59" i="3" s="1"/>
  <c r="FE68" i="2"/>
  <c r="FE35" i="2"/>
  <c r="X26" i="6" s="1"/>
  <c r="FE27" i="2"/>
  <c r="W19" i="3" s="1"/>
  <c r="F30" i="6"/>
  <c r="E30" i="6"/>
  <c r="C30" i="6"/>
  <c r="E25" i="7" s="1"/>
  <c r="FL39" i="2"/>
  <c r="S30" i="6"/>
  <c r="R30" i="6"/>
  <c r="EH39" i="2"/>
  <c r="EG39" i="2"/>
  <c r="EF39" i="2"/>
  <c r="EE39" i="2"/>
  <c r="ED39" i="2"/>
  <c r="EC39" i="2"/>
  <c r="EB39" i="2"/>
  <c r="EA39" i="2"/>
  <c r="DY39" i="2"/>
  <c r="DX39" i="2"/>
  <c r="DW39" i="2"/>
  <c r="DV39" i="2"/>
  <c r="DU39" i="2"/>
  <c r="DT39" i="2"/>
  <c r="DS39" i="2"/>
  <c r="DR39" i="2"/>
  <c r="DP39" i="2"/>
  <c r="DO39" i="2"/>
  <c r="DN39" i="2"/>
  <c r="DM39" i="2"/>
  <c r="DL39" i="2"/>
  <c r="DK39" i="2"/>
  <c r="DJ39" i="2"/>
  <c r="DI39" i="2"/>
  <c r="CX39" i="2"/>
  <c r="CW39" i="2"/>
  <c r="CV39" i="2"/>
  <c r="CU39" i="2"/>
  <c r="CT39" i="2"/>
  <c r="CS39" i="2"/>
  <c r="CR39" i="2"/>
  <c r="CQ39" i="2"/>
  <c r="CL39" i="2"/>
  <c r="CJ39" i="2"/>
  <c r="CH39" i="2"/>
  <c r="CG39" i="2"/>
  <c r="CF39" i="2"/>
  <c r="CC39" i="2"/>
  <c r="CA39" i="2"/>
  <c r="BY39" i="2"/>
  <c r="BX39" i="2"/>
  <c r="BT39" i="2"/>
  <c r="BR39" i="2"/>
  <c r="BP39" i="2"/>
  <c r="BO39" i="2"/>
  <c r="BN39" i="2"/>
  <c r="BK39" i="2"/>
  <c r="BI39" i="2"/>
  <c r="BG39" i="2"/>
  <c r="BE39" i="2"/>
  <c r="BB39" i="2"/>
  <c r="AZ39" i="2"/>
  <c r="AX39" i="2"/>
  <c r="AV39" i="2"/>
  <c r="AI39" i="2"/>
  <c r="CK39" i="2" s="1"/>
  <c r="AG39" i="2"/>
  <c r="AE39" i="2"/>
  <c r="CB39" i="2" s="1"/>
  <c r="AC39" i="2"/>
  <c r="BZ39" i="2" s="1"/>
  <c r="AA39" i="2"/>
  <c r="BS39" i="2" s="1"/>
  <c r="Y39" i="2"/>
  <c r="W39" i="2"/>
  <c r="BJ39" i="2" s="1"/>
  <c r="U39" i="2"/>
  <c r="BH39" i="2" s="1"/>
  <c r="S39" i="2"/>
  <c r="BA39" i="2" s="1"/>
  <c r="Q39" i="2"/>
  <c r="N39" i="2"/>
  <c r="BE136" i="2"/>
  <c r="FB145" i="2"/>
  <c r="E64" i="3"/>
  <c r="FL88" i="2"/>
  <c r="R64" i="3"/>
  <c r="EH88" i="2"/>
  <c r="U64" i="3" s="1"/>
  <c r="U66" i="3" s="1"/>
  <c r="EG88" i="2"/>
  <c r="EF88" i="2"/>
  <c r="EE88" i="2"/>
  <c r="ED88" i="2"/>
  <c r="V64" i="3" s="1"/>
  <c r="V66" i="3" s="1"/>
  <c r="EC88" i="2"/>
  <c r="EB88" i="2"/>
  <c r="EA88" i="2"/>
  <c r="DY88" i="2"/>
  <c r="DX88" i="2"/>
  <c r="DW88" i="2"/>
  <c r="DV88" i="2"/>
  <c r="DU88" i="2"/>
  <c r="DT88" i="2"/>
  <c r="DS88" i="2"/>
  <c r="DR88" i="2"/>
  <c r="DG88" i="2"/>
  <c r="DF88" i="2"/>
  <c r="DE88" i="2"/>
  <c r="DD88" i="2"/>
  <c r="DC88" i="2"/>
  <c r="DB88" i="2"/>
  <c r="DA88" i="2"/>
  <c r="CZ88" i="2"/>
  <c r="CL88" i="2"/>
  <c r="CJ88" i="2"/>
  <c r="CH88" i="2"/>
  <c r="CF88" i="2"/>
  <c r="CC88" i="2"/>
  <c r="CA88" i="2"/>
  <c r="BY88" i="2"/>
  <c r="BW88" i="2"/>
  <c r="BT88" i="2"/>
  <c r="BT91" i="2" s="1"/>
  <c r="BR88" i="2"/>
  <c r="BR91" i="2" s="1"/>
  <c r="BP88" i="2"/>
  <c r="BP91" i="2" s="1"/>
  <c r="BN88" i="2"/>
  <c r="BN91" i="2" s="1"/>
  <c r="BK88" i="2"/>
  <c r="BK91" i="2" s="1"/>
  <c r="BI88" i="2"/>
  <c r="BI91" i="2" s="1"/>
  <c r="BG88" i="2"/>
  <c r="BG91" i="2" s="1"/>
  <c r="BB88" i="2"/>
  <c r="BB91" i="2" s="1"/>
  <c r="AZ88" i="2"/>
  <c r="AZ91" i="2" s="1"/>
  <c r="AX91" i="2"/>
  <c r="AI88" i="2"/>
  <c r="CK88" i="2" s="1"/>
  <c r="AG88" i="2"/>
  <c r="CI88" i="2" s="1"/>
  <c r="AE88" i="2"/>
  <c r="AC88" i="2"/>
  <c r="BZ88" i="2" s="1"/>
  <c r="AA88" i="2"/>
  <c r="AA91" i="2" s="1"/>
  <c r="Y88" i="2"/>
  <c r="W88" i="2"/>
  <c r="W91" i="2" s="1"/>
  <c r="U88" i="2"/>
  <c r="U91" i="2" s="1"/>
  <c r="S88" i="2"/>
  <c r="S91" i="2" s="1"/>
  <c r="Q88" i="2"/>
  <c r="Q91" i="2" s="1"/>
  <c r="N88" i="2"/>
  <c r="CG88" i="2"/>
  <c r="DF50" i="2"/>
  <c r="G50" i="2"/>
  <c r="BX88" i="2"/>
  <c r="BO91" i="2"/>
  <c r="BA211" i="2"/>
  <c r="BC211" i="2" s="1"/>
  <c r="BD211" i="2" s="1"/>
  <c r="I283" i="2" s="1"/>
  <c r="CZ59" i="2"/>
  <c r="DA59" i="2"/>
  <c r="DB59" i="2"/>
  <c r="DC59" i="2"/>
  <c r="DD59" i="2"/>
  <c r="DE59" i="2"/>
  <c r="DF59" i="2"/>
  <c r="DG59" i="2"/>
  <c r="DI59" i="2"/>
  <c r="DJ59" i="2"/>
  <c r="DK59" i="2"/>
  <c r="DL59" i="2"/>
  <c r="DM59" i="2"/>
  <c r="DN59" i="2"/>
  <c r="DO59" i="2"/>
  <c r="DP59" i="2"/>
  <c r="AZ59" i="2"/>
  <c r="BB59" i="2"/>
  <c r="BG59" i="2"/>
  <c r="BI59" i="2"/>
  <c r="BK59" i="2"/>
  <c r="BN59" i="2"/>
  <c r="BO59" i="2"/>
  <c r="BP59" i="2"/>
  <c r="BR59" i="2"/>
  <c r="BT59" i="2"/>
  <c r="CF59" i="2"/>
  <c r="CG59" i="2"/>
  <c r="G59" i="2"/>
  <c r="U59" i="2"/>
  <c r="W59" i="2"/>
  <c r="Y59" i="2"/>
  <c r="AA59" i="2"/>
  <c r="CI59" i="2"/>
  <c r="BN225" i="2"/>
  <c r="BK419" i="2"/>
  <c r="M315" i="2"/>
  <c r="L315" i="2"/>
  <c r="K315" i="2"/>
  <c r="J315" i="2"/>
  <c r="I315" i="2"/>
  <c r="M314" i="2"/>
  <c r="L314" i="2"/>
  <c r="K314" i="2"/>
  <c r="J314" i="2"/>
  <c r="I314" i="2"/>
  <c r="M303" i="2"/>
  <c r="L303" i="2"/>
  <c r="K303" i="2"/>
  <c r="J303" i="2"/>
  <c r="I303" i="2"/>
  <c r="M302" i="2"/>
  <c r="L302" i="2"/>
  <c r="K302" i="2"/>
  <c r="J302" i="2"/>
  <c r="I302" i="2"/>
  <c r="M294" i="2"/>
  <c r="L294" i="2"/>
  <c r="K294" i="2"/>
  <c r="J294" i="2"/>
  <c r="I294" i="2"/>
  <c r="M293" i="2"/>
  <c r="L293" i="2"/>
  <c r="K293" i="2"/>
  <c r="J293" i="2"/>
  <c r="I293" i="2"/>
  <c r="M276" i="2"/>
  <c r="L276" i="2"/>
  <c r="K276" i="2"/>
  <c r="J276" i="2"/>
  <c r="I276" i="2"/>
  <c r="M271" i="2"/>
  <c r="L271" i="2"/>
  <c r="K271" i="2"/>
  <c r="J271" i="2"/>
  <c r="I271" i="2"/>
  <c r="M270" i="2"/>
  <c r="L270" i="2"/>
  <c r="K270" i="2"/>
  <c r="J270" i="2"/>
  <c r="I270" i="2"/>
  <c r="M269" i="2"/>
  <c r="L269" i="2"/>
  <c r="K269" i="2"/>
  <c r="J269" i="2"/>
  <c r="I269" i="2"/>
  <c r="K241" i="2"/>
  <c r="J241" i="2"/>
  <c r="I241" i="2"/>
  <c r="ES161" i="2"/>
  <c r="ER161" i="2"/>
  <c r="EP161" i="2"/>
  <c r="EL161" i="2"/>
  <c r="AT161" i="2"/>
  <c r="AS161" i="2"/>
  <c r="AR161" i="2"/>
  <c r="AQ161" i="2"/>
  <c r="AP161" i="2"/>
  <c r="AO161" i="2"/>
  <c r="AN161" i="2"/>
  <c r="AM161" i="2"/>
  <c r="AL161" i="2"/>
  <c r="AK161" i="2"/>
  <c r="AJ161" i="2"/>
  <c r="ES28" i="2"/>
  <c r="ER28" i="2"/>
  <c r="EM28" i="2"/>
  <c r="EL28" i="2"/>
  <c r="EW211" i="2"/>
  <c r="S145" i="6" s="1"/>
  <c r="FL232" i="2"/>
  <c r="FL231" i="2"/>
  <c r="FL229" i="2"/>
  <c r="FL227" i="2"/>
  <c r="FL223" i="2"/>
  <c r="FL222" i="2"/>
  <c r="FL219" i="2"/>
  <c r="FL204" i="2"/>
  <c r="FL203" i="2"/>
  <c r="FL202" i="2"/>
  <c r="FL200" i="2"/>
  <c r="FL199" i="2"/>
  <c r="FL198" i="2"/>
  <c r="FL197" i="2"/>
  <c r="FL196" i="2"/>
  <c r="FL195" i="2"/>
  <c r="FL193" i="2"/>
  <c r="FL187" i="2"/>
  <c r="FL186" i="2"/>
  <c r="FL183" i="2"/>
  <c r="FL180" i="2"/>
  <c r="FL175" i="2"/>
  <c r="FL174" i="2"/>
  <c r="FL173" i="2"/>
  <c r="FL172" i="2"/>
  <c r="FL169" i="2"/>
  <c r="FL168" i="2"/>
  <c r="FL167" i="2"/>
  <c r="FL166" i="2"/>
  <c r="FL154" i="2"/>
  <c r="FL153" i="2"/>
  <c r="FL152" i="2"/>
  <c r="FL151" i="2"/>
  <c r="FL144" i="2"/>
  <c r="FL135" i="2"/>
  <c r="FL124" i="2"/>
  <c r="FL123" i="2"/>
  <c r="FL122" i="2"/>
  <c r="FL118" i="2"/>
  <c r="FL117" i="2"/>
  <c r="FL101" i="2"/>
  <c r="FL100" i="2"/>
  <c r="FL92" i="2"/>
  <c r="FL82" i="2"/>
  <c r="FL81" i="2"/>
  <c r="FL80" i="2"/>
  <c r="FL74" i="2"/>
  <c r="FL73" i="2"/>
  <c r="FL67" i="2"/>
  <c r="FL66" i="2"/>
  <c r="FL61" i="2"/>
  <c r="FL60" i="2"/>
  <c r="FL52" i="2"/>
  <c r="FL51" i="2"/>
  <c r="FL44" i="2"/>
  <c r="FL43" i="2"/>
  <c r="FL30" i="2"/>
  <c r="FL29" i="2"/>
  <c r="FL21" i="2"/>
  <c r="FL20" i="2"/>
  <c r="T76" i="3"/>
  <c r="U76" i="3"/>
  <c r="FL110" i="2"/>
  <c r="V76" i="3"/>
  <c r="EH110" i="2"/>
  <c r="EG110" i="2"/>
  <c r="EF110" i="2"/>
  <c r="EE110" i="2"/>
  <c r="ED110" i="2"/>
  <c r="EC110" i="2"/>
  <c r="EB110" i="2"/>
  <c r="EA110" i="2"/>
  <c r="DY110" i="2"/>
  <c r="DX110" i="2"/>
  <c r="DW110" i="2"/>
  <c r="DV110" i="2"/>
  <c r="DU110" i="2"/>
  <c r="DT110" i="2"/>
  <c r="DS110" i="2"/>
  <c r="DR110" i="2"/>
  <c r="DP110" i="2"/>
  <c r="DO110" i="2"/>
  <c r="DN110" i="2"/>
  <c r="DM110" i="2"/>
  <c r="DL110" i="2"/>
  <c r="DK110" i="2"/>
  <c r="DJ110" i="2"/>
  <c r="DI110" i="2"/>
  <c r="DG110" i="2"/>
  <c r="DF110" i="2"/>
  <c r="DE110" i="2"/>
  <c r="DD110" i="2"/>
  <c r="DC110" i="2"/>
  <c r="DB110" i="2"/>
  <c r="DA110" i="2"/>
  <c r="CZ110" i="2"/>
  <c r="CL110" i="2"/>
  <c r="CJ110" i="2"/>
  <c r="CH110" i="2"/>
  <c r="CG110" i="2"/>
  <c r="CF110" i="2"/>
  <c r="CC110" i="2"/>
  <c r="CA110" i="2"/>
  <c r="BY110" i="2"/>
  <c r="BX110" i="2"/>
  <c r="BW110" i="2"/>
  <c r="BT110" i="2"/>
  <c r="BR110" i="2"/>
  <c r="BP110" i="2"/>
  <c r="BO110" i="2"/>
  <c r="BN110" i="2"/>
  <c r="BK110" i="2"/>
  <c r="BI110" i="2"/>
  <c r="BG110" i="2"/>
  <c r="BE110" i="2"/>
  <c r="BB110" i="2"/>
  <c r="AZ110" i="2"/>
  <c r="AX110" i="2"/>
  <c r="AI110" i="2"/>
  <c r="AG110" i="2"/>
  <c r="CI110" i="2" s="1"/>
  <c r="AE110" i="2"/>
  <c r="CB110" i="2" s="1"/>
  <c r="AC110" i="2"/>
  <c r="BZ110" i="2" s="1"/>
  <c r="AA110" i="2"/>
  <c r="Y110" i="2"/>
  <c r="BQ110" i="2" s="1"/>
  <c r="S110" i="2"/>
  <c r="Q110" i="2"/>
  <c r="AY110" i="2" s="1"/>
  <c r="N110" i="2"/>
  <c r="EH109" i="2"/>
  <c r="EG109" i="2"/>
  <c r="EF109" i="2"/>
  <c r="EE109" i="2"/>
  <c r="ED109" i="2"/>
  <c r="EC109" i="2"/>
  <c r="EB109" i="2"/>
  <c r="EA109" i="2"/>
  <c r="DY109" i="2"/>
  <c r="DX109" i="2"/>
  <c r="DW109" i="2"/>
  <c r="DV109" i="2"/>
  <c r="DU109" i="2"/>
  <c r="DT109" i="2"/>
  <c r="DS109" i="2"/>
  <c r="DR109" i="2"/>
  <c r="DP109" i="2"/>
  <c r="DO109" i="2"/>
  <c r="DN109" i="2"/>
  <c r="DM109" i="2"/>
  <c r="DL109" i="2"/>
  <c r="DK109" i="2"/>
  <c r="DJ109" i="2"/>
  <c r="DI109" i="2"/>
  <c r="DG109" i="2"/>
  <c r="DF109" i="2"/>
  <c r="DE109" i="2"/>
  <c r="DD109" i="2"/>
  <c r="DC109" i="2"/>
  <c r="DB109" i="2"/>
  <c r="DA109" i="2"/>
  <c r="CZ109" i="2"/>
  <c r="CL109" i="2"/>
  <c r="CJ109" i="2"/>
  <c r="CH109" i="2"/>
  <c r="CG109" i="2"/>
  <c r="CF109" i="2"/>
  <c r="CC109" i="2"/>
  <c r="CA109" i="2"/>
  <c r="BY109" i="2"/>
  <c r="BX109" i="2"/>
  <c r="BW109" i="2"/>
  <c r="BT109" i="2"/>
  <c r="BR109" i="2"/>
  <c r="BP109" i="2"/>
  <c r="BO109" i="2"/>
  <c r="BN109" i="2"/>
  <c r="BK109" i="2"/>
  <c r="BI109" i="2"/>
  <c r="BG109" i="2"/>
  <c r="BE109" i="2"/>
  <c r="BB109" i="2"/>
  <c r="AZ109" i="2"/>
  <c r="AX109" i="2"/>
  <c r="AV109" i="2"/>
  <c r="AI109" i="2"/>
  <c r="CK109" i="2" s="1"/>
  <c r="AG109" i="2"/>
  <c r="CI109" i="2" s="1"/>
  <c r="AE109" i="2"/>
  <c r="CB109" i="2" s="1"/>
  <c r="AC109" i="2"/>
  <c r="BZ109" i="2" s="1"/>
  <c r="AA109" i="2"/>
  <c r="BS109" i="2" s="1"/>
  <c r="Y109" i="2"/>
  <c r="BQ109" i="2" s="1"/>
  <c r="BJ109" i="2"/>
  <c r="BH109" i="2"/>
  <c r="S109" i="2"/>
  <c r="BA109" i="2" s="1"/>
  <c r="Q109" i="2"/>
  <c r="AY109" i="2" s="1"/>
  <c r="N109" i="2"/>
  <c r="FL102" i="2"/>
  <c r="EH102" i="2"/>
  <c r="EG102" i="2"/>
  <c r="EF102" i="2"/>
  <c r="EE102" i="2"/>
  <c r="ED102" i="2"/>
  <c r="EC102" i="2"/>
  <c r="EB102" i="2"/>
  <c r="EA102" i="2"/>
  <c r="DY102" i="2"/>
  <c r="DX102" i="2"/>
  <c r="DW102" i="2"/>
  <c r="DV102" i="2"/>
  <c r="DU102" i="2"/>
  <c r="DT102" i="2"/>
  <c r="DS102" i="2"/>
  <c r="DR102" i="2"/>
  <c r="DP102" i="2"/>
  <c r="DO102" i="2"/>
  <c r="DN102" i="2"/>
  <c r="DM102" i="2"/>
  <c r="DL102" i="2"/>
  <c r="DK102" i="2"/>
  <c r="DJ102" i="2"/>
  <c r="DI102" i="2"/>
  <c r="DG102" i="2"/>
  <c r="DF102" i="2"/>
  <c r="DE102" i="2"/>
  <c r="DD102" i="2"/>
  <c r="DC102" i="2"/>
  <c r="DB102" i="2"/>
  <c r="DA102" i="2"/>
  <c r="CZ102" i="2"/>
  <c r="CL102" i="2"/>
  <c r="CJ102" i="2"/>
  <c r="CH102" i="2"/>
  <c r="CG102" i="2"/>
  <c r="CF102" i="2"/>
  <c r="CC102" i="2"/>
  <c r="CA102" i="2"/>
  <c r="BY102" i="2"/>
  <c r="BX102" i="2"/>
  <c r="BW102" i="2"/>
  <c r="BT102" i="2"/>
  <c r="BR102" i="2"/>
  <c r="BP102" i="2"/>
  <c r="BO102" i="2"/>
  <c r="BN102" i="2"/>
  <c r="BK102" i="2"/>
  <c r="BI102" i="2"/>
  <c r="BG102" i="2"/>
  <c r="BE102" i="2"/>
  <c r="BB102" i="2"/>
  <c r="AZ102" i="2"/>
  <c r="AX102" i="2"/>
  <c r="AI102" i="2"/>
  <c r="AG102" i="2"/>
  <c r="AE102" i="2"/>
  <c r="AC102" i="2"/>
  <c r="AA102" i="2"/>
  <c r="Y102" i="2"/>
  <c r="U102" i="2"/>
  <c r="S102" i="2"/>
  <c r="Q102" i="2"/>
  <c r="N102" i="2"/>
  <c r="FL17" i="2"/>
  <c r="FE17" i="2"/>
  <c r="X13" i="6" s="1"/>
  <c r="V24" i="7" s="1"/>
  <c r="EH17" i="2"/>
  <c r="EG17" i="2"/>
  <c r="EF17" i="2"/>
  <c r="EE17" i="2"/>
  <c r="ED17" i="2"/>
  <c r="EC17" i="2"/>
  <c r="EB17" i="2"/>
  <c r="EA17" i="2"/>
  <c r="DY17" i="2"/>
  <c r="DX17" i="2"/>
  <c r="DW17" i="2"/>
  <c r="DV17" i="2"/>
  <c r="DU17" i="2"/>
  <c r="DT17" i="2"/>
  <c r="DS17" i="2"/>
  <c r="DR17" i="2"/>
  <c r="DP17" i="2"/>
  <c r="DO17" i="2"/>
  <c r="DN17" i="2"/>
  <c r="DM17" i="2"/>
  <c r="DL17" i="2"/>
  <c r="DK17" i="2"/>
  <c r="DJ17" i="2"/>
  <c r="DI17" i="2"/>
  <c r="CX17" i="2"/>
  <c r="CW17" i="2"/>
  <c r="CV17" i="2"/>
  <c r="CU17" i="2"/>
  <c r="CT17" i="2"/>
  <c r="CS17" i="2"/>
  <c r="CR17" i="2"/>
  <c r="CQ17" i="2"/>
  <c r="CL17" i="2"/>
  <c r="CJ17" i="2"/>
  <c r="CH17" i="2"/>
  <c r="CG17" i="2"/>
  <c r="CF17" i="2"/>
  <c r="CC17" i="2"/>
  <c r="CA17" i="2"/>
  <c r="BY17" i="2"/>
  <c r="BX17" i="2"/>
  <c r="BW17" i="2"/>
  <c r="BT17" i="2"/>
  <c r="BR17" i="2"/>
  <c r="BP17" i="2"/>
  <c r="BO17" i="2"/>
  <c r="BN17" i="2"/>
  <c r="BK17" i="2"/>
  <c r="BI17" i="2"/>
  <c r="BG17" i="2"/>
  <c r="BE17" i="2"/>
  <c r="BB17" i="2"/>
  <c r="AZ17" i="2"/>
  <c r="AX17" i="2"/>
  <c r="AV17" i="2"/>
  <c r="CI17" i="2"/>
  <c r="CB17" i="2"/>
  <c r="BZ17" i="2"/>
  <c r="AA17" i="2"/>
  <c r="BS17" i="2" s="1"/>
  <c r="Y17" i="2"/>
  <c r="W17" i="2"/>
  <c r="BJ17" i="2" s="1"/>
  <c r="U17" i="2"/>
  <c r="BH17" i="2" s="1"/>
  <c r="S17" i="2"/>
  <c r="Q17" i="2"/>
  <c r="AY17" i="2" s="1"/>
  <c r="BO155" i="2"/>
  <c r="BF414" i="2"/>
  <c r="BF171" i="2"/>
  <c r="BF407" i="2" s="1"/>
  <c r="AW93" i="2"/>
  <c r="FL93" i="2"/>
  <c r="EH93" i="2"/>
  <c r="EG93" i="2"/>
  <c r="EF93" i="2"/>
  <c r="EE93" i="2"/>
  <c r="ED93" i="2"/>
  <c r="EC93" i="2"/>
  <c r="EB93" i="2"/>
  <c r="EA93" i="2"/>
  <c r="DY93" i="2"/>
  <c r="DX93" i="2"/>
  <c r="DW93" i="2"/>
  <c r="DV93" i="2"/>
  <c r="DU93" i="2"/>
  <c r="DT93" i="2"/>
  <c r="DS93" i="2"/>
  <c r="DR93" i="2"/>
  <c r="DP93" i="2"/>
  <c r="DO93" i="2"/>
  <c r="DN93" i="2"/>
  <c r="DM93" i="2"/>
  <c r="DL93" i="2"/>
  <c r="DK93" i="2"/>
  <c r="DJ93" i="2"/>
  <c r="DI93" i="2"/>
  <c r="CX93" i="2"/>
  <c r="CW93" i="2"/>
  <c r="CV93" i="2"/>
  <c r="CU93" i="2"/>
  <c r="CT93" i="2"/>
  <c r="CS93" i="2"/>
  <c r="CR93" i="2"/>
  <c r="CQ93" i="2"/>
  <c r="CL93" i="2"/>
  <c r="CJ93" i="2"/>
  <c r="CH93" i="2"/>
  <c r="CG93" i="2"/>
  <c r="CF93" i="2"/>
  <c r="CC93" i="2"/>
  <c r="CA93" i="2"/>
  <c r="BY93" i="2"/>
  <c r="BX93" i="2"/>
  <c r="BW93" i="2"/>
  <c r="BT93" i="2"/>
  <c r="BR93" i="2"/>
  <c r="BP93" i="2"/>
  <c r="BO93" i="2"/>
  <c r="BN93" i="2"/>
  <c r="BK93" i="2"/>
  <c r="BI93" i="2"/>
  <c r="BG93" i="2"/>
  <c r="BE93" i="2"/>
  <c r="BB93" i="2"/>
  <c r="AZ93" i="2"/>
  <c r="AX93" i="2"/>
  <c r="AV93" i="2"/>
  <c r="AI93" i="2"/>
  <c r="AG93" i="2"/>
  <c r="AE93" i="2"/>
  <c r="AC93" i="2"/>
  <c r="AA93" i="2"/>
  <c r="Y93" i="2"/>
  <c r="W93" i="2"/>
  <c r="U93" i="2"/>
  <c r="S93" i="2"/>
  <c r="Q93" i="2"/>
  <c r="N93" i="2"/>
  <c r="FL83" i="2"/>
  <c r="EH83" i="2"/>
  <c r="EG83" i="2"/>
  <c r="EF83" i="2"/>
  <c r="EE83" i="2"/>
  <c r="ED83" i="2"/>
  <c r="EC83" i="2"/>
  <c r="EB83" i="2"/>
  <c r="EA83" i="2"/>
  <c r="DY83" i="2"/>
  <c r="DX83" i="2"/>
  <c r="DW83" i="2"/>
  <c r="DV83" i="2"/>
  <c r="DU83" i="2"/>
  <c r="DT83" i="2"/>
  <c r="DS83" i="2"/>
  <c r="DR83" i="2"/>
  <c r="DP83" i="2"/>
  <c r="DO83" i="2"/>
  <c r="DN83" i="2"/>
  <c r="DM83" i="2"/>
  <c r="DL83" i="2"/>
  <c r="DK83" i="2"/>
  <c r="DJ83" i="2"/>
  <c r="DI83" i="2"/>
  <c r="CL83" i="2"/>
  <c r="CJ83" i="2"/>
  <c r="CH83" i="2"/>
  <c r="CG83" i="2"/>
  <c r="CF83" i="2"/>
  <c r="CC83" i="2"/>
  <c r="CA83" i="2"/>
  <c r="BY83" i="2"/>
  <c r="BW83" i="2"/>
  <c r="AI83" i="2"/>
  <c r="AG83" i="2"/>
  <c r="AE83" i="2"/>
  <c r="AC83" i="2"/>
  <c r="BS83" i="2"/>
  <c r="Y83" i="2"/>
  <c r="N83" i="2"/>
  <c r="BO40" i="2"/>
  <c r="BO35" i="2"/>
  <c r="BO31" i="2"/>
  <c r="BO27" i="2"/>
  <c r="BO24" i="2"/>
  <c r="BO22" i="2"/>
  <c r="F24" i="4"/>
  <c r="C135" i="3"/>
  <c r="E135" i="3"/>
  <c r="F135" i="3"/>
  <c r="EH111" i="2"/>
  <c r="EG111" i="2"/>
  <c r="EF111" i="2"/>
  <c r="EE111" i="2"/>
  <c r="ED111" i="2"/>
  <c r="EC111" i="2"/>
  <c r="EB111" i="2"/>
  <c r="EA111" i="2"/>
  <c r="DY111" i="2"/>
  <c r="DX111" i="2"/>
  <c r="DW111" i="2"/>
  <c r="DV111" i="2"/>
  <c r="DU111" i="2"/>
  <c r="DT111" i="2"/>
  <c r="DS111" i="2"/>
  <c r="DR111" i="2"/>
  <c r="DP111" i="2"/>
  <c r="DO111" i="2"/>
  <c r="DN111" i="2"/>
  <c r="DM111" i="2"/>
  <c r="DL111" i="2"/>
  <c r="DK111" i="2"/>
  <c r="DJ111" i="2"/>
  <c r="DI111" i="2"/>
  <c r="CL111" i="2"/>
  <c r="CJ111" i="2"/>
  <c r="CH111" i="2"/>
  <c r="CG111" i="2"/>
  <c r="CF111" i="2"/>
  <c r="CC111" i="2"/>
  <c r="CA111" i="2"/>
  <c r="BY111" i="2"/>
  <c r="BX111" i="2"/>
  <c r="BW111" i="2"/>
  <c r="BT111" i="2"/>
  <c r="BR111" i="2"/>
  <c r="BP111" i="2"/>
  <c r="BO111" i="2"/>
  <c r="BN111" i="2"/>
  <c r="BK111" i="2"/>
  <c r="BI111" i="2"/>
  <c r="BG111" i="2"/>
  <c r="BE111" i="2"/>
  <c r="BB111" i="2"/>
  <c r="AZ111" i="2"/>
  <c r="AX111" i="2"/>
  <c r="AV111" i="2"/>
  <c r="AI111" i="2"/>
  <c r="AG111" i="2"/>
  <c r="CI111" i="2" s="1"/>
  <c r="AE111" i="2"/>
  <c r="CB111" i="2" s="1"/>
  <c r="AC111" i="2"/>
  <c r="BZ111" i="2" s="1"/>
  <c r="AA111" i="2"/>
  <c r="Y111" i="2"/>
  <c r="BQ111" i="2" s="1"/>
  <c r="BJ111" i="2"/>
  <c r="BH111" i="2"/>
  <c r="S111" i="2"/>
  <c r="BA111" i="2" s="1"/>
  <c r="Q111" i="2"/>
  <c r="AY111" i="2" s="1"/>
  <c r="N111" i="2"/>
  <c r="CN409" i="2"/>
  <c r="CM409" i="2"/>
  <c r="CL409" i="2"/>
  <c r="CK409" i="2"/>
  <c r="CJ409" i="2"/>
  <c r="CI409" i="2"/>
  <c r="CH409" i="2"/>
  <c r="CG409" i="2"/>
  <c r="CF409" i="2"/>
  <c r="CE409" i="2"/>
  <c r="CD409" i="2"/>
  <c r="CC409" i="2"/>
  <c r="CB409" i="2"/>
  <c r="CA409" i="2"/>
  <c r="BZ409" i="2"/>
  <c r="BY409" i="2"/>
  <c r="BX409" i="2"/>
  <c r="BW409" i="2"/>
  <c r="BV409" i="2"/>
  <c r="BU409" i="2"/>
  <c r="BT409" i="2"/>
  <c r="BS409" i="2"/>
  <c r="BR409" i="2"/>
  <c r="BQ409" i="2"/>
  <c r="BP409" i="2"/>
  <c r="BO409" i="2"/>
  <c r="BN409" i="2"/>
  <c r="BM409" i="2"/>
  <c r="BL409" i="2"/>
  <c r="BK409" i="2"/>
  <c r="BJ409" i="2"/>
  <c r="BI409" i="2"/>
  <c r="BH409" i="2"/>
  <c r="BG409" i="2"/>
  <c r="BF409" i="2"/>
  <c r="BE409" i="2"/>
  <c r="BD409" i="2"/>
  <c r="BC409" i="2"/>
  <c r="BB409" i="2"/>
  <c r="BA409" i="2"/>
  <c r="AZ409" i="2"/>
  <c r="AY409" i="2"/>
  <c r="AX409" i="2"/>
  <c r="AW409" i="2"/>
  <c r="AV409" i="2"/>
  <c r="EP28" i="2"/>
  <c r="BO163" i="2"/>
  <c r="BO119" i="2"/>
  <c r="AX113" i="2"/>
  <c r="S35" i="3"/>
  <c r="R35" i="3"/>
  <c r="Q35" i="3"/>
  <c r="F35" i="3"/>
  <c r="EW31" i="2"/>
  <c r="EW42" i="2" s="1"/>
  <c r="AW19" i="2"/>
  <c r="FE214" i="2"/>
  <c r="X148" i="6" s="1"/>
  <c r="V31" i="7" s="1"/>
  <c r="AV464" i="2"/>
  <c r="AV463" i="2"/>
  <c r="AW416" i="2"/>
  <c r="AX416" i="2"/>
  <c r="AY416" i="2"/>
  <c r="AZ416" i="2"/>
  <c r="BA416" i="2"/>
  <c r="BB416" i="2"/>
  <c r="BC416" i="2"/>
  <c r="BD416" i="2"/>
  <c r="BE416" i="2"/>
  <c r="BF416" i="2"/>
  <c r="BG416" i="2"/>
  <c r="BH416" i="2"/>
  <c r="BI416" i="2"/>
  <c r="BJ416" i="2"/>
  <c r="BK416" i="2"/>
  <c r="BL416" i="2"/>
  <c r="BM416" i="2"/>
  <c r="BN416" i="2"/>
  <c r="BO416" i="2"/>
  <c r="BP416" i="2"/>
  <c r="BQ416" i="2"/>
  <c r="BR416" i="2"/>
  <c r="BS416" i="2"/>
  <c r="BT416" i="2"/>
  <c r="BU416" i="2"/>
  <c r="BV416" i="2"/>
  <c r="BW416" i="2"/>
  <c r="BX416" i="2"/>
  <c r="BY416" i="2"/>
  <c r="BZ416" i="2"/>
  <c r="CA416" i="2"/>
  <c r="CB416" i="2"/>
  <c r="CC416" i="2"/>
  <c r="CD416" i="2"/>
  <c r="CE416" i="2"/>
  <c r="CF416" i="2"/>
  <c r="CG416" i="2"/>
  <c r="CH416" i="2"/>
  <c r="CI416" i="2"/>
  <c r="CJ416" i="2"/>
  <c r="CK416" i="2"/>
  <c r="CL416" i="2"/>
  <c r="CM416" i="2"/>
  <c r="CN416" i="2"/>
  <c r="AW417" i="2"/>
  <c r="AX417" i="2"/>
  <c r="AY417" i="2"/>
  <c r="AZ417" i="2"/>
  <c r="BA417" i="2"/>
  <c r="BB417" i="2"/>
  <c r="BC417" i="2"/>
  <c r="BD417" i="2"/>
  <c r="BE417" i="2"/>
  <c r="BF417" i="2"/>
  <c r="BG417" i="2"/>
  <c r="BH417" i="2"/>
  <c r="BI417" i="2"/>
  <c r="BJ417" i="2"/>
  <c r="BK417" i="2"/>
  <c r="BL417" i="2"/>
  <c r="BM417" i="2"/>
  <c r="BN417" i="2"/>
  <c r="BO417" i="2"/>
  <c r="BP417" i="2"/>
  <c r="BQ417" i="2"/>
  <c r="BR417" i="2"/>
  <c r="BS417" i="2"/>
  <c r="BT417" i="2"/>
  <c r="BU417" i="2"/>
  <c r="BV417" i="2"/>
  <c r="BW417" i="2"/>
  <c r="BX417" i="2"/>
  <c r="BY417" i="2"/>
  <c r="BZ417" i="2"/>
  <c r="CA417" i="2"/>
  <c r="CB417" i="2"/>
  <c r="CC417" i="2"/>
  <c r="CD417" i="2"/>
  <c r="CE417" i="2"/>
  <c r="CF417" i="2"/>
  <c r="CG417" i="2"/>
  <c r="CH417" i="2"/>
  <c r="CI417" i="2"/>
  <c r="CJ417" i="2"/>
  <c r="CK417" i="2"/>
  <c r="CL417" i="2"/>
  <c r="CM417" i="2"/>
  <c r="CN417" i="2"/>
  <c r="AV417" i="2"/>
  <c r="AV416" i="2"/>
  <c r="AX136" i="2"/>
  <c r="AX142" i="2" s="1"/>
  <c r="N109" i="6"/>
  <c r="EU191" i="2"/>
  <c r="EJ191" i="2"/>
  <c r="EJ201" i="2" s="1"/>
  <c r="CO191" i="2"/>
  <c r="AU191" i="2"/>
  <c r="AT191" i="2"/>
  <c r="AS191" i="2"/>
  <c r="AR191" i="2"/>
  <c r="AQ191" i="2"/>
  <c r="AP191" i="2"/>
  <c r="AO191" i="2"/>
  <c r="AN191" i="2"/>
  <c r="AM191" i="2"/>
  <c r="AL191" i="2"/>
  <c r="AK191" i="2"/>
  <c r="AJ191" i="2"/>
  <c r="AH191" i="2"/>
  <c r="AF191" i="2"/>
  <c r="AD191" i="2"/>
  <c r="AB191" i="2"/>
  <c r="BK414" i="2"/>
  <c r="E171" i="2"/>
  <c r="EU171" i="2"/>
  <c r="ES171" i="2"/>
  <c r="ER171" i="2"/>
  <c r="EP171" i="2"/>
  <c r="EO171" i="2"/>
  <c r="EN171" i="2"/>
  <c r="EM171" i="2"/>
  <c r="EL171" i="2"/>
  <c r="EK171" i="2"/>
  <c r="CP171" i="2"/>
  <c r="CO171" i="2"/>
  <c r="AU171" i="2"/>
  <c r="AT171" i="2"/>
  <c r="AS171" i="2"/>
  <c r="AR171" i="2"/>
  <c r="AQ171" i="2"/>
  <c r="AP171" i="2"/>
  <c r="AO171" i="2"/>
  <c r="AN171" i="2"/>
  <c r="AM171" i="2"/>
  <c r="AL171" i="2"/>
  <c r="AK171" i="2"/>
  <c r="AJ171" i="2"/>
  <c r="AH171" i="2"/>
  <c r="AF171" i="2"/>
  <c r="AD171" i="2"/>
  <c r="AB171" i="2"/>
  <c r="Z171" i="2"/>
  <c r="X171" i="2"/>
  <c r="V171" i="2"/>
  <c r="T171" i="2"/>
  <c r="R171" i="2"/>
  <c r="P171" i="2"/>
  <c r="FD171" i="2"/>
  <c r="FC171" i="2"/>
  <c r="FB171" i="2"/>
  <c r="EZ171" i="2"/>
  <c r="EY171" i="2"/>
  <c r="EX171" i="2"/>
  <c r="EW171" i="2"/>
  <c r="EV171" i="2"/>
  <c r="EH170" i="2"/>
  <c r="EH171" i="2" s="1"/>
  <c r="CM454" i="2" s="1"/>
  <c r="EG170" i="2"/>
  <c r="EG171" i="2" s="1"/>
  <c r="CL454" i="2" s="1"/>
  <c r="EF170" i="2"/>
  <c r="EF171" i="2" s="1"/>
  <c r="CK454" i="2" s="1"/>
  <c r="EE170" i="2"/>
  <c r="EE171" i="2" s="1"/>
  <c r="CJ454" i="2" s="1"/>
  <c r="ED170" i="2"/>
  <c r="ED171" i="2" s="1"/>
  <c r="CI454" i="2" s="1"/>
  <c r="EC170" i="2"/>
  <c r="EC171" i="2" s="1"/>
  <c r="CH454" i="2" s="1"/>
  <c r="EB170" i="2"/>
  <c r="EB171" i="2" s="1"/>
  <c r="CG454" i="2" s="1"/>
  <c r="EA170" i="2"/>
  <c r="EA171" i="2" s="1"/>
  <c r="CF454" i="2" s="1"/>
  <c r="DY170" i="2"/>
  <c r="DY171" i="2" s="1"/>
  <c r="CD454" i="2" s="1"/>
  <c r="DX170" i="2"/>
  <c r="DX171" i="2" s="1"/>
  <c r="CC454" i="2" s="1"/>
  <c r="DW170" i="2"/>
  <c r="DW171" i="2" s="1"/>
  <c r="CB454" i="2" s="1"/>
  <c r="DV170" i="2"/>
  <c r="DV171" i="2" s="1"/>
  <c r="CA454" i="2" s="1"/>
  <c r="DU170" i="2"/>
  <c r="DU171" i="2" s="1"/>
  <c r="BZ454" i="2" s="1"/>
  <c r="DT170" i="2"/>
  <c r="DT171" i="2" s="1"/>
  <c r="BY454" i="2" s="1"/>
  <c r="DS170" i="2"/>
  <c r="DS171" i="2" s="1"/>
  <c r="BX454" i="2" s="1"/>
  <c r="DR170" i="2"/>
  <c r="DR171" i="2" s="1"/>
  <c r="BW454" i="2" s="1"/>
  <c r="DP170" i="2"/>
  <c r="DP171" i="2" s="1"/>
  <c r="BU454" i="2" s="1"/>
  <c r="DO170" i="2"/>
  <c r="DO171" i="2" s="1"/>
  <c r="BT454" i="2" s="1"/>
  <c r="DN170" i="2"/>
  <c r="DN171" i="2" s="1"/>
  <c r="BS454" i="2" s="1"/>
  <c r="DM170" i="2"/>
  <c r="DM171" i="2" s="1"/>
  <c r="BR454" i="2" s="1"/>
  <c r="DL170" i="2"/>
  <c r="DL171" i="2" s="1"/>
  <c r="BQ454" i="2" s="1"/>
  <c r="DK170" i="2"/>
  <c r="DK171" i="2" s="1"/>
  <c r="BP454" i="2" s="1"/>
  <c r="DJ170" i="2"/>
  <c r="DJ171" i="2" s="1"/>
  <c r="BO454" i="2" s="1"/>
  <c r="DI170" i="2"/>
  <c r="DI171" i="2" s="1"/>
  <c r="BN454" i="2" s="1"/>
  <c r="CX170" i="2"/>
  <c r="CX171" i="2" s="1"/>
  <c r="BC454" i="2" s="1"/>
  <c r="CW170" i="2"/>
  <c r="CW171" i="2" s="1"/>
  <c r="BB454" i="2" s="1"/>
  <c r="CV170" i="2"/>
  <c r="CV171" i="2" s="1"/>
  <c r="BA454" i="2" s="1"/>
  <c r="CU170" i="2"/>
  <c r="CU171" i="2" s="1"/>
  <c r="AZ454" i="2" s="1"/>
  <c r="CT170" i="2"/>
  <c r="CT171" i="2" s="1"/>
  <c r="AY454" i="2" s="1"/>
  <c r="CS170" i="2"/>
  <c r="CS171" i="2" s="1"/>
  <c r="AX454" i="2" s="1"/>
  <c r="CR170" i="2"/>
  <c r="CR171" i="2" s="1"/>
  <c r="AW454" i="2" s="1"/>
  <c r="CQ170" i="2"/>
  <c r="CQ171" i="2" s="1"/>
  <c r="AV454" i="2" s="1"/>
  <c r="CL170" i="2"/>
  <c r="CL171" i="2" s="1"/>
  <c r="CL407" i="2" s="1"/>
  <c r="CJ170" i="2"/>
  <c r="CJ171" i="2" s="1"/>
  <c r="CJ407" i="2" s="1"/>
  <c r="CH170" i="2"/>
  <c r="CH171" i="2" s="1"/>
  <c r="CH407" i="2" s="1"/>
  <c r="CG170" i="2"/>
  <c r="CG171" i="2" s="1"/>
  <c r="CG407" i="2" s="1"/>
  <c r="CF170" i="2"/>
  <c r="CF171" i="2" s="1"/>
  <c r="CF407" i="2" s="1"/>
  <c r="CC170" i="2"/>
  <c r="CC171" i="2" s="1"/>
  <c r="CC407" i="2" s="1"/>
  <c r="CA170" i="2"/>
  <c r="CA171" i="2" s="1"/>
  <c r="CA407" i="2" s="1"/>
  <c r="BY170" i="2"/>
  <c r="BY171" i="2" s="1"/>
  <c r="BY407" i="2" s="1"/>
  <c r="BX170" i="2"/>
  <c r="BX171" i="2" s="1"/>
  <c r="BX407" i="2" s="1"/>
  <c r="BW170" i="2"/>
  <c r="BW171" i="2" s="1"/>
  <c r="BW407" i="2" s="1"/>
  <c r="BT170" i="2"/>
  <c r="BT171" i="2" s="1"/>
  <c r="BT407" i="2" s="1"/>
  <c r="BR170" i="2"/>
  <c r="BR171" i="2" s="1"/>
  <c r="BR407" i="2" s="1"/>
  <c r="BP170" i="2"/>
  <c r="BP171" i="2" s="1"/>
  <c r="BP407" i="2" s="1"/>
  <c r="BO170" i="2"/>
  <c r="BO171" i="2" s="1"/>
  <c r="BO407" i="2" s="1"/>
  <c r="BN170" i="2"/>
  <c r="BN171" i="2" s="1"/>
  <c r="BN407" i="2" s="1"/>
  <c r="BK170" i="2"/>
  <c r="BK171" i="2" s="1"/>
  <c r="BK407" i="2" s="1"/>
  <c r="BI170" i="2"/>
  <c r="BI171" i="2" s="1"/>
  <c r="BI407" i="2" s="1"/>
  <c r="BG170" i="2"/>
  <c r="BG171" i="2" s="1"/>
  <c r="BG407" i="2" s="1"/>
  <c r="BE171" i="2"/>
  <c r="BE407" i="2" s="1"/>
  <c r="BB170" i="2"/>
  <c r="BB171" i="2" s="1"/>
  <c r="BB407" i="2" s="1"/>
  <c r="AZ170" i="2"/>
  <c r="AZ171" i="2" s="1"/>
  <c r="AZ407" i="2" s="1"/>
  <c r="AX170" i="2"/>
  <c r="AX171" i="2" s="1"/>
  <c r="AX407" i="2" s="1"/>
  <c r="AW170" i="2"/>
  <c r="AW171" i="2" s="1"/>
  <c r="AW407" i="2" s="1"/>
  <c r="AV170" i="2"/>
  <c r="AV171" i="2" s="1"/>
  <c r="AV407" i="2" s="1"/>
  <c r="AI170" i="2"/>
  <c r="AG170" i="2"/>
  <c r="AE170" i="2"/>
  <c r="AC170" i="2"/>
  <c r="AA170" i="2"/>
  <c r="Y170" i="2"/>
  <c r="W170" i="2"/>
  <c r="U170" i="2"/>
  <c r="S170" i="2"/>
  <c r="G171" i="2"/>
  <c r="F171" i="2"/>
  <c r="BF31" i="2"/>
  <c r="FE24" i="2"/>
  <c r="W17" i="3" s="1"/>
  <c r="D243" i="2"/>
  <c r="ET221" i="2"/>
  <c r="FE177" i="2"/>
  <c r="BN145" i="2"/>
  <c r="BN149" i="2" s="1"/>
  <c r="FC221" i="2"/>
  <c r="FD194" i="2"/>
  <c r="FC194" i="2"/>
  <c r="FB194" i="2"/>
  <c r="FA194" i="2"/>
  <c r="EZ194" i="2"/>
  <c r="EQ221" i="2"/>
  <c r="EP221" i="2"/>
  <c r="EO221" i="2"/>
  <c r="EO228" i="2" s="1"/>
  <c r="EQ194" i="2"/>
  <c r="EQ201" i="2" s="1"/>
  <c r="EP194" i="2"/>
  <c r="EO194" i="2"/>
  <c r="EO185" i="2"/>
  <c r="EO182" i="2"/>
  <c r="EP149" i="2"/>
  <c r="EQ150" i="2"/>
  <c r="EP121" i="2"/>
  <c r="EO121" i="2"/>
  <c r="EP79" i="2"/>
  <c r="EQ50" i="2"/>
  <c r="EP50" i="2"/>
  <c r="FB220" i="2"/>
  <c r="FB221" i="2" s="1"/>
  <c r="FB185" i="2"/>
  <c r="FB182" i="2"/>
  <c r="FB176" i="2"/>
  <c r="FB162" i="2"/>
  <c r="FB211" i="2"/>
  <c r="FB216" i="2" s="1"/>
  <c r="FB19" i="2"/>
  <c r="FA220" i="2"/>
  <c r="FL220" i="2" s="1"/>
  <c r="FL177" i="2"/>
  <c r="FA176" i="2"/>
  <c r="FL176" i="2" s="1"/>
  <c r="FL163" i="2"/>
  <c r="FA162" i="2"/>
  <c r="FL162" i="2" s="1"/>
  <c r="FL157" i="2"/>
  <c r="FL136" i="2"/>
  <c r="FL128" i="2"/>
  <c r="FL127" i="2"/>
  <c r="FL119" i="2"/>
  <c r="FL113" i="2"/>
  <c r="FL112" i="2"/>
  <c r="FA211" i="2"/>
  <c r="FL210" i="2"/>
  <c r="FL78" i="2"/>
  <c r="FL62" i="2"/>
  <c r="FL40" i="2"/>
  <c r="FL36" i="2"/>
  <c r="FL35" i="2"/>
  <c r="FL31" i="2"/>
  <c r="FL27" i="2"/>
  <c r="FL25" i="2"/>
  <c r="FL24" i="2"/>
  <c r="FA10" i="2"/>
  <c r="FA19" i="2" s="1"/>
  <c r="EZ220" i="2"/>
  <c r="EZ221" i="2" s="1"/>
  <c r="EZ185" i="2"/>
  <c r="EZ182" i="2"/>
  <c r="EZ162" i="2"/>
  <c r="EZ211" i="2"/>
  <c r="EZ216" i="2" s="1"/>
  <c r="EZ10" i="2"/>
  <c r="EZ19" i="2" s="1"/>
  <c r="FE155" i="2"/>
  <c r="X102" i="6" s="1"/>
  <c r="V20" i="7" s="1"/>
  <c r="Q135" i="3"/>
  <c r="BE145" i="2"/>
  <c r="BE149" i="2" s="1"/>
  <c r="EH214" i="2"/>
  <c r="EG214" i="2"/>
  <c r="EF214" i="2"/>
  <c r="EE214" i="2"/>
  <c r="ED214" i="2"/>
  <c r="EC214" i="2"/>
  <c r="EB214" i="2"/>
  <c r="EA214" i="2"/>
  <c r="DY214" i="2"/>
  <c r="DX214" i="2"/>
  <c r="DW214" i="2"/>
  <c r="DV214" i="2"/>
  <c r="DU214" i="2"/>
  <c r="DT214" i="2"/>
  <c r="DS214" i="2"/>
  <c r="DR214" i="2"/>
  <c r="DG214" i="2"/>
  <c r="DF214" i="2"/>
  <c r="DE214" i="2"/>
  <c r="DD214" i="2"/>
  <c r="DC214" i="2"/>
  <c r="DB214" i="2"/>
  <c r="DA214" i="2"/>
  <c r="CZ214" i="2"/>
  <c r="CL214" i="2"/>
  <c r="CJ214" i="2"/>
  <c r="CH214" i="2"/>
  <c r="CG214" i="2"/>
  <c r="CF214" i="2"/>
  <c r="CC214" i="2"/>
  <c r="CA214" i="2"/>
  <c r="BY214" i="2"/>
  <c r="BX214" i="2"/>
  <c r="BW214" i="2"/>
  <c r="BT214" i="2"/>
  <c r="BR214" i="2"/>
  <c r="BP214" i="2"/>
  <c r="BN214" i="2"/>
  <c r="BK214" i="2"/>
  <c r="BI214" i="2"/>
  <c r="BG214" i="2"/>
  <c r="BB214" i="2"/>
  <c r="AZ214" i="2"/>
  <c r="AX214" i="2"/>
  <c r="AV214" i="2"/>
  <c r="CK214" i="2"/>
  <c r="CI214" i="2"/>
  <c r="CB214" i="2"/>
  <c r="BZ214" i="2"/>
  <c r="AA214" i="2"/>
  <c r="Y214" i="2"/>
  <c r="BQ214" i="2" s="1"/>
  <c r="W214" i="2"/>
  <c r="BJ214" i="2" s="1"/>
  <c r="U214" i="2"/>
  <c r="BH214" i="2" s="1"/>
  <c r="BA214" i="2"/>
  <c r="Q214" i="2"/>
  <c r="AY214" i="2" s="1"/>
  <c r="N214" i="2"/>
  <c r="E157" i="6"/>
  <c r="C157" i="6"/>
  <c r="E14" i="7" s="1"/>
  <c r="CL225" i="2"/>
  <c r="CJ225" i="2"/>
  <c r="CH225" i="2"/>
  <c r="CG225" i="2"/>
  <c r="CF225" i="2"/>
  <c r="CC225" i="2"/>
  <c r="CA225" i="2"/>
  <c r="BY225" i="2"/>
  <c r="BX225" i="2"/>
  <c r="BW225" i="2"/>
  <c r="BT225" i="2"/>
  <c r="BR225" i="2"/>
  <c r="BI225" i="2"/>
  <c r="BG225" i="2"/>
  <c r="BB225" i="2"/>
  <c r="AZ225" i="2"/>
  <c r="AX225" i="2"/>
  <c r="AW225" i="2"/>
  <c r="AV225" i="2"/>
  <c r="AI225" i="2"/>
  <c r="CK225" i="2" s="1"/>
  <c r="AG225" i="2"/>
  <c r="CI225" i="2" s="1"/>
  <c r="AE225" i="2"/>
  <c r="CB225" i="2" s="1"/>
  <c r="AC225" i="2"/>
  <c r="BZ225" i="2" s="1"/>
  <c r="AA225" i="2"/>
  <c r="BS225" i="2" s="1"/>
  <c r="Y225" i="2"/>
  <c r="BQ225" i="2" s="1"/>
  <c r="W225" i="2"/>
  <c r="BJ225" i="2" s="1"/>
  <c r="U225" i="2"/>
  <c r="BH225" i="2" s="1"/>
  <c r="S225" i="2"/>
  <c r="BA225" i="2" s="1"/>
  <c r="Q225" i="2"/>
  <c r="AY225" i="2" s="1"/>
  <c r="N225" i="2"/>
  <c r="ES221" i="2"/>
  <c r="ER221" i="2"/>
  <c r="ER228" i="2" s="1"/>
  <c r="EN221" i="2"/>
  <c r="EM221" i="2"/>
  <c r="EL221" i="2"/>
  <c r="EK221" i="2"/>
  <c r="EK228" i="2" s="1"/>
  <c r="ET194" i="2"/>
  <c r="ES194" i="2"/>
  <c r="ER194" i="2"/>
  <c r="EN194" i="2"/>
  <c r="EM194" i="2"/>
  <c r="EL194" i="2"/>
  <c r="EK194" i="2"/>
  <c r="ES185" i="2"/>
  <c r="ER185" i="2"/>
  <c r="EM185" i="2"/>
  <c r="EL185" i="2"/>
  <c r="ES182" i="2"/>
  <c r="ER182" i="2"/>
  <c r="EL182" i="2"/>
  <c r="ES164" i="2"/>
  <c r="ER164" i="2"/>
  <c r="EN164" i="2"/>
  <c r="EM164" i="2"/>
  <c r="EL164" i="2"/>
  <c r="ES149" i="2"/>
  <c r="ER149" i="2"/>
  <c r="EM149" i="2"/>
  <c r="EL149" i="2"/>
  <c r="ES121" i="2"/>
  <c r="EM121" i="2"/>
  <c r="ES79" i="2"/>
  <c r="ER79" i="2"/>
  <c r="EN79" i="2"/>
  <c r="EM79" i="2"/>
  <c r="EL79" i="2"/>
  <c r="ES50" i="2"/>
  <c r="EN50" i="2"/>
  <c r="EM50" i="2"/>
  <c r="EL50" i="2"/>
  <c r="G221" i="2"/>
  <c r="F221" i="2"/>
  <c r="F77" i="3"/>
  <c r="F78" i="3"/>
  <c r="C134" i="6"/>
  <c r="E27" i="7" s="1"/>
  <c r="F134" i="6"/>
  <c r="E134" i="6"/>
  <c r="F27" i="7" s="1"/>
  <c r="AV461" i="2"/>
  <c r="AW461" i="2"/>
  <c r="AX461" i="2"/>
  <c r="AY461" i="2"/>
  <c r="AZ461" i="2"/>
  <c r="BA461" i="2"/>
  <c r="BB461" i="2"/>
  <c r="BC461" i="2"/>
  <c r="DI191" i="2"/>
  <c r="BN461" i="2" s="1"/>
  <c r="DJ191" i="2"/>
  <c r="BO461" i="2" s="1"/>
  <c r="DK191" i="2"/>
  <c r="BP461" i="2" s="1"/>
  <c r="DL191" i="2"/>
  <c r="BQ461" i="2" s="1"/>
  <c r="DM191" i="2"/>
  <c r="BR461" i="2" s="1"/>
  <c r="DN191" i="2"/>
  <c r="BS461" i="2" s="1"/>
  <c r="DO191" i="2"/>
  <c r="BT461" i="2" s="1"/>
  <c r="DP191" i="2"/>
  <c r="BU461" i="2" s="1"/>
  <c r="DR191" i="2"/>
  <c r="BW461" i="2" s="1"/>
  <c r="DS191" i="2"/>
  <c r="BX461" i="2" s="1"/>
  <c r="DT191" i="2"/>
  <c r="BY461" i="2" s="1"/>
  <c r="DU191" i="2"/>
  <c r="BZ461" i="2" s="1"/>
  <c r="DV191" i="2"/>
  <c r="CA461" i="2" s="1"/>
  <c r="DW191" i="2"/>
  <c r="CB461" i="2" s="1"/>
  <c r="DX191" i="2"/>
  <c r="CC461" i="2" s="1"/>
  <c r="DY191" i="2"/>
  <c r="CD461" i="2" s="1"/>
  <c r="EA191" i="2"/>
  <c r="CF461" i="2" s="1"/>
  <c r="EB191" i="2"/>
  <c r="CG461" i="2" s="1"/>
  <c r="EC191" i="2"/>
  <c r="CH461" i="2" s="1"/>
  <c r="ED191" i="2"/>
  <c r="CI461" i="2" s="1"/>
  <c r="EE191" i="2"/>
  <c r="CJ461" i="2" s="1"/>
  <c r="EF191" i="2"/>
  <c r="CK461" i="2" s="1"/>
  <c r="EG191" i="2"/>
  <c r="CL461" i="2" s="1"/>
  <c r="EH191" i="2"/>
  <c r="CM461" i="2" s="1"/>
  <c r="AV414" i="2"/>
  <c r="AW414" i="2"/>
  <c r="AX414" i="2"/>
  <c r="AZ414" i="2"/>
  <c r="BB414" i="2"/>
  <c r="BE414" i="2"/>
  <c r="BG414" i="2"/>
  <c r="BI414" i="2"/>
  <c r="BN414" i="2"/>
  <c r="BO414" i="2"/>
  <c r="BP414" i="2"/>
  <c r="BR414" i="2"/>
  <c r="BT414" i="2"/>
  <c r="BW191" i="2"/>
  <c r="BW414" i="2" s="1"/>
  <c r="BX191" i="2"/>
  <c r="BX414" i="2" s="1"/>
  <c r="BY191" i="2"/>
  <c r="BY414" i="2" s="1"/>
  <c r="CA191" i="2"/>
  <c r="CA414" i="2" s="1"/>
  <c r="CC191" i="2"/>
  <c r="CC414" i="2" s="1"/>
  <c r="CF191" i="2"/>
  <c r="CF414" i="2" s="1"/>
  <c r="CG191" i="2"/>
  <c r="CG414" i="2" s="1"/>
  <c r="CH191" i="2"/>
  <c r="CH414" i="2" s="1"/>
  <c r="CJ191" i="2"/>
  <c r="CJ414" i="2" s="1"/>
  <c r="CL191" i="2"/>
  <c r="CL414" i="2" s="1"/>
  <c r="AA211" i="2"/>
  <c r="BS211" i="2" s="1"/>
  <c r="F21" i="4"/>
  <c r="F22" i="4"/>
  <c r="F102" i="6"/>
  <c r="F104" i="6"/>
  <c r="C156" i="6"/>
  <c r="E8" i="7" s="1"/>
  <c r="E78" i="3"/>
  <c r="Q78" i="3"/>
  <c r="R78" i="3"/>
  <c r="S78" i="3"/>
  <c r="CZ113" i="2"/>
  <c r="DA113" i="2"/>
  <c r="DB113" i="2"/>
  <c r="DC113" i="2"/>
  <c r="DD113" i="2"/>
  <c r="DE113" i="2"/>
  <c r="DF113" i="2"/>
  <c r="DG113" i="2"/>
  <c r="DI113" i="2"/>
  <c r="DJ113" i="2"/>
  <c r="DK113" i="2"/>
  <c r="DL113" i="2"/>
  <c r="DM113" i="2"/>
  <c r="DN113" i="2"/>
  <c r="DO113" i="2"/>
  <c r="DP113" i="2"/>
  <c r="DR113" i="2"/>
  <c r="DS113" i="2"/>
  <c r="DT113" i="2"/>
  <c r="DU113" i="2"/>
  <c r="DV113" i="2"/>
  <c r="DW113" i="2"/>
  <c r="DX113" i="2"/>
  <c r="DY113" i="2"/>
  <c r="EA113" i="2"/>
  <c r="EB113" i="2"/>
  <c r="EC113" i="2"/>
  <c r="ED113" i="2"/>
  <c r="V78" i="3" s="1"/>
  <c r="EE113" i="2"/>
  <c r="EF113" i="2"/>
  <c r="EG113" i="2"/>
  <c r="EH113" i="2"/>
  <c r="U78" i="3" s="1"/>
  <c r="AV113" i="2"/>
  <c r="AZ113" i="2"/>
  <c r="BB113" i="2"/>
  <c r="BE113" i="2"/>
  <c r="BG113" i="2"/>
  <c r="BI113" i="2"/>
  <c r="BK113" i="2"/>
  <c r="BN113" i="2"/>
  <c r="BP113" i="2"/>
  <c r="BR113" i="2"/>
  <c r="BT113" i="2"/>
  <c r="BW113" i="2"/>
  <c r="BY113" i="2"/>
  <c r="CA113" i="2"/>
  <c r="CC113" i="2"/>
  <c r="CF113" i="2"/>
  <c r="CH113" i="2"/>
  <c r="CJ113" i="2"/>
  <c r="CL113" i="2"/>
  <c r="Q113" i="2"/>
  <c r="AY113" i="2" s="1"/>
  <c r="S113" i="2"/>
  <c r="BA113" i="2" s="1"/>
  <c r="BH113" i="2"/>
  <c r="W113" i="2"/>
  <c r="BJ113" i="2" s="1"/>
  <c r="Y113" i="2"/>
  <c r="BQ113" i="2" s="1"/>
  <c r="AA113" i="2"/>
  <c r="BS113" i="2" s="1"/>
  <c r="AC113" i="2"/>
  <c r="BZ113" i="2" s="1"/>
  <c r="AE113" i="2"/>
  <c r="CB113" i="2" s="1"/>
  <c r="AG113" i="2"/>
  <c r="CI113" i="2" s="1"/>
  <c r="AI113" i="2"/>
  <c r="CK113" i="2" s="1"/>
  <c r="F113" i="2"/>
  <c r="N113" i="2"/>
  <c r="E77" i="3"/>
  <c r="Q77" i="3"/>
  <c r="R77" i="3"/>
  <c r="S77" i="3"/>
  <c r="CZ112" i="2"/>
  <c r="DA112" i="2"/>
  <c r="DB112" i="2"/>
  <c r="DC112" i="2"/>
  <c r="DD112" i="2"/>
  <c r="DE112" i="2"/>
  <c r="DF112" i="2"/>
  <c r="DG112" i="2"/>
  <c r="DI112" i="2"/>
  <c r="DJ112" i="2"/>
  <c r="DK112" i="2"/>
  <c r="DL112" i="2"/>
  <c r="DM112" i="2"/>
  <c r="DN112" i="2"/>
  <c r="DO112" i="2"/>
  <c r="DP112" i="2"/>
  <c r="DR112" i="2"/>
  <c r="DS112" i="2"/>
  <c r="DT112" i="2"/>
  <c r="DU112" i="2"/>
  <c r="DV112" i="2"/>
  <c r="DW112" i="2"/>
  <c r="DX112" i="2"/>
  <c r="DY112" i="2"/>
  <c r="EA112" i="2"/>
  <c r="EB112" i="2"/>
  <c r="EC112" i="2"/>
  <c r="ED112" i="2"/>
  <c r="EE112" i="2"/>
  <c r="EF112" i="2"/>
  <c r="EG112" i="2"/>
  <c r="EH112" i="2"/>
  <c r="CH112" i="2"/>
  <c r="AV112" i="2"/>
  <c r="AX112" i="2"/>
  <c r="AZ112" i="2"/>
  <c r="BB112" i="2"/>
  <c r="BG112" i="2"/>
  <c r="BI112" i="2"/>
  <c r="BK112" i="2"/>
  <c r="BN112" i="2"/>
  <c r="BP112" i="2"/>
  <c r="BR112" i="2"/>
  <c r="BT112" i="2"/>
  <c r="BW112" i="2"/>
  <c r="BY112" i="2"/>
  <c r="CA112" i="2"/>
  <c r="CC112" i="2"/>
  <c r="CF112" i="2"/>
  <c r="CJ112" i="2"/>
  <c r="CL112" i="2"/>
  <c r="Q112" i="2"/>
  <c r="S112" i="2"/>
  <c r="W112" i="2"/>
  <c r="Y112" i="2"/>
  <c r="AA112" i="2"/>
  <c r="AC112" i="2"/>
  <c r="AE112" i="2"/>
  <c r="AG112" i="2"/>
  <c r="AI112" i="2"/>
  <c r="N112" i="2"/>
  <c r="F112" i="2"/>
  <c r="N157" i="2"/>
  <c r="EW194" i="2"/>
  <c r="EX194" i="2"/>
  <c r="EY194" i="2"/>
  <c r="FE194" i="2"/>
  <c r="EV194" i="2"/>
  <c r="CR194" i="2"/>
  <c r="AW462" i="2" s="1"/>
  <c r="CS194" i="2"/>
  <c r="AX462" i="2" s="1"/>
  <c r="CT194" i="2"/>
  <c r="AY462" i="2" s="1"/>
  <c r="CU194" i="2"/>
  <c r="AZ462" i="2" s="1"/>
  <c r="CV194" i="2"/>
  <c r="BA462" i="2" s="1"/>
  <c r="CW194" i="2"/>
  <c r="BB462" i="2" s="1"/>
  <c r="CX194" i="2"/>
  <c r="BC462" i="2" s="1"/>
  <c r="CY194" i="2"/>
  <c r="BD462" i="2" s="1"/>
  <c r="CZ194" i="2"/>
  <c r="BE462" i="2" s="1"/>
  <c r="DA194" i="2"/>
  <c r="BF462" i="2" s="1"/>
  <c r="DB194" i="2"/>
  <c r="BG462" i="2" s="1"/>
  <c r="DC194" i="2"/>
  <c r="BH462" i="2" s="1"/>
  <c r="DD194" i="2"/>
  <c r="BI462" i="2" s="1"/>
  <c r="DE194" i="2"/>
  <c r="BJ462" i="2" s="1"/>
  <c r="DF194" i="2"/>
  <c r="BK462" i="2" s="1"/>
  <c r="DG194" i="2"/>
  <c r="BL462" i="2" s="1"/>
  <c r="DH194" i="2"/>
  <c r="BM462" i="2" s="1"/>
  <c r="DI194" i="2"/>
  <c r="BN462" i="2" s="1"/>
  <c r="DJ194" i="2"/>
  <c r="BO462" i="2" s="1"/>
  <c r="DK194" i="2"/>
  <c r="BP462" i="2" s="1"/>
  <c r="DL194" i="2"/>
  <c r="BQ462" i="2" s="1"/>
  <c r="DM194" i="2"/>
  <c r="BR462" i="2" s="1"/>
  <c r="DN194" i="2"/>
  <c r="BS462" i="2" s="1"/>
  <c r="DO194" i="2"/>
  <c r="BT462" i="2" s="1"/>
  <c r="DP194" i="2"/>
  <c r="BU462" i="2" s="1"/>
  <c r="DQ194" i="2"/>
  <c r="BV462" i="2" s="1"/>
  <c r="DR194" i="2"/>
  <c r="BW462" i="2" s="1"/>
  <c r="DS194" i="2"/>
  <c r="BX462" i="2" s="1"/>
  <c r="DT194" i="2"/>
  <c r="BY462" i="2" s="1"/>
  <c r="DU194" i="2"/>
  <c r="BZ462" i="2" s="1"/>
  <c r="DV194" i="2"/>
  <c r="CA462" i="2" s="1"/>
  <c r="DW194" i="2"/>
  <c r="CB462" i="2" s="1"/>
  <c r="DX194" i="2"/>
  <c r="CC462" i="2" s="1"/>
  <c r="DY194" i="2"/>
  <c r="CD462" i="2" s="1"/>
  <c r="DZ194" i="2"/>
  <c r="CE462" i="2" s="1"/>
  <c r="EA194" i="2"/>
  <c r="CF462" i="2" s="1"/>
  <c r="EB194" i="2"/>
  <c r="CG462" i="2" s="1"/>
  <c r="EC194" i="2"/>
  <c r="CH462" i="2" s="1"/>
  <c r="ED194" i="2"/>
  <c r="CI462" i="2" s="1"/>
  <c r="EE194" i="2"/>
  <c r="CJ462" i="2" s="1"/>
  <c r="EF194" i="2"/>
  <c r="CK462" i="2" s="1"/>
  <c r="EG194" i="2"/>
  <c r="CL462" i="2" s="1"/>
  <c r="EH194" i="2"/>
  <c r="CM462" i="2" s="1"/>
  <c r="EI194" i="2"/>
  <c r="CN462" i="2" s="1"/>
  <c r="CQ194" i="2"/>
  <c r="AV462" i="2" s="1"/>
  <c r="CP194" i="2"/>
  <c r="AW194" i="2"/>
  <c r="AW415" i="2" s="1"/>
  <c r="AX194" i="2"/>
  <c r="AX415" i="2" s="1"/>
  <c r="AY194" i="2"/>
  <c r="AY415" i="2" s="1"/>
  <c r="AZ194" i="2"/>
  <c r="AZ415" i="2" s="1"/>
  <c r="BA194" i="2"/>
  <c r="BA415" i="2" s="1"/>
  <c r="BB194" i="2"/>
  <c r="BB415" i="2" s="1"/>
  <c r="BC194" i="2"/>
  <c r="BC415" i="2" s="1"/>
  <c r="BD194" i="2"/>
  <c r="BD415" i="2" s="1"/>
  <c r="BE194" i="2"/>
  <c r="BE415" i="2" s="1"/>
  <c r="BF194" i="2"/>
  <c r="BF415" i="2" s="1"/>
  <c r="BG194" i="2"/>
  <c r="BG415" i="2" s="1"/>
  <c r="BH194" i="2"/>
  <c r="BH415" i="2" s="1"/>
  <c r="BI194" i="2"/>
  <c r="BI415" i="2" s="1"/>
  <c r="BJ194" i="2"/>
  <c r="BJ415" i="2" s="1"/>
  <c r="BK194" i="2"/>
  <c r="BK415" i="2" s="1"/>
  <c r="BL194" i="2"/>
  <c r="BL415" i="2" s="1"/>
  <c r="BM194" i="2"/>
  <c r="BM415" i="2" s="1"/>
  <c r="BN194" i="2"/>
  <c r="BN415" i="2" s="1"/>
  <c r="BO194" i="2"/>
  <c r="BO415" i="2" s="1"/>
  <c r="BP194" i="2"/>
  <c r="BP415" i="2" s="1"/>
  <c r="BQ194" i="2"/>
  <c r="BQ415" i="2" s="1"/>
  <c r="BR194" i="2"/>
  <c r="BR415" i="2" s="1"/>
  <c r="BS194" i="2"/>
  <c r="BS415" i="2" s="1"/>
  <c r="BT194" i="2"/>
  <c r="BT415" i="2" s="1"/>
  <c r="BU194" i="2"/>
  <c r="BU415" i="2" s="1"/>
  <c r="BV194" i="2"/>
  <c r="BV415" i="2" s="1"/>
  <c r="BW194" i="2"/>
  <c r="BW415" i="2" s="1"/>
  <c r="BX194" i="2"/>
  <c r="BX415" i="2" s="1"/>
  <c r="BY194" i="2"/>
  <c r="BY415" i="2" s="1"/>
  <c r="BZ194" i="2"/>
  <c r="BZ415" i="2" s="1"/>
  <c r="CA194" i="2"/>
  <c r="CA415" i="2" s="1"/>
  <c r="CB194" i="2"/>
  <c r="CB415" i="2" s="1"/>
  <c r="CC194" i="2"/>
  <c r="CC415" i="2" s="1"/>
  <c r="CD194" i="2"/>
  <c r="CD415" i="2" s="1"/>
  <c r="CE194" i="2"/>
  <c r="CE415" i="2" s="1"/>
  <c r="CF194" i="2"/>
  <c r="CF415" i="2" s="1"/>
  <c r="CG194" i="2"/>
  <c r="CG415" i="2" s="1"/>
  <c r="CH194" i="2"/>
  <c r="CH415" i="2" s="1"/>
  <c r="CI194" i="2"/>
  <c r="CI415" i="2" s="1"/>
  <c r="CJ194" i="2"/>
  <c r="CJ415" i="2" s="1"/>
  <c r="CK194" i="2"/>
  <c r="CK415" i="2" s="1"/>
  <c r="CL194" i="2"/>
  <c r="CL415" i="2" s="1"/>
  <c r="CM194" i="2"/>
  <c r="CM415" i="2" s="1"/>
  <c r="CN194" i="2"/>
  <c r="CN415" i="2" s="1"/>
  <c r="AV194" i="2"/>
  <c r="AV415" i="2" s="1"/>
  <c r="Q194" i="2"/>
  <c r="R194" i="2"/>
  <c r="S194" i="2"/>
  <c r="T194" i="2"/>
  <c r="U194" i="2"/>
  <c r="V194" i="2"/>
  <c r="W194" i="2"/>
  <c r="X194" i="2"/>
  <c r="Y194" i="2"/>
  <c r="Z194" i="2"/>
  <c r="AA194" i="2"/>
  <c r="AB194" i="2"/>
  <c r="AC194" i="2"/>
  <c r="AD194" i="2"/>
  <c r="AE194" i="2"/>
  <c r="AF194" i="2"/>
  <c r="AG194" i="2"/>
  <c r="AH194" i="2"/>
  <c r="AI194" i="2"/>
  <c r="AJ194" i="2"/>
  <c r="AK194" i="2"/>
  <c r="AL194" i="2"/>
  <c r="AM194" i="2"/>
  <c r="AN194" i="2"/>
  <c r="AO194" i="2"/>
  <c r="AP194" i="2"/>
  <c r="AQ194" i="2"/>
  <c r="AR194" i="2"/>
  <c r="AS194" i="2"/>
  <c r="AT194" i="2"/>
  <c r="P194" i="2"/>
  <c r="F194" i="2"/>
  <c r="G194" i="2"/>
  <c r="E194" i="2"/>
  <c r="E102" i="6"/>
  <c r="C102" i="6"/>
  <c r="E20" i="7" s="1"/>
  <c r="AB145" i="3"/>
  <c r="AC145" i="3" s="1"/>
  <c r="AB216" i="2"/>
  <c r="AD216" i="2"/>
  <c r="AF216" i="2"/>
  <c r="AH216" i="2"/>
  <c r="AJ216" i="2"/>
  <c r="AK216" i="2"/>
  <c r="AL216" i="2"/>
  <c r="AM216" i="2"/>
  <c r="AN216" i="2"/>
  <c r="AO216" i="2"/>
  <c r="AP216" i="2"/>
  <c r="AQ216" i="2"/>
  <c r="AR216" i="2"/>
  <c r="AS216" i="2"/>
  <c r="AT216" i="2"/>
  <c r="CO216" i="2"/>
  <c r="A3" i="9"/>
  <c r="EU182" i="2"/>
  <c r="CO182" i="2"/>
  <c r="AT182" i="2"/>
  <c r="AS182" i="2"/>
  <c r="AR182" i="2"/>
  <c r="AQ182" i="2"/>
  <c r="AP182" i="2"/>
  <c r="AO182" i="2"/>
  <c r="AN182" i="2"/>
  <c r="AM182" i="2"/>
  <c r="AL182" i="2"/>
  <c r="AK182" i="2"/>
  <c r="AJ182" i="2"/>
  <c r="AH182" i="2"/>
  <c r="AF182" i="2"/>
  <c r="AD182" i="2"/>
  <c r="AB182" i="2"/>
  <c r="Z182" i="2"/>
  <c r="X182" i="2"/>
  <c r="V182" i="2"/>
  <c r="T182" i="2"/>
  <c r="R182" i="2"/>
  <c r="P182" i="2"/>
  <c r="E182" i="2"/>
  <c r="FD182" i="2"/>
  <c r="FC182" i="2"/>
  <c r="EY182" i="2"/>
  <c r="EX182" i="2"/>
  <c r="EW182" i="2"/>
  <c r="EH182" i="2"/>
  <c r="CM458" i="2" s="1"/>
  <c r="EG182" i="2"/>
  <c r="CL458" i="2" s="1"/>
  <c r="EF182" i="2"/>
  <c r="CK458" i="2" s="1"/>
  <c r="EE182" i="2"/>
  <c r="CJ458" i="2" s="1"/>
  <c r="ED182" i="2"/>
  <c r="CI458" i="2" s="1"/>
  <c r="EB182" i="2"/>
  <c r="CG458" i="2" s="1"/>
  <c r="EA182" i="2"/>
  <c r="CF458" i="2" s="1"/>
  <c r="DY182" i="2"/>
  <c r="CD458" i="2" s="1"/>
  <c r="DX182" i="2"/>
  <c r="CC458" i="2" s="1"/>
  <c r="DW182" i="2"/>
  <c r="CB458" i="2" s="1"/>
  <c r="DV182" i="2"/>
  <c r="CA458" i="2" s="1"/>
  <c r="DU182" i="2"/>
  <c r="BZ458" i="2" s="1"/>
  <c r="DT182" i="2"/>
  <c r="BY458" i="2" s="1"/>
  <c r="DS182" i="2"/>
  <c r="BX458" i="2" s="1"/>
  <c r="DR182" i="2"/>
  <c r="BW458" i="2" s="1"/>
  <c r="DP182" i="2"/>
  <c r="BU458" i="2" s="1"/>
  <c r="DO182" i="2"/>
  <c r="BT458" i="2" s="1"/>
  <c r="DN182" i="2"/>
  <c r="BS458" i="2" s="1"/>
  <c r="DM182" i="2"/>
  <c r="BR458" i="2" s="1"/>
  <c r="DL182" i="2"/>
  <c r="BQ458" i="2" s="1"/>
  <c r="DK182" i="2"/>
  <c r="BP458" i="2" s="1"/>
  <c r="DJ182" i="2"/>
  <c r="BO458" i="2" s="1"/>
  <c r="DI182" i="2"/>
  <c r="BN458" i="2" s="1"/>
  <c r="CX182" i="2"/>
  <c r="BC458" i="2" s="1"/>
  <c r="CW182" i="2"/>
  <c r="BB458" i="2" s="1"/>
  <c r="CV182" i="2"/>
  <c r="BA458" i="2" s="1"/>
  <c r="CU182" i="2"/>
  <c r="AZ458" i="2" s="1"/>
  <c r="CT182" i="2"/>
  <c r="AY458" i="2" s="1"/>
  <c r="CS182" i="2"/>
  <c r="AX458" i="2" s="1"/>
  <c r="CR182" i="2"/>
  <c r="AW458" i="2" s="1"/>
  <c r="CQ182" i="2"/>
  <c r="AV458" i="2" s="1"/>
  <c r="CL182" i="2"/>
  <c r="CL411" i="2" s="1"/>
  <c r="CJ182" i="2"/>
  <c r="CJ411" i="2" s="1"/>
  <c r="CH182" i="2"/>
  <c r="CH411" i="2" s="1"/>
  <c r="CC182" i="2"/>
  <c r="CC411" i="2" s="1"/>
  <c r="CA182" i="2"/>
  <c r="CA411" i="2" s="1"/>
  <c r="BY182" i="2"/>
  <c r="BY411" i="2" s="1"/>
  <c r="BW182" i="2"/>
  <c r="BW411" i="2" s="1"/>
  <c r="BT182" i="2"/>
  <c r="BT411" i="2" s="1"/>
  <c r="BR182" i="2"/>
  <c r="BR411" i="2" s="1"/>
  <c r="BP182" i="2"/>
  <c r="BP411" i="2" s="1"/>
  <c r="BN182" i="2"/>
  <c r="BN411" i="2" s="1"/>
  <c r="BK182" i="2"/>
  <c r="BK411" i="2" s="1"/>
  <c r="BI182" i="2"/>
  <c r="BI411" i="2" s="1"/>
  <c r="BG182" i="2"/>
  <c r="BG411" i="2" s="1"/>
  <c r="BE182" i="2"/>
  <c r="BE411" i="2" s="1"/>
  <c r="BB182" i="2"/>
  <c r="BB411" i="2" s="1"/>
  <c r="AZ182" i="2"/>
  <c r="AZ411" i="2" s="1"/>
  <c r="AX182" i="2"/>
  <c r="AX411" i="2" s="1"/>
  <c r="Y182" i="2"/>
  <c r="W182" i="2"/>
  <c r="U182" i="2"/>
  <c r="CM456" i="2"/>
  <c r="CL456" i="2"/>
  <c r="CK456" i="2"/>
  <c r="CJ456" i="2"/>
  <c r="CI456" i="2"/>
  <c r="CH456" i="2"/>
  <c r="CG456" i="2"/>
  <c r="CF456" i="2"/>
  <c r="CD456" i="2"/>
  <c r="CC456" i="2"/>
  <c r="CB456" i="2"/>
  <c r="CA456" i="2"/>
  <c r="BZ456" i="2"/>
  <c r="BY456" i="2"/>
  <c r="BX456" i="2"/>
  <c r="BW456" i="2"/>
  <c r="BU456" i="2"/>
  <c r="BT456" i="2"/>
  <c r="BS456" i="2"/>
  <c r="BR456" i="2"/>
  <c r="BQ456" i="2"/>
  <c r="BP456" i="2"/>
  <c r="BO456" i="2"/>
  <c r="BN456" i="2"/>
  <c r="BC456" i="2"/>
  <c r="BB456" i="2"/>
  <c r="BA456" i="2"/>
  <c r="AZ456" i="2"/>
  <c r="AY456" i="2"/>
  <c r="AX456" i="2"/>
  <c r="AW456" i="2"/>
  <c r="AV456" i="2"/>
  <c r="BK456" i="2"/>
  <c r="BD456" i="2"/>
  <c r="CN456" i="2"/>
  <c r="BV456" i="2"/>
  <c r="CE456" i="2"/>
  <c r="AB37" i="9"/>
  <c r="AC37" i="9" s="1"/>
  <c r="AB31" i="9"/>
  <c r="AC31" i="9" s="1"/>
  <c r="AB32" i="9"/>
  <c r="AC32" i="9" s="1"/>
  <c r="AB35" i="9"/>
  <c r="AC35" i="9"/>
  <c r="AB43" i="3"/>
  <c r="AC43" i="3" s="1"/>
  <c r="AB44" i="3"/>
  <c r="AC44" i="3" s="1"/>
  <c r="AB49" i="3"/>
  <c r="AC49" i="3" s="1"/>
  <c r="AB50" i="3"/>
  <c r="AC50" i="3" s="1"/>
  <c r="AB54" i="3"/>
  <c r="AC54" i="3" s="1"/>
  <c r="AB55" i="3"/>
  <c r="AC55" i="3" s="1"/>
  <c r="AB56" i="3"/>
  <c r="AC56" i="3" s="1"/>
  <c r="AB60" i="3"/>
  <c r="AC60" i="3" s="1"/>
  <c r="AB61" i="3"/>
  <c r="AC61" i="3" s="1"/>
  <c r="AB67" i="3"/>
  <c r="AC67" i="3" s="1"/>
  <c r="AB94" i="3"/>
  <c r="AC94" i="3" s="1"/>
  <c r="AB95" i="3"/>
  <c r="AC95" i="3" s="1"/>
  <c r="AB98" i="3"/>
  <c r="AC98" i="3" s="1"/>
  <c r="AB99" i="3"/>
  <c r="AC99" i="3" s="1"/>
  <c r="AB100" i="3"/>
  <c r="AC100" i="3" s="1"/>
  <c r="AB109" i="3"/>
  <c r="AC109" i="3" s="1"/>
  <c r="AB115" i="3"/>
  <c r="AC115" i="3" s="1"/>
  <c r="AB117" i="3"/>
  <c r="AC117" i="3" s="1"/>
  <c r="AB128" i="3"/>
  <c r="AC128" i="3" s="1"/>
  <c r="AB129" i="3"/>
  <c r="AC129" i="3" s="1"/>
  <c r="AB130" i="3"/>
  <c r="AC130" i="3" s="1"/>
  <c r="AB131" i="3"/>
  <c r="AC131" i="3" s="1"/>
  <c r="AB132" i="3"/>
  <c r="AC132" i="3" s="1"/>
  <c r="AB137" i="3"/>
  <c r="AC137" i="3" s="1"/>
  <c r="AB141" i="3"/>
  <c r="AC141" i="3" s="1"/>
  <c r="AB142" i="3"/>
  <c r="AC142" i="3" s="1"/>
  <c r="AB14" i="3"/>
  <c r="AC14" i="3" s="1"/>
  <c r="AB21" i="3"/>
  <c r="AC21" i="3" s="1"/>
  <c r="AB22" i="3"/>
  <c r="AC22" i="3" s="1"/>
  <c r="AB29" i="3"/>
  <c r="AC29" i="3" s="1"/>
  <c r="AB30" i="3"/>
  <c r="AC30" i="3" s="1"/>
  <c r="AB37" i="3"/>
  <c r="AC37" i="3" s="1"/>
  <c r="AB38" i="3"/>
  <c r="AC38" i="3" s="1"/>
  <c r="BH456" i="2"/>
  <c r="BE456" i="2"/>
  <c r="BI456" i="2"/>
  <c r="BG456" i="2"/>
  <c r="BJ456" i="2"/>
  <c r="BL456" i="2"/>
  <c r="BF456" i="2"/>
  <c r="BM456" i="2"/>
  <c r="BX210" i="2"/>
  <c r="F101" i="3"/>
  <c r="E101" i="3"/>
  <c r="C101" i="3"/>
  <c r="Q128" i="2"/>
  <c r="AY128" i="2" s="1"/>
  <c r="S128" i="2"/>
  <c r="BA128" i="2" s="1"/>
  <c r="U128" i="2"/>
  <c r="BH128" i="2" s="1"/>
  <c r="W128" i="2"/>
  <c r="BJ128" i="2" s="1"/>
  <c r="Y128" i="2"/>
  <c r="BQ128" i="2" s="1"/>
  <c r="AA128" i="2"/>
  <c r="BS128" i="2" s="1"/>
  <c r="AC128" i="2"/>
  <c r="BZ128" i="2" s="1"/>
  <c r="AE128" i="2"/>
  <c r="CB128" i="2" s="1"/>
  <c r="AG128" i="2"/>
  <c r="CI128" i="2" s="1"/>
  <c r="AI128" i="2"/>
  <c r="CK128" i="2" s="1"/>
  <c r="AV128" i="2"/>
  <c r="AX128" i="2"/>
  <c r="AZ128" i="2"/>
  <c r="BB128" i="2"/>
  <c r="BE128" i="2"/>
  <c r="BG128" i="2"/>
  <c r="BI128" i="2"/>
  <c r="BK128" i="2"/>
  <c r="BN128" i="2"/>
  <c r="BP128" i="2"/>
  <c r="BR128" i="2"/>
  <c r="BT128" i="2"/>
  <c r="BW128" i="2"/>
  <c r="BX128" i="2"/>
  <c r="BY128" i="2"/>
  <c r="CA128" i="2"/>
  <c r="CC128" i="2"/>
  <c r="CF128" i="2"/>
  <c r="CG128" i="2"/>
  <c r="CJ128" i="2"/>
  <c r="CL128" i="2"/>
  <c r="CZ128" i="2"/>
  <c r="DA128" i="2"/>
  <c r="DB128" i="2"/>
  <c r="DC128" i="2"/>
  <c r="DD128" i="2"/>
  <c r="DE128" i="2"/>
  <c r="DF128" i="2"/>
  <c r="DG128" i="2"/>
  <c r="DI128" i="2"/>
  <c r="DJ128" i="2"/>
  <c r="DK128" i="2"/>
  <c r="DL128" i="2"/>
  <c r="DM128" i="2"/>
  <c r="DN128" i="2"/>
  <c r="DO128" i="2"/>
  <c r="DP128" i="2"/>
  <c r="DR128" i="2"/>
  <c r="DS128" i="2"/>
  <c r="DT128" i="2"/>
  <c r="DU128" i="2"/>
  <c r="DV128" i="2"/>
  <c r="DW128" i="2"/>
  <c r="DX128" i="2"/>
  <c r="DY128" i="2"/>
  <c r="EA128" i="2"/>
  <c r="EB128" i="2"/>
  <c r="EC128" i="2"/>
  <c r="ED128" i="2"/>
  <c r="V101" i="3" s="1"/>
  <c r="EE128" i="2"/>
  <c r="EF128" i="2"/>
  <c r="EG128" i="2"/>
  <c r="EH128" i="2"/>
  <c r="U101" i="3" s="1"/>
  <c r="Q101" i="3"/>
  <c r="R101" i="3"/>
  <c r="S101" i="3"/>
  <c r="N128" i="2"/>
  <c r="EX185" i="2"/>
  <c r="N105" i="6"/>
  <c r="B13" i="10"/>
  <c r="R13" i="10" s="1"/>
  <c r="Q23" i="9"/>
  <c r="F23" i="9"/>
  <c r="M23" i="9"/>
  <c r="T23" i="9"/>
  <c r="L23" i="9"/>
  <c r="N23" i="9"/>
  <c r="K23" i="9"/>
  <c r="V23" i="9"/>
  <c r="C23" i="9"/>
  <c r="W23" i="9"/>
  <c r="E23" i="9"/>
  <c r="U23" i="9"/>
  <c r="R23" i="9"/>
  <c r="J23" i="9"/>
  <c r="G23" i="9"/>
  <c r="H23" i="9"/>
  <c r="EX10" i="2"/>
  <c r="EX19" i="2" s="1"/>
  <c r="N129" i="6"/>
  <c r="BX127" i="2"/>
  <c r="BX119" i="2"/>
  <c r="BX62" i="2"/>
  <c r="BX40" i="2"/>
  <c r="BX27" i="2"/>
  <c r="BX25" i="2"/>
  <c r="BX24" i="2"/>
  <c r="BX22" i="2"/>
  <c r="BO68" i="2"/>
  <c r="BO71" i="2" s="1"/>
  <c r="BO62" i="2"/>
  <c r="BO25" i="2"/>
  <c r="BY136" i="2"/>
  <c r="F24" i="9"/>
  <c r="V22" i="9"/>
  <c r="M24" i="9"/>
  <c r="W24" i="9"/>
  <c r="C24" i="9"/>
  <c r="K22" i="9"/>
  <c r="L22" i="9"/>
  <c r="N22" i="9"/>
  <c r="N24" i="9"/>
  <c r="V24" i="9"/>
  <c r="T24" i="9"/>
  <c r="L24" i="9"/>
  <c r="U24" i="9"/>
  <c r="E24" i="9"/>
  <c r="R24" i="9"/>
  <c r="B12" i="10"/>
  <c r="O12" i="10" s="1"/>
  <c r="Q24" i="9"/>
  <c r="K24" i="9"/>
  <c r="J24" i="9"/>
  <c r="R22" i="9"/>
  <c r="W22" i="9"/>
  <c r="C22" i="9"/>
  <c r="T22" i="9"/>
  <c r="B11" i="10"/>
  <c r="R11" i="10" s="1"/>
  <c r="E22" i="9"/>
  <c r="U22" i="9"/>
  <c r="F22" i="9"/>
  <c r="Q22" i="9"/>
  <c r="M22" i="9"/>
  <c r="J22" i="9"/>
  <c r="G24" i="9"/>
  <c r="H24" i="9"/>
  <c r="H22" i="9"/>
  <c r="G22" i="9"/>
  <c r="R135" i="3"/>
  <c r="EH157" i="2"/>
  <c r="U135" i="3" s="1"/>
  <c r="EG157" i="2"/>
  <c r="EF157" i="2"/>
  <c r="EE157" i="2"/>
  <c r="ED157" i="2"/>
  <c r="V135" i="3" s="1"/>
  <c r="EC157" i="2"/>
  <c r="S135" i="3" s="1"/>
  <c r="EB157" i="2"/>
  <c r="EA157" i="2"/>
  <c r="DY157" i="2"/>
  <c r="DX157" i="2"/>
  <c r="DW157" i="2"/>
  <c r="DV157" i="2"/>
  <c r="DU157" i="2"/>
  <c r="DT157" i="2"/>
  <c r="DS157" i="2"/>
  <c r="DR157" i="2"/>
  <c r="DP157" i="2"/>
  <c r="DO157" i="2"/>
  <c r="DN157" i="2"/>
  <c r="DM157" i="2"/>
  <c r="DL157" i="2"/>
  <c r="DK157" i="2"/>
  <c r="DJ157" i="2"/>
  <c r="DI157" i="2"/>
  <c r="CL157" i="2"/>
  <c r="CJ157" i="2"/>
  <c r="CH157" i="2"/>
  <c r="CF157" i="2"/>
  <c r="CC157" i="2"/>
  <c r="CA157" i="2"/>
  <c r="BY157" i="2"/>
  <c r="BW157" i="2"/>
  <c r="BT157" i="2"/>
  <c r="BR157" i="2"/>
  <c r="BP157" i="2"/>
  <c r="BN157" i="2"/>
  <c r="BK157" i="2"/>
  <c r="BI157" i="2"/>
  <c r="BG157" i="2"/>
  <c r="BB157" i="2"/>
  <c r="AZ157" i="2"/>
  <c r="DD157" i="2"/>
  <c r="AX157" i="2"/>
  <c r="DB157" i="2"/>
  <c r="AV157" i="2"/>
  <c r="AI157" i="2"/>
  <c r="CK157" i="2" s="1"/>
  <c r="AG157" i="2"/>
  <c r="CI157" i="2" s="1"/>
  <c r="AE157" i="2"/>
  <c r="CB157" i="2" s="1"/>
  <c r="AC157" i="2"/>
  <c r="BZ157" i="2" s="1"/>
  <c r="AA157" i="2"/>
  <c r="BS157" i="2" s="1"/>
  <c r="Y157" i="2"/>
  <c r="BQ157" i="2" s="1"/>
  <c r="W157" i="2"/>
  <c r="BJ157" i="2" s="1"/>
  <c r="U157" i="2"/>
  <c r="BH157" i="2" s="1"/>
  <c r="S157" i="2"/>
  <c r="BA157" i="2" s="1"/>
  <c r="Q157" i="2"/>
  <c r="AY157" i="2" s="1"/>
  <c r="S19" i="9"/>
  <c r="CZ157" i="2"/>
  <c r="DC157" i="2"/>
  <c r="DF157" i="2"/>
  <c r="DE157" i="2"/>
  <c r="N18" i="9"/>
  <c r="N19" i="9" s="1"/>
  <c r="L18" i="9"/>
  <c r="J18" i="9"/>
  <c r="J19" i="9" s="1"/>
  <c r="M18" i="9"/>
  <c r="M19" i="9" s="1"/>
  <c r="K18" i="9"/>
  <c r="T18" i="9"/>
  <c r="T19" i="9" s="1"/>
  <c r="E18" i="9"/>
  <c r="U18" i="9"/>
  <c r="U19" i="9" s="1"/>
  <c r="B10" i="10"/>
  <c r="R10" i="10" s="1"/>
  <c r="F18" i="9"/>
  <c r="Q18" i="9"/>
  <c r="Q19" i="9" s="1"/>
  <c r="V18" i="9"/>
  <c r="V19" i="9" s="1"/>
  <c r="R18" i="9"/>
  <c r="R19" i="9" s="1"/>
  <c r="W18" i="9"/>
  <c r="W19" i="9" s="1"/>
  <c r="C18" i="9"/>
  <c r="DG157" i="2"/>
  <c r="DA157" i="2"/>
  <c r="G18" i="9"/>
  <c r="G19" i="9" s="1"/>
  <c r="H18" i="9"/>
  <c r="N154" i="6"/>
  <c r="N125" i="6"/>
  <c r="EJ221" i="2"/>
  <c r="CP221" i="2"/>
  <c r="CO221" i="2"/>
  <c r="AT221" i="2"/>
  <c r="AS221" i="2"/>
  <c r="AR221" i="2"/>
  <c r="AQ221" i="2"/>
  <c r="AP221" i="2"/>
  <c r="AO221" i="2"/>
  <c r="AN221" i="2"/>
  <c r="AM221" i="2"/>
  <c r="AL221" i="2"/>
  <c r="AK221" i="2"/>
  <c r="AJ221" i="2"/>
  <c r="AI221" i="2"/>
  <c r="AH221" i="2"/>
  <c r="AG221" i="2"/>
  <c r="AF221" i="2"/>
  <c r="AE221" i="2"/>
  <c r="AD221" i="2"/>
  <c r="AC221" i="2"/>
  <c r="AB221" i="2"/>
  <c r="AA221" i="2"/>
  <c r="Z221" i="2"/>
  <c r="Y221" i="2"/>
  <c r="X221" i="2"/>
  <c r="W221" i="2"/>
  <c r="V221" i="2"/>
  <c r="U221" i="2"/>
  <c r="T221" i="2"/>
  <c r="S221" i="2"/>
  <c r="R221" i="2"/>
  <c r="Q221" i="2"/>
  <c r="P221" i="2"/>
  <c r="EU185" i="2"/>
  <c r="CO185" i="2"/>
  <c r="AT185" i="2"/>
  <c r="AS185" i="2"/>
  <c r="AR185" i="2"/>
  <c r="AQ185" i="2"/>
  <c r="AP185" i="2"/>
  <c r="AO185" i="2"/>
  <c r="AN185" i="2"/>
  <c r="AM185" i="2"/>
  <c r="AL185" i="2"/>
  <c r="AK185" i="2"/>
  <c r="AJ185" i="2"/>
  <c r="AH185" i="2"/>
  <c r="AF185" i="2"/>
  <c r="AD185" i="2"/>
  <c r="AB185" i="2"/>
  <c r="Z185" i="2"/>
  <c r="X185" i="2"/>
  <c r="V185" i="2"/>
  <c r="T185" i="2"/>
  <c r="R185" i="2"/>
  <c r="P185" i="2"/>
  <c r="F185" i="2"/>
  <c r="EH35" i="2"/>
  <c r="V26" i="6" s="1"/>
  <c r="EG35" i="2"/>
  <c r="EF35" i="2"/>
  <c r="EE35" i="2"/>
  <c r="ED35" i="2"/>
  <c r="W26" i="6" s="1"/>
  <c r="EC35" i="2"/>
  <c r="T26" i="6" s="1"/>
  <c r="EB35" i="2"/>
  <c r="EA35" i="2"/>
  <c r="DY35" i="2"/>
  <c r="DX35" i="2"/>
  <c r="DW35" i="2"/>
  <c r="DV35" i="2"/>
  <c r="DU35" i="2"/>
  <c r="DT35" i="2"/>
  <c r="DS35" i="2"/>
  <c r="DR35" i="2"/>
  <c r="DP35" i="2"/>
  <c r="DO35" i="2"/>
  <c r="DN35" i="2"/>
  <c r="DM35" i="2"/>
  <c r="DL35" i="2"/>
  <c r="DK35" i="2"/>
  <c r="DJ35" i="2"/>
  <c r="DI35" i="2"/>
  <c r="CL35" i="2"/>
  <c r="CJ35" i="2"/>
  <c r="CH35" i="2"/>
  <c r="CG35" i="2"/>
  <c r="CF35" i="2"/>
  <c r="BT35" i="2"/>
  <c r="BR35" i="2"/>
  <c r="BP35" i="2"/>
  <c r="BN35" i="2"/>
  <c r="BK35" i="2"/>
  <c r="BI35" i="2"/>
  <c r="BG35" i="2"/>
  <c r="BE35" i="2"/>
  <c r="BB35" i="2"/>
  <c r="CW35" i="2"/>
  <c r="AZ35" i="2"/>
  <c r="AX35" i="2"/>
  <c r="CR35" i="2"/>
  <c r="AV35" i="2"/>
  <c r="AI35" i="2"/>
  <c r="CK35" i="2" s="1"/>
  <c r="AG35" i="2"/>
  <c r="CI35" i="2" s="1"/>
  <c r="AE35" i="2"/>
  <c r="CB35" i="2" s="1"/>
  <c r="AC35" i="2"/>
  <c r="BZ35" i="2" s="1"/>
  <c r="AA35" i="2"/>
  <c r="BS35" i="2" s="1"/>
  <c r="Y35" i="2"/>
  <c r="BQ35" i="2" s="1"/>
  <c r="W35" i="2"/>
  <c r="BJ35" i="2" s="1"/>
  <c r="U35" i="2"/>
  <c r="BH35" i="2" s="1"/>
  <c r="S35" i="2"/>
  <c r="BA35" i="2" s="1"/>
  <c r="Q35" i="2"/>
  <c r="AY35" i="2" s="1"/>
  <c r="N35" i="2"/>
  <c r="CG145" i="2"/>
  <c r="BO221" i="2"/>
  <c r="BO420" i="2" s="1"/>
  <c r="BG210" i="2"/>
  <c r="E150" i="2"/>
  <c r="EJ79" i="2"/>
  <c r="CO79" i="2"/>
  <c r="AT79" i="2"/>
  <c r="AS79" i="2"/>
  <c r="AR79" i="2"/>
  <c r="AQ79" i="2"/>
  <c r="AP79" i="2"/>
  <c r="AO79" i="2"/>
  <c r="AN79" i="2"/>
  <c r="AM79" i="2"/>
  <c r="AL79" i="2"/>
  <c r="AJ79" i="2"/>
  <c r="AH79" i="2"/>
  <c r="AF79" i="2"/>
  <c r="AD79" i="2"/>
  <c r="AB79" i="2"/>
  <c r="Z79" i="2"/>
  <c r="X79" i="2"/>
  <c r="V79" i="2"/>
  <c r="T79" i="2"/>
  <c r="R79" i="2"/>
  <c r="P79" i="2"/>
  <c r="F79" i="2"/>
  <c r="F224" i="2"/>
  <c r="BF224" i="2" s="1"/>
  <c r="F17" i="4"/>
  <c r="EH26" i="2"/>
  <c r="U18" i="3" s="1"/>
  <c r="EG26" i="2"/>
  <c r="EF26" i="2"/>
  <c r="EE26" i="2"/>
  <c r="ED26" i="2"/>
  <c r="V18" i="3" s="1"/>
  <c r="EC26" i="2"/>
  <c r="EB26" i="2"/>
  <c r="EA26" i="2"/>
  <c r="DY26" i="2"/>
  <c r="DX26" i="2"/>
  <c r="DW26" i="2"/>
  <c r="DV26" i="2"/>
  <c r="DU26" i="2"/>
  <c r="DT26" i="2"/>
  <c r="DS26" i="2"/>
  <c r="DR26" i="2"/>
  <c r="DP26" i="2"/>
  <c r="DO26" i="2"/>
  <c r="DN26" i="2"/>
  <c r="DM26" i="2"/>
  <c r="DL26" i="2"/>
  <c r="DK26" i="2"/>
  <c r="DJ26" i="2"/>
  <c r="DI26" i="2"/>
  <c r="CL26" i="2"/>
  <c r="CJ26" i="2"/>
  <c r="CH26" i="2"/>
  <c r="CF26" i="2"/>
  <c r="CC26" i="2"/>
  <c r="CA26" i="2"/>
  <c r="BY26" i="2"/>
  <c r="BW26" i="2"/>
  <c r="BT26" i="2"/>
  <c r="BR26" i="2"/>
  <c r="BP26" i="2"/>
  <c r="BN26" i="2"/>
  <c r="BK26" i="2"/>
  <c r="BI26" i="2"/>
  <c r="BG26" i="2"/>
  <c r="BE26" i="2"/>
  <c r="BB26" i="2"/>
  <c r="DF26" i="2"/>
  <c r="AZ26" i="2"/>
  <c r="DD26" i="2"/>
  <c r="AX26" i="2"/>
  <c r="DB26" i="2"/>
  <c r="DA26" i="2"/>
  <c r="AV26" i="2"/>
  <c r="AI26" i="2"/>
  <c r="CK26" i="2" s="1"/>
  <c r="AG26" i="2"/>
  <c r="CI26" i="2" s="1"/>
  <c r="AE26" i="2"/>
  <c r="CB26" i="2" s="1"/>
  <c r="AC26" i="2"/>
  <c r="BZ26" i="2" s="1"/>
  <c r="AA26" i="2"/>
  <c r="BS26" i="2" s="1"/>
  <c r="Y26" i="2"/>
  <c r="BQ26" i="2" s="1"/>
  <c r="W26" i="2"/>
  <c r="BJ26" i="2" s="1"/>
  <c r="U26" i="2"/>
  <c r="BH26" i="2" s="1"/>
  <c r="S26" i="2"/>
  <c r="BA26" i="2" s="1"/>
  <c r="Q26" i="2"/>
  <c r="AY26" i="2" s="1"/>
  <c r="DC26" i="2"/>
  <c r="N26" i="2"/>
  <c r="F26" i="2"/>
  <c r="AW26" i="2" s="1"/>
  <c r="BX221" i="2"/>
  <c r="BX420" i="2" s="1"/>
  <c r="BX155" i="2"/>
  <c r="BF221" i="2"/>
  <c r="BF420" i="2" s="1"/>
  <c r="U211" i="2"/>
  <c r="BH211" i="2" s="1"/>
  <c r="S34" i="9"/>
  <c r="B8" i="10"/>
  <c r="O8" i="10" s="1"/>
  <c r="F64" i="6"/>
  <c r="EU121" i="2"/>
  <c r="EJ121" i="2"/>
  <c r="CO121" i="2"/>
  <c r="AT121" i="2"/>
  <c r="AS121" i="2"/>
  <c r="AR121" i="2"/>
  <c r="AQ121" i="2"/>
  <c r="AP121" i="2"/>
  <c r="AO121" i="2"/>
  <c r="AN121" i="2"/>
  <c r="AM121" i="2"/>
  <c r="AL121" i="2"/>
  <c r="AK121" i="2"/>
  <c r="AJ121" i="2"/>
  <c r="AH121" i="2"/>
  <c r="AF121" i="2"/>
  <c r="AD121" i="2"/>
  <c r="AB121" i="2"/>
  <c r="Z121" i="2"/>
  <c r="X121" i="2"/>
  <c r="V121" i="2"/>
  <c r="T121" i="2"/>
  <c r="R121" i="2"/>
  <c r="EH215" i="2"/>
  <c r="EG215" i="2"/>
  <c r="EF215" i="2"/>
  <c r="EE215" i="2"/>
  <c r="ED215" i="2"/>
  <c r="EC215" i="2"/>
  <c r="EB215" i="2"/>
  <c r="EA215" i="2"/>
  <c r="DG215" i="2"/>
  <c r="DF215" i="2"/>
  <c r="DE215" i="2"/>
  <c r="DD215" i="2"/>
  <c r="DC215" i="2"/>
  <c r="DB215" i="2"/>
  <c r="DA215" i="2"/>
  <c r="CZ215" i="2"/>
  <c r="CL215" i="2"/>
  <c r="CJ215" i="2"/>
  <c r="CH215" i="2"/>
  <c r="CF215" i="2"/>
  <c r="CC215" i="2"/>
  <c r="CA215" i="2"/>
  <c r="BY215" i="2"/>
  <c r="BW215" i="2"/>
  <c r="BT215" i="2"/>
  <c r="BR215" i="2"/>
  <c r="BP215" i="2"/>
  <c r="BN215" i="2"/>
  <c r="BK215" i="2"/>
  <c r="BI215" i="2"/>
  <c r="BE215" i="2"/>
  <c r="BB215" i="2"/>
  <c r="DX215" i="2"/>
  <c r="AZ215" i="2"/>
  <c r="DV215" i="2"/>
  <c r="AX215" i="2"/>
  <c r="AV215" i="2"/>
  <c r="DR215" i="2"/>
  <c r="CK215" i="2"/>
  <c r="CB215" i="2"/>
  <c r="BZ215" i="2"/>
  <c r="AA215" i="2"/>
  <c r="BS215" i="2" s="1"/>
  <c r="Y215" i="2"/>
  <c r="BQ215" i="2" s="1"/>
  <c r="W215" i="2"/>
  <c r="BJ215" i="2" s="1"/>
  <c r="U215" i="2"/>
  <c r="BH215" i="2" s="1"/>
  <c r="S215" i="2"/>
  <c r="DW215" i="2"/>
  <c r="Q215" i="2"/>
  <c r="AY215" i="2" s="1"/>
  <c r="EH119" i="2"/>
  <c r="V64" i="6" s="1"/>
  <c r="V65" i="6" s="1"/>
  <c r="EG119" i="2"/>
  <c r="EF119" i="2"/>
  <c r="EE119" i="2"/>
  <c r="ED119" i="2"/>
  <c r="W64" i="6" s="1"/>
  <c r="W65" i="6" s="1"/>
  <c r="EC119" i="2"/>
  <c r="T64" i="6" s="1"/>
  <c r="T65" i="6" s="1"/>
  <c r="EB119" i="2"/>
  <c r="EA119" i="2"/>
  <c r="DP119" i="2"/>
  <c r="DO119" i="2"/>
  <c r="DN119" i="2"/>
  <c r="DM119" i="2"/>
  <c r="DL119" i="2"/>
  <c r="DK119" i="2"/>
  <c r="DJ119" i="2"/>
  <c r="DI119" i="2"/>
  <c r="CX119" i="2"/>
  <c r="CW119" i="2"/>
  <c r="CV119" i="2"/>
  <c r="CU119" i="2"/>
  <c r="CT119" i="2"/>
  <c r="CS119" i="2"/>
  <c r="CR119" i="2"/>
  <c r="CR121" i="2" s="1"/>
  <c r="CQ119" i="2"/>
  <c r="CQ121" i="2" s="1"/>
  <c r="CL119" i="2"/>
  <c r="CJ119" i="2"/>
  <c r="CH119" i="2"/>
  <c r="CG119" i="2"/>
  <c r="CF119" i="2"/>
  <c r="CC119" i="2"/>
  <c r="CA119" i="2"/>
  <c r="BY119" i="2"/>
  <c r="BW119" i="2"/>
  <c r="BT119" i="2"/>
  <c r="BR119" i="2"/>
  <c r="BP119" i="2"/>
  <c r="BN119" i="2"/>
  <c r="BK119" i="2"/>
  <c r="BI119" i="2"/>
  <c r="BG119" i="2"/>
  <c r="BB119" i="2"/>
  <c r="AZ119" i="2"/>
  <c r="DV119" i="2"/>
  <c r="AX119" i="2"/>
  <c r="DS119" i="2"/>
  <c r="AV119" i="2"/>
  <c r="AI119" i="2"/>
  <c r="AG119" i="2"/>
  <c r="CI119" i="2" s="1"/>
  <c r="AE119" i="2"/>
  <c r="CB119" i="2" s="1"/>
  <c r="AC119" i="2"/>
  <c r="BZ119" i="2" s="1"/>
  <c r="AA119" i="2"/>
  <c r="BS119" i="2" s="1"/>
  <c r="Y119" i="2"/>
  <c r="BQ119" i="2" s="1"/>
  <c r="W119" i="2"/>
  <c r="BJ119" i="2" s="1"/>
  <c r="U119" i="2"/>
  <c r="BH119" i="2" s="1"/>
  <c r="S119" i="2"/>
  <c r="BA119" i="2" s="1"/>
  <c r="DW119" i="2"/>
  <c r="Q119" i="2"/>
  <c r="AY119" i="2" s="1"/>
  <c r="N215" i="2"/>
  <c r="F215" i="2"/>
  <c r="N119" i="2"/>
  <c r="BO185" i="2"/>
  <c r="BO412" i="2" s="1"/>
  <c r="BX10" i="2"/>
  <c r="FE221" i="2"/>
  <c r="FD221" i="2"/>
  <c r="EY221" i="2"/>
  <c r="EX221" i="2"/>
  <c r="EW221" i="2"/>
  <c r="EV221" i="2"/>
  <c r="EH221" i="2"/>
  <c r="CM467" i="2" s="1"/>
  <c r="EG221" i="2"/>
  <c r="CL467" i="2" s="1"/>
  <c r="EF221" i="2"/>
  <c r="CK467" i="2" s="1"/>
  <c r="EE221" i="2"/>
  <c r="CJ467" i="2" s="1"/>
  <c r="ED221" i="2"/>
  <c r="CI467" i="2" s="1"/>
  <c r="EC221" i="2"/>
  <c r="CH467" i="2" s="1"/>
  <c r="EB221" i="2"/>
  <c r="CG467" i="2" s="1"/>
  <c r="DY221" i="2"/>
  <c r="CD467" i="2" s="1"/>
  <c r="DX221" i="2"/>
  <c r="CC467" i="2" s="1"/>
  <c r="DW221" i="2"/>
  <c r="CB467" i="2" s="1"/>
  <c r="DV221" i="2"/>
  <c r="CA467" i="2" s="1"/>
  <c r="DU221" i="2"/>
  <c r="BZ467" i="2" s="1"/>
  <c r="DT221" i="2"/>
  <c r="BY467" i="2" s="1"/>
  <c r="DS221" i="2"/>
  <c r="BX467" i="2" s="1"/>
  <c r="DR221" i="2"/>
  <c r="BW467" i="2" s="1"/>
  <c r="DG221" i="2"/>
  <c r="BL467" i="2" s="1"/>
  <c r="DF221" i="2"/>
  <c r="BK467" i="2" s="1"/>
  <c r="DE221" i="2"/>
  <c r="BJ467" i="2" s="1"/>
  <c r="DD221" i="2"/>
  <c r="BI467" i="2" s="1"/>
  <c r="DC221" i="2"/>
  <c r="BH467" i="2" s="1"/>
  <c r="DB221" i="2"/>
  <c r="BG467" i="2" s="1"/>
  <c r="DA221" i="2"/>
  <c r="BF467" i="2" s="1"/>
  <c r="CZ221" i="2"/>
  <c r="BE467" i="2" s="1"/>
  <c r="CX221" i="2"/>
  <c r="BC467" i="2" s="1"/>
  <c r="CW221" i="2"/>
  <c r="BB467" i="2" s="1"/>
  <c r="CV221" i="2"/>
  <c r="BA467" i="2" s="1"/>
  <c r="CU221" i="2"/>
  <c r="AZ467" i="2" s="1"/>
  <c r="CT221" i="2"/>
  <c r="AY467" i="2" s="1"/>
  <c r="CS221" i="2"/>
  <c r="AX467" i="2" s="1"/>
  <c r="CR221" i="2"/>
  <c r="AW467" i="2" s="1"/>
  <c r="CQ221" i="2"/>
  <c r="AV467" i="2" s="1"/>
  <c r="CL221" i="2"/>
  <c r="CL420" i="2" s="1"/>
  <c r="CK221" i="2"/>
  <c r="CK420" i="2" s="1"/>
  <c r="CJ221" i="2"/>
  <c r="CJ420" i="2" s="1"/>
  <c r="CI221" i="2"/>
  <c r="CI420" i="2" s="1"/>
  <c r="CH221" i="2"/>
  <c r="CH420" i="2" s="1"/>
  <c r="CG221" i="2"/>
  <c r="CG420" i="2" s="1"/>
  <c r="CF221" i="2"/>
  <c r="CF420" i="2" s="1"/>
  <c r="CC221" i="2"/>
  <c r="CC420" i="2" s="1"/>
  <c r="CB221" i="2"/>
  <c r="CB420" i="2" s="1"/>
  <c r="CA221" i="2"/>
  <c r="CA420" i="2" s="1"/>
  <c r="BZ221" i="2"/>
  <c r="BZ420" i="2" s="1"/>
  <c r="BY221" i="2"/>
  <c r="BY420" i="2" s="1"/>
  <c r="BW221" i="2"/>
  <c r="BW420" i="2" s="1"/>
  <c r="BT221" i="2"/>
  <c r="BT420" i="2" s="1"/>
  <c r="BS221" i="2"/>
  <c r="BS420" i="2" s="1"/>
  <c r="BR221" i="2"/>
  <c r="BR420" i="2" s="1"/>
  <c r="BQ221" i="2"/>
  <c r="BQ420" i="2" s="1"/>
  <c r="BP221" i="2"/>
  <c r="BP420" i="2" s="1"/>
  <c r="BN221" i="2"/>
  <c r="BN420" i="2" s="1"/>
  <c r="BK221" i="2"/>
  <c r="BK420" i="2" s="1"/>
  <c r="BJ221" i="2"/>
  <c r="BJ420" i="2" s="1"/>
  <c r="BI221" i="2"/>
  <c r="BI420" i="2" s="1"/>
  <c r="BH221" i="2"/>
  <c r="BH420" i="2" s="1"/>
  <c r="BG221" i="2"/>
  <c r="BG420" i="2" s="1"/>
  <c r="BE221" i="2"/>
  <c r="BE420" i="2" s="1"/>
  <c r="BB221" i="2"/>
  <c r="BB420" i="2" s="1"/>
  <c r="BA221" i="2"/>
  <c r="BA420" i="2" s="1"/>
  <c r="AZ221" i="2"/>
  <c r="AZ420" i="2" s="1"/>
  <c r="AY221" i="2"/>
  <c r="AY420" i="2" s="1"/>
  <c r="AX221" i="2"/>
  <c r="AX420" i="2" s="1"/>
  <c r="AW221" i="2"/>
  <c r="AW420" i="2" s="1"/>
  <c r="BK211" i="2"/>
  <c r="BI211" i="2"/>
  <c r="BG211" i="2"/>
  <c r="BE211" i="2"/>
  <c r="BT211" i="2"/>
  <c r="BR211" i="2"/>
  <c r="BQ211" i="2"/>
  <c r="BN211" i="2"/>
  <c r="W211" i="2"/>
  <c r="BJ211" i="2" s="1"/>
  <c r="AX155" i="2"/>
  <c r="FC211" i="2"/>
  <c r="EX211" i="2"/>
  <c r="EV211" i="2"/>
  <c r="EH211" i="2"/>
  <c r="EG211" i="2"/>
  <c r="EF211" i="2"/>
  <c r="EE211" i="2"/>
  <c r="ED211" i="2"/>
  <c r="EC211" i="2"/>
  <c r="EB211" i="2"/>
  <c r="EA211" i="2"/>
  <c r="DY211" i="2"/>
  <c r="DX211" i="2"/>
  <c r="DW211" i="2"/>
  <c r="DV211" i="2"/>
  <c r="DU211" i="2"/>
  <c r="DT211" i="2"/>
  <c r="DS211" i="2"/>
  <c r="DR211" i="2"/>
  <c r="C26" i="9"/>
  <c r="FD185" i="2"/>
  <c r="FC185" i="2"/>
  <c r="EY185" i="2"/>
  <c r="EV185" i="2"/>
  <c r="CL459" i="2"/>
  <c r="EF185" i="2"/>
  <c r="EE185" i="2"/>
  <c r="EB185" i="2"/>
  <c r="DW185" i="2"/>
  <c r="BZ459" i="2"/>
  <c r="BX459" i="2"/>
  <c r="DR185" i="2"/>
  <c r="BU459" i="2"/>
  <c r="DO185" i="2"/>
  <c r="DN185" i="2"/>
  <c r="DJ185" i="2"/>
  <c r="BN459" i="2"/>
  <c r="BC459" i="2"/>
  <c r="BA459" i="2"/>
  <c r="CU185" i="2"/>
  <c r="AY459" i="2"/>
  <c r="CL185" i="2"/>
  <c r="CL412" i="2" s="1"/>
  <c r="CJ185" i="2"/>
  <c r="CJ412" i="2" s="1"/>
  <c r="CH185" i="2"/>
  <c r="CH412" i="2" s="1"/>
  <c r="CG185" i="2"/>
  <c r="CG412" i="2" s="1"/>
  <c r="CC185" i="2"/>
  <c r="CC412" i="2" s="1"/>
  <c r="CA185" i="2"/>
  <c r="CA412" i="2" s="1"/>
  <c r="BY185" i="2"/>
  <c r="BY412" i="2" s="1"/>
  <c r="BX185" i="2"/>
  <c r="BX412" i="2" s="1"/>
  <c r="BW185" i="2"/>
  <c r="BW412" i="2" s="1"/>
  <c r="BT185" i="2"/>
  <c r="BT412" i="2" s="1"/>
  <c r="BR185" i="2"/>
  <c r="BR412" i="2" s="1"/>
  <c r="BP185" i="2"/>
  <c r="BP412" i="2" s="1"/>
  <c r="BN185" i="2"/>
  <c r="BN412" i="2" s="1"/>
  <c r="BK185" i="2"/>
  <c r="BK412" i="2" s="1"/>
  <c r="BI185" i="2"/>
  <c r="BI412" i="2" s="1"/>
  <c r="BG185" i="2"/>
  <c r="BG412" i="2" s="1"/>
  <c r="BE185" i="2"/>
  <c r="BE412" i="2" s="1"/>
  <c r="BB185" i="2"/>
  <c r="BB412" i="2" s="1"/>
  <c r="AZ185" i="2"/>
  <c r="AZ412" i="2" s="1"/>
  <c r="AX185" i="2"/>
  <c r="AX412" i="2" s="1"/>
  <c r="AW185" i="2"/>
  <c r="AW412" i="2" s="1"/>
  <c r="AV185" i="2"/>
  <c r="AV412" i="2" s="1"/>
  <c r="CK185" i="2"/>
  <c r="CK412" i="2" s="1"/>
  <c r="BZ185" i="2"/>
  <c r="BZ412" i="2" s="1"/>
  <c r="U185" i="2"/>
  <c r="AY185" i="2"/>
  <c r="AY412" i="2" s="1"/>
  <c r="Q45" i="3"/>
  <c r="F177" i="2"/>
  <c r="F136" i="2"/>
  <c r="AV163" i="2"/>
  <c r="EJ164" i="2"/>
  <c r="CP164" i="2"/>
  <c r="AT164" i="2"/>
  <c r="AS164" i="2"/>
  <c r="AR164" i="2"/>
  <c r="AQ164" i="2"/>
  <c r="AP164" i="2"/>
  <c r="AO164" i="2"/>
  <c r="AN164" i="2"/>
  <c r="AM164" i="2"/>
  <c r="AL164" i="2"/>
  <c r="AK164" i="2"/>
  <c r="AJ164" i="2"/>
  <c r="AH164" i="2"/>
  <c r="AF164" i="2"/>
  <c r="AD164" i="2"/>
  <c r="AB164" i="2"/>
  <c r="Z164" i="2"/>
  <c r="X164" i="2"/>
  <c r="V164" i="2"/>
  <c r="T164" i="2"/>
  <c r="R164" i="2"/>
  <c r="P164" i="2"/>
  <c r="BG136" i="2"/>
  <c r="BN210" i="2"/>
  <c r="AV210" i="2"/>
  <c r="BE210" i="2"/>
  <c r="EH27" i="2"/>
  <c r="U19" i="3" s="1"/>
  <c r="EG27" i="2"/>
  <c r="EF27" i="2"/>
  <c r="EE27" i="2"/>
  <c r="ED27" i="2"/>
  <c r="V19" i="3" s="1"/>
  <c r="EC27" i="2"/>
  <c r="EB27" i="2"/>
  <c r="EA27" i="2"/>
  <c r="DY27" i="2"/>
  <c r="DX27" i="2"/>
  <c r="DW27" i="2"/>
  <c r="DV27" i="2"/>
  <c r="DU27" i="2"/>
  <c r="DT27" i="2"/>
  <c r="DS27" i="2"/>
  <c r="DR27" i="2"/>
  <c r="DP27" i="2"/>
  <c r="DO27" i="2"/>
  <c r="DN27" i="2"/>
  <c r="DM27" i="2"/>
  <c r="DL27" i="2"/>
  <c r="DK27" i="2"/>
  <c r="DJ27" i="2"/>
  <c r="DI27" i="2"/>
  <c r="CL27" i="2"/>
  <c r="CJ27" i="2"/>
  <c r="CH27" i="2"/>
  <c r="CG27" i="2"/>
  <c r="CF27" i="2"/>
  <c r="CC27" i="2"/>
  <c r="CA27" i="2"/>
  <c r="BY27" i="2"/>
  <c r="BW27" i="2"/>
  <c r="BT27" i="2"/>
  <c r="BR27" i="2"/>
  <c r="BP27" i="2"/>
  <c r="BN27" i="2"/>
  <c r="BK27" i="2"/>
  <c r="BI27" i="2"/>
  <c r="BG27" i="2"/>
  <c r="BE27" i="2"/>
  <c r="BB27" i="2"/>
  <c r="DF27" i="2"/>
  <c r="AZ27" i="2"/>
  <c r="DD27" i="2"/>
  <c r="AX27" i="2"/>
  <c r="DB27" i="2"/>
  <c r="DA27" i="2"/>
  <c r="AV27" i="2"/>
  <c r="AI27" i="2"/>
  <c r="CK27" i="2" s="1"/>
  <c r="AG27" i="2"/>
  <c r="CI27" i="2" s="1"/>
  <c r="AE27" i="2"/>
  <c r="AC27" i="2"/>
  <c r="AA27" i="2"/>
  <c r="BS27" i="2" s="1"/>
  <c r="Y27" i="2"/>
  <c r="BQ27" i="2" s="1"/>
  <c r="W27" i="2"/>
  <c r="BJ27" i="2" s="1"/>
  <c r="U27" i="2"/>
  <c r="BH27" i="2" s="1"/>
  <c r="S27" i="2"/>
  <c r="BA27" i="2" s="1"/>
  <c r="Q27" i="2"/>
  <c r="AY27" i="2" s="1"/>
  <c r="N27" i="2"/>
  <c r="EH24" i="2"/>
  <c r="U17" i="3" s="1"/>
  <c r="EG24" i="2"/>
  <c r="EF24" i="2"/>
  <c r="EE24" i="2"/>
  <c r="ED24" i="2"/>
  <c r="V17" i="3" s="1"/>
  <c r="EC24" i="2"/>
  <c r="EB24" i="2"/>
  <c r="EA24" i="2"/>
  <c r="DY24" i="2"/>
  <c r="DX24" i="2"/>
  <c r="DW24" i="2"/>
  <c r="DV24" i="2"/>
  <c r="DU24" i="2"/>
  <c r="DT24" i="2"/>
  <c r="DS24" i="2"/>
  <c r="DR24" i="2"/>
  <c r="DP24" i="2"/>
  <c r="DO24" i="2"/>
  <c r="DN24" i="2"/>
  <c r="DM24" i="2"/>
  <c r="DL24" i="2"/>
  <c r="DK24" i="2"/>
  <c r="DJ24" i="2"/>
  <c r="DI24" i="2"/>
  <c r="DG24" i="2"/>
  <c r="DF24" i="2"/>
  <c r="DE24" i="2"/>
  <c r="DD24" i="2"/>
  <c r="DC24" i="2"/>
  <c r="DB24" i="2"/>
  <c r="DA24" i="2"/>
  <c r="CZ24" i="2"/>
  <c r="CL24" i="2"/>
  <c r="CJ24" i="2"/>
  <c r="CH24" i="2"/>
  <c r="CG24" i="2"/>
  <c r="CF24" i="2"/>
  <c r="CC24" i="2"/>
  <c r="CA24" i="2"/>
  <c r="BY24" i="2"/>
  <c r="BW24" i="2"/>
  <c r="BT24" i="2"/>
  <c r="BR24" i="2"/>
  <c r="BP24" i="2"/>
  <c r="BN24" i="2"/>
  <c r="BK24" i="2"/>
  <c r="BI24" i="2"/>
  <c r="BG24" i="2"/>
  <c r="BE24" i="2"/>
  <c r="BB24" i="2"/>
  <c r="AZ24" i="2"/>
  <c r="AX24" i="2"/>
  <c r="AV24" i="2"/>
  <c r="AI24" i="2"/>
  <c r="CK24" i="2" s="1"/>
  <c r="AG24" i="2"/>
  <c r="AE24" i="2"/>
  <c r="CB24" i="2" s="1"/>
  <c r="AC24" i="2"/>
  <c r="BZ24" i="2" s="1"/>
  <c r="AA24" i="2"/>
  <c r="BS24" i="2" s="1"/>
  <c r="Y24" i="2"/>
  <c r="W24" i="2"/>
  <c r="BJ24" i="2" s="1"/>
  <c r="U24" i="2"/>
  <c r="BH24" i="2" s="1"/>
  <c r="S24" i="2"/>
  <c r="BA24" i="2" s="1"/>
  <c r="Q24" i="2"/>
  <c r="AY24" i="2" s="1"/>
  <c r="EJ91" i="2"/>
  <c r="CO91" i="2"/>
  <c r="R33" i="6"/>
  <c r="R34" i="6" s="1"/>
  <c r="CN511" i="2"/>
  <c r="CM511" i="2"/>
  <c r="CL511" i="2"/>
  <c r="CK511" i="2"/>
  <c r="CJ511" i="2"/>
  <c r="CI511" i="2"/>
  <c r="CH511" i="2"/>
  <c r="CG511" i="2"/>
  <c r="CF511" i="2"/>
  <c r="CD511" i="2"/>
  <c r="CC511" i="2"/>
  <c r="CB511" i="2"/>
  <c r="CA511" i="2"/>
  <c r="BZ511" i="2"/>
  <c r="BY511" i="2"/>
  <c r="BX511" i="2"/>
  <c r="BW511" i="2"/>
  <c r="BV511" i="2"/>
  <c r="BU511" i="2"/>
  <c r="BT511" i="2"/>
  <c r="BS511" i="2"/>
  <c r="BR511" i="2"/>
  <c r="BQ511" i="2"/>
  <c r="BP511" i="2"/>
  <c r="BO511" i="2"/>
  <c r="BN511" i="2"/>
  <c r="BL511" i="2"/>
  <c r="BK511" i="2"/>
  <c r="BJ511" i="2"/>
  <c r="BI511" i="2"/>
  <c r="BH511" i="2"/>
  <c r="BG511" i="2"/>
  <c r="BE511" i="2"/>
  <c r="BC511" i="2"/>
  <c r="BB511" i="2"/>
  <c r="BA511" i="2"/>
  <c r="AZ511" i="2"/>
  <c r="AY511" i="2"/>
  <c r="AX511" i="2"/>
  <c r="CN506" i="2"/>
  <c r="CM506" i="2"/>
  <c r="CL506" i="2"/>
  <c r="CK506" i="2"/>
  <c r="CJ506" i="2"/>
  <c r="CI506" i="2"/>
  <c r="CH506" i="2"/>
  <c r="CG506" i="2"/>
  <c r="CF506" i="2"/>
  <c r="CD506" i="2"/>
  <c r="CC506" i="2"/>
  <c r="CB506" i="2"/>
  <c r="CA506" i="2"/>
  <c r="BZ506" i="2"/>
  <c r="BY506" i="2"/>
  <c r="BX506" i="2"/>
  <c r="BW506" i="2"/>
  <c r="BV506" i="2"/>
  <c r="BU506" i="2"/>
  <c r="BT506" i="2"/>
  <c r="BS506" i="2"/>
  <c r="BR506" i="2"/>
  <c r="BQ506" i="2"/>
  <c r="BP506" i="2"/>
  <c r="BO506" i="2"/>
  <c r="BN506" i="2"/>
  <c r="BL506" i="2"/>
  <c r="BK506" i="2"/>
  <c r="BJ506" i="2"/>
  <c r="BI506" i="2"/>
  <c r="BH506" i="2"/>
  <c r="BG506" i="2"/>
  <c r="BE506" i="2"/>
  <c r="BC506" i="2"/>
  <c r="BB506" i="2"/>
  <c r="BA506" i="2"/>
  <c r="AZ506" i="2"/>
  <c r="AY506" i="2"/>
  <c r="AX506" i="2"/>
  <c r="CN500" i="2"/>
  <c r="CM500" i="2"/>
  <c r="CL500" i="2"/>
  <c r="CK500" i="2"/>
  <c r="CJ500" i="2"/>
  <c r="CI500" i="2"/>
  <c r="CH500" i="2"/>
  <c r="CG500" i="2"/>
  <c r="CF500" i="2"/>
  <c r="CD500" i="2"/>
  <c r="CC500" i="2"/>
  <c r="CB500" i="2"/>
  <c r="CA500" i="2"/>
  <c r="BZ500" i="2"/>
  <c r="BY500" i="2"/>
  <c r="BX500" i="2"/>
  <c r="BW500" i="2"/>
  <c r="BV500" i="2"/>
  <c r="BU500" i="2"/>
  <c r="BT500" i="2"/>
  <c r="BS500" i="2"/>
  <c r="BR500" i="2"/>
  <c r="BQ500" i="2"/>
  <c r="BP500" i="2"/>
  <c r="BO500" i="2"/>
  <c r="BN500" i="2"/>
  <c r="BL500" i="2"/>
  <c r="BK500" i="2"/>
  <c r="BJ500" i="2"/>
  <c r="BI500" i="2"/>
  <c r="BH500" i="2"/>
  <c r="BG500" i="2"/>
  <c r="BE500" i="2"/>
  <c r="BC500" i="2"/>
  <c r="BB500" i="2"/>
  <c r="BA500" i="2"/>
  <c r="AZ500" i="2"/>
  <c r="AY500" i="2"/>
  <c r="AX500" i="2"/>
  <c r="CN499" i="2"/>
  <c r="CM499" i="2"/>
  <c r="CL499" i="2"/>
  <c r="CK499" i="2"/>
  <c r="CJ499" i="2"/>
  <c r="CI499" i="2"/>
  <c r="CH499" i="2"/>
  <c r="CG499" i="2"/>
  <c r="CF499" i="2"/>
  <c r="CD499" i="2"/>
  <c r="CC499" i="2"/>
  <c r="CB499" i="2"/>
  <c r="CA499" i="2"/>
  <c r="BZ499" i="2"/>
  <c r="BY499" i="2"/>
  <c r="BX499" i="2"/>
  <c r="BW499" i="2"/>
  <c r="BV499" i="2"/>
  <c r="BU499" i="2"/>
  <c r="BT499" i="2"/>
  <c r="BS499" i="2"/>
  <c r="BR499" i="2"/>
  <c r="BQ499" i="2"/>
  <c r="BP499" i="2"/>
  <c r="BO499" i="2"/>
  <c r="BN499" i="2"/>
  <c r="BL499" i="2"/>
  <c r="BK499" i="2"/>
  <c r="BJ499" i="2"/>
  <c r="BI499" i="2"/>
  <c r="BH499" i="2"/>
  <c r="BG499" i="2"/>
  <c r="BE499" i="2"/>
  <c r="BC499" i="2"/>
  <c r="BB499" i="2"/>
  <c r="BA499" i="2"/>
  <c r="AZ499" i="2"/>
  <c r="AY499" i="2"/>
  <c r="AX499" i="2"/>
  <c r="CN496" i="2"/>
  <c r="CM496" i="2"/>
  <c r="CL496" i="2"/>
  <c r="CK496" i="2"/>
  <c r="CJ496" i="2"/>
  <c r="CI496" i="2"/>
  <c r="CH496" i="2"/>
  <c r="CG496" i="2"/>
  <c r="CF496" i="2"/>
  <c r="CD496" i="2"/>
  <c r="CC496" i="2"/>
  <c r="CB496" i="2"/>
  <c r="CA496" i="2"/>
  <c r="BZ496" i="2"/>
  <c r="BY496" i="2"/>
  <c r="BX496" i="2"/>
  <c r="BW496" i="2"/>
  <c r="BV496" i="2"/>
  <c r="BU496" i="2"/>
  <c r="BT496" i="2"/>
  <c r="BS496" i="2"/>
  <c r="BR496" i="2"/>
  <c r="BQ496" i="2"/>
  <c r="BP496" i="2"/>
  <c r="BO496" i="2"/>
  <c r="BN496" i="2"/>
  <c r="BL496" i="2"/>
  <c r="BK496" i="2"/>
  <c r="BJ496" i="2"/>
  <c r="BI496" i="2"/>
  <c r="BH496" i="2"/>
  <c r="BG496" i="2"/>
  <c r="BE496" i="2"/>
  <c r="BC496" i="2"/>
  <c r="BB496" i="2"/>
  <c r="BA496" i="2"/>
  <c r="AZ496" i="2"/>
  <c r="AY496" i="2"/>
  <c r="AX496" i="2"/>
  <c r="CN495" i="2"/>
  <c r="CM495" i="2"/>
  <c r="CL495" i="2"/>
  <c r="CK495" i="2"/>
  <c r="CJ495" i="2"/>
  <c r="CI495" i="2"/>
  <c r="CH495" i="2"/>
  <c r="CG495" i="2"/>
  <c r="CF495" i="2"/>
  <c r="CD495" i="2"/>
  <c r="CC495" i="2"/>
  <c r="CB495" i="2"/>
  <c r="CA495" i="2"/>
  <c r="BZ495" i="2"/>
  <c r="BY495" i="2"/>
  <c r="BX495" i="2"/>
  <c r="BW495" i="2"/>
  <c r="BV495" i="2"/>
  <c r="BU495" i="2"/>
  <c r="BT495" i="2"/>
  <c r="BS495" i="2"/>
  <c r="BR495" i="2"/>
  <c r="BQ495" i="2"/>
  <c r="BP495" i="2"/>
  <c r="BO495" i="2"/>
  <c r="BN495" i="2"/>
  <c r="BL495" i="2"/>
  <c r="BK495" i="2"/>
  <c r="BJ495" i="2"/>
  <c r="BI495" i="2"/>
  <c r="BH495" i="2"/>
  <c r="BG495" i="2"/>
  <c r="BE495" i="2"/>
  <c r="BC495" i="2"/>
  <c r="BB495" i="2"/>
  <c r="BA495" i="2"/>
  <c r="AZ495" i="2"/>
  <c r="AY495" i="2"/>
  <c r="AX495" i="2"/>
  <c r="CN491" i="2"/>
  <c r="CM491" i="2"/>
  <c r="CL491" i="2"/>
  <c r="CK491" i="2"/>
  <c r="CJ491" i="2"/>
  <c r="CI491" i="2"/>
  <c r="CH491" i="2"/>
  <c r="CG491" i="2"/>
  <c r="CF491" i="2"/>
  <c r="CD491" i="2"/>
  <c r="CC491" i="2"/>
  <c r="CB491" i="2"/>
  <c r="CA491" i="2"/>
  <c r="BZ491" i="2"/>
  <c r="BY491" i="2"/>
  <c r="BX491" i="2"/>
  <c r="BW491" i="2"/>
  <c r="BV491" i="2"/>
  <c r="BU491" i="2"/>
  <c r="BT491" i="2"/>
  <c r="BS491" i="2"/>
  <c r="BR491" i="2"/>
  <c r="BQ491" i="2"/>
  <c r="BP491" i="2"/>
  <c r="BO491" i="2"/>
  <c r="BN491" i="2"/>
  <c r="BL491" i="2"/>
  <c r="BK491" i="2"/>
  <c r="BJ491" i="2"/>
  <c r="BI491" i="2"/>
  <c r="BH491" i="2"/>
  <c r="BG491" i="2"/>
  <c r="BE491" i="2"/>
  <c r="BC491" i="2"/>
  <c r="BB491" i="2"/>
  <c r="BA491" i="2"/>
  <c r="AZ491" i="2"/>
  <c r="AY491" i="2"/>
  <c r="AX491" i="2"/>
  <c r="CN484" i="2"/>
  <c r="CM484" i="2"/>
  <c r="CL484" i="2"/>
  <c r="CK484" i="2"/>
  <c r="CJ484" i="2"/>
  <c r="CI484" i="2"/>
  <c r="CH484" i="2"/>
  <c r="CG484" i="2"/>
  <c r="CF484" i="2"/>
  <c r="CD484" i="2"/>
  <c r="CC484" i="2"/>
  <c r="CB484" i="2"/>
  <c r="CA484" i="2"/>
  <c r="BZ484" i="2"/>
  <c r="BY484" i="2"/>
  <c r="BX484" i="2"/>
  <c r="BW484" i="2"/>
  <c r="BV484" i="2"/>
  <c r="BU484" i="2"/>
  <c r="BT484" i="2"/>
  <c r="BS484" i="2"/>
  <c r="BR484" i="2"/>
  <c r="BQ484" i="2"/>
  <c r="BP484" i="2"/>
  <c r="BO484" i="2"/>
  <c r="BN484" i="2"/>
  <c r="BL484" i="2"/>
  <c r="BK484" i="2"/>
  <c r="BJ484" i="2"/>
  <c r="BI484" i="2"/>
  <c r="BH484" i="2"/>
  <c r="BG484" i="2"/>
  <c r="BE484" i="2"/>
  <c r="BC484" i="2"/>
  <c r="BB484" i="2"/>
  <c r="BA484" i="2"/>
  <c r="AZ484" i="2"/>
  <c r="AY484" i="2"/>
  <c r="AX484" i="2"/>
  <c r="CN482" i="2"/>
  <c r="CM482" i="2"/>
  <c r="CL482" i="2"/>
  <c r="CK482" i="2"/>
  <c r="CJ482" i="2"/>
  <c r="CI482" i="2"/>
  <c r="CH482" i="2"/>
  <c r="CG482" i="2"/>
  <c r="CF482" i="2"/>
  <c r="CD482" i="2"/>
  <c r="CC482" i="2"/>
  <c r="CB482" i="2"/>
  <c r="CA482" i="2"/>
  <c r="BZ482" i="2"/>
  <c r="BY482" i="2"/>
  <c r="BX482" i="2"/>
  <c r="BW482" i="2"/>
  <c r="BV482" i="2"/>
  <c r="BU482" i="2"/>
  <c r="BT482" i="2"/>
  <c r="BS482" i="2"/>
  <c r="BR482" i="2"/>
  <c r="BQ482" i="2"/>
  <c r="BP482" i="2"/>
  <c r="BO482" i="2"/>
  <c r="BN482" i="2"/>
  <c r="BL482" i="2"/>
  <c r="BK482" i="2"/>
  <c r="BJ482" i="2"/>
  <c r="BI482" i="2"/>
  <c r="BH482" i="2"/>
  <c r="BG482" i="2"/>
  <c r="BE482" i="2"/>
  <c r="BC482" i="2"/>
  <c r="BB482" i="2"/>
  <c r="BA482" i="2"/>
  <c r="AZ482" i="2"/>
  <c r="AY482" i="2"/>
  <c r="AX482" i="2"/>
  <c r="AV511" i="2"/>
  <c r="AV506" i="2"/>
  <c r="AV500" i="2"/>
  <c r="AV499" i="2"/>
  <c r="AV496" i="2"/>
  <c r="AV495" i="2"/>
  <c r="AV491" i="2"/>
  <c r="AV484" i="2"/>
  <c r="AV482" i="2"/>
  <c r="N39" i="6"/>
  <c r="R104" i="6"/>
  <c r="Q120" i="3"/>
  <c r="Q105" i="3"/>
  <c r="Q103" i="3"/>
  <c r="Q23" i="3"/>
  <c r="Q27" i="3"/>
  <c r="Q12" i="4" s="1"/>
  <c r="R27" i="6"/>
  <c r="R17" i="6"/>
  <c r="P9" i="7" s="1"/>
  <c r="Q15" i="3"/>
  <c r="AW464" i="2"/>
  <c r="AX464" i="2"/>
  <c r="AY464" i="2"/>
  <c r="AZ464" i="2"/>
  <c r="BA464" i="2"/>
  <c r="BB464" i="2"/>
  <c r="BC464" i="2"/>
  <c r="BN464" i="2"/>
  <c r="BO464" i="2"/>
  <c r="BP464" i="2"/>
  <c r="BR464" i="2"/>
  <c r="BS464" i="2"/>
  <c r="BT464" i="2"/>
  <c r="BU464" i="2"/>
  <c r="BX464" i="2"/>
  <c r="BY464" i="2"/>
  <c r="BZ464" i="2"/>
  <c r="CA464" i="2"/>
  <c r="CB464" i="2"/>
  <c r="CC464" i="2"/>
  <c r="CD464" i="2"/>
  <c r="CF464" i="2"/>
  <c r="CG464" i="2"/>
  <c r="CH464" i="2"/>
  <c r="CI464" i="2"/>
  <c r="CJ464" i="2"/>
  <c r="CK464" i="2"/>
  <c r="CL464" i="2"/>
  <c r="CM464" i="2"/>
  <c r="AP134" i="2"/>
  <c r="DP177" i="2"/>
  <c r="DO177" i="2"/>
  <c r="DN177" i="2"/>
  <c r="DM177" i="2"/>
  <c r="DL177" i="2"/>
  <c r="DK177" i="2"/>
  <c r="DJ177" i="2"/>
  <c r="DJ179" i="2" s="1"/>
  <c r="DI177" i="2"/>
  <c r="DP163" i="2"/>
  <c r="DO163" i="2"/>
  <c r="DN163" i="2"/>
  <c r="DM163" i="2"/>
  <c r="DL163" i="2"/>
  <c r="DK163" i="2"/>
  <c r="DK164" i="2" s="1"/>
  <c r="BP451" i="2" s="1"/>
  <c r="DJ163" i="2"/>
  <c r="DI163" i="2"/>
  <c r="DP155" i="2"/>
  <c r="DO155" i="2"/>
  <c r="DN155" i="2"/>
  <c r="DM155" i="2"/>
  <c r="DL155" i="2"/>
  <c r="DK155" i="2"/>
  <c r="DJ155" i="2"/>
  <c r="DI155" i="2"/>
  <c r="DP145" i="2"/>
  <c r="DP149" i="2" s="1"/>
  <c r="DO145" i="2"/>
  <c r="DO149" i="2" s="1"/>
  <c r="DN145" i="2"/>
  <c r="DN149" i="2" s="1"/>
  <c r="DM145" i="2"/>
  <c r="DM149" i="2" s="1"/>
  <c r="DL145" i="2"/>
  <c r="DL149" i="2" s="1"/>
  <c r="DK145" i="2"/>
  <c r="DK149" i="2" s="1"/>
  <c r="DJ145" i="2"/>
  <c r="DJ149" i="2" s="1"/>
  <c r="DI145" i="2"/>
  <c r="DI149" i="2" s="1"/>
  <c r="DP136" i="2"/>
  <c r="DP142" i="2" s="1"/>
  <c r="DO136" i="2"/>
  <c r="DO142" i="2" s="1"/>
  <c r="DN136" i="2"/>
  <c r="DM136" i="2"/>
  <c r="DM142" i="2" s="1"/>
  <c r="DL136" i="2"/>
  <c r="DL142" i="2" s="1"/>
  <c r="DK136" i="2"/>
  <c r="DJ136" i="2"/>
  <c r="DI136" i="2"/>
  <c r="DI142" i="2" s="1"/>
  <c r="DP127" i="2"/>
  <c r="DO127" i="2"/>
  <c r="DN127" i="2"/>
  <c r="DM127" i="2"/>
  <c r="DL127" i="2"/>
  <c r="DK127" i="2"/>
  <c r="DJ127" i="2"/>
  <c r="DI127" i="2"/>
  <c r="DP78" i="2"/>
  <c r="DO78" i="2"/>
  <c r="DN78" i="2"/>
  <c r="DM78" i="2"/>
  <c r="DL78" i="2"/>
  <c r="DK78" i="2"/>
  <c r="DJ78" i="2"/>
  <c r="DP68" i="2"/>
  <c r="DP71" i="2" s="1"/>
  <c r="DO68" i="2"/>
  <c r="DO71" i="2" s="1"/>
  <c r="DN68" i="2"/>
  <c r="DN71" i="2" s="1"/>
  <c r="DM68" i="2"/>
  <c r="DM71" i="2" s="1"/>
  <c r="DL68" i="2"/>
  <c r="DL71" i="2" s="1"/>
  <c r="DK68" i="2"/>
  <c r="DK71" i="2" s="1"/>
  <c r="DJ68" i="2"/>
  <c r="DJ71" i="2" s="1"/>
  <c r="DI78" i="2"/>
  <c r="DI68" i="2"/>
  <c r="DI71" i="2" s="1"/>
  <c r="DI62" i="2"/>
  <c r="DI40" i="2"/>
  <c r="DI36" i="2"/>
  <c r="DI31" i="2"/>
  <c r="DI25" i="2"/>
  <c r="DI22" i="2"/>
  <c r="DI10" i="2"/>
  <c r="CQ10" i="2"/>
  <c r="T29" i="7"/>
  <c r="R29" i="7"/>
  <c r="V73" i="6"/>
  <c r="W73" i="6"/>
  <c r="T73" i="6"/>
  <c r="F37" i="6"/>
  <c r="E37" i="6"/>
  <c r="C37" i="6"/>
  <c r="E17" i="7" s="1"/>
  <c r="S37" i="6"/>
  <c r="EH78" i="2"/>
  <c r="EG78" i="2"/>
  <c r="EF78" i="2"/>
  <c r="EE78" i="2"/>
  <c r="ED78" i="2"/>
  <c r="EC78" i="2"/>
  <c r="EB78" i="2"/>
  <c r="EA78" i="2"/>
  <c r="DY78" i="2"/>
  <c r="DX78" i="2"/>
  <c r="DW78" i="2"/>
  <c r="DV78" i="2"/>
  <c r="DU78" i="2"/>
  <c r="DT78" i="2"/>
  <c r="DS78" i="2"/>
  <c r="DR78" i="2"/>
  <c r="CX78" i="2"/>
  <c r="CW78" i="2"/>
  <c r="CV78" i="2"/>
  <c r="CU78" i="2"/>
  <c r="CT78" i="2"/>
  <c r="CS78" i="2"/>
  <c r="CR78" i="2"/>
  <c r="CQ78" i="2"/>
  <c r="CL78" i="2"/>
  <c r="CJ78" i="2"/>
  <c r="CH78" i="2"/>
  <c r="CG78" i="2"/>
  <c r="CF78" i="2"/>
  <c r="BT78" i="2"/>
  <c r="BR78" i="2"/>
  <c r="BP78" i="2"/>
  <c r="BN78" i="2"/>
  <c r="BK78" i="2"/>
  <c r="BI78" i="2"/>
  <c r="BG78" i="2"/>
  <c r="BE78" i="2"/>
  <c r="BB78" i="2"/>
  <c r="AZ78" i="2"/>
  <c r="AX78" i="2"/>
  <c r="AI78" i="2"/>
  <c r="CK78" i="2" s="1"/>
  <c r="AG78" i="2"/>
  <c r="CI78" i="2" s="1"/>
  <c r="AE78" i="2"/>
  <c r="CB78" i="2" s="1"/>
  <c r="AC78" i="2"/>
  <c r="BZ78" i="2" s="1"/>
  <c r="AA78" i="2"/>
  <c r="BS78" i="2" s="1"/>
  <c r="Y78" i="2"/>
  <c r="BQ78" i="2" s="1"/>
  <c r="W78" i="2"/>
  <c r="BJ78" i="2" s="1"/>
  <c r="U78" i="2"/>
  <c r="BH78" i="2" s="1"/>
  <c r="S78" i="2"/>
  <c r="BA78" i="2" s="1"/>
  <c r="Q78" i="2"/>
  <c r="N78" i="2"/>
  <c r="AC11" i="9"/>
  <c r="AC12" i="9"/>
  <c r="AC13" i="9"/>
  <c r="AC14" i="9"/>
  <c r="AC15" i="9"/>
  <c r="AC16" i="9"/>
  <c r="AC17" i="9"/>
  <c r="AC20" i="9"/>
  <c r="V158" i="6"/>
  <c r="W158" i="6"/>
  <c r="CL224" i="2"/>
  <c r="CJ224" i="2"/>
  <c r="CH224" i="2"/>
  <c r="CF224" i="2"/>
  <c r="CC224" i="2"/>
  <c r="CA224" i="2"/>
  <c r="BY224" i="2"/>
  <c r="BW224" i="2"/>
  <c r="BT224" i="2"/>
  <c r="BR224" i="2"/>
  <c r="BP224" i="2"/>
  <c r="BN224" i="2"/>
  <c r="BI224" i="2"/>
  <c r="BG224" i="2"/>
  <c r="BB224" i="2"/>
  <c r="AZ224" i="2"/>
  <c r="AX224" i="2"/>
  <c r="AV224" i="2"/>
  <c r="AI224" i="2"/>
  <c r="AG224" i="2"/>
  <c r="AE224" i="2"/>
  <c r="AC224" i="2"/>
  <c r="AA224" i="2"/>
  <c r="Y224" i="2"/>
  <c r="W224" i="2"/>
  <c r="U224" i="2"/>
  <c r="S224" i="2"/>
  <c r="Q224" i="2"/>
  <c r="N224" i="2"/>
  <c r="F118" i="6"/>
  <c r="E118" i="6"/>
  <c r="C118" i="6"/>
  <c r="E5" i="7" s="1"/>
  <c r="T118" i="6"/>
  <c r="T120" i="6" s="1"/>
  <c r="S118" i="6"/>
  <c r="S120" i="6" s="1"/>
  <c r="EH177" i="2"/>
  <c r="EG177" i="2"/>
  <c r="EF177" i="2"/>
  <c r="EE177" i="2"/>
  <c r="ED177" i="2"/>
  <c r="EC177" i="2"/>
  <c r="EB177" i="2"/>
  <c r="EA177" i="2"/>
  <c r="DY177" i="2"/>
  <c r="DX177" i="2"/>
  <c r="DW177" i="2"/>
  <c r="DV177" i="2"/>
  <c r="DU177" i="2"/>
  <c r="DT177" i="2"/>
  <c r="DS177" i="2"/>
  <c r="DR177" i="2"/>
  <c r="CX177" i="2"/>
  <c r="CW177" i="2"/>
  <c r="CV177" i="2"/>
  <c r="CU177" i="2"/>
  <c r="CT177" i="2"/>
  <c r="CS177" i="2"/>
  <c r="CR177" i="2"/>
  <c r="CQ177" i="2"/>
  <c r="CL177" i="2"/>
  <c r="CJ177" i="2"/>
  <c r="CH177" i="2"/>
  <c r="CF177" i="2"/>
  <c r="CC177" i="2"/>
  <c r="CA177" i="2"/>
  <c r="BY177" i="2"/>
  <c r="BW177" i="2"/>
  <c r="BT177" i="2"/>
  <c r="BR177" i="2"/>
  <c r="BP177" i="2"/>
  <c r="BN177" i="2"/>
  <c r="BK177" i="2"/>
  <c r="BI177" i="2"/>
  <c r="BG177" i="2"/>
  <c r="BE177" i="2"/>
  <c r="BB177" i="2"/>
  <c r="AZ177" i="2"/>
  <c r="AZ179" i="2" s="1"/>
  <c r="AX177" i="2"/>
  <c r="AX179" i="2" s="1"/>
  <c r="AV177" i="2"/>
  <c r="AV179" i="2" s="1"/>
  <c r="AI177" i="2"/>
  <c r="AI179" i="2" s="1"/>
  <c r="AG177" i="2"/>
  <c r="AG179" i="2" s="1"/>
  <c r="AE177" i="2"/>
  <c r="AE179" i="2" s="1"/>
  <c r="AC177" i="2"/>
  <c r="AA177" i="2"/>
  <c r="AA179" i="2" s="1"/>
  <c r="Y177" i="2"/>
  <c r="Y179" i="2" s="1"/>
  <c r="W177" i="2"/>
  <c r="W179" i="2" s="1"/>
  <c r="U177" i="2"/>
  <c r="U179" i="2" s="1"/>
  <c r="S177" i="2"/>
  <c r="Q177" i="2"/>
  <c r="Q179" i="2" s="1"/>
  <c r="N177" i="2"/>
  <c r="S105" i="3"/>
  <c r="R105" i="3"/>
  <c r="E104" i="6"/>
  <c r="E33" i="6"/>
  <c r="E27" i="6"/>
  <c r="E17" i="6"/>
  <c r="E9" i="6"/>
  <c r="F3" i="7" s="1"/>
  <c r="E138" i="3"/>
  <c r="E120" i="3"/>
  <c r="E118" i="3"/>
  <c r="E40" i="3"/>
  <c r="G30" i="4" s="1"/>
  <c r="E110" i="3"/>
  <c r="E105" i="3"/>
  <c r="E103" i="3"/>
  <c r="E45" i="3"/>
  <c r="E27" i="3"/>
  <c r="G12" i="4" s="1"/>
  <c r="E23" i="3"/>
  <c r="E15" i="3"/>
  <c r="G10" i="4" s="1"/>
  <c r="C21" i="9"/>
  <c r="F14" i="4"/>
  <c r="F13" i="4"/>
  <c r="F103" i="3"/>
  <c r="C103" i="3"/>
  <c r="F105" i="3"/>
  <c r="C105" i="3"/>
  <c r="W155" i="2"/>
  <c r="BJ155" i="2" s="1"/>
  <c r="AC8" i="9"/>
  <c r="F27" i="6"/>
  <c r="C27" i="6"/>
  <c r="E16" i="7" s="1"/>
  <c r="W145" i="2"/>
  <c r="W149" i="2" s="1"/>
  <c r="C104" i="6"/>
  <c r="E13" i="7" s="1"/>
  <c r="S104" i="6"/>
  <c r="S103" i="3"/>
  <c r="R103" i="3"/>
  <c r="EH127" i="2"/>
  <c r="EG127" i="2"/>
  <c r="EF127" i="2"/>
  <c r="EE127" i="2"/>
  <c r="ED127" i="2"/>
  <c r="EC127" i="2"/>
  <c r="EB127" i="2"/>
  <c r="EA127" i="2"/>
  <c r="DG127" i="2"/>
  <c r="DF127" i="2"/>
  <c r="DE127" i="2"/>
  <c r="DD127" i="2"/>
  <c r="DC127" i="2"/>
  <c r="DB127" i="2"/>
  <c r="DA127" i="2"/>
  <c r="CZ127" i="2"/>
  <c r="CL127" i="2"/>
  <c r="CJ127" i="2"/>
  <c r="CH127" i="2"/>
  <c r="CG127" i="2"/>
  <c r="CF127" i="2"/>
  <c r="CC127" i="2"/>
  <c r="CA127" i="2"/>
  <c r="BY127" i="2"/>
  <c r="BW127" i="2"/>
  <c r="BT127" i="2"/>
  <c r="BR127" i="2"/>
  <c r="BP127" i="2"/>
  <c r="BN127" i="2"/>
  <c r="BK127" i="2"/>
  <c r="BI127" i="2"/>
  <c r="BG127" i="2"/>
  <c r="BE127" i="2"/>
  <c r="BB127" i="2"/>
  <c r="AZ127" i="2"/>
  <c r="AX127" i="2"/>
  <c r="AV127" i="2"/>
  <c r="AI127" i="2"/>
  <c r="CK127" i="2" s="1"/>
  <c r="AG127" i="2"/>
  <c r="CI127" i="2" s="1"/>
  <c r="AE127" i="2"/>
  <c r="CB127" i="2" s="1"/>
  <c r="AC127" i="2"/>
  <c r="BZ127" i="2" s="1"/>
  <c r="AA127" i="2"/>
  <c r="BS127" i="2" s="1"/>
  <c r="Y127" i="2"/>
  <c r="BQ127" i="2" s="1"/>
  <c r="W127" i="2"/>
  <c r="BJ127" i="2" s="1"/>
  <c r="BH127" i="2"/>
  <c r="BA127" i="2"/>
  <c r="AY127" i="2"/>
  <c r="N127" i="2"/>
  <c r="V161" i="2"/>
  <c r="N10" i="2"/>
  <c r="Q10" i="2"/>
  <c r="U10" i="2"/>
  <c r="W10" i="2"/>
  <c r="Y10" i="2"/>
  <c r="AA10" i="2"/>
  <c r="AC10" i="2"/>
  <c r="BZ10" i="2" s="1"/>
  <c r="AE10" i="2"/>
  <c r="CB10" i="2" s="1"/>
  <c r="AG10" i="2"/>
  <c r="CI10" i="2" s="1"/>
  <c r="AI10" i="2"/>
  <c r="CK10" i="2" s="1"/>
  <c r="AV10" i="2"/>
  <c r="AX10" i="2"/>
  <c r="AZ10" i="2"/>
  <c r="BB10" i="2"/>
  <c r="BE10" i="2"/>
  <c r="BG10" i="2"/>
  <c r="BI10" i="2"/>
  <c r="BK10" i="2"/>
  <c r="BN10" i="2"/>
  <c r="BP10" i="2"/>
  <c r="BR10" i="2"/>
  <c r="BT10" i="2"/>
  <c r="BW10" i="2"/>
  <c r="BY10" i="2"/>
  <c r="CA10" i="2"/>
  <c r="CC10" i="2"/>
  <c r="CF10" i="2"/>
  <c r="CG10" i="2"/>
  <c r="CH10" i="2"/>
  <c r="CJ10" i="2"/>
  <c r="CL10" i="2"/>
  <c r="CR10" i="2"/>
  <c r="CS10" i="2"/>
  <c r="CT10" i="2"/>
  <c r="CU10" i="2"/>
  <c r="CV10" i="2"/>
  <c r="CW10" i="2"/>
  <c r="CX10" i="2"/>
  <c r="DJ10" i="2"/>
  <c r="DK10" i="2"/>
  <c r="DL10" i="2"/>
  <c r="DM10" i="2"/>
  <c r="DN10" i="2"/>
  <c r="DO10" i="2"/>
  <c r="DP10" i="2"/>
  <c r="DR10" i="2"/>
  <c r="DS10" i="2"/>
  <c r="DT10" i="2"/>
  <c r="DU10" i="2"/>
  <c r="DV10" i="2"/>
  <c r="DW10" i="2"/>
  <c r="DX10" i="2"/>
  <c r="DY10" i="2"/>
  <c r="EA10" i="2"/>
  <c r="EB10" i="2"/>
  <c r="EC10" i="2"/>
  <c r="ED10" i="2"/>
  <c r="EE10" i="2"/>
  <c r="EF10" i="2"/>
  <c r="EG10" i="2"/>
  <c r="EH10" i="2"/>
  <c r="EW10" i="2"/>
  <c r="EW19" i="2" s="1"/>
  <c r="EY10" i="2"/>
  <c r="EY19" i="2" s="1"/>
  <c r="FC10" i="2"/>
  <c r="FC19" i="2" s="1"/>
  <c r="FD10" i="2"/>
  <c r="FD19" i="2" s="1"/>
  <c r="AB19" i="2"/>
  <c r="AD19" i="2"/>
  <c r="AF19" i="2"/>
  <c r="AH19" i="2"/>
  <c r="AJ19" i="2"/>
  <c r="AK19" i="2"/>
  <c r="AL19" i="2"/>
  <c r="AM19" i="2"/>
  <c r="AN19" i="2"/>
  <c r="AO19" i="2"/>
  <c r="AP19" i="2"/>
  <c r="AQ19" i="2"/>
  <c r="AR19" i="2"/>
  <c r="AS19" i="2"/>
  <c r="AT19" i="2"/>
  <c r="Q22" i="2"/>
  <c r="S22" i="2"/>
  <c r="BA22" i="2" s="1"/>
  <c r="U22" i="2"/>
  <c r="BH22" i="2" s="1"/>
  <c r="W22" i="2"/>
  <c r="Y22" i="2"/>
  <c r="BQ22" i="2" s="1"/>
  <c r="AA22" i="2"/>
  <c r="BS22" i="2" s="1"/>
  <c r="AC22" i="2"/>
  <c r="BZ22" i="2" s="1"/>
  <c r="AE22" i="2"/>
  <c r="CB22" i="2" s="1"/>
  <c r="AG22" i="2"/>
  <c r="CI22" i="2" s="1"/>
  <c r="AI22" i="2"/>
  <c r="CK22" i="2" s="1"/>
  <c r="AV22" i="2"/>
  <c r="AX22" i="2"/>
  <c r="AZ22" i="2"/>
  <c r="BB22" i="2"/>
  <c r="BE22" i="2"/>
  <c r="BG22" i="2"/>
  <c r="BI22" i="2"/>
  <c r="BK22" i="2"/>
  <c r="BN22" i="2"/>
  <c r="BP22" i="2"/>
  <c r="BR22" i="2"/>
  <c r="BT22" i="2"/>
  <c r="BW22" i="2"/>
  <c r="BY22" i="2"/>
  <c r="CA22" i="2"/>
  <c r="CC22" i="2"/>
  <c r="CF22" i="2"/>
  <c r="CG22" i="2"/>
  <c r="CH22" i="2"/>
  <c r="CJ22" i="2"/>
  <c r="CL22" i="2"/>
  <c r="CZ22" i="2"/>
  <c r="DA22" i="2"/>
  <c r="DB22" i="2"/>
  <c r="DC22" i="2"/>
  <c r="DD22" i="2"/>
  <c r="DE22" i="2"/>
  <c r="DF22" i="2"/>
  <c r="DG22" i="2"/>
  <c r="DJ22" i="2"/>
  <c r="DK22" i="2"/>
  <c r="DL22" i="2"/>
  <c r="DM22" i="2"/>
  <c r="DN22" i="2"/>
  <c r="DO22" i="2"/>
  <c r="DP22" i="2"/>
  <c r="DR22" i="2"/>
  <c r="DS22" i="2"/>
  <c r="DT22" i="2"/>
  <c r="DU22" i="2"/>
  <c r="DV22" i="2"/>
  <c r="DW22" i="2"/>
  <c r="DX22" i="2"/>
  <c r="DY22" i="2"/>
  <c r="EA22" i="2"/>
  <c r="EB22" i="2"/>
  <c r="EC22" i="2"/>
  <c r="S15" i="3" s="1"/>
  <c r="ED22" i="2"/>
  <c r="V15" i="3" s="1"/>
  <c r="EE22" i="2"/>
  <c r="EF22" i="2"/>
  <c r="EG22" i="2"/>
  <c r="EH22" i="2"/>
  <c r="U15" i="3" s="1"/>
  <c r="N25" i="2"/>
  <c r="Q25" i="2"/>
  <c r="AY25" i="2" s="1"/>
  <c r="S25" i="2"/>
  <c r="BA25" i="2" s="1"/>
  <c r="U25" i="2"/>
  <c r="W25" i="2"/>
  <c r="BJ25" i="2" s="1"/>
  <c r="Y25" i="2"/>
  <c r="BQ25" i="2" s="1"/>
  <c r="AA25" i="2"/>
  <c r="AC25" i="2"/>
  <c r="BZ25" i="2" s="1"/>
  <c r="AE25" i="2"/>
  <c r="CB25" i="2" s="1"/>
  <c r="AG25" i="2"/>
  <c r="CI25" i="2" s="1"/>
  <c r="AI25" i="2"/>
  <c r="CK25" i="2" s="1"/>
  <c r="AV25" i="2"/>
  <c r="AX25" i="2"/>
  <c r="AZ25" i="2"/>
  <c r="BB25" i="2"/>
  <c r="BE25" i="2"/>
  <c r="BG25" i="2"/>
  <c r="BI25" i="2"/>
  <c r="BK25" i="2"/>
  <c r="BN25" i="2"/>
  <c r="BP25" i="2"/>
  <c r="BR25" i="2"/>
  <c r="BT25" i="2"/>
  <c r="BW25" i="2"/>
  <c r="BY25" i="2"/>
  <c r="CA25" i="2"/>
  <c r="CC25" i="2"/>
  <c r="CF25" i="2"/>
  <c r="CG25" i="2"/>
  <c r="CH25" i="2"/>
  <c r="CJ25" i="2"/>
  <c r="CL25" i="2"/>
  <c r="CQ25" i="2"/>
  <c r="CR25" i="2"/>
  <c r="CS25" i="2"/>
  <c r="CT25" i="2"/>
  <c r="CU25" i="2"/>
  <c r="CV25" i="2"/>
  <c r="CW25" i="2"/>
  <c r="CX25" i="2"/>
  <c r="DJ25" i="2"/>
  <c r="DK25" i="2"/>
  <c r="DL25" i="2"/>
  <c r="DM25" i="2"/>
  <c r="DN25" i="2"/>
  <c r="DO25" i="2"/>
  <c r="DP25" i="2"/>
  <c r="DR25" i="2"/>
  <c r="DS25" i="2"/>
  <c r="DT25" i="2"/>
  <c r="DU25" i="2"/>
  <c r="DV25" i="2"/>
  <c r="DW25" i="2"/>
  <c r="DX25" i="2"/>
  <c r="DY25" i="2"/>
  <c r="EA25" i="2"/>
  <c r="EB25" i="2"/>
  <c r="EC25" i="2"/>
  <c r="T17" i="6" s="1"/>
  <c r="ED25" i="2"/>
  <c r="W17" i="6" s="1"/>
  <c r="EE25" i="2"/>
  <c r="EF25" i="2"/>
  <c r="EG25" i="2"/>
  <c r="EH25" i="2"/>
  <c r="V17" i="6" s="1"/>
  <c r="S17" i="6"/>
  <c r="Q9" i="7" s="1"/>
  <c r="R28" i="2"/>
  <c r="T28" i="2"/>
  <c r="V28" i="2"/>
  <c r="X28" i="2"/>
  <c r="Z28" i="2"/>
  <c r="AB28" i="2"/>
  <c r="AD28" i="2"/>
  <c r="AF28" i="2"/>
  <c r="AH28" i="2"/>
  <c r="AJ28" i="2"/>
  <c r="AK28" i="2"/>
  <c r="AL28" i="2"/>
  <c r="AM28" i="2"/>
  <c r="AN28" i="2"/>
  <c r="AO28" i="2"/>
  <c r="AP28" i="2"/>
  <c r="AQ28" i="2"/>
  <c r="AR28" i="2"/>
  <c r="AS28" i="2"/>
  <c r="AT28" i="2"/>
  <c r="N31" i="2"/>
  <c r="Q31" i="2"/>
  <c r="S31" i="2"/>
  <c r="U31" i="2"/>
  <c r="W31" i="2"/>
  <c r="Y31" i="2"/>
  <c r="AA31" i="2"/>
  <c r="AC31" i="2"/>
  <c r="BZ31" i="2" s="1"/>
  <c r="AE31" i="2"/>
  <c r="CB31" i="2" s="1"/>
  <c r="AG31" i="2"/>
  <c r="AI31" i="2"/>
  <c r="AV31" i="2"/>
  <c r="AX31" i="2"/>
  <c r="AZ31" i="2"/>
  <c r="BB31" i="2"/>
  <c r="BE31" i="2"/>
  <c r="BG31" i="2"/>
  <c r="BI31" i="2"/>
  <c r="BN31" i="2"/>
  <c r="BP31" i="2"/>
  <c r="BR31" i="2"/>
  <c r="BT31" i="2"/>
  <c r="CF31" i="2"/>
  <c r="CH31" i="2"/>
  <c r="CJ31" i="2"/>
  <c r="CL31" i="2"/>
  <c r="DJ31" i="2"/>
  <c r="DK31" i="2"/>
  <c r="DL31" i="2"/>
  <c r="DM31" i="2"/>
  <c r="DN31" i="2"/>
  <c r="DO31" i="2"/>
  <c r="DP31" i="2"/>
  <c r="DR31" i="2"/>
  <c r="DS31" i="2"/>
  <c r="DT31" i="2"/>
  <c r="DU31" i="2"/>
  <c r="DV31" i="2"/>
  <c r="DW31" i="2"/>
  <c r="DX31" i="2"/>
  <c r="DY31" i="2"/>
  <c r="EA31" i="2"/>
  <c r="EB31" i="2"/>
  <c r="EC31" i="2"/>
  <c r="T27" i="6" s="1"/>
  <c r="ED31" i="2"/>
  <c r="W27" i="6" s="1"/>
  <c r="EE31" i="2"/>
  <c r="EF31" i="2"/>
  <c r="EG31" i="2"/>
  <c r="EH31" i="2"/>
  <c r="V27" i="6" s="1"/>
  <c r="N36" i="2"/>
  <c r="Q36" i="2"/>
  <c r="AY36" i="2" s="1"/>
  <c r="S36" i="2"/>
  <c r="BA36" i="2" s="1"/>
  <c r="U36" i="2"/>
  <c r="BH36" i="2" s="1"/>
  <c r="W36" i="2"/>
  <c r="BJ36" i="2" s="1"/>
  <c r="Y36" i="2"/>
  <c r="BQ36" i="2" s="1"/>
  <c r="AA36" i="2"/>
  <c r="BS36" i="2" s="1"/>
  <c r="AC36" i="2"/>
  <c r="BZ36" i="2" s="1"/>
  <c r="AE36" i="2"/>
  <c r="CB36" i="2" s="1"/>
  <c r="AG36" i="2"/>
  <c r="CI36" i="2" s="1"/>
  <c r="AI36" i="2"/>
  <c r="CK36" i="2" s="1"/>
  <c r="AV36" i="2"/>
  <c r="AX36" i="2"/>
  <c r="AZ36" i="2"/>
  <c r="BB36" i="2"/>
  <c r="BE36" i="2"/>
  <c r="BG36" i="2"/>
  <c r="BI36" i="2"/>
  <c r="BK36" i="2"/>
  <c r="BN36" i="2"/>
  <c r="BP36" i="2"/>
  <c r="BR36" i="2"/>
  <c r="BT36" i="2"/>
  <c r="BY36" i="2"/>
  <c r="CA36" i="2"/>
  <c r="CC36" i="2"/>
  <c r="CF36" i="2"/>
  <c r="CH36" i="2"/>
  <c r="CJ36" i="2"/>
  <c r="CL36" i="2"/>
  <c r="CZ36" i="2"/>
  <c r="DA36" i="2"/>
  <c r="DB36" i="2"/>
  <c r="DC36" i="2"/>
  <c r="DD36" i="2"/>
  <c r="DE36" i="2"/>
  <c r="DF36" i="2"/>
  <c r="DG36" i="2"/>
  <c r="DJ36" i="2"/>
  <c r="DK36" i="2"/>
  <c r="DL36" i="2"/>
  <c r="DM36" i="2"/>
  <c r="DN36" i="2"/>
  <c r="DO36" i="2"/>
  <c r="DP36" i="2"/>
  <c r="DR36" i="2"/>
  <c r="DS36" i="2"/>
  <c r="DT36" i="2"/>
  <c r="DU36" i="2"/>
  <c r="DV36" i="2"/>
  <c r="DW36" i="2"/>
  <c r="DX36" i="2"/>
  <c r="DY36" i="2"/>
  <c r="EA36" i="2"/>
  <c r="EB36" i="2"/>
  <c r="EC36" i="2"/>
  <c r="ED36" i="2"/>
  <c r="V27" i="3" s="1"/>
  <c r="V12" i="4" s="1"/>
  <c r="EE36" i="2"/>
  <c r="EF36" i="2"/>
  <c r="EG36" i="2"/>
  <c r="EH36" i="2"/>
  <c r="U27" i="3" s="1"/>
  <c r="U12" i="4" s="1"/>
  <c r="R27" i="3"/>
  <c r="R12" i="4" s="1"/>
  <c r="S27" i="3"/>
  <c r="S12" i="4" s="1"/>
  <c r="N40" i="2"/>
  <c r="Q40" i="2"/>
  <c r="AY40" i="2" s="1"/>
  <c r="S40" i="2"/>
  <c r="BA40" i="2" s="1"/>
  <c r="U40" i="2"/>
  <c r="BH40" i="2" s="1"/>
  <c r="W40" i="2"/>
  <c r="BJ40" i="2" s="1"/>
  <c r="Y40" i="2"/>
  <c r="BQ40" i="2" s="1"/>
  <c r="AA40" i="2"/>
  <c r="BS40" i="2" s="1"/>
  <c r="AC40" i="2"/>
  <c r="BZ40" i="2" s="1"/>
  <c r="AE40" i="2"/>
  <c r="CB40" i="2" s="1"/>
  <c r="AG40" i="2"/>
  <c r="CI40" i="2" s="1"/>
  <c r="AI40" i="2"/>
  <c r="CK40" i="2" s="1"/>
  <c r="AV40" i="2"/>
  <c r="AX40" i="2"/>
  <c r="AZ40" i="2"/>
  <c r="BB40" i="2"/>
  <c r="BE40" i="2"/>
  <c r="BG40" i="2"/>
  <c r="BI40" i="2"/>
  <c r="BK40" i="2"/>
  <c r="BN40" i="2"/>
  <c r="BP40" i="2"/>
  <c r="BR40" i="2"/>
  <c r="BT40" i="2"/>
  <c r="BY40" i="2"/>
  <c r="CA40" i="2"/>
  <c r="CC40" i="2"/>
  <c r="CF40" i="2"/>
  <c r="CH40" i="2"/>
  <c r="CJ40" i="2"/>
  <c r="CL40" i="2"/>
  <c r="CZ40" i="2"/>
  <c r="DA40" i="2"/>
  <c r="DB40" i="2"/>
  <c r="DC40" i="2"/>
  <c r="DD40" i="2"/>
  <c r="DE40" i="2"/>
  <c r="DF40" i="2"/>
  <c r="DG40" i="2"/>
  <c r="DJ40" i="2"/>
  <c r="DK40" i="2"/>
  <c r="DL40" i="2"/>
  <c r="DM40" i="2"/>
  <c r="DN40" i="2"/>
  <c r="DO40" i="2"/>
  <c r="DP40" i="2"/>
  <c r="DR40" i="2"/>
  <c r="DS40" i="2"/>
  <c r="DT40" i="2"/>
  <c r="DU40" i="2"/>
  <c r="DV40" i="2"/>
  <c r="DW40" i="2"/>
  <c r="DX40" i="2"/>
  <c r="DY40" i="2"/>
  <c r="EA40" i="2"/>
  <c r="EB40" i="2"/>
  <c r="EC40" i="2"/>
  <c r="ED40" i="2"/>
  <c r="V23" i="3" s="1"/>
  <c r="EE40" i="2"/>
  <c r="EF40" i="2"/>
  <c r="EG40" i="2"/>
  <c r="EH40" i="2"/>
  <c r="U23" i="3" s="1"/>
  <c r="R23" i="3"/>
  <c r="S23" i="3"/>
  <c r="AT42" i="2"/>
  <c r="R50" i="2"/>
  <c r="T50" i="2"/>
  <c r="V50" i="2"/>
  <c r="X50" i="2"/>
  <c r="Z50" i="2"/>
  <c r="AB50" i="2"/>
  <c r="AD50" i="2"/>
  <c r="AF50" i="2"/>
  <c r="AH50" i="2"/>
  <c r="AJ50" i="2"/>
  <c r="AK50" i="2"/>
  <c r="AL50" i="2"/>
  <c r="AM50" i="2"/>
  <c r="AN50" i="2"/>
  <c r="AO50" i="2"/>
  <c r="AP50" i="2"/>
  <c r="AQ50" i="2"/>
  <c r="AR50" i="2"/>
  <c r="AS50" i="2"/>
  <c r="AT50" i="2"/>
  <c r="AT59" i="2"/>
  <c r="N62" i="2"/>
  <c r="Q62" i="2"/>
  <c r="AY62" i="2" s="1"/>
  <c r="S62" i="2"/>
  <c r="BA62" i="2" s="1"/>
  <c r="U62" i="2"/>
  <c r="BH62" i="2" s="1"/>
  <c r="W62" i="2"/>
  <c r="BJ62" i="2" s="1"/>
  <c r="Y62" i="2"/>
  <c r="BQ62" i="2" s="1"/>
  <c r="AA62" i="2"/>
  <c r="BS62" i="2" s="1"/>
  <c r="AC62" i="2"/>
  <c r="BZ62" i="2" s="1"/>
  <c r="AE62" i="2"/>
  <c r="AG62" i="2"/>
  <c r="CI62" i="2" s="1"/>
  <c r="AI62" i="2"/>
  <c r="CK62" i="2" s="1"/>
  <c r="AV62" i="2"/>
  <c r="AX62" i="2"/>
  <c r="AZ62" i="2"/>
  <c r="BB62" i="2"/>
  <c r="BE62" i="2"/>
  <c r="BG62" i="2"/>
  <c r="BI62" i="2"/>
  <c r="BK62" i="2"/>
  <c r="BN62" i="2"/>
  <c r="BP62" i="2"/>
  <c r="BR62" i="2"/>
  <c r="BT62" i="2"/>
  <c r="BY62" i="2"/>
  <c r="BY65" i="2" s="1"/>
  <c r="CA62" i="2"/>
  <c r="CA65" i="2" s="1"/>
  <c r="CC62" i="2"/>
  <c r="CC65" i="2" s="1"/>
  <c r="CF62" i="2"/>
  <c r="CG62" i="2"/>
  <c r="CH62" i="2"/>
  <c r="CJ62" i="2"/>
  <c r="CL62" i="2"/>
  <c r="CZ62" i="2"/>
  <c r="DA62" i="2"/>
  <c r="DB62" i="2"/>
  <c r="DC62" i="2"/>
  <c r="DD62" i="2"/>
  <c r="DE62" i="2"/>
  <c r="DF62" i="2"/>
  <c r="DG62" i="2"/>
  <c r="DJ62" i="2"/>
  <c r="DK62" i="2"/>
  <c r="DL62" i="2"/>
  <c r="DM62" i="2"/>
  <c r="DN62" i="2"/>
  <c r="DO62" i="2"/>
  <c r="DP62" i="2"/>
  <c r="DR62" i="2"/>
  <c r="DS62" i="2"/>
  <c r="DT62" i="2"/>
  <c r="DU62" i="2"/>
  <c r="DV62" i="2"/>
  <c r="DW62" i="2"/>
  <c r="DX62" i="2"/>
  <c r="DY62" i="2"/>
  <c r="EA62" i="2"/>
  <c r="EB62" i="2"/>
  <c r="EC62" i="2"/>
  <c r="ED62" i="2"/>
  <c r="V45" i="3" s="1"/>
  <c r="EE62" i="2"/>
  <c r="EF62" i="2"/>
  <c r="EG62" i="2"/>
  <c r="EH62" i="2"/>
  <c r="U45" i="3" s="1"/>
  <c r="S45" i="3"/>
  <c r="N68" i="2"/>
  <c r="Q68" i="2"/>
  <c r="Q71" i="2" s="1"/>
  <c r="S68" i="2"/>
  <c r="S71" i="2" s="1"/>
  <c r="U68" i="2"/>
  <c r="U71" i="2" s="1"/>
  <c r="W68" i="2"/>
  <c r="Y68" i="2"/>
  <c r="Y71" i="2" s="1"/>
  <c r="AA68" i="2"/>
  <c r="AA71" i="2" s="1"/>
  <c r="AC68" i="2"/>
  <c r="AE68" i="2"/>
  <c r="AG68" i="2"/>
  <c r="AI68" i="2"/>
  <c r="AI71" i="2" s="1"/>
  <c r="AV68" i="2"/>
  <c r="AX68" i="2"/>
  <c r="AX71" i="2" s="1"/>
  <c r="AZ68" i="2"/>
  <c r="AZ71" i="2" s="1"/>
  <c r="BB68" i="2"/>
  <c r="BB71" i="2" s="1"/>
  <c r="BE68" i="2"/>
  <c r="BE71" i="2" s="1"/>
  <c r="BG68" i="2"/>
  <c r="BG71" i="2" s="1"/>
  <c r="BI68" i="2"/>
  <c r="BI71" i="2" s="1"/>
  <c r="BK68" i="2"/>
  <c r="BK71" i="2" s="1"/>
  <c r="BN68" i="2"/>
  <c r="BN71" i="2" s="1"/>
  <c r="BP68" i="2"/>
  <c r="BP71" i="2" s="1"/>
  <c r="BR68" i="2"/>
  <c r="BR71" i="2" s="1"/>
  <c r="BT68" i="2"/>
  <c r="BT71" i="2" s="1"/>
  <c r="BY71" i="2"/>
  <c r="CF68" i="2"/>
  <c r="CG68" i="2"/>
  <c r="CH68" i="2"/>
  <c r="CH71" i="2" s="1"/>
  <c r="CJ68" i="2"/>
  <c r="CL68" i="2"/>
  <c r="CQ68" i="2"/>
  <c r="CQ71" i="2" s="1"/>
  <c r="CR68" i="2"/>
  <c r="CR71" i="2" s="1"/>
  <c r="CS68" i="2"/>
  <c r="CS71" i="2" s="1"/>
  <c r="CT68" i="2"/>
  <c r="CT71" i="2" s="1"/>
  <c r="CU68" i="2"/>
  <c r="CU71" i="2" s="1"/>
  <c r="CV68" i="2"/>
  <c r="CV71" i="2" s="1"/>
  <c r="CW68" i="2"/>
  <c r="CW71" i="2" s="1"/>
  <c r="CX68" i="2"/>
  <c r="CX71" i="2" s="1"/>
  <c r="DR68" i="2"/>
  <c r="DS68" i="2"/>
  <c r="DT68" i="2"/>
  <c r="DT71" i="2" s="1"/>
  <c r="DU68" i="2"/>
  <c r="DV68" i="2"/>
  <c r="DW68" i="2"/>
  <c r="DX68" i="2"/>
  <c r="DY68" i="2"/>
  <c r="EA68" i="2"/>
  <c r="EB68" i="2"/>
  <c r="EB71" i="2" s="1"/>
  <c r="EC68" i="2"/>
  <c r="EC71" i="2" s="1"/>
  <c r="ED68" i="2"/>
  <c r="ED71" i="2" s="1"/>
  <c r="EE68" i="2"/>
  <c r="EF68" i="2"/>
  <c r="EG68" i="2"/>
  <c r="EH68" i="2"/>
  <c r="EH71" i="2" s="1"/>
  <c r="N210" i="2"/>
  <c r="Q210" i="2"/>
  <c r="S210" i="2"/>
  <c r="U210" i="2"/>
  <c r="W210" i="2"/>
  <c r="AA210" i="2"/>
  <c r="AX210" i="2"/>
  <c r="AZ210" i="2"/>
  <c r="BB210" i="2"/>
  <c r="BI210" i="2"/>
  <c r="BK210" i="2"/>
  <c r="BP210" i="2"/>
  <c r="BR210" i="2"/>
  <c r="BT210" i="2"/>
  <c r="BW210" i="2"/>
  <c r="BY210" i="2"/>
  <c r="CA210" i="2"/>
  <c r="CC210" i="2"/>
  <c r="CF210" i="2"/>
  <c r="CG210" i="2"/>
  <c r="CH210" i="2"/>
  <c r="CJ210" i="2"/>
  <c r="CL210" i="2"/>
  <c r="CQ210" i="2"/>
  <c r="CR210" i="2"/>
  <c r="CS210" i="2"/>
  <c r="CT210" i="2"/>
  <c r="CU210" i="2"/>
  <c r="CV210" i="2"/>
  <c r="CW210" i="2"/>
  <c r="CX210" i="2"/>
  <c r="DR210" i="2"/>
  <c r="DS210" i="2"/>
  <c r="DT210" i="2"/>
  <c r="DU210" i="2"/>
  <c r="DV210" i="2"/>
  <c r="DW210" i="2"/>
  <c r="DX210" i="2"/>
  <c r="DY210" i="2"/>
  <c r="EA210" i="2"/>
  <c r="EB210" i="2"/>
  <c r="EC210" i="2"/>
  <c r="T143" i="6" s="1"/>
  <c r="ED210" i="2"/>
  <c r="W143" i="6" s="1"/>
  <c r="EE210" i="2"/>
  <c r="EF210" i="2"/>
  <c r="EG210" i="2"/>
  <c r="EH210" i="2"/>
  <c r="V143" i="6" s="1"/>
  <c r="AB134" i="2"/>
  <c r="AD134" i="2"/>
  <c r="AF134" i="2"/>
  <c r="AH134" i="2"/>
  <c r="AJ134" i="2"/>
  <c r="AK134" i="2"/>
  <c r="AL134" i="2"/>
  <c r="AM134" i="2"/>
  <c r="AN134" i="2"/>
  <c r="AO134" i="2"/>
  <c r="AQ134" i="2"/>
  <c r="AR134" i="2"/>
  <c r="AS134" i="2"/>
  <c r="AT134" i="2"/>
  <c r="R40" i="3"/>
  <c r="R30" i="4" s="1"/>
  <c r="S40" i="3"/>
  <c r="S30" i="4" s="1"/>
  <c r="N136" i="2"/>
  <c r="Q136" i="2"/>
  <c r="Q142" i="2" s="1"/>
  <c r="BA136" i="2"/>
  <c r="U136" i="2"/>
  <c r="W136" i="2"/>
  <c r="W142" i="2" s="1"/>
  <c r="Y136" i="2"/>
  <c r="Y142" i="2" s="1"/>
  <c r="AA136" i="2"/>
  <c r="AA142" i="2" s="1"/>
  <c r="AC136" i="2"/>
  <c r="AE136" i="2"/>
  <c r="AE142" i="2" s="1"/>
  <c r="AG136" i="2"/>
  <c r="AG142" i="2" s="1"/>
  <c r="AI136" i="2"/>
  <c r="AI142" i="2" s="1"/>
  <c r="AV136" i="2"/>
  <c r="AZ136" i="2"/>
  <c r="AZ142" i="2" s="1"/>
  <c r="BB136" i="2"/>
  <c r="BB142" i="2" s="1"/>
  <c r="BI136" i="2"/>
  <c r="BI142" i="2" s="1"/>
  <c r="BK136" i="2"/>
  <c r="BK142" i="2" s="1"/>
  <c r="BN136" i="2"/>
  <c r="BN142" i="2" s="1"/>
  <c r="BP136" i="2"/>
  <c r="BP142" i="2" s="1"/>
  <c r="BR136" i="2"/>
  <c r="BR142" i="2" s="1"/>
  <c r="BT136" i="2"/>
  <c r="BT142" i="2" s="1"/>
  <c r="BW136" i="2"/>
  <c r="CA136" i="2"/>
  <c r="CC136" i="2"/>
  <c r="CF136" i="2"/>
  <c r="CH136" i="2"/>
  <c r="CJ136" i="2"/>
  <c r="CL136" i="2"/>
  <c r="CZ136" i="2"/>
  <c r="CZ142" i="2" s="1"/>
  <c r="DA136" i="2"/>
  <c r="DB136" i="2"/>
  <c r="DC136" i="2"/>
  <c r="DC142" i="2" s="1"/>
  <c r="DD136" i="2"/>
  <c r="DD142" i="2" s="1"/>
  <c r="DE136" i="2"/>
  <c r="DF136" i="2"/>
  <c r="DG136" i="2"/>
  <c r="DG142" i="2" s="1"/>
  <c r="DR136" i="2"/>
  <c r="DR142" i="2" s="1"/>
  <c r="DS136" i="2"/>
  <c r="DT136" i="2"/>
  <c r="DU136" i="2"/>
  <c r="DV136" i="2"/>
  <c r="DV142" i="2" s="1"/>
  <c r="DW136" i="2"/>
  <c r="DX136" i="2"/>
  <c r="DY136" i="2"/>
  <c r="EA136" i="2"/>
  <c r="EA142" i="2" s="1"/>
  <c r="EB136" i="2"/>
  <c r="R110" i="3" s="1"/>
  <c r="EC136" i="2"/>
  <c r="ED136" i="2"/>
  <c r="V110" i="3" s="1"/>
  <c r="EE136" i="2"/>
  <c r="EE142" i="2" s="1"/>
  <c r="EF136" i="2"/>
  <c r="EG136" i="2"/>
  <c r="EH136" i="2"/>
  <c r="U110" i="3" s="1"/>
  <c r="S110" i="3"/>
  <c r="Q145" i="2"/>
  <c r="S145" i="2"/>
  <c r="S149" i="2" s="1"/>
  <c r="U145" i="2"/>
  <c r="Y145" i="2"/>
  <c r="AA145" i="2"/>
  <c r="AC145" i="2"/>
  <c r="BZ145" i="2" s="1"/>
  <c r="AE145" i="2"/>
  <c r="CB145" i="2" s="1"/>
  <c r="AG145" i="2"/>
  <c r="CI145" i="2" s="1"/>
  <c r="AI145" i="2"/>
  <c r="CK145" i="2" s="1"/>
  <c r="AV145" i="2"/>
  <c r="AV149" i="2" s="1"/>
  <c r="AX145" i="2"/>
  <c r="AX149" i="2" s="1"/>
  <c r="AZ145" i="2"/>
  <c r="AZ149" i="2" s="1"/>
  <c r="BB145" i="2"/>
  <c r="BB149" i="2" s="1"/>
  <c r="BG145" i="2"/>
  <c r="BG149" i="2" s="1"/>
  <c r="BI145" i="2"/>
  <c r="BI149" i="2" s="1"/>
  <c r="BK145" i="2"/>
  <c r="BK149" i="2" s="1"/>
  <c r="BP145" i="2"/>
  <c r="BP149" i="2" s="1"/>
  <c r="BR145" i="2"/>
  <c r="BR149" i="2" s="1"/>
  <c r="BT145" i="2"/>
  <c r="BT149" i="2" s="1"/>
  <c r="BW145" i="2"/>
  <c r="BY145" i="2"/>
  <c r="CA145" i="2"/>
  <c r="CC145" i="2"/>
  <c r="CF145" i="2"/>
  <c r="CH145" i="2"/>
  <c r="CJ145" i="2"/>
  <c r="CL145" i="2"/>
  <c r="CZ145" i="2"/>
  <c r="CZ149" i="2" s="1"/>
  <c r="DA145" i="2"/>
  <c r="DA149" i="2" s="1"/>
  <c r="DB145" i="2"/>
  <c r="DB149" i="2" s="1"/>
  <c r="DC145" i="2"/>
  <c r="DC149" i="2" s="1"/>
  <c r="DD145" i="2"/>
  <c r="DD149" i="2" s="1"/>
  <c r="DE145" i="2"/>
  <c r="DE149" i="2" s="1"/>
  <c r="DF145" i="2"/>
  <c r="DF149" i="2" s="1"/>
  <c r="DG145" i="2"/>
  <c r="DG149" i="2" s="1"/>
  <c r="DR145" i="2"/>
  <c r="DR149" i="2" s="1"/>
  <c r="DS145" i="2"/>
  <c r="DS149" i="2" s="1"/>
  <c r="DT145" i="2"/>
  <c r="DT149" i="2" s="1"/>
  <c r="DU145" i="2"/>
  <c r="DU149" i="2" s="1"/>
  <c r="DV145" i="2"/>
  <c r="DV149" i="2" s="1"/>
  <c r="DW145" i="2"/>
  <c r="DW149" i="2" s="1"/>
  <c r="DX145" i="2"/>
  <c r="DX149" i="2" s="1"/>
  <c r="DY145" i="2"/>
  <c r="DY149" i="2" s="1"/>
  <c r="EA145" i="2"/>
  <c r="EA149" i="2" s="1"/>
  <c r="EB145" i="2"/>
  <c r="EB149" i="2" s="1"/>
  <c r="EC145" i="2"/>
  <c r="EC149" i="2" s="1"/>
  <c r="ED145" i="2"/>
  <c r="EE145" i="2"/>
  <c r="EE149" i="2" s="1"/>
  <c r="EF145" i="2"/>
  <c r="EF149" i="2" s="1"/>
  <c r="EG145" i="2"/>
  <c r="EG149" i="2" s="1"/>
  <c r="EH145" i="2"/>
  <c r="R118" i="3"/>
  <c r="R120" i="3"/>
  <c r="AB149" i="2"/>
  <c r="AD149" i="2"/>
  <c r="AF149" i="2"/>
  <c r="AH149" i="2"/>
  <c r="AJ149" i="2"/>
  <c r="AK149" i="2"/>
  <c r="AL149" i="2"/>
  <c r="AM149" i="2"/>
  <c r="AN149" i="2"/>
  <c r="AO149" i="2"/>
  <c r="AP149" i="2"/>
  <c r="AQ149" i="2"/>
  <c r="AR149" i="2"/>
  <c r="AS149" i="2"/>
  <c r="AT149" i="2"/>
  <c r="N155" i="2"/>
  <c r="Q155" i="2"/>
  <c r="BA155" i="2"/>
  <c r="U155" i="2"/>
  <c r="BH155" i="2" s="1"/>
  <c r="Y155" i="2"/>
  <c r="AA155" i="2"/>
  <c r="BS155" i="2" s="1"/>
  <c r="AC155" i="2"/>
  <c r="BZ155" i="2" s="1"/>
  <c r="AE155" i="2"/>
  <c r="CB155" i="2" s="1"/>
  <c r="AG155" i="2"/>
  <c r="CI155" i="2" s="1"/>
  <c r="AI155" i="2"/>
  <c r="CK155" i="2" s="1"/>
  <c r="AZ155" i="2"/>
  <c r="BB155" i="2"/>
  <c r="BE155" i="2"/>
  <c r="BG155" i="2"/>
  <c r="BI155" i="2"/>
  <c r="BK155" i="2"/>
  <c r="BN155" i="2"/>
  <c r="BP155" i="2"/>
  <c r="BR155" i="2"/>
  <c r="BT155" i="2"/>
  <c r="BW155" i="2"/>
  <c r="BY155" i="2"/>
  <c r="CA155" i="2"/>
  <c r="CC155" i="2"/>
  <c r="CF155" i="2"/>
  <c r="CG155" i="2"/>
  <c r="CH155" i="2"/>
  <c r="CJ155" i="2"/>
  <c r="CL155" i="2"/>
  <c r="DR155" i="2"/>
  <c r="DS155" i="2"/>
  <c r="DT155" i="2"/>
  <c r="DU155" i="2"/>
  <c r="DV155" i="2"/>
  <c r="DW155" i="2"/>
  <c r="DX155" i="2"/>
  <c r="DY155" i="2"/>
  <c r="EA155" i="2"/>
  <c r="EB155" i="2"/>
  <c r="EC155" i="2"/>
  <c r="T102" i="6" s="1"/>
  <c r="ED155" i="2"/>
  <c r="W102" i="6" s="1"/>
  <c r="EE155" i="2"/>
  <c r="EF155" i="2"/>
  <c r="EG155" i="2"/>
  <c r="EH155" i="2"/>
  <c r="V102" i="6" s="1"/>
  <c r="S102" i="6"/>
  <c r="R161" i="2"/>
  <c r="T161" i="2"/>
  <c r="X161" i="2"/>
  <c r="Z161" i="2"/>
  <c r="AB161" i="2"/>
  <c r="AD161" i="2"/>
  <c r="AF161" i="2"/>
  <c r="AH161" i="2"/>
  <c r="N163" i="2"/>
  <c r="Q163" i="2"/>
  <c r="AY163" i="2" s="1"/>
  <c r="S163" i="2"/>
  <c r="BA163" i="2" s="1"/>
  <c r="U163" i="2"/>
  <c r="BH163" i="2" s="1"/>
  <c r="W163" i="2"/>
  <c r="BJ163" i="2" s="1"/>
  <c r="Y163" i="2"/>
  <c r="BQ163" i="2" s="1"/>
  <c r="AA163" i="2"/>
  <c r="BS163" i="2" s="1"/>
  <c r="AC163" i="2"/>
  <c r="BZ163" i="2" s="1"/>
  <c r="AE163" i="2"/>
  <c r="AG163" i="2"/>
  <c r="CI163" i="2" s="1"/>
  <c r="AI163" i="2"/>
  <c r="CK163" i="2" s="1"/>
  <c r="AX163" i="2"/>
  <c r="AZ163" i="2"/>
  <c r="BB163" i="2"/>
  <c r="BE163" i="2"/>
  <c r="BG163" i="2"/>
  <c r="BN163" i="2"/>
  <c r="BP163" i="2"/>
  <c r="BR163" i="2"/>
  <c r="BT163" i="2"/>
  <c r="BW163" i="2"/>
  <c r="BY163" i="2"/>
  <c r="CA163" i="2"/>
  <c r="CC163" i="2"/>
  <c r="CF163" i="2"/>
  <c r="CH163" i="2"/>
  <c r="CJ163" i="2"/>
  <c r="CL163" i="2"/>
  <c r="CZ163" i="2"/>
  <c r="DA163" i="2"/>
  <c r="DB163" i="2"/>
  <c r="DC163" i="2"/>
  <c r="DD163" i="2"/>
  <c r="DE163" i="2"/>
  <c r="DF163" i="2"/>
  <c r="DG163" i="2"/>
  <c r="DR163" i="2"/>
  <c r="DS163" i="2"/>
  <c r="DT163" i="2"/>
  <c r="DU163" i="2"/>
  <c r="DV163" i="2"/>
  <c r="DW163" i="2"/>
  <c r="DX163" i="2"/>
  <c r="DY163" i="2"/>
  <c r="EA163" i="2"/>
  <c r="EB163" i="2"/>
  <c r="EC163" i="2"/>
  <c r="S138" i="3" s="1"/>
  <c r="ED163" i="2"/>
  <c r="V138" i="3" s="1"/>
  <c r="EE163" i="2"/>
  <c r="EF163" i="2"/>
  <c r="EG163" i="2"/>
  <c r="EH163" i="2"/>
  <c r="U138" i="3" s="1"/>
  <c r="BI164" i="2"/>
  <c r="BK164" i="2"/>
  <c r="BK404" i="2" s="1"/>
  <c r="O253" i="2"/>
  <c r="P10" i="9"/>
  <c r="S10" i="9"/>
  <c r="E21" i="9"/>
  <c r="F21" i="9"/>
  <c r="C29" i="9"/>
  <c r="E29" i="9"/>
  <c r="F29" i="9"/>
  <c r="S30" i="9"/>
  <c r="C15" i="3"/>
  <c r="F15" i="3"/>
  <c r="C23" i="3"/>
  <c r="F23" i="3"/>
  <c r="C27" i="3"/>
  <c r="F27" i="3"/>
  <c r="C45" i="3"/>
  <c r="F45" i="3"/>
  <c r="C110" i="3"/>
  <c r="F110" i="3"/>
  <c r="C40" i="3"/>
  <c r="F40" i="3"/>
  <c r="C118" i="3"/>
  <c r="F118" i="3"/>
  <c r="C120" i="3"/>
  <c r="F120" i="3"/>
  <c r="C138" i="3"/>
  <c r="F138" i="3"/>
  <c r="C9" i="6"/>
  <c r="E3" i="7" s="1"/>
  <c r="F9" i="6"/>
  <c r="C17" i="6"/>
  <c r="E9" i="7" s="1"/>
  <c r="F17" i="6"/>
  <c r="C33" i="6"/>
  <c r="E7" i="7" s="1"/>
  <c r="F33" i="6"/>
  <c r="E4" i="7"/>
  <c r="F143" i="6"/>
  <c r="E6" i="7"/>
  <c r="D3" i="10"/>
  <c r="F5" i="4"/>
  <c r="F7" i="4"/>
  <c r="F8" i="4"/>
  <c r="F9" i="4"/>
  <c r="F10" i="4"/>
  <c r="F11" i="4"/>
  <c r="O3" i="7"/>
  <c r="CG31" i="2"/>
  <c r="CQ31" i="2"/>
  <c r="CU31" i="2"/>
  <c r="CS31" i="2"/>
  <c r="CW31" i="2"/>
  <c r="DR127" i="2"/>
  <c r="DT127" i="2"/>
  <c r="DX127" i="2"/>
  <c r="DS127" i="2"/>
  <c r="DV127" i="2"/>
  <c r="CT31" i="2"/>
  <c r="CV31" i="2"/>
  <c r="CR31" i="2"/>
  <c r="CX31" i="2"/>
  <c r="DW127" i="2"/>
  <c r="DU127" i="2"/>
  <c r="DY127" i="2"/>
  <c r="N34" i="6"/>
  <c r="N18" i="6"/>
  <c r="CG40" i="2"/>
  <c r="CZ27" i="2"/>
  <c r="DE27" i="2"/>
  <c r="DC27" i="2"/>
  <c r="DG27" i="2"/>
  <c r="EV19" i="2"/>
  <c r="DR119" i="2"/>
  <c r="DX119" i="2"/>
  <c r="DS215" i="2"/>
  <c r="DU119" i="2"/>
  <c r="DU215" i="2"/>
  <c r="DT119" i="2"/>
  <c r="DT215" i="2"/>
  <c r="DY215" i="2"/>
  <c r="DY119" i="2"/>
  <c r="DE26" i="2"/>
  <c r="CZ26" i="2"/>
  <c r="DG26" i="2"/>
  <c r="CT35" i="2"/>
  <c r="CQ35" i="2"/>
  <c r="CU35" i="2"/>
  <c r="CV35" i="2"/>
  <c r="CS35" i="2"/>
  <c r="CX35" i="2"/>
  <c r="EW185" i="2"/>
  <c r="AV408" i="2"/>
  <c r="BE408" i="2"/>
  <c r="BN408" i="2"/>
  <c r="BW408" i="2"/>
  <c r="CF408" i="2"/>
  <c r="AV455" i="2"/>
  <c r="AZ455" i="2"/>
  <c r="BW455" i="2"/>
  <c r="CA455" i="2"/>
  <c r="CF455" i="2"/>
  <c r="CJ455" i="2"/>
  <c r="BQ455" i="2"/>
  <c r="BU455" i="2"/>
  <c r="AZ408" i="2"/>
  <c r="BI408" i="2"/>
  <c r="BR408" i="2"/>
  <c r="CA408" i="2"/>
  <c r="CJ408" i="2"/>
  <c r="AX455" i="2"/>
  <c r="BB455" i="2"/>
  <c r="BY455" i="2"/>
  <c r="CC455" i="2"/>
  <c r="CH455" i="2"/>
  <c r="CL455" i="2"/>
  <c r="BO455" i="2"/>
  <c r="BS455" i="2"/>
  <c r="AX408" i="2"/>
  <c r="BG408" i="2"/>
  <c r="BP408" i="2"/>
  <c r="BY408" i="2"/>
  <c r="CH408" i="2"/>
  <c r="AW455" i="2"/>
  <c r="BA455" i="2"/>
  <c r="BX455" i="2"/>
  <c r="CB455" i="2"/>
  <c r="CG455" i="2"/>
  <c r="CK455" i="2"/>
  <c r="BN455" i="2"/>
  <c r="BR455" i="2"/>
  <c r="BB408" i="2"/>
  <c r="BK408" i="2"/>
  <c r="BT408" i="2"/>
  <c r="CC408" i="2"/>
  <c r="CL408" i="2"/>
  <c r="AY455" i="2"/>
  <c r="BC455" i="2"/>
  <c r="BZ455" i="2"/>
  <c r="CD455" i="2"/>
  <c r="CI455" i="2"/>
  <c r="CM455" i="2"/>
  <c r="BP455" i="2"/>
  <c r="BT455" i="2"/>
  <c r="T29" i="9"/>
  <c r="S3" i="10"/>
  <c r="V21" i="9"/>
  <c r="V30" i="9" s="1"/>
  <c r="U29" i="9"/>
  <c r="T3" i="10"/>
  <c r="W21" i="9"/>
  <c r="W30" i="9" s="1"/>
  <c r="Q21" i="9"/>
  <c r="Q30" i="9" s="1"/>
  <c r="P4" i="10"/>
  <c r="V29" i="9"/>
  <c r="U3" i="10"/>
  <c r="T21" i="9"/>
  <c r="T30" i="9" s="1"/>
  <c r="S4" i="10"/>
  <c r="R21" i="9"/>
  <c r="R30" i="9" s="1"/>
  <c r="Q29" i="9"/>
  <c r="R29" i="9"/>
  <c r="U21" i="9"/>
  <c r="U30" i="9" s="1"/>
  <c r="T4" i="10"/>
  <c r="F9" i="9"/>
  <c r="N29" i="9"/>
  <c r="M3" i="10"/>
  <c r="F27" i="9"/>
  <c r="T27" i="9"/>
  <c r="CD221" i="2"/>
  <c r="CD420" i="2" s="1"/>
  <c r="BQ408" i="2"/>
  <c r="N28" i="9"/>
  <c r="BY463" i="2"/>
  <c r="CH463" i="2"/>
  <c r="BI455" i="2"/>
  <c r="J28" i="9"/>
  <c r="O11" i="10"/>
  <c r="J26" i="9"/>
  <c r="R4" i="10"/>
  <c r="O10" i="10"/>
  <c r="C33" i="9"/>
  <c r="E26" i="9"/>
  <c r="C9" i="9"/>
  <c r="U33" i="9"/>
  <c r="U34" i="9" s="1"/>
  <c r="L9" i="9"/>
  <c r="BP463" i="2"/>
  <c r="J29" i="9"/>
  <c r="I3" i="10"/>
  <c r="F28" i="9"/>
  <c r="C28" i="9"/>
  <c r="AV221" i="2"/>
  <c r="AV420" i="2" s="1"/>
  <c r="EI221" i="2"/>
  <c r="CN467" i="2" s="1"/>
  <c r="EA221" i="2"/>
  <c r="CF467" i="2" s="1"/>
  <c r="L25" i="9"/>
  <c r="V154" i="6"/>
  <c r="N33" i="9"/>
  <c r="N34" i="9" s="1"/>
  <c r="F33" i="9"/>
  <c r="E33" i="9"/>
  <c r="L29" i="9"/>
  <c r="K3" i="10"/>
  <c r="V28" i="9"/>
  <c r="W154" i="6"/>
  <c r="BO463" i="2"/>
  <c r="BS463" i="2"/>
  <c r="BC463" i="2"/>
  <c r="BZ463" i="2"/>
  <c r="CM463" i="2"/>
  <c r="K26" i="9"/>
  <c r="R26" i="9"/>
  <c r="T26" i="9"/>
  <c r="E9" i="9"/>
  <c r="T25" i="9"/>
  <c r="B5" i="10"/>
  <c r="O5" i="10" s="1"/>
  <c r="E28" i="9"/>
  <c r="Q33" i="9"/>
  <c r="Q34" i="9" s="1"/>
  <c r="T33" i="9"/>
  <c r="T34" i="9" s="1"/>
  <c r="BA463" i="2"/>
  <c r="Q28" i="9"/>
  <c r="U28" i="9"/>
  <c r="DM221" i="2"/>
  <c r="BR467" i="2" s="1"/>
  <c r="R33" i="9"/>
  <c r="R34" i="9" s="1"/>
  <c r="W33" i="9"/>
  <c r="W34" i="9" s="1"/>
  <c r="T9" i="9"/>
  <c r="AX463" i="2"/>
  <c r="CL463" i="2"/>
  <c r="CG163" i="2"/>
  <c r="BX163" i="2"/>
  <c r="CU155" i="2"/>
  <c r="M25" i="9"/>
  <c r="U25" i="9"/>
  <c r="K27" i="9"/>
  <c r="J27" i="9"/>
  <c r="DO221" i="2"/>
  <c r="BT467" i="2" s="1"/>
  <c r="DL221" i="2"/>
  <c r="BQ467" i="2" s="1"/>
  <c r="CQ155" i="2"/>
  <c r="BR463" i="2"/>
  <c r="DI221" i="2"/>
  <c r="BN467" i="2" s="1"/>
  <c r="V25" i="9"/>
  <c r="B9" i="10"/>
  <c r="R9" i="10" s="1"/>
  <c r="C27" i="9"/>
  <c r="V27" i="9"/>
  <c r="W27" i="9"/>
  <c r="E27" i="9"/>
  <c r="B6" i="10"/>
  <c r="Z6" i="10" s="1"/>
  <c r="F26" i="9"/>
  <c r="R27" i="9"/>
  <c r="CY221" i="2"/>
  <c r="BD467" i="2" s="1"/>
  <c r="DK221" i="2"/>
  <c r="BP467" i="2" s="1"/>
  <c r="B2" i="10"/>
  <c r="Y2" i="10" s="1"/>
  <c r="BW463" i="2"/>
  <c r="F4" i="10"/>
  <c r="AW463" i="2"/>
  <c r="BX463" i="2"/>
  <c r="CB463" i="2"/>
  <c r="CG463" i="2"/>
  <c r="CK463" i="2"/>
  <c r="F25" i="9"/>
  <c r="L154" i="6"/>
  <c r="L26" i="9"/>
  <c r="J25" i="9"/>
  <c r="Q25" i="9"/>
  <c r="V26" i="9"/>
  <c r="E25" i="9"/>
  <c r="V9" i="9"/>
  <c r="V10" i="9" s="1"/>
  <c r="U27" i="9"/>
  <c r="C25" i="9"/>
  <c r="B7" i="10"/>
  <c r="R7" i="10" s="1"/>
  <c r="W25" i="9"/>
  <c r="DN221" i="2"/>
  <c r="BS467" i="2" s="1"/>
  <c r="Q4" i="10"/>
  <c r="R3" i="10"/>
  <c r="Q27" i="9"/>
  <c r="CR155" i="2"/>
  <c r="Q3" i="10"/>
  <c r="U9" i="9"/>
  <c r="U10" i="9" s="1"/>
  <c r="AZ463" i="2"/>
  <c r="CA463" i="2"/>
  <c r="CF463" i="2"/>
  <c r="CJ463" i="2"/>
  <c r="E4" i="10"/>
  <c r="U26" i="9"/>
  <c r="BL221" i="2"/>
  <c r="BL420" i="2" s="1"/>
  <c r="F3" i="10"/>
  <c r="V4" i="10"/>
  <c r="W9" i="9"/>
  <c r="R9" i="9"/>
  <c r="CE464" i="2"/>
  <c r="CE510" i="2" s="1"/>
  <c r="BW464" i="2"/>
  <c r="BF464" i="2"/>
  <c r="BE464" i="2"/>
  <c r="BN463" i="2"/>
  <c r="Q26" i="9"/>
  <c r="E3" i="10"/>
  <c r="W28" i="9"/>
  <c r="W26" i="9"/>
  <c r="V33" i="9"/>
  <c r="V34" i="9" s="1"/>
  <c r="CW155" i="2"/>
  <c r="AY463" i="2"/>
  <c r="CD463" i="2"/>
  <c r="CI463" i="2"/>
  <c r="BQ463" i="2"/>
  <c r="BU463" i="2"/>
  <c r="BB463" i="2"/>
  <c r="CC463" i="2"/>
  <c r="BT463" i="2"/>
  <c r="CS155" i="2"/>
  <c r="BQ464" i="2"/>
  <c r="BV464" i="2"/>
  <c r="BD464" i="2"/>
  <c r="K28" i="9"/>
  <c r="L33" i="9"/>
  <c r="L34" i="9" s="1"/>
  <c r="CN464" i="2"/>
  <c r="R25" i="9"/>
  <c r="R28" i="9"/>
  <c r="M27" i="9"/>
  <c r="T28" i="9"/>
  <c r="K29" i="9"/>
  <c r="J3" i="10"/>
  <c r="W29" i="9"/>
  <c r="V3" i="10"/>
  <c r="BK464" i="2"/>
  <c r="L27" i="9"/>
  <c r="N25" i="9"/>
  <c r="L28" i="9"/>
  <c r="Q9" i="9"/>
  <c r="M28" i="9"/>
  <c r="N27" i="9"/>
  <c r="DZ221" i="2"/>
  <c r="CE467" i="2" s="1"/>
  <c r="U4" i="10"/>
  <c r="P3" i="10"/>
  <c r="J33" i="9"/>
  <c r="J34" i="9" s="1"/>
  <c r="CT155" i="2"/>
  <c r="M26" i="9"/>
  <c r="H26" i="9"/>
  <c r="N26" i="9"/>
  <c r="CE221" i="2"/>
  <c r="CE420" i="2" s="1"/>
  <c r="L21" i="9"/>
  <c r="L30" i="9" s="1"/>
  <c r="K4" i="10"/>
  <c r="J21" i="9"/>
  <c r="J30" i="9" s="1"/>
  <c r="I4" i="10"/>
  <c r="BD455" i="2"/>
  <c r="BG455" i="2"/>
  <c r="BH408" i="2"/>
  <c r="BX408" i="2"/>
  <c r="CN455" i="2"/>
  <c r="BF408" i="2"/>
  <c r="CE455" i="2"/>
  <c r="BK455" i="2"/>
  <c r="CB408" i="2"/>
  <c r="BJ408" i="2"/>
  <c r="CG408" i="2"/>
  <c r="CI408" i="2"/>
  <c r="BE455" i="2"/>
  <c r="BA408" i="2"/>
  <c r="BV455" i="2"/>
  <c r="CK408" i="2"/>
  <c r="BO408" i="2"/>
  <c r="AY408" i="2"/>
  <c r="BZ408" i="2"/>
  <c r="G27" i="9"/>
  <c r="H27" i="9"/>
  <c r="G29" i="9"/>
  <c r="G3" i="10"/>
  <c r="G26" i="9"/>
  <c r="H25" i="9"/>
  <c r="G25" i="9"/>
  <c r="G21" i="9"/>
  <c r="G4" i="10"/>
  <c r="BU408" i="2"/>
  <c r="BD463" i="2"/>
  <c r="N9" i="9"/>
  <c r="BK463" i="2"/>
  <c r="DH221" i="2"/>
  <c r="BM467" i="2" s="1"/>
  <c r="BD221" i="2"/>
  <c r="BD420" i="2" s="1"/>
  <c r="BC221" i="2"/>
  <c r="BC420" i="2" s="1"/>
  <c r="BV221" i="2"/>
  <c r="BV420" i="2" s="1"/>
  <c r="BU221" i="2"/>
  <c r="BU420" i="2" s="1"/>
  <c r="M9" i="9"/>
  <c r="BJ464" i="2"/>
  <c r="H154" i="6"/>
  <c r="DJ221" i="2"/>
  <c r="BO467" i="2" s="1"/>
  <c r="CN221" i="2"/>
  <c r="CN420" i="2" s="1"/>
  <c r="CM221" i="2"/>
  <c r="CM420" i="2" s="1"/>
  <c r="O154" i="6"/>
  <c r="T154" i="6"/>
  <c r="S154" i="6"/>
  <c r="J154" i="6"/>
  <c r="R154" i="6"/>
  <c r="U154" i="6"/>
  <c r="K154" i="6"/>
  <c r="M154" i="6"/>
  <c r="BG463" i="2"/>
  <c r="CN463" i="2"/>
  <c r="CE463" i="2"/>
  <c r="BI464" i="2"/>
  <c r="BH463" i="2"/>
  <c r="BG464" i="2"/>
  <c r="DP221" i="2"/>
  <c r="BU467" i="2" s="1"/>
  <c r="CD408" i="2"/>
  <c r="BV463" i="2"/>
  <c r="J9" i="9"/>
  <c r="BH464" i="2"/>
  <c r="K25" i="9"/>
  <c r="BJ455" i="2"/>
  <c r="G9" i="9"/>
  <c r="BI463" i="2"/>
  <c r="BE463" i="2"/>
  <c r="N21" i="9"/>
  <c r="N30" i="9" s="1"/>
  <c r="M4" i="10"/>
  <c r="BF463" i="2"/>
  <c r="G33" i="9"/>
  <c r="G34" i="9" s="1"/>
  <c r="M29" i="9"/>
  <c r="H9" i="9"/>
  <c r="G28" i="9"/>
  <c r="CV155" i="2"/>
  <c r="K9" i="9"/>
  <c r="J13" i="10" s="1"/>
  <c r="K21" i="9"/>
  <c r="K30" i="9" s="1"/>
  <c r="J4" i="10"/>
  <c r="M21" i="9"/>
  <c r="L4" i="10"/>
  <c r="BS408" i="2"/>
  <c r="AW408" i="2"/>
  <c r="BH455" i="2"/>
  <c r="BC408" i="2"/>
  <c r="CM408" i="2"/>
  <c r="BL408" i="2"/>
  <c r="BF455" i="2"/>
  <c r="BV408" i="2"/>
  <c r="G154" i="6"/>
  <c r="H33" i="9"/>
  <c r="H34" i="9" s="1"/>
  <c r="H29" i="9"/>
  <c r="H3" i="10"/>
  <c r="H28" i="9"/>
  <c r="I154" i="6"/>
  <c r="BJ463" i="2"/>
  <c r="DQ221" i="2"/>
  <c r="BV467" i="2" s="1"/>
  <c r="BM221" i="2"/>
  <c r="BM420" i="2" s="1"/>
  <c r="BL464" i="2"/>
  <c r="BL455" i="2"/>
  <c r="K33" i="9"/>
  <c r="K34" i="9" s="1"/>
  <c r="H21" i="9"/>
  <c r="H30" i="9" s="1"/>
  <c r="M33" i="9"/>
  <c r="M34" i="9" s="1"/>
  <c r="L3" i="10"/>
  <c r="AB3" i="10"/>
  <c r="O6" i="10"/>
  <c r="CX155" i="2"/>
  <c r="AB4" i="10"/>
  <c r="BM408" i="2"/>
  <c r="CE408" i="2"/>
  <c r="CN408" i="2"/>
  <c r="BD408" i="2"/>
  <c r="P154" i="6"/>
  <c r="Y154" i="6"/>
  <c r="Q154" i="6"/>
  <c r="BM464" i="2"/>
  <c r="O9" i="10"/>
  <c r="BL463" i="2"/>
  <c r="BM463" i="2"/>
  <c r="O4" i="10"/>
  <c r="H4" i="10"/>
  <c r="N4" i="10"/>
  <c r="O3" i="10"/>
  <c r="W3" i="10"/>
  <c r="W4" i="10"/>
  <c r="N3" i="10"/>
  <c r="AB13" i="3"/>
  <c r="D7" i="11"/>
  <c r="BM455" i="2"/>
  <c r="Y9" i="10"/>
  <c r="Y4" i="10"/>
  <c r="X4" i="10"/>
  <c r="Z10" i="9"/>
  <c r="X3" i="10"/>
  <c r="Y3" i="10"/>
  <c r="Z4" i="10"/>
  <c r="Z7" i="10"/>
  <c r="AB53" i="3"/>
  <c r="Z3" i="10"/>
  <c r="AC9" i="9"/>
  <c r="AA10" i="9"/>
  <c r="Z8" i="10"/>
  <c r="AC53" i="3"/>
  <c r="BX65" i="2" l="1"/>
  <c r="BZ65" i="2"/>
  <c r="BF177" i="2"/>
  <c r="BF179" i="2" s="1"/>
  <c r="BF410" i="2" s="1"/>
  <c r="BF136" i="2"/>
  <c r="BF142" i="2" s="1"/>
  <c r="AW142" i="2"/>
  <c r="BF112" i="2"/>
  <c r="A32" i="3"/>
  <c r="A33" i="3" s="1"/>
  <c r="A34" i="3" s="1"/>
  <c r="A35" i="3" s="1"/>
  <c r="A39" i="3" s="1"/>
  <c r="BO224" i="2"/>
  <c r="BO226" i="2" s="1"/>
  <c r="BO419" i="2" s="1"/>
  <c r="BF226" i="2"/>
  <c r="T31" i="6"/>
  <c r="W31" i="6"/>
  <c r="V31" i="6"/>
  <c r="BO136" i="2"/>
  <c r="BO216" i="2"/>
  <c r="BO393" i="2" s="1"/>
  <c r="F179" i="2"/>
  <c r="BC35" i="2"/>
  <c r="AV71" i="2"/>
  <c r="BC36" i="2"/>
  <c r="BZ177" i="2"/>
  <c r="AC179" i="2"/>
  <c r="CU179" i="2"/>
  <c r="AZ457" i="2" s="1"/>
  <c r="DV179" i="2"/>
  <c r="CA457" i="2" s="1"/>
  <c r="EE179" i="2"/>
  <c r="CJ457" i="2" s="1"/>
  <c r="DK179" i="2"/>
  <c r="BP457" i="2" s="1"/>
  <c r="DO179" i="2"/>
  <c r="BT457" i="2" s="1"/>
  <c r="BG179" i="2"/>
  <c r="BG410" i="2" s="1"/>
  <c r="BP179" i="2"/>
  <c r="BP410" i="2" s="1"/>
  <c r="BY179" i="2"/>
  <c r="BY410" i="2" s="1"/>
  <c r="CH179" i="2"/>
  <c r="CH410" i="2" s="1"/>
  <c r="CV179" i="2"/>
  <c r="BA457" i="2" s="1"/>
  <c r="DW179" i="2"/>
  <c r="CB457" i="2" s="1"/>
  <c r="EF179" i="2"/>
  <c r="CK457" i="2" s="1"/>
  <c r="DL179" i="2"/>
  <c r="BQ457" i="2" s="1"/>
  <c r="BI179" i="2"/>
  <c r="BI410" i="2" s="1"/>
  <c r="BR179" i="2"/>
  <c r="BR410" i="2" s="1"/>
  <c r="CA179" i="2"/>
  <c r="CA410" i="2" s="1"/>
  <c r="CJ179" i="2"/>
  <c r="CJ410" i="2" s="1"/>
  <c r="CS179" i="2"/>
  <c r="AX457" i="2" s="1"/>
  <c r="CW179" i="2"/>
  <c r="BB457" i="2" s="1"/>
  <c r="DT179" i="2"/>
  <c r="BY457" i="2" s="1"/>
  <c r="BY504" i="2" s="1"/>
  <c r="DX179" i="2"/>
  <c r="CC457" i="2" s="1"/>
  <c r="EC179" i="2"/>
  <c r="CH457" i="2" s="1"/>
  <c r="EG179" i="2"/>
  <c r="CL457" i="2" s="1"/>
  <c r="DM179" i="2"/>
  <c r="BR457" i="2" s="1"/>
  <c r="BA177" i="2"/>
  <c r="S179" i="2"/>
  <c r="BB179" i="2"/>
  <c r="BB410" i="2" s="1"/>
  <c r="BK179" i="2"/>
  <c r="BK410" i="2" s="1"/>
  <c r="BT179" i="2"/>
  <c r="BT410" i="2" s="1"/>
  <c r="CC179" i="2"/>
  <c r="CC410" i="2" s="1"/>
  <c r="CL179" i="2"/>
  <c r="CL410" i="2" s="1"/>
  <c r="CT179" i="2"/>
  <c r="AY457" i="2" s="1"/>
  <c r="DU179" i="2"/>
  <c r="BZ457" i="2" s="1"/>
  <c r="ED179" i="2"/>
  <c r="CI457" i="2" s="1"/>
  <c r="DN179" i="2"/>
  <c r="BS457" i="2" s="1"/>
  <c r="CR179" i="2"/>
  <c r="AW457" i="2" s="1"/>
  <c r="DS179" i="2"/>
  <c r="BX457" i="2" s="1"/>
  <c r="EB179" i="2"/>
  <c r="CG457" i="2" s="1"/>
  <c r="DP179" i="2"/>
  <c r="BU457" i="2" s="1"/>
  <c r="DI179" i="2"/>
  <c r="BN457" i="2" s="1"/>
  <c r="X118" i="6"/>
  <c r="X120" i="6" s="1"/>
  <c r="FE179" i="2"/>
  <c r="R118" i="6"/>
  <c r="R120" i="6" s="1"/>
  <c r="EV179" i="2"/>
  <c r="CX179" i="2"/>
  <c r="BC457" i="2" s="1"/>
  <c r="DY179" i="2"/>
  <c r="CD457" i="2" s="1"/>
  <c r="EH179" i="2"/>
  <c r="CM457" i="2" s="1"/>
  <c r="BE179" i="2"/>
  <c r="BE410" i="2" s="1"/>
  <c r="BN179" i="2"/>
  <c r="BN410" i="2" s="1"/>
  <c r="BW179" i="2"/>
  <c r="BW410" i="2" s="1"/>
  <c r="CF179" i="2"/>
  <c r="CF410" i="2" s="1"/>
  <c r="CQ179" i="2"/>
  <c r="AV457" i="2" s="1"/>
  <c r="DR179" i="2"/>
  <c r="BW457" i="2" s="1"/>
  <c r="EA179" i="2"/>
  <c r="CF457" i="2" s="1"/>
  <c r="BF215" i="2"/>
  <c r="BF216" i="2" s="1"/>
  <c r="EI68" i="2"/>
  <c r="EI71" i="2" s="1"/>
  <c r="DR42" i="2"/>
  <c r="BW430" i="2" s="1"/>
  <c r="BF26" i="2"/>
  <c r="BF28" i="2" s="1"/>
  <c r="BF382" i="2" s="1"/>
  <c r="AW28" i="2"/>
  <c r="AW224" i="2"/>
  <c r="AW216" i="2"/>
  <c r="G26" i="2"/>
  <c r="G28" i="2" s="1"/>
  <c r="DA225" i="2"/>
  <c r="H157" i="6" s="1"/>
  <c r="Q10" i="4"/>
  <c r="U10" i="4"/>
  <c r="S10" i="4"/>
  <c r="Y5" i="10"/>
  <c r="R5" i="10"/>
  <c r="Z5" i="10"/>
  <c r="Y8" i="10"/>
  <c r="L13" i="10"/>
  <c r="V8" i="10"/>
  <c r="R8" i="10"/>
  <c r="R2" i="10"/>
  <c r="CE509" i="2"/>
  <c r="M8" i="10"/>
  <c r="BY216" i="2"/>
  <c r="BY393" i="2" s="1"/>
  <c r="AE71" i="2"/>
  <c r="CB68" i="2"/>
  <c r="CB71" i="2" s="1"/>
  <c r="AC71" i="2"/>
  <c r="BZ68" i="2"/>
  <c r="CD78" i="2"/>
  <c r="CE78" i="2" s="1"/>
  <c r="BB561" i="2" s="1"/>
  <c r="CD31" i="2"/>
  <c r="CE31" i="2" s="1"/>
  <c r="CE503" i="2"/>
  <c r="CD35" i="2"/>
  <c r="CE35" i="2" s="1"/>
  <c r="CE508" i="2"/>
  <c r="CE513" i="2"/>
  <c r="DZ68" i="2"/>
  <c r="DZ31" i="2"/>
  <c r="M304" i="2" s="1"/>
  <c r="DZ78" i="2"/>
  <c r="DZ35" i="2"/>
  <c r="M306" i="2" s="1"/>
  <c r="CE502" i="2"/>
  <c r="BW42" i="2"/>
  <c r="BY42" i="2"/>
  <c r="CA42" i="2"/>
  <c r="CC42" i="2"/>
  <c r="DC225" i="2"/>
  <c r="K157" i="6" s="1"/>
  <c r="CZ224" i="2"/>
  <c r="G156" i="6" s="1"/>
  <c r="DB225" i="2"/>
  <c r="J157" i="6" s="1"/>
  <c r="DE225" i="2"/>
  <c r="M157" i="6" s="1"/>
  <c r="DD225" i="2"/>
  <c r="L157" i="6" s="1"/>
  <c r="DD224" i="2"/>
  <c r="L156" i="6" s="1"/>
  <c r="K8" i="7" s="1"/>
  <c r="DB224" i="2"/>
  <c r="J156" i="6" s="1"/>
  <c r="I8" i="7" s="1"/>
  <c r="CZ225" i="2"/>
  <c r="DF225" i="2"/>
  <c r="DF224" i="2"/>
  <c r="BF99" i="2"/>
  <c r="V107" i="3"/>
  <c r="AW99" i="2"/>
  <c r="EF71" i="2"/>
  <c r="CK434" i="2" s="1"/>
  <c r="DW71" i="2"/>
  <c r="CB434" i="2" s="1"/>
  <c r="CA71" i="2"/>
  <c r="CA387" i="2" s="1"/>
  <c r="CI68" i="2"/>
  <c r="AG71" i="2"/>
  <c r="EE71" i="2"/>
  <c r="CJ434" i="2" s="1"/>
  <c r="DV71" i="2"/>
  <c r="CA434" i="2" s="1"/>
  <c r="CA481" i="2" s="1"/>
  <c r="BJ68" i="2"/>
  <c r="BJ71" i="2" s="1"/>
  <c r="BJ387" i="2" s="1"/>
  <c r="W71" i="2"/>
  <c r="DU71" i="2"/>
  <c r="BZ434" i="2" s="1"/>
  <c r="CL71" i="2"/>
  <c r="CL387" i="2" s="1"/>
  <c r="EG71" i="2"/>
  <c r="CL434" i="2" s="1"/>
  <c r="DX71" i="2"/>
  <c r="CC434" i="2" s="1"/>
  <c r="CJ71" i="2"/>
  <c r="CJ387" i="2" s="1"/>
  <c r="CC71" i="2"/>
  <c r="CC387" i="2" s="1"/>
  <c r="EA71" i="2"/>
  <c r="CF434" i="2" s="1"/>
  <c r="DR71" i="2"/>
  <c r="BW434" i="2" s="1"/>
  <c r="CG71" i="2"/>
  <c r="CG387" i="2" s="1"/>
  <c r="DY71" i="2"/>
  <c r="CD434" i="2" s="1"/>
  <c r="CF71" i="2"/>
  <c r="CF387" i="2" s="1"/>
  <c r="BW71" i="2"/>
  <c r="BW387" i="2" s="1"/>
  <c r="DS71" i="2"/>
  <c r="BX434" i="2" s="1"/>
  <c r="BX71" i="2"/>
  <c r="BX387" i="2" s="1"/>
  <c r="X33" i="6"/>
  <c r="V7" i="7" s="1"/>
  <c r="FE71" i="2"/>
  <c r="F42" i="2"/>
  <c r="AU201" i="2"/>
  <c r="AU233" i="2" s="1"/>
  <c r="U107" i="3"/>
  <c r="EG142" i="2"/>
  <c r="CL446" i="2" s="1"/>
  <c r="DX142" i="2"/>
  <c r="CC446" i="2" s="1"/>
  <c r="DF142" i="2"/>
  <c r="AZ226" i="2"/>
  <c r="BI226" i="2"/>
  <c r="BI419" i="2" s="1"/>
  <c r="EQ72" i="2"/>
  <c r="EO201" i="2"/>
  <c r="EC142" i="2"/>
  <c r="CH446" i="2" s="1"/>
  <c r="DT142" i="2"/>
  <c r="BY446" i="2" s="1"/>
  <c r="DB142" i="2"/>
  <c r="DK142" i="2"/>
  <c r="BP446" i="2" s="1"/>
  <c r="U114" i="3"/>
  <c r="V114" i="3"/>
  <c r="V61" i="6"/>
  <c r="T61" i="6"/>
  <c r="W61" i="6"/>
  <c r="S118" i="3"/>
  <c r="S8" i="4" s="1"/>
  <c r="CH434" i="2"/>
  <c r="T33" i="6"/>
  <c r="R7" i="7" s="1"/>
  <c r="U136" i="3"/>
  <c r="V136" i="3"/>
  <c r="EH149" i="2"/>
  <c r="CM447" i="2" s="1"/>
  <c r="U118" i="3"/>
  <c r="U121" i="3" s="1"/>
  <c r="ED149" i="2"/>
  <c r="CI447" i="2" s="1"/>
  <c r="V118" i="3"/>
  <c r="V8" i="4" s="1"/>
  <c r="Q110" i="3"/>
  <c r="Q11" i="4" s="1"/>
  <c r="CM434" i="2"/>
  <c r="V33" i="6"/>
  <c r="V34" i="6" s="1"/>
  <c r="CI434" i="2"/>
  <c r="W33" i="6"/>
  <c r="W34" i="6" s="1"/>
  <c r="DE142" i="2"/>
  <c r="DA142" i="2"/>
  <c r="DJ142" i="2"/>
  <c r="BO446" i="2" s="1"/>
  <c r="DN142" i="2"/>
  <c r="AV142" i="2"/>
  <c r="AC142" i="2"/>
  <c r="U142" i="2"/>
  <c r="S114" i="3"/>
  <c r="BG142" i="2"/>
  <c r="BG399" i="2" s="1"/>
  <c r="F142" i="2"/>
  <c r="F143" i="2" s="1"/>
  <c r="F99" i="2"/>
  <c r="R114" i="3"/>
  <c r="BE142" i="2"/>
  <c r="AX226" i="2"/>
  <c r="AX419" i="2" s="1"/>
  <c r="BG226" i="2"/>
  <c r="BG419" i="2" s="1"/>
  <c r="EF142" i="2"/>
  <c r="CK446" i="2" s="1"/>
  <c r="EB142" i="2"/>
  <c r="DW142" i="2"/>
  <c r="CB446" i="2" s="1"/>
  <c r="DS142" i="2"/>
  <c r="BX446" i="2" s="1"/>
  <c r="BB226" i="2"/>
  <c r="BB419" i="2" s="1"/>
  <c r="W99" i="2"/>
  <c r="AE99" i="2"/>
  <c r="AX99" i="2"/>
  <c r="BG99" i="2"/>
  <c r="Q99" i="2"/>
  <c r="Y99" i="2"/>
  <c r="AG99" i="2"/>
  <c r="AZ99" i="2"/>
  <c r="BI99" i="2"/>
  <c r="BP99" i="2"/>
  <c r="S99" i="2"/>
  <c r="AA99" i="2"/>
  <c r="AI99" i="2"/>
  <c r="BB99" i="2"/>
  <c r="BK99" i="2"/>
  <c r="BR99" i="2"/>
  <c r="U99" i="2"/>
  <c r="AC99" i="2"/>
  <c r="AV99" i="2"/>
  <c r="BE99" i="2"/>
  <c r="BN99" i="2"/>
  <c r="BT99" i="2"/>
  <c r="DK99" i="2"/>
  <c r="DO99" i="2"/>
  <c r="DL99" i="2"/>
  <c r="DP99" i="2"/>
  <c r="AY93" i="2"/>
  <c r="BQ93" i="2"/>
  <c r="CI93" i="2"/>
  <c r="DI99" i="2"/>
  <c r="DM99" i="2"/>
  <c r="BA93" i="2"/>
  <c r="BS93" i="2"/>
  <c r="CK93" i="2"/>
  <c r="DJ99" i="2"/>
  <c r="DN99" i="2"/>
  <c r="BH93" i="2"/>
  <c r="BZ93" i="2"/>
  <c r="EH142" i="2"/>
  <c r="CM446" i="2" s="1"/>
  <c r="ED142" i="2"/>
  <c r="CI446" i="2" s="1"/>
  <c r="DY142" i="2"/>
  <c r="CD446" i="2" s="1"/>
  <c r="DU142" i="2"/>
  <c r="BZ446" i="2" s="1"/>
  <c r="BN226" i="2"/>
  <c r="BN419" i="2" s="1"/>
  <c r="BT446" i="2"/>
  <c r="DL91" i="2"/>
  <c r="BQ438" i="2" s="1"/>
  <c r="DP91" i="2"/>
  <c r="BU438" i="2" s="1"/>
  <c r="BY99" i="2"/>
  <c r="CA99" i="2"/>
  <c r="CA116" i="2" s="1"/>
  <c r="CH99" i="2"/>
  <c r="CC99" i="2"/>
  <c r="CC116" i="2" s="1"/>
  <c r="CJ99" i="2"/>
  <c r="CL99" i="2"/>
  <c r="BW99" i="2"/>
  <c r="CF99" i="2"/>
  <c r="DJ91" i="2"/>
  <c r="BO438" i="2" s="1"/>
  <c r="DN91" i="2"/>
  <c r="BS438" i="2" s="1"/>
  <c r="Y91" i="2"/>
  <c r="DI91" i="2"/>
  <c r="BN438" i="2" s="1"/>
  <c r="DM91" i="2"/>
  <c r="BR438" i="2" s="1"/>
  <c r="M3" i="7"/>
  <c r="W226" i="2"/>
  <c r="AE226" i="2"/>
  <c r="BR226" i="2"/>
  <c r="BR419" i="2" s="1"/>
  <c r="DK91" i="2"/>
  <c r="BP438" i="2" s="1"/>
  <c r="DO91" i="2"/>
  <c r="BT438" i="2" s="1"/>
  <c r="DN42" i="2"/>
  <c r="BS430" i="2" s="1"/>
  <c r="DJ42" i="2"/>
  <c r="BO430" i="2" s="1"/>
  <c r="BN42" i="2"/>
  <c r="BN383" i="2" s="1"/>
  <c r="BB42" i="2"/>
  <c r="BB383" i="2" s="1"/>
  <c r="AA42" i="2"/>
  <c r="S42" i="2"/>
  <c r="DM42" i="2"/>
  <c r="BR430" i="2" s="1"/>
  <c r="BT42" i="2"/>
  <c r="BT383" i="2" s="1"/>
  <c r="BI42" i="2"/>
  <c r="BI383" i="2" s="1"/>
  <c r="AZ42" i="2"/>
  <c r="AZ383" i="2" s="1"/>
  <c r="Y42" i="2"/>
  <c r="Q42" i="2"/>
  <c r="CQ226" i="2"/>
  <c r="AV466" i="2" s="1"/>
  <c r="CU226" i="2"/>
  <c r="DR226" i="2"/>
  <c r="DV226" i="2"/>
  <c r="EA226" i="2"/>
  <c r="EE226" i="2"/>
  <c r="DP42" i="2"/>
  <c r="BU430" i="2" s="1"/>
  <c r="DL42" i="2"/>
  <c r="BQ430" i="2" s="1"/>
  <c r="BR42" i="2"/>
  <c r="BR383" i="2" s="1"/>
  <c r="BG42" i="2"/>
  <c r="BG383" i="2" s="1"/>
  <c r="AX42" i="2"/>
  <c r="AX383" i="2" s="1"/>
  <c r="W42" i="2"/>
  <c r="DO42" i="2"/>
  <c r="BT430" i="2" s="1"/>
  <c r="DK42" i="2"/>
  <c r="BP430" i="2" s="1"/>
  <c r="BP42" i="2"/>
  <c r="BP383" i="2" s="1"/>
  <c r="BE42" i="2"/>
  <c r="BE383" i="2" s="1"/>
  <c r="AV42" i="2"/>
  <c r="AV383" i="2" s="1"/>
  <c r="U42" i="2"/>
  <c r="DI42" i="2"/>
  <c r="BN430" i="2" s="1"/>
  <c r="BK42" i="2"/>
  <c r="BK383" i="2" s="1"/>
  <c r="CT226" i="2"/>
  <c r="CX226" i="2"/>
  <c r="DU226" i="2"/>
  <c r="DY226" i="2"/>
  <c r="ED226" i="2"/>
  <c r="EH226" i="2"/>
  <c r="DO215" i="2"/>
  <c r="Y226" i="2"/>
  <c r="BT226" i="2"/>
  <c r="AG226" i="2"/>
  <c r="Q226" i="2"/>
  <c r="CR226" i="2"/>
  <c r="AW466" i="2" s="1"/>
  <c r="CV226" i="2"/>
  <c r="DS226" i="2"/>
  <c r="DW226" i="2"/>
  <c r="EB226" i="2"/>
  <c r="EF226" i="2"/>
  <c r="F226" i="2"/>
  <c r="ET224" i="2"/>
  <c r="ET226" i="2" s="1"/>
  <c r="EP226" i="2"/>
  <c r="EP228" i="2" s="1"/>
  <c r="U226" i="2"/>
  <c r="AC226" i="2"/>
  <c r="AV226" i="2"/>
  <c r="AV419" i="2" s="1"/>
  <c r="BP226" i="2"/>
  <c r="BP419" i="2" s="1"/>
  <c r="S226" i="2"/>
  <c r="AA226" i="2"/>
  <c r="AI226" i="2"/>
  <c r="CS226" i="2"/>
  <c r="CW226" i="2"/>
  <c r="DT226" i="2"/>
  <c r="DX226" i="2"/>
  <c r="EC226" i="2"/>
  <c r="EG226" i="2"/>
  <c r="BN446" i="2"/>
  <c r="BR446" i="2"/>
  <c r="BB399" i="2"/>
  <c r="BQ446" i="2"/>
  <c r="BU446" i="2"/>
  <c r="F116" i="2"/>
  <c r="EX116" i="2"/>
  <c r="BR399" i="2"/>
  <c r="EZ116" i="2"/>
  <c r="EW116" i="2"/>
  <c r="FD116" i="2"/>
  <c r="FC116" i="2"/>
  <c r="EV116" i="2"/>
  <c r="Y116" i="2"/>
  <c r="Q116" i="2"/>
  <c r="BR116" i="2"/>
  <c r="AV116" i="2"/>
  <c r="CI136" i="2"/>
  <c r="CB136" i="2"/>
  <c r="CB142" i="2" s="1"/>
  <c r="W116" i="2"/>
  <c r="BP116" i="2"/>
  <c r="BZ136" i="2"/>
  <c r="CK136" i="2"/>
  <c r="CK142" i="2" s="1"/>
  <c r="FB116" i="2"/>
  <c r="AX116" i="2"/>
  <c r="BG116" i="2"/>
  <c r="AC116" i="2"/>
  <c r="U116" i="2"/>
  <c r="BB116" i="2"/>
  <c r="AZ116" i="2"/>
  <c r="BI116" i="2"/>
  <c r="AA116" i="2"/>
  <c r="S116" i="2"/>
  <c r="BE116" i="2"/>
  <c r="BT116" i="2"/>
  <c r="BK116" i="2"/>
  <c r="FA116" i="2"/>
  <c r="FL116" i="2" s="1"/>
  <c r="DS116" i="2"/>
  <c r="DW116" i="2"/>
  <c r="EB116" i="2"/>
  <c r="EF116" i="2"/>
  <c r="DT116" i="2"/>
  <c r="DX116" i="2"/>
  <c r="EC116" i="2"/>
  <c r="EG116" i="2"/>
  <c r="BN116" i="2"/>
  <c r="DU116" i="2"/>
  <c r="DY116" i="2"/>
  <c r="ED116" i="2"/>
  <c r="EH116" i="2"/>
  <c r="DR116" i="2"/>
  <c r="DV116" i="2"/>
  <c r="EA116" i="2"/>
  <c r="EE116" i="2"/>
  <c r="CI112" i="2"/>
  <c r="AG116" i="2"/>
  <c r="R79" i="3"/>
  <c r="R31" i="4" s="1"/>
  <c r="V79" i="3"/>
  <c r="CB112" i="2"/>
  <c r="AE116" i="2"/>
  <c r="S79" i="3"/>
  <c r="S31" i="4" s="1"/>
  <c r="U79" i="3"/>
  <c r="U31" i="4" s="1"/>
  <c r="CK112" i="2"/>
  <c r="AI116" i="2"/>
  <c r="Q79" i="3"/>
  <c r="O13" i="10"/>
  <c r="AW182" i="2"/>
  <c r="AW411" i="2" s="1"/>
  <c r="AW505" i="2" s="1"/>
  <c r="P13" i="10"/>
  <c r="S42" i="3"/>
  <c r="R42" i="3"/>
  <c r="BO182" i="2"/>
  <c r="BO411" i="2" s="1"/>
  <c r="BO505" i="2" s="1"/>
  <c r="F182" i="2"/>
  <c r="CG182" i="2"/>
  <c r="CG411" i="2" s="1"/>
  <c r="CG505" i="2" s="1"/>
  <c r="BX182" i="2"/>
  <c r="BX411" i="2" s="1"/>
  <c r="BX505" i="2" s="1"/>
  <c r="CQ19" i="2"/>
  <c r="AV428" i="2" s="1"/>
  <c r="FA182" i="2"/>
  <c r="BK134" i="2"/>
  <c r="BK398" i="2" s="1"/>
  <c r="AV134" i="2"/>
  <c r="AV398" i="2" s="1"/>
  <c r="U134" i="2"/>
  <c r="Y134" i="2"/>
  <c r="Q134" i="2"/>
  <c r="DL134" i="2"/>
  <c r="BQ445" i="2" s="1"/>
  <c r="S134" i="2"/>
  <c r="DK134" i="2"/>
  <c r="DO134" i="2"/>
  <c r="DP134" i="2"/>
  <c r="BU445" i="2" s="1"/>
  <c r="BT134" i="2"/>
  <c r="BT398" i="2" s="1"/>
  <c r="AA134" i="2"/>
  <c r="BH136" i="2"/>
  <c r="BH142" i="2" s="1"/>
  <c r="BS136" i="2"/>
  <c r="BS142" i="2" s="1"/>
  <c r="DI134" i="2"/>
  <c r="BN445" i="2" s="1"/>
  <c r="DM134" i="2"/>
  <c r="BR445" i="2" s="1"/>
  <c r="BR134" i="2"/>
  <c r="BR398" i="2" s="1"/>
  <c r="BI134" i="2"/>
  <c r="BI398" i="2" s="1"/>
  <c r="AZ134" i="2"/>
  <c r="AZ398" i="2" s="1"/>
  <c r="BP134" i="2"/>
  <c r="BP398" i="2" s="1"/>
  <c r="BG134" i="2"/>
  <c r="BG398" i="2" s="1"/>
  <c r="AX134" i="2"/>
  <c r="AX398" i="2" s="1"/>
  <c r="BQ136" i="2"/>
  <c r="AY136" i="2"/>
  <c r="AY142" i="2" s="1"/>
  <c r="BJ136" i="2"/>
  <c r="BJ142" i="2" s="1"/>
  <c r="BB134" i="2"/>
  <c r="BB398" i="2" s="1"/>
  <c r="BA142" i="2"/>
  <c r="BN134" i="2"/>
  <c r="BN398" i="2" s="1"/>
  <c r="BE134" i="2"/>
  <c r="BE398" i="2" s="1"/>
  <c r="DJ134" i="2"/>
  <c r="BO445" i="2" s="1"/>
  <c r="BO134" i="2"/>
  <c r="BO398" i="2" s="1"/>
  <c r="DN134" i="2"/>
  <c r="BS445" i="2" s="1"/>
  <c r="W134" i="2"/>
  <c r="G215" i="2"/>
  <c r="G216" i="2" s="1"/>
  <c r="AW79" i="2"/>
  <c r="DA17" i="2"/>
  <c r="H13" i="6" s="1"/>
  <c r="DM19" i="2"/>
  <c r="BR428" i="2" s="1"/>
  <c r="CX19" i="2"/>
  <c r="BC428" i="2" s="1"/>
  <c r="CT19" i="2"/>
  <c r="AY428" i="2" s="1"/>
  <c r="BT19" i="2"/>
  <c r="BT381" i="2" s="1"/>
  <c r="BK19" i="2"/>
  <c r="BB19" i="2"/>
  <c r="BB381" i="2" s="1"/>
  <c r="DP19" i="2"/>
  <c r="BU428" i="2" s="1"/>
  <c r="DL19" i="2"/>
  <c r="BQ428" i="2" s="1"/>
  <c r="CW19" i="2"/>
  <c r="BB428" i="2" s="1"/>
  <c r="CS19" i="2"/>
  <c r="AX428" i="2" s="1"/>
  <c r="BR19" i="2"/>
  <c r="BR381" i="2" s="1"/>
  <c r="BI19" i="2"/>
  <c r="AZ19" i="2"/>
  <c r="AZ381" i="2" s="1"/>
  <c r="DN19" i="2"/>
  <c r="BS428" i="2" s="1"/>
  <c r="DJ19" i="2"/>
  <c r="CU19" i="2"/>
  <c r="AZ428" i="2" s="1"/>
  <c r="BN19" i="2"/>
  <c r="BE19" i="2"/>
  <c r="BE381" i="2" s="1"/>
  <c r="AV19" i="2"/>
  <c r="AV381" i="2" s="1"/>
  <c r="DI19" i="2"/>
  <c r="BN428" i="2" s="1"/>
  <c r="CR79" i="2"/>
  <c r="CR163" i="2"/>
  <c r="H138" i="3" s="1"/>
  <c r="I5" i="4" s="1"/>
  <c r="DO19" i="2"/>
  <c r="BT428" i="2" s="1"/>
  <c r="DK19" i="2"/>
  <c r="BP428" i="2" s="1"/>
  <c r="CV19" i="2"/>
  <c r="BA428" i="2" s="1"/>
  <c r="CR19" i="2"/>
  <c r="AW428" i="2" s="1"/>
  <c r="BP19" i="2"/>
  <c r="BP381" i="2" s="1"/>
  <c r="BG19" i="2"/>
  <c r="AX19" i="2"/>
  <c r="BO19" i="2"/>
  <c r="AW65" i="2"/>
  <c r="AW386" i="2" s="1"/>
  <c r="G36" i="2"/>
  <c r="G42" i="2" s="1"/>
  <c r="G112" i="2"/>
  <c r="G157" i="2"/>
  <c r="G161" i="2" s="1"/>
  <c r="G165" i="2" s="1"/>
  <c r="AW165" i="2"/>
  <c r="G136" i="2"/>
  <c r="G177" i="2"/>
  <c r="G179" i="2" s="1"/>
  <c r="G224" i="2"/>
  <c r="G226" i="2" s="1"/>
  <c r="G99" i="2"/>
  <c r="G113" i="2"/>
  <c r="BF182" i="2"/>
  <c r="BF411" i="2" s="1"/>
  <c r="CF226" i="2"/>
  <c r="AC91" i="2"/>
  <c r="CB83" i="2"/>
  <c r="AE91" i="2"/>
  <c r="BH88" i="2"/>
  <c r="BQ83" i="2"/>
  <c r="CI83" i="2"/>
  <c r="CI91" i="2" s="1"/>
  <c r="CI391" i="2" s="1"/>
  <c r="AG91" i="2"/>
  <c r="BJ88" i="2"/>
  <c r="CK83" i="2"/>
  <c r="CK91" i="2" s="1"/>
  <c r="CK391" i="2" s="1"/>
  <c r="AI91" i="2"/>
  <c r="AY88" i="2"/>
  <c r="BA88" i="2"/>
  <c r="BS88" i="2"/>
  <c r="F216" i="2"/>
  <c r="Y216" i="2"/>
  <c r="U216" i="2"/>
  <c r="CC226" i="2"/>
  <c r="CC419" i="2" s="1"/>
  <c r="BE216" i="2"/>
  <c r="BE228" i="2" s="1"/>
  <c r="BG216" i="2"/>
  <c r="BG393" i="2" s="1"/>
  <c r="BN216" i="2"/>
  <c r="BN393" i="2" s="1"/>
  <c r="AV216" i="2"/>
  <c r="AX216" i="2"/>
  <c r="AX393" i="2" s="1"/>
  <c r="BT216" i="2"/>
  <c r="BT393" i="2" s="1"/>
  <c r="CC216" i="2"/>
  <c r="CC393" i="2" s="1"/>
  <c r="CJ216" i="2"/>
  <c r="CJ393" i="2" s="1"/>
  <c r="R145" i="6"/>
  <c r="R150" i="6" s="1"/>
  <c r="EV216" i="2"/>
  <c r="EV228" i="2" s="1"/>
  <c r="FL211" i="2"/>
  <c r="FA216" i="2"/>
  <c r="FL216" i="2" s="1"/>
  <c r="W216" i="2"/>
  <c r="AZ216" i="2"/>
  <c r="AZ393" i="2" s="1"/>
  <c r="BI216" i="2"/>
  <c r="BI393" i="2" s="1"/>
  <c r="BW216" i="2"/>
  <c r="BW393" i="2" s="1"/>
  <c r="CF216" i="2"/>
  <c r="CF393" i="2" s="1"/>
  <c r="CL216" i="2"/>
  <c r="CL393" i="2" s="1"/>
  <c r="T145" i="6"/>
  <c r="T150" i="6" s="1"/>
  <c r="EX216" i="2"/>
  <c r="Q216" i="2"/>
  <c r="BB216" i="2"/>
  <c r="BB393" i="2" s="1"/>
  <c r="BK216" i="2"/>
  <c r="BK393" i="2" s="1"/>
  <c r="V145" i="6"/>
  <c r="V150" i="6" s="1"/>
  <c r="FC216" i="2"/>
  <c r="BP216" i="2"/>
  <c r="S216" i="2"/>
  <c r="AA216" i="2"/>
  <c r="BR216" i="2"/>
  <c r="CA216" i="2"/>
  <c r="CH216" i="2"/>
  <c r="CH393" i="2" s="1"/>
  <c r="S143" i="6"/>
  <c r="S150" i="6" s="1"/>
  <c r="EW216" i="2"/>
  <c r="AX399" i="2"/>
  <c r="CH226" i="2"/>
  <c r="CH419" i="2" s="1"/>
  <c r="CL226" i="2"/>
  <c r="DF164" i="2"/>
  <c r="BK451" i="2" s="1"/>
  <c r="BK498" i="2" s="1"/>
  <c r="BW226" i="2"/>
  <c r="BW419" i="2" s="1"/>
  <c r="BH224" i="2"/>
  <c r="BH226" i="2" s="1"/>
  <c r="BZ224" i="2"/>
  <c r="BZ226" i="2" s="1"/>
  <c r="BZ419" i="2" s="1"/>
  <c r="CJ226" i="2"/>
  <c r="CJ419" i="2" s="1"/>
  <c r="BJ224" i="2"/>
  <c r="CB224" i="2"/>
  <c r="CB226" i="2" s="1"/>
  <c r="CB419" i="2" s="1"/>
  <c r="AY224" i="2"/>
  <c r="BQ224" i="2"/>
  <c r="CI224" i="2"/>
  <c r="CI226" i="2" s="1"/>
  <c r="CI419" i="2" s="1"/>
  <c r="BY226" i="2"/>
  <c r="BY419" i="2" s="1"/>
  <c r="FA224" i="2"/>
  <c r="FA226" i="2" s="1"/>
  <c r="BA224" i="2"/>
  <c r="BS224" i="2"/>
  <c r="CK224" i="2"/>
  <c r="CK226" i="2" s="1"/>
  <c r="CA226" i="2"/>
  <c r="CA419" i="2" s="1"/>
  <c r="EK150" i="2"/>
  <c r="CQ79" i="2"/>
  <c r="BH145" i="2"/>
  <c r="BH149" i="2" s="1"/>
  <c r="BH400" i="2" s="1"/>
  <c r="U149" i="2"/>
  <c r="BS145" i="2"/>
  <c r="BS149" i="2" s="1"/>
  <c r="BS400" i="2" s="1"/>
  <c r="AA149" i="2"/>
  <c r="AY145" i="2"/>
  <c r="AY149" i="2" s="1"/>
  <c r="AY400" i="2" s="1"/>
  <c r="Q149" i="2"/>
  <c r="BQ145" i="2"/>
  <c r="BQ149" i="2" s="1"/>
  <c r="BQ400" i="2" s="1"/>
  <c r="Y149" i="2"/>
  <c r="BT399" i="2"/>
  <c r="BK399" i="2"/>
  <c r="P150" i="2"/>
  <c r="BF381" i="2"/>
  <c r="U19" i="2"/>
  <c r="AW381" i="2"/>
  <c r="AA19" i="2"/>
  <c r="S19" i="2"/>
  <c r="Q19" i="2"/>
  <c r="Y19" i="2"/>
  <c r="W19" i="2"/>
  <c r="Q136" i="3"/>
  <c r="CJ446" i="2"/>
  <c r="CA446" i="2"/>
  <c r="R136" i="3"/>
  <c r="S136" i="3"/>
  <c r="BS59" i="2"/>
  <c r="BQ59" i="2"/>
  <c r="BJ59" i="2"/>
  <c r="BH59" i="2"/>
  <c r="DJ210" i="2"/>
  <c r="H143" i="6" s="1"/>
  <c r="DU99" i="2"/>
  <c r="DY99" i="2"/>
  <c r="ED99" i="2"/>
  <c r="EH99" i="2"/>
  <c r="DR99" i="2"/>
  <c r="DV99" i="2"/>
  <c r="EA99" i="2"/>
  <c r="EE99" i="2"/>
  <c r="DS99" i="2"/>
  <c r="DW99" i="2"/>
  <c r="EB99" i="2"/>
  <c r="EF99" i="2"/>
  <c r="DT99" i="2"/>
  <c r="DX99" i="2"/>
  <c r="EC99" i="2"/>
  <c r="EG99" i="2"/>
  <c r="CP201" i="2"/>
  <c r="BZ42" i="2"/>
  <c r="AC42" i="2"/>
  <c r="AE42" i="2"/>
  <c r="CK31" i="2"/>
  <c r="CK42" i="2" s="1"/>
  <c r="CK383" i="2" s="1"/>
  <c r="AI42" i="2"/>
  <c r="CI31" i="2"/>
  <c r="AG42" i="2"/>
  <c r="DO214" i="2"/>
  <c r="DM215" i="2"/>
  <c r="L149" i="6" s="1"/>
  <c r="K32" i="7" s="1"/>
  <c r="DI214" i="2"/>
  <c r="G148" i="6" s="1"/>
  <c r="DK215" i="2"/>
  <c r="J149" i="6" s="1"/>
  <c r="I32" i="7" s="1"/>
  <c r="DL214" i="2"/>
  <c r="K148" i="6" s="1"/>
  <c r="J31" i="7" s="1"/>
  <c r="E201" i="2"/>
  <c r="DO211" i="2"/>
  <c r="DN211" i="2"/>
  <c r="M145" i="6" s="1"/>
  <c r="DI215" i="2"/>
  <c r="G149" i="6" s="1"/>
  <c r="EL150" i="2"/>
  <c r="DK214" i="2"/>
  <c r="J148" i="6" s="1"/>
  <c r="I31" i="7" s="1"/>
  <c r="DJ214" i="2"/>
  <c r="DM214" i="2"/>
  <c r="L148" i="6" s="1"/>
  <c r="K31" i="7" s="1"/>
  <c r="DL211" i="2"/>
  <c r="K145" i="6" s="1"/>
  <c r="ES150" i="2"/>
  <c r="X150" i="2"/>
  <c r="DJ211" i="2"/>
  <c r="H145" i="6" s="1"/>
  <c r="BQ10" i="2"/>
  <c r="AY10" i="2"/>
  <c r="AY19" i="2" s="1"/>
  <c r="T150" i="2"/>
  <c r="T9" i="6"/>
  <c r="EP150" i="2"/>
  <c r="BZ102" i="2"/>
  <c r="BJ10" i="2"/>
  <c r="V150" i="2"/>
  <c r="EM150" i="2"/>
  <c r="FL10" i="2"/>
  <c r="X9" i="6"/>
  <c r="BJ102" i="2"/>
  <c r="CB102" i="2"/>
  <c r="W9" i="6"/>
  <c r="BH10" i="2"/>
  <c r="AY102" i="2"/>
  <c r="BQ102" i="2"/>
  <c r="CI102" i="2"/>
  <c r="FE102" i="2"/>
  <c r="BA10" i="2"/>
  <c r="R150" i="2"/>
  <c r="Z150" i="2"/>
  <c r="CO150" i="2"/>
  <c r="ER150" i="2"/>
  <c r="EO150" i="2"/>
  <c r="BA102" i="2"/>
  <c r="BS102" i="2"/>
  <c r="CK102" i="2"/>
  <c r="X145" i="6"/>
  <c r="V15" i="7" s="1"/>
  <c r="BQ112" i="2"/>
  <c r="AY112" i="2"/>
  <c r="DM211" i="2"/>
  <c r="L145" i="6" s="1"/>
  <c r="BJ112" i="2"/>
  <c r="BH112" i="2"/>
  <c r="BS112" i="2"/>
  <c r="BA112" i="2"/>
  <c r="DK211" i="2"/>
  <c r="J145" i="6" s="1"/>
  <c r="CT111" i="2"/>
  <c r="K79" i="3" s="1"/>
  <c r="DO210" i="2"/>
  <c r="DI210" i="2"/>
  <c r="G143" i="6" s="1"/>
  <c r="DI211" i="2"/>
  <c r="G145" i="6" s="1"/>
  <c r="DM210" i="2"/>
  <c r="L143" i="6" s="1"/>
  <c r="DK210" i="2"/>
  <c r="J143" i="6" s="1"/>
  <c r="CU111" i="2"/>
  <c r="L79" i="3" s="1"/>
  <c r="L31" i="4" s="1"/>
  <c r="CQ111" i="2"/>
  <c r="CS111" i="2"/>
  <c r="J79" i="3" s="1"/>
  <c r="J31" i="4" s="1"/>
  <c r="CR111" i="2"/>
  <c r="CW111" i="2"/>
  <c r="N79" i="3" s="1"/>
  <c r="N31" i="4" s="1"/>
  <c r="BH432" i="2"/>
  <c r="BL432" i="2"/>
  <c r="BN385" i="2"/>
  <c r="BF432" i="2"/>
  <c r="BJ432" i="2"/>
  <c r="BE385" i="2"/>
  <c r="BG432" i="2"/>
  <c r="BK432" i="2"/>
  <c r="BO385" i="2"/>
  <c r="BG385" i="2"/>
  <c r="BT385" i="2"/>
  <c r="BR385" i="2"/>
  <c r="BK385" i="2"/>
  <c r="BP385" i="2"/>
  <c r="BI385" i="2"/>
  <c r="BB385" i="2"/>
  <c r="CB385" i="2"/>
  <c r="AE59" i="2"/>
  <c r="AX385" i="2"/>
  <c r="AG59" i="2"/>
  <c r="AZ385" i="2"/>
  <c r="BE432" i="2"/>
  <c r="BI432" i="2"/>
  <c r="AC59" i="2"/>
  <c r="AV385" i="2"/>
  <c r="AI59" i="2"/>
  <c r="BQ31" i="2"/>
  <c r="AY31" i="2"/>
  <c r="BH134" i="2"/>
  <c r="AY134" i="2"/>
  <c r="BH31" i="2"/>
  <c r="BH42" i="2" s="1"/>
  <c r="BS31" i="2"/>
  <c r="BS42" i="2" s="1"/>
  <c r="BA31" i="2"/>
  <c r="BH102" i="2"/>
  <c r="FL109" i="2"/>
  <c r="U75" i="3"/>
  <c r="T75" i="3"/>
  <c r="O136" i="6"/>
  <c r="M27" i="7"/>
  <c r="BJ110" i="2"/>
  <c r="BH110" i="2"/>
  <c r="CJ142" i="2"/>
  <c r="CJ399" i="2" s="1"/>
  <c r="CA142" i="2"/>
  <c r="CA399" i="2" s="1"/>
  <c r="CF142" i="2"/>
  <c r="CF399" i="2" s="1"/>
  <c r="CL142" i="2"/>
  <c r="CL399" i="2" s="1"/>
  <c r="CC142" i="2"/>
  <c r="CH142" i="2"/>
  <c r="CH399" i="2" s="1"/>
  <c r="BY142" i="2"/>
  <c r="BY399" i="2" s="1"/>
  <c r="BW142" i="2"/>
  <c r="BW399" i="2" s="1"/>
  <c r="DO164" i="2"/>
  <c r="BT451" i="2" s="1"/>
  <c r="CQ99" i="2"/>
  <c r="CU99" i="2"/>
  <c r="S36" i="3"/>
  <c r="Q36" i="3"/>
  <c r="X154" i="6"/>
  <c r="X134" i="6"/>
  <c r="FL111" i="2"/>
  <c r="V9" i="6"/>
  <c r="U9" i="7"/>
  <c r="U19" i="4"/>
  <c r="T19" i="4"/>
  <c r="V19" i="4"/>
  <c r="EV164" i="2"/>
  <c r="BO36" i="2"/>
  <c r="BO42" i="2" s="1"/>
  <c r="F28" i="2"/>
  <c r="O18" i="6"/>
  <c r="M9" i="7"/>
  <c r="V18" i="6"/>
  <c r="T9" i="7"/>
  <c r="T18" i="6"/>
  <c r="R9" i="7"/>
  <c r="F10" i="7"/>
  <c r="J10" i="7"/>
  <c r="N10" i="7"/>
  <c r="R10" i="7"/>
  <c r="I10" i="7"/>
  <c r="G10" i="7"/>
  <c r="K10" i="7"/>
  <c r="O10" i="7"/>
  <c r="S10" i="7"/>
  <c r="W10" i="7"/>
  <c r="M10" i="7"/>
  <c r="U10" i="7"/>
  <c r="H10" i="7"/>
  <c r="L10" i="7"/>
  <c r="P10" i="7"/>
  <c r="T10" i="7"/>
  <c r="Q10" i="7"/>
  <c r="AB10" i="7"/>
  <c r="W19" i="4"/>
  <c r="Q28" i="2"/>
  <c r="G65" i="2"/>
  <c r="CQ83" i="2"/>
  <c r="CW83" i="2"/>
  <c r="CS83" i="2"/>
  <c r="CR83" i="2"/>
  <c r="CQ27" i="2"/>
  <c r="CU83" i="2"/>
  <c r="DL164" i="2"/>
  <c r="BQ451" i="2" s="1"/>
  <c r="Z20" i="4"/>
  <c r="CQ24" i="2"/>
  <c r="CW157" i="2"/>
  <c r="N135" i="3" s="1"/>
  <c r="N24" i="4" s="1"/>
  <c r="CG177" i="2"/>
  <c r="CG224" i="2"/>
  <c r="CG226" i="2" s="1"/>
  <c r="AW400" i="2"/>
  <c r="CG136" i="2"/>
  <c r="BX99" i="2"/>
  <c r="DM164" i="2"/>
  <c r="BR451" i="2" s="1"/>
  <c r="CZ78" i="2"/>
  <c r="G37" i="6" s="1"/>
  <c r="DP164" i="2"/>
  <c r="BU451" i="2" s="1"/>
  <c r="C57" i="3"/>
  <c r="F9" i="7"/>
  <c r="CS99" i="2"/>
  <c r="CU157" i="2"/>
  <c r="L135" i="3" s="1"/>
  <c r="L24" i="4" s="1"/>
  <c r="CW26" i="2"/>
  <c r="N18" i="3" s="1"/>
  <c r="N17" i="4" s="1"/>
  <c r="BR501" i="2"/>
  <c r="AD13" i="3"/>
  <c r="BM511" i="2"/>
  <c r="BM510" i="2"/>
  <c r="BD511" i="2"/>
  <c r="H14" i="4"/>
  <c r="BX136" i="2"/>
  <c r="BF511" i="2"/>
  <c r="BF510" i="2"/>
  <c r="AW510" i="2"/>
  <c r="BO26" i="2"/>
  <c r="BO28" i="2" s="1"/>
  <c r="BO382" i="2" s="1"/>
  <c r="DI164" i="2"/>
  <c r="BN451" i="2" s="1"/>
  <c r="BS447" i="2"/>
  <c r="BF503" i="2"/>
  <c r="CQ127" i="2"/>
  <c r="H6" i="10"/>
  <c r="G6" i="10"/>
  <c r="R6" i="10"/>
  <c r="BO400" i="2"/>
  <c r="Y6" i="10"/>
  <c r="O7" i="10"/>
  <c r="AA2" i="10"/>
  <c r="O2" i="10"/>
  <c r="BX224" i="2"/>
  <c r="BD503" i="2"/>
  <c r="T134" i="6"/>
  <c r="R134" i="6"/>
  <c r="BP447" i="2"/>
  <c r="E2" i="10"/>
  <c r="AW502" i="2"/>
  <c r="Q11" i="10"/>
  <c r="I7" i="10"/>
  <c r="BD510" i="2"/>
  <c r="CG215" i="2"/>
  <c r="CG216" i="2" s="1"/>
  <c r="BX177" i="2"/>
  <c r="R12" i="10"/>
  <c r="BX215" i="2"/>
  <c r="BX216" i="2" s="1"/>
  <c r="BX26" i="2"/>
  <c r="BX28" i="2" s="1"/>
  <c r="BX382" i="2" s="1"/>
  <c r="AW177" i="2"/>
  <c r="AW179" i="2" s="1"/>
  <c r="Z2" i="10"/>
  <c r="Z14" i="10" s="1"/>
  <c r="Y7" i="10"/>
  <c r="BM502" i="2"/>
  <c r="BF502" i="2"/>
  <c r="CG26" i="2"/>
  <c r="CG28" i="2" s="1"/>
  <c r="BO177" i="2"/>
  <c r="BF509" i="2"/>
  <c r="AW511" i="2"/>
  <c r="AW503" i="2"/>
  <c r="CC510" i="2"/>
  <c r="BM503" i="2"/>
  <c r="AC13" i="3"/>
  <c r="AB112" i="6"/>
  <c r="AC112" i="6" s="1"/>
  <c r="AD112" i="6" s="1"/>
  <c r="AB115" i="6"/>
  <c r="AC115" i="6" s="1"/>
  <c r="AD115" i="6" s="1"/>
  <c r="AW508" i="2"/>
  <c r="CG99" i="2"/>
  <c r="BX36" i="2"/>
  <c r="BX42" i="2" s="1"/>
  <c r="S36" i="9"/>
  <c r="S38" i="9" s="1"/>
  <c r="S40" i="9" s="1"/>
  <c r="S41" i="9" s="1"/>
  <c r="S42" i="9" s="1"/>
  <c r="AW501" i="2"/>
  <c r="CG36" i="2"/>
  <c r="CG42" i="2" s="1"/>
  <c r="CG383" i="2" s="1"/>
  <c r="BO99" i="2"/>
  <c r="CS128" i="2"/>
  <c r="J101" i="3" s="1"/>
  <c r="BM509" i="2"/>
  <c r="AW509" i="2"/>
  <c r="BD502" i="2"/>
  <c r="BF42" i="2"/>
  <c r="BD509" i="2"/>
  <c r="BO113" i="2"/>
  <c r="N80" i="6"/>
  <c r="BN447" i="2"/>
  <c r="AA5" i="7"/>
  <c r="AA3" i="7"/>
  <c r="F16" i="4"/>
  <c r="BU447" i="2"/>
  <c r="CW99" i="2"/>
  <c r="C26" i="6"/>
  <c r="CQ26" i="2"/>
  <c r="BQ447" i="2"/>
  <c r="CW215" i="2"/>
  <c r="AX513" i="2"/>
  <c r="K335" i="2"/>
  <c r="BG387" i="2"/>
  <c r="P165" i="2"/>
  <c r="P201" i="2" s="1"/>
  <c r="CK210" i="2"/>
  <c r="CK216" i="2" s="1"/>
  <c r="AY210" i="2"/>
  <c r="BQ210" i="2"/>
  <c r="BQ216" i="2" s="1"/>
  <c r="BJ210" i="2"/>
  <c r="BS210" i="2"/>
  <c r="CI210" i="2"/>
  <c r="CB210" i="2"/>
  <c r="CB216" i="2" s="1"/>
  <c r="BH210" i="2"/>
  <c r="CV185" i="2"/>
  <c r="BI510" i="2"/>
  <c r="BU509" i="2"/>
  <c r="BZ210" i="2"/>
  <c r="CU24" i="2"/>
  <c r="L17" i="3" s="1"/>
  <c r="DN164" i="2"/>
  <c r="BS451" i="2" s="1"/>
  <c r="BJ510" i="2"/>
  <c r="BT447" i="2"/>
  <c r="C64" i="6"/>
  <c r="AQ143" i="2"/>
  <c r="R143" i="2"/>
  <c r="BC510" i="2"/>
  <c r="CZ50" i="2"/>
  <c r="BE431" i="2" s="1"/>
  <c r="BO157" i="2"/>
  <c r="BO161" i="2" s="1"/>
  <c r="DS216" i="2"/>
  <c r="BX440" i="2" s="1"/>
  <c r="DW216" i="2"/>
  <c r="CB440" i="2" s="1"/>
  <c r="CG157" i="2"/>
  <c r="CG161" i="2" s="1"/>
  <c r="CG403" i="2" s="1"/>
  <c r="Q59" i="2"/>
  <c r="CJ509" i="2"/>
  <c r="BX157" i="2"/>
  <c r="BX161" i="2" s="1"/>
  <c r="BX403" i="2" s="1"/>
  <c r="F161" i="2"/>
  <c r="F165" i="2" s="1"/>
  <c r="BL503" i="2"/>
  <c r="BP503" i="2"/>
  <c r="BT503" i="2"/>
  <c r="EK165" i="2"/>
  <c r="EP182" i="2"/>
  <c r="FL225" i="2"/>
  <c r="FE128" i="2"/>
  <c r="W101" i="3" s="1"/>
  <c r="FB128" i="2"/>
  <c r="FB134" i="2" s="1"/>
  <c r="BH503" i="2"/>
  <c r="CN503" i="2"/>
  <c r="CG113" i="2"/>
  <c r="FE225" i="2"/>
  <c r="X157" i="6" s="1"/>
  <c r="V14" i="7" s="1"/>
  <c r="BY509" i="2"/>
  <c r="CF447" i="2"/>
  <c r="BE447" i="2"/>
  <c r="BU215" i="2"/>
  <c r="EP164" i="2"/>
  <c r="EP165" i="2" s="1"/>
  <c r="CM502" i="2"/>
  <c r="BL509" i="2"/>
  <c r="AK143" i="2"/>
  <c r="BL510" i="2"/>
  <c r="BH185" i="2"/>
  <c r="BH412" i="2" s="1"/>
  <c r="CG459" i="2"/>
  <c r="AS143" i="2"/>
  <c r="V143" i="2"/>
  <c r="EE216" i="2"/>
  <c r="CJ440" i="2" s="1"/>
  <c r="BG121" i="2"/>
  <c r="BG396" i="2" s="1"/>
  <c r="DS185" i="2"/>
  <c r="EG65" i="2"/>
  <c r="CL433" i="2" s="1"/>
  <c r="EC65" i="2"/>
  <c r="CH433" i="2" s="1"/>
  <c r="DX65" i="2"/>
  <c r="CC433" i="2" s="1"/>
  <c r="DT65" i="2"/>
  <c r="BY433" i="2" s="1"/>
  <c r="CA386" i="2"/>
  <c r="CI65" i="2"/>
  <c r="CI386" i="2" s="1"/>
  <c r="BY507" i="2"/>
  <c r="CR27" i="2"/>
  <c r="H19" i="3" s="1"/>
  <c r="I16" i="4" s="1"/>
  <c r="BY50" i="2"/>
  <c r="BY384" i="2" s="1"/>
  <c r="CG50" i="2"/>
  <c r="CG384" i="2" s="1"/>
  <c r="DD50" i="2"/>
  <c r="BI431" i="2" s="1"/>
  <c r="DI50" i="2"/>
  <c r="BN431" i="2" s="1"/>
  <c r="CF431" i="2"/>
  <c r="DE211" i="2"/>
  <c r="BE400" i="2"/>
  <c r="CJ501" i="2"/>
  <c r="BU35" i="2"/>
  <c r="BV35" i="2" s="1"/>
  <c r="CK459" i="2"/>
  <c r="E19" i="3"/>
  <c r="G16" i="4" s="1"/>
  <c r="CB459" i="2"/>
  <c r="DO116" i="2"/>
  <c r="BB513" i="2"/>
  <c r="DE35" i="2"/>
  <c r="M26" i="6" s="1"/>
  <c r="BR507" i="2"/>
  <c r="BN507" i="2"/>
  <c r="AZ507" i="2"/>
  <c r="AV507" i="2"/>
  <c r="CF501" i="2"/>
  <c r="T228" i="2"/>
  <c r="W14" i="4"/>
  <c r="FE88" i="2"/>
  <c r="FE91" i="2" s="1"/>
  <c r="BP513" i="2"/>
  <c r="DX216" i="2"/>
  <c r="CC440" i="2" s="1"/>
  <c r="EC216" i="2"/>
  <c r="CH440" i="2" s="1"/>
  <c r="AY503" i="2"/>
  <c r="CM503" i="2"/>
  <c r="FE136" i="2"/>
  <c r="FE40" i="2"/>
  <c r="FE127" i="2"/>
  <c r="DA119" i="2"/>
  <c r="DA121" i="2" s="1"/>
  <c r="BF443" i="2" s="1"/>
  <c r="FE112" i="2"/>
  <c r="CI503" i="2"/>
  <c r="BI509" i="2"/>
  <c r="BQ510" i="2"/>
  <c r="BQ509" i="2"/>
  <c r="BT513" i="2"/>
  <c r="BA509" i="2"/>
  <c r="AC185" i="2"/>
  <c r="BO459" i="2"/>
  <c r="BS459" i="2"/>
  <c r="EF65" i="2"/>
  <c r="CK433" i="2" s="1"/>
  <c r="DW65" i="2"/>
  <c r="CB433" i="2" s="1"/>
  <c r="DS65" i="2"/>
  <c r="BX433" i="2" s="1"/>
  <c r="BY386" i="2"/>
  <c r="CM10" i="2"/>
  <c r="CN10" i="2" s="1"/>
  <c r="ED216" i="2"/>
  <c r="CI440" i="2" s="1"/>
  <c r="EH216" i="2"/>
  <c r="CM440" i="2" s="1"/>
  <c r="DF119" i="2"/>
  <c r="CJ432" i="2"/>
  <c r="BG503" i="2"/>
  <c r="AV503" i="2"/>
  <c r="AZ503" i="2"/>
  <c r="CF503" i="2"/>
  <c r="CJ503" i="2"/>
  <c r="BP505" i="2"/>
  <c r="AF228" i="2"/>
  <c r="X228" i="2"/>
  <c r="CL508" i="2"/>
  <c r="CD508" i="2"/>
  <c r="BR508" i="2"/>
  <c r="BN508" i="2"/>
  <c r="CN508" i="2"/>
  <c r="CJ508" i="2"/>
  <c r="CB508" i="2"/>
  <c r="BX508" i="2"/>
  <c r="BL508" i="2"/>
  <c r="BH508" i="2"/>
  <c r="AZ508" i="2"/>
  <c r="FE157" i="2"/>
  <c r="W135" i="3" s="1"/>
  <c r="FE25" i="2"/>
  <c r="BK50" i="2"/>
  <c r="BK384" i="2" s="1"/>
  <c r="BR50" i="2"/>
  <c r="BR384" i="2" s="1"/>
  <c r="DM50" i="2"/>
  <c r="BR431" i="2" s="1"/>
  <c r="BW431" i="2"/>
  <c r="CA431" i="2"/>
  <c r="CJ431" i="2"/>
  <c r="CG91" i="2"/>
  <c r="CG391" i="2" s="1"/>
  <c r="AL165" i="2"/>
  <c r="AL201" i="2" s="1"/>
  <c r="AT165" i="2"/>
  <c r="AT201" i="2" s="1"/>
  <c r="J347" i="2"/>
  <c r="FE210" i="2"/>
  <c r="X143" i="6" s="1"/>
  <c r="BA50" i="2"/>
  <c r="BA384" i="2" s="1"/>
  <c r="BS50" i="2"/>
  <c r="BS384" i="2" s="1"/>
  <c r="FE31" i="2"/>
  <c r="FE36" i="2"/>
  <c r="W6" i="4"/>
  <c r="FE113" i="2"/>
  <c r="FE39" i="2"/>
  <c r="CH65" i="2"/>
  <c r="CH386" i="2" s="1"/>
  <c r="DT216" i="2"/>
  <c r="BY440" i="2" s="1"/>
  <c r="EG216" i="2"/>
  <c r="CL440" i="2" s="1"/>
  <c r="BC503" i="2"/>
  <c r="BE509" i="2"/>
  <c r="CC509" i="2"/>
  <c r="CG509" i="2"/>
  <c r="BU510" i="2"/>
  <c r="DD35" i="2"/>
  <c r="L26" i="6" s="1"/>
  <c r="BK503" i="2"/>
  <c r="BO503" i="2"/>
  <c r="BS503" i="2"/>
  <c r="BX503" i="2"/>
  <c r="CB503" i="2"/>
  <c r="BX507" i="2"/>
  <c r="FE163" i="2"/>
  <c r="FE22" i="2"/>
  <c r="AV510" i="2"/>
  <c r="BV503" i="2"/>
  <c r="CH503" i="2"/>
  <c r="BG391" i="2"/>
  <c r="BP391" i="2"/>
  <c r="BX91" i="2"/>
  <c r="BX391" i="2" s="1"/>
  <c r="CF91" i="2"/>
  <c r="CF391" i="2" s="1"/>
  <c r="I347" i="2"/>
  <c r="FE62" i="2"/>
  <c r="W9" i="4"/>
  <c r="FE64" i="2"/>
  <c r="R228" i="2"/>
  <c r="CQ40" i="2"/>
  <c r="CU26" i="2"/>
  <c r="L18" i="3" s="1"/>
  <c r="L17" i="4" s="1"/>
  <c r="CW36" i="2"/>
  <c r="N27" i="3" s="1"/>
  <c r="N12" i="4" s="1"/>
  <c r="BS509" i="2"/>
  <c r="CZ10" i="2"/>
  <c r="BX79" i="2"/>
  <c r="BK509" i="2"/>
  <c r="BE164" i="2"/>
  <c r="BE404" i="2" s="1"/>
  <c r="BN505" i="2"/>
  <c r="AX507" i="2"/>
  <c r="BC509" i="2"/>
  <c r="L335" i="2"/>
  <c r="AX50" i="2"/>
  <c r="AX384" i="2" s="1"/>
  <c r="DD211" i="2"/>
  <c r="CU36" i="2"/>
  <c r="L27" i="3" s="1"/>
  <c r="L12" i="4" s="1"/>
  <c r="CD510" i="2"/>
  <c r="BZ510" i="2"/>
  <c r="BZ509" i="2"/>
  <c r="BO434" i="2"/>
  <c r="BS434" i="2"/>
  <c r="M335" i="2"/>
  <c r="AB143" i="2"/>
  <c r="BT459" i="2"/>
  <c r="Q138" i="3"/>
  <c r="Q5" i="4" s="1"/>
  <c r="CW185" i="2"/>
  <c r="BB459" i="2"/>
  <c r="DT185" i="2"/>
  <c r="BY459" i="2"/>
  <c r="EC185" i="2"/>
  <c r="CH459" i="2"/>
  <c r="BZ164" i="2"/>
  <c r="BZ404" i="2" s="1"/>
  <c r="AC164" i="2"/>
  <c r="BW513" i="2"/>
  <c r="AQ165" i="2"/>
  <c r="AQ201" i="2" s="1"/>
  <c r="BC513" i="2"/>
  <c r="AE185" i="2"/>
  <c r="CB185" i="2"/>
  <c r="CB412" i="2" s="1"/>
  <c r="DK185" i="2"/>
  <c r="BP459" i="2"/>
  <c r="CC459" i="2"/>
  <c r="DX185" i="2"/>
  <c r="AY513" i="2"/>
  <c r="BW505" i="2"/>
  <c r="CL507" i="2"/>
  <c r="CC501" i="2"/>
  <c r="W50" i="2"/>
  <c r="BK510" i="2"/>
  <c r="BJ185" i="2"/>
  <c r="BJ412" i="2" s="1"/>
  <c r="W185" i="2"/>
  <c r="BP507" i="2"/>
  <c r="AE50" i="2"/>
  <c r="CA509" i="2"/>
  <c r="EG185" i="2"/>
  <c r="AT228" i="2"/>
  <c r="AL228" i="2"/>
  <c r="CI50" i="2"/>
  <c r="CI384" i="2" s="1"/>
  <c r="BZ503" i="2"/>
  <c r="DB50" i="2"/>
  <c r="BG431" i="2" s="1"/>
  <c r="BY431" i="2"/>
  <c r="ED91" i="2"/>
  <c r="CI438" i="2" s="1"/>
  <c r="T143" i="2"/>
  <c r="BT121" i="2"/>
  <c r="BT396" i="2" s="1"/>
  <c r="EH121" i="2"/>
  <c r="CM443" i="2" s="1"/>
  <c r="BQ50" i="2"/>
  <c r="BQ384" i="2" s="1"/>
  <c r="DF177" i="2"/>
  <c r="R165" i="2"/>
  <c r="R201" i="2" s="1"/>
  <c r="BL211" i="2"/>
  <c r="BA513" i="2"/>
  <c r="BL119" i="2"/>
  <c r="BM119" i="2" s="1"/>
  <c r="CD26" i="2"/>
  <c r="AJ228" i="2"/>
  <c r="AN228" i="2"/>
  <c r="BG508" i="2"/>
  <c r="CF507" i="2"/>
  <c r="CA507" i="2"/>
  <c r="EL143" i="2"/>
  <c r="BJ513" i="2"/>
  <c r="CM509" i="2"/>
  <c r="CL502" i="2"/>
  <c r="DB164" i="2"/>
  <c r="BG451" i="2" s="1"/>
  <c r="DX121" i="2"/>
  <c r="CC443" i="2" s="1"/>
  <c r="BK121" i="2"/>
  <c r="BK396" i="2" s="1"/>
  <c r="CC121" i="2"/>
  <c r="CC396" i="2" s="1"/>
  <c r="DK121" i="2"/>
  <c r="BP443" i="2" s="1"/>
  <c r="EI119" i="2"/>
  <c r="U64" i="6" s="1"/>
  <c r="U65" i="6" s="1"/>
  <c r="BL215" i="2"/>
  <c r="ED121" i="2"/>
  <c r="CI443" i="2" s="1"/>
  <c r="DW79" i="2"/>
  <c r="CB436" i="2" s="1"/>
  <c r="ES143" i="2"/>
  <c r="AY50" i="2"/>
  <c r="AY384" i="2" s="1"/>
  <c r="BJ503" i="2"/>
  <c r="BQ513" i="2"/>
  <c r="CK177" i="2"/>
  <c r="CB513" i="2"/>
  <c r="EH164" i="2"/>
  <c r="CM451" i="2" s="1"/>
  <c r="AX164" i="2"/>
  <c r="AX404" i="2" s="1"/>
  <c r="AH165" i="2"/>
  <c r="AH201" i="2" s="1"/>
  <c r="Z165" i="2"/>
  <c r="Z201" i="2" s="1"/>
  <c r="AM143" i="2"/>
  <c r="BU62" i="2"/>
  <c r="BV62" i="2" s="1"/>
  <c r="CU22" i="2"/>
  <c r="L15" i="3" s="1"/>
  <c r="L10" i="4" s="1"/>
  <c r="DF78" i="2"/>
  <c r="BL78" i="2"/>
  <c r="BM78" i="2" s="1"/>
  <c r="BS510" i="2"/>
  <c r="L281" i="2"/>
  <c r="AP165" i="2"/>
  <c r="AP201" i="2" s="1"/>
  <c r="BF404" i="2"/>
  <c r="DA25" i="2"/>
  <c r="H17" i="6" s="1"/>
  <c r="H9" i="7" s="1"/>
  <c r="CA432" i="2"/>
  <c r="AZ391" i="2"/>
  <c r="I335" i="2"/>
  <c r="BY510" i="2"/>
  <c r="CC161" i="2"/>
  <c r="CC403" i="2" s="1"/>
  <c r="F19" i="3"/>
  <c r="DP185" i="2"/>
  <c r="BO513" i="2"/>
  <c r="EY50" i="2"/>
  <c r="AA121" i="2"/>
  <c r="CB177" i="2"/>
  <c r="BS513" i="2"/>
  <c r="BQ177" i="2"/>
  <c r="E64" i="6"/>
  <c r="CC164" i="2"/>
  <c r="CC404" i="2" s="1"/>
  <c r="BT164" i="2"/>
  <c r="BT404" i="2" s="1"/>
  <c r="CH164" i="2"/>
  <c r="CH404" i="2" s="1"/>
  <c r="BY164" i="2"/>
  <c r="BY404" i="2" s="1"/>
  <c r="BP164" i="2"/>
  <c r="BP404" i="2" s="1"/>
  <c r="BP498" i="2" s="1"/>
  <c r="BX447" i="2"/>
  <c r="CD145" i="2"/>
  <c r="CE145" i="2" s="1"/>
  <c r="BT387" i="2"/>
  <c r="CI432" i="2"/>
  <c r="AX502" i="2"/>
  <c r="DG164" i="2"/>
  <c r="BL451" i="2" s="1"/>
  <c r="BH68" i="2"/>
  <c r="BS121" i="2"/>
  <c r="BS396" i="2" s="1"/>
  <c r="C19" i="3"/>
  <c r="BN513" i="2"/>
  <c r="CF513" i="2"/>
  <c r="AI185" i="2"/>
  <c r="DY121" i="2"/>
  <c r="CD443" i="2" s="1"/>
  <c r="AB165" i="2"/>
  <c r="AB201" i="2" s="1"/>
  <c r="EE65" i="2"/>
  <c r="CJ433" i="2" s="1"/>
  <c r="DR65" i="2"/>
  <c r="BW433" i="2" s="1"/>
  <c r="CF65" i="2"/>
  <c r="CF386" i="2" s="1"/>
  <c r="BW386" i="2"/>
  <c r="BA510" i="2"/>
  <c r="BB502" i="2"/>
  <c r="BW502" i="2"/>
  <c r="BJ509" i="2"/>
  <c r="BV510" i="2"/>
  <c r="CD509" i="2"/>
  <c r="BW507" i="2"/>
  <c r="AG50" i="2"/>
  <c r="CL509" i="2"/>
  <c r="AW459" i="2"/>
  <c r="AW506" i="2" s="1"/>
  <c r="CR185" i="2"/>
  <c r="BU119" i="2"/>
  <c r="BV119" i="2" s="1"/>
  <c r="S50" i="2"/>
  <c r="BV508" i="2"/>
  <c r="BJ508" i="2"/>
  <c r="BV509" i="2"/>
  <c r="BZ502" i="2"/>
  <c r="AA50" i="2"/>
  <c r="DM116" i="2"/>
  <c r="DD78" i="2"/>
  <c r="L37" i="6" s="1"/>
  <c r="K17" i="7" s="1"/>
  <c r="CS185" i="2"/>
  <c r="AX459" i="2"/>
  <c r="EF91" i="2"/>
  <c r="CK438" i="2" s="1"/>
  <c r="BZ447" i="2"/>
  <c r="AR143" i="2"/>
  <c r="CW24" i="2"/>
  <c r="N17" i="3" s="1"/>
  <c r="BC119" i="2"/>
  <c r="BD119" i="2" s="1"/>
  <c r="DW121" i="2"/>
  <c r="CB443" i="2" s="1"/>
  <c r="CS215" i="2"/>
  <c r="CV26" i="2"/>
  <c r="M18" i="3" s="1"/>
  <c r="M17" i="4" s="1"/>
  <c r="DQ26" i="2"/>
  <c r="L299" i="2" s="1"/>
  <c r="DZ26" i="2"/>
  <c r="M299" i="2" s="1"/>
  <c r="EI26" i="2"/>
  <c r="DX91" i="2"/>
  <c r="CC438" i="2" s="1"/>
  <c r="CJ65" i="2"/>
  <c r="CJ386" i="2" s="1"/>
  <c r="L105" i="3"/>
  <c r="L14" i="4" s="1"/>
  <c r="BQ79" i="2"/>
  <c r="AX79" i="2"/>
  <c r="BP79" i="2"/>
  <c r="BY79" i="2"/>
  <c r="CG79" i="2"/>
  <c r="DV79" i="2"/>
  <c r="CA436" i="2" s="1"/>
  <c r="EE79" i="2"/>
  <c r="CJ436" i="2" s="1"/>
  <c r="S29" i="7"/>
  <c r="CK510" i="2"/>
  <c r="CG510" i="2"/>
  <c r="BB79" i="2"/>
  <c r="BK79" i="2"/>
  <c r="CC79" i="2"/>
  <c r="DO79" i="2"/>
  <c r="BT436" i="2" s="1"/>
  <c r="DT79" i="2"/>
  <c r="BY436" i="2" s="1"/>
  <c r="DX79" i="2"/>
  <c r="CC436" i="2" s="1"/>
  <c r="EC79" i="2"/>
  <c r="CH436" i="2" s="1"/>
  <c r="EG79" i="2"/>
  <c r="CL436" i="2" s="1"/>
  <c r="BL24" i="2"/>
  <c r="BM24" i="2" s="1"/>
  <c r="CD24" i="2"/>
  <c r="CE24" i="2" s="1"/>
  <c r="DH24" i="2"/>
  <c r="K297" i="2" s="1"/>
  <c r="DZ24" i="2"/>
  <c r="M297" i="2" s="1"/>
  <c r="BC27" i="2"/>
  <c r="BD27" i="2" s="1"/>
  <c r="BU27" i="2"/>
  <c r="BV27" i="2" s="1"/>
  <c r="CS27" i="2"/>
  <c r="J19" i="3" s="1"/>
  <c r="CW27" i="2"/>
  <c r="N19" i="3" s="1"/>
  <c r="N16" i="4" s="1"/>
  <c r="BL27" i="2"/>
  <c r="BM27" i="2" s="1"/>
  <c r="CU27" i="2"/>
  <c r="L19" i="3" s="1"/>
  <c r="L16" i="4" s="1"/>
  <c r="G104" i="6"/>
  <c r="G13" i="7" s="1"/>
  <c r="EC164" i="2"/>
  <c r="CH451" i="2" s="1"/>
  <c r="BG502" i="2"/>
  <c r="CU40" i="2"/>
  <c r="L23" i="3" s="1"/>
  <c r="L3" i="4" s="1"/>
  <c r="DT164" i="2"/>
  <c r="BY451" i="2" s="1"/>
  <c r="BC163" i="2"/>
  <c r="BD163" i="2" s="1"/>
  <c r="CH502" i="2"/>
  <c r="BJ177" i="2"/>
  <c r="CB502" i="2"/>
  <c r="W121" i="2"/>
  <c r="BB507" i="2"/>
  <c r="FD164" i="2"/>
  <c r="CC447" i="2"/>
  <c r="CA149" i="2"/>
  <c r="CA400" i="2" s="1"/>
  <c r="BI400" i="2"/>
  <c r="BH170" i="2"/>
  <c r="BH171" i="2" s="1"/>
  <c r="BH407" i="2" s="1"/>
  <c r="U171" i="2"/>
  <c r="BZ170" i="2"/>
  <c r="BZ171" i="2" s="1"/>
  <c r="BZ407" i="2" s="1"/>
  <c r="BZ501" i="2" s="1"/>
  <c r="AC171" i="2"/>
  <c r="AV501" i="2"/>
  <c r="BQ502" i="2"/>
  <c r="BR447" i="2"/>
  <c r="CI215" i="2"/>
  <c r="CM215" i="2" s="1"/>
  <c r="AG121" i="2"/>
  <c r="CD503" i="2"/>
  <c r="CK509" i="2"/>
  <c r="R16" i="7"/>
  <c r="CJ164" i="2"/>
  <c r="CJ404" i="2" s="1"/>
  <c r="CA164" i="2"/>
  <c r="CA404" i="2" s="1"/>
  <c r="BR164" i="2"/>
  <c r="BR404" i="2" s="1"/>
  <c r="EA164" i="2"/>
  <c r="CF451" i="2" s="1"/>
  <c r="DV164" i="2"/>
  <c r="CA451" i="2" s="1"/>
  <c r="CF164" i="2"/>
  <c r="CF404" i="2" s="1"/>
  <c r="BN164" i="2"/>
  <c r="BN404" i="2" s="1"/>
  <c r="BJ164" i="2"/>
  <c r="BJ404" i="2" s="1"/>
  <c r="BN400" i="2"/>
  <c r="AX387" i="2"/>
  <c r="DB25" i="2"/>
  <c r="FD121" i="2"/>
  <c r="BL26" i="2"/>
  <c r="BE510" i="2"/>
  <c r="ED164" i="2"/>
  <c r="CI451" i="2" s="1"/>
  <c r="DY164" i="2"/>
  <c r="CD451" i="2" s="1"/>
  <c r="CL164" i="2"/>
  <c r="CL404" i="2" s="1"/>
  <c r="CC149" i="2"/>
  <c r="CC400" i="2" s="1"/>
  <c r="L120" i="3"/>
  <c r="L9" i="4" s="1"/>
  <c r="BL447" i="2"/>
  <c r="AN143" i="2"/>
  <c r="AJ143" i="2"/>
  <c r="CW40" i="2"/>
  <c r="N23" i="3" s="1"/>
  <c r="N3" i="4" s="1"/>
  <c r="ED19" i="2"/>
  <c r="CI428" i="2" s="1"/>
  <c r="DY19" i="2"/>
  <c r="CD428" i="2" s="1"/>
  <c r="BY385" i="2"/>
  <c r="CM78" i="2"/>
  <c r="CN78" i="2" s="1"/>
  <c r="AM165" i="2"/>
  <c r="AM201" i="2" s="1"/>
  <c r="CJ513" i="2"/>
  <c r="AZ505" i="2"/>
  <c r="BR505" i="2"/>
  <c r="CA505" i="2"/>
  <c r="BB505" i="2"/>
  <c r="BT505" i="2"/>
  <c r="CC505" i="2"/>
  <c r="CL505" i="2"/>
  <c r="AD228" i="2"/>
  <c r="V228" i="2"/>
  <c r="AV508" i="2"/>
  <c r="CK508" i="2"/>
  <c r="CG508" i="2"/>
  <c r="CC508" i="2"/>
  <c r="BY508" i="2"/>
  <c r="BU508" i="2"/>
  <c r="BA508" i="2"/>
  <c r="CM508" i="2"/>
  <c r="CA508" i="2"/>
  <c r="BW508" i="2"/>
  <c r="BS508" i="2"/>
  <c r="BO508" i="2"/>
  <c r="BK508" i="2"/>
  <c r="BC508" i="2"/>
  <c r="AY508" i="2"/>
  <c r="AQ228" i="2"/>
  <c r="AM228" i="2"/>
  <c r="AH228" i="2"/>
  <c r="L305" i="2"/>
  <c r="L307" i="2"/>
  <c r="L340" i="2" s="1"/>
  <c r="M307" i="2"/>
  <c r="M340" i="2" s="1"/>
  <c r="EI211" i="2"/>
  <c r="U145" i="6" s="1"/>
  <c r="S15" i="7" s="1"/>
  <c r="CZ211" i="2"/>
  <c r="BG513" i="2"/>
  <c r="BK513" i="2"/>
  <c r="BY513" i="2"/>
  <c r="CC513" i="2"/>
  <c r="BI513" i="2"/>
  <c r="CA513" i="2"/>
  <c r="CZ119" i="2"/>
  <c r="CZ121" i="2" s="1"/>
  <c r="BE443" i="2" s="1"/>
  <c r="DD119" i="2"/>
  <c r="DD121" i="2" s="1"/>
  <c r="BI443" i="2" s="1"/>
  <c r="DB119" i="2"/>
  <c r="DB121" i="2" s="1"/>
  <c r="BG443" i="2" s="1"/>
  <c r="CY119" i="2"/>
  <c r="DN121" i="2"/>
  <c r="BS443" i="2" s="1"/>
  <c r="EB121" i="2"/>
  <c r="CG443" i="2" s="1"/>
  <c r="EF121" i="2"/>
  <c r="CK443" i="2" s="1"/>
  <c r="EW121" i="2"/>
  <c r="AY121" i="2"/>
  <c r="AY396" i="2" s="1"/>
  <c r="BJ121" i="2"/>
  <c r="BJ396" i="2" s="1"/>
  <c r="CU215" i="2"/>
  <c r="CJ121" i="2"/>
  <c r="CJ396" i="2" s="1"/>
  <c r="DH215" i="2"/>
  <c r="DO121" i="2"/>
  <c r="BT443" i="2" s="1"/>
  <c r="EX121" i="2"/>
  <c r="I310" i="2"/>
  <c r="L310" i="2"/>
  <c r="M310" i="2"/>
  <c r="J310" i="2"/>
  <c r="BU26" i="2"/>
  <c r="CM26" i="2"/>
  <c r="CD432" i="2"/>
  <c r="CM432" i="2"/>
  <c r="BL35" i="2"/>
  <c r="BM35" i="2" s="1"/>
  <c r="CZ35" i="2"/>
  <c r="G26" i="6" s="1"/>
  <c r="DB35" i="2"/>
  <c r="J26" i="6" s="1"/>
  <c r="DQ35" i="2"/>
  <c r="L306" i="2" s="1"/>
  <c r="AO228" i="2"/>
  <c r="AP228" i="2"/>
  <c r="BZ508" i="2"/>
  <c r="CF508" i="2"/>
  <c r="BT507" i="2"/>
  <c r="BQ121" i="2"/>
  <c r="BQ396" i="2" s="1"/>
  <c r="CG507" i="2"/>
  <c r="CZ177" i="2"/>
  <c r="AV410" i="2"/>
  <c r="BF459" i="2"/>
  <c r="BF506" i="2" s="1"/>
  <c r="ED65" i="2"/>
  <c r="CI433" i="2" s="1"/>
  <c r="DC164" i="2"/>
  <c r="BH451" i="2" s="1"/>
  <c r="AX400" i="2"/>
  <c r="CB149" i="2"/>
  <c r="CB400" i="2" s="1"/>
  <c r="DI116" i="2"/>
  <c r="Q79" i="2"/>
  <c r="AY78" i="2"/>
  <c r="CM185" i="2"/>
  <c r="AG185" i="2"/>
  <c r="CI459" i="2"/>
  <c r="ED185" i="2"/>
  <c r="EH185" i="2"/>
  <c r="CM459" i="2"/>
  <c r="AZ513" i="2"/>
  <c r="DQ119" i="2"/>
  <c r="DJ121" i="2"/>
  <c r="BO443" i="2" s="1"/>
  <c r="CB121" i="2"/>
  <c r="CB396" i="2" s="1"/>
  <c r="CD215" i="2"/>
  <c r="EI215" i="2"/>
  <c r="EC121" i="2"/>
  <c r="CH443" i="2" s="1"/>
  <c r="BC26" i="2"/>
  <c r="F18" i="3"/>
  <c r="C18" i="3"/>
  <c r="CH385" i="2"/>
  <c r="AG161" i="2"/>
  <c r="DK79" i="2"/>
  <c r="BP436" i="2" s="1"/>
  <c r="DH27" i="2"/>
  <c r="K300" i="2" s="1"/>
  <c r="K333" i="2" s="1"/>
  <c r="CG19" i="2"/>
  <c r="CG381" i="2" s="1"/>
  <c r="CL161" i="2"/>
  <c r="CL403" i="2" s="1"/>
  <c r="BQ155" i="2"/>
  <c r="BU155" i="2" s="1"/>
  <c r="BV155" i="2" s="1"/>
  <c r="Y161" i="2"/>
  <c r="CJ447" i="2"/>
  <c r="BW447" i="2"/>
  <c r="BI447" i="2"/>
  <c r="CF149" i="2"/>
  <c r="CF400" i="2" s="1"/>
  <c r="EH65" i="2"/>
  <c r="CM433" i="2" s="1"/>
  <c r="DY65" i="2"/>
  <c r="CD433" i="2" s="1"/>
  <c r="DU65" i="2"/>
  <c r="BZ433" i="2" s="1"/>
  <c r="DL65" i="2"/>
  <c r="BQ433" i="2" s="1"/>
  <c r="CC386" i="2"/>
  <c r="EC28" i="2"/>
  <c r="CH429" i="2" s="1"/>
  <c r="DX28" i="2"/>
  <c r="CC429" i="2" s="1"/>
  <c r="DT28" i="2"/>
  <c r="BY429" i="2" s="1"/>
  <c r="AR165" i="2"/>
  <c r="AR201" i="2" s="1"/>
  <c r="J335" i="2"/>
  <c r="EE91" i="2"/>
  <c r="CJ438" i="2" s="1"/>
  <c r="BE391" i="2"/>
  <c r="CI502" i="2"/>
  <c r="BO502" i="2"/>
  <c r="EG28" i="2"/>
  <c r="CL429" i="2" s="1"/>
  <c r="BN503" i="2"/>
  <c r="BR503" i="2"/>
  <c r="BW79" i="2"/>
  <c r="BR502" i="2"/>
  <c r="AX505" i="2"/>
  <c r="BY505" i="2"/>
  <c r="DS164" i="2"/>
  <c r="BX451" i="2" s="1"/>
  <c r="CI164" i="2"/>
  <c r="CI404" i="2" s="1"/>
  <c r="BQ164" i="2"/>
  <c r="BQ404" i="2" s="1"/>
  <c r="T165" i="2"/>
  <c r="T201" i="2" s="1"/>
  <c r="CM155" i="2"/>
  <c r="CN155" i="2" s="1"/>
  <c r="G120" i="3"/>
  <c r="H9" i="4" s="1"/>
  <c r="CW145" i="2"/>
  <c r="CS136" i="2"/>
  <c r="CW62" i="2"/>
  <c r="N45" i="3" s="1"/>
  <c r="N4" i="4" s="1"/>
  <c r="BL62" i="2"/>
  <c r="BM62" i="2" s="1"/>
  <c r="CQ62" i="2"/>
  <c r="CM36" i="2"/>
  <c r="CT36" i="2"/>
  <c r="K27" i="3" s="1"/>
  <c r="K12" i="4" s="1"/>
  <c r="CC28" i="2"/>
  <c r="CC382" i="2" s="1"/>
  <c r="CM22" i="2"/>
  <c r="CN22" i="2" s="1"/>
  <c r="EF19" i="2"/>
  <c r="CK428" i="2" s="1"/>
  <c r="EB19" i="2"/>
  <c r="CG428" i="2" s="1"/>
  <c r="DS19" i="2"/>
  <c r="BX428" i="2" s="1"/>
  <c r="DB10" i="2"/>
  <c r="BX432" i="2"/>
  <c r="CK432" i="2"/>
  <c r="J105" i="3"/>
  <c r="J14" i="4" s="1"/>
  <c r="BS177" i="2"/>
  <c r="BS179" i="2" s="1"/>
  <c r="AI121" i="2"/>
  <c r="CK119" i="2"/>
  <c r="CM119" i="2" s="1"/>
  <c r="BY121" i="2"/>
  <c r="BY396" i="2" s="1"/>
  <c r="F26" i="6"/>
  <c r="AR228" i="2"/>
  <c r="AZ501" i="2"/>
  <c r="CL510" i="2"/>
  <c r="CH510" i="2"/>
  <c r="BN510" i="2"/>
  <c r="BN432" i="2"/>
  <c r="BR79" i="2"/>
  <c r="AX503" i="2"/>
  <c r="BB503" i="2"/>
  <c r="CL503" i="2"/>
  <c r="DS121" i="2"/>
  <c r="BX443" i="2" s="1"/>
  <c r="F7" i="7"/>
  <c r="BE50" i="2"/>
  <c r="BE384" i="2" s="1"/>
  <c r="EZ50" i="2"/>
  <c r="CT62" i="2"/>
  <c r="K45" i="3" s="1"/>
  <c r="K4" i="4" s="1"/>
  <c r="BH65" i="2"/>
  <c r="BH386" i="2" s="1"/>
  <c r="CQ36" i="2"/>
  <c r="AI164" i="2"/>
  <c r="S164" i="2"/>
  <c r="CS163" i="2"/>
  <c r="J138" i="3" s="1"/>
  <c r="J5" i="4" s="1"/>
  <c r="CW163" i="2"/>
  <c r="N138" i="3" s="1"/>
  <c r="N5" i="4" s="1"/>
  <c r="BB164" i="2"/>
  <c r="BB404" i="2" s="1"/>
  <c r="CI149" i="2"/>
  <c r="CI400" i="2" s="1"/>
  <c r="AG149" i="2"/>
  <c r="CZ31" i="2"/>
  <c r="Z72" i="2"/>
  <c r="CF19" i="2"/>
  <c r="CF381" i="2" s="1"/>
  <c r="BJ145" i="2"/>
  <c r="BS164" i="2"/>
  <c r="BS404" i="2" s="1"/>
  <c r="AA164" i="2"/>
  <c r="AY155" i="2"/>
  <c r="BC155" i="2" s="1"/>
  <c r="BD155" i="2" s="1"/>
  <c r="Q161" i="2"/>
  <c r="J120" i="3"/>
  <c r="J9" i="4" s="1"/>
  <c r="BZ19" i="2"/>
  <c r="AC19" i="2"/>
  <c r="CD127" i="2"/>
  <c r="CE127" i="2" s="1"/>
  <c r="CF161" i="2"/>
  <c r="CM145" i="2"/>
  <c r="CN145" i="2" s="1"/>
  <c r="CW22" i="2"/>
  <c r="N15" i="3" s="1"/>
  <c r="N10" i="4" s="1"/>
  <c r="BU432" i="2"/>
  <c r="BS432" i="2"/>
  <c r="EX50" i="2"/>
  <c r="AY502" i="2"/>
  <c r="BA502" i="2"/>
  <c r="CT127" i="2"/>
  <c r="K103" i="3" s="1"/>
  <c r="K13" i="4" s="1"/>
  <c r="AC149" i="2"/>
  <c r="BQ68" i="2"/>
  <c r="BJ22" i="2"/>
  <c r="BL22" i="2" s="1"/>
  <c r="W28" i="2"/>
  <c r="CY31" i="2"/>
  <c r="BO432" i="2"/>
  <c r="CB432" i="2"/>
  <c r="CZ210" i="2"/>
  <c r="CF185" i="2"/>
  <c r="CF412" i="2" s="1"/>
  <c r="G129" i="6"/>
  <c r="CA385" i="2"/>
  <c r="CG432" i="2"/>
  <c r="BY134" i="2"/>
  <c r="BY398" i="2" s="1"/>
  <c r="AS228" i="2"/>
  <c r="AK228" i="2"/>
  <c r="CJ161" i="2"/>
  <c r="CJ403" i="2" s="1"/>
  <c r="EH28" i="2"/>
  <c r="CM429" i="2" s="1"/>
  <c r="DY28" i="2"/>
  <c r="CD429" i="2" s="1"/>
  <c r="CQ136" i="2"/>
  <c r="BH177" i="2"/>
  <c r="BH179" i="2" s="1"/>
  <c r="S5" i="7"/>
  <c r="DA164" i="2"/>
  <c r="BF451" i="2" s="1"/>
  <c r="CT26" i="2"/>
  <c r="K18" i="3" s="1"/>
  <c r="K17" i="4" s="1"/>
  <c r="CH121" i="2"/>
  <c r="CH396" i="2" s="1"/>
  <c r="AE121" i="2"/>
  <c r="CN459" i="2"/>
  <c r="Y79" i="2"/>
  <c r="E18" i="3"/>
  <c r="G17" i="4" s="1"/>
  <c r="CX185" i="2"/>
  <c r="Q185" i="2"/>
  <c r="DU185" i="2"/>
  <c r="AC161" i="2"/>
  <c r="CM62" i="2"/>
  <c r="CN62" i="2" s="1"/>
  <c r="CA447" i="2"/>
  <c r="BW149" i="2"/>
  <c r="BW400" i="2" s="1"/>
  <c r="AZ400" i="2"/>
  <c r="EI31" i="2"/>
  <c r="DD25" i="2"/>
  <c r="L17" i="6" s="1"/>
  <c r="K9" i="7" s="1"/>
  <c r="CD459" i="2"/>
  <c r="DY185" i="2"/>
  <c r="CD502" i="2"/>
  <c r="BR513" i="2"/>
  <c r="CG502" i="2"/>
  <c r="DZ177" i="2"/>
  <c r="AE149" i="2"/>
  <c r="BD459" i="2"/>
  <c r="Q121" i="2"/>
  <c r="CE459" i="2"/>
  <c r="EW149" i="2"/>
  <c r="CT185" i="2"/>
  <c r="BT79" i="2"/>
  <c r="AV79" i="2"/>
  <c r="EA79" i="2"/>
  <c r="CF436" i="2" s="1"/>
  <c r="DR79" i="2"/>
  <c r="BW436" i="2" s="1"/>
  <c r="DM79" i="2"/>
  <c r="BR436" i="2" s="1"/>
  <c r="BU211" i="2"/>
  <c r="BV211" i="2" s="1"/>
  <c r="L283" i="2" s="1"/>
  <c r="L347" i="2" s="1"/>
  <c r="G79" i="2"/>
  <c r="CA161" i="2"/>
  <c r="CA403" i="2" s="1"/>
  <c r="CR40" i="2"/>
  <c r="H23" i="3" s="1"/>
  <c r="I3" i="4" s="1"/>
  <c r="CF42" i="2"/>
  <c r="BP50" i="2"/>
  <c r="BP384" i="2" s="1"/>
  <c r="CF50" i="2"/>
  <c r="CF384" i="2" s="1"/>
  <c r="DL50" i="2"/>
  <c r="BQ431" i="2" s="1"/>
  <c r="CM431" i="2"/>
  <c r="AZ121" i="2"/>
  <c r="AZ396" i="2" s="1"/>
  <c r="BI121" i="2"/>
  <c r="BI396" i="2" s="1"/>
  <c r="BR121" i="2"/>
  <c r="BR396" i="2" s="1"/>
  <c r="CA121" i="2"/>
  <c r="CA396" i="2" s="1"/>
  <c r="EG121" i="2"/>
  <c r="CL443" i="2" s="1"/>
  <c r="CR24" i="2"/>
  <c r="H17" i="3" s="1"/>
  <c r="DA35" i="2"/>
  <c r="H26" i="6" s="1"/>
  <c r="BT502" i="2"/>
  <c r="BN502" i="2"/>
  <c r="BY502" i="2"/>
  <c r="CC502" i="2"/>
  <c r="CJ502" i="2"/>
  <c r="AZ502" i="2"/>
  <c r="CF502" i="2"/>
  <c r="DH26" i="2"/>
  <c r="K299" i="2" s="1"/>
  <c r="DT121" i="2"/>
  <c r="BY443" i="2" s="1"/>
  <c r="EG134" i="2"/>
  <c r="CL445" i="2" s="1"/>
  <c r="CC134" i="2"/>
  <c r="CC398" i="2" s="1"/>
  <c r="EI177" i="2"/>
  <c r="AC216" i="2"/>
  <c r="DK116" i="2"/>
  <c r="DE78" i="2"/>
  <c r="M37" i="6" s="1"/>
  <c r="L17" i="7" s="1"/>
  <c r="BU78" i="2"/>
  <c r="BV78" i="2" s="1"/>
  <c r="CY78" i="2"/>
  <c r="DQ136" i="2"/>
  <c r="CF79" i="2"/>
  <c r="DL79" i="2"/>
  <c r="BQ436" i="2" s="1"/>
  <c r="DP79" i="2"/>
  <c r="BU436" i="2" s="1"/>
  <c r="DY79" i="2"/>
  <c r="CD436" i="2" s="1"/>
  <c r="CS24" i="2"/>
  <c r="J17" i="3" s="1"/>
  <c r="DQ24" i="2"/>
  <c r="L297" i="2" s="1"/>
  <c r="DQ27" i="2"/>
  <c r="L300" i="2" s="1"/>
  <c r="L333" i="2" s="1"/>
  <c r="EI27" i="2"/>
  <c r="K278" i="2"/>
  <c r="DZ210" i="2"/>
  <c r="CY210" i="2"/>
  <c r="DB210" i="2"/>
  <c r="DD210" i="2"/>
  <c r="DF210" i="2"/>
  <c r="DF68" i="2"/>
  <c r="DF71" i="2" s="1"/>
  <c r="CG65" i="2"/>
  <c r="CG386" i="2" s="1"/>
  <c r="AT72" i="2"/>
  <c r="AP72" i="2"/>
  <c r="X72" i="2"/>
  <c r="AS72" i="2"/>
  <c r="AO72" i="2"/>
  <c r="AK72" i="2"/>
  <c r="AD72" i="2"/>
  <c r="V72" i="2"/>
  <c r="DZ40" i="2"/>
  <c r="M312" i="2" s="1"/>
  <c r="CM40" i="2"/>
  <c r="CN40" i="2" s="1"/>
  <c r="BC40" i="2"/>
  <c r="BD40" i="2" s="1"/>
  <c r="DH36" i="2"/>
  <c r="K309" i="2" s="1"/>
  <c r="CV36" i="2"/>
  <c r="M27" i="3" s="1"/>
  <c r="M12" i="4" s="1"/>
  <c r="EH42" i="2"/>
  <c r="CM430" i="2" s="1"/>
  <c r="ED42" i="2"/>
  <c r="CI430" i="2" s="1"/>
  <c r="DB31" i="2"/>
  <c r="R72" i="2"/>
  <c r="DV28" i="2"/>
  <c r="CA429" i="2" s="1"/>
  <c r="DQ25" i="2"/>
  <c r="L298" i="2" s="1"/>
  <c r="DF25" i="2"/>
  <c r="CZ25" i="2"/>
  <c r="G17" i="6" s="1"/>
  <c r="G18" i="6" s="1"/>
  <c r="EI22" i="2"/>
  <c r="DH22" i="2"/>
  <c r="K295" i="2" s="1"/>
  <c r="BY28" i="2"/>
  <c r="BY382" i="2" s="1"/>
  <c r="BU22" i="2"/>
  <c r="BV22" i="2" s="1"/>
  <c r="CH19" i="2"/>
  <c r="BY19" i="2"/>
  <c r="BY381" i="2" s="1"/>
  <c r="EE19" i="2"/>
  <c r="CJ428" i="2" s="1"/>
  <c r="DV19" i="2"/>
  <c r="DR19" i="2"/>
  <c r="BW428" i="2" s="1"/>
  <c r="DD10" i="2"/>
  <c r="BC127" i="2"/>
  <c r="BD127" i="2" s="1"/>
  <c r="CM127" i="2"/>
  <c r="CN127" i="2" s="1"/>
  <c r="CW127" i="2"/>
  <c r="N103" i="3" s="1"/>
  <c r="N13" i="4" s="1"/>
  <c r="BL127" i="2"/>
  <c r="BM127" i="2" s="1"/>
  <c r="CU127" i="2"/>
  <c r="J104" i="6"/>
  <c r="I13" i="7" s="1"/>
  <c r="L104" i="6"/>
  <c r="K13" i="7" s="1"/>
  <c r="CF385" i="2"/>
  <c r="CL385" i="2"/>
  <c r="BR432" i="2"/>
  <c r="N105" i="3"/>
  <c r="N14" i="4" s="1"/>
  <c r="BO501" i="2"/>
  <c r="AV50" i="2"/>
  <c r="AV384" i="2" s="1"/>
  <c r="AW384" i="2"/>
  <c r="DC211" i="2"/>
  <c r="BJ134" i="2"/>
  <c r="DZ10" i="2"/>
  <c r="CB134" i="2"/>
  <c r="CB398" i="2" s="1"/>
  <c r="AE134" i="2"/>
  <c r="BE502" i="2"/>
  <c r="BL36" i="2"/>
  <c r="DT19" i="2"/>
  <c r="BY428" i="2" s="1"/>
  <c r="CM513" i="2"/>
  <c r="BW432" i="2"/>
  <c r="DF10" i="2"/>
  <c r="BY434" i="2"/>
  <c r="CK68" i="2"/>
  <c r="BA68" i="2"/>
  <c r="EI40" i="2"/>
  <c r="DH40" i="2"/>
  <c r="K312" i="2" s="1"/>
  <c r="DY42" i="2"/>
  <c r="CD430" i="2" s="1"/>
  <c r="DU42" i="2"/>
  <c r="BZ430" i="2" s="1"/>
  <c r="DQ31" i="2"/>
  <c r="CJ42" i="2"/>
  <c r="CJ383" i="2" s="1"/>
  <c r="BJ31" i="2"/>
  <c r="BJ42" i="2" s="1"/>
  <c r="EI25" i="2"/>
  <c r="EA28" i="2"/>
  <c r="CF429" i="2" s="1"/>
  <c r="DZ22" i="2"/>
  <c r="M295" i="2" s="1"/>
  <c r="DS28" i="2"/>
  <c r="BX429" i="2" s="1"/>
  <c r="CS22" i="2"/>
  <c r="J15" i="3" s="1"/>
  <c r="J10" i="4" s="1"/>
  <c r="AY177" i="2"/>
  <c r="AY179" i="2" s="1"/>
  <c r="CI177" i="2"/>
  <c r="CI179" i="2" s="1"/>
  <c r="AZ410" i="2"/>
  <c r="DD177" i="2"/>
  <c r="DD179" i="2" s="1"/>
  <c r="EI210" i="2"/>
  <c r="U143" i="6" s="1"/>
  <c r="BS68" i="2"/>
  <c r="EB65" i="2"/>
  <c r="CG433" i="2" s="1"/>
  <c r="EI62" i="2"/>
  <c r="T45" i="3" s="1"/>
  <c r="T4" i="4" s="1"/>
  <c r="DZ36" i="2"/>
  <c r="M309" i="2" s="1"/>
  <c r="DT42" i="2"/>
  <c r="BY430" i="2" s="1"/>
  <c r="CS36" i="2"/>
  <c r="J27" i="3" s="1"/>
  <c r="J12" i="4" s="1"/>
  <c r="DR28" i="2"/>
  <c r="BW429" i="2" s="1"/>
  <c r="DZ25" i="2"/>
  <c r="M298" i="2" s="1"/>
  <c r="CB19" i="2"/>
  <c r="CB381" i="2" s="1"/>
  <c r="AE19" i="2"/>
  <c r="S9" i="6"/>
  <c r="EA19" i="2"/>
  <c r="CF428" i="2" s="1"/>
  <c r="EI10" i="2"/>
  <c r="U9" i="6" s="1"/>
  <c r="CY10" i="2"/>
  <c r="BS10" i="2"/>
  <c r="BS19" i="2" s="1"/>
  <c r="BC502" i="2"/>
  <c r="BZ191" i="2"/>
  <c r="BZ414" i="2" s="1"/>
  <c r="BZ507" i="2" s="1"/>
  <c r="AC191" i="2"/>
  <c r="BH414" i="2"/>
  <c r="BO507" i="2"/>
  <c r="CH161" i="2"/>
  <c r="CH403" i="2" s="1"/>
  <c r="CF432" i="2"/>
  <c r="DN116" i="2"/>
  <c r="BS161" i="2"/>
  <c r="AA161" i="2"/>
  <c r="CK28" i="2"/>
  <c r="CK382" i="2" s="1"/>
  <c r="AI28" i="2"/>
  <c r="BA28" i="2"/>
  <c r="BA382" i="2" s="1"/>
  <c r="S28" i="2"/>
  <c r="BS79" i="2"/>
  <c r="AA79" i="2"/>
  <c r="BE508" i="2"/>
  <c r="BX502" i="2"/>
  <c r="Y121" i="2"/>
  <c r="AC79" i="2"/>
  <c r="BS502" i="2"/>
  <c r="Y50" i="2"/>
  <c r="Q50" i="2"/>
  <c r="U79" i="2"/>
  <c r="EB79" i="2"/>
  <c r="CG436" i="2" s="1"/>
  <c r="EI78" i="2"/>
  <c r="BB510" i="2"/>
  <c r="AX510" i="2"/>
  <c r="BN79" i="2"/>
  <c r="CA28" i="2"/>
  <c r="CA382" i="2" s="1"/>
  <c r="BW28" i="2"/>
  <c r="BW382" i="2" s="1"/>
  <c r="CF28" i="2"/>
  <c r="CF382" i="2" s="1"/>
  <c r="DP28" i="2"/>
  <c r="BU429" i="2" s="1"/>
  <c r="BZ79" i="2"/>
  <c r="CJ507" i="2"/>
  <c r="BN509" i="2"/>
  <c r="BR509" i="2"/>
  <c r="AX509" i="2"/>
  <c r="CH509" i="2"/>
  <c r="BT28" i="2"/>
  <c r="BT382" i="2" s="1"/>
  <c r="BK28" i="2"/>
  <c r="BK382" i="2" s="1"/>
  <c r="BB28" i="2"/>
  <c r="BB382" i="2" s="1"/>
  <c r="DW19" i="2"/>
  <c r="CB428" i="2" s="1"/>
  <c r="CA19" i="2"/>
  <c r="CA381" i="2" s="1"/>
  <c r="BB121" i="2"/>
  <c r="BB396" i="2" s="1"/>
  <c r="BH79" i="2"/>
  <c r="BB509" i="2"/>
  <c r="CG164" i="2"/>
  <c r="CG404" i="2" s="1"/>
  <c r="CD119" i="2"/>
  <c r="CE119" i="2" s="1"/>
  <c r="DF35" i="2"/>
  <c r="BZ432" i="2"/>
  <c r="DX161" i="2"/>
  <c r="CC450" i="2" s="1"/>
  <c r="DK161" i="2"/>
  <c r="AV391" i="2"/>
  <c r="CS26" i="2"/>
  <c r="J18" i="3" s="1"/>
  <c r="BN501" i="2"/>
  <c r="CG501" i="2"/>
  <c r="CJ510" i="2"/>
  <c r="BX510" i="2"/>
  <c r="AZ510" i="2"/>
  <c r="CF509" i="2"/>
  <c r="CB509" i="2"/>
  <c r="BX509" i="2"/>
  <c r="AZ509" i="2"/>
  <c r="AV509" i="2"/>
  <c r="DS42" i="2"/>
  <c r="BX430" i="2" s="1"/>
  <c r="CC432" i="2"/>
  <c r="BN50" i="2"/>
  <c r="BN384" i="2" s="1"/>
  <c r="BT50" i="2"/>
  <c r="BT384" i="2" s="1"/>
  <c r="CA50" i="2"/>
  <c r="CA384" i="2" s="1"/>
  <c r="CH50" i="2"/>
  <c r="CH384" i="2" s="1"/>
  <c r="DA50" i="2"/>
  <c r="BF431" i="2" s="1"/>
  <c r="DE50" i="2"/>
  <c r="BJ431" i="2" s="1"/>
  <c r="DJ50" i="2"/>
  <c r="BO431" i="2" s="1"/>
  <c r="DN50" i="2"/>
  <c r="BS431" i="2" s="1"/>
  <c r="BX431" i="2"/>
  <c r="CB431" i="2"/>
  <c r="CG431" i="2"/>
  <c r="CK431" i="2"/>
  <c r="CH134" i="2"/>
  <c r="CH398" i="2" s="1"/>
  <c r="EB134" i="2"/>
  <c r="CG445" i="2" s="1"/>
  <c r="BI503" i="2"/>
  <c r="BQ503" i="2"/>
  <c r="BU503" i="2"/>
  <c r="BF50" i="2"/>
  <c r="BF384" i="2" s="1"/>
  <c r="AW391" i="2"/>
  <c r="DA10" i="2"/>
  <c r="H9" i="6" s="1"/>
  <c r="BB387" i="2"/>
  <c r="BU434" i="2"/>
  <c r="AS165" i="2"/>
  <c r="AS201" i="2" s="1"/>
  <c r="CG385" i="2"/>
  <c r="BB50" i="2"/>
  <c r="BB384" i="2" s="1"/>
  <c r="BI50" i="2"/>
  <c r="BI384" i="2" s="1"/>
  <c r="BX50" i="2"/>
  <c r="BX384" i="2" s="1"/>
  <c r="CL50" i="2"/>
  <c r="CL384" i="2" s="1"/>
  <c r="DC50" i="2"/>
  <c r="BH431" i="2" s="1"/>
  <c r="DG50" i="2"/>
  <c r="BL431" i="2" s="1"/>
  <c r="DP50" i="2"/>
  <c r="BU431" i="2" s="1"/>
  <c r="BZ431" i="2"/>
  <c r="CD431" i="2"/>
  <c r="CI431" i="2"/>
  <c r="CL91" i="2"/>
  <c r="CL391" i="2" s="1"/>
  <c r="DU91" i="2"/>
  <c r="BZ438" i="2" s="1"/>
  <c r="DY91" i="2"/>
  <c r="CD438" i="2" s="1"/>
  <c r="EH91" i="2"/>
  <c r="CM438" i="2" s="1"/>
  <c r="DU164" i="2"/>
  <c r="BZ451" i="2" s="1"/>
  <c r="AV164" i="2"/>
  <c r="AV404" i="2" s="1"/>
  <c r="U164" i="2"/>
  <c r="AF165" i="2"/>
  <c r="AF201" i="2" s="1"/>
  <c r="X165" i="2"/>
  <c r="X201" i="2" s="1"/>
  <c r="BN387" i="2"/>
  <c r="BW503" i="2"/>
  <c r="CA503" i="2"/>
  <c r="CJ79" i="2"/>
  <c r="CH91" i="2"/>
  <c r="CH391" i="2" s="1"/>
  <c r="DS91" i="2"/>
  <c r="BX438" i="2" s="1"/>
  <c r="DW91" i="2"/>
  <c r="CB438" i="2" s="1"/>
  <c r="EB91" i="2"/>
  <c r="CG438" i="2" s="1"/>
  <c r="CK59" i="2"/>
  <c r="BA59" i="2"/>
  <c r="AC50" i="2"/>
  <c r="AE161" i="2"/>
  <c r="BJ170" i="2"/>
  <c r="BJ171" i="2" s="1"/>
  <c r="BJ407" i="2" s="1"/>
  <c r="W171" i="2"/>
  <c r="CB170" i="2"/>
  <c r="AE171" i="2"/>
  <c r="BH510" i="2"/>
  <c r="BH509" i="2"/>
  <c r="CN509" i="2"/>
  <c r="AG79" i="2"/>
  <c r="BO447" i="2"/>
  <c r="DQ145" i="2"/>
  <c r="DQ149" i="2" s="1"/>
  <c r="BO457" i="2"/>
  <c r="DQ177" i="2"/>
  <c r="CF510" i="2"/>
  <c r="BP510" i="2"/>
  <c r="BE79" i="2"/>
  <c r="BQ24" i="2"/>
  <c r="BU24" i="2" s="1"/>
  <c r="BV24" i="2" s="1"/>
  <c r="Y28" i="2"/>
  <c r="CI24" i="2"/>
  <c r="CM24" i="2" s="1"/>
  <c r="CN24" i="2" s="1"/>
  <c r="AG28" i="2"/>
  <c r="EB28" i="2"/>
  <c r="CG429" i="2" s="1"/>
  <c r="EI24" i="2"/>
  <c r="M305" i="2"/>
  <c r="CA134" i="2"/>
  <c r="DW134" i="2"/>
  <c r="CB445" i="2" s="1"/>
  <c r="CM88" i="2"/>
  <c r="CN88" i="2" s="1"/>
  <c r="EY65" i="2"/>
  <c r="CN510" i="2"/>
  <c r="BT509" i="2"/>
  <c r="CH507" i="2"/>
  <c r="BP509" i="2"/>
  <c r="AG216" i="2"/>
  <c r="AK165" i="2"/>
  <c r="AK201" i="2" s="1"/>
  <c r="AO165" i="2"/>
  <c r="AO201" i="2" s="1"/>
  <c r="DI65" i="2"/>
  <c r="BN433" i="2" s="1"/>
  <c r="R45" i="3"/>
  <c r="R4" i="4" s="1"/>
  <c r="EW65" i="2"/>
  <c r="S185" i="2"/>
  <c r="AA185" i="2"/>
  <c r="BS185" i="2"/>
  <c r="BS412" i="2" s="1"/>
  <c r="CQ185" i="2"/>
  <c r="AV459" i="2"/>
  <c r="DM185" i="2"/>
  <c r="BR459" i="2"/>
  <c r="DV185" i="2"/>
  <c r="CA459" i="2"/>
  <c r="CF459" i="2"/>
  <c r="EA185" i="2"/>
  <c r="DB155" i="2"/>
  <c r="AX161" i="2"/>
  <c r="BS214" i="2"/>
  <c r="DN214" i="2" s="1"/>
  <c r="BK391" i="2"/>
  <c r="CS40" i="2"/>
  <c r="J23" i="3" s="1"/>
  <c r="J3" i="4" s="1"/>
  <c r="EI36" i="2"/>
  <c r="DQ36" i="2"/>
  <c r="L309" i="2" s="1"/>
  <c r="T72" i="2"/>
  <c r="V165" i="2"/>
  <c r="V201" i="2" s="1"/>
  <c r="AX121" i="2"/>
  <c r="AX396" i="2" s="1"/>
  <c r="DL121" i="2"/>
  <c r="BQ443" i="2" s="1"/>
  <c r="DP121" i="2"/>
  <c r="BU443" i="2" s="1"/>
  <c r="FC121" i="2"/>
  <c r="ES165" i="2"/>
  <c r="ES201" i="2" s="1"/>
  <c r="CM35" i="2"/>
  <c r="CN35" i="2" s="1"/>
  <c r="CK191" i="2"/>
  <c r="CK414" i="2" s="1"/>
  <c r="CK507" i="2" s="1"/>
  <c r="AI191" i="2"/>
  <c r="BS414" i="2"/>
  <c r="BS507" i="2" s="1"/>
  <c r="AD165" i="2"/>
  <c r="AD201" i="2" s="1"/>
  <c r="BT510" i="2"/>
  <c r="BD35" i="2"/>
  <c r="DO161" i="2"/>
  <c r="BT450" i="2" s="1"/>
  <c r="BY501" i="2"/>
  <c r="CL501" i="2"/>
  <c r="CM510" i="2"/>
  <c r="CI510" i="2"/>
  <c r="BO510" i="2"/>
  <c r="BF391" i="2"/>
  <c r="AV513" i="2"/>
  <c r="BI502" i="2"/>
  <c r="BP502" i="2"/>
  <c r="S161" i="2"/>
  <c r="DY161" i="2"/>
  <c r="DU161" i="2"/>
  <c r="AD143" i="2"/>
  <c r="EF134" i="2"/>
  <c r="CK445" i="2" s="1"/>
  <c r="BI387" i="2"/>
  <c r="DN65" i="2"/>
  <c r="BS433" i="2" s="1"/>
  <c r="AX65" i="2"/>
  <c r="AX386" i="2" s="1"/>
  <c r="CI513" i="2"/>
  <c r="BQ508" i="2"/>
  <c r="BP121" i="2"/>
  <c r="BP396" i="2" s="1"/>
  <c r="CC507" i="2"/>
  <c r="ER72" i="2"/>
  <c r="BI508" i="2"/>
  <c r="BP387" i="2"/>
  <c r="EB216" i="2"/>
  <c r="CG440" i="2" s="1"/>
  <c r="EF216" i="2"/>
  <c r="CK440" i="2" s="1"/>
  <c r="BG79" i="2"/>
  <c r="BQ434" i="2"/>
  <c r="CB510" i="2"/>
  <c r="CG134" i="2"/>
  <c r="CG398" i="2" s="1"/>
  <c r="CL65" i="2"/>
  <c r="CL386" i="2" s="1"/>
  <c r="BB508" i="2"/>
  <c r="BP508" i="2"/>
  <c r="ER143" i="2"/>
  <c r="BU502" i="2"/>
  <c r="AV502" i="2"/>
  <c r="CY35" i="2"/>
  <c r="I306" i="2" s="1"/>
  <c r="DZ215" i="2"/>
  <c r="DZ119" i="2"/>
  <c r="CK161" i="2"/>
  <c r="CK403" i="2" s="1"/>
  <c r="DX134" i="2"/>
  <c r="CC445" i="2" s="1"/>
  <c r="EF164" i="2"/>
  <c r="CK451" i="2" s="1"/>
  <c r="EB164" i="2"/>
  <c r="CG451" i="2" s="1"/>
  <c r="DW164" i="2"/>
  <c r="CB451" i="2" s="1"/>
  <c r="AG164" i="2"/>
  <c r="DZ163" i="2"/>
  <c r="DD164" i="2"/>
  <c r="BI451" i="2" s="1"/>
  <c r="CZ164" i="2"/>
  <c r="BE451" i="2" s="1"/>
  <c r="CM163" i="2"/>
  <c r="CN163" i="2" s="1"/>
  <c r="BW164" i="2"/>
  <c r="BW404" i="2" s="1"/>
  <c r="EI155" i="2"/>
  <c r="U102" i="6" s="1"/>
  <c r="U105" i="6" s="1"/>
  <c r="CD155" i="2"/>
  <c r="CE155" i="2" s="1"/>
  <c r="CK447" i="2"/>
  <c r="CG447" i="2"/>
  <c r="CB447" i="2"/>
  <c r="BJ447" i="2"/>
  <c r="BF447" i="2"/>
  <c r="CH149" i="2"/>
  <c r="CH400" i="2" s="1"/>
  <c r="BY149" i="2"/>
  <c r="BY400" i="2" s="1"/>
  <c r="BP400" i="2"/>
  <c r="CD447" i="2"/>
  <c r="CL149" i="2"/>
  <c r="CL400" i="2" s="1"/>
  <c r="BT400" i="2"/>
  <c r="BY447" i="2"/>
  <c r="CJ149" i="2"/>
  <c r="CJ400" i="2" s="1"/>
  <c r="BR400" i="2"/>
  <c r="BG400" i="2"/>
  <c r="DH136" i="2"/>
  <c r="CN502" i="2"/>
  <c r="CL42" i="2"/>
  <c r="CL383" i="2" s="1"/>
  <c r="Y185" i="2"/>
  <c r="BQ185" i="2"/>
  <c r="BQ412" i="2" s="1"/>
  <c r="BQ459" i="2"/>
  <c r="DL185" i="2"/>
  <c r="BL513" i="2"/>
  <c r="EG164" i="2"/>
  <c r="CL451" i="2" s="1"/>
  <c r="DX164" i="2"/>
  <c r="CC451" i="2" s="1"/>
  <c r="N120" i="3"/>
  <c r="BH25" i="2"/>
  <c r="DC25" i="2" s="1"/>
  <c r="K17" i="6" s="1"/>
  <c r="J9" i="7" s="1"/>
  <c r="U28" i="2"/>
  <c r="DH127" i="2"/>
  <c r="M105" i="3"/>
  <c r="M14" i="4" s="1"/>
  <c r="AE216" i="2"/>
  <c r="U5" i="4"/>
  <c r="FC164" i="2"/>
  <c r="CU62" i="2"/>
  <c r="L45" i="3" s="1"/>
  <c r="L4" i="4" s="1"/>
  <c r="CT40" i="2"/>
  <c r="K23" i="3" s="1"/>
  <c r="K3" i="4" s="1"/>
  <c r="BS25" i="2"/>
  <c r="DE25" i="2" s="1"/>
  <c r="AA28" i="2"/>
  <c r="CQ22" i="2"/>
  <c r="AX410" i="2"/>
  <c r="DB177" i="2"/>
  <c r="DB179" i="2" s="1"/>
  <c r="U158" i="6"/>
  <c r="BA79" i="2"/>
  <c r="E26" i="6"/>
  <c r="CK513" i="2"/>
  <c r="DE164" i="2"/>
  <c r="BJ451" i="2" s="1"/>
  <c r="DD155" i="2"/>
  <c r="L102" i="6" s="1"/>
  <c r="CL19" i="2"/>
  <c r="CL381" i="2" s="1"/>
  <c r="DU19" i="2"/>
  <c r="BZ428" i="2" s="1"/>
  <c r="EH19" i="2"/>
  <c r="CM428" i="2" s="1"/>
  <c r="BT434" i="2"/>
  <c r="DC119" i="2"/>
  <c r="DC121" i="2" s="1"/>
  <c r="BH443" i="2" s="1"/>
  <c r="BX513" i="2"/>
  <c r="CJ28" i="2"/>
  <c r="CJ382" i="2" s="1"/>
  <c r="EI35" i="2"/>
  <c r="EF42" i="2"/>
  <c r="CK430" i="2" s="1"/>
  <c r="CJ385" i="2"/>
  <c r="BP432" i="2"/>
  <c r="BT432" i="2"/>
  <c r="BY432" i="2"/>
  <c r="CH432" i="2"/>
  <c r="BE121" i="2"/>
  <c r="BE396" i="2" s="1"/>
  <c r="BN121" i="2"/>
  <c r="BN396" i="2" s="1"/>
  <c r="BW121" i="2"/>
  <c r="BW396" i="2" s="1"/>
  <c r="CF121" i="2"/>
  <c r="CF396" i="2" s="1"/>
  <c r="DI121" i="2"/>
  <c r="BN443" i="2" s="1"/>
  <c r="DM121" i="2"/>
  <c r="BR443" i="2" s="1"/>
  <c r="DV121" i="2"/>
  <c r="CA443" i="2" s="1"/>
  <c r="EA121" i="2"/>
  <c r="CF443" i="2" s="1"/>
  <c r="EE121" i="2"/>
  <c r="CJ443" i="2" s="1"/>
  <c r="DV134" i="2"/>
  <c r="CA445" i="2" s="1"/>
  <c r="EA134" i="2"/>
  <c r="CF445" i="2" s="1"/>
  <c r="BA503" i="2"/>
  <c r="BE503" i="2"/>
  <c r="BY503" i="2"/>
  <c r="CC503" i="2"/>
  <c r="CG503" i="2"/>
  <c r="CK503" i="2"/>
  <c r="BN391" i="2"/>
  <c r="BW91" i="2"/>
  <c r="BW391" i="2" s="1"/>
  <c r="CC91" i="2"/>
  <c r="CC391" i="2" s="1"/>
  <c r="CJ91" i="2"/>
  <c r="CJ391" i="2" s="1"/>
  <c r="DT91" i="2"/>
  <c r="BY438" i="2" s="1"/>
  <c r="EC91" i="2"/>
  <c r="CH438" i="2" s="1"/>
  <c r="EG91" i="2"/>
  <c r="CL438" i="2" s="1"/>
  <c r="BW501" i="2"/>
  <c r="BT501" i="2"/>
  <c r="AY510" i="2"/>
  <c r="BW509" i="2"/>
  <c r="DX42" i="2"/>
  <c r="CC430" i="2" s="1"/>
  <c r="EC42" i="2"/>
  <c r="CH430" i="2" s="1"/>
  <c r="Z143" i="2"/>
  <c r="AH143" i="2"/>
  <c r="BB65" i="2"/>
  <c r="BB386" i="2" s="1"/>
  <c r="DC65" i="2"/>
  <c r="BH433" i="2" s="1"/>
  <c r="AZ79" i="2"/>
  <c r="BI79" i="2"/>
  <c r="CA79" i="2"/>
  <c r="CH79" i="2"/>
  <c r="DS79" i="2"/>
  <c r="BX436" i="2" s="1"/>
  <c r="EF79" i="2"/>
  <c r="CK436" i="2" s="1"/>
  <c r="R17" i="7"/>
  <c r="CL134" i="2"/>
  <c r="CL398" i="2" s="1"/>
  <c r="DQ22" i="2"/>
  <c r="L295" i="2" s="1"/>
  <c r="DQ40" i="2"/>
  <c r="L312" i="2" s="1"/>
  <c r="DQ68" i="2"/>
  <c r="DQ71" i="2" s="1"/>
  <c r="DJ79" i="2"/>
  <c r="BO436" i="2" s="1"/>
  <c r="DN79" i="2"/>
  <c r="BS436" i="2" s="1"/>
  <c r="DQ155" i="2"/>
  <c r="DN161" i="2"/>
  <c r="BS450" i="2" s="1"/>
  <c r="CL79" i="2"/>
  <c r="DU79" i="2"/>
  <c r="BZ436" i="2" s="1"/>
  <c r="EH79" i="2"/>
  <c r="CM436" i="2" s="1"/>
  <c r="BI28" i="2"/>
  <c r="BI382" i="2" s="1"/>
  <c r="CH28" i="2"/>
  <c r="DN28" i="2"/>
  <c r="BS429" i="2" s="1"/>
  <c r="DW28" i="2"/>
  <c r="CB429" i="2" s="1"/>
  <c r="EF28" i="2"/>
  <c r="CK429" i="2" s="1"/>
  <c r="CL28" i="2"/>
  <c r="ED28" i="2"/>
  <c r="K281" i="2"/>
  <c r="DV42" i="2"/>
  <c r="CA430" i="2" s="1"/>
  <c r="EA42" i="2"/>
  <c r="EE42" i="2"/>
  <c r="CJ430" i="2" s="1"/>
  <c r="K307" i="2"/>
  <c r="K340" i="2" s="1"/>
  <c r="BZ386" i="2"/>
  <c r="DV65" i="2"/>
  <c r="CA433" i="2" s="1"/>
  <c r="EA65" i="2"/>
  <c r="CF433" i="2" s="1"/>
  <c r="DZ211" i="2"/>
  <c r="DB211" i="2"/>
  <c r="DF211" i="2"/>
  <c r="CH513" i="2"/>
  <c r="CL513" i="2"/>
  <c r="BH513" i="2"/>
  <c r="BZ513" i="2"/>
  <c r="CI508" i="2"/>
  <c r="EQ143" i="2"/>
  <c r="DR216" i="2"/>
  <c r="BW440" i="2" s="1"/>
  <c r="DV216" i="2"/>
  <c r="CA440" i="2" s="1"/>
  <c r="EA216" i="2"/>
  <c r="CF440" i="2" s="1"/>
  <c r="DU216" i="2"/>
  <c r="BZ440" i="2" s="1"/>
  <c r="DY216" i="2"/>
  <c r="CD440" i="2" s="1"/>
  <c r="J281" i="2"/>
  <c r="CA501" i="2"/>
  <c r="DM161" i="2"/>
  <c r="CJ505" i="2"/>
  <c r="AY170" i="2"/>
  <c r="AY171" i="2" s="1"/>
  <c r="AY407" i="2" s="1"/>
  <c r="AY501" i="2" s="1"/>
  <c r="Q171" i="2"/>
  <c r="BQ170" i="2"/>
  <c r="BQ171" i="2" s="1"/>
  <c r="BQ407" i="2" s="1"/>
  <c r="BQ501" i="2" s="1"/>
  <c r="Y171" i="2"/>
  <c r="CI170" i="2"/>
  <c r="CI171" i="2" s="1"/>
  <c r="CI407" i="2" s="1"/>
  <c r="CI501" i="2" s="1"/>
  <c r="AG171" i="2"/>
  <c r="AX501" i="2"/>
  <c r="FD50" i="2"/>
  <c r="CK134" i="2"/>
  <c r="CK398" i="2" s="1"/>
  <c r="AI134" i="2"/>
  <c r="DR121" i="2"/>
  <c r="BW443" i="2" s="1"/>
  <c r="BW134" i="2"/>
  <c r="BW398" i="2" s="1"/>
  <c r="CF134" i="2"/>
  <c r="CF398" i="2" s="1"/>
  <c r="DR134" i="2"/>
  <c r="BW445" i="2" s="1"/>
  <c r="EE134" i="2"/>
  <c r="CJ445" i="2" s="1"/>
  <c r="BA17" i="2"/>
  <c r="CK17" i="2"/>
  <c r="CK19" i="2" s="1"/>
  <c r="AI19" i="2"/>
  <c r="F75" i="3"/>
  <c r="BA110" i="2"/>
  <c r="BS110" i="2"/>
  <c r="CK110" i="2"/>
  <c r="DA155" i="2"/>
  <c r="DU121" i="2"/>
  <c r="BZ443" i="2" s="1"/>
  <c r="W164" i="2"/>
  <c r="Y164" i="2"/>
  <c r="DZ145" i="2"/>
  <c r="DZ149" i="2" s="1"/>
  <c r="EI163" i="2"/>
  <c r="T138" i="3" s="1"/>
  <c r="AY509" i="2"/>
  <c r="CV24" i="2"/>
  <c r="M17" i="3" s="1"/>
  <c r="AC134" i="2"/>
  <c r="CA502" i="2"/>
  <c r="R138" i="3"/>
  <c r="R5" i="4" s="1"/>
  <c r="EW164" i="2"/>
  <c r="DH163" i="2"/>
  <c r="CQ163" i="2"/>
  <c r="CU163" i="2"/>
  <c r="AZ164" i="2"/>
  <c r="AZ404" i="2" s="1"/>
  <c r="CB163" i="2"/>
  <c r="CV163" i="2" s="1"/>
  <c r="AE164" i="2"/>
  <c r="CZ155" i="2"/>
  <c r="G102" i="6" s="1"/>
  <c r="S120" i="3"/>
  <c r="S9" i="4" s="1"/>
  <c r="EX149" i="2"/>
  <c r="FD149" i="2"/>
  <c r="BH447" i="2"/>
  <c r="BK400" i="2"/>
  <c r="BB400" i="2"/>
  <c r="CK149" i="2"/>
  <c r="CK400" i="2" s="1"/>
  <c r="AI149" i="2"/>
  <c r="EI145" i="2"/>
  <c r="BG447" i="2"/>
  <c r="DH145" i="2"/>
  <c r="DH149" i="2" s="1"/>
  <c r="CU145" i="2"/>
  <c r="AV400" i="2"/>
  <c r="CQ145" i="2"/>
  <c r="CQ149" i="2" s="1"/>
  <c r="BA145" i="2"/>
  <c r="EI136" i="2"/>
  <c r="T110" i="3" s="1"/>
  <c r="T11" i="4" s="1"/>
  <c r="DZ136" i="2"/>
  <c r="CU136" i="2"/>
  <c r="AO143" i="2"/>
  <c r="DI79" i="2"/>
  <c r="BN436" i="2" s="1"/>
  <c r="DQ78" i="2"/>
  <c r="DJ164" i="2"/>
  <c r="BO451" i="2" s="1"/>
  <c r="DQ163" i="2"/>
  <c r="CA510" i="2"/>
  <c r="R37" i="6"/>
  <c r="P17" i="7" s="1"/>
  <c r="Q118" i="3"/>
  <c r="Q8" i="4" s="1"/>
  <c r="W79" i="2"/>
  <c r="AE79" i="2"/>
  <c r="BC24" i="2"/>
  <c r="BD24" i="2" s="1"/>
  <c r="F17" i="3"/>
  <c r="C17" i="3"/>
  <c r="E17" i="3"/>
  <c r="BZ27" i="2"/>
  <c r="CT27" i="2" s="1"/>
  <c r="K19" i="3" s="1"/>
  <c r="K16" i="4" s="1"/>
  <c r="AC28" i="2"/>
  <c r="DZ27" i="2"/>
  <c r="M300" i="2" s="1"/>
  <c r="M333" i="2" s="1"/>
  <c r="DU28" i="2"/>
  <c r="BZ429" i="2" s="1"/>
  <c r="K305" i="2"/>
  <c r="CI161" i="2"/>
  <c r="CI403" i="2" s="1"/>
  <c r="BU163" i="2"/>
  <c r="BV163" i="2" s="1"/>
  <c r="CN513" i="2"/>
  <c r="AI161" i="2"/>
  <c r="Q164" i="2"/>
  <c r="DR164" i="2"/>
  <c r="BW451" i="2" s="1"/>
  <c r="CI509" i="2"/>
  <c r="S79" i="2"/>
  <c r="BW161" i="2"/>
  <c r="DB78" i="2"/>
  <c r="J37" i="6" s="1"/>
  <c r="I17" i="7" s="1"/>
  <c r="AA182" i="2"/>
  <c r="BS182" i="2"/>
  <c r="BS411" i="2" s="1"/>
  <c r="BS505" i="2" s="1"/>
  <c r="CI79" i="2"/>
  <c r="ED79" i="2"/>
  <c r="CI436" i="2" s="1"/>
  <c r="U161" i="2"/>
  <c r="BW510" i="2"/>
  <c r="AI216" i="2"/>
  <c r="CJ459" i="2"/>
  <c r="BW459" i="2"/>
  <c r="DI185" i="2"/>
  <c r="AV387" i="2"/>
  <c r="CZ68" i="2"/>
  <c r="DP65" i="2"/>
  <c r="DD31" i="2"/>
  <c r="AV28" i="2"/>
  <c r="AV382" i="2" s="1"/>
  <c r="AX28" i="2"/>
  <c r="AX382" i="2" s="1"/>
  <c r="AY22" i="2"/>
  <c r="CT22" i="2" s="1"/>
  <c r="K15" i="3" s="1"/>
  <c r="K10" i="4" s="1"/>
  <c r="BJ502" i="2"/>
  <c r="BG510" i="2"/>
  <c r="BG509" i="2"/>
  <c r="CK502" i="2"/>
  <c r="BK502" i="2"/>
  <c r="AY164" i="2"/>
  <c r="AY404" i="2" s="1"/>
  <c r="M281" i="2"/>
  <c r="BE513" i="2"/>
  <c r="CY177" i="2"/>
  <c r="AZ459" i="2"/>
  <c r="BA215" i="2"/>
  <c r="S121" i="2"/>
  <c r="BR28" i="2"/>
  <c r="BR382" i="2" s="1"/>
  <c r="BX19" i="2"/>
  <c r="BX381" i="2" s="1"/>
  <c r="CC385" i="2"/>
  <c r="CL432" i="2"/>
  <c r="BT161" i="2"/>
  <c r="CL447" i="2"/>
  <c r="EG42" i="2"/>
  <c r="CL430" i="2" s="1"/>
  <c r="DV161" i="2"/>
  <c r="EA161" i="2"/>
  <c r="FD28" i="2"/>
  <c r="CJ134" i="2"/>
  <c r="CJ398" i="2" s="1"/>
  <c r="BP65" i="2"/>
  <c r="BP386" i="2" s="1"/>
  <c r="BG65" i="2"/>
  <c r="BG386" i="2" s="1"/>
  <c r="AQ72" i="2"/>
  <c r="AM72" i="2"/>
  <c r="AH72" i="2"/>
  <c r="BI65" i="2"/>
  <c r="BI386" i="2" s="1"/>
  <c r="BR65" i="2"/>
  <c r="BR386" i="2" s="1"/>
  <c r="P228" i="2"/>
  <c r="Z228" i="2"/>
  <c r="BY161" i="2"/>
  <c r="BY403" i="2" s="1"/>
  <c r="BR161" i="2"/>
  <c r="DW161" i="2"/>
  <c r="DJ161" i="2"/>
  <c r="BT508" i="2"/>
  <c r="CH508" i="2"/>
  <c r="AX508" i="2"/>
  <c r="BO509" i="2"/>
  <c r="DG65" i="2"/>
  <c r="BL433" i="2" s="1"/>
  <c r="AV65" i="2"/>
  <c r="AV386" i="2" s="1"/>
  <c r="AC65" i="2"/>
  <c r="U65" i="2"/>
  <c r="CI19" i="2"/>
  <c r="BW19" i="2"/>
  <c r="BW381" i="2" s="1"/>
  <c r="CC19" i="2"/>
  <c r="CJ19" i="2"/>
  <c r="CR127" i="2"/>
  <c r="H103" i="3" s="1"/>
  <c r="I13" i="4" s="1"/>
  <c r="CR145" i="2"/>
  <c r="DX19" i="2"/>
  <c r="CC428" i="2" s="1"/>
  <c r="EC19" i="2"/>
  <c r="CH428" i="2" s="1"/>
  <c r="EG19" i="2"/>
  <c r="BI391" i="2"/>
  <c r="BY91" i="2"/>
  <c r="BY391" i="2" s="1"/>
  <c r="DR91" i="2"/>
  <c r="BW438" i="2" s="1"/>
  <c r="DV91" i="2"/>
  <c r="CA438" i="2" s="1"/>
  <c r="EA91" i="2"/>
  <c r="CF438" i="2" s="1"/>
  <c r="CR62" i="2"/>
  <c r="BE387" i="2"/>
  <c r="BK387" i="2"/>
  <c r="BR434" i="2"/>
  <c r="AJ165" i="2"/>
  <c r="AJ201" i="2" s="1"/>
  <c r="AN165" i="2"/>
  <c r="AN201" i="2" s="1"/>
  <c r="BW385" i="2"/>
  <c r="BQ432" i="2"/>
  <c r="BO391" i="2"/>
  <c r="AZ50" i="2"/>
  <c r="AZ384" i="2" s="1"/>
  <c r="BG50" i="2"/>
  <c r="BG384" i="2" s="1"/>
  <c r="BO50" i="2"/>
  <c r="BO384" i="2" s="1"/>
  <c r="BW50" i="2"/>
  <c r="BW384" i="2" s="1"/>
  <c r="CC50" i="2"/>
  <c r="CC384" i="2" s="1"/>
  <c r="CJ50" i="2"/>
  <c r="CJ384" i="2" s="1"/>
  <c r="BK431" i="2"/>
  <c r="DK50" i="2"/>
  <c r="BP431" i="2" s="1"/>
  <c r="DO50" i="2"/>
  <c r="BT431" i="2" s="1"/>
  <c r="CC431" i="2"/>
  <c r="CH431" i="2"/>
  <c r="CL431" i="2"/>
  <c r="AX391" i="2"/>
  <c r="DW42" i="2"/>
  <c r="CB430" i="2" s="1"/>
  <c r="EB42" i="2"/>
  <c r="CG430" i="2" s="1"/>
  <c r="AF143" i="2"/>
  <c r="AP143" i="2"/>
  <c r="AT143" i="2"/>
  <c r="BT65" i="2"/>
  <c r="BT386" i="2" s="1"/>
  <c r="AB72" i="2"/>
  <c r="AJ72" i="2"/>
  <c r="AN72" i="2"/>
  <c r="AR72" i="2"/>
  <c r="ES72" i="2"/>
  <c r="AW404" i="2"/>
  <c r="EM72" i="2"/>
  <c r="BC62" i="2"/>
  <c r="BD62" i="2" s="1"/>
  <c r="BH121" i="2"/>
  <c r="BH396" i="2" s="1"/>
  <c r="U121" i="2"/>
  <c r="BZ121" i="2"/>
  <c r="BZ396" i="2" s="1"/>
  <c r="AC121" i="2"/>
  <c r="AV121" i="2"/>
  <c r="AV396" i="2" s="1"/>
  <c r="CI134" i="2"/>
  <c r="CI398" i="2" s="1"/>
  <c r="AG134" i="2"/>
  <c r="BS111" i="2"/>
  <c r="CK111" i="2"/>
  <c r="CM111" i="2" s="1"/>
  <c r="CN111" i="2" s="1"/>
  <c r="CR22" i="2"/>
  <c r="DA31" i="2"/>
  <c r="BZ83" i="2"/>
  <c r="BJ93" i="2"/>
  <c r="CB93" i="2"/>
  <c r="N62" i="3"/>
  <c r="BB391" i="2"/>
  <c r="BQ17" i="2"/>
  <c r="DA210" i="2"/>
  <c r="CK65" i="2"/>
  <c r="CK386" i="2" s="1"/>
  <c r="F14" i="7"/>
  <c r="BF387" i="2"/>
  <c r="DA68" i="2"/>
  <c r="DA71" i="2" s="1"/>
  <c r="H105" i="3"/>
  <c r="I14" i="4" s="1"/>
  <c r="DA78" i="2"/>
  <c r="H37" i="6" s="1"/>
  <c r="H17" i="7" s="1"/>
  <c r="BO79" i="2"/>
  <c r="BH50" i="2"/>
  <c r="BH384" i="2" s="1"/>
  <c r="U50" i="2"/>
  <c r="CK50" i="2"/>
  <c r="CK384" i="2" s="1"/>
  <c r="AI50" i="2"/>
  <c r="R36" i="3"/>
  <c r="EW50" i="2"/>
  <c r="FC50" i="2"/>
  <c r="BQ88" i="2"/>
  <c r="CB88" i="2"/>
  <c r="CA91" i="2"/>
  <c r="CA391" i="2" s="1"/>
  <c r="S64" i="3"/>
  <c r="S7" i="4" s="1"/>
  <c r="AY39" i="2"/>
  <c r="BQ39" i="2"/>
  <c r="CI39" i="2"/>
  <c r="X143" i="2"/>
  <c r="AL143" i="2"/>
  <c r="AY64" i="2"/>
  <c r="AY65" i="2" s="1"/>
  <c r="AY386" i="2" s="1"/>
  <c r="Q65" i="2"/>
  <c r="CI64" i="2"/>
  <c r="CM64" i="2" s="1"/>
  <c r="CN64" i="2" s="1"/>
  <c r="AG65" i="2"/>
  <c r="Q47" i="3"/>
  <c r="Q29" i="4" s="1"/>
  <c r="T29" i="4"/>
  <c r="FD65" i="2"/>
  <c r="S65" i="2"/>
  <c r="AI65" i="2"/>
  <c r="BA210" i="2"/>
  <c r="CG434" i="2"/>
  <c r="CY68" i="2"/>
  <c r="CY71" i="2" s="1"/>
  <c r="DB68" i="2"/>
  <c r="CH387" i="2"/>
  <c r="CH481" i="2" s="1"/>
  <c r="BR387" i="2"/>
  <c r="DD68" i="2"/>
  <c r="AY68" i="2"/>
  <c r="AY71" i="2" s="1"/>
  <c r="U4" i="4"/>
  <c r="FC65" i="2"/>
  <c r="DQ62" i="2"/>
  <c r="DH62" i="2"/>
  <c r="AL72" i="2"/>
  <c r="AF72" i="2"/>
  <c r="P72" i="2"/>
  <c r="EX164" i="2"/>
  <c r="BT391" i="2"/>
  <c r="DJ116" i="2"/>
  <c r="AE182" i="2"/>
  <c r="CB182" i="2"/>
  <c r="CB411" i="2" s="1"/>
  <c r="CB505" i="2" s="1"/>
  <c r="BJ161" i="2"/>
  <c r="W161" i="2"/>
  <c r="EE28" i="2"/>
  <c r="CJ429" i="2" s="1"/>
  <c r="DI28" i="2"/>
  <c r="BN429" i="2" s="1"/>
  <c r="EX28" i="2"/>
  <c r="CB27" i="2"/>
  <c r="CV27" i="2" s="1"/>
  <c r="M19" i="3" s="1"/>
  <c r="M16" i="4" s="1"/>
  <c r="AE28" i="2"/>
  <c r="CH42" i="2"/>
  <c r="CH383" i="2" s="1"/>
  <c r="EY164" i="2"/>
  <c r="AV161" i="2"/>
  <c r="DL28" i="2"/>
  <c r="BQ429" i="2" s="1"/>
  <c r="BA170" i="2"/>
  <c r="BA171" i="2" s="1"/>
  <c r="BA407" i="2" s="1"/>
  <c r="BA501" i="2" s="1"/>
  <c r="S171" i="2"/>
  <c r="BS170" i="2"/>
  <c r="BS171" i="2" s="1"/>
  <c r="BS407" i="2" s="1"/>
  <c r="BS501" i="2" s="1"/>
  <c r="AA171" i="2"/>
  <c r="FA50" i="2"/>
  <c r="FL50" i="2" s="1"/>
  <c r="M120" i="3"/>
  <c r="M9" i="4" s="1"/>
  <c r="BE161" i="2"/>
  <c r="CW136" i="2"/>
  <c r="BN434" i="2"/>
  <c r="DO65" i="2"/>
  <c r="BT433" i="2" s="1"/>
  <c r="CY25" i="2"/>
  <c r="I298" i="2" s="1"/>
  <c r="R15" i="3"/>
  <c r="DM28" i="2"/>
  <c r="BR429" i="2" s="1"/>
  <c r="BN28" i="2"/>
  <c r="BN382" i="2" s="1"/>
  <c r="BE28" i="2"/>
  <c r="BE382" i="2" s="1"/>
  <c r="U14" i="4"/>
  <c r="S134" i="6"/>
  <c r="DZ62" i="2"/>
  <c r="BN65" i="2"/>
  <c r="BN386" i="2" s="1"/>
  <c r="BR510" i="2"/>
  <c r="EU201" i="2"/>
  <c r="ER165" i="2"/>
  <c r="ER201" i="2" s="1"/>
  <c r="BS65" i="2"/>
  <c r="BS386" i="2" s="1"/>
  <c r="R8" i="4"/>
  <c r="BX501" i="2"/>
  <c r="BG161" i="2"/>
  <c r="BG403" i="2" s="1"/>
  <c r="E57" i="3"/>
  <c r="EK143" i="2"/>
  <c r="EO143" i="2"/>
  <c r="AW387" i="2"/>
  <c r="AZ387" i="2"/>
  <c r="BP434" i="2"/>
  <c r="U9" i="4"/>
  <c r="BG28" i="2"/>
  <c r="DJ28" i="2"/>
  <c r="BO429" i="2" s="1"/>
  <c r="EM165" i="2"/>
  <c r="EM201" i="2" s="1"/>
  <c r="BB501" i="2"/>
  <c r="BP501" i="2"/>
  <c r="BL502" i="2"/>
  <c r="J278" i="2"/>
  <c r="BV502" i="2"/>
  <c r="BH502" i="2"/>
  <c r="CY155" i="2"/>
  <c r="BU127" i="2"/>
  <c r="BV127" i="2" s="1"/>
  <c r="AE65" i="2"/>
  <c r="CB62" i="2"/>
  <c r="CB65" i="2" s="1"/>
  <c r="S33" i="6"/>
  <c r="Q7" i="7" s="1"/>
  <c r="R102" i="6"/>
  <c r="P20" i="7" s="1"/>
  <c r="M283" i="2"/>
  <c r="M347" i="2" s="1"/>
  <c r="DA211" i="2"/>
  <c r="BP28" i="2"/>
  <c r="BQ414" i="2"/>
  <c r="BQ507" i="2" s="1"/>
  <c r="ET79" i="2"/>
  <c r="DQ10" i="2"/>
  <c r="CS62" i="2"/>
  <c r="J45" i="3" s="1"/>
  <c r="J4" i="4" s="1"/>
  <c r="AZ161" i="2"/>
  <c r="Q6" i="7"/>
  <c r="BQ65" i="2"/>
  <c r="BQ386" i="2" s="1"/>
  <c r="Y65" i="2"/>
  <c r="CW128" i="2"/>
  <c r="N101" i="3" s="1"/>
  <c r="CQ128" i="2"/>
  <c r="ED161" i="2"/>
  <c r="AG19" i="2"/>
  <c r="EW161" i="2"/>
  <c r="EX65" i="2"/>
  <c r="F8" i="7"/>
  <c r="Q20" i="7"/>
  <c r="EE161" i="2"/>
  <c r="DR161" i="2"/>
  <c r="DM65" i="2"/>
  <c r="BR433" i="2" s="1"/>
  <c r="BE65" i="2"/>
  <c r="BE386" i="2" s="1"/>
  <c r="R3" i="4"/>
  <c r="DO28" i="2"/>
  <c r="DK28" i="2"/>
  <c r="AZ28" i="2"/>
  <c r="R13" i="4"/>
  <c r="BP161" i="2"/>
  <c r="BP403" i="2" s="1"/>
  <c r="G3" i="4"/>
  <c r="G4" i="4"/>
  <c r="G11" i="4"/>
  <c r="G9" i="4"/>
  <c r="T14" i="4"/>
  <c r="BH182" i="2"/>
  <c r="BH411" i="2" s="1"/>
  <c r="DC111" i="2"/>
  <c r="DC116" i="2" s="1"/>
  <c r="EH161" i="2"/>
  <c r="CM450" i="2" s="1"/>
  <c r="S11" i="4"/>
  <c r="S6" i="7"/>
  <c r="DF65" i="2"/>
  <c r="BK433" i="2" s="1"/>
  <c r="DB65" i="2"/>
  <c r="BG433" i="2" s="1"/>
  <c r="BK65" i="2"/>
  <c r="AA65" i="2"/>
  <c r="S13" i="4"/>
  <c r="DC35" i="2"/>
  <c r="K26" i="6" s="1"/>
  <c r="BO387" i="2"/>
  <c r="CQ214" i="2"/>
  <c r="CQ216" i="2" s="1"/>
  <c r="EZ65" i="2"/>
  <c r="FB164" i="2"/>
  <c r="BF65" i="2"/>
  <c r="BF386" i="2" s="1"/>
  <c r="EE164" i="2"/>
  <c r="CJ451" i="2" s="1"/>
  <c r="DZ155" i="2"/>
  <c r="BK161" i="2"/>
  <c r="BK403" i="2" s="1"/>
  <c r="CH447" i="2"/>
  <c r="BK447" i="2"/>
  <c r="CS145" i="2"/>
  <c r="DK65" i="2"/>
  <c r="BP433" i="2" s="1"/>
  <c r="AZ65" i="2"/>
  <c r="AZ386" i="2" s="1"/>
  <c r="CH501" i="2"/>
  <c r="AB228" i="2"/>
  <c r="AW385" i="2"/>
  <c r="CS64" i="2"/>
  <c r="J47" i="3" s="1"/>
  <c r="CR64" i="2"/>
  <c r="H47" i="3" s="1"/>
  <c r="I29" i="4" s="1"/>
  <c r="DQ64" i="2"/>
  <c r="F57" i="3"/>
  <c r="V4" i="4"/>
  <c r="M13" i="7"/>
  <c r="U21" i="4"/>
  <c r="V18" i="4"/>
  <c r="M20" i="7"/>
  <c r="T21" i="7"/>
  <c r="N131" i="6"/>
  <c r="AB6" i="4"/>
  <c r="F6" i="4"/>
  <c r="U6" i="4"/>
  <c r="BG164" i="2"/>
  <c r="FD161" i="2"/>
  <c r="DF155" i="2"/>
  <c r="DF161" i="2" s="1"/>
  <c r="BB161" i="2"/>
  <c r="FC149" i="2"/>
  <c r="F26" i="4"/>
  <c r="EF161" i="2"/>
  <c r="Q6" i="4"/>
  <c r="EC161" i="2"/>
  <c r="CH450" i="2" s="1"/>
  <c r="DP161" i="2"/>
  <c r="Q18" i="4"/>
  <c r="DZ113" i="2"/>
  <c r="CG513" i="2"/>
  <c r="U11" i="4"/>
  <c r="FC28" i="2"/>
  <c r="EI112" i="2"/>
  <c r="BO164" i="2"/>
  <c r="BO404" i="2" s="1"/>
  <c r="CQ88" i="2"/>
  <c r="BL64" i="2"/>
  <c r="BM64" i="2" s="1"/>
  <c r="EX161" i="2"/>
  <c r="BN161" i="2"/>
  <c r="S4" i="4"/>
  <c r="DD65" i="2"/>
  <c r="BI433" i="2" s="1"/>
  <c r="CZ65" i="2"/>
  <c r="BE433" i="2" s="1"/>
  <c r="S3" i="4"/>
  <c r="R5" i="7"/>
  <c r="EL228" i="2"/>
  <c r="EN228" i="2"/>
  <c r="E22" i="7"/>
  <c r="EY28" i="2"/>
  <c r="BV513" i="2"/>
  <c r="CS127" i="2"/>
  <c r="J103" i="3" s="1"/>
  <c r="J13" i="4" s="1"/>
  <c r="R13" i="7"/>
  <c r="K105" i="3"/>
  <c r="K14" i="4" s="1"/>
  <c r="F13" i="7"/>
  <c r="U5" i="7"/>
  <c r="R8" i="7"/>
  <c r="P4" i="7"/>
  <c r="Q40" i="3"/>
  <c r="U20" i="7"/>
  <c r="U4" i="7"/>
  <c r="T13" i="7"/>
  <c r="F4" i="7"/>
  <c r="T8" i="7"/>
  <c r="DJ65" i="2"/>
  <c r="U24" i="4"/>
  <c r="T17" i="7"/>
  <c r="F17" i="7"/>
  <c r="DI161" i="2"/>
  <c r="Q3" i="4"/>
  <c r="Q9" i="4"/>
  <c r="R24" i="4"/>
  <c r="CK182" i="2"/>
  <c r="CK411" i="2" s="1"/>
  <c r="CK505" i="2" s="1"/>
  <c r="AI182" i="2"/>
  <c r="CS113" i="2"/>
  <c r="J78" i="3" s="1"/>
  <c r="J22" i="4" s="1"/>
  <c r="S22" i="4"/>
  <c r="G22" i="4"/>
  <c r="S21" i="7"/>
  <c r="FA185" i="2"/>
  <c r="EG161" i="2"/>
  <c r="DT161" i="2"/>
  <c r="T6" i="7"/>
  <c r="T4" i="7"/>
  <c r="T16" i="7"/>
  <c r="U13" i="4"/>
  <c r="S13" i="7"/>
  <c r="G13" i="4"/>
  <c r="G19" i="4"/>
  <c r="R14" i="4"/>
  <c r="T5" i="7"/>
  <c r="F5" i="7"/>
  <c r="S17" i="7"/>
  <c r="Q13" i="4"/>
  <c r="V3" i="4"/>
  <c r="F15" i="7"/>
  <c r="BL157" i="2"/>
  <c r="T21" i="4"/>
  <c r="Q21" i="4"/>
  <c r="G21" i="4"/>
  <c r="BA414" i="2"/>
  <c r="BA507" i="2" s="1"/>
  <c r="FL145" i="2"/>
  <c r="FA149" i="2"/>
  <c r="FL149" i="2" s="1"/>
  <c r="DU134" i="2"/>
  <c r="BZ445" i="2" s="1"/>
  <c r="T20" i="7"/>
  <c r="EB161" i="2"/>
  <c r="DS161" i="2"/>
  <c r="R9" i="4"/>
  <c r="R6" i="7"/>
  <c r="R4" i="7"/>
  <c r="U3" i="4"/>
  <c r="EI127" i="2"/>
  <c r="T13" i="4"/>
  <c r="G14" i="4"/>
  <c r="G8" i="4"/>
  <c r="G5" i="4"/>
  <c r="F16" i="7"/>
  <c r="F6" i="7"/>
  <c r="S14" i="4"/>
  <c r="Q5" i="7"/>
  <c r="Q17" i="7"/>
  <c r="DQ127" i="2"/>
  <c r="P16" i="7"/>
  <c r="Q14" i="4"/>
  <c r="P13" i="7"/>
  <c r="V11" i="4"/>
  <c r="U8" i="7"/>
  <c r="U16" i="7"/>
  <c r="U17" i="7"/>
  <c r="Q4" i="4"/>
  <c r="V24" i="4"/>
  <c r="F20" i="7"/>
  <c r="T20" i="4"/>
  <c r="R20" i="4"/>
  <c r="G6" i="4"/>
  <c r="CT157" i="2"/>
  <c r="K135" i="3" s="1"/>
  <c r="K24" i="4" s="1"/>
  <c r="S24" i="4"/>
  <c r="BX386" i="2"/>
  <c r="U18" i="4"/>
  <c r="U20" i="4"/>
  <c r="Q20" i="4"/>
  <c r="R22" i="4"/>
  <c r="EL165" i="2"/>
  <c r="EL201" i="2" s="1"/>
  <c r="R19" i="4"/>
  <c r="G7" i="4"/>
  <c r="V22" i="4"/>
  <c r="V13" i="4"/>
  <c r="R25" i="7"/>
  <c r="F25" i="7"/>
  <c r="S18" i="4"/>
  <c r="G18" i="4"/>
  <c r="V20" i="4"/>
  <c r="S21" i="4"/>
  <c r="Q22" i="4"/>
  <c r="E228" i="2"/>
  <c r="R21" i="7"/>
  <c r="CV79" i="2"/>
  <c r="BU225" i="2"/>
  <c r="S19" i="4"/>
  <c r="R6" i="4"/>
  <c r="R7" i="4"/>
  <c r="R18" i="4"/>
  <c r="CR128" i="2"/>
  <c r="H101" i="3" s="1"/>
  <c r="W20" i="4"/>
  <c r="S20" i="4"/>
  <c r="G20" i="4"/>
  <c r="R21" i="4"/>
  <c r="U22" i="4"/>
  <c r="P21" i="7"/>
  <c r="F21" i="7"/>
  <c r="EM143" i="2"/>
  <c r="Q24" i="4"/>
  <c r="ET171" i="2"/>
  <c r="FE171" i="2"/>
  <c r="S6" i="4"/>
  <c r="DY134" i="2"/>
  <c r="S5" i="4"/>
  <c r="Q21" i="7"/>
  <c r="M8" i="7"/>
  <c r="M6" i="7"/>
  <c r="M15" i="7"/>
  <c r="M4" i="7"/>
  <c r="M25" i="7"/>
  <c r="V6" i="4"/>
  <c r="G24" i="4"/>
  <c r="DB83" i="2"/>
  <c r="DB91" i="2" s="1"/>
  <c r="DQ93" i="2"/>
  <c r="CU109" i="2"/>
  <c r="L75" i="3" s="1"/>
  <c r="DQ109" i="2"/>
  <c r="CS59" i="2"/>
  <c r="CU59" i="2"/>
  <c r="CW88" i="2"/>
  <c r="N64" i="3" s="1"/>
  <c r="N7" i="4" s="1"/>
  <c r="V7" i="4"/>
  <c r="U7" i="4"/>
  <c r="U25" i="7"/>
  <c r="T25" i="7"/>
  <c r="R29" i="4"/>
  <c r="U13" i="7"/>
  <c r="V14" i="4"/>
  <c r="M21" i="7"/>
  <c r="M16" i="7"/>
  <c r="Q15" i="7"/>
  <c r="Q7" i="4"/>
  <c r="P25" i="7"/>
  <c r="G29" i="4"/>
  <c r="H21" i="7"/>
  <c r="U6" i="7"/>
  <c r="M17" i="7"/>
  <c r="U21" i="7"/>
  <c r="DZ127" i="2"/>
  <c r="EH134" i="2"/>
  <c r="CM445" i="2" s="1"/>
  <c r="ED134" i="2"/>
  <c r="CI445" i="2" s="1"/>
  <c r="U73" i="6"/>
  <c r="U9" i="10"/>
  <c r="DS134" i="2"/>
  <c r="BX445" i="2" s="1"/>
  <c r="U13" i="10"/>
  <c r="U11" i="10"/>
  <c r="L8" i="10"/>
  <c r="V13" i="10"/>
  <c r="M5" i="7"/>
  <c r="L12" i="10"/>
  <c r="Q7" i="10"/>
  <c r="U7" i="10"/>
  <c r="V2" i="10"/>
  <c r="U5" i="10"/>
  <c r="P11" i="10"/>
  <c r="R18" i="6"/>
  <c r="H7" i="10"/>
  <c r="M12" i="10"/>
  <c r="M7" i="7"/>
  <c r="I9" i="10"/>
  <c r="DT134" i="2"/>
  <c r="EC134" i="2"/>
  <c r="S105" i="6"/>
  <c r="R11" i="4"/>
  <c r="V7" i="10"/>
  <c r="V9" i="10"/>
  <c r="V5" i="10"/>
  <c r="V11" i="10"/>
  <c r="T105" i="6"/>
  <c r="O105" i="6"/>
  <c r="G10" i="9"/>
  <c r="M10" i="9"/>
  <c r="L7" i="10"/>
  <c r="T9" i="10"/>
  <c r="I25" i="9"/>
  <c r="O25" i="9" s="1"/>
  <c r="T12" i="10"/>
  <c r="R20" i="7"/>
  <c r="I29" i="9"/>
  <c r="O29" i="9" s="1"/>
  <c r="W105" i="6"/>
  <c r="R36" i="9"/>
  <c r="J8" i="10"/>
  <c r="P33" i="9"/>
  <c r="X33" i="9" s="1"/>
  <c r="X34" i="9" s="1"/>
  <c r="L2" i="10"/>
  <c r="M6" i="10"/>
  <c r="N36" i="9"/>
  <c r="X9" i="9"/>
  <c r="W5" i="10" s="1"/>
  <c r="P26" i="9"/>
  <c r="X26" i="9" s="1"/>
  <c r="T11" i="10"/>
  <c r="U10" i="10"/>
  <c r="V105" i="6"/>
  <c r="G12" i="10"/>
  <c r="G10" i="10"/>
  <c r="Q13" i="7"/>
  <c r="S13" i="10"/>
  <c r="S12" i="10"/>
  <c r="S8" i="10"/>
  <c r="S7" i="10"/>
  <c r="Q19" i="4"/>
  <c r="D33" i="9"/>
  <c r="S11" i="10"/>
  <c r="D29" i="9"/>
  <c r="H12" i="10"/>
  <c r="H10" i="9"/>
  <c r="H11" i="10"/>
  <c r="P7" i="7"/>
  <c r="R121" i="3"/>
  <c r="S5" i="10"/>
  <c r="G30" i="9"/>
  <c r="G36" i="9" s="1"/>
  <c r="I21" i="9"/>
  <c r="I30" i="9" s="1"/>
  <c r="T36" i="9"/>
  <c r="W18" i="6"/>
  <c r="I5" i="10"/>
  <c r="I6" i="10"/>
  <c r="J10" i="9"/>
  <c r="I9" i="9"/>
  <c r="I10" i="9" s="1"/>
  <c r="I2" i="10"/>
  <c r="H2" i="10"/>
  <c r="P29" i="9"/>
  <c r="X29" i="9" s="1"/>
  <c r="H8" i="10"/>
  <c r="H13" i="10"/>
  <c r="P25" i="9"/>
  <c r="X25" i="9" s="1"/>
  <c r="S2" i="10"/>
  <c r="M2" i="10"/>
  <c r="M5" i="10"/>
  <c r="M13" i="10"/>
  <c r="S10" i="10"/>
  <c r="V5" i="4"/>
  <c r="S18" i="6"/>
  <c r="U8" i="10"/>
  <c r="U2" i="10"/>
  <c r="U6" i="10"/>
  <c r="U12" i="10"/>
  <c r="D28" i="9"/>
  <c r="S139" i="3"/>
  <c r="R10" i="9"/>
  <c r="Q6" i="10"/>
  <c r="Q5" i="10"/>
  <c r="Q9" i="10"/>
  <c r="T9" i="4"/>
  <c r="N10" i="9"/>
  <c r="P8" i="10"/>
  <c r="T10" i="10"/>
  <c r="T8" i="10"/>
  <c r="T2" i="10"/>
  <c r="M10" i="10"/>
  <c r="M9" i="10"/>
  <c r="F12" i="10"/>
  <c r="F8" i="10"/>
  <c r="L10" i="9"/>
  <c r="K5" i="10"/>
  <c r="K7" i="10"/>
  <c r="I33" i="9"/>
  <c r="I34" i="9" s="1"/>
  <c r="M7" i="10"/>
  <c r="P2" i="10"/>
  <c r="P9" i="10"/>
  <c r="P6" i="10"/>
  <c r="L10" i="10"/>
  <c r="L5" i="10"/>
  <c r="Q13" i="10"/>
  <c r="M11" i="10"/>
  <c r="J7" i="10"/>
  <c r="L9" i="10"/>
  <c r="I28" i="9"/>
  <c r="O28" i="9" s="1"/>
  <c r="Q10" i="9"/>
  <c r="K2" i="10"/>
  <c r="Q2" i="10"/>
  <c r="F7" i="10"/>
  <c r="F5" i="10"/>
  <c r="P5" i="10"/>
  <c r="Q8" i="10"/>
  <c r="Q10" i="10"/>
  <c r="D25" i="9"/>
  <c r="W10" i="9"/>
  <c r="V10" i="10"/>
  <c r="V12" i="10"/>
  <c r="V6" i="10"/>
  <c r="T10" i="9"/>
  <c r="S6" i="10"/>
  <c r="S9" i="10"/>
  <c r="D18" i="9"/>
  <c r="P21" i="9"/>
  <c r="P30" i="9" s="1"/>
  <c r="J36" i="9"/>
  <c r="U36" i="9"/>
  <c r="U38" i="9" s="1"/>
  <c r="U40" i="9" s="1"/>
  <c r="U41" i="9" s="1"/>
  <c r="U42" i="9" s="1"/>
  <c r="Q36" i="9"/>
  <c r="P24" i="9"/>
  <c r="X24" i="9" s="1"/>
  <c r="AY399" i="2"/>
  <c r="K6" i="10"/>
  <c r="F6" i="10"/>
  <c r="K11" i="10"/>
  <c r="E13" i="10"/>
  <c r="K12" i="10"/>
  <c r="K10" i="10"/>
  <c r="I26" i="9"/>
  <c r="O26" i="9" s="1"/>
  <c r="Y14" i="10"/>
  <c r="M30" i="9"/>
  <c r="M36" i="9" s="1"/>
  <c r="G8" i="10"/>
  <c r="G2" i="10"/>
  <c r="G7" i="10"/>
  <c r="G13" i="10"/>
  <c r="I11" i="10"/>
  <c r="G9" i="10"/>
  <c r="E6" i="10"/>
  <c r="T7" i="10"/>
  <c r="K9" i="10"/>
  <c r="E7" i="10"/>
  <c r="E9" i="10"/>
  <c r="E5" i="10"/>
  <c r="T13" i="10"/>
  <c r="F13" i="10"/>
  <c r="F11" i="10"/>
  <c r="E8" i="10"/>
  <c r="E12" i="10"/>
  <c r="E10" i="10"/>
  <c r="F10" i="10"/>
  <c r="E11" i="10"/>
  <c r="P18" i="9"/>
  <c r="X18" i="9" s="1"/>
  <c r="X19" i="9" s="1"/>
  <c r="K19" i="9"/>
  <c r="K36" i="9" s="1"/>
  <c r="K8" i="10"/>
  <c r="G5" i="10"/>
  <c r="G11" i="10"/>
  <c r="I12" i="10"/>
  <c r="F2" i="10"/>
  <c r="F9" i="10"/>
  <c r="T5" i="10"/>
  <c r="T6" i="10"/>
  <c r="K13" i="10"/>
  <c r="H5" i="10"/>
  <c r="L11" i="10"/>
  <c r="J5" i="10"/>
  <c r="L6" i="10"/>
  <c r="BU513" i="2"/>
  <c r="S29" i="4"/>
  <c r="U29" i="4"/>
  <c r="AY182" i="2"/>
  <c r="AY411" i="2" s="1"/>
  <c r="AY505" i="2" s="1"/>
  <c r="Q182" i="2"/>
  <c r="EN143" i="2"/>
  <c r="EY211" i="2"/>
  <c r="EY116" i="2"/>
  <c r="EY121" i="2"/>
  <c r="EN150" i="2"/>
  <c r="Q12" i="10"/>
  <c r="BI161" i="2"/>
  <c r="BI403" i="2" s="1"/>
  <c r="CD22" i="2"/>
  <c r="CE22" i="2" s="1"/>
  <c r="S25" i="7"/>
  <c r="Q25" i="7"/>
  <c r="W65" i="2"/>
  <c r="BZ112" i="2"/>
  <c r="CW113" i="2"/>
  <c r="N78" i="3" s="1"/>
  <c r="N22" i="4" s="1"/>
  <c r="CK170" i="2"/>
  <c r="CK171" i="2" s="1"/>
  <c r="CK407" i="2" s="1"/>
  <c r="CK501" i="2" s="1"/>
  <c r="AI171" i="2"/>
  <c r="EL72" i="2"/>
  <c r="DE65" i="2"/>
  <c r="BJ433" i="2" s="1"/>
  <c r="DA65" i="2"/>
  <c r="BF433" i="2" s="1"/>
  <c r="CO201" i="2"/>
  <c r="CV157" i="2"/>
  <c r="M135" i="3" s="1"/>
  <c r="M24" i="4" s="1"/>
  <c r="DH128" i="2"/>
  <c r="S182" i="2"/>
  <c r="BA182" i="2"/>
  <c r="BA411" i="2" s="1"/>
  <c r="BA505" i="2" s="1"/>
  <c r="BC109" i="2"/>
  <c r="BD109" i="2" s="1"/>
  <c r="CD110" i="2"/>
  <c r="CE110" i="2" s="1"/>
  <c r="F76" i="3"/>
  <c r="CM25" i="2"/>
  <c r="CN25" i="2" s="1"/>
  <c r="CV127" i="2"/>
  <c r="M103" i="3" s="1"/>
  <c r="CL121" i="2"/>
  <c r="D22" i="9"/>
  <c r="P22" i="9"/>
  <c r="X22" i="9" s="1"/>
  <c r="AG182" i="2"/>
  <c r="CI182" i="2"/>
  <c r="CI411" i="2" s="1"/>
  <c r="CI505" i="2" s="1"/>
  <c r="M20" i="4"/>
  <c r="DZ112" i="2"/>
  <c r="DQ112" i="2"/>
  <c r="AG191" i="2"/>
  <c r="EZ121" i="2"/>
  <c r="BU157" i="2"/>
  <c r="AC182" i="2"/>
  <c r="BZ182" i="2"/>
  <c r="BZ411" i="2" s="1"/>
  <c r="BZ505" i="2" s="1"/>
  <c r="FE121" i="2"/>
  <c r="ET121" i="2"/>
  <c r="DQ157" i="2"/>
  <c r="I23" i="9"/>
  <c r="O23" i="9" s="1"/>
  <c r="CU113" i="2"/>
  <c r="L78" i="3" s="1"/>
  <c r="L22" i="4" s="1"/>
  <c r="CT79" i="2"/>
  <c r="BL225" i="2"/>
  <c r="EZ28" i="2"/>
  <c r="BL17" i="2"/>
  <c r="BM17" i="2" s="1"/>
  <c r="CY17" i="2"/>
  <c r="DQ17" i="2"/>
  <c r="CZ182" i="2"/>
  <c r="BE458" i="2" s="1"/>
  <c r="BE505" i="2" s="1"/>
  <c r="I20" i="4"/>
  <c r="FB161" i="2"/>
  <c r="E75" i="3"/>
  <c r="CW112" i="2"/>
  <c r="BC113" i="2"/>
  <c r="BU113" i="2"/>
  <c r="EM228" i="2"/>
  <c r="CM214" i="2"/>
  <c r="CN214" i="2" s="1"/>
  <c r="CS214" i="2"/>
  <c r="ET161" i="2"/>
  <c r="FL19" i="2"/>
  <c r="FA65" i="2"/>
  <c r="FL65" i="2" s="1"/>
  <c r="CM109" i="2"/>
  <c r="CN109" i="2" s="1"/>
  <c r="FE145" i="2"/>
  <c r="W118" i="3" s="1"/>
  <c r="FB149" i="2"/>
  <c r="N303" i="2"/>
  <c r="N314" i="2"/>
  <c r="DD93" i="2"/>
  <c r="L55" i="6" s="1"/>
  <c r="K23" i="7" s="1"/>
  <c r="CS102" i="2"/>
  <c r="DH102" i="2"/>
  <c r="DQ102" i="2"/>
  <c r="DF111" i="2"/>
  <c r="DF116" i="2" s="1"/>
  <c r="DD111" i="2"/>
  <c r="DD116" i="2" s="1"/>
  <c r="DA83" i="2"/>
  <c r="DA91" i="2" s="1"/>
  <c r="L62" i="3"/>
  <c r="J62" i="3"/>
  <c r="DQ59" i="2"/>
  <c r="DH59" i="2"/>
  <c r="EI88" i="2"/>
  <c r="T64" i="3" s="1"/>
  <c r="T66" i="3" s="1"/>
  <c r="DD39" i="2"/>
  <c r="DZ39" i="2"/>
  <c r="M311" i="2" s="1"/>
  <c r="P28" i="9"/>
  <c r="X28" i="9" s="1"/>
  <c r="I8" i="10"/>
  <c r="I10" i="10"/>
  <c r="I13" i="10"/>
  <c r="W36" i="9"/>
  <c r="P10" i="10"/>
  <c r="P7" i="10"/>
  <c r="P12" i="10"/>
  <c r="D21" i="9"/>
  <c r="D26" i="9"/>
  <c r="CD25" i="2"/>
  <c r="BC25" i="2"/>
  <c r="CD513" i="2"/>
  <c r="H19" i="9"/>
  <c r="I18" i="9"/>
  <c r="I19" i="9" s="1"/>
  <c r="L21" i="7"/>
  <c r="FC161" i="2"/>
  <c r="CU128" i="2"/>
  <c r="L101" i="3" s="1"/>
  <c r="L296" i="2"/>
  <c r="CV113" i="2"/>
  <c r="M78" i="3" s="1"/>
  <c r="M22" i="4" s="1"/>
  <c r="BJ414" i="2"/>
  <c r="DQ111" i="2"/>
  <c r="DZ157" i="2"/>
  <c r="I22" i="9"/>
  <c r="O22" i="9" s="1"/>
  <c r="DZ128" i="2"/>
  <c r="CD157" i="2"/>
  <c r="CM157" i="2"/>
  <c r="CQ157" i="2"/>
  <c r="P23" i="9"/>
  <c r="X23" i="9" s="1"/>
  <c r="BX112" i="2"/>
  <c r="CM113" i="2"/>
  <c r="CD113" i="2"/>
  <c r="BL113" i="2"/>
  <c r="CB191" i="2"/>
  <c r="CB414" i="2" s="1"/>
  <c r="CB507" i="2" s="1"/>
  <c r="AE191" i="2"/>
  <c r="H6" i="4"/>
  <c r="DL161" i="2"/>
  <c r="DH157" i="2"/>
  <c r="EI157" i="2"/>
  <c r="T135" i="3" s="1"/>
  <c r="T24" i="4" s="1"/>
  <c r="I24" i="9"/>
  <c r="O24" i="9" s="1"/>
  <c r="BO65" i="2"/>
  <c r="EI128" i="2"/>
  <c r="T101" i="3" s="1"/>
  <c r="DQ128" i="2"/>
  <c r="DQ182" i="2"/>
  <c r="BV458" i="2" s="1"/>
  <c r="EI182" i="2"/>
  <c r="CN458" i="2" s="1"/>
  <c r="L20" i="4"/>
  <c r="CG112" i="2"/>
  <c r="CQ112" i="2"/>
  <c r="G77" i="3" s="1"/>
  <c r="DH112" i="2"/>
  <c r="G21" i="7"/>
  <c r="L308" i="2"/>
  <c r="CT214" i="2"/>
  <c r="EQ228" i="2"/>
  <c r="I308" i="2"/>
  <c r="C55" i="6"/>
  <c r="E23" i="7" s="1"/>
  <c r="CD17" i="2"/>
  <c r="CE17" i="2" s="1"/>
  <c r="F13" i="6"/>
  <c r="C13" i="6"/>
  <c r="E24" i="7" s="1"/>
  <c r="E68" i="3"/>
  <c r="G26" i="4" s="1"/>
  <c r="F68" i="3"/>
  <c r="BL109" i="2"/>
  <c r="BM109" i="2" s="1"/>
  <c r="K21" i="7"/>
  <c r="BK461" i="2"/>
  <c r="BK507" i="2" s="1"/>
  <c r="CW79" i="2"/>
  <c r="ES228" i="2"/>
  <c r="CR214" i="2"/>
  <c r="FL26" i="2"/>
  <c r="FA221" i="2"/>
  <c r="FL221" i="2" s="1"/>
  <c r="FL194" i="2"/>
  <c r="K35" i="3"/>
  <c r="F55" i="6"/>
  <c r="DA93" i="2"/>
  <c r="H55" i="6" s="1"/>
  <c r="H23" i="7" s="1"/>
  <c r="CU102" i="2"/>
  <c r="D23" i="9"/>
  <c r="DB182" i="2"/>
  <c r="BG458" i="2" s="1"/>
  <c r="BG505" i="2" s="1"/>
  <c r="CQ113" i="2"/>
  <c r="EI113" i="2"/>
  <c r="T78" i="3" s="1"/>
  <c r="T22" i="4" s="1"/>
  <c r="DQ113" i="2"/>
  <c r="DH113" i="2"/>
  <c r="EZ149" i="2"/>
  <c r="DF170" i="2"/>
  <c r="DF171" i="2" s="1"/>
  <c r="BK454" i="2" s="1"/>
  <c r="BK501" i="2" s="1"/>
  <c r="DD170" i="2"/>
  <c r="DA170" i="2"/>
  <c r="DZ170" i="2"/>
  <c r="DZ171" i="2" s="1"/>
  <c r="CE454" i="2" s="1"/>
  <c r="CZ83" i="2"/>
  <c r="CZ91" i="2" s="1"/>
  <c r="DF83" i="2"/>
  <c r="DF91" i="2" s="1"/>
  <c r="E55" i="6"/>
  <c r="F23" i="7" s="1"/>
  <c r="CY93" i="2"/>
  <c r="K274" i="2"/>
  <c r="E13" i="6"/>
  <c r="F24" i="7" s="1"/>
  <c r="CR59" i="2"/>
  <c r="J273" i="2"/>
  <c r="CW110" i="2"/>
  <c r="N76" i="3" s="1"/>
  <c r="DH110" i="2"/>
  <c r="BF79" i="2"/>
  <c r="AX434" i="2"/>
  <c r="EN165" i="2"/>
  <c r="EN201" i="2" s="1"/>
  <c r="EZ161" i="2"/>
  <c r="N35" i="3"/>
  <c r="N6" i="4" s="1"/>
  <c r="H35" i="3"/>
  <c r="I6" i="4" s="1"/>
  <c r="CZ111" i="2"/>
  <c r="CZ116" i="2" s="1"/>
  <c r="EI111" i="2"/>
  <c r="T79" i="3" s="1"/>
  <c r="T31" i="4" s="1"/>
  <c r="DF93" i="2"/>
  <c r="DZ93" i="2"/>
  <c r="EI93" i="2"/>
  <c r="CW102" i="2"/>
  <c r="CR109" i="2"/>
  <c r="H75" i="3" s="1"/>
  <c r="CW109" i="2"/>
  <c r="N75" i="3" s="1"/>
  <c r="DH109" i="2"/>
  <c r="DZ109" i="2"/>
  <c r="EI109" i="2"/>
  <c r="FB50" i="2"/>
  <c r="W36" i="3"/>
  <c r="CM225" i="2"/>
  <c r="BC214" i="2"/>
  <c r="DH214" i="2"/>
  <c r="DZ214" i="2"/>
  <c r="EI214" i="2"/>
  <c r="FB65" i="2"/>
  <c r="FB121" i="2"/>
  <c r="CD111" i="2"/>
  <c r="CE111" i="2" s="1"/>
  <c r="CS88" i="2"/>
  <c r="J64" i="3" s="1"/>
  <c r="DH88" i="2"/>
  <c r="DZ88" i="2"/>
  <c r="DZ64" i="2"/>
  <c r="EI64" i="2"/>
  <c r="L241" i="2"/>
  <c r="N269" i="2"/>
  <c r="N270" i="2"/>
  <c r="N276" i="2"/>
  <c r="N302" i="2"/>
  <c r="CU88" i="2"/>
  <c r="L64" i="3" s="1"/>
  <c r="L7" i="4" s="1"/>
  <c r="DF39" i="2"/>
  <c r="DB39" i="2"/>
  <c r="J30" i="6" s="1"/>
  <c r="CD64" i="2"/>
  <c r="CE64" i="2" s="1"/>
  <c r="CQ64" i="2"/>
  <c r="G47" i="3" s="1"/>
  <c r="H29" i="4" s="1"/>
  <c r="CW64" i="2"/>
  <c r="CU64" i="2"/>
  <c r="L47" i="3" s="1"/>
  <c r="L29" i="4" s="1"/>
  <c r="DH64" i="2"/>
  <c r="CW59" i="2"/>
  <c r="DA39" i="2"/>
  <c r="H30" i="6" s="1"/>
  <c r="H25" i="7" s="1"/>
  <c r="CY39" i="2"/>
  <c r="I311" i="2" s="1"/>
  <c r="DQ39" i="2"/>
  <c r="L311" i="2" s="1"/>
  <c r="EI39" i="2"/>
  <c r="J311" i="2" s="1"/>
  <c r="CB161" i="2"/>
  <c r="BL163" i="2"/>
  <c r="BM163" i="2" s="1"/>
  <c r="BH164" i="2"/>
  <c r="BH404" i="2" s="1"/>
  <c r="CT163" i="2"/>
  <c r="DE155" i="2"/>
  <c r="BA161" i="2"/>
  <c r="BZ134" i="2"/>
  <c r="V36" i="9"/>
  <c r="V38" i="9" s="1"/>
  <c r="D27" i="9"/>
  <c r="I27" i="9"/>
  <c r="O27" i="9" s="1"/>
  <c r="P27" i="9"/>
  <c r="X27" i="9" s="1"/>
  <c r="BY387" i="2"/>
  <c r="J10" i="10"/>
  <c r="J11" i="10"/>
  <c r="J6" i="10"/>
  <c r="J2" i="10"/>
  <c r="J12" i="10"/>
  <c r="K10" i="9"/>
  <c r="J9" i="10"/>
  <c r="D9" i="9"/>
  <c r="BX164" i="2"/>
  <c r="BX404" i="2" s="1"/>
  <c r="CD10" i="2"/>
  <c r="CD19" i="2" s="1"/>
  <c r="H10" i="10"/>
  <c r="CM27" i="2"/>
  <c r="BI404" i="2"/>
  <c r="M278" i="2"/>
  <c r="CD40" i="2"/>
  <c r="CE40" i="2" s="1"/>
  <c r="BL40" i="2"/>
  <c r="BM40" i="2" s="1"/>
  <c r="BU36" i="2"/>
  <c r="BZ149" i="2"/>
  <c r="BZ400" i="2" s="1"/>
  <c r="CV40" i="2"/>
  <c r="CD36" i="2"/>
  <c r="H9" i="10"/>
  <c r="BL155" i="2"/>
  <c r="BU40" i="2"/>
  <c r="BV40" i="2" s="1"/>
  <c r="CD128" i="2"/>
  <c r="CE128" i="2" s="1"/>
  <c r="BL128" i="2"/>
  <c r="BM128" i="2" s="1"/>
  <c r="CV128" i="2"/>
  <c r="CM128" i="2"/>
  <c r="CN128" i="2" s="1"/>
  <c r="BU128" i="2"/>
  <c r="BV128" i="2" s="1"/>
  <c r="CT128" i="2"/>
  <c r="BC128" i="2"/>
  <c r="BD128" i="2" s="1"/>
  <c r="Q19" i="3"/>
  <c r="Q16" i="4" s="1"/>
  <c r="U16" i="4"/>
  <c r="R19" i="3"/>
  <c r="R16" i="4" s="1"/>
  <c r="S19" i="3"/>
  <c r="S16" i="4" s="1"/>
  <c r="W16" i="4"/>
  <c r="CS157" i="2"/>
  <c r="D24" i="9"/>
  <c r="BC225" i="2"/>
  <c r="BL214" i="2"/>
  <c r="CD214" i="2"/>
  <c r="CE214" i="2" s="1"/>
  <c r="FA161" i="2"/>
  <c r="FL155" i="2"/>
  <c r="FL68" i="2"/>
  <c r="FL71" i="2"/>
  <c r="CY170" i="2"/>
  <c r="CY171" i="2" s="1"/>
  <c r="BD454" i="2" s="1"/>
  <c r="DQ170" i="2"/>
  <c r="DQ171" i="2" s="1"/>
  <c r="BV454" i="2" s="1"/>
  <c r="S17" i="3"/>
  <c r="Q17" i="3"/>
  <c r="R17" i="3"/>
  <c r="L19" i="9"/>
  <c r="CY182" i="2"/>
  <c r="BD458" i="2" s="1"/>
  <c r="DZ182" i="2"/>
  <c r="CE458" i="2" s="1"/>
  <c r="AV182" i="2"/>
  <c r="EC182" i="2"/>
  <c r="K20" i="4"/>
  <c r="J296" i="2"/>
  <c r="CU112" i="2"/>
  <c r="CS112" i="2"/>
  <c r="CT113" i="2"/>
  <c r="K78" i="3" s="1"/>
  <c r="J57" i="3"/>
  <c r="J59" i="3" s="1"/>
  <c r="EP185" i="2"/>
  <c r="FL79" i="2"/>
  <c r="FL170" i="2"/>
  <c r="FA171" i="2"/>
  <c r="FL171" i="2" s="1"/>
  <c r="S18" i="3"/>
  <c r="S17" i="4" s="1"/>
  <c r="Q18" i="3"/>
  <c r="Q17" i="4" s="1"/>
  <c r="R18" i="3"/>
  <c r="R17" i="4" s="1"/>
  <c r="U17" i="4"/>
  <c r="S107" i="3"/>
  <c r="R107" i="3"/>
  <c r="Q107" i="3"/>
  <c r="EI191" i="2"/>
  <c r="CN461" i="2" s="1"/>
  <c r="DZ191" i="2"/>
  <c r="CE461" i="2" s="1"/>
  <c r="DQ191" i="2"/>
  <c r="BV461" i="2" s="1"/>
  <c r="BD461" i="2"/>
  <c r="CU214" i="2"/>
  <c r="FL22" i="2"/>
  <c r="FL59" i="2"/>
  <c r="CZ170" i="2"/>
  <c r="DB170" i="2"/>
  <c r="J108" i="6" s="1"/>
  <c r="I48" i="7" s="1"/>
  <c r="EI170" i="2"/>
  <c r="EI171" i="2" s="1"/>
  <c r="CN454" i="2" s="1"/>
  <c r="R64" i="6"/>
  <c r="R65" i="6" s="1"/>
  <c r="O64" i="6"/>
  <c r="O65" i="6" s="1"/>
  <c r="S64" i="6"/>
  <c r="S65" i="6" s="1"/>
  <c r="R26" i="6"/>
  <c r="R31" i="6" s="1"/>
  <c r="O26" i="6"/>
  <c r="O31" i="6" s="1"/>
  <c r="S26" i="6"/>
  <c r="BC157" i="2"/>
  <c r="DF182" i="2"/>
  <c r="CF182" i="2"/>
  <c r="N20" i="4"/>
  <c r="J21" i="7"/>
  <c r="CD225" i="2"/>
  <c r="CW214" i="2"/>
  <c r="EZ164" i="2"/>
  <c r="FL191" i="2"/>
  <c r="FB28" i="2"/>
  <c r="K273" i="2"/>
  <c r="L273" i="2"/>
  <c r="M273" i="2"/>
  <c r="CS110" i="2"/>
  <c r="DQ110" i="2"/>
  <c r="DZ110" i="2"/>
  <c r="EI110" i="2"/>
  <c r="CU79" i="2"/>
  <c r="Q57" i="3"/>
  <c r="Q59" i="3" s="1"/>
  <c r="R57" i="3"/>
  <c r="R59" i="3" s="1"/>
  <c r="S57" i="3"/>
  <c r="S59" i="3" s="1"/>
  <c r="FL179" i="2"/>
  <c r="BX134" i="2"/>
  <c r="BL111" i="2"/>
  <c r="BM111" i="2" s="1"/>
  <c r="BC111" i="2"/>
  <c r="DQ83" i="2"/>
  <c r="EI83" i="2"/>
  <c r="BX113" i="2"/>
  <c r="FA121" i="2"/>
  <c r="FL121" i="2" s="1"/>
  <c r="DB111" i="2"/>
  <c r="DB116" i="2" s="1"/>
  <c r="DA111" i="2"/>
  <c r="DA116" i="2" s="1"/>
  <c r="DZ111" i="2"/>
  <c r="I274" i="2"/>
  <c r="K62" i="3"/>
  <c r="Q62" i="3"/>
  <c r="Q66" i="3" s="1"/>
  <c r="R62" i="3"/>
  <c r="R66" i="3" s="1"/>
  <c r="S62" i="3"/>
  <c r="F62" i="3"/>
  <c r="E62" i="3"/>
  <c r="C62" i="3"/>
  <c r="BO112" i="2"/>
  <c r="R157" i="6"/>
  <c r="O157" i="6"/>
  <c r="O158" i="6" s="1"/>
  <c r="S157" i="6"/>
  <c r="T157" i="6"/>
  <c r="T158" i="6" s="1"/>
  <c r="DE83" i="2"/>
  <c r="DE91" i="2" s="1"/>
  <c r="DD83" i="2"/>
  <c r="DD91" i="2" s="1"/>
  <c r="DZ83" i="2"/>
  <c r="BC93" i="2"/>
  <c r="CZ93" i="2"/>
  <c r="J274" i="2"/>
  <c r="DF17" i="2"/>
  <c r="DZ102" i="2"/>
  <c r="EI102" i="2"/>
  <c r="CV109" i="2"/>
  <c r="M75" i="3" s="1"/>
  <c r="CD109" i="2"/>
  <c r="CQ109" i="2"/>
  <c r="G75" i="3" s="1"/>
  <c r="DD17" i="2"/>
  <c r="R76" i="3"/>
  <c r="S76" i="3"/>
  <c r="Q76" i="3"/>
  <c r="E76" i="3"/>
  <c r="DB93" i="2"/>
  <c r="J55" i="6" s="1"/>
  <c r="I23" i="7" s="1"/>
  <c r="R55" i="6"/>
  <c r="P23" i="7" s="1"/>
  <c r="O55" i="6"/>
  <c r="M23" i="7" s="1"/>
  <c r="S55" i="6"/>
  <c r="Q23" i="7" s="1"/>
  <c r="DB17" i="2"/>
  <c r="J13" i="6" s="1"/>
  <c r="DZ17" i="2"/>
  <c r="EI17" i="2"/>
  <c r="CQ102" i="2"/>
  <c r="CT109" i="2"/>
  <c r="K75" i="3" s="1"/>
  <c r="CS109" i="2"/>
  <c r="J75" i="3" s="1"/>
  <c r="BU109" i="2"/>
  <c r="BV109" i="2" s="1"/>
  <c r="N293" i="2"/>
  <c r="DE39" i="2"/>
  <c r="CV64" i="2"/>
  <c r="M47" i="3" s="1"/>
  <c r="M29" i="4" s="1"/>
  <c r="BU64" i="2"/>
  <c r="M274" i="2"/>
  <c r="CZ17" i="2"/>
  <c r="CR102" i="2"/>
  <c r="CU110" i="2"/>
  <c r="CR110" i="2"/>
  <c r="CQ110" i="2"/>
  <c r="G76" i="3" s="1"/>
  <c r="N271" i="2"/>
  <c r="N294" i="2"/>
  <c r="N315" i="2"/>
  <c r="CD39" i="2"/>
  <c r="CE39" i="2" s="1"/>
  <c r="CQ50" i="2"/>
  <c r="BL39" i="2"/>
  <c r="CR88" i="2"/>
  <c r="H62" i="3"/>
  <c r="O13" i="6"/>
  <c r="O14" i="6" s="1"/>
  <c r="S13" i="6"/>
  <c r="R13" i="6"/>
  <c r="CZ39" i="2"/>
  <c r="G30" i="6" s="1"/>
  <c r="R68" i="3"/>
  <c r="S68" i="3"/>
  <c r="T26" i="4"/>
  <c r="Q68" i="3"/>
  <c r="U26" i="4"/>
  <c r="S75" i="3"/>
  <c r="R75" i="3"/>
  <c r="Q75" i="3"/>
  <c r="AW116" i="2" l="1"/>
  <c r="BF116" i="2"/>
  <c r="CH504" i="2"/>
  <c r="CE36" i="2"/>
  <c r="DD171" i="2"/>
  <c r="BI454" i="2" s="1"/>
  <c r="BI501" i="2" s="1"/>
  <c r="L108" i="6"/>
  <c r="K48" i="7" s="1"/>
  <c r="CR136" i="2"/>
  <c r="CF504" i="2"/>
  <c r="BW504" i="2"/>
  <c r="AV504" i="2"/>
  <c r="CZ171" i="2"/>
  <c r="BE454" i="2" s="1"/>
  <c r="BE501" i="2" s="1"/>
  <c r="G108" i="6"/>
  <c r="DA171" i="2"/>
  <c r="BF454" i="2" s="1"/>
  <c r="BF501" i="2" s="1"/>
  <c r="H108" i="6"/>
  <c r="H48" i="7" s="1"/>
  <c r="V5" i="7"/>
  <c r="CJ504" i="2"/>
  <c r="CL504" i="2"/>
  <c r="CA504" i="2"/>
  <c r="CC504" i="2"/>
  <c r="BT504" i="2"/>
  <c r="BB504" i="2"/>
  <c r="BR504" i="2"/>
  <c r="BP504" i="2"/>
  <c r="AZ504" i="2"/>
  <c r="BC31" i="2"/>
  <c r="AX504" i="2"/>
  <c r="BC68" i="2"/>
  <c r="DC78" i="2"/>
  <c r="K37" i="6" s="1"/>
  <c r="D37" i="6" s="1"/>
  <c r="AB17" i="7" s="1"/>
  <c r="BC78" i="2"/>
  <c r="BC79" i="2" s="1"/>
  <c r="CB179" i="2"/>
  <c r="CB410" i="2" s="1"/>
  <c r="CB504" i="2" s="1"/>
  <c r="CK179" i="2"/>
  <c r="CK410" i="2" s="1"/>
  <c r="CK504" i="2" s="1"/>
  <c r="DF179" i="2"/>
  <c r="BK457" i="2" s="1"/>
  <c r="BK504" i="2" s="1"/>
  <c r="BA179" i="2"/>
  <c r="BA410" i="2" s="1"/>
  <c r="BA504" i="2" s="1"/>
  <c r="BQ179" i="2"/>
  <c r="BQ410" i="2" s="1"/>
  <c r="BQ504" i="2" s="1"/>
  <c r="BJ179" i="2"/>
  <c r="BJ410" i="2" s="1"/>
  <c r="BZ179" i="2"/>
  <c r="BZ410" i="2" s="1"/>
  <c r="BZ504" i="2" s="1"/>
  <c r="P5" i="7"/>
  <c r="BN504" i="2"/>
  <c r="BX179" i="2"/>
  <c r="BX410" i="2" s="1"/>
  <c r="BX504" i="2" s="1"/>
  <c r="CG179" i="2"/>
  <c r="CG410" i="2" s="1"/>
  <c r="CG504" i="2" s="1"/>
  <c r="CY179" i="2"/>
  <c r="BD457" i="2" s="1"/>
  <c r="EI179" i="2"/>
  <c r="CN457" i="2" s="1"/>
  <c r="DZ179" i="2"/>
  <c r="CE457" i="2" s="1"/>
  <c r="BO179" i="2"/>
  <c r="BO410" i="2" s="1"/>
  <c r="BO504" i="2" s="1"/>
  <c r="DQ179" i="2"/>
  <c r="BV457" i="2" s="1"/>
  <c r="G118" i="6"/>
  <c r="G120" i="6" s="1"/>
  <c r="CZ179" i="2"/>
  <c r="BE457" i="2" s="1"/>
  <c r="BE504" i="2" s="1"/>
  <c r="DA224" i="2"/>
  <c r="BF228" i="2"/>
  <c r="CM93" i="2"/>
  <c r="CN93" i="2" s="1"/>
  <c r="J280" i="2" s="1"/>
  <c r="R10" i="4"/>
  <c r="BY487" i="2"/>
  <c r="DD226" i="2"/>
  <c r="BI466" i="2" s="1"/>
  <c r="BI512" i="2" s="1"/>
  <c r="BC136" i="2"/>
  <c r="BC142" i="2" s="1"/>
  <c r="CD68" i="2"/>
  <c r="CE68" i="2" s="1"/>
  <c r="BW475" i="2"/>
  <c r="EO230" i="2"/>
  <c r="AV475" i="2"/>
  <c r="DF226" i="2"/>
  <c r="BK466" i="2" s="1"/>
  <c r="BK512" i="2" s="1"/>
  <c r="CO233" i="2"/>
  <c r="AW410" i="2"/>
  <c r="AW504" i="2" s="1"/>
  <c r="DA177" i="2"/>
  <c r="CK381" i="2"/>
  <c r="CK475" i="2" s="1"/>
  <c r="CL382" i="2"/>
  <c r="CL476" i="2" s="1"/>
  <c r="CH382" i="2"/>
  <c r="CH476" i="2" s="1"/>
  <c r="CG382" i="2"/>
  <c r="CG476" i="2" s="1"/>
  <c r="CB42" i="2"/>
  <c r="CI381" i="2"/>
  <c r="CI475" i="2" s="1"/>
  <c r="CF383" i="2"/>
  <c r="CJ381" i="2"/>
  <c r="CJ475" i="2" s="1"/>
  <c r="CA383" i="2"/>
  <c r="CA477" i="2" s="1"/>
  <c r="BY383" i="2"/>
  <c r="BY477" i="2" s="1"/>
  <c r="CC383" i="2"/>
  <c r="CC477" i="2" s="1"/>
  <c r="BW383" i="2"/>
  <c r="BW477" i="2" s="1"/>
  <c r="BX383" i="2"/>
  <c r="BX477" i="2" s="1"/>
  <c r="DB226" i="2"/>
  <c r="DE224" i="2"/>
  <c r="M156" i="6" s="1"/>
  <c r="L8" i="7" s="1"/>
  <c r="DG225" i="2"/>
  <c r="DH225" i="2" s="1"/>
  <c r="AY116" i="2"/>
  <c r="AW226" i="2"/>
  <c r="AW419" i="2" s="1"/>
  <c r="AW513" i="2" s="1"/>
  <c r="G157" i="6"/>
  <c r="G158" i="6" s="1"/>
  <c r="AY226" i="2"/>
  <c r="AY419" i="2" s="1"/>
  <c r="DC224" i="2"/>
  <c r="CZ226" i="2"/>
  <c r="BE466" i="2" s="1"/>
  <c r="CL481" i="2"/>
  <c r="CJ481" i="2"/>
  <c r="CC481" i="2"/>
  <c r="CG481" i="2"/>
  <c r="DC93" i="2"/>
  <c r="K55" i="6" s="1"/>
  <c r="J23" i="7" s="1"/>
  <c r="L33" i="6"/>
  <c r="L34" i="6" s="1"/>
  <c r="DD71" i="2"/>
  <c r="BI434" i="2" s="1"/>
  <c r="BI481" i="2" s="1"/>
  <c r="BA71" i="2"/>
  <c r="BA387" i="2" s="1"/>
  <c r="CI71" i="2"/>
  <c r="CI387" i="2" s="1"/>
  <c r="CI481" i="2" s="1"/>
  <c r="CM68" i="2"/>
  <c r="CM71" i="2" s="1"/>
  <c r="CM387" i="2" s="1"/>
  <c r="CM481" i="2" s="1"/>
  <c r="CK71" i="2"/>
  <c r="BQ71" i="2"/>
  <c r="BQ387" i="2" s="1"/>
  <c r="BQ481" i="2" s="1"/>
  <c r="BZ71" i="2"/>
  <c r="BZ387" i="2" s="1"/>
  <c r="BZ481" i="2" s="1"/>
  <c r="J33" i="6"/>
  <c r="I7" i="7" s="1"/>
  <c r="DB71" i="2"/>
  <c r="BG434" i="2" s="1"/>
  <c r="BG481" i="2" s="1"/>
  <c r="BS71" i="2"/>
  <c r="BS387" i="2" s="1"/>
  <c r="BS481" i="2" s="1"/>
  <c r="BL68" i="2"/>
  <c r="BL71" i="2" s="1"/>
  <c r="BL387" i="2" s="1"/>
  <c r="BH71" i="2"/>
  <c r="BH387" i="2" s="1"/>
  <c r="BW481" i="2"/>
  <c r="CF481" i="2"/>
  <c r="BX481" i="2"/>
  <c r="DZ71" i="2"/>
  <c r="CE434" i="2" s="1"/>
  <c r="G33" i="6"/>
  <c r="G34" i="6" s="1"/>
  <c r="CZ71" i="2"/>
  <c r="BE434" i="2" s="1"/>
  <c r="BE481" i="2" s="1"/>
  <c r="BM68" i="2"/>
  <c r="BM71" i="2" s="1"/>
  <c r="BU93" i="2"/>
  <c r="BV93" i="2" s="1"/>
  <c r="EZ72" i="2"/>
  <c r="FB72" i="2"/>
  <c r="FE142" i="2"/>
  <c r="Q114" i="3"/>
  <c r="Q116" i="3" s="1"/>
  <c r="U7" i="7"/>
  <c r="EN72" i="2"/>
  <c r="CQ59" i="2"/>
  <c r="AV432" i="2" s="1"/>
  <c r="AV479" i="2" s="1"/>
  <c r="U150" i="6"/>
  <c r="S8" i="7"/>
  <c r="S4" i="7"/>
  <c r="T34" i="6"/>
  <c r="U8" i="4"/>
  <c r="T139" i="3"/>
  <c r="U61" i="6"/>
  <c r="T107" i="3"/>
  <c r="T136" i="3"/>
  <c r="CN434" i="2"/>
  <c r="U33" i="6"/>
  <c r="J295" i="2"/>
  <c r="T15" i="3"/>
  <c r="J304" i="2"/>
  <c r="J337" i="2" s="1"/>
  <c r="U27" i="6"/>
  <c r="J297" i="2"/>
  <c r="T17" i="3"/>
  <c r="T15" i="4" s="1"/>
  <c r="J299" i="2"/>
  <c r="T18" i="3"/>
  <c r="T17" i="4" s="1"/>
  <c r="T7" i="4"/>
  <c r="T18" i="4"/>
  <c r="G101" i="3"/>
  <c r="H18" i="4" s="1"/>
  <c r="EI149" i="2"/>
  <c r="CN447" i="2" s="1"/>
  <c r="T118" i="3"/>
  <c r="J306" i="2"/>
  <c r="U26" i="6"/>
  <c r="J312" i="2"/>
  <c r="J345" i="2" s="1"/>
  <c r="T23" i="3"/>
  <c r="T3" i="4" s="1"/>
  <c r="J300" i="2"/>
  <c r="J333" i="2" s="1"/>
  <c r="T19" i="3"/>
  <c r="T16" i="4" s="1"/>
  <c r="G23" i="3"/>
  <c r="H3" i="4" s="1"/>
  <c r="G17" i="3"/>
  <c r="H15" i="4" s="1"/>
  <c r="G19" i="3"/>
  <c r="I19" i="3" s="1"/>
  <c r="O19" i="3" s="1"/>
  <c r="T114" i="3"/>
  <c r="J307" i="2"/>
  <c r="J340" i="2" s="1"/>
  <c r="J309" i="2"/>
  <c r="J342" i="2" s="1"/>
  <c r="T27" i="3"/>
  <c r="T12" i="4" s="1"/>
  <c r="J298" i="2"/>
  <c r="U17" i="6"/>
  <c r="J305" i="2"/>
  <c r="J338" i="2" s="1"/>
  <c r="T82" i="3"/>
  <c r="CS142" i="2"/>
  <c r="AX446" i="2" s="1"/>
  <c r="AX493" i="2" s="1"/>
  <c r="BQ142" i="2"/>
  <c r="BQ399" i="2" s="1"/>
  <c r="BQ493" i="2" s="1"/>
  <c r="CU142" i="2"/>
  <c r="DH142" i="2"/>
  <c r="CQ142" i="2"/>
  <c r="AV446" i="2" s="1"/>
  <c r="CW142" i="2"/>
  <c r="BB446" i="2" s="1"/>
  <c r="BB493" i="2" s="1"/>
  <c r="BH99" i="2"/>
  <c r="DQ142" i="2"/>
  <c r="BV446" i="2" s="1"/>
  <c r="G142" i="2"/>
  <c r="G143" i="2" s="1"/>
  <c r="BO142" i="2"/>
  <c r="G39" i="6"/>
  <c r="CD93" i="2"/>
  <c r="CE93" i="2" s="1"/>
  <c r="M280" i="2" s="1"/>
  <c r="M344" i="2" s="1"/>
  <c r="BQ99" i="2"/>
  <c r="DQ99" i="2"/>
  <c r="BS99" i="2"/>
  <c r="AY99" i="2"/>
  <c r="BA99" i="2"/>
  <c r="BJ99" i="2"/>
  <c r="BF399" i="2"/>
  <c r="H107" i="3"/>
  <c r="DD99" i="2"/>
  <c r="BE143" i="2"/>
  <c r="O61" i="6"/>
  <c r="R61" i="6"/>
  <c r="S61" i="6"/>
  <c r="DF99" i="2"/>
  <c r="CZ99" i="2"/>
  <c r="FE99" i="2"/>
  <c r="DB99" i="2"/>
  <c r="BL93" i="2"/>
  <c r="DZ142" i="2"/>
  <c r="CE446" i="2" s="1"/>
  <c r="EI142" i="2"/>
  <c r="CN446" i="2" s="1"/>
  <c r="CD136" i="2"/>
  <c r="CE136" i="2" s="1"/>
  <c r="CM112" i="2"/>
  <c r="CN112" i="2" s="1"/>
  <c r="BZ99" i="2"/>
  <c r="BZ116" i="2" s="1"/>
  <c r="CB99" i="2"/>
  <c r="CK99" i="2"/>
  <c r="CK116" i="2" s="1"/>
  <c r="CI99" i="2"/>
  <c r="W14" i="6"/>
  <c r="S66" i="3"/>
  <c r="T3" i="7"/>
  <c r="V14" i="6"/>
  <c r="Q3" i="7"/>
  <c r="S14" i="6"/>
  <c r="S3" i="7"/>
  <c r="U14" i="6"/>
  <c r="R3" i="7"/>
  <c r="T14" i="6"/>
  <c r="H14" i="6"/>
  <c r="P3" i="7"/>
  <c r="R14" i="6"/>
  <c r="AY42" i="2"/>
  <c r="AY383" i="2" s="1"/>
  <c r="CS91" i="2"/>
  <c r="AX438" i="2" s="1"/>
  <c r="AX485" i="2" s="1"/>
  <c r="CU91" i="2"/>
  <c r="AZ438" i="2" s="1"/>
  <c r="AZ485" i="2" s="1"/>
  <c r="CW91" i="2"/>
  <c r="BB438" i="2" s="1"/>
  <c r="BB485" i="2" s="1"/>
  <c r="BQ42" i="2"/>
  <c r="BQ383" i="2" s="1"/>
  <c r="BQ477" i="2" s="1"/>
  <c r="BU83" i="2"/>
  <c r="BV83" i="2" s="1"/>
  <c r="BQ91" i="2"/>
  <c r="BQ391" i="2" s="1"/>
  <c r="BQ485" i="2" s="1"/>
  <c r="CQ91" i="2"/>
  <c r="AV438" i="2" s="1"/>
  <c r="AV485" i="2" s="1"/>
  <c r="BA91" i="2"/>
  <c r="BA391" i="2" s="1"/>
  <c r="BJ91" i="2"/>
  <c r="BJ391" i="2" s="1"/>
  <c r="BH91" i="2"/>
  <c r="BH391" i="2" s="1"/>
  <c r="DQ91" i="2"/>
  <c r="DF42" i="2"/>
  <c r="BK430" i="2" s="1"/>
  <c r="BK477" i="2" s="1"/>
  <c r="CR91" i="2"/>
  <c r="AY91" i="2"/>
  <c r="AY391" i="2" s="1"/>
  <c r="BS91" i="2"/>
  <c r="BS391" i="2" s="1"/>
  <c r="BS485" i="2" s="1"/>
  <c r="CS42" i="2"/>
  <c r="AX430" i="2" s="1"/>
  <c r="AX477" i="2" s="1"/>
  <c r="DA42" i="2"/>
  <c r="BF430" i="2" s="1"/>
  <c r="CU42" i="2"/>
  <c r="AZ430" i="2" s="1"/>
  <c r="AZ477" i="2" s="1"/>
  <c r="CT42" i="2"/>
  <c r="AY430" i="2" s="1"/>
  <c r="DD42" i="2"/>
  <c r="BI430" i="2" s="1"/>
  <c r="BI477" i="2" s="1"/>
  <c r="DQ42" i="2"/>
  <c r="L313" i="2" s="1"/>
  <c r="DB42" i="2"/>
  <c r="BG430" i="2" s="1"/>
  <c r="BG477" i="2" s="1"/>
  <c r="FE42" i="2"/>
  <c r="CQ42" i="2"/>
  <c r="AV430" i="2" s="1"/>
  <c r="AV477" i="2" s="1"/>
  <c r="CW42" i="2"/>
  <c r="BB430" i="2" s="1"/>
  <c r="BB477" i="2" s="1"/>
  <c r="CZ42" i="2"/>
  <c r="BE430" i="2" s="1"/>
  <c r="BE477" i="2" s="1"/>
  <c r="BA42" i="2"/>
  <c r="BA383" i="2" s="1"/>
  <c r="CM83" i="2"/>
  <c r="CN83" i="2" s="1"/>
  <c r="CM136" i="2"/>
  <c r="CN136" i="2" s="1"/>
  <c r="CI142" i="2"/>
  <c r="CI399" i="2" s="1"/>
  <c r="CI493" i="2" s="1"/>
  <c r="AW143" i="2"/>
  <c r="V31" i="4"/>
  <c r="L158" i="6"/>
  <c r="J158" i="6"/>
  <c r="DI226" i="2"/>
  <c r="CY226" i="2"/>
  <c r="BD466" i="2" s="1"/>
  <c r="BS226" i="2"/>
  <c r="BS419" i="2" s="1"/>
  <c r="BJ226" i="2"/>
  <c r="BJ419" i="2" s="1"/>
  <c r="EI226" i="2"/>
  <c r="CN466" i="2" s="1"/>
  <c r="DK226" i="2"/>
  <c r="BA226" i="2"/>
  <c r="BA419" i="2" s="1"/>
  <c r="DZ226" i="2"/>
  <c r="DM226" i="2"/>
  <c r="BR466" i="2" s="1"/>
  <c r="BR512" i="2" s="1"/>
  <c r="DO226" i="2"/>
  <c r="BQ226" i="2"/>
  <c r="BQ419" i="2" s="1"/>
  <c r="U82" i="3"/>
  <c r="BU224" i="2"/>
  <c r="BU226" i="2" s="1"/>
  <c r="BU419" i="2" s="1"/>
  <c r="BZ142" i="2"/>
  <c r="BZ399" i="2" s="1"/>
  <c r="BZ493" i="2" s="1"/>
  <c r="BC88" i="2"/>
  <c r="CA392" i="2"/>
  <c r="CQ116" i="2"/>
  <c r="H79" i="3"/>
  <c r="I31" i="4" s="1"/>
  <c r="D75" i="3"/>
  <c r="K31" i="4"/>
  <c r="CT136" i="2"/>
  <c r="S82" i="3"/>
  <c r="R82" i="3"/>
  <c r="Q82" i="3"/>
  <c r="BA116" i="2"/>
  <c r="BJ116" i="2"/>
  <c r="BS116" i="2"/>
  <c r="BC10" i="2"/>
  <c r="BD10" i="2" s="1"/>
  <c r="BH116" i="2"/>
  <c r="BQ116" i="2"/>
  <c r="G116" i="2"/>
  <c r="G122" i="2" s="1"/>
  <c r="FE116" i="2"/>
  <c r="CC392" i="2"/>
  <c r="BO116" i="2"/>
  <c r="CU116" i="2"/>
  <c r="CS116" i="2"/>
  <c r="CW116" i="2"/>
  <c r="EI116" i="2"/>
  <c r="DZ116" i="2"/>
  <c r="CL392" i="2"/>
  <c r="CL116" i="2"/>
  <c r="BW392" i="2"/>
  <c r="BW116" i="2"/>
  <c r="CG116" i="2"/>
  <c r="CG395" i="2" s="1"/>
  <c r="CF392" i="2"/>
  <c r="CF116" i="2"/>
  <c r="BY392" i="2"/>
  <c r="BY116" i="2"/>
  <c r="BY395" i="2" s="1"/>
  <c r="CJ392" i="2"/>
  <c r="CJ116" i="2"/>
  <c r="BX116" i="2"/>
  <c r="CH392" i="2"/>
  <c r="CH116" i="2"/>
  <c r="CW216" i="2"/>
  <c r="BB440" i="2" s="1"/>
  <c r="BB487" i="2" s="1"/>
  <c r="DA182" i="2"/>
  <c r="BF458" i="2" s="1"/>
  <c r="BF505" i="2" s="1"/>
  <c r="FL182" i="2"/>
  <c r="EQ230" i="2"/>
  <c r="EQ233" i="2" s="1"/>
  <c r="Q42" i="3"/>
  <c r="BU102" i="2"/>
  <c r="CG392" i="2"/>
  <c r="BX392" i="2"/>
  <c r="J107" i="3"/>
  <c r="CZ28" i="2"/>
  <c r="BE429" i="2" s="1"/>
  <c r="BE476" i="2" s="1"/>
  <c r="CZ19" i="2"/>
  <c r="BE428" i="2" s="1"/>
  <c r="FL224" i="2"/>
  <c r="BU136" i="2"/>
  <c r="BU142" i="2" s="1"/>
  <c r="CM102" i="2"/>
  <c r="CN102" i="2" s="1"/>
  <c r="BL88" i="2"/>
  <c r="CM224" i="2"/>
  <c r="CM226" i="2" s="1"/>
  <c r="CM419" i="2" s="1"/>
  <c r="BL224" i="2"/>
  <c r="BL226" i="2" s="1"/>
  <c r="CT83" i="2"/>
  <c r="BC102" i="2"/>
  <c r="BD102" i="2" s="1"/>
  <c r="BL102" i="2"/>
  <c r="CV136" i="2"/>
  <c r="BL136" i="2"/>
  <c r="BL142" i="2" s="1"/>
  <c r="BA134" i="2"/>
  <c r="BA398" i="2" s="1"/>
  <c r="N110" i="3"/>
  <c r="N114" i="3" s="1"/>
  <c r="L110" i="3"/>
  <c r="L114" i="3" s="1"/>
  <c r="W110" i="3"/>
  <c r="W114" i="3" s="1"/>
  <c r="CZ134" i="2"/>
  <c r="DF134" i="2"/>
  <c r="DF143" i="2" s="1"/>
  <c r="BS134" i="2"/>
  <c r="BS398" i="2" s="1"/>
  <c r="BS492" i="2" s="1"/>
  <c r="J110" i="3"/>
  <c r="CQ134" i="2"/>
  <c r="ET134" i="2"/>
  <c r="N107" i="3"/>
  <c r="DD134" i="2"/>
  <c r="CS134" i="2"/>
  <c r="AX445" i="2" s="1"/>
  <c r="AX492" i="2" s="1"/>
  <c r="CR134" i="2"/>
  <c r="AW445" i="2" s="1"/>
  <c r="CW134" i="2"/>
  <c r="BB445" i="2" s="1"/>
  <c r="BB492" i="2" s="1"/>
  <c r="DQ134" i="2"/>
  <c r="FE134" i="2"/>
  <c r="BQ134" i="2"/>
  <c r="BQ398" i="2" s="1"/>
  <c r="BQ492" i="2" s="1"/>
  <c r="CT134" i="2"/>
  <c r="CV134" i="2"/>
  <c r="DB134" i="2"/>
  <c r="L103" i="3"/>
  <c r="L13" i="4" s="1"/>
  <c r="CU134" i="2"/>
  <c r="AZ445" i="2" s="1"/>
  <c r="AZ492" i="2" s="1"/>
  <c r="DA134" i="2"/>
  <c r="BL110" i="2"/>
  <c r="BM110" i="2" s="1"/>
  <c r="CT110" i="2"/>
  <c r="K76" i="3" s="1"/>
  <c r="G32" i="7"/>
  <c r="G31" i="7"/>
  <c r="AW72" i="2"/>
  <c r="DA19" i="2"/>
  <c r="BF428" i="2" s="1"/>
  <c r="BF475" i="2" s="1"/>
  <c r="FE19" i="2"/>
  <c r="CY19" i="2"/>
  <c r="BD428" i="2" s="1"/>
  <c r="BH19" i="2"/>
  <c r="DB19" i="2"/>
  <c r="BA19" i="2"/>
  <c r="BA381" i="2" s="1"/>
  <c r="BA475" i="2" s="1"/>
  <c r="BJ19" i="2"/>
  <c r="AW382" i="2"/>
  <c r="CR164" i="2"/>
  <c r="DQ19" i="2"/>
  <c r="BV428" i="2" s="1"/>
  <c r="H45" i="3"/>
  <c r="I4" i="4" s="1"/>
  <c r="CR65" i="2"/>
  <c r="AW433" i="2" s="1"/>
  <c r="AW480" i="2" s="1"/>
  <c r="DF19" i="2"/>
  <c r="BK428" i="2" s="1"/>
  <c r="DD19" i="2"/>
  <c r="BI428" i="2" s="1"/>
  <c r="BQ19" i="2"/>
  <c r="BQ381" i="2" s="1"/>
  <c r="BQ475" i="2" s="1"/>
  <c r="CV102" i="2"/>
  <c r="CD102" i="2"/>
  <c r="CE102" i="2" s="1"/>
  <c r="CU216" i="2"/>
  <c r="AZ440" i="2" s="1"/>
  <c r="AZ487" i="2" s="1"/>
  <c r="BC224" i="2"/>
  <c r="BU145" i="2"/>
  <c r="BV145" i="2" s="1"/>
  <c r="BV149" i="2" s="1"/>
  <c r="BV400" i="2" s="1"/>
  <c r="DK216" i="2"/>
  <c r="BP440" i="2" s="1"/>
  <c r="CD224" i="2"/>
  <c r="CD226" i="2" s="1"/>
  <c r="CD419" i="2" s="1"/>
  <c r="DO216" i="2"/>
  <c r="BT440" i="2" s="1"/>
  <c r="BT487" i="2" s="1"/>
  <c r="CS216" i="2"/>
  <c r="AX440" i="2" s="1"/>
  <c r="AX487" i="2" s="1"/>
  <c r="U3" i="7"/>
  <c r="CV83" i="2"/>
  <c r="BI438" i="2"/>
  <c r="BI485" i="2" s="1"/>
  <c r="W64" i="3"/>
  <c r="BG438" i="2"/>
  <c r="BG485" i="2" s="1"/>
  <c r="BF438" i="2"/>
  <c r="BF485" i="2" s="1"/>
  <c r="T15" i="7"/>
  <c r="BJ216" i="2"/>
  <c r="R15" i="7"/>
  <c r="P15" i="7"/>
  <c r="DD216" i="2"/>
  <c r="BI440" i="2" s="1"/>
  <c r="BI487" i="2" s="1"/>
  <c r="DM216" i="2"/>
  <c r="BR440" i="2" s="1"/>
  <c r="CZ216" i="2"/>
  <c r="CT145" i="2"/>
  <c r="K118" i="3" s="1"/>
  <c r="K8" i="4" s="1"/>
  <c r="DI216" i="2"/>
  <c r="DF216" i="2"/>
  <c r="BK440" i="2" s="1"/>
  <c r="BK487" i="2" s="1"/>
  <c r="CI216" i="2"/>
  <c r="CI393" i="2" s="1"/>
  <c r="CI487" i="2" s="1"/>
  <c r="DA216" i="2"/>
  <c r="BF440" i="2" s="1"/>
  <c r="DB216" i="2"/>
  <c r="BG440" i="2" s="1"/>
  <c r="BG487" i="2" s="1"/>
  <c r="BZ216" i="2"/>
  <c r="BZ393" i="2" s="1"/>
  <c r="BZ487" i="2" s="1"/>
  <c r="BA216" i="2"/>
  <c r="BA393" i="2" s="1"/>
  <c r="CB393" i="2"/>
  <c r="CB487" i="2" s="1"/>
  <c r="CG393" i="2"/>
  <c r="CG487" i="2" s="1"/>
  <c r="FE216" i="2"/>
  <c r="BH216" i="2"/>
  <c r="BH393" i="2" s="1"/>
  <c r="W145" i="6"/>
  <c r="EY216" i="2"/>
  <c r="EY228" i="2" s="1"/>
  <c r="BS216" i="2"/>
  <c r="CK393" i="2"/>
  <c r="CK487" i="2" s="1"/>
  <c r="AY216" i="2"/>
  <c r="AY393" i="2" s="1"/>
  <c r="DF79" i="2"/>
  <c r="DF121" i="2"/>
  <c r="BK443" i="2" s="1"/>
  <c r="BK490" i="2" s="1"/>
  <c r="DF28" i="2"/>
  <c r="BK429" i="2" s="1"/>
  <c r="BK476" i="2" s="1"/>
  <c r="P8" i="7"/>
  <c r="R158" i="6"/>
  <c r="R160" i="6" s="1"/>
  <c r="BX226" i="2"/>
  <c r="BX419" i="2" s="1"/>
  <c r="FE224" i="2"/>
  <c r="ET228" i="2"/>
  <c r="BM225" i="2"/>
  <c r="BD225" i="2"/>
  <c r="CN225" i="2"/>
  <c r="BV225" i="2"/>
  <c r="F122" i="2"/>
  <c r="CQ65" i="2"/>
  <c r="AV433" i="2" s="1"/>
  <c r="AV480" i="2" s="1"/>
  <c r="BS399" i="2"/>
  <c r="J118" i="3"/>
  <c r="J8" i="4" s="1"/>
  <c r="CS149" i="2"/>
  <c r="AX447" i="2" s="1"/>
  <c r="AX494" i="2" s="1"/>
  <c r="L118" i="3"/>
  <c r="L8" i="4" s="1"/>
  <c r="CU149" i="2"/>
  <c r="AZ447" i="2" s="1"/>
  <c r="AZ494" i="2" s="1"/>
  <c r="BJ149" i="2"/>
  <c r="BJ400" i="2" s="1"/>
  <c r="BJ494" i="2" s="1"/>
  <c r="H118" i="3"/>
  <c r="I8" i="4" s="1"/>
  <c r="CR149" i="2"/>
  <c r="BA149" i="2"/>
  <c r="BA400" i="2" s="1"/>
  <c r="G15" i="3"/>
  <c r="CQ28" i="2"/>
  <c r="N118" i="3"/>
  <c r="N8" i="4" s="1"/>
  <c r="CW149" i="2"/>
  <c r="BB447" i="2" s="1"/>
  <c r="BB494" i="2" s="1"/>
  <c r="BJ385" i="2"/>
  <c r="BJ479" i="2" s="1"/>
  <c r="BS385" i="2"/>
  <c r="BS479" i="2" s="1"/>
  <c r="H3" i="7"/>
  <c r="G9" i="6"/>
  <c r="AY381" i="2"/>
  <c r="AY475" i="2" s="1"/>
  <c r="BC112" i="2"/>
  <c r="BD112" i="2" s="1"/>
  <c r="CV112" i="2"/>
  <c r="CT102" i="2"/>
  <c r="CM31" i="2"/>
  <c r="CN31" i="2" s="1"/>
  <c r="CI42" i="2"/>
  <c r="CI383" i="2" s="1"/>
  <c r="CI477" i="2" s="1"/>
  <c r="BJ399" i="2"/>
  <c r="BL112" i="2"/>
  <c r="BM112" i="2" s="1"/>
  <c r="DC134" i="2"/>
  <c r="BL59" i="2"/>
  <c r="BU59" i="2"/>
  <c r="BU112" i="2"/>
  <c r="BM10" i="2"/>
  <c r="M136" i="3"/>
  <c r="K136" i="3"/>
  <c r="W136" i="3"/>
  <c r="DC10" i="2"/>
  <c r="AW432" i="2"/>
  <c r="AW479" i="2" s="1"/>
  <c r="AZ432" i="2"/>
  <c r="AZ479" i="2" s="1"/>
  <c r="BB432" i="2"/>
  <c r="BB479" i="2" s="1"/>
  <c r="AX432" i="2"/>
  <c r="AX479" i="2" s="1"/>
  <c r="AY59" i="2"/>
  <c r="Q72" i="2"/>
  <c r="CQ164" i="2"/>
  <c r="AV451" i="2" s="1"/>
  <c r="AV498" i="2" s="1"/>
  <c r="DZ99" i="2"/>
  <c r="DN210" i="2"/>
  <c r="M143" i="6" s="1"/>
  <c r="AV143" i="2"/>
  <c r="EI99" i="2"/>
  <c r="BO428" i="2"/>
  <c r="G118" i="3"/>
  <c r="G121" i="3" s="1"/>
  <c r="AV447" i="2"/>
  <c r="AV494" i="2" s="1"/>
  <c r="H15" i="3"/>
  <c r="H102" i="6"/>
  <c r="H20" i="7" s="1"/>
  <c r="DA161" i="2"/>
  <c r="J102" i="6"/>
  <c r="I20" i="7" s="1"/>
  <c r="DB161" i="2"/>
  <c r="BG450" i="2" s="1"/>
  <c r="BG497" i="2" s="1"/>
  <c r="G45" i="3"/>
  <c r="CQ161" i="2"/>
  <c r="L304" i="2"/>
  <c r="L337" i="2" s="1"/>
  <c r="BH383" i="2"/>
  <c r="H15" i="7"/>
  <c r="I29" i="7"/>
  <c r="K29" i="7"/>
  <c r="F228" i="2"/>
  <c r="U29" i="7"/>
  <c r="G29" i="7"/>
  <c r="J15" i="7"/>
  <c r="K15" i="7"/>
  <c r="I15" i="7"/>
  <c r="DN215" i="2"/>
  <c r="M149" i="6" s="1"/>
  <c r="L32" i="7" s="1"/>
  <c r="DL215" i="2"/>
  <c r="K149" i="6" s="1"/>
  <c r="M148" i="6"/>
  <c r="DJ215" i="2"/>
  <c r="G15" i="7"/>
  <c r="U150" i="2"/>
  <c r="AA150" i="2"/>
  <c r="W150" i="2"/>
  <c r="Y150" i="2"/>
  <c r="EZ150" i="2"/>
  <c r="BI389" i="2"/>
  <c r="BI150" i="2"/>
  <c r="CJ389" i="2"/>
  <c r="CJ483" i="2" s="1"/>
  <c r="BH389" i="2"/>
  <c r="L9" i="6"/>
  <c r="AX389" i="2"/>
  <c r="AX150" i="2"/>
  <c r="BF389" i="2"/>
  <c r="J68" i="3"/>
  <c r="S150" i="2"/>
  <c r="EX150" i="2"/>
  <c r="BO389" i="2"/>
  <c r="BO483" i="2" s="1"/>
  <c r="AZ389" i="2"/>
  <c r="AZ150" i="2"/>
  <c r="BE389" i="2"/>
  <c r="BE150" i="2"/>
  <c r="BZ389" i="2"/>
  <c r="BZ483" i="2" s="1"/>
  <c r="BS389" i="2"/>
  <c r="BS483" i="2" s="1"/>
  <c r="CF389" i="2"/>
  <c r="CF483" i="2" s="1"/>
  <c r="AV389" i="2"/>
  <c r="AV150" i="2"/>
  <c r="BR389" i="2"/>
  <c r="BR483" i="2" s="1"/>
  <c r="BR150" i="2"/>
  <c r="CC389" i="2"/>
  <c r="CC483" i="2" s="1"/>
  <c r="CG389" i="2"/>
  <c r="CG483" i="2" s="1"/>
  <c r="V3" i="7"/>
  <c r="L68" i="3"/>
  <c r="FB150" i="2"/>
  <c r="AY436" i="2"/>
  <c r="CL389" i="2"/>
  <c r="CL483" i="2" s="1"/>
  <c r="CH389" i="2"/>
  <c r="CH483" i="2" s="1"/>
  <c r="BG389" i="2"/>
  <c r="BG150" i="2"/>
  <c r="BN389" i="2"/>
  <c r="BN483" i="2" s="1"/>
  <c r="BN150" i="2"/>
  <c r="BT389" i="2"/>
  <c r="BT483" i="2" s="1"/>
  <c r="BT150" i="2"/>
  <c r="EW150" i="2"/>
  <c r="Q150" i="2"/>
  <c r="BK389" i="2"/>
  <c r="BK150" i="2"/>
  <c r="BY389" i="2"/>
  <c r="BY483" i="2" s="1"/>
  <c r="BQ389" i="2"/>
  <c r="BQ483" i="2" s="1"/>
  <c r="BX389" i="2"/>
  <c r="BX483" i="2" s="1"/>
  <c r="Q145" i="6"/>
  <c r="D145" i="6"/>
  <c r="AB15" i="7" s="1"/>
  <c r="F150" i="2"/>
  <c r="N68" i="3"/>
  <c r="BA436" i="2"/>
  <c r="G68" i="3"/>
  <c r="BB436" i="2"/>
  <c r="AW436" i="2"/>
  <c r="H68" i="3"/>
  <c r="FL91" i="2"/>
  <c r="FA150" i="2"/>
  <c r="AW389" i="2"/>
  <c r="CI389" i="2"/>
  <c r="CI483" i="2" s="1"/>
  <c r="FC150" i="2"/>
  <c r="CA389" i="2"/>
  <c r="CA483" i="2" s="1"/>
  <c r="BA389" i="2"/>
  <c r="FD150" i="2"/>
  <c r="BV10" i="2"/>
  <c r="J9" i="6"/>
  <c r="BW389" i="2"/>
  <c r="BW483" i="2" s="1"/>
  <c r="BB389" i="2"/>
  <c r="BB150" i="2"/>
  <c r="BP389" i="2"/>
  <c r="BP483" i="2" s="1"/>
  <c r="BP150" i="2"/>
  <c r="W68" i="3"/>
  <c r="BE393" i="2"/>
  <c r="BF393" i="2"/>
  <c r="L77" i="3"/>
  <c r="L21" i="4" s="1"/>
  <c r="N77" i="3"/>
  <c r="N21" i="4" s="1"/>
  <c r="H21" i="4"/>
  <c r="J61" i="6"/>
  <c r="CV111" i="2"/>
  <c r="M79" i="3" s="1"/>
  <c r="M31" i="4" s="1"/>
  <c r="DL210" i="2"/>
  <c r="K143" i="6" s="1"/>
  <c r="BD214" i="2"/>
  <c r="BM211" i="2"/>
  <c r="K283" i="2" s="1"/>
  <c r="K347" i="2" s="1"/>
  <c r="N347" i="2" s="1"/>
  <c r="DP211" i="2"/>
  <c r="DQ211" i="2" s="1"/>
  <c r="AW393" i="2"/>
  <c r="DA99" i="2"/>
  <c r="CE385" i="2"/>
  <c r="Q26" i="4"/>
  <c r="R26" i="4"/>
  <c r="S26" i="4"/>
  <c r="CK385" i="2"/>
  <c r="CK479" i="2" s="1"/>
  <c r="BZ385" i="2"/>
  <c r="BZ479" i="2" s="1"/>
  <c r="BM432" i="2"/>
  <c r="BH385" i="2"/>
  <c r="BH479" i="2" s="1"/>
  <c r="BQ385" i="2"/>
  <c r="BQ479" i="2" s="1"/>
  <c r="BA385" i="2"/>
  <c r="G103" i="3"/>
  <c r="H13" i="4" s="1"/>
  <c r="Q30" i="4"/>
  <c r="BU31" i="2"/>
  <c r="E19" i="7"/>
  <c r="DC31" i="2"/>
  <c r="E18" i="7"/>
  <c r="R73" i="6"/>
  <c r="R80" i="6" s="1"/>
  <c r="O73" i="6"/>
  <c r="O80" i="6" s="1"/>
  <c r="G9" i="7"/>
  <c r="S73" i="6"/>
  <c r="S80" i="6" s="1"/>
  <c r="H27" i="6"/>
  <c r="H16" i="7" s="1"/>
  <c r="J27" i="6"/>
  <c r="I16" i="7" s="1"/>
  <c r="H73" i="6"/>
  <c r="H80" i="6" s="1"/>
  <c r="BL134" i="2"/>
  <c r="G27" i="6"/>
  <c r="G31" i="6" s="1"/>
  <c r="BF383" i="2"/>
  <c r="AW383" i="2"/>
  <c r="L27" i="6"/>
  <c r="K16" i="7" s="1"/>
  <c r="L73" i="6"/>
  <c r="I304" i="2"/>
  <c r="BO383" i="2"/>
  <c r="BO477" i="2" s="1"/>
  <c r="CV99" i="2"/>
  <c r="CT99" i="2"/>
  <c r="CW121" i="2"/>
  <c r="BB443" i="2" s="1"/>
  <c r="BB490" i="2" s="1"/>
  <c r="BS490" i="2"/>
  <c r="AW396" i="2"/>
  <c r="X136" i="6"/>
  <c r="V27" i="7"/>
  <c r="R136" i="6"/>
  <c r="P27" i="7"/>
  <c r="S136" i="6"/>
  <c r="Q27" i="7"/>
  <c r="T136" i="6"/>
  <c r="R27" i="7"/>
  <c r="H76" i="3"/>
  <c r="I28" i="4" s="1"/>
  <c r="L76" i="3"/>
  <c r="L28" i="4" s="1"/>
  <c r="J76" i="3"/>
  <c r="J28" i="4" s="1"/>
  <c r="Q4" i="7"/>
  <c r="N40" i="3"/>
  <c r="G40" i="3"/>
  <c r="H30" i="4" s="1"/>
  <c r="L40" i="3"/>
  <c r="BX142" i="2"/>
  <c r="BX399" i="2" s="1"/>
  <c r="BX493" i="2" s="1"/>
  <c r="J40" i="3"/>
  <c r="BK446" i="2"/>
  <c r="BK493" i="2" s="1"/>
  <c r="CG142" i="2"/>
  <c r="CG399" i="2" s="1"/>
  <c r="CS121" i="2"/>
  <c r="AX443" i="2" s="1"/>
  <c r="AX490" i="2" s="1"/>
  <c r="BR490" i="2"/>
  <c r="BQ490" i="2"/>
  <c r="BG490" i="2"/>
  <c r="BN490" i="2"/>
  <c r="BH490" i="2"/>
  <c r="BT490" i="2"/>
  <c r="BI490" i="2"/>
  <c r="BE490" i="2"/>
  <c r="BP490" i="2"/>
  <c r="BV157" i="2"/>
  <c r="G135" i="3" s="1"/>
  <c r="CN157" i="2"/>
  <c r="CN161" i="2" s="1"/>
  <c r="CN403" i="2" s="1"/>
  <c r="FL226" i="2"/>
  <c r="L64" i="6"/>
  <c r="L65" i="6" s="1"/>
  <c r="P6" i="7"/>
  <c r="V18" i="7"/>
  <c r="J64" i="6"/>
  <c r="J65" i="6" s="1"/>
  <c r="BD26" i="2"/>
  <c r="BX121" i="2"/>
  <c r="BX396" i="2" s="1"/>
  <c r="BX490" i="2" s="1"/>
  <c r="CV214" i="2"/>
  <c r="BQ498" i="2"/>
  <c r="BU214" i="2"/>
  <c r="BV214" i="2" s="1"/>
  <c r="BC39" i="2"/>
  <c r="BD39" i="2" s="1"/>
  <c r="W47" i="3"/>
  <c r="W29" i="4" s="1"/>
  <c r="W15" i="3"/>
  <c r="X30" i="6"/>
  <c r="V25" i="7" s="1"/>
  <c r="W78" i="3"/>
  <c r="W22" i="4" s="1"/>
  <c r="AY161" i="2"/>
  <c r="AY165" i="2" s="1"/>
  <c r="W138" i="3"/>
  <c r="W5" i="4" s="1"/>
  <c r="W103" i="3"/>
  <c r="V75" i="3"/>
  <c r="W77" i="3"/>
  <c r="W21" i="4" s="1"/>
  <c r="W27" i="3"/>
  <c r="W12" i="4" s="1"/>
  <c r="X17" i="6"/>
  <c r="V9" i="7" s="1"/>
  <c r="BR498" i="2"/>
  <c r="W45" i="3"/>
  <c r="W4" i="4" s="1"/>
  <c r="X37" i="6"/>
  <c r="V17" i="7" s="1"/>
  <c r="X27" i="6"/>
  <c r="W23" i="3"/>
  <c r="W3" i="4" s="1"/>
  <c r="BS498" i="2"/>
  <c r="BU121" i="2"/>
  <c r="BU396" i="2" s="1"/>
  <c r="BU490" i="2" s="1"/>
  <c r="BL185" i="2"/>
  <c r="BL412" i="2" s="1"/>
  <c r="BV36" i="2"/>
  <c r="G27" i="3" s="1"/>
  <c r="BV434" i="2"/>
  <c r="EV165" i="2"/>
  <c r="EV201" i="2" s="1"/>
  <c r="N65" i="3"/>
  <c r="N19" i="4" s="1"/>
  <c r="H65" i="3"/>
  <c r="I19" i="4" s="1"/>
  <c r="L65" i="3"/>
  <c r="L19" i="4" s="1"/>
  <c r="J65" i="3"/>
  <c r="J66" i="3" s="1"/>
  <c r="G201" i="2"/>
  <c r="G65" i="3"/>
  <c r="G20" i="7"/>
  <c r="G105" i="6"/>
  <c r="G17" i="7"/>
  <c r="W18" i="4"/>
  <c r="J18" i="4"/>
  <c r="I18" i="4"/>
  <c r="N18" i="4"/>
  <c r="S116" i="3"/>
  <c r="BF396" i="2"/>
  <c r="BF490" i="2" s="1"/>
  <c r="CG121" i="2"/>
  <c r="CG396" i="2" s="1"/>
  <c r="CG490" i="2" s="1"/>
  <c r="G64" i="6"/>
  <c r="G65" i="6" s="1"/>
  <c r="CM39" i="2"/>
  <c r="CN39" i="2" s="1"/>
  <c r="BU17" i="2"/>
  <c r="BU19" i="2" s="1"/>
  <c r="DC17" i="2"/>
  <c r="K13" i="6" s="1"/>
  <c r="J24" i="7" s="1"/>
  <c r="CA493" i="2"/>
  <c r="BH498" i="2"/>
  <c r="BC110" i="2"/>
  <c r="BD110" i="2" s="1"/>
  <c r="CM110" i="2"/>
  <c r="CN110" i="2" s="1"/>
  <c r="CI478" i="2"/>
  <c r="DQ121" i="2"/>
  <c r="BV443" i="2" s="1"/>
  <c r="CD210" i="2"/>
  <c r="CE210" i="2" s="1"/>
  <c r="M277" i="2" s="1"/>
  <c r="F201" i="2"/>
  <c r="CT88" i="2"/>
  <c r="K64" i="3" s="1"/>
  <c r="BR478" i="2"/>
  <c r="BQ478" i="2"/>
  <c r="BQ28" i="2"/>
  <c r="BQ382" i="2" s="1"/>
  <c r="BQ476" i="2" s="1"/>
  <c r="CE134" i="2"/>
  <c r="CA478" i="2"/>
  <c r="BI498" i="2"/>
  <c r="V116" i="3"/>
  <c r="V26" i="4"/>
  <c r="V16" i="4"/>
  <c r="V139" i="3"/>
  <c r="V17" i="4"/>
  <c r="V29" i="4"/>
  <c r="CK164" i="2"/>
  <c r="CK404" i="2" s="1"/>
  <c r="CK498" i="2" s="1"/>
  <c r="BU88" i="2"/>
  <c r="BV88" i="2" s="1"/>
  <c r="G64" i="3" s="1"/>
  <c r="H7" i="4" s="1"/>
  <c r="BV26" i="2"/>
  <c r="G18" i="3" s="1"/>
  <c r="CC490" i="2"/>
  <c r="CM210" i="2"/>
  <c r="CN210" i="2" s="1"/>
  <c r="J277" i="2" s="1"/>
  <c r="V10" i="4"/>
  <c r="BL121" i="2"/>
  <c r="BL396" i="2" s="1"/>
  <c r="K272" i="2"/>
  <c r="K336" i="2" s="1"/>
  <c r="BL170" i="2"/>
  <c r="BL171" i="2" s="1"/>
  <c r="BL407" i="2" s="1"/>
  <c r="CI185" i="2"/>
  <c r="CI412" i="2" s="1"/>
  <c r="DC155" i="2"/>
  <c r="BQ161" i="2"/>
  <c r="BQ165" i="2" s="1"/>
  <c r="EI19" i="2"/>
  <c r="CN428" i="2" s="1"/>
  <c r="CH493" i="2"/>
  <c r="CN36" i="2"/>
  <c r="CV110" i="2"/>
  <c r="CN113" i="2"/>
  <c r="CM65" i="2"/>
  <c r="CM386" i="2" s="1"/>
  <c r="CM480" i="2" s="1"/>
  <c r="CV145" i="2"/>
  <c r="BN498" i="2"/>
  <c r="Y165" i="2"/>
  <c r="Y201" i="2" s="1"/>
  <c r="CJ492" i="2"/>
  <c r="BS28" i="2"/>
  <c r="BS382" i="2" s="1"/>
  <c r="BS476" i="2" s="1"/>
  <c r="K64" i="6"/>
  <c r="CL494" i="2"/>
  <c r="CH494" i="2"/>
  <c r="AE143" i="2"/>
  <c r="BM157" i="2"/>
  <c r="CE215" i="2"/>
  <c r="CC487" i="2"/>
  <c r="CJ487" i="2"/>
  <c r="CL480" i="2"/>
  <c r="CA480" i="2"/>
  <c r="BU25" i="2"/>
  <c r="BV25" i="2" s="1"/>
  <c r="Q228" i="2"/>
  <c r="BM36" i="2"/>
  <c r="CC494" i="2"/>
  <c r="BN494" i="2"/>
  <c r="CA498" i="2"/>
  <c r="CI492" i="2"/>
  <c r="BI228" i="2"/>
  <c r="AE228" i="2"/>
  <c r="BH161" i="2"/>
  <c r="BH165" i="2" s="1"/>
  <c r="F72" i="2"/>
  <c r="CN26" i="2"/>
  <c r="DD161" i="2"/>
  <c r="DD165" i="2" s="1"/>
  <c r="BT479" i="2"/>
  <c r="G228" i="2"/>
  <c r="BY478" i="2"/>
  <c r="CH480" i="2"/>
  <c r="CB490" i="2"/>
  <c r="BG480" i="2"/>
  <c r="CC485" i="2"/>
  <c r="BJ498" i="2"/>
  <c r="CJ494" i="2"/>
  <c r="DE93" i="2"/>
  <c r="M55" i="6" s="1"/>
  <c r="L23" i="7" s="1"/>
  <c r="CL487" i="2"/>
  <c r="BP494" i="2"/>
  <c r="BD36" i="2"/>
  <c r="CR36" i="2"/>
  <c r="H27" i="3" s="1"/>
  <c r="I12" i="4" s="1"/>
  <c r="BC210" i="2"/>
  <c r="CG478" i="2"/>
  <c r="BS494" i="2"/>
  <c r="EE143" i="2"/>
  <c r="DM143" i="2"/>
  <c r="AY28" i="2"/>
  <c r="AY382" i="2" s="1"/>
  <c r="S228" i="2"/>
  <c r="DO165" i="2"/>
  <c r="DO201" i="2" s="1"/>
  <c r="BC145" i="2"/>
  <c r="CF485" i="2"/>
  <c r="AW475" i="2"/>
  <c r="M15" i="4"/>
  <c r="CH497" i="2"/>
  <c r="BP478" i="2"/>
  <c r="CD182" i="2"/>
  <c r="CD411" i="2" s="1"/>
  <c r="CD505" i="2" s="1"/>
  <c r="BF480" i="2"/>
  <c r="BY493" i="2"/>
  <c r="CK494" i="2"/>
  <c r="CH479" i="2"/>
  <c r="CI480" i="2"/>
  <c r="CC498" i="2"/>
  <c r="BZ480" i="2"/>
  <c r="CE26" i="2"/>
  <c r="BK450" i="2"/>
  <c r="BK497" i="2" s="1"/>
  <c r="CN215" i="2"/>
  <c r="BL210" i="2"/>
  <c r="CG149" i="2"/>
  <c r="CG400" i="2" s="1"/>
  <c r="CG494" i="2" s="1"/>
  <c r="BF400" i="2"/>
  <c r="BF494" i="2" s="1"/>
  <c r="BF498" i="2"/>
  <c r="BJ446" i="2"/>
  <c r="BG446" i="2"/>
  <c r="BG493" i="2" s="1"/>
  <c r="BH446" i="2"/>
  <c r="AI165" i="2"/>
  <c r="AI201" i="2" s="1"/>
  <c r="BP479" i="2"/>
  <c r="BY476" i="2"/>
  <c r="BM26" i="2"/>
  <c r="BY480" i="2"/>
  <c r="BX149" i="2"/>
  <c r="BX400" i="2" s="1"/>
  <c r="BX494" i="2" s="1"/>
  <c r="BI446" i="2"/>
  <c r="CJ485" i="2"/>
  <c r="M338" i="2"/>
  <c r="DD28" i="2"/>
  <c r="BI429" i="2" s="1"/>
  <c r="BI476" i="2" s="1"/>
  <c r="BZ28" i="2"/>
  <c r="BZ382" i="2" s="1"/>
  <c r="BZ476" i="2" s="1"/>
  <c r="BC22" i="2"/>
  <c r="BD22" i="2" s="1"/>
  <c r="CR26" i="2"/>
  <c r="H18" i="3" s="1"/>
  <c r="I17" i="4" s="1"/>
  <c r="M337" i="2"/>
  <c r="EF72" i="2"/>
  <c r="I15" i="4"/>
  <c r="CL72" i="2"/>
  <c r="BM164" i="2"/>
  <c r="BM404" i="2" s="1"/>
  <c r="BF446" i="2"/>
  <c r="BE446" i="2"/>
  <c r="BO121" i="2"/>
  <c r="BO396" i="2" s="1"/>
  <c r="BO490" i="2" s="1"/>
  <c r="CR215" i="2"/>
  <c r="CR216" i="2" s="1"/>
  <c r="BV215" i="2"/>
  <c r="CG485" i="2"/>
  <c r="EI121" i="2"/>
  <c r="CN443" i="2" s="1"/>
  <c r="BF419" i="2"/>
  <c r="BW487" i="2"/>
  <c r="BV113" i="2"/>
  <c r="G78" i="3" s="1"/>
  <c r="P78" i="3" s="1"/>
  <c r="BW478" i="2"/>
  <c r="BF478" i="2"/>
  <c r="CY185" i="2"/>
  <c r="AC154" i="6"/>
  <c r="AD154" i="6" s="1"/>
  <c r="BR477" i="2"/>
  <c r="BM215" i="2"/>
  <c r="BX480" i="2"/>
  <c r="BO481" i="2"/>
  <c r="BO498" i="2"/>
  <c r="CE157" i="2"/>
  <c r="BE72" i="2"/>
  <c r="AA4" i="7"/>
  <c r="DZ185" i="2"/>
  <c r="CM17" i="2"/>
  <c r="CM19" i="2" s="1"/>
  <c r="BE494" i="2"/>
  <c r="BQ494" i="2"/>
  <c r="F28" i="4"/>
  <c r="F15" i="4"/>
  <c r="DY143" i="2"/>
  <c r="BZ494" i="2"/>
  <c r="AV512" i="2"/>
  <c r="AB5" i="4"/>
  <c r="AB7" i="4"/>
  <c r="AB8" i="4"/>
  <c r="AB10" i="4"/>
  <c r="AB9" i="4"/>
  <c r="AB4" i="4"/>
  <c r="CB492" i="2"/>
  <c r="BY498" i="2"/>
  <c r="BX476" i="2"/>
  <c r="BO494" i="2"/>
  <c r="BS480" i="2"/>
  <c r="BE479" i="2"/>
  <c r="CA494" i="2"/>
  <c r="CC165" i="2"/>
  <c r="CC201" i="2" s="1"/>
  <c r="DE210" i="2"/>
  <c r="CS164" i="2"/>
  <c r="AX451" i="2" s="1"/>
  <c r="AX498" i="2" s="1"/>
  <c r="BY494" i="2"/>
  <c r="F18" i="7"/>
  <c r="K104" i="6"/>
  <c r="J13" i="7" s="1"/>
  <c r="DE119" i="2"/>
  <c r="CC480" i="2"/>
  <c r="CR157" i="2"/>
  <c r="BU185" i="2"/>
  <c r="BU412" i="2" s="1"/>
  <c r="CW164" i="2"/>
  <c r="BB451" i="2" s="1"/>
  <c r="BB498" i="2" s="1"/>
  <c r="CC492" i="2"/>
  <c r="CH485" i="2"/>
  <c r="DN72" i="2"/>
  <c r="N335" i="2"/>
  <c r="BS478" i="2"/>
  <c r="DE111" i="2"/>
  <c r="DE116" i="2" s="1"/>
  <c r="CT50" i="2"/>
  <c r="AY431" i="2" s="1"/>
  <c r="AY478" i="2" s="1"/>
  <c r="BX478" i="2"/>
  <c r="AA72" i="2"/>
  <c r="BP481" i="2"/>
  <c r="L274" i="2"/>
  <c r="L338" i="2" s="1"/>
  <c r="BU111" i="2"/>
  <c r="BV111" i="2" s="1"/>
  <c r="L282" i="2" s="1"/>
  <c r="FL185" i="2"/>
  <c r="DW72" i="2"/>
  <c r="BY72" i="2"/>
  <c r="CG72" i="2"/>
  <c r="BW72" i="2"/>
  <c r="DQ65" i="2"/>
  <c r="BV433" i="2" s="1"/>
  <c r="BU110" i="2"/>
  <c r="BV110" i="2" s="1"/>
  <c r="K338" i="2"/>
  <c r="BK478" i="2"/>
  <c r="DZ19" i="2"/>
  <c r="CE428" i="2" s="1"/>
  <c r="EE72" i="2"/>
  <c r="DW143" i="2"/>
  <c r="I281" i="2"/>
  <c r="N281" i="2" s="1"/>
  <c r="BC17" i="2"/>
  <c r="BD17" i="2" s="1"/>
  <c r="M62" i="3"/>
  <c r="CD121" i="2"/>
  <c r="CD396" i="2" s="1"/>
  <c r="CD490" i="2" s="1"/>
  <c r="DC170" i="2"/>
  <c r="BU170" i="2"/>
  <c r="BU171" i="2" s="1"/>
  <c r="BU407" i="2" s="1"/>
  <c r="BU501" i="2" s="1"/>
  <c r="DA28" i="2"/>
  <c r="BF429" i="2" s="1"/>
  <c r="BF476" i="2" s="1"/>
  <c r="K342" i="2"/>
  <c r="M342" i="2"/>
  <c r="K129" i="6"/>
  <c r="CJ165" i="2"/>
  <c r="CJ201" i="2" s="1"/>
  <c r="CM59" i="2"/>
  <c r="DC28" i="2"/>
  <c r="BH429" i="2" s="1"/>
  <c r="BU39" i="2"/>
  <c r="BV39" i="2" s="1"/>
  <c r="CV59" i="2"/>
  <c r="BC64" i="2"/>
  <c r="CX64" i="2" s="1"/>
  <c r="DC39" i="2"/>
  <c r="K30" i="6" s="1"/>
  <c r="J25" i="7" s="1"/>
  <c r="CU121" i="2"/>
  <c r="AZ443" i="2" s="1"/>
  <c r="AZ490" i="2" s="1"/>
  <c r="H64" i="6"/>
  <c r="H65" i="6" s="1"/>
  <c r="BC170" i="2"/>
  <c r="BC171" i="2" s="1"/>
  <c r="BC407" i="2" s="1"/>
  <c r="BC501" i="2" s="1"/>
  <c r="BU79" i="2"/>
  <c r="CW28" i="2"/>
  <c r="BB429" i="2" s="1"/>
  <c r="BX498" i="2"/>
  <c r="CH228" i="2"/>
  <c r="DN165" i="2"/>
  <c r="DN201" i="2" s="1"/>
  <c r="AX481" i="2"/>
  <c r="BH28" i="2"/>
  <c r="CJ498" i="2"/>
  <c r="AE165" i="2"/>
  <c r="AE201" i="2" s="1"/>
  <c r="BY143" i="2"/>
  <c r="Q165" i="2"/>
  <c r="Q201" i="2" s="1"/>
  <c r="BO478" i="2"/>
  <c r="CG498" i="2"/>
  <c r="EI185" i="2"/>
  <c r="CH487" i="2"/>
  <c r="BI480" i="2"/>
  <c r="BI494" i="2"/>
  <c r="CG480" i="2"/>
  <c r="DM72" i="2"/>
  <c r="CS65" i="2"/>
  <c r="AX433" i="2" s="1"/>
  <c r="AX480" i="2" s="1"/>
  <c r="FD143" i="2"/>
  <c r="BP475" i="2"/>
  <c r="BY475" i="2"/>
  <c r="H120" i="3"/>
  <c r="I9" i="4" s="1"/>
  <c r="BU210" i="2"/>
  <c r="CF498" i="2"/>
  <c r="BN478" i="2"/>
  <c r="CK476" i="2"/>
  <c r="CK485" i="2"/>
  <c r="BE478" i="2"/>
  <c r="F19" i="7"/>
  <c r="DC177" i="2"/>
  <c r="DC179" i="2" s="1"/>
  <c r="DE68" i="2"/>
  <c r="AC72" i="2"/>
  <c r="AX228" i="2"/>
  <c r="CG165" i="2"/>
  <c r="CG201" i="2" s="1"/>
  <c r="BA65" i="2"/>
  <c r="BA386" i="2" s="1"/>
  <c r="CB479" i="2"/>
  <c r="CG446" i="2"/>
  <c r="EB143" i="2"/>
  <c r="CB50" i="2"/>
  <c r="CB384" i="2" s="1"/>
  <c r="CB478" i="2" s="1"/>
  <c r="BJ50" i="2"/>
  <c r="BJ384" i="2" s="1"/>
  <c r="BJ478" i="2" s="1"/>
  <c r="M35" i="3"/>
  <c r="M6" i="4" s="1"/>
  <c r="W24" i="4"/>
  <c r="FE161" i="2"/>
  <c r="DC210" i="2"/>
  <c r="CB91" i="2"/>
  <c r="CB391" i="2" s="1"/>
  <c r="CB485" i="2" s="1"/>
  <c r="CV88" i="2"/>
  <c r="M64" i="3" s="1"/>
  <c r="M7" i="4" s="1"/>
  <c r="CK79" i="2"/>
  <c r="BL31" i="2"/>
  <c r="BL42" i="2" s="1"/>
  <c r="DE31" i="2"/>
  <c r="DE42" i="2" s="1"/>
  <c r="BJ383" i="2"/>
  <c r="CA428" i="2"/>
  <c r="CA475" i="2" s="1"/>
  <c r="DV72" i="2"/>
  <c r="CH381" i="2"/>
  <c r="CH72" i="2"/>
  <c r="CA165" i="2"/>
  <c r="CA201" i="2" s="1"/>
  <c r="CL498" i="2"/>
  <c r="BQ393" i="2"/>
  <c r="DP116" i="2"/>
  <c r="CB171" i="2"/>
  <c r="CB407" i="2" s="1"/>
  <c r="CB501" i="2" s="1"/>
  <c r="CD170" i="2"/>
  <c r="BT72" i="2"/>
  <c r="CX127" i="2"/>
  <c r="CM170" i="2"/>
  <c r="CM171" i="2" s="1"/>
  <c r="CM407" i="2" s="1"/>
  <c r="CM501" i="2" s="1"/>
  <c r="CT64" i="2"/>
  <c r="K47" i="3" s="1"/>
  <c r="K29" i="4" s="1"/>
  <c r="BZ91" i="2"/>
  <c r="BZ391" i="2" s="1"/>
  <c r="BZ485" i="2" s="1"/>
  <c r="CD83" i="2"/>
  <c r="DC83" i="2"/>
  <c r="DC91" i="2" s="1"/>
  <c r="BN479" i="2"/>
  <c r="EC72" i="2"/>
  <c r="DQ164" i="2"/>
  <c r="BV451" i="2" s="1"/>
  <c r="BY479" i="2"/>
  <c r="EW228" i="2"/>
  <c r="BZ50" i="2"/>
  <c r="BZ384" i="2" s="1"/>
  <c r="BZ478" i="2" s="1"/>
  <c r="EK201" i="2"/>
  <c r="W72" i="2"/>
  <c r="AA143" i="2"/>
  <c r="FD165" i="2"/>
  <c r="FD201" i="2" s="1"/>
  <c r="BZ161" i="2"/>
  <c r="BZ403" i="2" s="1"/>
  <c r="DZ65" i="2"/>
  <c r="CE433" i="2" s="1"/>
  <c r="AV443" i="2"/>
  <c r="AV490" i="2" s="1"/>
  <c r="CJ478" i="2"/>
  <c r="BG478" i="2"/>
  <c r="CJ479" i="2"/>
  <c r="BT481" i="2"/>
  <c r="BT494" i="2"/>
  <c r="BI478" i="2"/>
  <c r="DZ121" i="2"/>
  <c r="CE443" i="2" s="1"/>
  <c r="W228" i="2"/>
  <c r="BQ480" i="2"/>
  <c r="AG228" i="2"/>
  <c r="BN481" i="2"/>
  <c r="CF480" i="2"/>
  <c r="BP485" i="2"/>
  <c r="CL478" i="2"/>
  <c r="EI216" i="2"/>
  <c r="CN440" i="2" s="1"/>
  <c r="M345" i="2"/>
  <c r="AI143" i="2"/>
  <c r="BS381" i="2"/>
  <c r="BS475" i="2" s="1"/>
  <c r="BR494" i="2"/>
  <c r="BG479" i="2"/>
  <c r="U228" i="2"/>
  <c r="BK494" i="2"/>
  <c r="BT477" i="2"/>
  <c r="EC143" i="2"/>
  <c r="DS72" i="2"/>
  <c r="Q139" i="3"/>
  <c r="K57" i="3"/>
  <c r="K59" i="3" s="1"/>
  <c r="BW485" i="2"/>
  <c r="BI479" i="2"/>
  <c r="BO479" i="2"/>
  <c r="CJ480" i="2"/>
  <c r="CA490" i="2"/>
  <c r="BT493" i="2"/>
  <c r="AC165" i="2"/>
  <c r="AC201" i="2" s="1"/>
  <c r="BR492" i="2"/>
  <c r="CB228" i="2"/>
  <c r="DZ164" i="2"/>
  <c r="CE451" i="2" s="1"/>
  <c r="BL145" i="2"/>
  <c r="BK479" i="2"/>
  <c r="CK477" i="2"/>
  <c r="CI485" i="2"/>
  <c r="CF494" i="2"/>
  <c r="FB143" i="2"/>
  <c r="CK480" i="2"/>
  <c r="FE65" i="2"/>
  <c r="CD185" i="2"/>
  <c r="CD412" i="2" s="1"/>
  <c r="DA185" i="2"/>
  <c r="BE498" i="2"/>
  <c r="AG165" i="2"/>
  <c r="AG201" i="2" s="1"/>
  <c r="CT215" i="2"/>
  <c r="CT216" i="2" s="1"/>
  <c r="CA476" i="2"/>
  <c r="D244" i="2"/>
  <c r="D245" i="2" s="1"/>
  <c r="BB228" i="2"/>
  <c r="I251" i="2" s="1"/>
  <c r="BH494" i="2"/>
  <c r="CB494" i="2"/>
  <c r="EI65" i="2"/>
  <c r="CN433" i="2" s="1"/>
  <c r="AG143" i="2"/>
  <c r="EH72" i="2"/>
  <c r="CH498" i="2"/>
  <c r="J48" i="3"/>
  <c r="FA143" i="2"/>
  <c r="FL143" i="2" s="1"/>
  <c r="BH480" i="2"/>
  <c r="BV164" i="2"/>
  <c r="BV404" i="2" s="1"/>
  <c r="BN476" i="2"/>
  <c r="BR493" i="2"/>
  <c r="BJ28" i="2"/>
  <c r="BJ382" i="2" s="1"/>
  <c r="BC50" i="2"/>
  <c r="BC384" i="2" s="1"/>
  <c r="AI228" i="2"/>
  <c r="I105" i="3"/>
  <c r="O105" i="3" s="1"/>
  <c r="O14" i="4" s="1"/>
  <c r="CC479" i="2"/>
  <c r="CX26" i="2"/>
  <c r="BP480" i="2"/>
  <c r="R27" i="4"/>
  <c r="BU177" i="2"/>
  <c r="EY143" i="2"/>
  <c r="BN485" i="2"/>
  <c r="BW479" i="2"/>
  <c r="J344" i="2"/>
  <c r="BC414" i="2"/>
  <c r="BC507" i="2" s="1"/>
  <c r="BG143" i="2"/>
  <c r="BO485" i="2"/>
  <c r="CN65" i="2"/>
  <c r="J266" i="2" s="1"/>
  <c r="DR72" i="2"/>
  <c r="DG211" i="2"/>
  <c r="DH211" i="2" s="1"/>
  <c r="DZ216" i="2"/>
  <c r="CE440" i="2" s="1"/>
  <c r="DY72" i="2"/>
  <c r="EI164" i="2"/>
  <c r="CN451" i="2" s="1"/>
  <c r="H57" i="3"/>
  <c r="H59" i="3" s="1"/>
  <c r="CF478" i="2"/>
  <c r="I145" i="6"/>
  <c r="T5" i="4"/>
  <c r="BH478" i="2"/>
  <c r="CL479" i="2"/>
  <c r="CH490" i="2"/>
  <c r="L27" i="4"/>
  <c r="BD50" i="2"/>
  <c r="CH478" i="2"/>
  <c r="M57" i="3"/>
  <c r="M59" i="3" s="1"/>
  <c r="DJ143" i="2"/>
  <c r="CE431" i="2"/>
  <c r="DU72" i="2"/>
  <c r="BT475" i="2"/>
  <c r="AC228" i="2"/>
  <c r="S165" i="2"/>
  <c r="S201" i="2" s="1"/>
  <c r="BE438" i="2"/>
  <c r="BE485" i="2" s="1"/>
  <c r="EH143" i="2"/>
  <c r="BG494" i="2"/>
  <c r="CC497" i="2"/>
  <c r="BK228" i="2"/>
  <c r="K251" i="2" s="1"/>
  <c r="EZ165" i="2"/>
  <c r="EZ201" i="2" s="1"/>
  <c r="CJ143" i="2"/>
  <c r="CZ161" i="2"/>
  <c r="BE450" i="2" s="1"/>
  <c r="CL493" i="2"/>
  <c r="G72" i="2"/>
  <c r="CC476" i="2"/>
  <c r="CX113" i="2"/>
  <c r="BN480" i="2"/>
  <c r="CF492" i="2"/>
  <c r="S143" i="2"/>
  <c r="DE17" i="2"/>
  <c r="M13" i="6" s="1"/>
  <c r="L24" i="7" s="1"/>
  <c r="FD72" i="2"/>
  <c r="Q121" i="3"/>
  <c r="I17" i="6"/>
  <c r="I18" i="6" s="1"/>
  <c r="X105" i="6"/>
  <c r="AC143" i="2"/>
  <c r="DV143" i="2"/>
  <c r="CJ490" i="2"/>
  <c r="CT24" i="2"/>
  <c r="K17" i="3" s="1"/>
  <c r="K15" i="4" s="1"/>
  <c r="AY79" i="2"/>
  <c r="BY490" i="2"/>
  <c r="CD177" i="2"/>
  <c r="CD179" i="2" s="1"/>
  <c r="BZ498" i="2"/>
  <c r="BK438" i="2"/>
  <c r="BK485" i="2" s="1"/>
  <c r="CM182" i="2"/>
  <c r="CM411" i="2" s="1"/>
  <c r="CM505" i="2" s="1"/>
  <c r="BU414" i="2"/>
  <c r="BU507" i="2" s="1"/>
  <c r="EX72" i="2"/>
  <c r="BK165" i="2"/>
  <c r="BK201" i="2" s="1"/>
  <c r="DU143" i="2"/>
  <c r="BL65" i="2"/>
  <c r="BL386" i="2" s="1"/>
  <c r="BL480" i="2" s="1"/>
  <c r="BW143" i="2"/>
  <c r="CL477" i="2"/>
  <c r="BW494" i="2"/>
  <c r="H18" i="6"/>
  <c r="X34" i="6"/>
  <c r="T6" i="4"/>
  <c r="P105" i="3"/>
  <c r="P14" i="4" s="1"/>
  <c r="J139" i="3"/>
  <c r="R105" i="6"/>
  <c r="I37" i="6"/>
  <c r="U139" i="3"/>
  <c r="CF476" i="2"/>
  <c r="FE26" i="2"/>
  <c r="CJ476" i="2"/>
  <c r="EX228" i="2"/>
  <c r="DX165" i="2"/>
  <c r="DX201" i="2" s="1"/>
  <c r="CF475" i="2"/>
  <c r="CV22" i="2"/>
  <c r="M15" i="3" s="1"/>
  <c r="R139" i="3"/>
  <c r="K18" i="6"/>
  <c r="L18" i="6"/>
  <c r="S121" i="3"/>
  <c r="CI498" i="2"/>
  <c r="CC143" i="2"/>
  <c r="BB475" i="2"/>
  <c r="U165" i="2"/>
  <c r="U201" i="2" s="1"/>
  <c r="BW498" i="2"/>
  <c r="DG35" i="2"/>
  <c r="DH35" i="2" s="1"/>
  <c r="K306" i="2" s="1"/>
  <c r="FC228" i="2"/>
  <c r="BR479" i="2"/>
  <c r="CH143" i="2"/>
  <c r="BU68" i="2"/>
  <c r="DZ134" i="2"/>
  <c r="EF143" i="2"/>
  <c r="BT480" i="2"/>
  <c r="BR72" i="2"/>
  <c r="CL492" i="2"/>
  <c r="CG479" i="2"/>
  <c r="CL165" i="2"/>
  <c r="CL201" i="2" s="1"/>
  <c r="CI494" i="2"/>
  <c r="CM164" i="2"/>
  <c r="CM404" i="2" s="1"/>
  <c r="CM498" i="2" s="1"/>
  <c r="CN164" i="2"/>
  <c r="CN404" i="2" s="1"/>
  <c r="CK121" i="2"/>
  <c r="CK396" i="2" s="1"/>
  <c r="CK490" i="2" s="1"/>
  <c r="CC228" i="2"/>
  <c r="M251" i="2" s="1"/>
  <c r="BW476" i="2"/>
  <c r="CA485" i="2"/>
  <c r="BW490" i="2"/>
  <c r="CX24" i="2"/>
  <c r="CU28" i="2"/>
  <c r="AZ429" i="2" s="1"/>
  <c r="DH50" i="2"/>
  <c r="BM431" i="2" s="1"/>
  <c r="BE480" i="2"/>
  <c r="EX165" i="2"/>
  <c r="EX201" i="2" s="1"/>
  <c r="AA228" i="2"/>
  <c r="BR480" i="2"/>
  <c r="EW165" i="2"/>
  <c r="EW201" i="2" s="1"/>
  <c r="BY165" i="2"/>
  <c r="BY201" i="2" s="1"/>
  <c r="CC399" i="2"/>
  <c r="CC493" i="2" s="1"/>
  <c r="Y228" i="2"/>
  <c r="CF72" i="2"/>
  <c r="CK492" i="2"/>
  <c r="CL485" i="2"/>
  <c r="CG477" i="2"/>
  <c r="BI459" i="2"/>
  <c r="DD185" i="2"/>
  <c r="DS143" i="2"/>
  <c r="CD88" i="2"/>
  <c r="CE88" i="2" s="1"/>
  <c r="AG72" i="2"/>
  <c r="DL72" i="2"/>
  <c r="BO476" i="2"/>
  <c r="BT485" i="2"/>
  <c r="EG143" i="2"/>
  <c r="L345" i="2"/>
  <c r="FD228" i="2"/>
  <c r="K345" i="2"/>
  <c r="CI28" i="2"/>
  <c r="CI382" i="2" s="1"/>
  <c r="AA165" i="2"/>
  <c r="AA201" i="2" s="1"/>
  <c r="CI121" i="2"/>
  <c r="BM22" i="2"/>
  <c r="J17" i="6"/>
  <c r="I9" i="7" s="1"/>
  <c r="DB28" i="2"/>
  <c r="BG429" i="2" s="1"/>
  <c r="N57" i="3"/>
  <c r="N59" i="3" s="1"/>
  <c r="FA28" i="2"/>
  <c r="BI165" i="2"/>
  <c r="BI201" i="2" s="1"/>
  <c r="CE447" i="2"/>
  <c r="BR476" i="2"/>
  <c r="BN143" i="2"/>
  <c r="DH164" i="2"/>
  <c r="BM451" i="2" s="1"/>
  <c r="S72" i="2"/>
  <c r="CJ228" i="2"/>
  <c r="BW228" i="2"/>
  <c r="M249" i="2" s="1"/>
  <c r="BY485" i="2"/>
  <c r="DL116" i="2"/>
  <c r="DZ91" i="2"/>
  <c r="CE438" i="2" s="1"/>
  <c r="DQ50" i="2"/>
  <c r="BV431" i="2" s="1"/>
  <c r="EI91" i="2"/>
  <c r="CN438" i="2" s="1"/>
  <c r="CE432" i="2"/>
  <c r="DP143" i="2"/>
  <c r="FC72" i="2"/>
  <c r="EH165" i="2"/>
  <c r="EH201" i="2" s="1"/>
  <c r="CJ493" i="2"/>
  <c r="W165" i="2"/>
  <c r="W201" i="2" s="1"/>
  <c r="CI165" i="2"/>
  <c r="CJ72" i="2"/>
  <c r="CF487" i="2"/>
  <c r="CG492" i="2"/>
  <c r="T7" i="7"/>
  <c r="FB165" i="2"/>
  <c r="FB201" i="2" s="1"/>
  <c r="S34" i="6"/>
  <c r="CN119" i="2"/>
  <c r="DG119" i="2"/>
  <c r="BR481" i="2"/>
  <c r="BN492" i="2"/>
  <c r="BS410" i="2"/>
  <c r="BS504" i="2" s="1"/>
  <c r="DE177" i="2"/>
  <c r="DE179" i="2" s="1"/>
  <c r="CM121" i="2"/>
  <c r="CM396" i="2" s="1"/>
  <c r="CM490" i="2" s="1"/>
  <c r="U72" i="2"/>
  <c r="BR143" i="2"/>
  <c r="BV447" i="2"/>
  <c r="CC478" i="2"/>
  <c r="G15" i="4"/>
  <c r="CA72" i="2"/>
  <c r="CH165" i="2"/>
  <c r="CH201" i="2" s="1"/>
  <c r="CB387" i="2"/>
  <c r="CB481" i="2" s="1"/>
  <c r="BL177" i="2"/>
  <c r="BL179" i="2" s="1"/>
  <c r="BH410" i="2"/>
  <c r="CD161" i="2"/>
  <c r="CD403" i="2" s="1"/>
  <c r="AV393" i="2"/>
  <c r="AV228" i="2"/>
  <c r="I249" i="2" s="1"/>
  <c r="CZ185" i="2"/>
  <c r="BE459" i="2"/>
  <c r="CF403" i="2"/>
  <c r="CF165" i="2"/>
  <c r="CF201" i="2" s="1"/>
  <c r="BP477" i="2"/>
  <c r="CF479" i="2"/>
  <c r="BA164" i="2"/>
  <c r="BA404" i="2" s="1"/>
  <c r="CB143" i="2"/>
  <c r="CB399" i="2"/>
  <c r="CB493" i="2" s="1"/>
  <c r="G57" i="3"/>
  <c r="G59" i="3" s="1"/>
  <c r="BP450" i="2"/>
  <c r="BP497" i="2" s="1"/>
  <c r="DK165" i="2"/>
  <c r="DK201" i="2" s="1"/>
  <c r="BR228" i="2"/>
  <c r="BR393" i="2"/>
  <c r="BL19" i="2"/>
  <c r="L118" i="6"/>
  <c r="L120" i="6" s="1"/>
  <c r="BI457" i="2"/>
  <c r="BI504" i="2" s="1"/>
  <c r="AY410" i="2"/>
  <c r="AY504" i="2" s="1"/>
  <c r="BC177" i="2"/>
  <c r="BC179" i="2" s="1"/>
  <c r="BE419" i="2"/>
  <c r="K249" i="2"/>
  <c r="CI410" i="2"/>
  <c r="CI504" i="2" s="1"/>
  <c r="CM177" i="2"/>
  <c r="CM179" i="2" s="1"/>
  <c r="DE10" i="2"/>
  <c r="BZ450" i="2"/>
  <c r="DU165" i="2"/>
  <c r="DU201" i="2" s="1"/>
  <c r="BA185" i="2"/>
  <c r="BA412" i="2" s="1"/>
  <c r="CA398" i="2"/>
  <c r="CA492" i="2" s="1"/>
  <c r="CA143" i="2"/>
  <c r="BT419" i="2"/>
  <c r="BT228" i="2"/>
  <c r="L251" i="2" s="1"/>
  <c r="CA393" i="2"/>
  <c r="CA487" i="2" s="1"/>
  <c r="CA228" i="2"/>
  <c r="CD450" i="2"/>
  <c r="DY165" i="2"/>
  <c r="DY201" i="2" s="1"/>
  <c r="BX393" i="2"/>
  <c r="BX487" i="2" s="1"/>
  <c r="L57" i="3"/>
  <c r="L59" i="3" s="1"/>
  <c r="DF185" i="2"/>
  <c r="BK459" i="2"/>
  <c r="AX403" i="2"/>
  <c r="AX165" i="2"/>
  <c r="AX201" i="2" s="1"/>
  <c r="K310" i="2"/>
  <c r="N310" i="2" s="1"/>
  <c r="G55" i="6"/>
  <c r="G23" i="7" s="1"/>
  <c r="M134" i="6"/>
  <c r="BR450" i="2"/>
  <c r="DM165" i="2"/>
  <c r="DM201" i="2" s="1"/>
  <c r="BY228" i="2"/>
  <c r="DQ185" i="2"/>
  <c r="BV459" i="2"/>
  <c r="BL25" i="2"/>
  <c r="BM25" i="2" s="1"/>
  <c r="BW492" i="2"/>
  <c r="CF430" i="2"/>
  <c r="EA72" i="2"/>
  <c r="J118" i="6"/>
  <c r="J120" i="6" s="1"/>
  <c r="BG457" i="2"/>
  <c r="BG504" i="2" s="1"/>
  <c r="DT72" i="2"/>
  <c r="CF490" i="2"/>
  <c r="M17" i="6"/>
  <c r="L9" i="7" s="1"/>
  <c r="DE28" i="2"/>
  <c r="BJ429" i="2" s="1"/>
  <c r="CL143" i="2"/>
  <c r="CI429" i="2"/>
  <c r="ED72" i="2"/>
  <c r="M138" i="3"/>
  <c r="M5" i="4" s="1"/>
  <c r="EC165" i="2"/>
  <c r="EC201" i="2" s="1"/>
  <c r="BK143" i="2"/>
  <c r="BG459" i="2"/>
  <c r="DB185" i="2"/>
  <c r="BW403" i="2"/>
  <c r="BW165" i="2"/>
  <c r="BW201" i="2" s="1"/>
  <c r="BJ79" i="2"/>
  <c r="CF143" i="2"/>
  <c r="BB72" i="2"/>
  <c r="BN228" i="2"/>
  <c r="L249" i="2" s="1"/>
  <c r="CC72" i="2"/>
  <c r="CC381" i="2"/>
  <c r="CC475" i="2" s="1"/>
  <c r="AX381" i="2"/>
  <c r="AX475" i="2" s="1"/>
  <c r="AX72" i="2"/>
  <c r="BO450" i="2"/>
  <c r="DJ165" i="2"/>
  <c r="DJ201" i="2" s="1"/>
  <c r="CV215" i="2"/>
  <c r="BC215" i="2"/>
  <c r="DP215" i="2" s="1"/>
  <c r="BA121" i="2"/>
  <c r="BA396" i="2" s="1"/>
  <c r="AV72" i="2"/>
  <c r="BU433" i="2"/>
  <c r="DP72" i="2"/>
  <c r="BG228" i="2"/>
  <c r="CF446" i="2"/>
  <c r="CF493" i="2" s="1"/>
  <c r="EA143" i="2"/>
  <c r="BM447" i="2"/>
  <c r="L138" i="3"/>
  <c r="CU164" i="2"/>
  <c r="AZ451" i="2" s="1"/>
  <c r="AZ498" i="2" s="1"/>
  <c r="U143" i="2"/>
  <c r="ED228" i="2"/>
  <c r="CI466" i="2"/>
  <c r="CI512" i="2" s="1"/>
  <c r="CB450" i="2"/>
  <c r="DW165" i="2"/>
  <c r="DW201" i="2" s="1"/>
  <c r="EA165" i="2"/>
  <c r="EA201" i="2" s="1"/>
  <c r="CF450" i="2"/>
  <c r="BT403" i="2"/>
  <c r="BT497" i="2" s="1"/>
  <c r="BT165" i="2"/>
  <c r="BT201" i="2" s="1"/>
  <c r="DX143" i="2"/>
  <c r="BN477" i="2"/>
  <c r="CB79" i="2"/>
  <c r="G138" i="3"/>
  <c r="BO228" i="2"/>
  <c r="L250" i="2" s="1"/>
  <c r="DX72" i="2"/>
  <c r="BI143" i="2"/>
  <c r="BI399" i="2"/>
  <c r="CL419" i="2"/>
  <c r="CL228" i="2"/>
  <c r="J251" i="2" s="1"/>
  <c r="EG72" i="2"/>
  <c r="CL428" i="2"/>
  <c r="CL475" i="2" s="1"/>
  <c r="BR403" i="2"/>
  <c r="BR165" i="2"/>
  <c r="BR201" i="2" s="1"/>
  <c r="CA450" i="2"/>
  <c r="CA497" i="2" s="1"/>
  <c r="DV165" i="2"/>
  <c r="DV201" i="2" s="1"/>
  <c r="CB164" i="2"/>
  <c r="CB404" i="2" s="1"/>
  <c r="CB498" i="2" s="1"/>
  <c r="CD163" i="2"/>
  <c r="CX163" i="2" s="1"/>
  <c r="R116" i="3"/>
  <c r="X21" i="9"/>
  <c r="X30" i="9" s="1"/>
  <c r="X36" i="9" s="1"/>
  <c r="DQ161" i="2"/>
  <c r="DE170" i="2"/>
  <c r="M108" i="6" s="1"/>
  <c r="L48" i="7" s="1"/>
  <c r="EZ228" i="2"/>
  <c r="BD113" i="2"/>
  <c r="FL142" i="2"/>
  <c r="BT143" i="2"/>
  <c r="Y72" i="2"/>
  <c r="BZ466" i="2"/>
  <c r="BZ512" i="2" s="1"/>
  <c r="DU228" i="2"/>
  <c r="DT228" i="2"/>
  <c r="BY466" i="2"/>
  <c r="BY512" i="2" s="1"/>
  <c r="BW446" i="2"/>
  <c r="BW493" i="2" s="1"/>
  <c r="DR143" i="2"/>
  <c r="BE403" i="2"/>
  <c r="BE165" i="2"/>
  <c r="BE201" i="2" s="1"/>
  <c r="AV403" i="2"/>
  <c r="AV165" i="2"/>
  <c r="AV201" i="2" s="1"/>
  <c r="CB28" i="2"/>
  <c r="CB382" i="2" s="1"/>
  <c r="CB476" i="2" s="1"/>
  <c r="CD27" i="2"/>
  <c r="CE27" i="2" s="1"/>
  <c r="H104" i="6"/>
  <c r="Y143" i="2"/>
  <c r="CX157" i="2"/>
  <c r="DZ161" i="2"/>
  <c r="CE450" i="2" s="1"/>
  <c r="CN432" i="2"/>
  <c r="AX143" i="2"/>
  <c r="CM466" i="2"/>
  <c r="EH228" i="2"/>
  <c r="BC466" i="2"/>
  <c r="BB466" i="2"/>
  <c r="BB512" i="2" s="1"/>
  <c r="BN399" i="2"/>
  <c r="BN493" i="2" s="1"/>
  <c r="AI72" i="2"/>
  <c r="H33" i="6"/>
  <c r="BF434" i="2"/>
  <c r="BF481" i="2" s="1"/>
  <c r="EB72" i="2"/>
  <c r="DQ28" i="2"/>
  <c r="L301" i="2" s="1"/>
  <c r="L334" i="2" s="1"/>
  <c r="CD112" i="2"/>
  <c r="AE72" i="2"/>
  <c r="BG382" i="2"/>
  <c r="CF419" i="2"/>
  <c r="CF228" i="2"/>
  <c r="EG228" i="2"/>
  <c r="CL466" i="2"/>
  <c r="AY466" i="2"/>
  <c r="CH466" i="2"/>
  <c r="CH512" i="2" s="1"/>
  <c r="EC228" i="2"/>
  <c r="AX466" i="2"/>
  <c r="AX512" i="2" s="1"/>
  <c r="BT445" i="2"/>
  <c r="BT492" i="2" s="1"/>
  <c r="DO143" i="2"/>
  <c r="EX143" i="2"/>
  <c r="EV72" i="2"/>
  <c r="BP228" i="2"/>
  <c r="BP393" i="2"/>
  <c r="DY228" i="2"/>
  <c r="CD466" i="2"/>
  <c r="CC466" i="2"/>
  <c r="CC512" i="2" s="1"/>
  <c r="DX228" i="2"/>
  <c r="AY387" i="2"/>
  <c r="DC68" i="2"/>
  <c r="DC71" i="2" s="1"/>
  <c r="BR391" i="2"/>
  <c r="DI72" i="2"/>
  <c r="CM149" i="2"/>
  <c r="CM400" i="2" s="1"/>
  <c r="CM494" i="2" s="1"/>
  <c r="BH399" i="2"/>
  <c r="DS228" i="2"/>
  <c r="BX466" i="2"/>
  <c r="AZ382" i="2"/>
  <c r="AZ72" i="2"/>
  <c r="BP165" i="2"/>
  <c r="BP201" i="2" s="1"/>
  <c r="BP382" i="2"/>
  <c r="BP72" i="2"/>
  <c r="CD62" i="2"/>
  <c r="CD65" i="2" s="1"/>
  <c r="CV62" i="2"/>
  <c r="M45" i="3" s="1"/>
  <c r="EI161" i="2"/>
  <c r="CN450" i="2" s="1"/>
  <c r="K125" i="6"/>
  <c r="EF228" i="2"/>
  <c r="CK466" i="2"/>
  <c r="AV399" i="2"/>
  <c r="BA466" i="2"/>
  <c r="BK386" i="2"/>
  <c r="BK480" i="2" s="1"/>
  <c r="DK72" i="2"/>
  <c r="BP429" i="2"/>
  <c r="BW450" i="2"/>
  <c r="DR165" i="2"/>
  <c r="DR201" i="2" s="1"/>
  <c r="BB143" i="2"/>
  <c r="EB228" i="2"/>
  <c r="CG466" i="2"/>
  <c r="AZ399" i="2"/>
  <c r="AZ143" i="2"/>
  <c r="DO72" i="2"/>
  <c r="BT429" i="2"/>
  <c r="BT476" i="2" s="1"/>
  <c r="CJ450" i="2"/>
  <c r="CJ497" i="2" s="1"/>
  <c r="EE165" i="2"/>
  <c r="EE201" i="2" s="1"/>
  <c r="CI450" i="2"/>
  <c r="CI497" i="2" s="1"/>
  <c r="ED165" i="2"/>
  <c r="ED201" i="2" s="1"/>
  <c r="DI143" i="2"/>
  <c r="CB466" i="2"/>
  <c r="CB512" i="2" s="1"/>
  <c r="DW228" i="2"/>
  <c r="AZ403" i="2"/>
  <c r="AZ165" i="2"/>
  <c r="AZ201" i="2" s="1"/>
  <c r="C244" i="2"/>
  <c r="C245" i="2" s="1"/>
  <c r="G28" i="4"/>
  <c r="W28" i="4"/>
  <c r="S20" i="7"/>
  <c r="I47" i="3"/>
  <c r="U27" i="4"/>
  <c r="R28" i="4"/>
  <c r="M27" i="4"/>
  <c r="S28" i="4"/>
  <c r="I27" i="4"/>
  <c r="U28" i="4"/>
  <c r="T27" i="4"/>
  <c r="W27" i="4"/>
  <c r="V28" i="4"/>
  <c r="T28" i="4"/>
  <c r="Q27" i="4"/>
  <c r="N27" i="4"/>
  <c r="S27" i="4"/>
  <c r="K27" i="4"/>
  <c r="Q28" i="4"/>
  <c r="N28" i="4"/>
  <c r="D105" i="3"/>
  <c r="U116" i="3"/>
  <c r="DL143" i="2"/>
  <c r="DK143" i="2"/>
  <c r="CD445" i="2"/>
  <c r="BP445" i="2"/>
  <c r="BP492" i="2" s="1"/>
  <c r="Q143" i="2"/>
  <c r="ED143" i="2"/>
  <c r="W11" i="10"/>
  <c r="Y23" i="9"/>
  <c r="Z23" i="9" s="1"/>
  <c r="W8" i="10"/>
  <c r="O21" i="9"/>
  <c r="O30" i="9" s="1"/>
  <c r="Y24" i="9"/>
  <c r="Z24" i="9" s="1"/>
  <c r="AA24" i="9" s="1"/>
  <c r="EW143" i="2"/>
  <c r="EZ143" i="2"/>
  <c r="DA79" i="2"/>
  <c r="BN403" i="2"/>
  <c r="BN165" i="2"/>
  <c r="BN201" i="2" s="1"/>
  <c r="W143" i="2"/>
  <c r="BF385" i="2"/>
  <c r="BF479" i="2" s="1"/>
  <c r="BS446" i="2"/>
  <c r="DN143" i="2"/>
  <c r="BE399" i="2"/>
  <c r="DP165" i="2"/>
  <c r="DP201" i="2" s="1"/>
  <c r="BU450" i="2"/>
  <c r="CK450" i="2"/>
  <c r="CK497" i="2" s="1"/>
  <c r="EF165" i="2"/>
  <c r="EF201" i="2" s="1"/>
  <c r="BB403" i="2"/>
  <c r="BB165" i="2"/>
  <c r="BB201" i="2" s="1"/>
  <c r="BG404" i="2"/>
  <c r="BG498" i="2" s="1"/>
  <c r="BG165" i="2"/>
  <c r="BG201" i="2" s="1"/>
  <c r="CT112" i="2"/>
  <c r="F22" i="7"/>
  <c r="CG450" i="2"/>
  <c r="EB165" i="2"/>
  <c r="EB201" i="2" s="1"/>
  <c r="BY450" i="2"/>
  <c r="BY497" i="2" s="1"/>
  <c r="DT165" i="2"/>
  <c r="DT201" i="2" s="1"/>
  <c r="BN450" i="2"/>
  <c r="DI165" i="2"/>
  <c r="DI201" i="2" s="1"/>
  <c r="BO433" i="2"/>
  <c r="DJ72" i="2"/>
  <c r="BY481" i="2"/>
  <c r="CM161" i="2"/>
  <c r="W10" i="10"/>
  <c r="W9" i="10"/>
  <c r="W7" i="10"/>
  <c r="FB228" i="2"/>
  <c r="CL450" i="2"/>
  <c r="CL497" i="2" s="1"/>
  <c r="EG165" i="2"/>
  <c r="EG201" i="2" s="1"/>
  <c r="BM113" i="2"/>
  <c r="W2" i="10"/>
  <c r="G38" i="9"/>
  <c r="BX450" i="2"/>
  <c r="BX497" i="2" s="1"/>
  <c r="DS165" i="2"/>
  <c r="DS201" i="2" s="1"/>
  <c r="BP399" i="2"/>
  <c r="BP143" i="2"/>
  <c r="FC143" i="2"/>
  <c r="X10" i="9"/>
  <c r="W6" i="10"/>
  <c r="R38" i="9"/>
  <c r="R40" i="9" s="1"/>
  <c r="R41" i="9" s="1"/>
  <c r="R42" i="9" s="1"/>
  <c r="W12" i="10"/>
  <c r="W13" i="10"/>
  <c r="P34" i="9"/>
  <c r="CH445" i="2"/>
  <c r="CH492" i="2" s="1"/>
  <c r="BY445" i="2"/>
  <c r="BY492" i="2" s="1"/>
  <c r="Y26" i="9"/>
  <c r="Z26" i="9" s="1"/>
  <c r="AB26" i="9" s="1"/>
  <c r="Y28" i="9"/>
  <c r="Z28" i="9" s="1"/>
  <c r="AB28" i="9" s="1"/>
  <c r="M38" i="9"/>
  <c r="M40" i="9" s="1"/>
  <c r="M41" i="9" s="1"/>
  <c r="M42" i="9" s="1"/>
  <c r="Y22" i="9"/>
  <c r="X11" i="10" s="1"/>
  <c r="Y25" i="9"/>
  <c r="Z25" i="9" s="1"/>
  <c r="AB25" i="9" s="1"/>
  <c r="J38" i="9"/>
  <c r="N38" i="9"/>
  <c r="G47" i="9" s="1"/>
  <c r="DT143" i="2"/>
  <c r="T38" i="9"/>
  <c r="T40" i="9" s="1"/>
  <c r="T41" i="9" s="1"/>
  <c r="T42" i="9" s="1"/>
  <c r="Y29" i="9"/>
  <c r="Z29" i="9" s="1"/>
  <c r="AB29" i="9" s="1"/>
  <c r="O9" i="9"/>
  <c r="Y9" i="9" s="1"/>
  <c r="X6" i="10" s="1"/>
  <c r="I35" i="3"/>
  <c r="O33" i="9"/>
  <c r="Q38" i="9"/>
  <c r="Q40" i="9" s="1"/>
  <c r="Q41" i="9" s="1"/>
  <c r="Q42" i="9" s="1"/>
  <c r="P19" i="9"/>
  <c r="Y27" i="9"/>
  <c r="Z27" i="9" s="1"/>
  <c r="AB27" i="9" s="1"/>
  <c r="O18" i="9"/>
  <c r="O19" i="9" s="1"/>
  <c r="L134" i="6"/>
  <c r="BI461" i="2"/>
  <c r="BI507" i="2" s="1"/>
  <c r="F23" i="4"/>
  <c r="G23" i="4"/>
  <c r="BW466" i="2"/>
  <c r="DR228" i="2"/>
  <c r="CA466" i="2"/>
  <c r="CA512" i="2" s="1"/>
  <c r="DV228" i="2"/>
  <c r="CE10" i="2"/>
  <c r="CE19" i="2" s="1"/>
  <c r="CE381" i="2" s="1"/>
  <c r="DQ79" i="2"/>
  <c r="BV436" i="2" s="1"/>
  <c r="BV432" i="2"/>
  <c r="H36" i="9"/>
  <c r="H38" i="9" s="1"/>
  <c r="G45" i="9" s="1"/>
  <c r="F27" i="4"/>
  <c r="G27" i="4"/>
  <c r="AZ466" i="2"/>
  <c r="CL396" i="2"/>
  <c r="CL490" i="2" s="1"/>
  <c r="V21" i="4"/>
  <c r="BU50" i="2"/>
  <c r="BU384" i="2" s="1"/>
  <c r="BU478" i="2" s="1"/>
  <c r="ET149" i="2"/>
  <c r="AZ419" i="2"/>
  <c r="AZ228" i="2"/>
  <c r="AY414" i="2"/>
  <c r="AY507" i="2" s="1"/>
  <c r="N9" i="4"/>
  <c r="CQ228" i="2"/>
  <c r="L30" i="6"/>
  <c r="K25" i="7" s="1"/>
  <c r="G134" i="6"/>
  <c r="G136" i="6" s="1"/>
  <c r="BE461" i="2"/>
  <c r="BE507" i="2" s="1"/>
  <c r="CJ466" i="2"/>
  <c r="CJ512" i="2" s="1"/>
  <c r="EE228" i="2"/>
  <c r="CI191" i="2"/>
  <c r="CI414" i="2" s="1"/>
  <c r="CI507" i="2" s="1"/>
  <c r="EA228" i="2"/>
  <c r="CF466" i="2"/>
  <c r="S27" i="6"/>
  <c r="Q16" i="7" s="1"/>
  <c r="BJ65" i="2"/>
  <c r="BM65" i="2"/>
  <c r="BM386" i="2" s="1"/>
  <c r="EY149" i="2"/>
  <c r="EY150" i="2" s="1"/>
  <c r="M282" i="2"/>
  <c r="M284" i="2"/>
  <c r="M348" i="2" s="1"/>
  <c r="EY72" i="2"/>
  <c r="N36" i="3"/>
  <c r="CW50" i="2"/>
  <c r="BB431" i="2" s="1"/>
  <c r="BB478" i="2" s="1"/>
  <c r="H134" i="6"/>
  <c r="BF461" i="2"/>
  <c r="BF508" i="2" s="1"/>
  <c r="AW434" i="2"/>
  <c r="AW481" i="2" s="1"/>
  <c r="M308" i="2"/>
  <c r="DZ42" i="2"/>
  <c r="BX385" i="2"/>
  <c r="BX479" i="2" s="1"/>
  <c r="BX72" i="2"/>
  <c r="I36" i="9"/>
  <c r="I38" i="9" s="1"/>
  <c r="CE25" i="2"/>
  <c r="CU65" i="2"/>
  <c r="AZ433" i="2" s="1"/>
  <c r="AZ480" i="2" s="1"/>
  <c r="BM39" i="2"/>
  <c r="P24" i="7"/>
  <c r="CN185" i="2"/>
  <c r="CN412" i="2" s="1"/>
  <c r="N47" i="3"/>
  <c r="N29" i="4" s="1"/>
  <c r="CW65" i="2"/>
  <c r="BB433" i="2" s="1"/>
  <c r="BB480" i="2" s="1"/>
  <c r="EY161" i="2"/>
  <c r="EY165" i="2" s="1"/>
  <c r="EY201" i="2" s="1"/>
  <c r="AW403" i="2"/>
  <c r="K296" i="2"/>
  <c r="EI79" i="2"/>
  <c r="CN436" i="2" s="1"/>
  <c r="DZ79" i="2"/>
  <c r="CE436" i="2" s="1"/>
  <c r="BS383" i="2"/>
  <c r="BS477" i="2" s="1"/>
  <c r="BD25" i="2"/>
  <c r="W38" i="9"/>
  <c r="W40" i="9" s="1"/>
  <c r="W41" i="9" s="1"/>
  <c r="W42" i="9" s="1"/>
  <c r="BZ490" i="2"/>
  <c r="ET182" i="2"/>
  <c r="BB434" i="2"/>
  <c r="BB481" i="2" s="1"/>
  <c r="BQ182" i="2"/>
  <c r="BQ411" i="2" s="1"/>
  <c r="BQ505" i="2" s="1"/>
  <c r="EI134" i="2"/>
  <c r="BD136" i="2"/>
  <c r="L13" i="6"/>
  <c r="L61" i="6"/>
  <c r="CX214" i="2"/>
  <c r="DH65" i="2"/>
  <c r="BM433" i="2" s="1"/>
  <c r="ET50" i="2"/>
  <c r="BA434" i="2"/>
  <c r="K6" i="4"/>
  <c r="J308" i="2"/>
  <c r="EI42" i="2"/>
  <c r="BO386" i="2"/>
  <c r="BQ450" i="2"/>
  <c r="DL165" i="2"/>
  <c r="DL201" i="2" s="1"/>
  <c r="FC165" i="2"/>
  <c r="FC201" i="2" s="1"/>
  <c r="H28" i="4"/>
  <c r="L278" i="2"/>
  <c r="L342" i="2" s="1"/>
  <c r="I272" i="2"/>
  <c r="K282" i="2"/>
  <c r="K284" i="2"/>
  <c r="K348" i="2" s="1"/>
  <c r="J27" i="4"/>
  <c r="T24" i="7"/>
  <c r="U24" i="7"/>
  <c r="BV64" i="2"/>
  <c r="S22" i="7"/>
  <c r="R22" i="7"/>
  <c r="Q22" i="7"/>
  <c r="P22" i="7"/>
  <c r="M30" i="6"/>
  <c r="L25" i="7" s="1"/>
  <c r="J7" i="4"/>
  <c r="AY434" i="2"/>
  <c r="L125" i="6"/>
  <c r="W125" i="6"/>
  <c r="V125" i="6"/>
  <c r="S14" i="7"/>
  <c r="Q14" i="7"/>
  <c r="P14" i="7"/>
  <c r="CE113" i="2"/>
  <c r="S129" i="6"/>
  <c r="W129" i="6"/>
  <c r="V129" i="6"/>
  <c r="L129" i="6"/>
  <c r="R109" i="6"/>
  <c r="EP72" i="2"/>
  <c r="FA164" i="2"/>
  <c r="FL164" i="2" s="1"/>
  <c r="W23" i="4"/>
  <c r="V23" i="4"/>
  <c r="U23" i="4"/>
  <c r="CF411" i="2"/>
  <c r="J19" i="7"/>
  <c r="U19" i="7"/>
  <c r="T19" i="7"/>
  <c r="K19" i="7"/>
  <c r="Q18" i="7"/>
  <c r="P18" i="7"/>
  <c r="S18" i="7"/>
  <c r="J134" i="6"/>
  <c r="T48" i="3"/>
  <c r="S48" i="3"/>
  <c r="L28" i="3"/>
  <c r="K28" i="3"/>
  <c r="N28" i="3"/>
  <c r="ET185" i="2"/>
  <c r="CX79" i="2"/>
  <c r="AB21" i="7"/>
  <c r="DB79" i="2"/>
  <c r="AV411" i="2"/>
  <c r="N15" i="4"/>
  <c r="N20" i="3"/>
  <c r="S15" i="4"/>
  <c r="S20" i="3"/>
  <c r="FL161" i="2"/>
  <c r="CZ79" i="2"/>
  <c r="V80" i="6"/>
  <c r="J20" i="4"/>
  <c r="U39" i="6"/>
  <c r="T39" i="6"/>
  <c r="S39" i="6"/>
  <c r="BD157" i="2"/>
  <c r="M23" i="3"/>
  <c r="CK419" i="2"/>
  <c r="CK228" i="2"/>
  <c r="BX485" i="2"/>
  <c r="K38" i="9"/>
  <c r="K40" i="9" s="1"/>
  <c r="K41" i="9" s="1"/>
  <c r="K42" i="9" s="1"/>
  <c r="CA479" i="2"/>
  <c r="CG228" i="2"/>
  <c r="CG419" i="2"/>
  <c r="M13" i="4"/>
  <c r="CH477" i="2"/>
  <c r="EI28" i="2"/>
  <c r="CG475" i="2"/>
  <c r="BX475" i="2"/>
  <c r="BH398" i="2"/>
  <c r="K120" i="3"/>
  <c r="R24" i="7"/>
  <c r="I273" i="2"/>
  <c r="J35" i="3"/>
  <c r="T125" i="6"/>
  <c r="S125" i="6"/>
  <c r="R125" i="6"/>
  <c r="K14" i="7"/>
  <c r="O160" i="6"/>
  <c r="M14" i="7"/>
  <c r="L14" i="7"/>
  <c r="CX109" i="2"/>
  <c r="CY109" i="2" s="1"/>
  <c r="G62" i="3"/>
  <c r="BX398" i="2"/>
  <c r="BX492" i="2" s="1"/>
  <c r="L35" i="3"/>
  <c r="L36" i="3" s="1"/>
  <c r="CU50" i="2"/>
  <c r="AZ431" i="2" s="1"/>
  <c r="AZ478" i="2" s="1"/>
  <c r="J129" i="6"/>
  <c r="O129" i="6"/>
  <c r="R129" i="6"/>
  <c r="W109" i="6"/>
  <c r="U109" i="6"/>
  <c r="T109" i="6"/>
  <c r="S23" i="4"/>
  <c r="R23" i="4"/>
  <c r="Q23" i="4"/>
  <c r="ET28" i="2"/>
  <c r="EP201" i="2"/>
  <c r="BL79" i="2"/>
  <c r="BK458" i="2"/>
  <c r="BK505" i="2" s="1"/>
  <c r="Q19" i="7"/>
  <c r="P19" i="7"/>
  <c r="H19" i="7"/>
  <c r="V48" i="3"/>
  <c r="U48" i="3"/>
  <c r="L48" i="3"/>
  <c r="J28" i="3"/>
  <c r="BD111" i="2"/>
  <c r="H20" i="4"/>
  <c r="CE225" i="2"/>
  <c r="K22" i="4"/>
  <c r="M296" i="2"/>
  <c r="DZ28" i="2"/>
  <c r="L36" i="9"/>
  <c r="L38" i="9" s="1"/>
  <c r="J15" i="4"/>
  <c r="U20" i="3"/>
  <c r="U15" i="4"/>
  <c r="DD79" i="2"/>
  <c r="T80" i="6"/>
  <c r="CT161" i="2"/>
  <c r="M101" i="3"/>
  <c r="M107" i="3" s="1"/>
  <c r="V39" i="6"/>
  <c r="O39" i="6"/>
  <c r="CX40" i="2"/>
  <c r="CY40" i="2" s="1"/>
  <c r="I312" i="2" s="1"/>
  <c r="BH419" i="2"/>
  <c r="V40" i="9"/>
  <c r="V41" i="9" s="1"/>
  <c r="V42" i="9" s="1"/>
  <c r="K138" i="3"/>
  <c r="CB403" i="2"/>
  <c r="Q24" i="7"/>
  <c r="M22" i="7"/>
  <c r="I75" i="3"/>
  <c r="O75" i="3" s="1"/>
  <c r="P75" i="3"/>
  <c r="H27" i="4"/>
  <c r="M24" i="7"/>
  <c r="J29" i="4"/>
  <c r="H64" i="3"/>
  <c r="CS50" i="2"/>
  <c r="AX431" i="2" s="1"/>
  <c r="AX478" i="2" s="1"/>
  <c r="I25" i="7"/>
  <c r="AZ434" i="2"/>
  <c r="AZ481" i="2" s="1"/>
  <c r="S24" i="7"/>
  <c r="BC434" i="2"/>
  <c r="CE109" i="2"/>
  <c r="BF165" i="2"/>
  <c r="BF201" i="2" s="1"/>
  <c r="BF403" i="2"/>
  <c r="BD93" i="2"/>
  <c r="O125" i="6"/>
  <c r="R14" i="7"/>
  <c r="T160" i="6"/>
  <c r="I14" i="7"/>
  <c r="J282" i="2"/>
  <c r="J284" i="2"/>
  <c r="J348" i="2" s="1"/>
  <c r="BO165" i="2"/>
  <c r="BO201" i="2" s="1"/>
  <c r="BO403" i="2"/>
  <c r="T129" i="6"/>
  <c r="J109" i="6"/>
  <c r="O109" i="6"/>
  <c r="FA228" i="2"/>
  <c r="FL228" i="2" s="1"/>
  <c r="AZ436" i="2"/>
  <c r="DD182" i="2"/>
  <c r="BI458" i="2" s="1"/>
  <c r="BI505" i="2" s="1"/>
  <c r="Q26" i="6"/>
  <c r="I26" i="6"/>
  <c r="G19" i="7"/>
  <c r="D26" i="6"/>
  <c r="M19" i="7"/>
  <c r="L19" i="7"/>
  <c r="M18" i="7"/>
  <c r="T18" i="7"/>
  <c r="DB171" i="2"/>
  <c r="BG454" i="2" s="1"/>
  <c r="BG501" i="2" s="1"/>
  <c r="N136" i="3"/>
  <c r="CW161" i="2"/>
  <c r="CR113" i="2"/>
  <c r="J17" i="4"/>
  <c r="R48" i="3"/>
  <c r="Q48" i="3"/>
  <c r="V28" i="3"/>
  <c r="U28" i="3"/>
  <c r="FL134" i="2"/>
  <c r="CS79" i="2"/>
  <c r="BM182" i="2"/>
  <c r="BM411" i="2" s="1"/>
  <c r="BJ182" i="2"/>
  <c r="BJ411" i="2" s="1"/>
  <c r="V15" i="4"/>
  <c r="V20" i="3"/>
  <c r="Q15" i="4"/>
  <c r="Q20" i="3"/>
  <c r="BM214" i="2"/>
  <c r="BM79" i="2"/>
  <c r="W80" i="6"/>
  <c r="U80" i="6"/>
  <c r="CX128" i="2"/>
  <c r="CY128" i="2" s="1"/>
  <c r="R39" i="6"/>
  <c r="I278" i="2"/>
  <c r="AY143" i="2"/>
  <c r="AY398" i="2"/>
  <c r="CD149" i="2"/>
  <c r="CD400" i="2" s="1"/>
  <c r="CD494" i="2" s="1"/>
  <c r="BD164" i="2"/>
  <c r="BD404" i="2" s="1"/>
  <c r="BC164" i="2"/>
  <c r="BC404" i="2" s="1"/>
  <c r="CM412" i="2"/>
  <c r="CX36" i="2"/>
  <c r="CN27" i="2"/>
  <c r="BZ381" i="2"/>
  <c r="CJ477" i="2"/>
  <c r="AB2" i="10"/>
  <c r="AB5" i="10"/>
  <c r="AB7" i="10"/>
  <c r="AB12" i="10"/>
  <c r="AB6" i="10"/>
  <c r="AB10" i="10"/>
  <c r="AB13" i="10"/>
  <c r="AB8" i="10"/>
  <c r="AB9" i="10"/>
  <c r="AB11" i="10"/>
  <c r="BT498" i="2"/>
  <c r="N139" i="3"/>
  <c r="CB475" i="2"/>
  <c r="CK478" i="2"/>
  <c r="BR475" i="2"/>
  <c r="BZ398" i="2"/>
  <c r="BZ492" i="2" s="1"/>
  <c r="BA403" i="2"/>
  <c r="BA399" i="2"/>
  <c r="BW480" i="2"/>
  <c r="I30" i="6"/>
  <c r="G25" i="7"/>
  <c r="G13" i="6"/>
  <c r="AV431" i="2"/>
  <c r="AV478" i="2" s="1"/>
  <c r="H36" i="3"/>
  <c r="CR50" i="2"/>
  <c r="AW431" i="2" s="1"/>
  <c r="AW478" i="2" s="1"/>
  <c r="U22" i="7"/>
  <c r="T22" i="7"/>
  <c r="BV50" i="2"/>
  <c r="I24" i="7"/>
  <c r="AV434" i="2"/>
  <c r="AV481" i="2" s="1"/>
  <c r="U125" i="6"/>
  <c r="ET165" i="2"/>
  <c r="J14" i="7"/>
  <c r="U14" i="7"/>
  <c r="T14" i="7"/>
  <c r="F25" i="4"/>
  <c r="S25" i="4"/>
  <c r="K25" i="4"/>
  <c r="I25" i="4"/>
  <c r="Q25" i="4"/>
  <c r="R25" i="4"/>
  <c r="L25" i="4"/>
  <c r="V25" i="4"/>
  <c r="G25" i="4"/>
  <c r="W25" i="4"/>
  <c r="N25" i="4"/>
  <c r="U25" i="4"/>
  <c r="J25" i="4"/>
  <c r="T25" i="4"/>
  <c r="U129" i="6"/>
  <c r="S109" i="6"/>
  <c r="V109" i="6"/>
  <c r="J23" i="4"/>
  <c r="T23" i="4"/>
  <c r="CR112" i="2"/>
  <c r="R19" i="7"/>
  <c r="I19" i="7"/>
  <c r="R18" i="7"/>
  <c r="U18" i="7"/>
  <c r="L136" i="3"/>
  <c r="CU161" i="2"/>
  <c r="CS28" i="2"/>
  <c r="S28" i="3"/>
  <c r="R28" i="3"/>
  <c r="Q28" i="3"/>
  <c r="J77" i="3"/>
  <c r="CH458" i="2"/>
  <c r="CH505" i="2" s="1"/>
  <c r="R15" i="4"/>
  <c r="R20" i="3"/>
  <c r="L15" i="4"/>
  <c r="L20" i="3"/>
  <c r="W15" i="4"/>
  <c r="AV436" i="2"/>
  <c r="DC79" i="2"/>
  <c r="J135" i="3"/>
  <c r="CS161" i="2"/>
  <c r="CR99" i="2"/>
  <c r="J16" i="4"/>
  <c r="K101" i="3"/>
  <c r="K107" i="3" s="1"/>
  <c r="L18" i="4"/>
  <c r="W39" i="6"/>
  <c r="BG466" i="2"/>
  <c r="BG512" i="2" s="1"/>
  <c r="BM155" i="2"/>
  <c r="BJ403" i="2"/>
  <c r="BJ165" i="2"/>
  <c r="K20" i="7"/>
  <c r="L105" i="6"/>
  <c r="DG155" i="2"/>
  <c r="BC161" i="2"/>
  <c r="BS165" i="2"/>
  <c r="BS403" i="2"/>
  <c r="BS497" i="2" s="1"/>
  <c r="BO492" i="2"/>
  <c r="BX165" i="2"/>
  <c r="BX201" i="2" s="1"/>
  <c r="AZ475" i="2"/>
  <c r="BT478" i="2"/>
  <c r="L15" i="7"/>
  <c r="M102" i="6"/>
  <c r="DE161" i="2"/>
  <c r="BL164" i="2"/>
  <c r="BL404" i="2" s="1"/>
  <c r="BL498" i="2" s="1"/>
  <c r="M104" i="6"/>
  <c r="L31" i="6" l="1"/>
  <c r="X31" i="6"/>
  <c r="H31" i="6"/>
  <c r="J31" i="6"/>
  <c r="S31" i="6"/>
  <c r="U31" i="6"/>
  <c r="CD71" i="2"/>
  <c r="CM91" i="2"/>
  <c r="CM391" i="2" s="1"/>
  <c r="CM485" i="2" s="1"/>
  <c r="DC171" i="2"/>
  <c r="BH454" i="2" s="1"/>
  <c r="BH501" i="2" s="1"/>
  <c r="K108" i="6"/>
  <c r="J48" i="7" s="1"/>
  <c r="P37" i="6"/>
  <c r="N17" i="7" s="1"/>
  <c r="Q37" i="6"/>
  <c r="Y37" i="6" s="1"/>
  <c r="J17" i="7"/>
  <c r="G109" i="6"/>
  <c r="I108" i="6"/>
  <c r="G48" i="7"/>
  <c r="G5" i="7"/>
  <c r="BV177" i="2"/>
  <c r="BU179" i="2"/>
  <c r="BU410" i="2" s="1"/>
  <c r="BU504" i="2" s="1"/>
  <c r="H118" i="6"/>
  <c r="H5" i="7" s="1"/>
  <c r="DA179" i="2"/>
  <c r="BF457" i="2" s="1"/>
  <c r="BF504" i="2" s="1"/>
  <c r="CN431" i="2"/>
  <c r="EI72" i="2"/>
  <c r="H135" i="3"/>
  <c r="I24" i="4" s="1"/>
  <c r="N23" i="4"/>
  <c r="L23" i="4"/>
  <c r="I23" i="4"/>
  <c r="BE230" i="2"/>
  <c r="W10" i="4"/>
  <c r="S143" i="3"/>
  <c r="S146" i="3" s="1"/>
  <c r="S147" i="3" s="1"/>
  <c r="S148" i="3" s="1"/>
  <c r="Q143" i="3"/>
  <c r="Q146" i="3" s="1"/>
  <c r="R143" i="3"/>
  <c r="R146" i="3" s="1"/>
  <c r="R147" i="3" s="1"/>
  <c r="R148" i="3" s="1"/>
  <c r="U143" i="3"/>
  <c r="U146" i="3" s="1"/>
  <c r="U147" i="3" s="1"/>
  <c r="U148" i="3" s="1"/>
  <c r="T10" i="4"/>
  <c r="CE479" i="2"/>
  <c r="CN68" i="2"/>
  <c r="CN71" i="2" s="1"/>
  <c r="J267" i="2" s="1"/>
  <c r="J331" i="2" s="1"/>
  <c r="CZ228" i="2"/>
  <c r="AW201" i="2"/>
  <c r="G42" i="3"/>
  <c r="CF477" i="2"/>
  <c r="M158" i="6"/>
  <c r="CD42" i="2"/>
  <c r="CM381" i="2"/>
  <c r="CM475" i="2" s="1"/>
  <c r="CB383" i="2"/>
  <c r="CB477" i="2" s="1"/>
  <c r="BZ383" i="2"/>
  <c r="BZ477" i="2" s="1"/>
  <c r="G44" i="9"/>
  <c r="G48" i="9" s="1"/>
  <c r="DE226" i="2"/>
  <c r="BJ466" i="2" s="1"/>
  <c r="BJ512" i="2" s="1"/>
  <c r="K7" i="7"/>
  <c r="K156" i="6"/>
  <c r="DC226" i="2"/>
  <c r="BH466" i="2" s="1"/>
  <c r="BH512" i="2" s="1"/>
  <c r="FE226" i="2"/>
  <c r="FE228" i="2" s="1"/>
  <c r="X156" i="6"/>
  <c r="H156" i="6"/>
  <c r="I156" i="6" s="1"/>
  <c r="DA226" i="2"/>
  <c r="BF466" i="2" s="1"/>
  <c r="BF513" i="2" s="1"/>
  <c r="BC226" i="2"/>
  <c r="BC419" i="2" s="1"/>
  <c r="BC512" i="2" s="1"/>
  <c r="DG224" i="2"/>
  <c r="DG226" i="2" s="1"/>
  <c r="BL466" i="2" s="1"/>
  <c r="N306" i="2"/>
  <c r="DJ226" i="2"/>
  <c r="W13" i="4"/>
  <c r="J34" i="6"/>
  <c r="BA481" i="2"/>
  <c r="G7" i="7"/>
  <c r="M33" i="6"/>
  <c r="M34" i="6" s="1"/>
  <c r="DE71" i="2"/>
  <c r="BJ434" i="2" s="1"/>
  <c r="BJ481" i="2" s="1"/>
  <c r="BV68" i="2"/>
  <c r="BV71" i="2" s="1"/>
  <c r="L267" i="2" s="1"/>
  <c r="L331" i="2" s="1"/>
  <c r="BU71" i="2"/>
  <c r="BU387" i="2" s="1"/>
  <c r="BU481" i="2" s="1"/>
  <c r="BD68" i="2"/>
  <c r="BD71" i="2" s="1"/>
  <c r="I267" i="2" s="1"/>
  <c r="BC71" i="2"/>
  <c r="BC387" i="2" s="1"/>
  <c r="BC481" i="2" s="1"/>
  <c r="J330" i="2"/>
  <c r="J150" i="6"/>
  <c r="J160" i="6" s="1"/>
  <c r="G150" i="6"/>
  <c r="L150" i="6"/>
  <c r="L160" i="6" s="1"/>
  <c r="S19" i="7"/>
  <c r="DG93" i="2"/>
  <c r="DH93" i="2" s="1"/>
  <c r="FL28" i="2"/>
  <c r="FA72" i="2"/>
  <c r="EQ234" i="2"/>
  <c r="H16" i="4"/>
  <c r="I17" i="3"/>
  <c r="O17" i="3" s="1"/>
  <c r="P19" i="3"/>
  <c r="X19" i="3" s="1"/>
  <c r="D19" i="3"/>
  <c r="I101" i="3"/>
  <c r="O101" i="3" s="1"/>
  <c r="T116" i="3"/>
  <c r="T28" i="3"/>
  <c r="J114" i="3"/>
  <c r="J116" i="3" s="1"/>
  <c r="T20" i="3"/>
  <c r="P23" i="3"/>
  <c r="I23" i="3"/>
  <c r="O23" i="3" s="1"/>
  <c r="P18" i="3"/>
  <c r="P17" i="4" s="1"/>
  <c r="H17" i="4"/>
  <c r="D18" i="3"/>
  <c r="H12" i="4"/>
  <c r="G28" i="3"/>
  <c r="D27" i="3"/>
  <c r="P27" i="3"/>
  <c r="P12" i="4" s="1"/>
  <c r="H24" i="4"/>
  <c r="P135" i="3"/>
  <c r="P24" i="4" s="1"/>
  <c r="D135" i="3"/>
  <c r="S16" i="7"/>
  <c r="S7" i="7"/>
  <c r="U34" i="6"/>
  <c r="G136" i="3"/>
  <c r="G20" i="3"/>
  <c r="G79" i="3"/>
  <c r="H31" i="4" s="1"/>
  <c r="T121" i="3"/>
  <c r="T8" i="4"/>
  <c r="S9" i="7"/>
  <c r="U18" i="6"/>
  <c r="CD142" i="2"/>
  <c r="CD399" i="2" s="1"/>
  <c r="CD493" i="2" s="1"/>
  <c r="BL99" i="2"/>
  <c r="CR142" i="2"/>
  <c r="CV142" i="2"/>
  <c r="BA446" i="2" s="1"/>
  <c r="BA493" i="2" s="1"/>
  <c r="CT142" i="2"/>
  <c r="AY446" i="2" s="1"/>
  <c r="AY493" i="2" s="1"/>
  <c r="DC99" i="2"/>
  <c r="BV224" i="2"/>
  <c r="BV226" i="2" s="1"/>
  <c r="BV419" i="2" s="1"/>
  <c r="BC99" i="2"/>
  <c r="BU99" i="2"/>
  <c r="G14" i="6"/>
  <c r="G61" i="6"/>
  <c r="G67" i="6" s="1"/>
  <c r="G107" i="3"/>
  <c r="G66" i="3"/>
  <c r="X61" i="6"/>
  <c r="DG10" i="2"/>
  <c r="DH10" i="2" s="1"/>
  <c r="I280" i="2"/>
  <c r="I344" i="2" s="1"/>
  <c r="BM93" i="2"/>
  <c r="L280" i="2"/>
  <c r="L344" i="2" s="1"/>
  <c r="DE99" i="2"/>
  <c r="W11" i="4"/>
  <c r="CD99" i="2"/>
  <c r="CM99" i="2"/>
  <c r="CI143" i="2"/>
  <c r="I3" i="7"/>
  <c r="J14" i="6"/>
  <c r="X14" i="6"/>
  <c r="BC42" i="2"/>
  <c r="BC383" i="2" s="1"/>
  <c r="K3" i="7"/>
  <c r="L14" i="6"/>
  <c r="H66" i="3"/>
  <c r="CV42" i="2"/>
  <c r="BA430" i="2" s="1"/>
  <c r="BA477" i="2" s="1"/>
  <c r="M65" i="3"/>
  <c r="M66" i="3" s="1"/>
  <c r="CV91" i="2"/>
  <c r="L272" i="2"/>
  <c r="L336" i="2" s="1"/>
  <c r="BV91" i="2"/>
  <c r="BV391" i="2" s="1"/>
  <c r="BM88" i="2"/>
  <c r="BM91" i="2" s="1"/>
  <c r="BM391" i="2" s="1"/>
  <c r="BL91" i="2"/>
  <c r="BL391" i="2" s="1"/>
  <c r="BD88" i="2"/>
  <c r="BD91" i="2" s="1"/>
  <c r="BC91" i="2"/>
  <c r="BC391" i="2" s="1"/>
  <c r="BU91" i="2"/>
  <c r="BU391" i="2" s="1"/>
  <c r="BU485" i="2" s="1"/>
  <c r="K65" i="3"/>
  <c r="K66" i="3" s="1"/>
  <c r="CT91" i="2"/>
  <c r="W7" i="4"/>
  <c r="W66" i="3"/>
  <c r="N66" i="3"/>
  <c r="L66" i="3"/>
  <c r="BU42" i="2"/>
  <c r="BU383" i="2" s="1"/>
  <c r="BU477" i="2" s="1"/>
  <c r="CX42" i="2"/>
  <c r="BC430" i="2" s="1"/>
  <c r="DC42" i="2"/>
  <c r="BH430" i="2" s="1"/>
  <c r="BH477" i="2" s="1"/>
  <c r="CR42" i="2"/>
  <c r="AW430" i="2" s="1"/>
  <c r="AW477" i="2" s="1"/>
  <c r="V82" i="3"/>
  <c r="G8" i="7"/>
  <c r="BS228" i="2"/>
  <c r="BA512" i="2"/>
  <c r="DN226" i="2"/>
  <c r="BS466" i="2" s="1"/>
  <c r="BS512" i="2" s="1"/>
  <c r="DL226" i="2"/>
  <c r="BQ466" i="2" s="1"/>
  <c r="BQ512" i="2" s="1"/>
  <c r="BZ392" i="2"/>
  <c r="CQ143" i="2"/>
  <c r="H22" i="4"/>
  <c r="D78" i="3"/>
  <c r="K110" i="3"/>
  <c r="K114" i="3" s="1"/>
  <c r="K28" i="4"/>
  <c r="G73" i="6"/>
  <c r="G80" i="6" s="1"/>
  <c r="I125" i="6"/>
  <c r="N82" i="3"/>
  <c r="L82" i="3"/>
  <c r="W82" i="3"/>
  <c r="J82" i="3"/>
  <c r="BD116" i="2"/>
  <c r="M110" i="3"/>
  <c r="M114" i="3" s="1"/>
  <c r="BL116" i="2"/>
  <c r="CR116" i="2"/>
  <c r="BC116" i="2"/>
  <c r="CT116" i="2"/>
  <c r="CK392" i="2"/>
  <c r="BV112" i="2"/>
  <c r="BU116" i="2"/>
  <c r="M77" i="3"/>
  <c r="M21" i="4" s="1"/>
  <c r="CV116" i="2"/>
  <c r="BV102" i="2"/>
  <c r="CI392" i="2"/>
  <c r="CI116" i="2"/>
  <c r="CB392" i="2"/>
  <c r="CB116" i="2"/>
  <c r="CN224" i="2"/>
  <c r="CN226" i="2" s="1"/>
  <c r="CN419" i="2" s="1"/>
  <c r="CN512" i="2" s="1"/>
  <c r="N42" i="3"/>
  <c r="J42" i="3"/>
  <c r="L42" i="3"/>
  <c r="N26" i="4"/>
  <c r="J26" i="4"/>
  <c r="W26" i="4"/>
  <c r="L26" i="4"/>
  <c r="I26" i="4"/>
  <c r="BM102" i="2"/>
  <c r="BM116" i="2" s="1"/>
  <c r="K68" i="3"/>
  <c r="M68" i="3"/>
  <c r="H48" i="3"/>
  <c r="M61" i="6"/>
  <c r="CE99" i="2"/>
  <c r="G3" i="7"/>
  <c r="BV136" i="2"/>
  <c r="CX136" i="2"/>
  <c r="K73" i="6"/>
  <c r="K80" i="6" s="1"/>
  <c r="BD142" i="2"/>
  <c r="BM136" i="2"/>
  <c r="BM142" i="2" s="1"/>
  <c r="BM224" i="2"/>
  <c r="BZ228" i="2"/>
  <c r="M252" i="2" s="1"/>
  <c r="AW399" i="2"/>
  <c r="N11" i="4"/>
  <c r="BD224" i="2"/>
  <c r="L11" i="4"/>
  <c r="N116" i="3"/>
  <c r="DE134" i="2"/>
  <c r="DE143" i="2" s="1"/>
  <c r="J11" i="4"/>
  <c r="H110" i="3"/>
  <c r="W107" i="3"/>
  <c r="L107" i="3"/>
  <c r="L116" i="3" s="1"/>
  <c r="BV134" i="2"/>
  <c r="BV398" i="2" s="1"/>
  <c r="BU134" i="2"/>
  <c r="BU398" i="2" s="1"/>
  <c r="BU492" i="2" s="1"/>
  <c r="CX134" i="2"/>
  <c r="BD134" i="2"/>
  <c r="BC134" i="2"/>
  <c r="CX102" i="2"/>
  <c r="BD19" i="2"/>
  <c r="BD381" i="2" s="1"/>
  <c r="BD475" i="2" s="1"/>
  <c r="BC19" i="2"/>
  <c r="BC381" i="2" s="1"/>
  <c r="DC19" i="2"/>
  <c r="BH428" i="2" s="1"/>
  <c r="CR28" i="2"/>
  <c r="AW429" i="2" s="1"/>
  <c r="AW476" i="2" s="1"/>
  <c r="DE19" i="2"/>
  <c r="BJ428" i="2" s="1"/>
  <c r="CE224" i="2"/>
  <c r="CE226" i="2" s="1"/>
  <c r="BU149" i="2"/>
  <c r="BU400" i="2" s="1"/>
  <c r="BU494" i="2" s="1"/>
  <c r="BK445" i="2"/>
  <c r="BK492" i="2" s="1"/>
  <c r="W150" i="6"/>
  <c r="W160" i="6" s="1"/>
  <c r="BH438" i="2"/>
  <c r="BH485" i="2" s="1"/>
  <c r="BX228" i="2"/>
  <c r="M250" i="2" s="1"/>
  <c r="BH228" i="2"/>
  <c r="DN216" i="2"/>
  <c r="AV483" i="2"/>
  <c r="Y145" i="6"/>
  <c r="W15" i="7" s="1"/>
  <c r="CT149" i="2"/>
  <c r="AY447" i="2" s="1"/>
  <c r="AY494" i="2" s="1"/>
  <c r="CN216" i="2"/>
  <c r="CN393" i="2" s="1"/>
  <c r="CN487" i="2" s="1"/>
  <c r="BL216" i="2"/>
  <c r="K150" i="6"/>
  <c r="X150" i="6"/>
  <c r="BC216" i="2"/>
  <c r="BC393" i="2" s="1"/>
  <c r="DJ216" i="2"/>
  <c r="BO440" i="2" s="1"/>
  <c r="BO487" i="2" s="1"/>
  <c r="DE216" i="2"/>
  <c r="BJ440" i="2" s="1"/>
  <c r="CM216" i="2"/>
  <c r="CM393" i="2" s="1"/>
  <c r="CM487" i="2" s="1"/>
  <c r="CD216" i="2"/>
  <c r="CD393" i="2" s="1"/>
  <c r="CD487" i="2" s="1"/>
  <c r="DC216" i="2"/>
  <c r="BH440" i="2" s="1"/>
  <c r="BH487" i="2" s="1"/>
  <c r="CV216" i="2"/>
  <c r="BU216" i="2"/>
  <c r="BU393" i="2" s="1"/>
  <c r="DL216" i="2"/>
  <c r="BQ440" i="2" s="1"/>
  <c r="CE216" i="2"/>
  <c r="CE393" i="2" s="1"/>
  <c r="CE487" i="2" s="1"/>
  <c r="H10" i="4"/>
  <c r="D157" i="6"/>
  <c r="AB14" i="7" s="1"/>
  <c r="Q157" i="6"/>
  <c r="G14" i="7"/>
  <c r="DF150" i="2"/>
  <c r="DF72" i="2"/>
  <c r="BK434" i="2"/>
  <c r="BK481" i="2" s="1"/>
  <c r="BX512" i="2"/>
  <c r="J121" i="3"/>
  <c r="CQ72" i="2"/>
  <c r="I118" i="3"/>
  <c r="P15" i="3"/>
  <c r="X15" i="3" s="1"/>
  <c r="BD145" i="2"/>
  <c r="BC149" i="2"/>
  <c r="BC400" i="2" s="1"/>
  <c r="M118" i="3"/>
  <c r="M8" i="4" s="1"/>
  <c r="CV149" i="2"/>
  <c r="BA447" i="2" s="1"/>
  <c r="BA494" i="2" s="1"/>
  <c r="BS493" i="2"/>
  <c r="BM145" i="2"/>
  <c r="BM149" i="2" s="1"/>
  <c r="BM400" i="2" s="1"/>
  <c r="BM494" i="2" s="1"/>
  <c r="BL149" i="2"/>
  <c r="BL400" i="2" s="1"/>
  <c r="BL494" i="2" s="1"/>
  <c r="I15" i="3"/>
  <c r="O15" i="3" s="1"/>
  <c r="BC399" i="2"/>
  <c r="BM19" i="2"/>
  <c r="AY385" i="2"/>
  <c r="BM59" i="2"/>
  <c r="I9" i="6"/>
  <c r="K9" i="6"/>
  <c r="BU381" i="2"/>
  <c r="BU475" i="2" s="1"/>
  <c r="BU385" i="2"/>
  <c r="BU479" i="2" s="1"/>
  <c r="BJ143" i="2"/>
  <c r="K40" i="3"/>
  <c r="K30" i="4" s="1"/>
  <c r="BJ493" i="2"/>
  <c r="BL385" i="2"/>
  <c r="BL479" i="2" s="1"/>
  <c r="BC59" i="2"/>
  <c r="J136" i="3"/>
  <c r="BA432" i="2"/>
  <c r="BA479" i="2" s="1"/>
  <c r="AZ483" i="2"/>
  <c r="D143" i="6"/>
  <c r="DD228" i="2"/>
  <c r="I337" i="2"/>
  <c r="J105" i="6"/>
  <c r="I10" i="4"/>
  <c r="H8" i="4"/>
  <c r="P45" i="3"/>
  <c r="X45" i="3" s="1"/>
  <c r="X4" i="4" s="1"/>
  <c r="I45" i="3"/>
  <c r="O45" i="3" s="1"/>
  <c r="H4" i="4"/>
  <c r="CQ150" i="2"/>
  <c r="I102" i="6"/>
  <c r="K102" i="6"/>
  <c r="J20" i="7" s="1"/>
  <c r="DC161" i="2"/>
  <c r="DC165" i="2" s="1"/>
  <c r="BJ150" i="2"/>
  <c r="AW228" i="2"/>
  <c r="I250" i="2" s="1"/>
  <c r="CU228" i="2"/>
  <c r="BB483" i="2"/>
  <c r="BA483" i="2"/>
  <c r="N283" i="2"/>
  <c r="AY228" i="2"/>
  <c r="DF228" i="2"/>
  <c r="DB228" i="2"/>
  <c r="K27" i="6"/>
  <c r="K31" i="6" s="1"/>
  <c r="BD31" i="2"/>
  <c r="BV31" i="2"/>
  <c r="AW150" i="2"/>
  <c r="AW483" i="2"/>
  <c r="BF487" i="2"/>
  <c r="G22" i="7"/>
  <c r="I68" i="3"/>
  <c r="H26" i="4"/>
  <c r="Y9" i="6"/>
  <c r="BN440" i="2"/>
  <c r="BN487" i="2" s="1"/>
  <c r="DI228" i="2"/>
  <c r="DA150" i="2"/>
  <c r="CZ150" i="2"/>
  <c r="BX150" i="2"/>
  <c r="CS228" i="2"/>
  <c r="BH150" i="2"/>
  <c r="CS150" i="2"/>
  <c r="O15" i="7"/>
  <c r="Q148" i="6"/>
  <c r="L31" i="7"/>
  <c r="D149" i="6"/>
  <c r="AB32" i="7" s="1"/>
  <c r="J32" i="7"/>
  <c r="D148" i="6"/>
  <c r="AB31" i="7" s="1"/>
  <c r="DQ215" i="2"/>
  <c r="DP214" i="2"/>
  <c r="DQ214" i="2" s="1"/>
  <c r="H148" i="6"/>
  <c r="I148" i="6" s="1"/>
  <c r="BA150" i="2"/>
  <c r="ET150" i="2"/>
  <c r="BQ150" i="2"/>
  <c r="BK436" i="2"/>
  <c r="BK483" i="2" s="1"/>
  <c r="BS150" i="2"/>
  <c r="BO150" i="2"/>
  <c r="Q143" i="6"/>
  <c r="Y143" i="6" s="1"/>
  <c r="H149" i="6"/>
  <c r="CK72" i="2"/>
  <c r="X73" i="6"/>
  <c r="X80" i="6" s="1"/>
  <c r="BY150" i="2"/>
  <c r="BY230" i="2" s="1"/>
  <c r="BY233" i="2" s="1"/>
  <c r="CU150" i="2"/>
  <c r="AY389" i="2"/>
  <c r="AY483" i="2" s="1"/>
  <c r="AY150" i="2"/>
  <c r="BF436" i="2"/>
  <c r="BF483" i="2" s="1"/>
  <c r="CB389" i="2"/>
  <c r="CB483" i="2" s="1"/>
  <c r="CG150" i="2"/>
  <c r="CG230" i="2" s="1"/>
  <c r="BF150" i="2"/>
  <c r="Q149" i="6"/>
  <c r="G150" i="2"/>
  <c r="DD150" i="2"/>
  <c r="DB150" i="2"/>
  <c r="M9" i="6"/>
  <c r="CK389" i="2"/>
  <c r="CK483" i="2" s="1"/>
  <c r="CW150" i="2"/>
  <c r="BE440" i="2"/>
  <c r="BE487" i="2" s="1"/>
  <c r="AV440" i="2"/>
  <c r="AV487" i="2" s="1"/>
  <c r="V22" i="7"/>
  <c r="K22" i="7"/>
  <c r="P145" i="6"/>
  <c r="H22" i="7"/>
  <c r="I22" i="7"/>
  <c r="H77" i="3"/>
  <c r="I77" i="3" s="1"/>
  <c r="K77" i="3"/>
  <c r="J29" i="7"/>
  <c r="K61" i="6"/>
  <c r="CX215" i="2"/>
  <c r="CX216" i="2" s="1"/>
  <c r="DP210" i="2"/>
  <c r="DQ210" i="2" s="1"/>
  <c r="AY403" i="2"/>
  <c r="BA228" i="2"/>
  <c r="CW228" i="2"/>
  <c r="CX111" i="2"/>
  <c r="CY111" i="2" s="1"/>
  <c r="BS143" i="2"/>
  <c r="AW440" i="2"/>
  <c r="AW487" i="2" s="1"/>
  <c r="CR228" i="2"/>
  <c r="AY440" i="2"/>
  <c r="AY487" i="2" s="1"/>
  <c r="CT228" i="2"/>
  <c r="CH150" i="2"/>
  <c r="CC150" i="2"/>
  <c r="CJ150" i="2"/>
  <c r="CF150" i="2"/>
  <c r="BW150" i="2"/>
  <c r="CA150" i="2"/>
  <c r="CL150" i="2"/>
  <c r="V19" i="7"/>
  <c r="P103" i="3"/>
  <c r="P13" i="4" s="1"/>
  <c r="I103" i="3"/>
  <c r="O103" i="3" s="1"/>
  <c r="O13" i="4" s="1"/>
  <c r="D103" i="3"/>
  <c r="BF72" i="2"/>
  <c r="P26" i="6"/>
  <c r="V16" i="7"/>
  <c r="J30" i="4"/>
  <c r="L30" i="4"/>
  <c r="N30" i="4"/>
  <c r="H6" i="7"/>
  <c r="I6" i="7"/>
  <c r="J73" i="6"/>
  <c r="G6" i="7"/>
  <c r="I27" i="6"/>
  <c r="I31" i="6" s="1"/>
  <c r="K6" i="7"/>
  <c r="G16" i="7"/>
  <c r="CX99" i="2"/>
  <c r="I73" i="6"/>
  <c r="CT164" i="2"/>
  <c r="AY451" i="2" s="1"/>
  <c r="AY498" i="2" s="1"/>
  <c r="M27" i="6"/>
  <c r="M31" i="6" s="1"/>
  <c r="BJ430" i="2"/>
  <c r="BF477" i="2"/>
  <c r="DG31" i="2"/>
  <c r="BL383" i="2"/>
  <c r="BU399" i="2"/>
  <c r="BU493" i="2" s="1"/>
  <c r="CY127" i="2"/>
  <c r="BL399" i="2"/>
  <c r="M136" i="6"/>
  <c r="L27" i="7"/>
  <c r="H136" i="6"/>
  <c r="H27" i="7"/>
  <c r="J136" i="6"/>
  <c r="I27" i="7"/>
  <c r="I76" i="3"/>
  <c r="L136" i="6"/>
  <c r="K27" i="7"/>
  <c r="G27" i="7"/>
  <c r="M76" i="3"/>
  <c r="D76" i="3" s="1"/>
  <c r="V4" i="7"/>
  <c r="CN142" i="2"/>
  <c r="CN399" i="2" s="1"/>
  <c r="CN493" i="2" s="1"/>
  <c r="CM142" i="2"/>
  <c r="CM399" i="2" s="1"/>
  <c r="CM493" i="2" s="1"/>
  <c r="H40" i="3"/>
  <c r="H42" i="3" s="1"/>
  <c r="M40" i="3"/>
  <c r="W40" i="3"/>
  <c r="W42" i="3" s="1"/>
  <c r="BV17" i="2"/>
  <c r="BV19" i="2" s="1"/>
  <c r="J36" i="3"/>
  <c r="BM185" i="2"/>
  <c r="BM412" i="2" s="1"/>
  <c r="BS393" i="2"/>
  <c r="CK387" i="2"/>
  <c r="CK481" i="2" s="1"/>
  <c r="I129" i="6"/>
  <c r="H129" i="6"/>
  <c r="K18" i="7"/>
  <c r="H20" i="3"/>
  <c r="I18" i="7"/>
  <c r="CK165" i="2"/>
  <c r="CK201" i="2" s="1"/>
  <c r="CY214" i="2"/>
  <c r="J18" i="7"/>
  <c r="K65" i="6"/>
  <c r="P17" i="3"/>
  <c r="V6" i="7"/>
  <c r="BQ72" i="2"/>
  <c r="X109" i="6"/>
  <c r="BV210" i="2"/>
  <c r="BV216" i="2" s="1"/>
  <c r="BD210" i="2"/>
  <c r="I4" i="7"/>
  <c r="K4" i="7"/>
  <c r="W48" i="3"/>
  <c r="W28" i="3"/>
  <c r="X78" i="3"/>
  <c r="X22" i="4" s="1"/>
  <c r="X18" i="6"/>
  <c r="FE28" i="2"/>
  <c r="W18" i="3"/>
  <c r="J19" i="4"/>
  <c r="X39" i="6"/>
  <c r="H19" i="4"/>
  <c r="I65" i="3"/>
  <c r="H4" i="7"/>
  <c r="M25" i="4"/>
  <c r="H25" i="4"/>
  <c r="H23" i="4"/>
  <c r="G18" i="7"/>
  <c r="CE83" i="2"/>
  <c r="M272" i="2" s="1"/>
  <c r="M336" i="2" s="1"/>
  <c r="CX83" i="2"/>
  <c r="CM42" i="2"/>
  <c r="CM383" i="2" s="1"/>
  <c r="CM477" i="2" s="1"/>
  <c r="CM28" i="2"/>
  <c r="CM382" i="2" s="1"/>
  <c r="I296" i="2"/>
  <c r="N296" i="2" s="1"/>
  <c r="CN42" i="2"/>
  <c r="CN383" i="2" s="1"/>
  <c r="BX143" i="2"/>
  <c r="BF493" i="2"/>
  <c r="D35" i="3"/>
  <c r="O35" i="3"/>
  <c r="P35" i="3"/>
  <c r="X35" i="3" s="1"/>
  <c r="CD134" i="2"/>
  <c r="CD398" i="2" s="1"/>
  <c r="CD492" i="2" s="1"/>
  <c r="CI228" i="2"/>
  <c r="J252" i="2" s="1"/>
  <c r="BH403" i="2"/>
  <c r="K308" i="2"/>
  <c r="G4" i="7"/>
  <c r="CD385" i="2"/>
  <c r="CD479" i="2" s="1"/>
  <c r="BM121" i="2"/>
  <c r="BM396" i="2" s="1"/>
  <c r="CG143" i="2"/>
  <c r="J341" i="2"/>
  <c r="BQ403" i="2"/>
  <c r="BQ497" i="2" s="1"/>
  <c r="J292" i="2"/>
  <c r="DF165" i="2"/>
  <c r="DF201" i="2" s="1"/>
  <c r="BV28" i="2"/>
  <c r="L262" i="2" s="1"/>
  <c r="L326" i="2" s="1"/>
  <c r="BD64" i="2"/>
  <c r="BD65" i="2" s="1"/>
  <c r="I266" i="2" s="1"/>
  <c r="BC65" i="2"/>
  <c r="BC386" i="2" s="1"/>
  <c r="BD170" i="2"/>
  <c r="BD171" i="2" s="1"/>
  <c r="BD407" i="2" s="1"/>
  <c r="BD501" i="2" s="1"/>
  <c r="BS72" i="2"/>
  <c r="BV185" i="2"/>
  <c r="BV412" i="2" s="1"/>
  <c r="CE161" i="2"/>
  <c r="CE403" i="2" s="1"/>
  <c r="CE497" i="2" s="1"/>
  <c r="BI450" i="2"/>
  <c r="BI497" i="2" s="1"/>
  <c r="BD28" i="2"/>
  <c r="I262" i="2" s="1"/>
  <c r="CN149" i="2"/>
  <c r="CN400" i="2" s="1"/>
  <c r="CN494" i="2" s="1"/>
  <c r="DG83" i="2"/>
  <c r="DG91" i="2" s="1"/>
  <c r="DG111" i="2"/>
  <c r="DG116" i="2" s="1"/>
  <c r="BJ398" i="2"/>
  <c r="U15" i="7"/>
  <c r="V27" i="4"/>
  <c r="K36" i="3"/>
  <c r="BM170" i="2"/>
  <c r="BM171" i="2" s="1"/>
  <c r="BM407" i="2" s="1"/>
  <c r="CH475" i="2"/>
  <c r="BE493" i="2"/>
  <c r="BH459" i="2"/>
  <c r="CE149" i="2"/>
  <c r="CE400" i="2" s="1"/>
  <c r="CE494" i="2" s="1"/>
  <c r="M292" i="2"/>
  <c r="CY36" i="2"/>
  <c r="I309" i="2" s="1"/>
  <c r="I342" i="2" s="1"/>
  <c r="N342" i="2" s="1"/>
  <c r="CN50" i="2"/>
  <c r="CN384" i="2" s="1"/>
  <c r="BM210" i="2"/>
  <c r="BH382" i="2"/>
  <c r="BH476" i="2" s="1"/>
  <c r="I18" i="3"/>
  <c r="O18" i="3" s="1"/>
  <c r="DO228" i="2"/>
  <c r="I27" i="3"/>
  <c r="O27" i="3" s="1"/>
  <c r="O12" i="4" s="1"/>
  <c r="CM50" i="2"/>
  <c r="CM384" i="2" s="1"/>
  <c r="CM478" i="2" s="1"/>
  <c r="H28" i="3"/>
  <c r="CV50" i="2"/>
  <c r="BA431" i="2" s="1"/>
  <c r="BA478" i="2" s="1"/>
  <c r="BU28" i="2"/>
  <c r="BU382" i="2" s="1"/>
  <c r="BU476" i="2" s="1"/>
  <c r="M265" i="2"/>
  <c r="M329" i="2" s="1"/>
  <c r="BV79" i="2"/>
  <c r="BA165" i="2"/>
  <c r="BA201" i="2" s="1"/>
  <c r="BU161" i="2"/>
  <c r="BU403" i="2" s="1"/>
  <c r="BU497" i="2" s="1"/>
  <c r="M36" i="3"/>
  <c r="BM498" i="2"/>
  <c r="BH201" i="2"/>
  <c r="DM228" i="2"/>
  <c r="CT28" i="2"/>
  <c r="AY429" i="2" s="1"/>
  <c r="CN182" i="2"/>
  <c r="CN411" i="2" s="1"/>
  <c r="CN505" i="2" s="1"/>
  <c r="DG210" i="2"/>
  <c r="DG216" i="2" s="1"/>
  <c r="CX121" i="2"/>
  <c r="BC443" i="2" s="1"/>
  <c r="BT466" i="2"/>
  <c r="BT512" i="2" s="1"/>
  <c r="CE121" i="2"/>
  <c r="CE396" i="2" s="1"/>
  <c r="CE490" i="2" s="1"/>
  <c r="BV121" i="2"/>
  <c r="BV396" i="2" s="1"/>
  <c r="BV490" i="2" s="1"/>
  <c r="BI493" i="2"/>
  <c r="DG170" i="2"/>
  <c r="DG171" i="2" s="1"/>
  <c r="BL454" i="2" s="1"/>
  <c r="BL501" i="2" s="1"/>
  <c r="CE185" i="2"/>
  <c r="CE412" i="2" s="1"/>
  <c r="CY26" i="2"/>
  <c r="I299" i="2" s="1"/>
  <c r="N299" i="2" s="1"/>
  <c r="BM50" i="2"/>
  <c r="BM384" i="2" s="1"/>
  <c r="BM478" i="2" s="1"/>
  <c r="BC28" i="2"/>
  <c r="BC382" i="2" s="1"/>
  <c r="BZ165" i="2"/>
  <c r="BZ201" i="2" s="1"/>
  <c r="CN134" i="2"/>
  <c r="CN398" i="2" s="1"/>
  <c r="CE182" i="2"/>
  <c r="CE411" i="2" s="1"/>
  <c r="CE505" i="2" s="1"/>
  <c r="BA143" i="2"/>
  <c r="CM134" i="2"/>
  <c r="CM398" i="2" s="1"/>
  <c r="CM492" i="2" s="1"/>
  <c r="DG39" i="2"/>
  <c r="DH39" i="2" s="1"/>
  <c r="K311" i="2" s="1"/>
  <c r="CX145" i="2"/>
  <c r="AY72" i="2"/>
  <c r="CN121" i="2"/>
  <c r="CN396" i="2" s="1"/>
  <c r="CN490" i="2" s="1"/>
  <c r="CD91" i="2"/>
  <c r="CD391" i="2" s="1"/>
  <c r="CD485" i="2" s="1"/>
  <c r="BR487" i="2"/>
  <c r="CZ143" i="2"/>
  <c r="CN170" i="2"/>
  <c r="CN171" i="2" s="1"/>
  <c r="CN407" i="2" s="1"/>
  <c r="CN501" i="2" s="1"/>
  <c r="CG493" i="2"/>
  <c r="BV430" i="2"/>
  <c r="CX22" i="2"/>
  <c r="CY22" i="2" s="1"/>
  <c r="I295" i="2" s="1"/>
  <c r="BV170" i="2"/>
  <c r="BV171" i="2" s="1"/>
  <c r="BV407" i="2" s="1"/>
  <c r="BV501" i="2" s="1"/>
  <c r="BH493" i="2"/>
  <c r="CV65" i="2"/>
  <c r="BA433" i="2" s="1"/>
  <c r="BA480" i="2" s="1"/>
  <c r="CX88" i="2"/>
  <c r="CY88" i="2" s="1"/>
  <c r="CY157" i="2"/>
  <c r="CR161" i="2"/>
  <c r="AW450" i="2" s="1"/>
  <c r="AW497" i="2" s="1"/>
  <c r="DC182" i="2"/>
  <c r="BH458" i="2" s="1"/>
  <c r="BH505" i="2" s="1"/>
  <c r="BZ72" i="2"/>
  <c r="BM31" i="2"/>
  <c r="BM42" i="2" s="1"/>
  <c r="AZ476" i="2"/>
  <c r="BL161" i="2"/>
  <c r="BL165" i="2" s="1"/>
  <c r="CZ165" i="2"/>
  <c r="CZ201" i="2" s="1"/>
  <c r="CM512" i="2"/>
  <c r="CN17" i="2"/>
  <c r="CN19" i="2" s="1"/>
  <c r="DG17" i="2"/>
  <c r="DH17" i="2" s="1"/>
  <c r="BA72" i="2"/>
  <c r="CV161" i="2"/>
  <c r="BA450" i="2" s="1"/>
  <c r="BA497" i="2" s="1"/>
  <c r="CN79" i="2"/>
  <c r="CV28" i="2"/>
  <c r="BA429" i="2" s="1"/>
  <c r="CN386" i="2"/>
  <c r="CN480" i="2" s="1"/>
  <c r="L284" i="2"/>
  <c r="L348" i="2" s="1"/>
  <c r="BQ143" i="2"/>
  <c r="CM79" i="2"/>
  <c r="BE445" i="2"/>
  <c r="BE492" i="2" s="1"/>
  <c r="BQ228" i="2"/>
  <c r="BL50" i="2"/>
  <c r="BL384" i="2" s="1"/>
  <c r="BL478" i="2" s="1"/>
  <c r="BS201" i="2"/>
  <c r="DC185" i="2"/>
  <c r="BV498" i="2"/>
  <c r="DQ165" i="2"/>
  <c r="DQ201" i="2" s="1"/>
  <c r="BV161" i="2"/>
  <c r="BV165" i="2" s="1"/>
  <c r="N274" i="2"/>
  <c r="BM480" i="2"/>
  <c r="BH143" i="2"/>
  <c r="CD28" i="2"/>
  <c r="CD382" i="2" s="1"/>
  <c r="CD476" i="2" s="1"/>
  <c r="EI165" i="2"/>
  <c r="EI201" i="2" s="1"/>
  <c r="DZ143" i="2"/>
  <c r="I292" i="2"/>
  <c r="EI228" i="2"/>
  <c r="J361" i="2" s="1"/>
  <c r="CE445" i="2"/>
  <c r="CG512" i="2"/>
  <c r="CD497" i="2"/>
  <c r="BV450" i="2"/>
  <c r="AW447" i="2"/>
  <c r="AW494" i="2" s="1"/>
  <c r="CX110" i="2"/>
  <c r="K23" i="4"/>
  <c r="N278" i="2"/>
  <c r="DG68" i="2"/>
  <c r="N121" i="3"/>
  <c r="CY64" i="2"/>
  <c r="CB165" i="2"/>
  <c r="CB201" i="2" s="1"/>
  <c r="CE50" i="2"/>
  <c r="M264" i="2" s="1"/>
  <c r="M328" i="2" s="1"/>
  <c r="BZ143" i="2"/>
  <c r="CB497" i="2"/>
  <c r="CS143" i="2"/>
  <c r="DG185" i="2"/>
  <c r="CD50" i="2"/>
  <c r="CD384" i="2" s="1"/>
  <c r="CD478" i="2" s="1"/>
  <c r="D47" i="3"/>
  <c r="DE121" i="2"/>
  <c r="BJ443" i="2" s="1"/>
  <c r="BJ490" i="2" s="1"/>
  <c r="M64" i="6"/>
  <c r="M65" i="6" s="1"/>
  <c r="H18" i="7"/>
  <c r="I64" i="6"/>
  <c r="I65" i="6" s="1"/>
  <c r="L80" i="6"/>
  <c r="H24" i="7"/>
  <c r="BC121" i="2"/>
  <c r="BC396" i="2" s="1"/>
  <c r="DZ228" i="2"/>
  <c r="K240" i="2" s="1"/>
  <c r="K242" i="2" s="1"/>
  <c r="I120" i="3"/>
  <c r="O120" i="3" s="1"/>
  <c r="H121" i="3"/>
  <c r="CI476" i="2"/>
  <c r="BD414" i="2"/>
  <c r="BD508" i="2" s="1"/>
  <c r="BV494" i="2"/>
  <c r="BJ476" i="2"/>
  <c r="DQ116" i="2"/>
  <c r="CK512" i="2"/>
  <c r="CT65" i="2"/>
  <c r="AY433" i="2" s="1"/>
  <c r="AY480" i="2" s="1"/>
  <c r="K118" i="6"/>
  <c r="K120" i="6" s="1"/>
  <c r="BH457" i="2"/>
  <c r="BH504" i="2" s="1"/>
  <c r="DG25" i="2"/>
  <c r="DH25" i="2" s="1"/>
  <c r="CN498" i="2"/>
  <c r="I57" i="3"/>
  <c r="I59" i="3" s="1"/>
  <c r="P47" i="3"/>
  <c r="P29" i="4" s="1"/>
  <c r="CD171" i="2"/>
  <c r="CD407" i="2" s="1"/>
  <c r="CD501" i="2" s="1"/>
  <c r="CE170" i="2"/>
  <c r="CE171" i="2" s="1"/>
  <c r="CE407" i="2" s="1"/>
  <c r="CE501" i="2" s="1"/>
  <c r="BQ201" i="2"/>
  <c r="CE466" i="2"/>
  <c r="BW497" i="2"/>
  <c r="CT121" i="2"/>
  <c r="AY443" i="2" s="1"/>
  <c r="AY490" i="2" s="1"/>
  <c r="AY481" i="2"/>
  <c r="CD512" i="2"/>
  <c r="CE28" i="2"/>
  <c r="M262" i="2" s="1"/>
  <c r="M326" i="2" s="1"/>
  <c r="CN165" i="2"/>
  <c r="BU164" i="2"/>
  <c r="BU404" i="2" s="1"/>
  <c r="BU498" i="2" s="1"/>
  <c r="AY201" i="2"/>
  <c r="CM165" i="2"/>
  <c r="L346" i="2"/>
  <c r="ET201" i="2"/>
  <c r="AV493" i="2"/>
  <c r="D17" i="3"/>
  <c r="I143" i="6"/>
  <c r="P143" i="6" s="1"/>
  <c r="CY24" i="2"/>
  <c r="I297" i="2" s="1"/>
  <c r="N297" i="2" s="1"/>
  <c r="BM161" i="2"/>
  <c r="BM403" i="2" s="1"/>
  <c r="BO497" i="2"/>
  <c r="CM385" i="2"/>
  <c r="CM479" i="2" s="1"/>
  <c r="BM28" i="2"/>
  <c r="K262" i="2" s="1"/>
  <c r="K326" i="2" s="1"/>
  <c r="CM403" i="2"/>
  <c r="CM497" i="2" s="1"/>
  <c r="L292" i="2"/>
  <c r="BR497" i="2"/>
  <c r="CF497" i="2"/>
  <c r="DG161" i="2"/>
  <c r="DG165" i="2" s="1"/>
  <c r="BV429" i="2"/>
  <c r="BZ497" i="2"/>
  <c r="DQ72" i="2"/>
  <c r="D57" i="3"/>
  <c r="M23" i="4"/>
  <c r="D55" i="6"/>
  <c r="AB23" i="7" s="1"/>
  <c r="Q55" i="6"/>
  <c r="L109" i="6"/>
  <c r="I55" i="6"/>
  <c r="P55" i="6" s="1"/>
  <c r="N23" i="7" s="1"/>
  <c r="H39" i="6"/>
  <c r="D45" i="3"/>
  <c r="DD72" i="2"/>
  <c r="I307" i="2"/>
  <c r="CW72" i="2"/>
  <c r="BE497" i="2"/>
  <c r="H109" i="6"/>
  <c r="X105" i="3"/>
  <c r="X14" i="4" s="1"/>
  <c r="V160" i="6"/>
  <c r="U160" i="6"/>
  <c r="N48" i="3"/>
  <c r="O47" i="3"/>
  <c r="O29" i="4" s="1"/>
  <c r="P57" i="3"/>
  <c r="P59" i="3" s="1"/>
  <c r="J125" i="6"/>
  <c r="M139" i="3"/>
  <c r="X12" i="10"/>
  <c r="BD384" i="2"/>
  <c r="I264" i="2"/>
  <c r="CI201" i="2"/>
  <c r="M4" i="4"/>
  <c r="DZ165" i="2"/>
  <c r="DZ201" i="2" s="1"/>
  <c r="CE112" i="2"/>
  <c r="BJ461" i="2"/>
  <c r="BJ507" i="2" s="1"/>
  <c r="DZ72" i="2"/>
  <c r="CX112" i="2"/>
  <c r="BV414" i="2"/>
  <c r="BV507" i="2" s="1"/>
  <c r="CW143" i="2"/>
  <c r="CY79" i="2"/>
  <c r="BD161" i="2"/>
  <c r="BD165" i="2" s="1"/>
  <c r="CD381" i="2"/>
  <c r="CD475" i="2" s="1"/>
  <c r="BD78" i="2"/>
  <c r="BD79" i="2" s="1"/>
  <c r="DG78" i="2"/>
  <c r="DH78" i="2" s="1"/>
  <c r="CE177" i="2"/>
  <c r="CD410" i="2"/>
  <c r="CD504" i="2" s="1"/>
  <c r="M10" i="4"/>
  <c r="D15" i="3"/>
  <c r="BG476" i="2"/>
  <c r="BY421" i="2"/>
  <c r="BO480" i="2"/>
  <c r="DB165" i="2"/>
  <c r="DB201" i="2" s="1"/>
  <c r="P17" i="6"/>
  <c r="N251" i="2"/>
  <c r="P251" i="2" s="1"/>
  <c r="CL512" i="2"/>
  <c r="CI396" i="2"/>
  <c r="CI490" i="2" s="1"/>
  <c r="J18" i="6"/>
  <c r="DA72" i="2"/>
  <c r="CV164" i="2"/>
  <c r="BA451" i="2" s="1"/>
  <c r="BA498" i="2" s="1"/>
  <c r="BL28" i="2"/>
  <c r="BL382" i="2" s="1"/>
  <c r="CN497" i="2"/>
  <c r="DE79" i="2"/>
  <c r="BE512" i="2"/>
  <c r="DG121" i="2"/>
  <c r="BL443" i="2" s="1"/>
  <c r="BL490" i="2" s="1"/>
  <c r="DH119" i="2"/>
  <c r="DH121" i="2" s="1"/>
  <c r="BM443" i="2" s="1"/>
  <c r="CD387" i="2"/>
  <c r="CD481" i="2" s="1"/>
  <c r="CE71" i="2"/>
  <c r="M118" i="6"/>
  <c r="M120" i="6" s="1"/>
  <c r="BJ457" i="2"/>
  <c r="BJ504" i="2" s="1"/>
  <c r="BM177" i="2"/>
  <c r="BL410" i="2"/>
  <c r="K5" i="7"/>
  <c r="CM410" i="2"/>
  <c r="CM504" i="2" s="1"/>
  <c r="CN177" i="2"/>
  <c r="BD177" i="2"/>
  <c r="BC410" i="2"/>
  <c r="BC504" i="2" s="1"/>
  <c r="DG177" i="2"/>
  <c r="DG179" i="2" s="1"/>
  <c r="M39" i="6"/>
  <c r="D30" i="6"/>
  <c r="AB25" i="7" s="1"/>
  <c r="BJ459" i="2"/>
  <c r="DE185" i="2"/>
  <c r="BJ393" i="2"/>
  <c r="BJ228" i="2"/>
  <c r="BP476" i="2"/>
  <c r="K266" i="2"/>
  <c r="K330" i="2" s="1"/>
  <c r="BC185" i="2"/>
  <c r="BC412" i="2" s="1"/>
  <c r="BD185" i="2"/>
  <c r="BD412" i="2" s="1"/>
  <c r="BD506" i="2" s="1"/>
  <c r="P36" i="9"/>
  <c r="P38" i="9" s="1"/>
  <c r="K24" i="7"/>
  <c r="D17" i="6"/>
  <c r="AB9" i="7" s="1"/>
  <c r="Q17" i="6"/>
  <c r="O9" i="7" s="1"/>
  <c r="M18" i="6"/>
  <c r="CV121" i="2"/>
  <c r="BA443" i="2" s="1"/>
  <c r="BA490" i="2" s="1"/>
  <c r="BD215" i="2"/>
  <c r="BD121" i="2" s="1"/>
  <c r="BD396" i="2" s="1"/>
  <c r="I5" i="7"/>
  <c r="CI385" i="2"/>
  <c r="CI479" i="2" s="1"/>
  <c r="CI72" i="2"/>
  <c r="CD164" i="2"/>
  <c r="CE163" i="2"/>
  <c r="CE164" i="2" s="1"/>
  <c r="CE404" i="2" s="1"/>
  <c r="CE498" i="2" s="1"/>
  <c r="H5" i="4"/>
  <c r="I138" i="3"/>
  <c r="O138" i="3" s="1"/>
  <c r="O5" i="4" s="1"/>
  <c r="L5" i="4"/>
  <c r="L139" i="3"/>
  <c r="CX27" i="2"/>
  <c r="CE79" i="2"/>
  <c r="CD79" i="2"/>
  <c r="BJ389" i="2"/>
  <c r="N5" i="10"/>
  <c r="Y10" i="9"/>
  <c r="AC10" i="9" s="1"/>
  <c r="N7" i="10"/>
  <c r="Y21" i="9"/>
  <c r="Z21" i="9" s="1"/>
  <c r="Z30" i="9" s="1"/>
  <c r="AB30" i="9" s="1"/>
  <c r="G40" i="9"/>
  <c r="G41" i="9" s="1"/>
  <c r="G42" i="9" s="1"/>
  <c r="K33" i="6"/>
  <c r="BH434" i="2"/>
  <c r="BH481" i="2" s="1"/>
  <c r="J249" i="2"/>
  <c r="N249" i="2" s="1"/>
  <c r="P249" i="2" s="1"/>
  <c r="AV243" i="2"/>
  <c r="BF450" i="2"/>
  <c r="BF497" i="2" s="1"/>
  <c r="DA165" i="2"/>
  <c r="FA165" i="2"/>
  <c r="FA201" i="2" s="1"/>
  <c r="FL201" i="2" s="1"/>
  <c r="BR485" i="2"/>
  <c r="AY512" i="2"/>
  <c r="H13" i="7"/>
  <c r="H105" i="6"/>
  <c r="I104" i="6"/>
  <c r="BP487" i="2"/>
  <c r="H34" i="6"/>
  <c r="H7" i="7"/>
  <c r="I33" i="6"/>
  <c r="I34" i="6" s="1"/>
  <c r="DE171" i="2"/>
  <c r="BJ454" i="2" s="1"/>
  <c r="BJ501" i="2" s="1"/>
  <c r="CB386" i="2"/>
  <c r="CB480" i="2" s="1"/>
  <c r="CB72" i="2"/>
  <c r="CE62" i="2"/>
  <c r="CE65" i="2" s="1"/>
  <c r="CD386" i="2"/>
  <c r="CD480" i="2" s="1"/>
  <c r="CX62" i="2"/>
  <c r="BU65" i="2"/>
  <c r="BU386" i="2" s="1"/>
  <c r="BU480" i="2" s="1"/>
  <c r="P30" i="6"/>
  <c r="Q30" i="6"/>
  <c r="Y30" i="6" s="1"/>
  <c r="W25" i="7" s="1"/>
  <c r="AA29" i="9"/>
  <c r="AC29" i="9" s="1"/>
  <c r="Z22" i="9"/>
  <c r="AA22" i="9" s="1"/>
  <c r="Z11" i="10" s="1"/>
  <c r="K48" i="3"/>
  <c r="X9" i="10"/>
  <c r="BN497" i="2"/>
  <c r="CK399" i="2"/>
  <c r="CK493" i="2" s="1"/>
  <c r="CK143" i="2"/>
  <c r="L121" i="3"/>
  <c r="N40" i="9"/>
  <c r="N41" i="9" s="1"/>
  <c r="N42" i="9" s="1"/>
  <c r="X38" i="9"/>
  <c r="X40" i="9" s="1"/>
  <c r="X41" i="9" s="1"/>
  <c r="X42" i="9" s="1"/>
  <c r="BP493" i="2"/>
  <c r="CG497" i="2"/>
  <c r="AA26" i="9"/>
  <c r="AC26" i="9" s="1"/>
  <c r="J40" i="9"/>
  <c r="J41" i="9" s="1"/>
  <c r="J42" i="9" s="1"/>
  <c r="X7" i="10"/>
  <c r="O10" i="9"/>
  <c r="N12" i="10"/>
  <c r="N13" i="10"/>
  <c r="N6" i="10"/>
  <c r="X8" i="10"/>
  <c r="X2" i="10"/>
  <c r="N9" i="10"/>
  <c r="N2" i="10"/>
  <c r="N10" i="10"/>
  <c r="X5" i="10"/>
  <c r="N8" i="10"/>
  <c r="N11" i="10"/>
  <c r="P22" i="4"/>
  <c r="I40" i="9"/>
  <c r="I41" i="9" s="1"/>
  <c r="I42" i="9" s="1"/>
  <c r="Y18" i="9"/>
  <c r="Z18" i="9" s="1"/>
  <c r="AA18" i="9" s="1"/>
  <c r="O34" i="9"/>
  <c r="O36" i="9" s="1"/>
  <c r="Y33" i="9"/>
  <c r="AA27" i="9"/>
  <c r="AC27" i="9" s="1"/>
  <c r="L40" i="9"/>
  <c r="L41" i="9" s="1"/>
  <c r="L42" i="9" s="1"/>
  <c r="M341" i="2"/>
  <c r="AA25" i="9"/>
  <c r="AC25" i="9" s="1"/>
  <c r="CM191" i="2"/>
  <c r="CN191" i="2"/>
  <c r="CN414" i="2" s="1"/>
  <c r="CN507" i="2" s="1"/>
  <c r="CD191" i="2"/>
  <c r="CD414" i="2" s="1"/>
  <c r="CD507" i="2" s="1"/>
  <c r="CE191" i="2"/>
  <c r="CE414" i="2" s="1"/>
  <c r="CE507" i="2" s="1"/>
  <c r="V9" i="4"/>
  <c r="V121" i="3"/>
  <c r="EW72" i="2"/>
  <c r="AZ512" i="2"/>
  <c r="BW512" i="2"/>
  <c r="H40" i="9"/>
  <c r="H41" i="9" s="1"/>
  <c r="H42" i="9" s="1"/>
  <c r="K134" i="6"/>
  <c r="J27" i="7" s="1"/>
  <c r="BH461" i="2"/>
  <c r="BH507" i="2" s="1"/>
  <c r="FE149" i="2"/>
  <c r="FE150" i="2" s="1"/>
  <c r="BJ386" i="2"/>
  <c r="BJ480" i="2" s="1"/>
  <c r="CF512" i="2"/>
  <c r="ET143" i="2"/>
  <c r="BC182" i="2"/>
  <c r="BC411" i="2" s="1"/>
  <c r="BC505" i="2" s="1"/>
  <c r="BD182" i="2"/>
  <c r="BD411" i="2" s="1"/>
  <c r="BD505" i="2" s="1"/>
  <c r="CG421" i="2"/>
  <c r="FE50" i="2"/>
  <c r="BU182" i="2"/>
  <c r="BU411" i="2" s="1"/>
  <c r="BU505" i="2" s="1"/>
  <c r="BV182" i="2"/>
  <c r="BV411" i="2" s="1"/>
  <c r="BV505" i="2" s="1"/>
  <c r="BJ201" i="2"/>
  <c r="BV445" i="2"/>
  <c r="DQ143" i="2"/>
  <c r="FE182" i="2"/>
  <c r="I134" i="6"/>
  <c r="I136" i="6" s="1"/>
  <c r="AA28" i="9"/>
  <c r="AC28" i="9" s="1"/>
  <c r="CN430" i="2"/>
  <c r="J313" i="2"/>
  <c r="J346" i="2" s="1"/>
  <c r="BL414" i="2"/>
  <c r="BM414" i="2"/>
  <c r="CN445" i="2"/>
  <c r="EI143" i="2"/>
  <c r="M313" i="2"/>
  <c r="M346" i="2" s="1"/>
  <c r="CE430" i="2"/>
  <c r="O20" i="4"/>
  <c r="O16" i="4"/>
  <c r="Z12" i="10"/>
  <c r="CE398" i="2"/>
  <c r="O27" i="4"/>
  <c r="N312" i="2"/>
  <c r="I345" i="2"/>
  <c r="N345" i="2" s="1"/>
  <c r="L20" i="7"/>
  <c r="M105" i="6"/>
  <c r="AX450" i="2"/>
  <c r="AX497" i="2" s="1"/>
  <c r="CS165" i="2"/>
  <c r="CS201" i="2" s="1"/>
  <c r="BH436" i="2"/>
  <c r="BH483" i="2" s="1"/>
  <c r="DE165" i="2"/>
  <c r="BJ450" i="2"/>
  <c r="BJ497" i="2" s="1"/>
  <c r="BC165" i="2"/>
  <c r="BC403" i="2"/>
  <c r="BN466" i="2"/>
  <c r="K39" i="6"/>
  <c r="K20" i="3"/>
  <c r="J21" i="4"/>
  <c r="AX429" i="2"/>
  <c r="CS72" i="2"/>
  <c r="U131" i="6"/>
  <c r="BV384" i="2"/>
  <c r="BV478" i="2" s="1"/>
  <c r="L264" i="2"/>
  <c r="L328" i="2" s="1"/>
  <c r="Q13" i="6"/>
  <c r="I13" i="6"/>
  <c r="D13" i="6"/>
  <c r="AB24" i="7" s="1"/>
  <c r="G24" i="7"/>
  <c r="BL419" i="2"/>
  <c r="BL512" i="2" s="1"/>
  <c r="H78" i="3"/>
  <c r="CY113" i="2"/>
  <c r="O131" i="6"/>
  <c r="BL446" i="2"/>
  <c r="BD434" i="2"/>
  <c r="BA445" i="2"/>
  <c r="BA492" i="2" s="1"/>
  <c r="BI436" i="2"/>
  <c r="BI483" i="2" s="1"/>
  <c r="I284" i="2"/>
  <c r="I282" i="2"/>
  <c r="N282" i="2" s="1"/>
  <c r="M20" i="3"/>
  <c r="S131" i="6"/>
  <c r="N273" i="2"/>
  <c r="K9" i="4"/>
  <c r="D120" i="3"/>
  <c r="P120" i="3"/>
  <c r="K267" i="2"/>
  <c r="BM387" i="2"/>
  <c r="G46" i="9"/>
  <c r="AZ446" i="2"/>
  <c r="CU143" i="2"/>
  <c r="J39" i="6"/>
  <c r="FE185" i="2"/>
  <c r="FL42" i="2"/>
  <c r="BV438" i="2"/>
  <c r="BX395" i="2"/>
  <c r="W131" i="6"/>
  <c r="AV445" i="2"/>
  <c r="AV492" i="2" s="1"/>
  <c r="CU72" i="2"/>
  <c r="I336" i="2"/>
  <c r="BB476" i="2"/>
  <c r="AY445" i="2"/>
  <c r="AY492" i="2" s="1"/>
  <c r="DE182" i="2"/>
  <c r="BJ458" i="2" s="1"/>
  <c r="BJ505" i="2" s="1"/>
  <c r="J24" i="4"/>
  <c r="BU389" i="2"/>
  <c r="BU483" i="2" s="1"/>
  <c r="FE164" i="2"/>
  <c r="FE165" i="2" s="1"/>
  <c r="AX436" i="2"/>
  <c r="AX483" i="2" s="1"/>
  <c r="BB450" i="2"/>
  <c r="BB497" i="2" s="1"/>
  <c r="CW165" i="2"/>
  <c r="CW201" i="2" s="1"/>
  <c r="AB19" i="7"/>
  <c r="Y26" i="6"/>
  <c r="O19" i="7"/>
  <c r="J272" i="2"/>
  <c r="J336" i="2" s="1"/>
  <c r="CN91" i="2"/>
  <c r="BJ438" i="2"/>
  <c r="BJ485" i="2" s="1"/>
  <c r="AW438" i="2"/>
  <c r="AW485" i="2" s="1"/>
  <c r="CY163" i="2"/>
  <c r="AW451" i="2"/>
  <c r="AW498" i="2" s="1"/>
  <c r="M18" i="4"/>
  <c r="L39" i="6"/>
  <c r="BL389" i="2"/>
  <c r="P62" i="3"/>
  <c r="I62" i="3"/>
  <c r="D62" i="3"/>
  <c r="CN429" i="2"/>
  <c r="J301" i="2"/>
  <c r="J334" i="2" s="1"/>
  <c r="J250" i="2"/>
  <c r="X13" i="10"/>
  <c r="Y13" i="10"/>
  <c r="AB23" i="9"/>
  <c r="BE436" i="2"/>
  <c r="BE483" i="2" s="1"/>
  <c r="AV429" i="2"/>
  <c r="CF505" i="2"/>
  <c r="BG445" i="2"/>
  <c r="BG492" i="2" s="1"/>
  <c r="DB143" i="2"/>
  <c r="L13" i="7"/>
  <c r="D104" i="6"/>
  <c r="AB13" i="7" s="1"/>
  <c r="Q104" i="6"/>
  <c r="CQ165" i="2"/>
  <c r="CQ201" i="2" s="1"/>
  <c r="AV450" i="2"/>
  <c r="AV497" i="2" s="1"/>
  <c r="D101" i="3"/>
  <c r="K18" i="4"/>
  <c r="P101" i="3"/>
  <c r="J20" i="3"/>
  <c r="CU165" i="2"/>
  <c r="CU201" i="2" s="1"/>
  <c r="AZ450" i="2"/>
  <c r="AZ497" i="2" s="1"/>
  <c r="BG428" i="2"/>
  <c r="DB72" i="2"/>
  <c r="BZ475" i="2"/>
  <c r="DD201" i="2"/>
  <c r="AY477" i="2"/>
  <c r="BL182" i="2"/>
  <c r="BL411" i="2" s="1"/>
  <c r="DG182" i="2"/>
  <c r="BL458" i="2" s="1"/>
  <c r="AW398" i="2"/>
  <c r="AW492" i="2" s="1"/>
  <c r="I7" i="4"/>
  <c r="I64" i="3"/>
  <c r="O64" i="3" s="1"/>
  <c r="BH445" i="2"/>
  <c r="BH492" i="2" s="1"/>
  <c r="DC143" i="2"/>
  <c r="AY450" i="2"/>
  <c r="BC389" i="2"/>
  <c r="BP466" i="2"/>
  <c r="DK228" i="2"/>
  <c r="X20" i="4"/>
  <c r="P20" i="4"/>
  <c r="CN28" i="2"/>
  <c r="L6" i="4"/>
  <c r="R131" i="6"/>
  <c r="T131" i="6"/>
  <c r="J6" i="4"/>
  <c r="BF143" i="2"/>
  <c r="BF398" i="2"/>
  <c r="CZ72" i="2"/>
  <c r="BO143" i="2"/>
  <c r="BO399" i="2"/>
  <c r="BO493" i="2" s="1"/>
  <c r="DH155" i="2"/>
  <c r="DH161" i="2" s="1"/>
  <c r="M3" i="4"/>
  <c r="D23" i="3"/>
  <c r="AA23" i="9"/>
  <c r="I39" i="6"/>
  <c r="BG436" i="2"/>
  <c r="BG483" i="2" s="1"/>
  <c r="BC436" i="2"/>
  <c r="V131" i="6"/>
  <c r="DD143" i="2"/>
  <c r="BI445" i="2"/>
  <c r="BI492" i="2" s="1"/>
  <c r="I36" i="3"/>
  <c r="Y12" i="10"/>
  <c r="AB24" i="9"/>
  <c r="AC24" i="9" s="1"/>
  <c r="BM389" i="2"/>
  <c r="K268" i="2"/>
  <c r="K332" i="2" s="1"/>
  <c r="K7" i="4"/>
  <c r="P64" i="3"/>
  <c r="D64" i="3"/>
  <c r="X75" i="3"/>
  <c r="X27" i="4" s="1"/>
  <c r="P27" i="4"/>
  <c r="K139" i="3"/>
  <c r="D138" i="3"/>
  <c r="K5" i="4"/>
  <c r="P138" i="3"/>
  <c r="H139" i="3"/>
  <c r="CE429" i="2"/>
  <c r="M301" i="2"/>
  <c r="M334" i="2" s="1"/>
  <c r="W21" i="7"/>
  <c r="O21" i="7"/>
  <c r="ET72" i="2"/>
  <c r="BE475" i="2"/>
  <c r="K121" i="3"/>
  <c r="AV505" i="2"/>
  <c r="BG461" i="2"/>
  <c r="BG507" i="2" s="1"/>
  <c r="I21" i="7"/>
  <c r="AW443" i="2"/>
  <c r="AW490" i="2" s="1"/>
  <c r="CE386" i="2" l="1"/>
  <c r="CE480" i="2" s="1"/>
  <c r="M261" i="2"/>
  <c r="Y15" i="3"/>
  <c r="AA15" i="3" s="1"/>
  <c r="CN478" i="2"/>
  <c r="O17" i="7"/>
  <c r="K109" i="6"/>
  <c r="D108" i="6"/>
  <c r="P108" i="6"/>
  <c r="N48" i="7" s="1"/>
  <c r="Q108" i="6"/>
  <c r="O48" i="7" s="1"/>
  <c r="Z37" i="6"/>
  <c r="AB37" i="6" s="1"/>
  <c r="G131" i="6"/>
  <c r="I109" i="6"/>
  <c r="I118" i="6"/>
  <c r="I120" i="6" s="1"/>
  <c r="CE179" i="2"/>
  <c r="CE410" i="2" s="1"/>
  <c r="CE504" i="2" s="1"/>
  <c r="BD179" i="2"/>
  <c r="BD410" i="2" s="1"/>
  <c r="BD504" i="2" s="1"/>
  <c r="H120" i="6"/>
  <c r="CN179" i="2"/>
  <c r="CN410" i="2" s="1"/>
  <c r="CN504" i="2" s="1"/>
  <c r="BM179" i="2"/>
  <c r="BM410" i="2" s="1"/>
  <c r="BV179" i="2"/>
  <c r="BV410" i="2" s="1"/>
  <c r="BV504" i="2" s="1"/>
  <c r="I135" i="3"/>
  <c r="O135" i="3" s="1"/>
  <c r="O24" i="4" s="1"/>
  <c r="H136" i="3"/>
  <c r="CN387" i="2"/>
  <c r="CN481" i="2" s="1"/>
  <c r="O17" i="4"/>
  <c r="O15" i="4"/>
  <c r="Y19" i="3"/>
  <c r="AA19" i="3" s="1"/>
  <c r="L143" i="3"/>
  <c r="L146" i="3" s="1"/>
  <c r="L147" i="3" s="1"/>
  <c r="L148" i="3" s="1"/>
  <c r="J143" i="3"/>
  <c r="J146" i="3" s="1"/>
  <c r="J147" i="3" s="1"/>
  <c r="J148" i="3" s="1"/>
  <c r="N143" i="3"/>
  <c r="N146" i="3" s="1"/>
  <c r="T143" i="3"/>
  <c r="T146" i="3" s="1"/>
  <c r="T147" i="3" s="1"/>
  <c r="T148" i="3" s="1"/>
  <c r="V143" i="3"/>
  <c r="V146" i="3" s="1"/>
  <c r="P156" i="6"/>
  <c r="CE492" i="2"/>
  <c r="DA228" i="2"/>
  <c r="CE42" i="2"/>
  <c r="CE383" i="2" s="1"/>
  <c r="CE477" i="2" s="1"/>
  <c r="CG233" i="2"/>
  <c r="CG234" i="2" s="1"/>
  <c r="CG235" i="2" s="1"/>
  <c r="CD383" i="2"/>
  <c r="CD477" i="2" s="1"/>
  <c r="DH224" i="2"/>
  <c r="DH226" i="2" s="1"/>
  <c r="BM466" i="2" s="1"/>
  <c r="J8" i="7"/>
  <c r="Q156" i="6"/>
  <c r="Q158" i="6" s="1"/>
  <c r="K158" i="6"/>
  <c r="K160" i="6" s="1"/>
  <c r="X103" i="3"/>
  <c r="X13" i="4" s="1"/>
  <c r="BD387" i="2"/>
  <c r="BD481" i="2" s="1"/>
  <c r="L7" i="7"/>
  <c r="D33" i="6"/>
  <c r="AB7" i="7" s="1"/>
  <c r="DG71" i="2"/>
  <c r="BL434" i="2" s="1"/>
  <c r="BL481" i="2" s="1"/>
  <c r="G160" i="6"/>
  <c r="M150" i="6"/>
  <c r="M160" i="6" s="1"/>
  <c r="P79" i="3"/>
  <c r="X79" i="3" s="1"/>
  <c r="X31" i="4" s="1"/>
  <c r="P16" i="4"/>
  <c r="D79" i="3"/>
  <c r="CT59" i="2"/>
  <c r="AY432" i="2" s="1"/>
  <c r="AY479" i="2" s="1"/>
  <c r="X16" i="4"/>
  <c r="X135" i="3"/>
  <c r="X24" i="4" s="1"/>
  <c r="P136" i="3"/>
  <c r="X18" i="3"/>
  <c r="Y18" i="3" s="1"/>
  <c r="AA18" i="3" s="1"/>
  <c r="X27" i="3"/>
  <c r="X12" i="4" s="1"/>
  <c r="G139" i="3"/>
  <c r="BV65" i="2"/>
  <c r="L266" i="2" s="1"/>
  <c r="L330" i="2" s="1"/>
  <c r="P48" i="3"/>
  <c r="I79" i="3"/>
  <c r="O79" i="3" s="1"/>
  <c r="O31" i="4" s="1"/>
  <c r="BV142" i="2"/>
  <c r="BV399" i="2" s="1"/>
  <c r="BV493" i="2" s="1"/>
  <c r="G110" i="3"/>
  <c r="P110" i="3" s="1"/>
  <c r="P114" i="3" s="1"/>
  <c r="G82" i="3"/>
  <c r="CX142" i="2"/>
  <c r="K275" i="2"/>
  <c r="K339" i="2" s="1"/>
  <c r="BM99" i="2"/>
  <c r="H114" i="3"/>
  <c r="H116" i="3" s="1"/>
  <c r="BV99" i="2"/>
  <c r="BD99" i="2"/>
  <c r="BD398" i="2"/>
  <c r="BD143" i="2"/>
  <c r="I61" i="6"/>
  <c r="H61" i="6"/>
  <c r="DG99" i="2"/>
  <c r="K280" i="2"/>
  <c r="N280" i="2" s="1"/>
  <c r="BC446" i="2"/>
  <c r="BC493" i="2" s="1"/>
  <c r="K11" i="4"/>
  <c r="K116" i="3"/>
  <c r="CN99" i="2"/>
  <c r="M19" i="4"/>
  <c r="I14" i="6"/>
  <c r="L3" i="7"/>
  <c r="M14" i="6"/>
  <c r="Q14" i="6"/>
  <c r="W3" i="7"/>
  <c r="J3" i="7"/>
  <c r="K14" i="6"/>
  <c r="K19" i="4"/>
  <c r="O65" i="3"/>
  <c r="O19" i="4" s="1"/>
  <c r="D65" i="3"/>
  <c r="P65" i="3"/>
  <c r="X65" i="3" s="1"/>
  <c r="X19" i="4" s="1"/>
  <c r="CX91" i="2"/>
  <c r="I66" i="3"/>
  <c r="CY42" i="2"/>
  <c r="I313" i="2" s="1"/>
  <c r="DG42" i="2"/>
  <c r="BL430" i="2" s="1"/>
  <c r="BL477" i="2" s="1"/>
  <c r="BV42" i="2"/>
  <c r="L263" i="2" s="1"/>
  <c r="L327" i="2" s="1"/>
  <c r="BD42" i="2"/>
  <c r="BD383" i="2" s="1"/>
  <c r="L252" i="2"/>
  <c r="L253" i="2" s="1"/>
  <c r="DP226" i="2"/>
  <c r="BU466" i="2" s="1"/>
  <c r="BU512" i="2" s="1"/>
  <c r="BM226" i="2"/>
  <c r="BM419" i="2" s="1"/>
  <c r="K82" i="3"/>
  <c r="BD226" i="2"/>
  <c r="BD419" i="2" s="1"/>
  <c r="BD513" i="2" s="1"/>
  <c r="H125" i="6"/>
  <c r="K21" i="4"/>
  <c r="D77" i="3"/>
  <c r="M82" i="3"/>
  <c r="H82" i="3"/>
  <c r="M11" i="4"/>
  <c r="CX116" i="2"/>
  <c r="CY136" i="2"/>
  <c r="CY142" i="2" s="1"/>
  <c r="BD399" i="2"/>
  <c r="BV116" i="2"/>
  <c r="CE116" i="2"/>
  <c r="CM392" i="2"/>
  <c r="CM116" i="2"/>
  <c r="CD392" i="2"/>
  <c r="CD116" i="2"/>
  <c r="N25" i="7"/>
  <c r="Z30" i="6"/>
  <c r="AB30" i="6" s="1"/>
  <c r="A45" i="3"/>
  <c r="BV59" i="2"/>
  <c r="L265" i="2" s="1"/>
  <c r="L329" i="2" s="1"/>
  <c r="M42" i="3"/>
  <c r="P68" i="3"/>
  <c r="D68" i="3"/>
  <c r="K26" i="4"/>
  <c r="O68" i="3"/>
  <c r="M26" i="4"/>
  <c r="CY102" i="2"/>
  <c r="L279" i="2"/>
  <c r="L343" i="2" s="1"/>
  <c r="I279" i="2"/>
  <c r="I343" i="2" s="1"/>
  <c r="L22" i="7"/>
  <c r="I107" i="3"/>
  <c r="DH99" i="2"/>
  <c r="J279" i="2"/>
  <c r="J343" i="2" s="1"/>
  <c r="M279" i="2"/>
  <c r="M343" i="2" s="1"/>
  <c r="CE392" i="2"/>
  <c r="CQ230" i="2"/>
  <c r="J6" i="7"/>
  <c r="P107" i="3"/>
  <c r="I11" i="4"/>
  <c r="O107" i="3"/>
  <c r="CY134" i="2"/>
  <c r="BD445" i="2" s="1"/>
  <c r="BM134" i="2"/>
  <c r="BM398" i="2" s="1"/>
  <c r="DG134" i="2"/>
  <c r="BL445" i="2" s="1"/>
  <c r="M253" i="2"/>
  <c r="DC228" i="2"/>
  <c r="H32" i="7"/>
  <c r="I149" i="6"/>
  <c r="P149" i="6" s="1"/>
  <c r="CR72" i="2"/>
  <c r="DH19" i="2"/>
  <c r="BM428" i="2" s="1"/>
  <c r="DG19" i="2"/>
  <c r="BL428" i="2" s="1"/>
  <c r="K252" i="2"/>
  <c r="DJ228" i="2"/>
  <c r="DH83" i="2"/>
  <c r="DH91" i="2" s="1"/>
  <c r="BL438" i="2"/>
  <c r="BL485" i="2" s="1"/>
  <c r="CY83" i="2"/>
  <c r="Y157" i="6"/>
  <c r="W14" i="7" s="1"/>
  <c r="Z145" i="6"/>
  <c r="AB145" i="6" s="1"/>
  <c r="DE228" i="2"/>
  <c r="DP216" i="2"/>
  <c r="BU440" i="2" s="1"/>
  <c r="BU487" i="2" s="1"/>
  <c r="BD216" i="2"/>
  <c r="BD393" i="2" s="1"/>
  <c r="H150" i="6"/>
  <c r="BJ487" i="2"/>
  <c r="BM216" i="2"/>
  <c r="O14" i="7"/>
  <c r="O118" i="3"/>
  <c r="O8" i="4" s="1"/>
  <c r="D118" i="3"/>
  <c r="BC143" i="2"/>
  <c r="P118" i="3"/>
  <c r="P121" i="3" s="1"/>
  <c r="M121" i="3"/>
  <c r="CY145" i="2"/>
  <c r="CY149" i="2" s="1"/>
  <c r="BD447" i="2" s="1"/>
  <c r="CX149" i="2"/>
  <c r="BC447" i="2" s="1"/>
  <c r="BC494" i="2" s="1"/>
  <c r="BD149" i="2"/>
  <c r="BD400" i="2" s="1"/>
  <c r="BD59" i="2"/>
  <c r="BC385" i="2"/>
  <c r="BV381" i="2"/>
  <c r="BV475" i="2" s="1"/>
  <c r="I252" i="2"/>
  <c r="I253" i="2" s="1"/>
  <c r="BM399" i="2"/>
  <c r="K42" i="3"/>
  <c r="AY497" i="2"/>
  <c r="Q102" i="6"/>
  <c r="Q105" i="6" s="1"/>
  <c r="I105" i="6"/>
  <c r="K105" i="6"/>
  <c r="D102" i="6"/>
  <c r="AB20" i="7" s="1"/>
  <c r="P102" i="6"/>
  <c r="N20" i="7" s="1"/>
  <c r="P4" i="4"/>
  <c r="I316" i="2"/>
  <c r="CY215" i="2"/>
  <c r="CY216" i="2" s="1"/>
  <c r="CT165" i="2"/>
  <c r="CT201" i="2" s="1"/>
  <c r="N19" i="7"/>
  <c r="J16" i="7"/>
  <c r="DH31" i="2"/>
  <c r="BL143" i="2"/>
  <c r="CN228" i="2"/>
  <c r="J360" i="2" s="1"/>
  <c r="J362" i="2" s="1"/>
  <c r="CD228" i="2"/>
  <c r="P9" i="6"/>
  <c r="Z9" i="6" s="1"/>
  <c r="AB9" i="6" s="1"/>
  <c r="D9" i="6"/>
  <c r="AB3" i="7" s="1"/>
  <c r="Z143" i="6"/>
  <c r="AB143" i="6" s="1"/>
  <c r="CE228" i="2"/>
  <c r="M360" i="2" s="1"/>
  <c r="O29" i="7"/>
  <c r="CM228" i="2"/>
  <c r="I21" i="4"/>
  <c r="O77" i="3"/>
  <c r="O21" i="4" s="1"/>
  <c r="P77" i="3"/>
  <c r="X77" i="3" s="1"/>
  <c r="X21" i="4" s="1"/>
  <c r="L29" i="7"/>
  <c r="H29" i="7"/>
  <c r="Y149" i="6"/>
  <c r="O32" i="7"/>
  <c r="Y148" i="6"/>
  <c r="O31" i="7"/>
  <c r="P148" i="6"/>
  <c r="H31" i="7"/>
  <c r="H8" i="7"/>
  <c r="BV228" i="2"/>
  <c r="L360" i="2" s="1"/>
  <c r="BJ436" i="2"/>
  <c r="BJ483" i="2" s="1"/>
  <c r="DE150" i="2"/>
  <c r="CD389" i="2"/>
  <c r="CD483" i="2" s="1"/>
  <c r="H158" i="6"/>
  <c r="BV389" i="2"/>
  <c r="BV483" i="2" s="1"/>
  <c r="BD436" i="2"/>
  <c r="BL150" i="2"/>
  <c r="CE389" i="2"/>
  <c r="CE483" i="2" s="1"/>
  <c r="CM389" i="2"/>
  <c r="CM483" i="2" s="1"/>
  <c r="DH111" i="2"/>
  <c r="DH116" i="2" s="1"/>
  <c r="AY438" i="2"/>
  <c r="AY485" i="2" s="1"/>
  <c r="CT150" i="2"/>
  <c r="BU150" i="2"/>
  <c r="CR150" i="2"/>
  <c r="BA438" i="2"/>
  <c r="BA485" i="2" s="1"/>
  <c r="CV150" i="2"/>
  <c r="J268" i="2"/>
  <c r="J332" i="2" s="1"/>
  <c r="BC150" i="2"/>
  <c r="DC150" i="2"/>
  <c r="N15" i="7"/>
  <c r="K250" i="2"/>
  <c r="N250" i="2" s="1"/>
  <c r="BC440" i="2"/>
  <c r="BC487" i="2" s="1"/>
  <c r="BL393" i="2"/>
  <c r="J22" i="7"/>
  <c r="AB29" i="7"/>
  <c r="CY112" i="2"/>
  <c r="Q61" i="6"/>
  <c r="AB22" i="7"/>
  <c r="P61" i="6"/>
  <c r="CY99" i="2"/>
  <c r="K279" i="2"/>
  <c r="K343" i="2" s="1"/>
  <c r="CX228" i="2"/>
  <c r="BA440" i="2"/>
  <c r="BA487" i="2" s="1"/>
  <c r="CV228" i="2"/>
  <c r="BL440" i="2"/>
  <c r="DG228" i="2"/>
  <c r="Q31" i="4"/>
  <c r="BL398" i="2"/>
  <c r="CI150" i="2"/>
  <c r="CL395" i="2"/>
  <c r="CL421" i="2" s="1"/>
  <c r="CL230" i="2"/>
  <c r="BW395" i="2"/>
  <c r="BW421" i="2" s="1"/>
  <c r="BW230" i="2"/>
  <c r="CJ395" i="2"/>
  <c r="CJ421" i="2" s="1"/>
  <c r="CJ230" i="2"/>
  <c r="CJ233" i="2" s="1"/>
  <c r="CK150" i="2"/>
  <c r="BZ150" i="2"/>
  <c r="CA395" i="2"/>
  <c r="CA421" i="2" s="1"/>
  <c r="CA230" i="2"/>
  <c r="CF395" i="2"/>
  <c r="CF230" i="2"/>
  <c r="CC395" i="2"/>
  <c r="CC421" i="2" s="1"/>
  <c r="CC230" i="2"/>
  <c r="CH395" i="2"/>
  <c r="CH421" i="2" s="1"/>
  <c r="CH230" i="2"/>
  <c r="CH233" i="2" s="1"/>
  <c r="K265" i="2"/>
  <c r="K329" i="2" s="1"/>
  <c r="L16" i="7"/>
  <c r="J80" i="6"/>
  <c r="W116" i="3"/>
  <c r="W30" i="4"/>
  <c r="M28" i="3"/>
  <c r="M116" i="3"/>
  <c r="M30" i="4"/>
  <c r="I40" i="3"/>
  <c r="O40" i="3" s="1"/>
  <c r="I30" i="4"/>
  <c r="M73" i="6"/>
  <c r="M80" i="6" s="1"/>
  <c r="L6" i="7"/>
  <c r="AB6" i="7"/>
  <c r="Q27" i="6"/>
  <c r="Q31" i="6" s="1"/>
  <c r="P27" i="6"/>
  <c r="N16" i="7" s="1"/>
  <c r="P73" i="6"/>
  <c r="D27" i="6"/>
  <c r="AB16" i="7" s="1"/>
  <c r="Q73" i="6"/>
  <c r="BL493" i="2"/>
  <c r="I305" i="2"/>
  <c r="I338" i="2" s="1"/>
  <c r="N338" i="2" s="1"/>
  <c r="P76" i="3"/>
  <c r="P28" i="4" s="1"/>
  <c r="M28" i="4"/>
  <c r="O76" i="3"/>
  <c r="O28" i="4" s="1"/>
  <c r="CY110" i="2"/>
  <c r="D134" i="6"/>
  <c r="AB27" i="7" s="1"/>
  <c r="K136" i="6"/>
  <c r="BC477" i="2"/>
  <c r="D40" i="3"/>
  <c r="Y55" i="6"/>
  <c r="W23" i="7" s="1"/>
  <c r="O23" i="7"/>
  <c r="P40" i="3"/>
  <c r="CE142" i="2"/>
  <c r="CE399" i="2" s="1"/>
  <c r="CE493" i="2" s="1"/>
  <c r="BM446" i="2"/>
  <c r="L261" i="2"/>
  <c r="L325" i="2" s="1"/>
  <c r="BM490" i="2"/>
  <c r="BC490" i="2"/>
  <c r="I20" i="3"/>
  <c r="L4" i="7"/>
  <c r="AB4" i="7"/>
  <c r="J4" i="7"/>
  <c r="FE72" i="2"/>
  <c r="L277" i="2"/>
  <c r="L341" i="2" s="1"/>
  <c r="K277" i="2"/>
  <c r="K341" i="2" s="1"/>
  <c r="DH210" i="2"/>
  <c r="DH216" i="2" s="1"/>
  <c r="I277" i="2"/>
  <c r="I341" i="2" s="1"/>
  <c r="CY121" i="2"/>
  <c r="BD443" i="2" s="1"/>
  <c r="BD490" i="2" s="1"/>
  <c r="Y35" i="3"/>
  <c r="AA35" i="3" s="1"/>
  <c r="W17" i="7"/>
  <c r="Y45" i="3"/>
  <c r="AA45" i="3" s="1"/>
  <c r="W17" i="4"/>
  <c r="X17" i="3"/>
  <c r="CE91" i="2"/>
  <c r="CE391" i="2" s="1"/>
  <c r="CE485" i="2" s="1"/>
  <c r="J263" i="2"/>
  <c r="J327" i="2" s="1"/>
  <c r="P18" i="6"/>
  <c r="N9" i="7"/>
  <c r="BU228" i="2"/>
  <c r="X6" i="4"/>
  <c r="L268" i="2"/>
  <c r="L332" i="2" s="1"/>
  <c r="CR165" i="2"/>
  <c r="CR201" i="2" s="1"/>
  <c r="CV143" i="2"/>
  <c r="DA201" i="2"/>
  <c r="DL228" i="2"/>
  <c r="CN143" i="2"/>
  <c r="BV382" i="2"/>
  <c r="BV476" i="2" s="1"/>
  <c r="N309" i="2"/>
  <c r="BH450" i="2"/>
  <c r="BH497" i="2" s="1"/>
  <c r="DG28" i="2"/>
  <c r="BL429" i="2" s="1"/>
  <c r="BL476" i="2" s="1"/>
  <c r="K264" i="2"/>
  <c r="K328" i="2" s="1"/>
  <c r="J264" i="2"/>
  <c r="J328" i="2" s="1"/>
  <c r="CE419" i="2"/>
  <c r="CE512" i="2" s="1"/>
  <c r="N311" i="2"/>
  <c r="BO466" i="2"/>
  <c r="BO512" i="2" s="1"/>
  <c r="BC398" i="2"/>
  <c r="BJ445" i="2"/>
  <c r="BJ492" i="2" s="1"/>
  <c r="I28" i="3"/>
  <c r="L275" i="2"/>
  <c r="L339" i="2" s="1"/>
  <c r="DH170" i="2"/>
  <c r="DH171" i="2" s="1"/>
  <c r="BM454" i="2" s="1"/>
  <c r="BM501" i="2" s="1"/>
  <c r="CX164" i="2"/>
  <c r="BC451" i="2" s="1"/>
  <c r="BC498" i="2" s="1"/>
  <c r="CT143" i="2"/>
  <c r="W20" i="3"/>
  <c r="P36" i="3"/>
  <c r="I261" i="2"/>
  <c r="I325" i="2" s="1"/>
  <c r="CY50" i="2"/>
  <c r="BD431" i="2" s="1"/>
  <c r="BD478" i="2" s="1"/>
  <c r="CE382" i="2"/>
  <c r="CE476" i="2" s="1"/>
  <c r="BD382" i="2"/>
  <c r="DQ216" i="2"/>
  <c r="O10" i="4"/>
  <c r="BL403" i="2"/>
  <c r="BL450" i="2"/>
  <c r="CY161" i="2"/>
  <c r="BD450" i="2" s="1"/>
  <c r="DC72" i="2"/>
  <c r="CM143" i="2"/>
  <c r="BL459" i="2"/>
  <c r="K263" i="2"/>
  <c r="K327" i="2" s="1"/>
  <c r="BM383" i="2"/>
  <c r="P20" i="3"/>
  <c r="DH185" i="2"/>
  <c r="CD143" i="2"/>
  <c r="CX50" i="2"/>
  <c r="BC431" i="2" s="1"/>
  <c r="BC478" i="2" s="1"/>
  <c r="BU165" i="2"/>
  <c r="BU201" i="2" s="1"/>
  <c r="CX161" i="2"/>
  <c r="BC450" i="2" s="1"/>
  <c r="BC497" i="2" s="1"/>
  <c r="BV403" i="2"/>
  <c r="BV497" i="2" s="1"/>
  <c r="DH79" i="2"/>
  <c r="CN389" i="2"/>
  <c r="CN483" i="2" s="1"/>
  <c r="DH68" i="2"/>
  <c r="J261" i="2"/>
  <c r="J325" i="2" s="1"/>
  <c r="CN381" i="2"/>
  <c r="CN475" i="2" s="1"/>
  <c r="BV387" i="2"/>
  <c r="BV481" i="2" s="1"/>
  <c r="BM382" i="2"/>
  <c r="BU143" i="2"/>
  <c r="O18" i="4"/>
  <c r="M361" i="2"/>
  <c r="L316" i="2"/>
  <c r="BM165" i="2"/>
  <c r="BD403" i="2"/>
  <c r="X47" i="3"/>
  <c r="X29" i="4" s="1"/>
  <c r="O57" i="3"/>
  <c r="O59" i="3" s="1"/>
  <c r="P6" i="4"/>
  <c r="CE384" i="2"/>
  <c r="CE478" i="2" s="1"/>
  <c r="P64" i="6"/>
  <c r="I121" i="3"/>
  <c r="D64" i="6"/>
  <c r="AB18" i="7" s="1"/>
  <c r="Q64" i="6"/>
  <c r="Q65" i="6" s="1"/>
  <c r="L18" i="7"/>
  <c r="CV72" i="2"/>
  <c r="CM72" i="2"/>
  <c r="CV165" i="2"/>
  <c r="CV201" i="2" s="1"/>
  <c r="BL228" i="2"/>
  <c r="J5" i="7"/>
  <c r="M268" i="2"/>
  <c r="M332" i="2" s="1"/>
  <c r="CY164" i="2"/>
  <c r="BD451" i="2" s="1"/>
  <c r="BD498" i="2" s="1"/>
  <c r="J316" i="2"/>
  <c r="J317" i="2" s="1"/>
  <c r="CN492" i="2"/>
  <c r="BU72" i="2"/>
  <c r="P23" i="4"/>
  <c r="J265" i="2"/>
  <c r="J329" i="2" s="1"/>
  <c r="CN385" i="2"/>
  <c r="CN479" i="2" s="1"/>
  <c r="BY422" i="2"/>
  <c r="BY423" i="2" s="1"/>
  <c r="L131" i="6"/>
  <c r="X57" i="3"/>
  <c r="X59" i="3" s="1"/>
  <c r="O4" i="4"/>
  <c r="P15" i="4"/>
  <c r="P104" i="6"/>
  <c r="Y105" i="3"/>
  <c r="AA105" i="3" s="1"/>
  <c r="N307" i="2"/>
  <c r="I340" i="2"/>
  <c r="N340" i="2" s="1"/>
  <c r="Y30" i="9"/>
  <c r="BC201" i="2"/>
  <c r="BD386" i="2"/>
  <c r="CN201" i="2"/>
  <c r="J131" i="6"/>
  <c r="I268" i="2"/>
  <c r="I332" i="2" s="1"/>
  <c r="BD389" i="2"/>
  <c r="DE72" i="2"/>
  <c r="DC201" i="2"/>
  <c r="AB21" i="9"/>
  <c r="FL165" i="2"/>
  <c r="CE165" i="2"/>
  <c r="Q33" i="6"/>
  <c r="O7" i="7" s="1"/>
  <c r="BC228" i="2"/>
  <c r="AA21" i="9"/>
  <c r="P40" i="9"/>
  <c r="P41" i="9" s="1"/>
  <c r="P42" i="9" s="1"/>
  <c r="P33" i="6"/>
  <c r="P10" i="4"/>
  <c r="BY234" i="2"/>
  <c r="BY235" i="2" s="1"/>
  <c r="BS440" i="2"/>
  <c r="DN228" i="2"/>
  <c r="CD72" i="2"/>
  <c r="Y11" i="10"/>
  <c r="L5" i="7"/>
  <c r="Q118" i="6"/>
  <c r="Q120" i="6" s="1"/>
  <c r="D118" i="6"/>
  <c r="AB5" i="7" s="1"/>
  <c r="M267" i="2"/>
  <c r="M331" i="2" s="1"/>
  <c r="CE387" i="2"/>
  <c r="CE481" i="2" s="1"/>
  <c r="BL457" i="2"/>
  <c r="BL504" i="2" s="1"/>
  <c r="DH177" i="2"/>
  <c r="M129" i="6"/>
  <c r="AB22" i="9"/>
  <c r="AC22" i="9" s="1"/>
  <c r="BD201" i="2"/>
  <c r="DG79" i="2"/>
  <c r="Y17" i="6"/>
  <c r="W9" i="7" s="1"/>
  <c r="Q18" i="6"/>
  <c r="CY27" i="2"/>
  <c r="CX28" i="2"/>
  <c r="BC429" i="2" s="1"/>
  <c r="BC476" i="2" s="1"/>
  <c r="CD404" i="2"/>
  <c r="CD498" i="2" s="1"/>
  <c r="CD165" i="2"/>
  <c r="CD201" i="2" s="1"/>
  <c r="M109" i="6"/>
  <c r="J7" i="7"/>
  <c r="K34" i="6"/>
  <c r="M266" i="2"/>
  <c r="M330" i="2" s="1"/>
  <c r="FE201" i="2"/>
  <c r="CY62" i="2"/>
  <c r="CY65" i="2" s="1"/>
  <c r="BD433" i="2" s="1"/>
  <c r="CX65" i="2"/>
  <c r="BC433" i="2" s="1"/>
  <c r="BC480" i="2" s="1"/>
  <c r="O25" i="7"/>
  <c r="O38" i="9"/>
  <c r="O40" i="9" s="1"/>
  <c r="O41" i="9" s="1"/>
  <c r="O42" i="9" s="1"/>
  <c r="CN477" i="2"/>
  <c r="Q134" i="6"/>
  <c r="O27" i="7" s="1"/>
  <c r="BL505" i="2"/>
  <c r="Y19" i="9"/>
  <c r="X10" i="10"/>
  <c r="Z9" i="10"/>
  <c r="BV492" i="2"/>
  <c r="P134" i="6"/>
  <c r="Y34" i="9"/>
  <c r="Z33" i="9"/>
  <c r="AA33" i="9" s="1"/>
  <c r="FE143" i="2"/>
  <c r="O36" i="3"/>
  <c r="BC483" i="2"/>
  <c r="BL201" i="2"/>
  <c r="CM414" i="2"/>
  <c r="CM507" i="2" s="1"/>
  <c r="CM201" i="2"/>
  <c r="M48" i="3"/>
  <c r="W8" i="4"/>
  <c r="W121" i="3"/>
  <c r="Z10" i="10"/>
  <c r="AA19" i="9"/>
  <c r="BN512" i="2"/>
  <c r="X125" i="6"/>
  <c r="BP512" i="2"/>
  <c r="K298" i="2"/>
  <c r="N298" i="2" s="1"/>
  <c r="DH28" i="2"/>
  <c r="BL461" i="2"/>
  <c r="BL507" i="2" s="1"/>
  <c r="BM461" i="2"/>
  <c r="BM508" i="2" s="1"/>
  <c r="Y10" i="10"/>
  <c r="Z19" i="9"/>
  <c r="X138" i="3"/>
  <c r="P5" i="4"/>
  <c r="I275" i="2"/>
  <c r="BD391" i="2"/>
  <c r="Z13" i="10"/>
  <c r="AC23" i="9"/>
  <c r="BM450" i="2"/>
  <c r="BM497" i="2" s="1"/>
  <c r="DH165" i="2"/>
  <c r="J262" i="2"/>
  <c r="N262" i="2" s="1"/>
  <c r="CN382" i="2"/>
  <c r="CN476" i="2" s="1"/>
  <c r="CN72" i="2"/>
  <c r="O7" i="4"/>
  <c r="N295" i="2"/>
  <c r="I328" i="2"/>
  <c r="Y104" i="6"/>
  <c r="W13" i="7" s="1"/>
  <c r="O13" i="7"/>
  <c r="BJ477" i="2"/>
  <c r="AV476" i="2"/>
  <c r="X62" i="3"/>
  <c r="P25" i="4"/>
  <c r="CM476" i="2"/>
  <c r="BF445" i="2"/>
  <c r="BF492" i="2" s="1"/>
  <c r="DA143" i="2"/>
  <c r="W19" i="7"/>
  <c r="X120" i="3"/>
  <c r="X9" i="4" s="1"/>
  <c r="P9" i="4"/>
  <c r="M325" i="2"/>
  <c r="BQ487" i="2"/>
  <c r="AX476" i="2"/>
  <c r="Y75" i="3"/>
  <c r="AA75" i="3" s="1"/>
  <c r="AY476" i="2"/>
  <c r="O6" i="4"/>
  <c r="X101" i="3"/>
  <c r="P18" i="4"/>
  <c r="CN391" i="2"/>
  <c r="CN485" i="2" s="1"/>
  <c r="J275" i="2"/>
  <c r="J339" i="2" s="1"/>
  <c r="Z26" i="6"/>
  <c r="AB26" i="6" s="1"/>
  <c r="M125" i="6"/>
  <c r="N336" i="2"/>
  <c r="AZ493" i="2"/>
  <c r="M316" i="2"/>
  <c r="M317" i="2" s="1"/>
  <c r="BC445" i="2"/>
  <c r="BC475" i="2"/>
  <c r="X64" i="3"/>
  <c r="X7" i="4" s="1"/>
  <c r="P7" i="4"/>
  <c r="Q39" i="6"/>
  <c r="I330" i="2"/>
  <c r="N308" i="2"/>
  <c r="CG422" i="2"/>
  <c r="CG423" i="2" s="1"/>
  <c r="N272" i="2"/>
  <c r="BV485" i="2"/>
  <c r="N284" i="2"/>
  <c r="I348" i="2"/>
  <c r="N348" i="2" s="1"/>
  <c r="I22" i="4"/>
  <c r="I78" i="3"/>
  <c r="O78" i="3" s="1"/>
  <c r="I331" i="2"/>
  <c r="P13" i="6"/>
  <c r="I326" i="2"/>
  <c r="AW446" i="2"/>
  <c r="AW493" i="2" s="1"/>
  <c r="CR143" i="2"/>
  <c r="N21" i="7"/>
  <c r="BA476" i="2"/>
  <c r="O3" i="4"/>
  <c r="X23" i="3"/>
  <c r="Y23" i="3" s="1"/>
  <c r="AA23" i="3" s="1"/>
  <c r="P3" i="4"/>
  <c r="DH182" i="2"/>
  <c r="BM458" i="2" s="1"/>
  <c r="BM505" i="2" s="1"/>
  <c r="FL72" i="2"/>
  <c r="J253" i="2"/>
  <c r="O62" i="3"/>
  <c r="W139" i="3"/>
  <c r="X129" i="6"/>
  <c r="BX421" i="2"/>
  <c r="O9" i="4"/>
  <c r="Y13" i="6"/>
  <c r="O24" i="7"/>
  <c r="DE201" i="2"/>
  <c r="BX230" i="2"/>
  <c r="BX233" i="2" s="1"/>
  <c r="BG553" i="2" l="1"/>
  <c r="BC555" i="2"/>
  <c r="BD555" i="2" s="1"/>
  <c r="CE201" i="2"/>
  <c r="AA3" i="4"/>
  <c r="AA6" i="4"/>
  <c r="Z36" i="3"/>
  <c r="AA16" i="4"/>
  <c r="AB19" i="3"/>
  <c r="AA27" i="4"/>
  <c r="AA14" i="4"/>
  <c r="AA4" i="4"/>
  <c r="AD41" i="3"/>
  <c r="AA17" i="4"/>
  <c r="AA10" i="4"/>
  <c r="BM201" i="2"/>
  <c r="CE72" i="2"/>
  <c r="Y19" i="7"/>
  <c r="Y17" i="7"/>
  <c r="AB39" i="6"/>
  <c r="AD143" i="6"/>
  <c r="AD30" i="6"/>
  <c r="Y25" i="7"/>
  <c r="AD145" i="6"/>
  <c r="Y15" i="7"/>
  <c r="AD9" i="6"/>
  <c r="AA39" i="6"/>
  <c r="AD37" i="6"/>
  <c r="AD26" i="6"/>
  <c r="P31" i="6"/>
  <c r="BV201" i="2"/>
  <c r="P109" i="6"/>
  <c r="I136" i="3"/>
  <c r="AA36" i="3"/>
  <c r="Y108" i="6"/>
  <c r="W48" i="7" s="1"/>
  <c r="Q109" i="6"/>
  <c r="X17" i="7"/>
  <c r="I131" i="6"/>
  <c r="P118" i="6"/>
  <c r="P120" i="6" s="1"/>
  <c r="H131" i="6"/>
  <c r="DH179" i="2"/>
  <c r="BM457" i="2" s="1"/>
  <c r="BM504" i="2" s="1"/>
  <c r="A63" i="3"/>
  <c r="A46" i="3"/>
  <c r="A47" i="3" s="1"/>
  <c r="Z149" i="6"/>
  <c r="AB149" i="6" s="1"/>
  <c r="H143" i="3"/>
  <c r="H146" i="3" s="1"/>
  <c r="Y17" i="3"/>
  <c r="AA17" i="3" s="1"/>
  <c r="Y135" i="3"/>
  <c r="AA135" i="3" s="1"/>
  <c r="AA136" i="3" s="1"/>
  <c r="O23" i="4"/>
  <c r="X23" i="4"/>
  <c r="M143" i="3"/>
  <c r="M146" i="3" s="1"/>
  <c r="M147" i="3" s="1"/>
  <c r="M148" i="3" s="1"/>
  <c r="K143" i="3"/>
  <c r="K146" i="3" s="1"/>
  <c r="K147" i="3" s="1"/>
  <c r="K148" i="3" s="1"/>
  <c r="W143" i="3"/>
  <c r="W146" i="3" s="1"/>
  <c r="W147" i="3" s="1"/>
  <c r="W148" i="3" s="1"/>
  <c r="M263" i="2"/>
  <c r="M327" i="2" s="1"/>
  <c r="M349" i="2" s="1"/>
  <c r="BM513" i="2"/>
  <c r="O30" i="4"/>
  <c r="CH234" i="2"/>
  <c r="CH235" i="2" s="1"/>
  <c r="CF233" i="2"/>
  <c r="CF234" i="2" s="1"/>
  <c r="CF235" i="2" s="1"/>
  <c r="CJ234" i="2"/>
  <c r="CJ235" i="2" s="1"/>
  <c r="CL233" i="2"/>
  <c r="CL234" i="2" s="1"/>
  <c r="CL235" i="2" s="1"/>
  <c r="CC233" i="2"/>
  <c r="CC234" i="2" s="1"/>
  <c r="CC235" i="2" s="1"/>
  <c r="CA233" i="2"/>
  <c r="CA234" i="2" s="1"/>
  <c r="CA235" i="2" s="1"/>
  <c r="BW233" i="2"/>
  <c r="BW234" i="2" s="1"/>
  <c r="BW235" i="2" s="1"/>
  <c r="Y156" i="6"/>
  <c r="Y158" i="6" s="1"/>
  <c r="O8" i="7"/>
  <c r="Z13" i="6"/>
  <c r="AB13" i="6" s="1"/>
  <c r="Z104" i="6"/>
  <c r="AB104" i="6" s="1"/>
  <c r="G163" i="6"/>
  <c r="DH71" i="2"/>
  <c r="BM434" i="2" s="1"/>
  <c r="BM481" i="2" s="1"/>
  <c r="P31" i="4"/>
  <c r="Q150" i="6"/>
  <c r="Q160" i="6" s="1"/>
  <c r="Y27" i="3"/>
  <c r="AA27" i="3" s="1"/>
  <c r="I139" i="3"/>
  <c r="Y79" i="3"/>
  <c r="AA79" i="3" s="1"/>
  <c r="X17" i="4"/>
  <c r="X136" i="3"/>
  <c r="BV386" i="2"/>
  <c r="BV480" i="2" s="1"/>
  <c r="P139" i="3"/>
  <c r="G114" i="3"/>
  <c r="G116" i="3" s="1"/>
  <c r="H11" i="4"/>
  <c r="I110" i="3"/>
  <c r="O110" i="3" s="1"/>
  <c r="O11" i="4" s="1"/>
  <c r="G48" i="3"/>
  <c r="D110" i="3"/>
  <c r="BD492" i="2"/>
  <c r="K344" i="2"/>
  <c r="N344" i="2" s="1"/>
  <c r="BV383" i="2"/>
  <c r="BV477" i="2" s="1"/>
  <c r="P11" i="4"/>
  <c r="P116" i="3"/>
  <c r="O136" i="3"/>
  <c r="I263" i="2"/>
  <c r="I327" i="2" s="1"/>
  <c r="O66" i="3"/>
  <c r="P19" i="4"/>
  <c r="Y65" i="3"/>
  <c r="AA65" i="3" s="1"/>
  <c r="Y14" i="6"/>
  <c r="P14" i="6"/>
  <c r="P66" i="3"/>
  <c r="CY91" i="2"/>
  <c r="BD438" i="2" s="1"/>
  <c r="BD485" i="2" s="1"/>
  <c r="X66" i="3"/>
  <c r="DH42" i="2"/>
  <c r="K313" i="2" s="1"/>
  <c r="DQ226" i="2"/>
  <c r="BV466" i="2" s="1"/>
  <c r="BV512" i="2" s="1"/>
  <c r="BM228" i="2"/>
  <c r="K360" i="2" s="1"/>
  <c r="X110" i="3"/>
  <c r="X114" i="3" s="1"/>
  <c r="V147" i="3"/>
  <c r="V148" i="3" s="1"/>
  <c r="O82" i="3"/>
  <c r="P26" i="4"/>
  <c r="P82" i="3"/>
  <c r="I82" i="3"/>
  <c r="BV385" i="2"/>
  <c r="BV479" i="2" s="1"/>
  <c r="CY116" i="2"/>
  <c r="CN392" i="2"/>
  <c r="CN116" i="2"/>
  <c r="CN150" i="2" s="1"/>
  <c r="BV72" i="2"/>
  <c r="P34" i="6"/>
  <c r="X68" i="3"/>
  <c r="CX59" i="2"/>
  <c r="BC432" i="2" s="1"/>
  <c r="BC479" i="2" s="1"/>
  <c r="I42" i="3"/>
  <c r="O26" i="4"/>
  <c r="X107" i="3"/>
  <c r="BM150" i="2"/>
  <c r="DH134" i="2"/>
  <c r="BM445" i="2" s="1"/>
  <c r="BM492" i="2" s="1"/>
  <c r="BM438" i="2"/>
  <c r="BM485" i="2" s="1"/>
  <c r="P150" i="6"/>
  <c r="I150" i="6"/>
  <c r="CT72" i="2"/>
  <c r="O121" i="3"/>
  <c r="N252" i="2"/>
  <c r="P252" i="2" s="1"/>
  <c r="X118" i="3"/>
  <c r="Y118" i="3" s="1"/>
  <c r="AA118" i="3" s="1"/>
  <c r="BD150" i="2"/>
  <c r="P8" i="4"/>
  <c r="BD494" i="2"/>
  <c r="BD385" i="2"/>
  <c r="P42" i="3"/>
  <c r="BM143" i="2"/>
  <c r="BC72" i="2"/>
  <c r="BM493" i="2"/>
  <c r="BD446" i="2"/>
  <c r="BD493" i="2" s="1"/>
  <c r="O42" i="3"/>
  <c r="Y102" i="6"/>
  <c r="Z102" i="6" s="1"/>
  <c r="AB102" i="6" s="1"/>
  <c r="O20" i="7"/>
  <c r="K131" i="6"/>
  <c r="P105" i="6"/>
  <c r="K304" i="2"/>
  <c r="N304" i="2" s="1"/>
  <c r="BV393" i="2"/>
  <c r="P21" i="4"/>
  <c r="N3" i="7"/>
  <c r="DP228" i="2"/>
  <c r="BD228" i="2"/>
  <c r="I360" i="2" s="1"/>
  <c r="BD483" i="2"/>
  <c r="W32" i="7"/>
  <c r="W31" i="7"/>
  <c r="X29" i="7"/>
  <c r="K253" i="2"/>
  <c r="N29" i="7"/>
  <c r="M29" i="7"/>
  <c r="N32" i="7"/>
  <c r="V29" i="7"/>
  <c r="Z148" i="6"/>
  <c r="AB148" i="6" s="1"/>
  <c r="N31" i="7"/>
  <c r="BV440" i="2"/>
  <c r="N279" i="2"/>
  <c r="BL436" i="2"/>
  <c r="BL483" i="2" s="1"/>
  <c r="DG150" i="2"/>
  <c r="CB395" i="2"/>
  <c r="CB421" i="2" s="1"/>
  <c r="CB150" i="2"/>
  <c r="CB230" i="2" s="1"/>
  <c r="CB233" i="2" s="1"/>
  <c r="BL487" i="2"/>
  <c r="H14" i="7"/>
  <c r="I157" i="6"/>
  <c r="H160" i="6"/>
  <c r="BM436" i="2"/>
  <c r="BM483" i="2" s="1"/>
  <c r="BC438" i="2"/>
  <c r="BC485" i="2" s="1"/>
  <c r="CX150" i="2"/>
  <c r="BV150" i="2"/>
  <c r="BM393" i="2"/>
  <c r="N22" i="7"/>
  <c r="Y61" i="6"/>
  <c r="O22" i="7"/>
  <c r="N343" i="2"/>
  <c r="CH422" i="2"/>
  <c r="CH423" i="2" s="1"/>
  <c r="BD440" i="2"/>
  <c r="BD487" i="2" s="1"/>
  <c r="CY228" i="2"/>
  <c r="CJ422" i="2"/>
  <c r="CJ423" i="2" s="1"/>
  <c r="BL492" i="2"/>
  <c r="CC422" i="2"/>
  <c r="CC423" i="2" s="1"/>
  <c r="Q147" i="3"/>
  <c r="CA422" i="2"/>
  <c r="CA423" i="2" s="1"/>
  <c r="CL422" i="2"/>
  <c r="CL423" i="2" s="1"/>
  <c r="BW422" i="2"/>
  <c r="BW423" i="2" s="1"/>
  <c r="CD150" i="2"/>
  <c r="CF421" i="2"/>
  <c r="CF422" i="2" s="1"/>
  <c r="CF423" i="2" s="1"/>
  <c r="BZ395" i="2"/>
  <c r="BZ421" i="2" s="1"/>
  <c r="BZ230" i="2"/>
  <c r="CK395" i="2"/>
  <c r="CK421" i="2" s="1"/>
  <c r="CK230" i="2"/>
  <c r="CK233" i="2" s="1"/>
  <c r="CI395" i="2"/>
  <c r="CI421" i="2" s="1"/>
  <c r="CI230" i="2"/>
  <c r="CI233" i="2" s="1"/>
  <c r="CE395" i="2"/>
  <c r="CE421" i="2" s="1"/>
  <c r="CM150" i="2"/>
  <c r="BM385" i="2"/>
  <c r="BM479" i="2" s="1"/>
  <c r="N305" i="2"/>
  <c r="Y103" i="3"/>
  <c r="AA103" i="3" s="1"/>
  <c r="N6" i="7"/>
  <c r="O6" i="7"/>
  <c r="Y73" i="6"/>
  <c r="O28" i="3"/>
  <c r="P28" i="3"/>
  <c r="O16" i="7"/>
  <c r="P30" i="4"/>
  <c r="Y27" i="6"/>
  <c r="Y31" i="6" s="1"/>
  <c r="BV143" i="2"/>
  <c r="X76" i="3"/>
  <c r="X28" i="4" s="1"/>
  <c r="P136" i="6"/>
  <c r="N27" i="7"/>
  <c r="Y134" i="6"/>
  <c r="Z134" i="6" s="1"/>
  <c r="AB134" i="6" s="1"/>
  <c r="Q136" i="6"/>
  <c r="O4" i="7"/>
  <c r="N4" i="7"/>
  <c r="P129" i="6"/>
  <c r="Z55" i="6"/>
  <c r="AB55" i="6" s="1"/>
  <c r="X40" i="3"/>
  <c r="Y40" i="3" s="1"/>
  <c r="AA40" i="3" s="1"/>
  <c r="CE143" i="2"/>
  <c r="N341" i="2"/>
  <c r="N18" i="7"/>
  <c r="P65" i="6"/>
  <c r="X15" i="7"/>
  <c r="Y4" i="4"/>
  <c r="N277" i="2"/>
  <c r="M275" i="2"/>
  <c r="M339" i="2" s="1"/>
  <c r="X3" i="4"/>
  <c r="X15" i="4"/>
  <c r="X25" i="7"/>
  <c r="Y101" i="3"/>
  <c r="AA101" i="3" s="1"/>
  <c r="Y150" i="6"/>
  <c r="DG143" i="2"/>
  <c r="BC492" i="2"/>
  <c r="N328" i="2"/>
  <c r="N264" i="2"/>
  <c r="L349" i="2"/>
  <c r="BD430" i="2"/>
  <c r="BD477" i="2" s="1"/>
  <c r="BL497" i="2"/>
  <c r="K292" i="2"/>
  <c r="N292" i="2" s="1"/>
  <c r="CX165" i="2"/>
  <c r="CX201" i="2" s="1"/>
  <c r="BM459" i="2"/>
  <c r="BM506" i="2" s="1"/>
  <c r="DG72" i="2"/>
  <c r="BD480" i="2"/>
  <c r="BD497" i="2"/>
  <c r="CY165" i="2"/>
  <c r="CY201" i="2" s="1"/>
  <c r="M362" i="2"/>
  <c r="AC21" i="9"/>
  <c r="Y6" i="4"/>
  <c r="Y20" i="4"/>
  <c r="Y14" i="4"/>
  <c r="Y16" i="4"/>
  <c r="Y27" i="4"/>
  <c r="Y47" i="3"/>
  <c r="AA47" i="3" s="1"/>
  <c r="N332" i="2"/>
  <c r="CX143" i="2"/>
  <c r="Y64" i="6"/>
  <c r="Y65" i="6" s="1"/>
  <c r="O18" i="7"/>
  <c r="AC20" i="4"/>
  <c r="L285" i="2"/>
  <c r="L286" i="2" s="1"/>
  <c r="N267" i="2"/>
  <c r="N330" i="2"/>
  <c r="Y57" i="3"/>
  <c r="N13" i="7"/>
  <c r="N266" i="2"/>
  <c r="Y33" i="6"/>
  <c r="Y34" i="6" s="1"/>
  <c r="AA30" i="9"/>
  <c r="AC30" i="9" s="1"/>
  <c r="Q34" i="6"/>
  <c r="N268" i="2"/>
  <c r="DG201" i="2"/>
  <c r="N7" i="7"/>
  <c r="X10" i="4"/>
  <c r="Y77" i="3"/>
  <c r="AA77" i="3" s="1"/>
  <c r="BS487" i="2"/>
  <c r="Y36" i="9"/>
  <c r="Y38" i="9" s="1"/>
  <c r="Y40" i="9" s="1"/>
  <c r="Y41" i="9" s="1"/>
  <c r="Y42" i="9" s="1"/>
  <c r="O5" i="7"/>
  <c r="Y118" i="6"/>
  <c r="Y120" i="6" s="1"/>
  <c r="Q129" i="6"/>
  <c r="Z17" i="6"/>
  <c r="AB17" i="6" s="1"/>
  <c r="Y18" i="6"/>
  <c r="I300" i="2"/>
  <c r="CY28" i="2"/>
  <c r="M131" i="6"/>
  <c r="Y120" i="3"/>
  <c r="AA120" i="3" s="1"/>
  <c r="N147" i="3"/>
  <c r="N148" i="3" s="1"/>
  <c r="X131" i="6"/>
  <c r="Q80" i="6"/>
  <c r="AA34" i="9"/>
  <c r="AB33" i="9"/>
  <c r="AC33" i="9" s="1"/>
  <c r="Z34" i="9"/>
  <c r="AB34" i="9" s="1"/>
  <c r="K331" i="2"/>
  <c r="N331" i="2" s="1"/>
  <c r="X48" i="3"/>
  <c r="AC19" i="9"/>
  <c r="K301" i="2"/>
  <c r="BM429" i="2"/>
  <c r="BM476" i="2" s="1"/>
  <c r="N24" i="7"/>
  <c r="W24" i="7"/>
  <c r="I80" i="6"/>
  <c r="Y62" i="3"/>
  <c r="AA62" i="3" s="1"/>
  <c r="O25" i="4"/>
  <c r="X25" i="4"/>
  <c r="Y64" i="3"/>
  <c r="AA64" i="3" s="1"/>
  <c r="BX422" i="2"/>
  <c r="BX423" i="2" s="1"/>
  <c r="Y39" i="6"/>
  <c r="AA125" i="6"/>
  <c r="Q125" i="6"/>
  <c r="O139" i="3"/>
  <c r="P39" i="6"/>
  <c r="BX234" i="2"/>
  <c r="BX235" i="2" s="1"/>
  <c r="P250" i="2"/>
  <c r="X28" i="3"/>
  <c r="J326" i="2"/>
  <c r="J349" i="2" s="1"/>
  <c r="J364" i="2" s="1"/>
  <c r="J285" i="2"/>
  <c r="J286" i="2" s="1"/>
  <c r="X5" i="4"/>
  <c r="Y138" i="3"/>
  <c r="AA138" i="3" s="1"/>
  <c r="Y78" i="3"/>
  <c r="AA78" i="3" s="1"/>
  <c r="O22" i="4"/>
  <c r="I346" i="2"/>
  <c r="O20" i="3"/>
  <c r="X20" i="3"/>
  <c r="P125" i="6"/>
  <c r="X18" i="4"/>
  <c r="I339" i="2"/>
  <c r="Y59" i="3" l="1"/>
  <c r="AA57" i="3"/>
  <c r="AA59" i="3" s="1"/>
  <c r="AB41" i="3"/>
  <c r="AC41" i="3" s="1"/>
  <c r="AC4" i="4"/>
  <c r="AA9" i="4"/>
  <c r="AB61" i="6"/>
  <c r="AA61" i="6"/>
  <c r="AA31" i="4"/>
  <c r="AC79" i="3"/>
  <c r="AA15" i="4"/>
  <c r="Z20" i="3"/>
  <c r="AA22" i="4"/>
  <c r="AA5" i="4"/>
  <c r="AA25" i="4"/>
  <c r="Z59" i="3"/>
  <c r="AA19" i="4"/>
  <c r="AC19" i="4"/>
  <c r="AA7" i="4"/>
  <c r="AA29" i="4"/>
  <c r="AA13" i="4"/>
  <c r="Z107" i="3"/>
  <c r="AA21" i="4"/>
  <c r="AA30" i="4"/>
  <c r="Z42" i="3"/>
  <c r="AA8" i="4"/>
  <c r="AA24" i="4"/>
  <c r="Z136" i="3"/>
  <c r="AA107" i="3"/>
  <c r="AA18" i="4"/>
  <c r="AA28" i="3"/>
  <c r="AA12" i="4"/>
  <c r="AA121" i="3"/>
  <c r="Y9" i="7"/>
  <c r="AB18" i="6"/>
  <c r="Y20" i="7"/>
  <c r="AA20" i="3"/>
  <c r="AD149" i="6"/>
  <c r="Y32" i="7"/>
  <c r="AD134" i="6"/>
  <c r="Y27" i="7"/>
  <c r="AD148" i="6"/>
  <c r="Y31" i="7"/>
  <c r="AD104" i="6"/>
  <c r="Y13" i="7"/>
  <c r="DH201" i="2"/>
  <c r="AA18" i="6"/>
  <c r="AD17" i="6"/>
  <c r="AA105" i="6"/>
  <c r="AD105" i="6" s="1"/>
  <c r="AD102" i="6"/>
  <c r="AB14" i="6"/>
  <c r="Y24" i="7"/>
  <c r="AB136" i="6"/>
  <c r="AB150" i="6"/>
  <c r="Y109" i="6"/>
  <c r="Z28" i="3"/>
  <c r="Z48" i="3"/>
  <c r="Z108" i="6"/>
  <c r="AB108" i="6" s="1"/>
  <c r="N5" i="7"/>
  <c r="Z156" i="6"/>
  <c r="AB156" i="6" s="1"/>
  <c r="N327" i="2"/>
  <c r="M285" i="2"/>
  <c r="M286" i="2" s="1"/>
  <c r="Y20" i="3"/>
  <c r="Y15" i="4"/>
  <c r="P143" i="3"/>
  <c r="P146" i="3" s="1"/>
  <c r="P147" i="3" s="1"/>
  <c r="P148" i="3" s="1"/>
  <c r="G143" i="3"/>
  <c r="G146" i="3" s="1"/>
  <c r="G147" i="3" s="1"/>
  <c r="CK234" i="2"/>
  <c r="CK235" i="2" s="1"/>
  <c r="BZ233" i="2"/>
  <c r="BZ234" i="2" s="1"/>
  <c r="BZ235" i="2" s="1"/>
  <c r="W8" i="7"/>
  <c r="Z105" i="6"/>
  <c r="Y12" i="4"/>
  <c r="Y24" i="4"/>
  <c r="X139" i="3"/>
  <c r="I114" i="3"/>
  <c r="I116" i="3" s="1"/>
  <c r="I48" i="3"/>
  <c r="D146" i="3"/>
  <c r="N360" i="2"/>
  <c r="O114" i="3"/>
  <c r="O116" i="3" s="1"/>
  <c r="X3" i="7"/>
  <c r="N263" i="2"/>
  <c r="X11" i="4"/>
  <c r="X116" i="3"/>
  <c r="Y19" i="4"/>
  <c r="DH72" i="2"/>
  <c r="BM430" i="2"/>
  <c r="BM477" i="2" s="1"/>
  <c r="Z14" i="6"/>
  <c r="Y66" i="3"/>
  <c r="K346" i="2"/>
  <c r="N346" i="2" s="1"/>
  <c r="N313" i="2"/>
  <c r="Y110" i="3"/>
  <c r="AA110" i="3" s="1"/>
  <c r="X26" i="4"/>
  <c r="X82" i="3"/>
  <c r="CX72" i="2"/>
  <c r="Z33" i="6"/>
  <c r="AB33" i="6" s="1"/>
  <c r="Y68" i="3"/>
  <c r="AA68" i="3" s="1"/>
  <c r="CY59" i="2"/>
  <c r="BD432" i="2" s="1"/>
  <c r="BD479" i="2" s="1"/>
  <c r="DH143" i="2"/>
  <c r="Y107" i="3"/>
  <c r="DH150" i="2"/>
  <c r="N8" i="7"/>
  <c r="N253" i="2"/>
  <c r="P253" i="2"/>
  <c r="Z6" i="4"/>
  <c r="X42" i="3"/>
  <c r="X8" i="4"/>
  <c r="Z27" i="4"/>
  <c r="X121" i="3"/>
  <c r="Y8" i="4"/>
  <c r="Y105" i="6"/>
  <c r="I265" i="2"/>
  <c r="BD72" i="2"/>
  <c r="W20" i="7"/>
  <c r="CY143" i="2"/>
  <c r="CY150" i="2"/>
  <c r="Y136" i="3"/>
  <c r="BV487" i="2"/>
  <c r="K337" i="2"/>
  <c r="N337" i="2" s="1"/>
  <c r="Z29" i="7"/>
  <c r="Z27" i="6"/>
  <c r="AB27" i="6" s="1"/>
  <c r="Z14" i="4"/>
  <c r="DQ228" i="2"/>
  <c r="L361" i="2" s="1"/>
  <c r="L362" i="2" s="1"/>
  <c r="L364" i="2" s="1"/>
  <c r="Y31" i="4"/>
  <c r="W29" i="7"/>
  <c r="X31" i="7"/>
  <c r="X32" i="7"/>
  <c r="CE150" i="2"/>
  <c r="CE230" i="2" s="1"/>
  <c r="P157" i="6"/>
  <c r="P158" i="6" s="1"/>
  <c r="Y160" i="6"/>
  <c r="W22" i="7"/>
  <c r="CK422" i="2"/>
  <c r="CK423" i="2" s="1"/>
  <c r="I361" i="2"/>
  <c r="I240" i="2"/>
  <c r="I242" i="2" s="1"/>
  <c r="CB234" i="2"/>
  <c r="CB235" i="2" s="1"/>
  <c r="CB422" i="2"/>
  <c r="CB423" i="2" s="1"/>
  <c r="CI234" i="2"/>
  <c r="CI235" i="2" s="1"/>
  <c r="BM440" i="2"/>
  <c r="BM487" i="2" s="1"/>
  <c r="DH228" i="2"/>
  <c r="CI422" i="2"/>
  <c r="CI423" i="2" s="1"/>
  <c r="BZ422" i="2"/>
  <c r="BZ423" i="2" s="1"/>
  <c r="CN395" i="2"/>
  <c r="CN230" i="2"/>
  <c r="CD395" i="2"/>
  <c r="CD230" i="2"/>
  <c r="CD233" i="2" s="1"/>
  <c r="CM395" i="2"/>
  <c r="CM230" i="2"/>
  <c r="Y13" i="4"/>
  <c r="X19" i="7"/>
  <c r="W6" i="7"/>
  <c r="W16" i="7"/>
  <c r="X30" i="4"/>
  <c r="Z12" i="4"/>
  <c r="AC12" i="4"/>
  <c r="Y76" i="3"/>
  <c r="AA76" i="3" s="1"/>
  <c r="Z136" i="6"/>
  <c r="X27" i="7"/>
  <c r="Y136" i="6"/>
  <c r="W27" i="7"/>
  <c r="P131" i="6"/>
  <c r="X23" i="7"/>
  <c r="Z10" i="4"/>
  <c r="X36" i="3"/>
  <c r="Z39" i="6"/>
  <c r="Z125" i="6"/>
  <c r="Z18" i="6"/>
  <c r="N275" i="2"/>
  <c r="N339" i="2"/>
  <c r="X9" i="7"/>
  <c r="AD45" i="3"/>
  <c r="Z4" i="4"/>
  <c r="AB45" i="3"/>
  <c r="W4" i="7"/>
  <c r="X20" i="7"/>
  <c r="X13" i="7"/>
  <c r="X24" i="7"/>
  <c r="Z17" i="7"/>
  <c r="AC16" i="4"/>
  <c r="AC14" i="4"/>
  <c r="AB105" i="3"/>
  <c r="AD75" i="3"/>
  <c r="AD19" i="3"/>
  <c r="Z16" i="4"/>
  <c r="AC27" i="4"/>
  <c r="AD35" i="3"/>
  <c r="AC6" i="4"/>
  <c r="AB27" i="3"/>
  <c r="Z17" i="4"/>
  <c r="Y17" i="4"/>
  <c r="AB15" i="3"/>
  <c r="M364" i="2"/>
  <c r="Y18" i="4"/>
  <c r="Y5" i="4"/>
  <c r="Y25" i="4"/>
  <c r="Y10" i="4"/>
  <c r="Y21" i="4"/>
  <c r="Y22" i="4"/>
  <c r="Y7" i="4"/>
  <c r="Y23" i="4"/>
  <c r="Y3" i="4"/>
  <c r="Y9" i="4"/>
  <c r="Y29" i="4"/>
  <c r="M351" i="2"/>
  <c r="I373" i="2" s="1"/>
  <c r="W18" i="7"/>
  <c r="Z64" i="6"/>
  <c r="AB64" i="6" s="1"/>
  <c r="AC10" i="4"/>
  <c r="Y121" i="3"/>
  <c r="W7" i="7"/>
  <c r="AA36" i="9"/>
  <c r="AA38" i="9" s="1"/>
  <c r="Q131" i="6"/>
  <c r="W5" i="7"/>
  <c r="Z118" i="6"/>
  <c r="AB118" i="6" s="1"/>
  <c r="Y129" i="6"/>
  <c r="I301" i="2"/>
  <c r="BD429" i="2"/>
  <c r="BD476" i="2" s="1"/>
  <c r="I333" i="2"/>
  <c r="N333" i="2" s="1"/>
  <c r="N300" i="2"/>
  <c r="Y80" i="6"/>
  <c r="Z36" i="9"/>
  <c r="AB36" i="9" s="1"/>
  <c r="AC34" i="9"/>
  <c r="K334" i="2"/>
  <c r="K316" i="2"/>
  <c r="Y125" i="6"/>
  <c r="Y28" i="3"/>
  <c r="P80" i="6"/>
  <c r="N326" i="2"/>
  <c r="H147" i="3"/>
  <c r="H148" i="3" s="1"/>
  <c r="AA23" i="4" l="1"/>
  <c r="Z121" i="3"/>
  <c r="Z19" i="4"/>
  <c r="Z66" i="3"/>
  <c r="Y23" i="7"/>
  <c r="AD55" i="6"/>
  <c r="Z13" i="4"/>
  <c r="AD40" i="3"/>
  <c r="AA26" i="4"/>
  <c r="AC26" i="4"/>
  <c r="AA28" i="4"/>
  <c r="AA114" i="3"/>
  <c r="AA11" i="4"/>
  <c r="AA82" i="3"/>
  <c r="AD135" i="3"/>
  <c r="Y5" i="7"/>
  <c r="AB120" i="6"/>
  <c r="Y6" i="7"/>
  <c r="AB73" i="6"/>
  <c r="AB80" i="6" s="1"/>
  <c r="Y7" i="7"/>
  <c r="Y18" i="7"/>
  <c r="Y16" i="7"/>
  <c r="AB31" i="6"/>
  <c r="Y48" i="7"/>
  <c r="Z48" i="7"/>
  <c r="AD156" i="6"/>
  <c r="Y8" i="7"/>
  <c r="AA73" i="6"/>
  <c r="AA80" i="6" s="1"/>
  <c r="AD13" i="6"/>
  <c r="AA14" i="6"/>
  <c r="AA120" i="6"/>
  <c r="AD120" i="6" s="1"/>
  <c r="AD118" i="6"/>
  <c r="AD27" i="6"/>
  <c r="AA31" i="6"/>
  <c r="AA109" i="6"/>
  <c r="AD109" i="6" s="1"/>
  <c r="AD108" i="6"/>
  <c r="AA65" i="6"/>
  <c r="AD64" i="6"/>
  <c r="AA34" i="6"/>
  <c r="AD33" i="6"/>
  <c r="AA67" i="6"/>
  <c r="Z31" i="6"/>
  <c r="AA136" i="6"/>
  <c r="AD136" i="6" s="1"/>
  <c r="AA150" i="6"/>
  <c r="AD150" i="6" s="1"/>
  <c r="AB105" i="6"/>
  <c r="Z114" i="3"/>
  <c r="Z116" i="3" s="1"/>
  <c r="Z15" i="4"/>
  <c r="X48" i="7"/>
  <c r="AB17" i="3"/>
  <c r="AC17" i="3" s="1"/>
  <c r="AC15" i="4"/>
  <c r="CE233" i="2"/>
  <c r="CE234" i="2" s="1"/>
  <c r="CE235" i="2" s="1"/>
  <c r="Z139" i="3"/>
  <c r="AB139" i="3" s="1"/>
  <c r="AA139" i="3"/>
  <c r="Z120" i="6"/>
  <c r="CQ237" i="2"/>
  <c r="CQ238" i="2" s="1"/>
  <c r="I143" i="3"/>
  <c r="I146" i="3" s="1"/>
  <c r="I147" i="3" s="1"/>
  <c r="I148" i="3" s="1"/>
  <c r="X143" i="3"/>
  <c r="X146" i="3" s="1"/>
  <c r="X147" i="3" s="1"/>
  <c r="X148" i="3" s="1"/>
  <c r="AC37" i="4"/>
  <c r="Z37" i="4"/>
  <c r="CN233" i="2"/>
  <c r="CN234" i="2" s="1"/>
  <c r="CN235" i="2" s="1"/>
  <c r="CM233" i="2"/>
  <c r="CM234" i="2" s="1"/>
  <c r="CM235" i="2" s="1"/>
  <c r="X8" i="7"/>
  <c r="AC11" i="4"/>
  <c r="Y139" i="3"/>
  <c r="Z24" i="4"/>
  <c r="AC24" i="4"/>
  <c r="AB125" i="6"/>
  <c r="CY72" i="2"/>
  <c r="AA66" i="3"/>
  <c r="G148" i="3"/>
  <c r="O48" i="3"/>
  <c r="Y114" i="3"/>
  <c r="Y3" i="7"/>
  <c r="AB136" i="3"/>
  <c r="Z61" i="6"/>
  <c r="Z19" i="7"/>
  <c r="AB66" i="3"/>
  <c r="Z25" i="7"/>
  <c r="Y11" i="4"/>
  <c r="Y82" i="3"/>
  <c r="Y26" i="4"/>
  <c r="X22" i="7"/>
  <c r="AE61" i="6"/>
  <c r="AD78" i="3"/>
  <c r="AD118" i="3"/>
  <c r="AD17" i="3"/>
  <c r="AD64" i="3"/>
  <c r="Z150" i="6"/>
  <c r="AB59" i="3"/>
  <c r="AB118" i="3"/>
  <c r="AC118" i="3" s="1"/>
  <c r="Z8" i="4"/>
  <c r="AC8" i="4"/>
  <c r="Z9" i="4"/>
  <c r="AB121" i="3"/>
  <c r="AC13" i="4"/>
  <c r="AB103" i="3"/>
  <c r="I329" i="2"/>
  <c r="N329" i="2" s="1"/>
  <c r="I285" i="2"/>
  <c r="I286" i="2" s="1"/>
  <c r="N265" i="2"/>
  <c r="X16" i="7"/>
  <c r="I362" i="2"/>
  <c r="J373" i="2"/>
  <c r="K373" i="2" s="1"/>
  <c r="Z31" i="7"/>
  <c r="Z32" i="7"/>
  <c r="Z18" i="4"/>
  <c r="AB138" i="3"/>
  <c r="AC18" i="4"/>
  <c r="AB101" i="3"/>
  <c r="L317" i="2"/>
  <c r="CE422" i="2"/>
  <c r="CE423" i="2" s="1"/>
  <c r="K361" i="2"/>
  <c r="K362" i="2" s="1"/>
  <c r="DH230" i="2"/>
  <c r="AC31" i="4"/>
  <c r="Z31" i="4"/>
  <c r="N14" i="7"/>
  <c r="Z157" i="6"/>
  <c r="AB157" i="6" s="1"/>
  <c r="P160" i="6"/>
  <c r="J240" i="2"/>
  <c r="J242" i="2" s="1"/>
  <c r="K317" i="2"/>
  <c r="CD234" i="2"/>
  <c r="CD235" i="2" s="1"/>
  <c r="CM421" i="2"/>
  <c r="CN421" i="2"/>
  <c r="CD421" i="2"/>
  <c r="Z73" i="6"/>
  <c r="Z80" i="6" s="1"/>
  <c r="X6" i="7"/>
  <c r="Y30" i="4"/>
  <c r="Y28" i="4"/>
  <c r="Y36" i="3"/>
  <c r="Z109" i="6"/>
  <c r="Z65" i="6"/>
  <c r="Z129" i="6"/>
  <c r="AC15" i="3"/>
  <c r="X7" i="7"/>
  <c r="Z34" i="6"/>
  <c r="X5" i="7"/>
  <c r="AC45" i="3"/>
  <c r="Z24" i="7"/>
  <c r="X18" i="7"/>
  <c r="Y48" i="3"/>
  <c r="X4" i="7"/>
  <c r="Z15" i="7"/>
  <c r="Z29" i="4"/>
  <c r="Z23" i="4"/>
  <c r="AC3" i="4"/>
  <c r="AD105" i="3"/>
  <c r="Z25" i="4"/>
  <c r="AC105" i="3"/>
  <c r="AC25" i="4"/>
  <c r="AC9" i="4"/>
  <c r="AD23" i="3"/>
  <c r="AB23" i="3"/>
  <c r="AC19" i="3"/>
  <c r="AC22" i="4"/>
  <c r="AB120" i="3"/>
  <c r="Z5" i="4"/>
  <c r="AD120" i="3"/>
  <c r="Z7" i="4"/>
  <c r="Z21" i="4"/>
  <c r="Z22" i="4"/>
  <c r="AC7" i="4"/>
  <c r="Z3" i="4"/>
  <c r="AD27" i="3"/>
  <c r="AC27" i="3"/>
  <c r="AB20" i="3"/>
  <c r="AB18" i="3"/>
  <c r="AC17" i="4"/>
  <c r="AD15" i="3"/>
  <c r="AB47" i="3"/>
  <c r="AC29" i="4"/>
  <c r="AC5" i="4"/>
  <c r="AC21" i="4"/>
  <c r="AC23" i="4"/>
  <c r="AC36" i="9"/>
  <c r="Y131" i="6"/>
  <c r="I334" i="2"/>
  <c r="I317" i="2"/>
  <c r="N301" i="2"/>
  <c r="N316" i="2" s="1"/>
  <c r="N317" i="2" s="1"/>
  <c r="Z38" i="9"/>
  <c r="AB38" i="9" s="1"/>
  <c r="AC38" i="9" s="1"/>
  <c r="AA40" i="9"/>
  <c r="Z82" i="3" l="1"/>
  <c r="Z143" i="3" s="1"/>
  <c r="Z146" i="3" s="1"/>
  <c r="AD157" i="6"/>
  <c r="Y54" i="7"/>
  <c r="Y53" i="7"/>
  <c r="Y14" i="7"/>
  <c r="AD165" i="6"/>
  <c r="AB34" i="6"/>
  <c r="AA158" i="6"/>
  <c r="Z52" i="7" s="1"/>
  <c r="O143" i="3"/>
  <c r="O146" i="3" s="1"/>
  <c r="O147" i="3" s="1"/>
  <c r="O148" i="3" s="1"/>
  <c r="Z11" i="4"/>
  <c r="AB110" i="3"/>
  <c r="AC110" i="3" s="1"/>
  <c r="AB65" i="6"/>
  <c r="AB67" i="6" s="1"/>
  <c r="AA48" i="3"/>
  <c r="AA116" i="3"/>
  <c r="Z3" i="7"/>
  <c r="AD110" i="3"/>
  <c r="Z26" i="4"/>
  <c r="Y42" i="3"/>
  <c r="Z9" i="7"/>
  <c r="AD77" i="3"/>
  <c r="AD136" i="3"/>
  <c r="AD103" i="3"/>
  <c r="AD101" i="3"/>
  <c r="AD107" i="3"/>
  <c r="I349" i="2"/>
  <c r="I351" i="2" s="1"/>
  <c r="Z158" i="6"/>
  <c r="Z160" i="6" s="1"/>
  <c r="Z8" i="7"/>
  <c r="AC103" i="3"/>
  <c r="AC101" i="3"/>
  <c r="AB36" i="3"/>
  <c r="N361" i="2"/>
  <c r="N362" i="2" s="1"/>
  <c r="Z27" i="7"/>
  <c r="L240" i="2"/>
  <c r="L242" i="2" s="1"/>
  <c r="X14" i="7"/>
  <c r="CN422" i="2"/>
  <c r="CN423" i="2" s="1"/>
  <c r="CM422" i="2"/>
  <c r="CM423" i="2" s="1"/>
  <c r="CD422" i="2"/>
  <c r="CD423" i="2" s="1"/>
  <c r="Z30" i="4"/>
  <c r="AC30" i="4"/>
  <c r="Z28" i="4"/>
  <c r="AC28" i="4"/>
  <c r="Z23" i="7"/>
  <c r="AB40" i="3"/>
  <c r="AB42" i="3" s="1"/>
  <c r="Z131" i="6"/>
  <c r="Y4" i="7"/>
  <c r="Z13" i="7"/>
  <c r="AC125" i="6"/>
  <c r="AD125" i="6" s="1"/>
  <c r="Z20" i="7"/>
  <c r="AD138" i="3"/>
  <c r="AC138" i="3"/>
  <c r="AA129" i="6"/>
  <c r="AB48" i="3"/>
  <c r="AB97" i="3"/>
  <c r="AB28" i="3"/>
  <c r="AC18" i="6"/>
  <c r="AD18" i="6" s="1"/>
  <c r="AC39" i="6"/>
  <c r="AD39" i="6" s="1"/>
  <c r="AC23" i="3"/>
  <c r="AD121" i="3"/>
  <c r="AB82" i="3"/>
  <c r="AD62" i="3"/>
  <c r="AD66" i="3"/>
  <c r="AD139" i="3"/>
  <c r="AD57" i="3"/>
  <c r="AD59" i="3"/>
  <c r="AD28" i="3"/>
  <c r="AC120" i="3"/>
  <c r="AC18" i="3"/>
  <c r="AD18" i="3"/>
  <c r="AD47" i="3"/>
  <c r="AD53" i="3"/>
  <c r="AB107" i="3"/>
  <c r="AC47" i="3"/>
  <c r="Y116" i="3"/>
  <c r="N334" i="2"/>
  <c r="Z40" i="9"/>
  <c r="Z41" i="9" s="1"/>
  <c r="Z42" i="9" s="1"/>
  <c r="Z15" i="10"/>
  <c r="AA41" i="9"/>
  <c r="AA42" i="9" s="1"/>
  <c r="AA160" i="6" l="1"/>
  <c r="AD160" i="6" s="1"/>
  <c r="AD158" i="6"/>
  <c r="AD67" i="6"/>
  <c r="AB158" i="6"/>
  <c r="AB160" i="6" s="1"/>
  <c r="Y143" i="3"/>
  <c r="Y146" i="3" s="1"/>
  <c r="AA131" i="6"/>
  <c r="AD131" i="6" s="1"/>
  <c r="AA42" i="3"/>
  <c r="AA143" i="3" s="1"/>
  <c r="AD114" i="3"/>
  <c r="AC31" i="6"/>
  <c r="AD31" i="6" s="1"/>
  <c r="AD68" i="3"/>
  <c r="AD82" i="3"/>
  <c r="Z22" i="7"/>
  <c r="AC61" i="6"/>
  <c r="AD61" i="6" s="1"/>
  <c r="Z6" i="7"/>
  <c r="AC136" i="3"/>
  <c r="AD76" i="3"/>
  <c r="I364" i="2"/>
  <c r="Z16" i="7"/>
  <c r="AD20" i="3"/>
  <c r="AC14" i="6"/>
  <c r="AD14" i="6" s="1"/>
  <c r="Z4" i="7"/>
  <c r="AB114" i="3"/>
  <c r="AC40" i="3"/>
  <c r="AC42" i="3" s="1"/>
  <c r="Z18" i="7"/>
  <c r="Z7" i="7"/>
  <c r="Z5" i="7"/>
  <c r="AC36" i="3"/>
  <c r="AD36" i="3"/>
  <c r="AC34" i="6"/>
  <c r="AC121" i="3"/>
  <c r="AC82" i="3"/>
  <c r="AC59" i="3"/>
  <c r="AC139" i="3"/>
  <c r="AC28" i="3"/>
  <c r="AD97" i="3"/>
  <c r="AD48" i="3"/>
  <c r="AC20" i="3"/>
  <c r="AB116" i="3"/>
  <c r="AB109" i="6"/>
  <c r="AC66" i="3"/>
  <c r="AC107" i="3"/>
  <c r="AB129" i="6"/>
  <c r="AC39" i="9"/>
  <c r="Y15" i="10"/>
  <c r="AA163" i="6" l="1"/>
  <c r="AD163" i="6" s="1"/>
  <c r="AB131" i="6"/>
  <c r="AB163" i="6" s="1"/>
  <c r="AB165" i="6" s="1"/>
  <c r="AA146" i="3"/>
  <c r="AA147" i="3" s="1"/>
  <c r="AC129" i="6"/>
  <c r="AD129" i="6" s="1"/>
  <c r="AC73" i="6"/>
  <c r="AD73" i="6" s="1"/>
  <c r="AB143" i="3"/>
  <c r="Z14" i="7"/>
  <c r="AC80" i="6"/>
  <c r="AD80" i="6" s="1"/>
  <c r="AC114" i="3"/>
  <c r="Y147" i="3"/>
  <c r="AC65" i="6"/>
  <c r="AD65" i="6" s="1"/>
  <c r="AC97" i="3"/>
  <c r="AC48" i="3"/>
  <c r="AA165" i="6" l="1"/>
  <c r="AA166" i="6" s="1"/>
  <c r="K18" i="13"/>
  <c r="AC116" i="3"/>
  <c r="AD116" i="3"/>
  <c r="AC143" i="3" l="1"/>
  <c r="AC147" i="3"/>
  <c r="A111" i="3" l="1"/>
  <c r="A112" i="3" s="1"/>
  <c r="A113" i="3" s="1"/>
  <c r="A138" i="3" l="1"/>
  <c r="E230" i="2" l="1"/>
  <c r="E233" i="2" s="1"/>
  <c r="A62" i="2" l="1"/>
  <c r="A63" i="2" s="1"/>
  <c r="A64" i="2" s="1"/>
  <c r="E234" i="2"/>
  <c r="E235" i="2" s="1"/>
  <c r="G230" i="2"/>
  <c r="G233" i="2" s="1"/>
  <c r="F230" i="2"/>
  <c r="F233" i="2" s="1"/>
  <c r="F234" i="2" l="1"/>
  <c r="F235" i="2" s="1"/>
  <c r="G234" i="2"/>
  <c r="G235" i="2" s="1"/>
  <c r="P230" i="2" l="1"/>
  <c r="P233" i="2" s="1"/>
  <c r="V230" i="2"/>
  <c r="V233" i="2" s="1"/>
  <c r="U230" i="2"/>
  <c r="U233" i="2" s="1"/>
  <c r="T230" i="2"/>
  <c r="T233" i="2" s="1"/>
  <c r="Q230" i="2"/>
  <c r="Q233" i="2" s="1"/>
  <c r="X230" i="2"/>
  <c r="X233" i="2" s="1"/>
  <c r="AA230" i="2"/>
  <c r="AA233" i="2" s="1"/>
  <c r="P234" i="2" l="1"/>
  <c r="P235" i="2" s="1"/>
  <c r="W230" i="2"/>
  <c r="W233" i="2" s="1"/>
  <c r="Z230" i="2"/>
  <c r="Z233" i="2" s="1"/>
  <c r="Z234" i="2" s="1"/>
  <c r="Z235" i="2" s="1"/>
  <c r="X234" i="2"/>
  <c r="X235" i="2" s="1"/>
  <c r="S230" i="2"/>
  <c r="S233" i="2" s="1"/>
  <c r="V234" i="2"/>
  <c r="V235" i="2" s="1"/>
  <c r="AA234" i="2"/>
  <c r="AA235" i="2" s="1"/>
  <c r="Q234" i="2"/>
  <c r="Q235" i="2" s="1"/>
  <c r="U234" i="2"/>
  <c r="U235" i="2" s="1"/>
  <c r="T234" i="2"/>
  <c r="T235" i="2" s="1"/>
  <c r="Y230" i="2"/>
  <c r="Y233" i="2" s="1"/>
  <c r="R230" i="2"/>
  <c r="R233" i="2" s="1"/>
  <c r="AK79" i="2" l="1"/>
  <c r="AI79" i="2"/>
  <c r="W234" i="2"/>
  <c r="W235" i="2" s="1"/>
  <c r="Y234" i="2"/>
  <c r="Y235" i="2" s="1"/>
  <c r="R234" i="2"/>
  <c r="R235" i="2" s="1"/>
  <c r="S234" i="2"/>
  <c r="S235" i="2" s="1"/>
  <c r="AV395" i="2"/>
  <c r="AV392" i="2"/>
  <c r="AV230" i="2" l="1"/>
  <c r="AV233" i="2" s="1"/>
  <c r="AV234" i="2" s="1"/>
  <c r="AV235" i="2" s="1"/>
  <c r="AV421" i="2"/>
  <c r="BA392" i="2"/>
  <c r="BH392" i="2"/>
  <c r="BD392" i="2"/>
  <c r="AW230" i="2"/>
  <c r="BK392" i="2"/>
  <c r="BV392" i="2"/>
  <c r="BM392" i="2"/>
  <c r="BH395" i="2"/>
  <c r="BB392" i="2"/>
  <c r="BP392" i="2"/>
  <c r="BF395" i="2"/>
  <c r="AY392" i="2"/>
  <c r="BQ392" i="2"/>
  <c r="BR392" i="2"/>
  <c r="BF392" i="2"/>
  <c r="BN392" i="2"/>
  <c r="BT392" i="2"/>
  <c r="BC392" i="2"/>
  <c r="BD395" i="2"/>
  <c r="AX392" i="2"/>
  <c r="BE392" i="2"/>
  <c r="BO395" i="2"/>
  <c r="BU392" i="2"/>
  <c r="AW392" i="2"/>
  <c r="BM395" i="2"/>
  <c r="BG392" i="2"/>
  <c r="BS230" i="2"/>
  <c r="BS233" i="2" s="1"/>
  <c r="BU230" i="2"/>
  <c r="BU233" i="2" s="1"/>
  <c r="BN395" i="2"/>
  <c r="AX395" i="2"/>
  <c r="BJ392" i="2"/>
  <c r="BC395" i="2"/>
  <c r="AZ392" i="2"/>
  <c r="BQ230" i="2"/>
  <c r="BQ233" i="2" s="1"/>
  <c r="BL392" i="2"/>
  <c r="BF230" i="2"/>
  <c r="BF233" i="2" s="1"/>
  <c r="BB395" i="2"/>
  <c r="BS392" i="2"/>
  <c r="BI392" i="2"/>
  <c r="BO392" i="2"/>
  <c r="BD230" i="2"/>
  <c r="AW233" i="2" l="1"/>
  <c r="AW234" i="2" s="1"/>
  <c r="AW235" i="2" s="1"/>
  <c r="BD233" i="2"/>
  <c r="BD234" i="2" s="1"/>
  <c r="BD235" i="2" s="1"/>
  <c r="AX421" i="2"/>
  <c r="BB230" i="2"/>
  <c r="BB233" i="2" s="1"/>
  <c r="BB234" i="2" s="1"/>
  <c r="BB235" i="2" s="1"/>
  <c r="BC421" i="2"/>
  <c r="BC230" i="2"/>
  <c r="BQ395" i="2"/>
  <c r="BQ421" i="2" s="1"/>
  <c r="BQ422" i="2" s="1"/>
  <c r="BQ423" i="2" s="1"/>
  <c r="BS395" i="2"/>
  <c r="BS421" i="2" s="1"/>
  <c r="BS422" i="2" s="1"/>
  <c r="BS423" i="2" s="1"/>
  <c r="BJ395" i="2"/>
  <c r="BE395" i="2"/>
  <c r="BE421" i="2" s="1"/>
  <c r="AX230" i="2"/>
  <c r="BE233" i="2"/>
  <c r="BU395" i="2"/>
  <c r="BU421" i="2" s="1"/>
  <c r="BU422" i="2" s="1"/>
  <c r="BU423" i="2" s="1"/>
  <c r="AV422" i="2"/>
  <c r="AV423" i="2" s="1"/>
  <c r="BF421" i="2"/>
  <c r="BF422" i="2" s="1"/>
  <c r="BF423" i="2" s="1"/>
  <c r="BV395" i="2"/>
  <c r="BV421" i="2" s="1"/>
  <c r="BQ234" i="2"/>
  <c r="BQ235" i="2" s="1"/>
  <c r="BI395" i="2"/>
  <c r="AZ395" i="2"/>
  <c r="AZ421" i="2" s="1"/>
  <c r="BG395" i="2"/>
  <c r="BS234" i="2"/>
  <c r="BS235" i="2" s="1"/>
  <c r="BD421" i="2"/>
  <c r="BD422" i="2" s="1"/>
  <c r="BD423" i="2" s="1"/>
  <c r="BU234" i="2"/>
  <c r="BU235" i="2" s="1"/>
  <c r="BB421" i="2"/>
  <c r="BB422" i="2" s="1"/>
  <c r="BB423" i="2" s="1"/>
  <c r="BF234" i="2"/>
  <c r="AW395" i="2"/>
  <c r="AW421" i="2" s="1"/>
  <c r="AW422" i="2" s="1"/>
  <c r="AW423" i="2" s="1"/>
  <c r="BC233" i="2" l="1"/>
  <c r="BC234" i="2" s="1"/>
  <c r="BC235" i="2" s="1"/>
  <c r="BC422" i="2"/>
  <c r="BC423" i="2" s="1"/>
  <c r="AX422" i="2"/>
  <c r="AX423" i="2" s="1"/>
  <c r="AX233" i="2"/>
  <c r="AX234" i="2" s="1"/>
  <c r="AX235" i="2" s="1"/>
  <c r="BE234" i="2"/>
  <c r="BE235" i="2" s="1"/>
  <c r="BE422" i="2"/>
  <c r="BE423" i="2" s="1"/>
  <c r="BV230" i="2"/>
  <c r="BA395" i="2"/>
  <c r="BA421" i="2" s="1"/>
  <c r="BL395" i="2"/>
  <c r="BT395" i="2"/>
  <c r="BT421" i="2" s="1"/>
  <c r="BT230" i="2"/>
  <c r="BT233" i="2" s="1"/>
  <c r="AY395" i="2"/>
  <c r="AY421" i="2" s="1"/>
  <c r="AY230" i="2"/>
  <c r="AY233" i="2" s="1"/>
  <c r="BK395" i="2"/>
  <c r="BP395" i="2"/>
  <c r="BP421" i="2" s="1"/>
  <c r="BR395" i="2"/>
  <c r="BR421" i="2" s="1"/>
  <c r="BV233" i="2" l="1"/>
  <c r="BV234" i="2" s="1"/>
  <c r="BV235" i="2" s="1"/>
  <c r="BV422" i="2"/>
  <c r="BV423" i="2" s="1"/>
  <c r="BA230" i="2"/>
  <c r="BP230" i="2"/>
  <c r="BP233" i="2" s="1"/>
  <c r="BR230" i="2"/>
  <c r="BR233" i="2" s="1"/>
  <c r="AY234" i="2"/>
  <c r="AY235" i="2" s="1"/>
  <c r="AY422" i="2"/>
  <c r="AY423" i="2" s="1"/>
  <c r="BT422" i="2"/>
  <c r="BT423" i="2" s="1"/>
  <c r="BT234" i="2"/>
  <c r="BT235" i="2" s="1"/>
  <c r="AZ230" i="2"/>
  <c r="AZ233" i="2" s="1"/>
  <c r="BA233" i="2" l="1"/>
  <c r="BA234" i="2" s="1"/>
  <c r="BA235" i="2" s="1"/>
  <c r="BA422" i="2"/>
  <c r="BA423" i="2" s="1"/>
  <c r="AZ422" i="2"/>
  <c r="AZ423" i="2" s="1"/>
  <c r="AZ234" i="2"/>
  <c r="AZ235" i="2" s="1"/>
  <c r="BR422" i="2"/>
  <c r="BR423" i="2" s="1"/>
  <c r="BR234" i="2"/>
  <c r="BR235" i="2" s="1"/>
  <c r="BP234" i="2"/>
  <c r="BP235" i="2" s="1"/>
  <c r="BP422" i="2"/>
  <c r="BP423" i="2" s="1"/>
  <c r="AV488" i="2"/>
  <c r="AV439" i="2"/>
  <c r="AV486" i="2" l="1"/>
  <c r="AV442" i="2"/>
  <c r="AV468" i="2" s="1"/>
  <c r="K15" i="13" l="1"/>
  <c r="AV489" i="2"/>
  <c r="AV514" i="2" s="1"/>
  <c r="AV521" i="2" s="1"/>
  <c r="CQ233" i="2" l="1"/>
  <c r="CQ234" i="2" s="1"/>
  <c r="CQ235" i="2" s="1"/>
  <c r="AV515" i="2"/>
  <c r="AV516" i="2" s="1"/>
  <c r="AV469" i="2"/>
  <c r="AV470" i="2" s="1"/>
  <c r="AV527" i="2"/>
  <c r="AV528" i="2" s="1"/>
  <c r="BJ488" i="2"/>
  <c r="BD488" i="2"/>
  <c r="AX488" i="2"/>
  <c r="BJ442" i="2"/>
  <c r="BJ489" i="2" s="1"/>
  <c r="BL442" i="2"/>
  <c r="BL489" i="2" s="1"/>
  <c r="BE442" i="2"/>
  <c r="BE489" i="2" s="1"/>
  <c r="BA439" i="2"/>
  <c r="BB488" i="2"/>
  <c r="BF488" i="2"/>
  <c r="BK488" i="2"/>
  <c r="BL488" i="2"/>
  <c r="BD439" i="2"/>
  <c r="BG439" i="2"/>
  <c r="BI439" i="2"/>
  <c r="BD442" i="2"/>
  <c r="BD489" i="2" s="1"/>
  <c r="BM488" i="2"/>
  <c r="AW488" i="2"/>
  <c r="AY442" i="2"/>
  <c r="AY489" i="2" s="1"/>
  <c r="BF439" i="2"/>
  <c r="BF486" i="2" s="1"/>
  <c r="BC439" i="2"/>
  <c r="BM439" i="2"/>
  <c r="BB439" i="2"/>
  <c r="BB486" i="2" s="1"/>
  <c r="AY439" i="2"/>
  <c r="AY486" i="2" s="1"/>
  <c r="BG488" i="2"/>
  <c r="BL439" i="2"/>
  <c r="BL486" i="2" s="1"/>
  <c r="AZ439" i="2"/>
  <c r="AZ486" i="2" s="1"/>
  <c r="AY488" i="2"/>
  <c r="BH439" i="2"/>
  <c r="BH486" i="2" s="1"/>
  <c r="BC488" i="2"/>
  <c r="BK442" i="2"/>
  <c r="BK489" i="2" s="1"/>
  <c r="DG230" i="2"/>
  <c r="DG233" i="2" s="1"/>
  <c r="BK439" i="2"/>
  <c r="BK486" i="2" s="1"/>
  <c r="CZ230" i="2"/>
  <c r="CZ233" i="2" s="1"/>
  <c r="BE439" i="2"/>
  <c r="BE486" i="2" s="1"/>
  <c r="AW439" i="2"/>
  <c r="BJ439" i="2"/>
  <c r="BJ486" i="2" s="1"/>
  <c r="AX439" i="2"/>
  <c r="CY230" i="2" l="1"/>
  <c r="CY233" i="2" s="1"/>
  <c r="CY234" i="2" s="1"/>
  <c r="CY235" i="2" s="1"/>
  <c r="BA488" i="2"/>
  <c r="DE230" i="2"/>
  <c r="DE233" i="2" s="1"/>
  <c r="BJ468" i="2"/>
  <c r="AW486" i="2"/>
  <c r="CT230" i="2"/>
  <c r="BK468" i="2"/>
  <c r="BL468" i="2"/>
  <c r="BM486" i="2"/>
  <c r="BI486" i="2"/>
  <c r="AY468" i="2"/>
  <c r="BC486" i="2"/>
  <c r="BH442" i="2"/>
  <c r="BH489" i="2" s="1"/>
  <c r="BH488" i="2"/>
  <c r="AZ442" i="2"/>
  <c r="AZ489" i="2" s="1"/>
  <c r="BA442" i="2"/>
  <c r="BA489" i="2" s="1"/>
  <c r="CV230" i="2"/>
  <c r="CV233" i="2" s="1"/>
  <c r="BG486" i="2"/>
  <c r="AX486" i="2"/>
  <c r="AY514" i="2"/>
  <c r="BM442" i="2"/>
  <c r="BM489" i="2" s="1"/>
  <c r="DH233" i="2"/>
  <c r="BD468" i="2"/>
  <c r="BI442" i="2"/>
  <c r="BI489" i="2" s="1"/>
  <c r="BI488" i="2"/>
  <c r="BD486" i="2"/>
  <c r="DG234" i="2"/>
  <c r="DG235" i="2" s="1"/>
  <c r="BA486" i="2"/>
  <c r="BG442" i="2"/>
  <c r="BG489" i="2" s="1"/>
  <c r="DF230" i="2"/>
  <c r="DF233" i="2" s="1"/>
  <c r="BE488" i="2"/>
  <c r="BE514" i="2" s="1"/>
  <c r="AV522" i="2" s="1"/>
  <c r="CZ234" i="2"/>
  <c r="CZ235" i="2" s="1"/>
  <c r="BD514" i="2" l="1"/>
  <c r="BA514" i="2"/>
  <c r="BA521" i="2" s="1"/>
  <c r="BA527" i="2" s="1"/>
  <c r="BA528" i="2" s="1"/>
  <c r="BJ469" i="2"/>
  <c r="BJ470" i="2" s="1"/>
  <c r="DE234" i="2"/>
  <c r="DE235" i="2" s="1"/>
  <c r="CT237" i="2"/>
  <c r="CT238" i="2" s="1"/>
  <c r="CT233" i="2"/>
  <c r="CT234" i="2" s="1"/>
  <c r="CT235" i="2" s="1"/>
  <c r="DH234" i="2"/>
  <c r="DH235" i="2" s="1"/>
  <c r="DD230" i="2"/>
  <c r="DD233" i="2" s="1"/>
  <c r="DD234" i="2" s="1"/>
  <c r="DD235" i="2" s="1"/>
  <c r="BA468" i="2"/>
  <c r="DC230" i="2"/>
  <c r="DF234" i="2"/>
  <c r="DF235" i="2" s="1"/>
  <c r="AX442" i="2"/>
  <c r="BI468" i="2"/>
  <c r="AW442" i="2"/>
  <c r="AV529" i="2"/>
  <c r="AV530" i="2" s="1"/>
  <c r="CV237" i="2"/>
  <c r="CV238" i="2" s="1"/>
  <c r="CV234" i="2"/>
  <c r="CV235" i="2" s="1"/>
  <c r="BC442" i="2"/>
  <c r="BL469" i="2"/>
  <c r="BL470" i="2" s="1"/>
  <c r="BB442" i="2"/>
  <c r="CW230" i="2"/>
  <c r="CW233" i="2" s="1"/>
  <c r="AZ488" i="2"/>
  <c r="AZ514" i="2" s="1"/>
  <c r="AZ468" i="2"/>
  <c r="BD469" i="2"/>
  <c r="BD470" i="2" s="1"/>
  <c r="BF442" i="2"/>
  <c r="DA230" i="2"/>
  <c r="DA233" i="2" s="1"/>
  <c r="AY521" i="2"/>
  <c r="AY527" i="2" s="1"/>
  <c r="AY528" i="2" s="1"/>
  <c r="BE468" i="2"/>
  <c r="BG468" i="2"/>
  <c r="CU230" i="2"/>
  <c r="CU233" i="2" s="1"/>
  <c r="BM468" i="2"/>
  <c r="BK469" i="2"/>
  <c r="BK470" i="2" s="1"/>
  <c r="BH468" i="2"/>
  <c r="AY515" i="2"/>
  <c r="AY516" i="2" s="1"/>
  <c r="AY469" i="2"/>
  <c r="AY470" i="2" s="1"/>
  <c r="DB230" i="2"/>
  <c r="DB233" i="2" s="1"/>
  <c r="BD527" i="2" l="1"/>
  <c r="BD528" i="2" s="1"/>
  <c r="BG545" i="2"/>
  <c r="BD515" i="2"/>
  <c r="BD516" i="2" s="1"/>
  <c r="BA515" i="2"/>
  <c r="BA516" i="2" s="1"/>
  <c r="BI469" i="2"/>
  <c r="BI470" i="2" s="1"/>
  <c r="BA469" i="2"/>
  <c r="BA470" i="2" s="1"/>
  <c r="DC233" i="2"/>
  <c r="DC234" i="2" s="1"/>
  <c r="DC235" i="2" s="1"/>
  <c r="DA234" i="2"/>
  <c r="DA235" i="2" s="1"/>
  <c r="DB234" i="2"/>
  <c r="DB235" i="2" s="1"/>
  <c r="CR230" i="2"/>
  <c r="AW489" i="2"/>
  <c r="AW514" i="2" s="1"/>
  <c r="AW468" i="2"/>
  <c r="CS230" i="2"/>
  <c r="AX489" i="2"/>
  <c r="AX514" i="2" s="1"/>
  <c r="AX521" i="2" s="1"/>
  <c r="AX527" i="2" s="1"/>
  <c r="AX528" i="2" s="1"/>
  <c r="AX468" i="2"/>
  <c r="AZ515" i="2"/>
  <c r="AZ516" i="2" s="1"/>
  <c r="AZ469" i="2"/>
  <c r="AZ470" i="2" s="1"/>
  <c r="BB489" i="2"/>
  <c r="BB514" i="2" s="1"/>
  <c r="BB468" i="2"/>
  <c r="BG469" i="2"/>
  <c r="BG470" i="2" s="1"/>
  <c r="AZ521" i="2"/>
  <c r="CU234" i="2"/>
  <c r="CU235" i="2" s="1"/>
  <c r="BC489" i="2"/>
  <c r="BC514" i="2" s="1"/>
  <c r="BC468" i="2"/>
  <c r="BH469" i="2"/>
  <c r="BH470" i="2" s="1"/>
  <c r="CU237" i="2"/>
  <c r="CU238" i="2" s="1"/>
  <c r="BM469" i="2"/>
  <c r="BM470" i="2" s="1"/>
  <c r="BE515" i="2"/>
  <c r="BE516" i="2" s="1"/>
  <c r="BE469" i="2"/>
  <c r="BE470" i="2" s="1"/>
  <c r="BF489" i="2"/>
  <c r="BF514" i="2" s="1"/>
  <c r="AW522" i="2" s="1"/>
  <c r="BF468" i="2"/>
  <c r="CW234" i="2"/>
  <c r="CW235" i="2" s="1"/>
  <c r="CW237" i="2"/>
  <c r="CW238" i="2" s="1"/>
  <c r="AY539" i="2"/>
  <c r="CX230" i="2"/>
  <c r="CX233" i="2" l="1"/>
  <c r="CX234" i="2" s="1"/>
  <c r="CX235" i="2" s="1"/>
  <c r="CS237" i="2"/>
  <c r="CS238" i="2" s="1"/>
  <c r="CS233" i="2"/>
  <c r="CS234" i="2" s="1"/>
  <c r="CS235" i="2" s="1"/>
  <c r="CR237" i="2"/>
  <c r="CR238" i="2" s="1"/>
  <c r="CR233" i="2"/>
  <c r="CR234" i="2" s="1"/>
  <c r="CR235" i="2" s="1"/>
  <c r="AW521" i="2"/>
  <c r="AW527" i="2" s="1"/>
  <c r="AW528" i="2" s="1"/>
  <c r="AX469" i="2"/>
  <c r="AX470" i="2" s="1"/>
  <c r="AX515" i="2"/>
  <c r="AX516" i="2" s="1"/>
  <c r="AW469" i="2"/>
  <c r="AW470" i="2" s="1"/>
  <c r="AW515" i="2"/>
  <c r="AW516" i="2" s="1"/>
  <c r="BB515" i="2"/>
  <c r="BB516" i="2" s="1"/>
  <c r="BB469" i="2"/>
  <c r="BB470" i="2" s="1"/>
  <c r="BB521" i="2"/>
  <c r="BB527" i="2" s="1"/>
  <c r="BB528" i="2" s="1"/>
  <c r="AW529" i="2"/>
  <c r="AW530" i="2" s="1"/>
  <c r="BC469" i="2"/>
  <c r="BC470" i="2" s="1"/>
  <c r="BC515" i="2"/>
  <c r="BC516" i="2" s="1"/>
  <c r="AZ527" i="2"/>
  <c r="AZ528" i="2" s="1"/>
  <c r="BF469" i="2"/>
  <c r="BF470" i="2" s="1"/>
  <c r="BF515" i="2"/>
  <c r="BF516" i="2" s="1"/>
  <c r="BC521" i="2"/>
  <c r="BC527" i="2" l="1"/>
  <c r="BC528" i="2" s="1"/>
  <c r="EK230" i="2"/>
  <c r="EK233" i="2" l="1"/>
  <c r="EK234" i="2" s="1"/>
  <c r="EK235" i="2" s="1"/>
  <c r="EN230" i="2"/>
  <c r="EN233" i="2" s="1"/>
  <c r="EO233" i="2"/>
  <c r="ER230" i="2"/>
  <c r="ET230" i="2"/>
  <c r="ET233" i="2" s="1"/>
  <c r="ER233" i="2" l="1"/>
  <c r="ER234" i="2" s="1"/>
  <c r="ER235" i="2" s="1"/>
  <c r="EN234" i="2"/>
  <c r="EN235" i="2" s="1"/>
  <c r="EM230" i="2"/>
  <c r="EM233" i="2" s="1"/>
  <c r="EL230" i="2"/>
  <c r="ET234" i="2"/>
  <c r="ET235" i="2" s="1"/>
  <c r="EO234" i="2"/>
  <c r="ES230" i="2"/>
  <c r="ES233" i="2" s="1"/>
  <c r="EL233" i="2" l="1"/>
  <c r="EL234" i="2" s="1"/>
  <c r="EL235" i="2" s="1"/>
  <c r="EM234" i="2"/>
  <c r="EM235" i="2" s="1"/>
  <c r="ES234" i="2"/>
  <c r="ES235" i="2" s="1"/>
  <c r="EP230" i="2"/>
  <c r="EP233" i="2" s="1"/>
  <c r="ET239" i="2" s="1"/>
  <c r="EP234" i="2" l="1"/>
  <c r="FL99" i="2" l="1"/>
  <c r="FA230" i="2"/>
  <c r="FA233" i="2" s="1"/>
  <c r="EX230" i="2"/>
  <c r="EX233" i="2" s="1"/>
  <c r="FC230" i="2"/>
  <c r="ER237" i="2" s="1"/>
  <c r="FE230" i="2"/>
  <c r="EW230" i="2"/>
  <c r="FC233" i="2" l="1"/>
  <c r="FC234" i="2" s="1"/>
  <c r="FC235" i="2" s="1"/>
  <c r="EW233" i="2"/>
  <c r="EW234" i="2" s="1"/>
  <c r="EW235" i="2" s="1"/>
  <c r="ET237" i="2"/>
  <c r="FE233" i="2"/>
  <c r="FE234" i="2" s="1"/>
  <c r="FE235" i="2" s="1"/>
  <c r="FL150" i="2"/>
  <c r="EX234" i="2"/>
  <c r="EY230" i="2"/>
  <c r="EN237" i="2" s="1"/>
  <c r="EZ230" i="2"/>
  <c r="EZ233" i="2" s="1"/>
  <c r="EL237" i="2"/>
  <c r="FD230" i="2"/>
  <c r="FB230" i="2"/>
  <c r="EQ237" i="2" s="1"/>
  <c r="EP237" i="2"/>
  <c r="FL233" i="2"/>
  <c r="FL230" i="2"/>
  <c r="EM237" i="2"/>
  <c r="ES237" i="2" l="1"/>
  <c r="FD233" i="2"/>
  <c r="FD234" i="2" s="1"/>
  <c r="FD235" i="2" s="1"/>
  <c r="EY233" i="2"/>
  <c r="EY234" i="2" s="1"/>
  <c r="EY235" i="2" s="1"/>
  <c r="FB233" i="2"/>
  <c r="FB234" i="2" s="1"/>
  <c r="FL234" i="2"/>
  <c r="EX235" i="2"/>
  <c r="FL235" i="2" s="1"/>
  <c r="FA234" i="2"/>
  <c r="EO237" i="2"/>
  <c r="EZ234" i="2"/>
  <c r="CN441" i="2"/>
  <c r="CN488" i="2" s="1"/>
  <c r="BO488" i="2"/>
  <c r="BP488" i="2"/>
  <c r="BZ488" i="2"/>
  <c r="CJ441" i="2"/>
  <c r="CJ488" i="2" s="1"/>
  <c r="BU488" i="2"/>
  <c r="BS488" i="2"/>
  <c r="CD488" i="2"/>
  <c r="CA488" i="2"/>
  <c r="BX488" i="2"/>
  <c r="CM441" i="2"/>
  <c r="CM488" i="2" s="1"/>
  <c r="BR488" i="2"/>
  <c r="CK441" i="2"/>
  <c r="CK488" i="2" s="1"/>
  <c r="BT488" i="2"/>
  <c r="BN488" i="2"/>
  <c r="CH441" i="2"/>
  <c r="CH488" i="2" s="1"/>
  <c r="CC488" i="2"/>
  <c r="BV488" i="2"/>
  <c r="CF441" i="2"/>
  <c r="CF488" i="2" s="1"/>
  <c r="BQ488" i="2"/>
  <c r="CI441" i="2"/>
  <c r="CI488" i="2" s="1"/>
  <c r="BY488" i="2"/>
  <c r="CL441" i="2"/>
  <c r="CL488" i="2" s="1"/>
  <c r="CG441" i="2"/>
  <c r="CG488" i="2" s="1"/>
  <c r="CB488" i="2"/>
  <c r="CD442" i="2"/>
  <c r="CD489" i="2" s="1"/>
  <c r="CF442" i="2"/>
  <c r="CF489" i="2" s="1"/>
  <c r="CB442" i="2"/>
  <c r="CB489" i="2" s="1"/>
  <c r="CG442" i="2"/>
  <c r="CG489" i="2" s="1"/>
  <c r="CM442" i="2"/>
  <c r="CM489" i="2" s="1"/>
  <c r="BV442" i="2"/>
  <c r="BV489" i="2" s="1"/>
  <c r="BR442" i="2"/>
  <c r="BR489" i="2" s="1"/>
  <c r="BW442" i="2"/>
  <c r="BW489" i="2" s="1"/>
  <c r="CC442" i="2"/>
  <c r="CC489" i="2" s="1"/>
  <c r="CN442" i="2"/>
  <c r="CN489" i="2" s="1"/>
  <c r="BY442" i="2"/>
  <c r="BY489" i="2" s="1"/>
  <c r="CA442" i="2"/>
  <c r="CA489" i="2" s="1"/>
  <c r="CE442" i="2"/>
  <c r="CE489" i="2" s="1"/>
  <c r="BP442" i="2"/>
  <c r="BP489" i="2" s="1"/>
  <c r="BO442" i="2"/>
  <c r="BO489" i="2" s="1"/>
  <c r="BU442" i="2"/>
  <c r="BU489" i="2" s="1"/>
  <c r="CJ442" i="2"/>
  <c r="CJ489" i="2" s="1"/>
  <c r="CI442" i="2"/>
  <c r="CI489" i="2" s="1"/>
  <c r="CL442" i="2"/>
  <c r="CL489" i="2" s="1"/>
  <c r="BS442" i="2"/>
  <c r="BS489" i="2" s="1"/>
  <c r="BX442" i="2"/>
  <c r="BX489" i="2" s="1"/>
  <c r="BQ442" i="2"/>
  <c r="BQ489" i="2" s="1"/>
  <c r="CH442" i="2"/>
  <c r="CH489" i="2" s="1"/>
  <c r="CK442" i="2"/>
  <c r="CK489" i="2" s="1"/>
  <c r="BN442" i="2"/>
  <c r="BN489" i="2" s="1"/>
  <c r="BZ442" i="2"/>
  <c r="BZ489" i="2" s="1"/>
  <c r="BT442" i="2"/>
  <c r="BT489" i="2" s="1"/>
  <c r="G165" i="6"/>
  <c r="G166" i="6" s="1"/>
  <c r="CZ237" i="2" l="1"/>
  <c r="CZ238" i="2" s="1"/>
  <c r="G171" i="6"/>
  <c r="S67" i="6"/>
  <c r="P67" i="6"/>
  <c r="I67" i="6"/>
  <c r="Y67" i="6"/>
  <c r="K67" i="6"/>
  <c r="Z67" i="6"/>
  <c r="Z163" i="6" s="1"/>
  <c r="X67" i="6"/>
  <c r="V67" i="6"/>
  <c r="V163" i="6" s="1"/>
  <c r="N67" i="6"/>
  <c r="U67" i="6"/>
  <c r="R67" i="6"/>
  <c r="M67" i="6"/>
  <c r="M163" i="6" s="1"/>
  <c r="J67" i="6"/>
  <c r="W67" i="6"/>
  <c r="Q67" i="6"/>
  <c r="L67" i="6"/>
  <c r="H67" i="6"/>
  <c r="H163" i="6" s="1"/>
  <c r="T67" i="6"/>
  <c r="T163" i="6" s="1"/>
  <c r="O67" i="6"/>
  <c r="J163" i="6" l="1"/>
  <c r="K163" i="6"/>
  <c r="L163" i="6"/>
  <c r="O163" i="6"/>
  <c r="O165" i="6" s="1"/>
  <c r="R163" i="6"/>
  <c r="Y163" i="6"/>
  <c r="Y165" i="6" s="1"/>
  <c r="Y166" i="6" s="1"/>
  <c r="Y171" i="6" s="1"/>
  <c r="Q163" i="6"/>
  <c r="Q165" i="6" s="1"/>
  <c r="Q166" i="6" s="1"/>
  <c r="Q171" i="6" s="1"/>
  <c r="W163" i="6"/>
  <c r="W165" i="6" s="1"/>
  <c r="U163" i="6"/>
  <c r="P163" i="6"/>
  <c r="P165" i="6" s="1"/>
  <c r="P166" i="6" s="1"/>
  <c r="P171" i="6" s="1"/>
  <c r="T165" i="6"/>
  <c r="H165" i="6"/>
  <c r="Z165" i="6"/>
  <c r="V165" i="6"/>
  <c r="M165" i="6"/>
  <c r="R165" i="6" l="1"/>
  <c r="R166" i="6" s="1"/>
  <c r="R171" i="6" s="1"/>
  <c r="K165" i="6"/>
  <c r="K166" i="6" s="1"/>
  <c r="K171" i="6" s="1"/>
  <c r="U165" i="6"/>
  <c r="U166" i="6" s="1"/>
  <c r="U171" i="6" s="1"/>
  <c r="L165" i="6"/>
  <c r="L166" i="6" s="1"/>
  <c r="L171" i="6" s="1"/>
  <c r="J165" i="6"/>
  <c r="J166" i="6" s="1"/>
  <c r="J171" i="6" s="1"/>
  <c r="W166" i="6"/>
  <c r="W171" i="6" s="1"/>
  <c r="DD237" i="2"/>
  <c r="DD238" i="2" s="1"/>
  <c r="DC237" i="2"/>
  <c r="DC238" i="2" s="1"/>
  <c r="DF237" i="2"/>
  <c r="DF238" i="2" s="1"/>
  <c r="DB237" i="2"/>
  <c r="DB238" i="2" s="1"/>
  <c r="ES238" i="2"/>
  <c r="EN238" i="2"/>
  <c r="EM238" i="2"/>
  <c r="T166" i="6"/>
  <c r="T171" i="6" s="1"/>
  <c r="DE237" i="2"/>
  <c r="DE238" i="2" s="1"/>
  <c r="V166" i="6"/>
  <c r="V171" i="6" s="1"/>
  <c r="DA237" i="2"/>
  <c r="DA238" i="2" s="1"/>
  <c r="O166" i="6"/>
  <c r="O171" i="6" s="1"/>
  <c r="M166" i="6"/>
  <c r="M171" i="6" s="1"/>
  <c r="H166" i="6"/>
  <c r="H171" i="6" s="1"/>
  <c r="Z166" i="6" l="1"/>
  <c r="Z171" i="6" l="1"/>
  <c r="CD439" i="2" l="1"/>
  <c r="DW150" i="2"/>
  <c r="DW230" i="2" s="1"/>
  <c r="EI150" i="2"/>
  <c r="EI230" i="2" s="1"/>
  <c r="EI233" i="2" s="1"/>
  <c r="DX150" i="2"/>
  <c r="DU150" i="2"/>
  <c r="EF150" i="2"/>
  <c r="EF230" i="2" s="1"/>
  <c r="EF233" i="2" s="1"/>
  <c r="BR439" i="2"/>
  <c r="BR468" i="2" s="1"/>
  <c r="DS150" i="2"/>
  <c r="DY150" i="2"/>
  <c r="DY230" i="2" s="1"/>
  <c r="EC150" i="2"/>
  <c r="EG150" i="2"/>
  <c r="EG230" i="2" s="1"/>
  <c r="EG233" i="2" s="1"/>
  <c r="CE439" i="2"/>
  <c r="CE468" i="2" s="1"/>
  <c r="CB439" i="2"/>
  <c r="CB468" i="2" s="1"/>
  <c r="CM439" i="2"/>
  <c r="CM468" i="2" s="1"/>
  <c r="ED150" i="2"/>
  <c r="ED230" i="2" s="1"/>
  <c r="CK439" i="2"/>
  <c r="CK468" i="2" s="1"/>
  <c r="BU439" i="2"/>
  <c r="BU468" i="2" s="1"/>
  <c r="DT150" i="2"/>
  <c r="DT230" i="2" s="1"/>
  <c r="DT237" i="2" s="1"/>
  <c r="DT238" i="2" s="1"/>
  <c r="EE150" i="2"/>
  <c r="EE230" i="2" s="1"/>
  <c r="DP150" i="2"/>
  <c r="DP230" i="2" s="1"/>
  <c r="CC439" i="2"/>
  <c r="CC468" i="2" s="1"/>
  <c r="BX439" i="2"/>
  <c r="BX468" i="2" s="1"/>
  <c r="BN439" i="2"/>
  <c r="BN468" i="2" s="1"/>
  <c r="BO439" i="2"/>
  <c r="BO468" i="2" s="1"/>
  <c r="DJ150" i="2"/>
  <c r="DV150" i="2"/>
  <c r="DV230" i="2" s="1"/>
  <c r="CN439" i="2"/>
  <c r="CN468" i="2" s="1"/>
  <c r="EA150" i="2"/>
  <c r="EA230" i="2" s="1"/>
  <c r="DM150" i="2"/>
  <c r="DM230" i="2" s="1"/>
  <c r="BS439" i="2"/>
  <c r="BS468" i="2" s="1"/>
  <c r="CA439" i="2"/>
  <c r="CA468" i="2" s="1"/>
  <c r="EB150" i="2"/>
  <c r="EB230" i="2" s="1"/>
  <c r="CI439" i="2"/>
  <c r="CI486" i="2" s="1"/>
  <c r="CI514" i="2" s="1"/>
  <c r="BV439" i="2"/>
  <c r="BV468" i="2" s="1"/>
  <c r="CJ439" i="2"/>
  <c r="CJ486" i="2" s="1"/>
  <c r="CJ514" i="2" s="1"/>
  <c r="BP439" i="2"/>
  <c r="BP468" i="2" s="1"/>
  <c r="DK150" i="2"/>
  <c r="DK230" i="2" s="1"/>
  <c r="CL439" i="2"/>
  <c r="CL468" i="2" s="1"/>
  <c r="CH439" i="2"/>
  <c r="CH468" i="2" s="1"/>
  <c r="BT439" i="2"/>
  <c r="BT468" i="2" s="1"/>
  <c r="DQ150" i="2"/>
  <c r="DN150" i="2"/>
  <c r="BW439" i="2"/>
  <c r="BW486" i="2" s="1"/>
  <c r="CF439" i="2"/>
  <c r="CF468" i="2" s="1"/>
  <c r="DO150" i="2"/>
  <c r="BQ439" i="2"/>
  <c r="BQ468" i="2" s="1"/>
  <c r="BZ439" i="2"/>
  <c r="BZ468" i="2" s="1"/>
  <c r="DI150" i="2"/>
  <c r="DI230" i="2" s="1"/>
  <c r="BY439" i="2"/>
  <c r="BY468" i="2" s="1"/>
  <c r="CG439" i="2"/>
  <c r="CG468" i="2" s="1"/>
  <c r="DZ150" i="2"/>
  <c r="EH150" i="2"/>
  <c r="EH230" i="2" s="1"/>
  <c r="EH233" i="2" s="1"/>
  <c r="DR150" i="2"/>
  <c r="DL150" i="2"/>
  <c r="BC238" i="2" l="1"/>
  <c r="CE486" i="2"/>
  <c r="BW514" i="2"/>
  <c r="AV524" i="2" s="1"/>
  <c r="CN486" i="2"/>
  <c r="CN514" i="2" s="1"/>
  <c r="CN515" i="2" s="1"/>
  <c r="CN516" i="2" s="1"/>
  <c r="BR486" i="2"/>
  <c r="BR514" i="2" s="1"/>
  <c r="AZ523" i="2" s="1"/>
  <c r="CH486" i="2"/>
  <c r="CH514" i="2" s="1"/>
  <c r="CH515" i="2" s="1"/>
  <c r="CH516" i="2" s="1"/>
  <c r="BZ486" i="2"/>
  <c r="CL486" i="2"/>
  <c r="CL514" i="2" s="1"/>
  <c r="CL515" i="2" s="1"/>
  <c r="CL516" i="2" s="1"/>
  <c r="CA486" i="2"/>
  <c r="CA514" i="2" s="1"/>
  <c r="BT486" i="2"/>
  <c r="BT514" i="2" s="1"/>
  <c r="BB523" i="2" s="1"/>
  <c r="BB531" i="2" s="1"/>
  <c r="BB532" i="2" s="1"/>
  <c r="BV486" i="2"/>
  <c r="BV514" i="2" s="1"/>
  <c r="BD523" i="2" s="1"/>
  <c r="BS486" i="2"/>
  <c r="BS514" i="2" s="1"/>
  <c r="BA523" i="2" s="1"/>
  <c r="BA531" i="2" s="1"/>
  <c r="BA532" i="2" s="1"/>
  <c r="CL469" i="2"/>
  <c r="CL470" i="2" s="1"/>
  <c r="BU486" i="2"/>
  <c r="BU514" i="2" s="1"/>
  <c r="BC523" i="2" s="1"/>
  <c r="EG234" i="2"/>
  <c r="EG235" i="2" s="1"/>
  <c r="DX230" i="2"/>
  <c r="DX233" i="2" s="1"/>
  <c r="DO230" i="2"/>
  <c r="DO233" i="2" s="1"/>
  <c r="DO234" i="2" s="1"/>
  <c r="DO235" i="2" s="1"/>
  <c r="BP486" i="2"/>
  <c r="BP514" i="2" s="1"/>
  <c r="AX523" i="2" s="1"/>
  <c r="AX531" i="2" s="1"/>
  <c r="AX532" i="2" s="1"/>
  <c r="DJ230" i="2"/>
  <c r="BN486" i="2"/>
  <c r="CM486" i="2"/>
  <c r="CM514" i="2" s="1"/>
  <c r="CM515" i="2" s="1"/>
  <c r="CM516" i="2" s="1"/>
  <c r="DP233" i="2"/>
  <c r="DP234" i="2" s="1"/>
  <c r="DP235" i="2" s="1"/>
  <c r="EI234" i="2"/>
  <c r="EI235" i="2" s="1"/>
  <c r="DQ230" i="2"/>
  <c r="DQ233" i="2" s="1"/>
  <c r="BU469" i="2"/>
  <c r="BU470" i="2" s="1"/>
  <c r="BY469" i="2"/>
  <c r="BY470" i="2" s="1"/>
  <c r="BP469" i="2"/>
  <c r="BP470" i="2" s="1"/>
  <c r="DI237" i="2"/>
  <c r="DI238" i="2" s="1"/>
  <c r="BN469" i="2"/>
  <c r="BN470" i="2" s="1"/>
  <c r="DV237" i="2"/>
  <c r="DV238" i="2" s="1"/>
  <c r="AZ238" i="2"/>
  <c r="CA469" i="2"/>
  <c r="CA470" i="2" s="1"/>
  <c r="AY542" i="2"/>
  <c r="CG486" i="2"/>
  <c r="CG514" i="2" s="1"/>
  <c r="CG515" i="2" s="1"/>
  <c r="CG516" i="2" s="1"/>
  <c r="BY486" i="2"/>
  <c r="DN230" i="2"/>
  <c r="BQ486" i="2"/>
  <c r="BQ514" i="2" s="1"/>
  <c r="AY523" i="2" s="1"/>
  <c r="DK233" i="2"/>
  <c r="DK234" i="2" s="1"/>
  <c r="DK235" i="2" s="1"/>
  <c r="DM233" i="2"/>
  <c r="DM234" i="2" s="1"/>
  <c r="DM235" i="2" s="1"/>
  <c r="BO486" i="2"/>
  <c r="CK486" i="2"/>
  <c r="CK514" i="2" s="1"/>
  <c r="CK515" i="2" s="1"/>
  <c r="CK516" i="2" s="1"/>
  <c r="CC486" i="2"/>
  <c r="BR469" i="2"/>
  <c r="BR470" i="2" s="1"/>
  <c r="CN469" i="2"/>
  <c r="CN470" i="2" s="1"/>
  <c r="CD468" i="2"/>
  <c r="CD486" i="2"/>
  <c r="DZ230" i="2"/>
  <c r="DZ233" i="2" s="1"/>
  <c r="CG469" i="2"/>
  <c r="CG470" i="2" s="1"/>
  <c r="DI233" i="2"/>
  <c r="DI234" i="2" s="1"/>
  <c r="DI235" i="2" s="1"/>
  <c r="CF486" i="2"/>
  <c r="CF514" i="2" s="1"/>
  <c r="CF515" i="2" s="1"/>
  <c r="CF516" i="2" s="1"/>
  <c r="BW468" i="2"/>
  <c r="CJ468" i="2"/>
  <c r="CI468" i="2"/>
  <c r="BX486" i="2"/>
  <c r="CK469" i="2"/>
  <c r="CK470" i="2" s="1"/>
  <c r="ED233" i="2"/>
  <c r="ED234" i="2" s="1"/>
  <c r="ED235" i="2" s="1"/>
  <c r="CB486" i="2"/>
  <c r="EC230" i="2"/>
  <c r="EC233" i="2" s="1"/>
  <c r="DV233" i="2"/>
  <c r="DV234" i="2" s="1"/>
  <c r="DV235" i="2" s="1"/>
  <c r="CB469" i="2"/>
  <c r="CB470" i="2" s="1"/>
  <c r="DY233" i="2"/>
  <c r="DY234" i="2" s="1"/>
  <c r="DY235" i="2" s="1"/>
  <c r="DS230" i="2"/>
  <c r="EF234" i="2"/>
  <c r="EF235" i="2" s="1"/>
  <c r="CF469" i="2"/>
  <c r="CF470" i="2" s="1"/>
  <c r="EA233" i="2"/>
  <c r="EA234" i="2" s="1"/>
  <c r="EA235" i="2" s="1"/>
  <c r="DL230" i="2"/>
  <c r="DL233" i="2" s="1"/>
  <c r="DR230" i="2"/>
  <c r="DR237" i="2" s="1"/>
  <c r="DR238" i="2" s="1"/>
  <c r="EH234" i="2"/>
  <c r="EH235" i="2" s="1"/>
  <c r="DK237" i="2"/>
  <c r="DK238" i="2" s="1"/>
  <c r="EB233" i="2"/>
  <c r="EB234" i="2" s="1"/>
  <c r="EB235" i="2" s="1"/>
  <c r="DM237" i="2"/>
  <c r="DM238" i="2" s="1"/>
  <c r="EE233" i="2"/>
  <c r="EE234" i="2" s="1"/>
  <c r="EE235" i="2" s="1"/>
  <c r="DT233" i="2"/>
  <c r="DT234" i="2" s="1"/>
  <c r="DT235" i="2" s="1"/>
  <c r="CM469" i="2"/>
  <c r="CM470" i="2" s="1"/>
  <c r="DU230" i="2"/>
  <c r="BZ469" i="2" s="1"/>
  <c r="BZ470" i="2" s="1"/>
  <c r="DW237" i="2"/>
  <c r="DW238" i="2" s="1"/>
  <c r="DW233" i="2"/>
  <c r="DW234" i="2" s="1"/>
  <c r="DW235" i="2" s="1"/>
  <c r="CE514" i="2" l="1"/>
  <c r="CE515" i="2" s="1"/>
  <c r="DS233" i="2"/>
  <c r="DS234" i="2" s="1"/>
  <c r="DS235" i="2" s="1"/>
  <c r="AW238" i="2"/>
  <c r="BZ514" i="2"/>
  <c r="BZ515" i="2" s="1"/>
  <c r="BZ516" i="2" s="1"/>
  <c r="BY514" i="2"/>
  <c r="AY524" i="2" s="1"/>
  <c r="BX514" i="2"/>
  <c r="AW524" i="2" s="1"/>
  <c r="CD514" i="2"/>
  <c r="BC524" i="2" s="1"/>
  <c r="CC514" i="2"/>
  <c r="BB524" i="2" s="1"/>
  <c r="CB514" i="2"/>
  <c r="BA524" i="2" s="1"/>
  <c r="CA515" i="2"/>
  <c r="CA516" i="2" s="1"/>
  <c r="AZ524" i="2"/>
  <c r="AV238" i="2"/>
  <c r="DJ237" i="2"/>
  <c r="DJ238" i="2" s="1"/>
  <c r="CC469" i="2"/>
  <c r="CC470" i="2" s="1"/>
  <c r="AZ531" i="2"/>
  <c r="AZ532" i="2" s="1"/>
  <c r="BR515" i="2"/>
  <c r="BR516" i="2" s="1"/>
  <c r="BT515" i="2"/>
  <c r="BT516" i="2" s="1"/>
  <c r="BS515" i="2"/>
  <c r="BS516" i="2" s="1"/>
  <c r="BB238" i="2"/>
  <c r="AX238" i="2"/>
  <c r="BP515" i="2"/>
  <c r="BP516" i="2" s="1"/>
  <c r="BD531" i="2"/>
  <c r="BD532" i="2" s="1"/>
  <c r="BU515" i="2"/>
  <c r="BU516" i="2" s="1"/>
  <c r="DU233" i="2"/>
  <c r="DU234" i="2" s="1"/>
  <c r="DU235" i="2" s="1"/>
  <c r="BT469" i="2"/>
  <c r="BT470" i="2" s="1"/>
  <c r="BV515" i="2"/>
  <c r="BV516" i="2" s="1"/>
  <c r="BD238" i="2"/>
  <c r="BC531" i="2"/>
  <c r="BC532" i="2" s="1"/>
  <c r="BO469" i="2"/>
  <c r="BO470" i="2" s="1"/>
  <c r="DJ233" i="2"/>
  <c r="DJ234" i="2" s="1"/>
  <c r="DJ235" i="2" s="1"/>
  <c r="DX234" i="2"/>
  <c r="DX235" i="2" s="1"/>
  <c r="DX237" i="2"/>
  <c r="DX238" i="2" s="1"/>
  <c r="BV469" i="2"/>
  <c r="BV470" i="2" s="1"/>
  <c r="DQ234" i="2"/>
  <c r="DQ235" i="2" s="1"/>
  <c r="CE469" i="2"/>
  <c r="CE470" i="2" s="1"/>
  <c r="AY531" i="2"/>
  <c r="AY532" i="2" s="1"/>
  <c r="DS237" i="2"/>
  <c r="DS238" i="2" s="1"/>
  <c r="EC234" i="2"/>
  <c r="EC235" i="2" s="1"/>
  <c r="BA238" i="2"/>
  <c r="DN237" i="2"/>
  <c r="DN238" i="2" s="1"/>
  <c r="DL234" i="2"/>
  <c r="DL235" i="2" s="1"/>
  <c r="DL237" i="2"/>
  <c r="DL238" i="2" s="1"/>
  <c r="AY238" i="2"/>
  <c r="BX469" i="2"/>
  <c r="BX470" i="2" s="1"/>
  <c r="CJ469" i="2"/>
  <c r="CJ470" i="2" s="1"/>
  <c r="CJ515" i="2"/>
  <c r="CJ516" i="2" s="1"/>
  <c r="CD469" i="2"/>
  <c r="CD470" i="2" s="1"/>
  <c r="CH469" i="2"/>
  <c r="CH470" i="2" s="1"/>
  <c r="DU237" i="2"/>
  <c r="DU238" i="2" s="1"/>
  <c r="BW469" i="2"/>
  <c r="BW470" i="2" s="1"/>
  <c r="BW515" i="2"/>
  <c r="BW516" i="2" s="1"/>
  <c r="BQ469" i="2"/>
  <c r="BQ470" i="2" s="1"/>
  <c r="BS469" i="2"/>
  <c r="BS470" i="2" s="1"/>
  <c r="CI469" i="2"/>
  <c r="CI470" i="2" s="1"/>
  <c r="CI515" i="2"/>
  <c r="CI516" i="2" s="1"/>
  <c r="DZ234" i="2"/>
  <c r="DZ235" i="2" s="1"/>
  <c r="DR233" i="2"/>
  <c r="DR234" i="2" s="1"/>
  <c r="DR235" i="2" s="1"/>
  <c r="BQ515" i="2"/>
  <c r="BQ516" i="2" s="1"/>
  <c r="DN233" i="2"/>
  <c r="DN234" i="2" s="1"/>
  <c r="DN235" i="2" s="1"/>
  <c r="AT150" i="2"/>
  <c r="AF150" i="2"/>
  <c r="AF230" i="2" s="1"/>
  <c r="AH150" i="2"/>
  <c r="AO150" i="2"/>
  <c r="AO230" i="2" s="1"/>
  <c r="AN150" i="2"/>
  <c r="AN230" i="2" s="1"/>
  <c r="AC150" i="2"/>
  <c r="AB150" i="2"/>
  <c r="AS150" i="2"/>
  <c r="AS230" i="2" s="1"/>
  <c r="AI150" i="2"/>
  <c r="AI230" i="2" s="1"/>
  <c r="AJ150" i="2"/>
  <c r="AG150" i="2"/>
  <c r="AQ150" i="2"/>
  <c r="AQ230" i="2" s="1"/>
  <c r="AE150" i="2"/>
  <c r="AE230" i="2" s="1"/>
  <c r="AR150" i="2"/>
  <c r="AR230" i="2" s="1"/>
  <c r="AK150" i="2"/>
  <c r="AK230" i="2" s="1"/>
  <c r="AP150" i="2"/>
  <c r="AD150" i="2"/>
  <c r="AM150" i="2"/>
  <c r="AL150" i="2"/>
  <c r="BD524" i="2" l="1"/>
  <c r="CE516" i="2"/>
  <c r="BB548" i="2"/>
  <c r="BC548" i="2" s="1"/>
  <c r="BD548" i="2" s="1"/>
  <c r="AY541" i="2"/>
  <c r="CC515" i="2"/>
  <c r="CC516" i="2" s="1"/>
  <c r="CB515" i="2"/>
  <c r="CB516" i="2" s="1"/>
  <c r="CD515" i="2"/>
  <c r="CD516" i="2" s="1"/>
  <c r="BX515" i="2"/>
  <c r="BX516" i="2" s="1"/>
  <c r="BY515" i="2"/>
  <c r="BY516" i="2" s="1"/>
  <c r="AT230" i="2"/>
  <c r="AT233" i="2" s="1"/>
  <c r="AT234" i="2" s="1"/>
  <c r="AT235" i="2" s="1"/>
  <c r="AL230" i="2"/>
  <c r="AL233" i="2" s="1"/>
  <c r="AL234" i="2" s="1"/>
  <c r="AL235" i="2" s="1"/>
  <c r="AR233" i="2"/>
  <c r="AR234" i="2" s="1"/>
  <c r="AR235" i="2" s="1"/>
  <c r="AJ230" i="2"/>
  <c r="AJ233" i="2" s="1"/>
  <c r="AJ234" i="2" s="1"/>
  <c r="AJ235" i="2" s="1"/>
  <c r="AB230" i="2"/>
  <c r="AB233" i="2" s="1"/>
  <c r="AB234" i="2" s="1"/>
  <c r="AB235" i="2" s="1"/>
  <c r="AF233" i="2"/>
  <c r="AF234" i="2" s="1"/>
  <c r="AF235" i="2" s="1"/>
  <c r="AQ233" i="2"/>
  <c r="AQ234" i="2" s="1"/>
  <c r="AQ235" i="2" s="1"/>
  <c r="AO233" i="2"/>
  <c r="AO234" i="2" s="1"/>
  <c r="AO235" i="2" s="1"/>
  <c r="AK233" i="2"/>
  <c r="AK234" i="2" s="1"/>
  <c r="AK235" i="2" s="1"/>
  <c r="AG230" i="2"/>
  <c r="AG233" i="2" s="1"/>
  <c r="AG234" i="2" s="1"/>
  <c r="AG235" i="2" s="1"/>
  <c r="AN233" i="2"/>
  <c r="AN234" i="2" s="1"/>
  <c r="AN235" i="2" s="1"/>
  <c r="AE233" i="2"/>
  <c r="AE234" i="2" s="1"/>
  <c r="AE235" i="2" s="1"/>
  <c r="AI233" i="2"/>
  <c r="AI234" i="2" s="1"/>
  <c r="AI235" i="2" s="1"/>
  <c r="AS233" i="2"/>
  <c r="AS234" i="2" s="1"/>
  <c r="AS235" i="2" s="1"/>
  <c r="AD230" i="2"/>
  <c r="AP230" i="2"/>
  <c r="AM230" i="2"/>
  <c r="AC230" i="2"/>
  <c r="AH230" i="2"/>
  <c r="AH233" i="2" l="1"/>
  <c r="AH234" i="2" s="1"/>
  <c r="AH235" i="2" s="1"/>
  <c r="AD233" i="2"/>
  <c r="AD234" i="2" s="1"/>
  <c r="AD235" i="2" s="1"/>
  <c r="AC233" i="2"/>
  <c r="AC234" i="2" s="1"/>
  <c r="AC235" i="2" s="1"/>
  <c r="AP233" i="2"/>
  <c r="AP234" i="2" s="1"/>
  <c r="AP235" i="2" s="1"/>
  <c r="AM233" i="2"/>
  <c r="AM234" i="2" s="1"/>
  <c r="AM235" i="2" s="1"/>
  <c r="BL381" i="2" l="1"/>
  <c r="BM72" i="2"/>
  <c r="BM230" i="2" s="1"/>
  <c r="BD237" i="2" s="1"/>
  <c r="BD239" i="2" s="1"/>
  <c r="BG381" i="2"/>
  <c r="BI381" i="2"/>
  <c r="BK381" i="2"/>
  <c r="BN72" i="2"/>
  <c r="BN230" i="2" s="1"/>
  <c r="BN381" i="2"/>
  <c r="BN421" i="2" s="1"/>
  <c r="BI72" i="2" l="1"/>
  <c r="BI230" i="2" s="1"/>
  <c r="AZ237" i="2" s="1"/>
  <c r="AZ239" i="2" s="1"/>
  <c r="AZ240" i="2" s="1"/>
  <c r="BD240" i="2"/>
  <c r="AV237" i="2"/>
  <c r="BN422" i="2"/>
  <c r="BN423" i="2" s="1"/>
  <c r="BI475" i="2"/>
  <c r="BI514" i="2" s="1"/>
  <c r="AZ522" i="2" s="1"/>
  <c r="BI421" i="2"/>
  <c r="BL421" i="2"/>
  <c r="BL475" i="2"/>
  <c r="BL514" i="2" s="1"/>
  <c r="BC522" i="2" s="1"/>
  <c r="BK421" i="2"/>
  <c r="BK475" i="2"/>
  <c r="BK514" i="2" s="1"/>
  <c r="BB522" i="2" s="1"/>
  <c r="BG421" i="2"/>
  <c r="BG475" i="2"/>
  <c r="BG514" i="2" s="1"/>
  <c r="BJ72" i="2"/>
  <c r="BJ230" i="2" s="1"/>
  <c r="BG72" i="2"/>
  <c r="BG230" i="2" s="1"/>
  <c r="BL72" i="2"/>
  <c r="BL230" i="2" s="1"/>
  <c r="BH381" i="2"/>
  <c r="BK72" i="2"/>
  <c r="BK230" i="2" s="1"/>
  <c r="BJ381" i="2"/>
  <c r="BN233" i="2"/>
  <c r="BN234" i="2" s="1"/>
  <c r="BN235" i="2" s="1"/>
  <c r="K261" i="2"/>
  <c r="BO381" i="2"/>
  <c r="BM233" i="2"/>
  <c r="BM234" i="2" s="1"/>
  <c r="BM235" i="2" s="1"/>
  <c r="BN475" i="2"/>
  <c r="BN514" i="2" s="1"/>
  <c r="AV523" i="2" s="1"/>
  <c r="BM381" i="2"/>
  <c r="BH72" i="2"/>
  <c r="BH230" i="2" s="1"/>
  <c r="BO72" i="2"/>
  <c r="BO230" i="2" s="1"/>
  <c r="AW237" i="2" s="1"/>
  <c r="AV239" i="2" l="1"/>
  <c r="AV240" i="2" s="1"/>
  <c r="BL233" i="2"/>
  <c r="BL234" i="2" s="1"/>
  <c r="BL235" i="2" s="1"/>
  <c r="BC237" i="2"/>
  <c r="BC239" i="2" s="1"/>
  <c r="BC240" i="2" s="1"/>
  <c r="AX522" i="2"/>
  <c r="AX529" i="2" s="1"/>
  <c r="AX530" i="2" s="1"/>
  <c r="AX524" i="2"/>
  <c r="A76" i="6"/>
  <c r="A102" i="6" s="1"/>
  <c r="BK515" i="2"/>
  <c r="BK516" i="2" s="1"/>
  <c r="BI233" i="2"/>
  <c r="BI234" i="2" s="1"/>
  <c r="BI235" i="2" s="1"/>
  <c r="BK233" i="2"/>
  <c r="BK234" i="2" s="1"/>
  <c r="BK235" i="2" s="1"/>
  <c r="BI422" i="2"/>
  <c r="BI423" i="2" s="1"/>
  <c r="BG515" i="2"/>
  <c r="BG516" i="2" s="1"/>
  <c r="BL515" i="2"/>
  <c r="BL516" i="2" s="1"/>
  <c r="AY237" i="2"/>
  <c r="AY239" i="2" s="1"/>
  <c r="AY240" i="2" s="1"/>
  <c r="BH421" i="2"/>
  <c r="BH475" i="2"/>
  <c r="BH514" i="2" s="1"/>
  <c r="AY522" i="2" s="1"/>
  <c r="BH233" i="2"/>
  <c r="BH234" i="2" s="1"/>
  <c r="BH235" i="2" s="1"/>
  <c r="BM421" i="2"/>
  <c r="BM475" i="2"/>
  <c r="BM514" i="2" s="1"/>
  <c r="BO421" i="2"/>
  <c r="BO422" i="2" s="1"/>
  <c r="BO423" i="2" s="1"/>
  <c r="BO475" i="2"/>
  <c r="BO514" i="2" s="1"/>
  <c r="AW523" i="2" s="1"/>
  <c r="BG233" i="2"/>
  <c r="BG234" i="2" s="1"/>
  <c r="BG235" i="2" s="1"/>
  <c r="BL422" i="2"/>
  <c r="BL423" i="2" s="1"/>
  <c r="BC529" i="2"/>
  <c r="BC530" i="2" s="1"/>
  <c r="BC526" i="2"/>
  <c r="AW239" i="2"/>
  <c r="AW240" i="2" s="1"/>
  <c r="AV526" i="2"/>
  <c r="AV531" i="2"/>
  <c r="AV532" i="2" s="1"/>
  <c r="N261" i="2"/>
  <c r="N285" i="2" s="1"/>
  <c r="N286" i="2" s="1"/>
  <c r="K285" i="2"/>
  <c r="K286" i="2" s="1"/>
  <c r="K325" i="2"/>
  <c r="BJ475" i="2"/>
  <c r="BJ514" i="2" s="1"/>
  <c r="BA522" i="2" s="1"/>
  <c r="BJ421" i="2"/>
  <c r="BG422" i="2"/>
  <c r="BG423" i="2" s="1"/>
  <c r="AX237" i="2"/>
  <c r="AX239" i="2" s="1"/>
  <c r="AX240" i="2" s="1"/>
  <c r="BB237" i="2"/>
  <c r="BB239" i="2" s="1"/>
  <c r="BB240" i="2" s="1"/>
  <c r="BK422" i="2"/>
  <c r="BK423" i="2" s="1"/>
  <c r="BA237" i="2"/>
  <c r="BA239" i="2" s="1"/>
  <c r="BA240" i="2" s="1"/>
  <c r="BB526" i="2"/>
  <c r="BB529" i="2"/>
  <c r="BB530" i="2" s="1"/>
  <c r="BI515" i="2"/>
  <c r="BI516" i="2" s="1"/>
  <c r="BN515" i="2"/>
  <c r="BN516" i="2" s="1"/>
  <c r="AZ526" i="2"/>
  <c r="AZ529" i="2"/>
  <c r="AZ530" i="2" s="1"/>
  <c r="BO233" i="2"/>
  <c r="BO234" i="2" s="1"/>
  <c r="BO235" i="2" s="1"/>
  <c r="BJ233" i="2"/>
  <c r="BJ234" i="2" s="1"/>
  <c r="BJ235" i="2" s="1"/>
  <c r="A103" i="6" l="1"/>
  <c r="A104" i="6" s="1"/>
  <c r="A156" i="6" s="1"/>
  <c r="A157" i="6" s="1"/>
  <c r="AX526" i="2"/>
  <c r="BD522" i="2"/>
  <c r="AY540" i="2" s="1"/>
  <c r="BH515" i="2"/>
  <c r="BH516" i="2" s="1"/>
  <c r="BJ515" i="2"/>
  <c r="BJ516" i="2" s="1"/>
  <c r="BJ422" i="2"/>
  <c r="BJ423" i="2" s="1"/>
  <c r="BA529" i="2"/>
  <c r="BA530" i="2" s="1"/>
  <c r="BA526" i="2"/>
  <c r="BM515" i="2"/>
  <c r="BM516" i="2" s="1"/>
  <c r="BM422" i="2"/>
  <c r="BM423" i="2" s="1"/>
  <c r="BH422" i="2"/>
  <c r="BH423" i="2" s="1"/>
  <c r="N325" i="2"/>
  <c r="N349" i="2" s="1"/>
  <c r="N364" i="2" s="1"/>
  <c r="K349" i="2"/>
  <c r="AW531" i="2"/>
  <c r="AW532" i="2" s="1"/>
  <c r="AW526" i="2"/>
  <c r="BO515" i="2"/>
  <c r="BO516" i="2" s="1"/>
  <c r="AY529" i="2"/>
  <c r="AY530" i="2" s="1"/>
  <c r="AY526" i="2"/>
  <c r="BD529" i="2" l="1"/>
  <c r="BD530" i="2" s="1"/>
  <c r="BD526" i="2"/>
  <c r="K364" i="2"/>
  <c r="K351" i="2"/>
  <c r="I372" i="2" s="1"/>
  <c r="J372" i="2" l="1"/>
  <c r="K372" i="2" s="1"/>
  <c r="A68" i="2" l="1"/>
  <c r="A69" i="2" s="1"/>
  <c r="A70" i="2" l="1"/>
  <c r="A83" i="2" l="1"/>
  <c r="A85" i="2" s="1"/>
  <c r="A86" i="2" s="1"/>
  <c r="A87" i="2" s="1"/>
  <c r="A88" i="2" s="1"/>
  <c r="A90" i="2" s="1"/>
  <c r="K7" i="13" l="1"/>
  <c r="A125" i="2" l="1"/>
  <c r="A126" i="2" s="1"/>
  <c r="A127" i="2" s="1"/>
  <c r="A128" i="2" s="1"/>
  <c r="A129" i="2" l="1"/>
  <c r="A130" i="2" s="1"/>
  <c r="A131" i="2" s="1"/>
  <c r="A132" i="2" s="1"/>
  <c r="A133" i="2" s="1"/>
  <c r="A136" i="2" s="1"/>
  <c r="A137" i="2" s="1"/>
  <c r="A138" i="2" s="1"/>
  <c r="A139" i="2" s="1"/>
  <c r="A140" i="2" s="1"/>
  <c r="A141" i="2" s="1"/>
  <c r="A155" i="2"/>
  <c r="A156" i="2" s="1"/>
  <c r="A157" i="2" s="1"/>
  <c r="A158" i="2" s="1"/>
  <c r="A159" i="2" s="1"/>
  <c r="A160" i="2" s="1"/>
  <c r="EV143" i="2"/>
  <c r="EV150" i="2"/>
  <c r="EV230" i="2" s="1"/>
  <c r="A163" i="2" l="1"/>
  <c r="EK238" i="2"/>
  <c r="EK237" i="2"/>
  <c r="EV233" i="2"/>
  <c r="EV234" i="2" s="1"/>
  <c r="EV235" i="2" s="1"/>
  <c r="A224" i="2" l="1"/>
  <c r="A225" i="2" s="1"/>
  <c r="V8" i="7"/>
  <c r="Q8" i="7"/>
  <c r="N158" i="6"/>
  <c r="N160" i="6" s="1"/>
  <c r="I158" i="6"/>
  <c r="I160" i="6" s="1"/>
  <c r="I163" i="6" s="1"/>
  <c r="I165" i="6" s="1"/>
  <c r="I166" i="6" s="1"/>
  <c r="I171" i="6" s="1"/>
  <c r="X158" i="6"/>
  <c r="X160" i="6" s="1"/>
  <c r="X163" i="6" s="1"/>
  <c r="ER238" i="2" s="1"/>
  <c r="D156" i="6"/>
  <c r="D160" i="6" s="1"/>
  <c r="S158" i="6"/>
  <c r="S160" i="6" s="1"/>
  <c r="S163" i="6" s="1"/>
  <c r="EL238" i="2" s="1"/>
  <c r="AB8" i="7" l="1"/>
  <c r="ET238" i="2"/>
  <c r="S165" i="6"/>
  <c r="S166" i="6" s="1"/>
  <c r="S171" i="6" s="1"/>
  <c r="DO237" i="2"/>
  <c r="DO238" i="2" s="1"/>
  <c r="N163" i="6"/>
  <c r="X165" i="6"/>
  <c r="X166" i="6" s="1"/>
  <c r="X171" i="6" s="1"/>
  <c r="N165" i="6" l="1"/>
  <c r="N166" i="6" s="1"/>
  <c r="N171" i="6" s="1"/>
  <c r="AB166" i="6" l="1"/>
  <c r="AC166" i="6" s="1"/>
  <c r="AD42" i="3" l="1"/>
  <c r="AD143" i="3" s="1"/>
  <c r="AB146" i="3"/>
  <c r="AC146" i="3" s="1"/>
  <c r="Y148" i="3" l="1"/>
  <c r="Z147" i="3" l="1"/>
  <c r="AD147" i="3" s="1"/>
  <c r="AD146" i="3"/>
  <c r="BC561" i="2"/>
  <c r="BD561" i="2" s="1"/>
  <c r="BG55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Mayra Alejandra Pérez</author>
    <author>Gladys Lizeth Acabal</author>
    <author/>
    <author>Alejandra Perez</author>
    <author>Mayra Pérez</author>
    <author>Iris Hernandez de Lemus</author>
    <author>Dámaris España</author>
  </authors>
  <commentList>
    <comment ref="AW12" authorId="0" shapeId="0" xr:uid="{CD4718E0-8911-436F-913C-81D745C87424}">
      <text>
        <r>
          <rPr>
            <b/>
            <sz val="9"/>
            <color indexed="81"/>
            <rFont val="Tahoma"/>
            <family val="2"/>
          </rPr>
          <t>Mayra Alejandra Pérez:</t>
        </r>
        <r>
          <rPr>
            <sz val="9"/>
            <color indexed="81"/>
            <rFont val="Tahoma"/>
            <family val="2"/>
          </rPr>
          <t xml:space="preserve">
complemento de pago de aguinaldo 2022</t>
        </r>
      </text>
    </comment>
    <comment ref="EQ14" authorId="0" shapeId="0" xr:uid="{DC68E2C6-ABFC-465A-83C0-D85A50415800}">
      <text>
        <r>
          <rPr>
            <b/>
            <sz val="9"/>
            <color indexed="81"/>
            <rFont val="Tahoma"/>
            <family val="2"/>
          </rPr>
          <t>Mayra Alejandra Pérez:</t>
        </r>
        <r>
          <rPr>
            <sz val="9"/>
            <color indexed="81"/>
            <rFont val="Tahoma"/>
            <family val="2"/>
          </rPr>
          <t xml:space="preserve">
240 de parqueo mensuales y</t>
        </r>
      </text>
    </comment>
    <comment ref="BF15" authorId="1" shapeId="0" xr:uid="{00000000-0006-0000-0000-000001000000}">
      <text>
        <r>
          <rPr>
            <b/>
            <sz val="9"/>
            <color indexed="81"/>
            <rFont val="Tahoma"/>
            <family val="2"/>
          </rPr>
          <t>Gladys Lizeth Acabal:</t>
        </r>
        <r>
          <rPr>
            <sz val="9"/>
            <color indexed="81"/>
            <rFont val="Tahoma"/>
            <family val="2"/>
          </rPr>
          <t xml:space="preserve">
bono extraordinadio solo en agosto</t>
        </r>
      </text>
    </comment>
    <comment ref="DA15" authorId="1" shapeId="0" xr:uid="{00000000-0006-0000-0000-000002000000}">
      <text>
        <r>
          <rPr>
            <b/>
            <sz val="9"/>
            <color indexed="81"/>
            <rFont val="Tahoma"/>
            <family val="2"/>
          </rPr>
          <t>Gladys Lizeth Acabal:</t>
        </r>
        <r>
          <rPr>
            <sz val="9"/>
            <color indexed="81"/>
            <rFont val="Tahoma"/>
            <family val="2"/>
          </rPr>
          <t xml:space="preserve">
Devolución por Q.50.00 descontados de más en boleto de ornato</t>
        </r>
      </text>
    </comment>
    <comment ref="DA16" authorId="1" shapeId="0" xr:uid="{00000000-0006-0000-0000-000003000000}">
      <text>
        <r>
          <rPr>
            <b/>
            <sz val="9"/>
            <color indexed="81"/>
            <rFont val="Tahoma"/>
            <family val="2"/>
          </rPr>
          <t>Gladys Lizeth Acabal:</t>
        </r>
        <r>
          <rPr>
            <sz val="9"/>
            <color indexed="81"/>
            <rFont val="Tahoma"/>
            <family val="2"/>
          </rPr>
          <t xml:space="preserve">
Devolución por Q.50.00 descontados de más en boleto de ornato</t>
        </r>
      </text>
    </comment>
    <comment ref="DA17" authorId="1" shapeId="0" xr:uid="{00000000-0006-0000-0000-000004000000}">
      <text>
        <r>
          <rPr>
            <b/>
            <sz val="9"/>
            <color indexed="81"/>
            <rFont val="Tahoma"/>
            <family val="2"/>
          </rPr>
          <t>Gladys Lizeth Acabal:</t>
        </r>
        <r>
          <rPr>
            <sz val="9"/>
            <color indexed="81"/>
            <rFont val="Tahoma"/>
            <family val="2"/>
          </rPr>
          <t xml:space="preserve">
Devolución por Q.50.00 descontados de más en boleto de ornato</t>
        </r>
      </text>
    </comment>
    <comment ref="H18" authorId="0" shapeId="0" xr:uid="{883E812C-1464-478D-BAED-CBEACA05036F}">
      <text>
        <r>
          <rPr>
            <b/>
            <sz val="9"/>
            <color indexed="81"/>
            <rFont val="Tahoma"/>
            <family val="2"/>
          </rPr>
          <t>Mayra Alejandra Pérez:</t>
        </r>
        <r>
          <rPr>
            <sz val="9"/>
            <color indexed="81"/>
            <rFont val="Tahoma"/>
            <family val="2"/>
          </rPr>
          <t xml:space="preserve">
despues del 3er mes ajuste de salario de 250 en bonif ingreso en agosto 19</t>
        </r>
      </text>
    </comment>
    <comment ref="AW18" authorId="0" shapeId="0" xr:uid="{7AC34B82-2E41-4B01-A647-56F8243C4C62}">
      <text>
        <r>
          <rPr>
            <b/>
            <sz val="9"/>
            <color indexed="81"/>
            <rFont val="Tahoma"/>
            <family val="2"/>
          </rPr>
          <t>Mayra Alejandra Pérez: monto pendiente de bonificacion de salario fijo no pagado en septiembre  queda en octubre</t>
        </r>
      </text>
    </comment>
    <comment ref="DA18" authorId="1" shapeId="0" xr:uid="{88E5484E-DC6C-4BF5-9E56-7EA4E1161FB7}">
      <text>
        <r>
          <rPr>
            <b/>
            <sz val="9"/>
            <color indexed="81"/>
            <rFont val="Tahoma"/>
            <family val="2"/>
          </rPr>
          <t>Gladys Lizeth Acabal:</t>
        </r>
        <r>
          <rPr>
            <sz val="9"/>
            <color indexed="81"/>
            <rFont val="Tahoma"/>
            <family val="2"/>
          </rPr>
          <t xml:space="preserve">
Devolución por Q.50.00 descontados de más en boleto de ornato</t>
        </r>
      </text>
    </comment>
    <comment ref="BE19" authorId="2" shapeId="0" xr:uid="{00000000-0006-0000-0000-000006000000}">
      <text>
        <r>
          <rPr>
            <b/>
            <sz val="9"/>
            <color indexed="8"/>
            <rFont val="Tahoma"/>
            <family val="2"/>
          </rPr>
          <t xml:space="preserve">Francisco Escobar:
</t>
        </r>
        <r>
          <rPr>
            <sz val="9"/>
            <color indexed="8"/>
            <rFont val="Tahoma"/>
            <family val="2"/>
          </rPr>
          <t>Error en formula fala la suma de la celda de proquima no afecta resultado pero se puede dar mas adelante que afecte el mismo</t>
        </r>
      </text>
    </comment>
    <comment ref="BF19" authorId="2" shapeId="0" xr:uid="{00000000-0006-0000-0000-000007000000}">
      <text>
        <r>
          <rPr>
            <b/>
            <sz val="9"/>
            <color indexed="8"/>
            <rFont val="Tahoma"/>
            <family val="2"/>
          </rPr>
          <t xml:space="preserve">Francisco Escobar:
</t>
        </r>
        <r>
          <rPr>
            <sz val="9"/>
            <color indexed="8"/>
            <rFont val="Tahoma"/>
            <family val="2"/>
          </rPr>
          <t>Error en formula fala la suma de la celda de proquima no afecta resultado pero se puede dar mas adelante que afecte el mismo</t>
        </r>
      </text>
    </comment>
    <comment ref="BG19" authorId="2" shapeId="0" xr:uid="{00000000-0006-0000-0000-000008000000}">
      <text>
        <r>
          <rPr>
            <b/>
            <sz val="9"/>
            <color indexed="8"/>
            <rFont val="Tahoma"/>
            <family val="2"/>
          </rPr>
          <t xml:space="preserve">Francisco Escobar:
</t>
        </r>
        <r>
          <rPr>
            <sz val="9"/>
            <color indexed="8"/>
            <rFont val="Tahoma"/>
            <family val="2"/>
          </rPr>
          <t>Error en formula fala la suma de la celda de proquima no afecta resultado pero se puede dar mas adelante que afecte el mismo</t>
        </r>
      </text>
    </comment>
    <comment ref="BH19" authorId="2" shapeId="0" xr:uid="{00000000-0006-0000-0000-000009000000}">
      <text>
        <r>
          <rPr>
            <b/>
            <sz val="9"/>
            <color indexed="8"/>
            <rFont val="Tahoma"/>
            <family val="2"/>
          </rPr>
          <t xml:space="preserve">Francisco Escobar:
</t>
        </r>
        <r>
          <rPr>
            <sz val="9"/>
            <color indexed="8"/>
            <rFont val="Tahoma"/>
            <family val="2"/>
          </rPr>
          <t>Error en formula fala la suma de la celda de proquima no afecta resultado pero se puede dar mas adelante que afecte el mismo</t>
        </r>
      </text>
    </comment>
    <comment ref="BI19" authorId="2" shapeId="0" xr:uid="{00000000-0006-0000-0000-00000A000000}">
      <text>
        <r>
          <rPr>
            <b/>
            <sz val="9"/>
            <color indexed="8"/>
            <rFont val="Tahoma"/>
            <family val="2"/>
          </rPr>
          <t xml:space="preserve">Francisco Escobar:
</t>
        </r>
        <r>
          <rPr>
            <sz val="9"/>
            <color indexed="8"/>
            <rFont val="Tahoma"/>
            <family val="2"/>
          </rPr>
          <t>Error en formula fala la suma de la celda de proquima no afecta resultado pero se puede dar mas adelante que afecte el mismo</t>
        </r>
      </text>
    </comment>
    <comment ref="BJ19" authorId="2" shapeId="0" xr:uid="{00000000-0006-0000-0000-00000B000000}">
      <text>
        <r>
          <rPr>
            <b/>
            <sz val="9"/>
            <color indexed="8"/>
            <rFont val="Tahoma"/>
            <family val="2"/>
          </rPr>
          <t xml:space="preserve">Francisco Escobar:
</t>
        </r>
        <r>
          <rPr>
            <sz val="9"/>
            <color indexed="8"/>
            <rFont val="Tahoma"/>
            <family val="2"/>
          </rPr>
          <t>Error en formula fala la suma de la celda de proquima no afecta resultado pero se puede dar mas adelante que afecte el mismo</t>
        </r>
      </text>
    </comment>
    <comment ref="CZ19" authorId="2" shapeId="0" xr:uid="{00000000-0006-0000-0000-00000C000000}">
      <text>
        <r>
          <rPr>
            <b/>
            <sz val="9"/>
            <color indexed="8"/>
            <rFont val="Tahoma"/>
            <family val="2"/>
          </rPr>
          <t xml:space="preserve">Francisco Escobar:
</t>
        </r>
        <r>
          <rPr>
            <sz val="9"/>
            <color indexed="8"/>
            <rFont val="Tahoma"/>
            <family val="2"/>
          </rPr>
          <t xml:space="preserve">Error en Formula faltaba celda cy15
x el momento no afectaba el resultado pero mas adelante puede ser
</t>
        </r>
      </text>
    </comment>
    <comment ref="EQ24" authorId="0" shapeId="0" xr:uid="{87670563-BE8F-4D8A-B6A1-D92BAE49961B}">
      <text>
        <r>
          <rPr>
            <b/>
            <sz val="9"/>
            <color indexed="81"/>
            <rFont val="Tahoma"/>
            <family val="2"/>
          </rPr>
          <t>Mayra Alejandra Pérez:</t>
        </r>
        <r>
          <rPr>
            <sz val="9"/>
            <color indexed="81"/>
            <rFont val="Tahoma"/>
            <family val="2"/>
          </rPr>
          <t xml:space="preserve">
descuento por pago en exceso en octbre pendiente de aplicar</t>
        </r>
      </text>
    </comment>
    <comment ref="F26" authorId="3" shapeId="0" xr:uid="{00000000-0006-0000-0000-00000D000000}">
      <text>
        <r>
          <rPr>
            <b/>
            <sz val="9"/>
            <color indexed="81"/>
            <rFont val="Tahoma"/>
            <family val="2"/>
          </rPr>
          <t>Alejandra Perez:</t>
        </r>
        <r>
          <rPr>
            <sz val="9"/>
            <color indexed="81"/>
            <rFont val="Tahoma"/>
            <family val="2"/>
          </rPr>
          <t xml:space="preserve">
120 por depreciacion de vehiculo</t>
        </r>
      </text>
    </comment>
    <comment ref="EQ27" authorId="0" shapeId="0" xr:uid="{2F577D2D-4A3A-4797-A911-E7C3995DDBE6}">
      <text>
        <r>
          <rPr>
            <b/>
            <sz val="9"/>
            <color indexed="81"/>
            <rFont val="Tahoma"/>
            <family val="2"/>
          </rPr>
          <t>Mayra Alejandra Pérez:</t>
        </r>
        <r>
          <rPr>
            <sz val="9"/>
            <color indexed="81"/>
            <rFont val="Tahoma"/>
            <family val="2"/>
          </rPr>
          <t xml:space="preserve">
descuento por compra de juego de mesa madera total de 1200 3 dscuentos de 400 inicia enero 31 finalalza febrero 28</t>
        </r>
      </text>
    </comment>
    <comment ref="EK31" authorId="1" shapeId="0" xr:uid="{00000000-0006-0000-0000-00000E000000}">
      <text>
        <r>
          <rPr>
            <b/>
            <sz val="9"/>
            <color indexed="81"/>
            <rFont val="Tahoma"/>
            <family val="2"/>
          </rPr>
          <t>Gladys Lizeth Acabal:</t>
        </r>
        <r>
          <rPr>
            <sz val="9"/>
            <color indexed="81"/>
            <rFont val="Tahoma"/>
            <family val="2"/>
          </rPr>
          <t xml:space="preserve">
julio colocar 1040.95</t>
        </r>
      </text>
    </comment>
    <comment ref="EL31" authorId="2" shapeId="0" xr:uid="{00000000-0006-0000-0000-00000F000000}">
      <text>
        <r>
          <rPr>
            <b/>
            <sz val="9"/>
            <color indexed="8"/>
            <rFont val="Tahoma"/>
            <family val="2"/>
          </rPr>
          <t xml:space="preserve">Mayra Pérez:
</t>
        </r>
        <r>
          <rPr>
            <sz val="9"/>
            <color indexed="8"/>
            <rFont val="Tahoma"/>
            <family val="2"/>
          </rPr>
          <t xml:space="preserve"> en enero 2023 cambia la cuota a 2052.72 
Cambiaron la cuota en Marzo 2020 Q1,370.65
</t>
        </r>
      </text>
    </comment>
    <comment ref="G32" authorId="1" shapeId="0" xr:uid="{00000000-0006-0000-0000-000011000000}">
      <text>
        <r>
          <rPr>
            <b/>
            <sz val="9"/>
            <color indexed="81"/>
            <rFont val="Tahoma"/>
            <family val="2"/>
          </rPr>
          <t>Gladys Lizeth Acabal:</t>
        </r>
        <r>
          <rPr>
            <sz val="9"/>
            <color indexed="81"/>
            <rFont val="Tahoma"/>
            <family val="2"/>
          </rPr>
          <t xml:space="preserve">
bono gerencial sobre alcanse de objetivos 2 salarios anuales</t>
        </r>
      </text>
    </comment>
    <comment ref="G33" authorId="0" shapeId="0" xr:uid="{BAD11F8F-B591-46EC-B27D-BBB6724A34F5}">
      <text>
        <r>
          <rPr>
            <b/>
            <sz val="9"/>
            <color indexed="81"/>
            <rFont val="Tahoma"/>
            <family val="2"/>
          </rPr>
          <t>Mayra Alejandra Pérez:</t>
        </r>
        <r>
          <rPr>
            <sz val="9"/>
            <color indexed="81"/>
            <rFont val="Tahoma"/>
            <family val="2"/>
          </rPr>
          <t xml:space="preserve">
quedan 1000 variables mensuales pagados a fin de mes contra tabla de conta. + 500de incremento a bonif despues de 3er mes</t>
        </r>
      </text>
    </comment>
    <comment ref="EQ33" authorId="1" shapeId="0" xr:uid="{CDB4256F-F39D-4F4F-893C-77F25D957BE4}">
      <text>
        <r>
          <rPr>
            <b/>
            <sz val="9"/>
            <color indexed="81"/>
            <rFont val="Tahoma"/>
            <family val="2"/>
          </rPr>
          <t>Gladys Lizeth Acabal:</t>
        </r>
        <r>
          <rPr>
            <sz val="9"/>
            <color indexed="81"/>
            <rFont val="Tahoma"/>
            <family val="2"/>
          </rPr>
          <t xml:space="preserve">
Q.240 Mensual por  
Uso de parqueo</t>
        </r>
      </text>
    </comment>
    <comment ref="ES33" authorId="0" shapeId="0" xr:uid="{02B25C6C-EEAC-4181-95F9-3AD61A061F4B}">
      <text>
        <r>
          <rPr>
            <b/>
            <sz val="9"/>
            <color indexed="81"/>
            <rFont val="Tahoma"/>
            <family val="2"/>
          </rPr>
          <t>Mayra Alejandra Pérez:</t>
        </r>
        <r>
          <rPr>
            <sz val="9"/>
            <color indexed="81"/>
            <rFont val="Tahoma"/>
            <family val="2"/>
          </rPr>
          <t xml:space="preserve">
descuento en 2 meses inicia enero finaliza febrero total de 270 cada mes de 135</t>
        </r>
      </text>
    </comment>
    <comment ref="E34" authorId="1" shapeId="0" xr:uid="{00000000-0006-0000-0000-000012000000}">
      <text>
        <r>
          <rPr>
            <b/>
            <sz val="9"/>
            <color indexed="81"/>
            <rFont val="Tahoma"/>
            <family val="2"/>
          </rPr>
          <t>Gladys Lizeth Acabal:</t>
        </r>
        <r>
          <rPr>
            <sz val="9"/>
            <color indexed="81"/>
            <rFont val="Tahoma"/>
            <family val="2"/>
          </rPr>
          <t xml:space="preserve">
despues de 2 meses subir a base 250 y a bonif 250</t>
        </r>
      </text>
    </comment>
    <comment ref="EL35" authorId="1" shapeId="0" xr:uid="{00000000-0006-0000-0000-000013000000}">
      <text>
        <r>
          <rPr>
            <b/>
            <sz val="9"/>
            <color indexed="81"/>
            <rFont val="Tahoma"/>
            <family val="2"/>
          </rPr>
          <t>Gladys Lizeth Acabal:</t>
        </r>
        <r>
          <rPr>
            <sz val="9"/>
            <color indexed="81"/>
            <rFont val="Tahoma"/>
            <family val="2"/>
          </rPr>
          <t xml:space="preserve">
CREDITO BANTRAB INICIA ENERO 22 FINALIZA DIC 2023 DE ENERO 23 SE LE CAMBIA LA CUOTA A 538.59 HASTA DIC 23</t>
        </r>
      </text>
    </comment>
    <comment ref="EQ35" authorId="0" shapeId="0" xr:uid="{64CE5AC7-615D-4B2B-ADCA-B7EDDD963EDB}">
      <text>
        <r>
          <rPr>
            <sz val="9"/>
            <color indexed="81"/>
            <rFont val="Tahoma"/>
            <family val="2"/>
          </rPr>
          <t xml:space="preserve"> ddescuento por juego de mesa de madera total de 300 2 descuentos de 150 finalza feb 15</t>
        </r>
      </text>
    </comment>
    <comment ref="G38" authorId="0" shapeId="0" xr:uid="{39A8FD51-25EE-49A1-96D1-25B01A6C4C01}">
      <text>
        <r>
          <rPr>
            <b/>
            <sz val="9"/>
            <color indexed="81"/>
            <rFont val="Tahoma"/>
            <family val="2"/>
          </rPr>
          <t>Mayra Alejandra Pérez:</t>
        </r>
        <r>
          <rPr>
            <sz val="9"/>
            <color indexed="81"/>
            <rFont val="Tahoma"/>
            <family val="2"/>
          </rPr>
          <t xml:space="preserve">
incremento de 400 despues de 2 meses de prueba  preautorizado</t>
        </r>
      </text>
    </comment>
    <comment ref="EQ39" authorId="0" shapeId="0" xr:uid="{0093689A-537F-468E-A25B-508B31E31AC1}">
      <text>
        <r>
          <rPr>
            <b/>
            <sz val="9"/>
            <color indexed="81"/>
            <rFont val="Tahoma"/>
            <family val="2"/>
          </rPr>
          <t>Mayra Alejandra Pérez:</t>
        </r>
        <r>
          <rPr>
            <sz val="9"/>
            <color indexed="81"/>
            <rFont val="Tahoma"/>
            <family val="2"/>
          </rPr>
          <t xml:space="preserve">
compra de silla d escritorio 1 solo descuento</t>
        </r>
      </text>
    </comment>
    <comment ref="EP40" authorId="4" shapeId="0" xr:uid="{00000000-0006-0000-0000-000016000000}">
      <text>
        <r>
          <rPr>
            <sz val="8"/>
            <color indexed="81"/>
            <rFont val="Tahoma"/>
            <family val="2"/>
          </rPr>
          <t>100 por seguro medico mensual</t>
        </r>
      </text>
    </comment>
    <comment ref="EQ40" authorId="1" shapeId="0" xr:uid="{00000000-0006-0000-0000-000017000000}">
      <text>
        <r>
          <rPr>
            <b/>
            <sz val="9"/>
            <color indexed="81"/>
            <rFont val="Tahoma"/>
            <family val="2"/>
          </rPr>
          <t>Gladys Lizeth Acabal:</t>
        </r>
        <r>
          <rPr>
            <sz val="9"/>
            <color indexed="81"/>
            <rFont val="Tahoma"/>
            <family val="2"/>
          </rPr>
          <t xml:space="preserve">
Q.240 Mensual por  
Uso de parqueo</t>
        </r>
      </text>
    </comment>
    <comment ref="EQ45" authorId="4" shapeId="0" xr:uid="{00000000-0006-0000-0000-000018000000}">
      <text>
        <r>
          <rPr>
            <b/>
            <sz val="8"/>
            <color indexed="81"/>
            <rFont val="Tahoma"/>
            <family val="2"/>
          </rPr>
          <t>Mayra Pérez:</t>
        </r>
        <r>
          <rPr>
            <sz val="8"/>
            <color indexed="81"/>
            <rFont val="Tahoma"/>
            <family val="2"/>
          </rPr>
          <t xml:space="preserve">
DESCUENTO MENSUAL DE 240  </t>
        </r>
      </text>
    </comment>
    <comment ref="EQ46" authorId="4" shapeId="0" xr:uid="{00000000-0006-0000-0000-00001B000000}">
      <text>
        <r>
          <rPr>
            <b/>
            <sz val="8"/>
            <color indexed="81"/>
            <rFont val="Tahoma"/>
            <family val="2"/>
          </rPr>
          <t>Mayra Pérez:</t>
        </r>
        <r>
          <rPr>
            <sz val="8"/>
            <color indexed="81"/>
            <rFont val="Tahoma"/>
            <family val="2"/>
          </rPr>
          <t xml:space="preserve">
DESCUENTO MENSUAL DE 240  </t>
        </r>
      </text>
    </comment>
    <comment ref="EQ53" authorId="4" shapeId="0" xr:uid="{00000000-0006-0000-0000-00001C000000}">
      <text>
        <r>
          <rPr>
            <b/>
            <sz val="8"/>
            <color indexed="81"/>
            <rFont val="Tahoma"/>
            <family val="2"/>
          </rPr>
          <t>Mayra Pérez:</t>
        </r>
        <r>
          <rPr>
            <sz val="8"/>
            <color indexed="81"/>
            <rFont val="Tahoma"/>
            <family val="2"/>
          </rPr>
          <t xml:space="preserve">
DESCUENTO MENSUAL DE 240 </t>
        </r>
      </text>
    </comment>
    <comment ref="EQ55" authorId="4" shapeId="0" xr:uid="{77D546E8-A46B-4068-9C19-D5C9C57EBD22}">
      <text>
        <r>
          <rPr>
            <b/>
            <sz val="8"/>
            <color indexed="81"/>
            <rFont val="Tahoma"/>
            <family val="2"/>
          </rPr>
          <t>Mayra Pérez:</t>
        </r>
        <r>
          <rPr>
            <sz val="8"/>
            <color indexed="81"/>
            <rFont val="Tahoma"/>
            <family val="2"/>
          </rPr>
          <t xml:space="preserve">
DESCUENTO MENSUAL D parqweo</t>
        </r>
      </text>
    </comment>
    <comment ref="G56" authorId="0" shapeId="0" xr:uid="{2A7C7C74-73BD-4236-8651-006F31FB6CC0}">
      <text>
        <r>
          <rPr>
            <b/>
            <sz val="9"/>
            <color indexed="81"/>
            <rFont val="Tahoma"/>
            <family val="2"/>
          </rPr>
          <t>Mayra Alejandra Pérez:</t>
        </r>
        <r>
          <rPr>
            <sz val="9"/>
            <color indexed="81"/>
            <rFont val="Tahoma"/>
            <family val="2"/>
          </rPr>
          <t xml:space="preserve">
según evaluaicon de desempeñ del 3er mes aplica ajuste de 500 en bonif incentivo</t>
        </r>
      </text>
    </comment>
    <comment ref="EL57" authorId="0" shapeId="0" xr:uid="{C5D758C5-C62B-484B-8FDC-CC1DE1DCEBAD}">
      <text>
        <r>
          <rPr>
            <b/>
            <sz val="9"/>
            <color indexed="81"/>
            <rFont val="Tahoma"/>
            <family val="2"/>
          </rPr>
          <t>Mayra Alejandra Pérez:</t>
        </r>
        <r>
          <rPr>
            <sz val="9"/>
            <color indexed="81"/>
            <rFont val="Tahoma"/>
            <family val="2"/>
          </rPr>
          <t xml:space="preserve">
DESCUENTO DE BANTRAB INICIA OCT 2022 FINALIZA MARZO 2024 CUOTA DE 702.56 DE OCT 22 A MARZO 23 Y DE ABRIL 23 A MARZO 2024 686.23</t>
        </r>
      </text>
    </comment>
    <comment ref="EP57" authorId="1" shapeId="0" xr:uid="{00000000-0006-0000-0000-00001F000000}">
      <text>
        <r>
          <rPr>
            <b/>
            <sz val="9"/>
            <color indexed="81"/>
            <rFont val="Tahoma"/>
            <family val="2"/>
          </rPr>
          <t>Gladys Lizeth Acabal:</t>
        </r>
        <r>
          <rPr>
            <sz val="9"/>
            <color indexed="81"/>
            <rFont val="Tahoma"/>
            <family val="2"/>
          </rPr>
          <t xml:space="preserve">
seguro 60 mensuales
suspension del 14 abril al 13 octubre
abril pendientes 30 de descuento aplicados junto con el de oct 21
en noviembre descontar 120 hasta en marzo 2022 
abril ya aplica solo los 60 correspondientes
mayo 0
junio 60</t>
        </r>
      </text>
    </comment>
    <comment ref="EQ57" authorId="0" shapeId="0" xr:uid="{F53C4AE7-DBD0-4A3C-AF9D-4D54380C7CDF}">
      <text>
        <r>
          <rPr>
            <b/>
            <sz val="9"/>
            <color indexed="81"/>
            <rFont val="Tahoma"/>
            <family val="2"/>
          </rPr>
          <t>Mayra Alejandra Pérez:</t>
        </r>
        <r>
          <rPr>
            <sz val="9"/>
            <color indexed="81"/>
            <rFont val="Tahoma"/>
            <family val="2"/>
          </rPr>
          <t xml:space="preserve">
descuento de lentes inicia sep finaliza febrero 23 total de 750 125 mensual + 175 de tarjetra de slud queda en dic</t>
        </r>
      </text>
    </comment>
    <comment ref="EL62" authorId="3" shapeId="0" xr:uid="{00000000-0006-0000-0000-000020000000}">
      <text>
        <r>
          <rPr>
            <b/>
            <sz val="9"/>
            <color indexed="81"/>
            <rFont val="Tahoma"/>
            <family val="2"/>
          </rPr>
          <t>nuevo prestamo de BANTRAB inicia 15/9/ finaliza el agosto 2025  NUEVO CREDITO BANTRAB INICIA ABRIL 2022 FINALIZA MARZO 23 CUOTA DE 651.80</t>
        </r>
      </text>
    </comment>
    <comment ref="EQ62" authorId="0" shapeId="0" xr:uid="{BA6E4772-517E-4923-AA7B-33925008B12E}">
      <text>
        <r>
          <rPr>
            <b/>
            <sz val="9"/>
            <color indexed="81"/>
            <rFont val="Tahoma"/>
            <family val="2"/>
          </rPr>
          <t>Mayra Alejandra Pérez:</t>
        </r>
        <r>
          <rPr>
            <sz val="9"/>
            <color indexed="81"/>
            <rFont val="Tahoma"/>
            <family val="2"/>
          </rPr>
          <t xml:space="preserve">
descuento por compra de 3 puertas de madera total de 225finaliza febrero 15 + 75 de silla negra de rodos queda en un descuento</t>
        </r>
      </text>
    </comment>
    <comment ref="EQ69" authorId="1" shapeId="0" xr:uid="{00000000-0006-0000-0000-000021000000}">
      <text>
        <r>
          <rPr>
            <b/>
            <sz val="9"/>
            <color indexed="81"/>
            <rFont val="Tahoma"/>
            <family val="2"/>
          </rPr>
          <t>Gladys Lizeth Acabal:</t>
        </r>
        <r>
          <rPr>
            <sz val="9"/>
            <color indexed="81"/>
            <rFont val="Tahoma"/>
            <family val="2"/>
          </rPr>
          <t xml:space="preserve">
Uso de parqueo mensual Q 240</t>
        </r>
      </text>
    </comment>
    <comment ref="EL75" authorId="1" shapeId="0" xr:uid="{00000000-0006-0000-0000-000022000000}">
      <text>
        <r>
          <rPr>
            <b/>
            <sz val="9"/>
            <color indexed="81"/>
            <rFont val="Tahoma"/>
            <family val="2"/>
          </rPr>
          <t>Gladys Lizeth Acabal:</t>
        </r>
        <r>
          <rPr>
            <sz val="9"/>
            <color indexed="81"/>
            <rFont val="Tahoma"/>
            <family val="2"/>
          </rPr>
          <t xml:space="preserve">
prestamo bantrab inicia marzo 2022 febreo 24
marzo 22 a feb 23 cuota de 747.15
marzo 23 a feb 24 cuota de 727.3</t>
        </r>
      </text>
    </comment>
    <comment ref="G76" authorId="0" shapeId="0" xr:uid="{60AD03C1-A86F-4F81-9296-E1CE59879DDE}">
      <text>
        <r>
          <rPr>
            <b/>
            <sz val="9"/>
            <color indexed="81"/>
            <rFont val="Tahoma"/>
            <family val="2"/>
          </rPr>
          <t>Mayra Alejandra Pérez:</t>
        </r>
        <r>
          <rPr>
            <sz val="9"/>
            <color indexed="81"/>
            <rFont val="Tahoma"/>
            <family val="2"/>
          </rPr>
          <t xml:space="preserve">
incremento de salario de 500 a partir del 3 e4r mes en bonif</t>
        </r>
      </text>
    </comment>
    <comment ref="ES76" authorId="0" shapeId="0" xr:uid="{2346001B-1D95-4259-9C7C-7F99C3836DEB}">
      <text>
        <r>
          <rPr>
            <b/>
            <sz val="9"/>
            <color indexed="81"/>
            <rFont val="Tahoma"/>
            <family val="2"/>
          </rPr>
          <t>Mayra Alejandra Pérez:</t>
        </r>
        <r>
          <rPr>
            <sz val="9"/>
            <color indexed="81"/>
            <rFont val="Tahoma"/>
            <family val="2"/>
          </rPr>
          <t xml:space="preserve">
descuento total 270  mensual de 135 inicia enero finaliza feb</t>
        </r>
      </text>
    </comment>
    <comment ref="AW83" authorId="1" shapeId="0" xr:uid="{00000000-0006-0000-0000-000025000000}">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F83" authorId="1" shapeId="0" xr:uid="{00000000-0006-0000-0000-000026000000}">
      <text>
        <r>
          <rPr>
            <b/>
            <sz val="9"/>
            <color indexed="81"/>
            <rFont val="Tahoma"/>
            <family val="2"/>
          </rPr>
          <t>Gladys Lizeth Acabal:</t>
        </r>
        <r>
          <rPr>
            <sz val="9"/>
            <color indexed="81"/>
            <rFont val="Tahoma"/>
            <family val="2"/>
          </rPr>
          <t xml:space="preserve">
2243.66 cierre del primer trimestre de indicadores</t>
        </r>
      </text>
    </comment>
    <comment ref="F84" authorId="1" shapeId="0" xr:uid="{D3374942-7327-4B1E-8651-EE4651FCB003}">
      <text>
        <r>
          <rPr>
            <b/>
            <sz val="9"/>
            <color indexed="81"/>
            <rFont val="Tahoma"/>
            <family val="2"/>
          </rPr>
          <t>Gladys Lizeth Acabal:</t>
        </r>
        <r>
          <rPr>
            <sz val="9"/>
            <color indexed="81"/>
            <rFont val="Tahoma"/>
            <family val="2"/>
          </rPr>
          <t xml:space="preserve">
bono por estudios de 2000 contra estudios</t>
        </r>
      </text>
    </comment>
    <comment ref="AW84" authorId="1" shapeId="0" xr:uid="{EA52ECC7-14E9-4F94-8BCF-4A4F2760CC7E}">
      <text>
        <r>
          <rPr>
            <b/>
            <sz val="9"/>
            <color indexed="81"/>
            <rFont val="Tahoma"/>
            <family val="2"/>
          </rPr>
          <t>Gladys Lizeth Acabal:</t>
        </r>
        <r>
          <rPr>
            <sz val="9"/>
            <color indexed="81"/>
            <rFont val="Tahoma"/>
            <family val="2"/>
          </rPr>
          <t xml:space="preserve">
1174.95 cierre del primer trimestre de indicadores</t>
        </r>
      </text>
    </comment>
    <comment ref="BF84" authorId="1" shapeId="0" xr:uid="{33FDBB51-4364-4C80-97FE-E9B5FBFC89DA}">
      <text>
        <r>
          <rPr>
            <b/>
            <sz val="9"/>
            <color indexed="81"/>
            <rFont val="Tahoma"/>
            <family val="2"/>
          </rPr>
          <t>Gladys Lizeth Acabal:</t>
        </r>
        <r>
          <rPr>
            <sz val="9"/>
            <color indexed="81"/>
            <rFont val="Tahoma"/>
            <family val="2"/>
          </rPr>
          <t xml:space="preserve">
adelanto de bono x indicador  de 1000 se liquida cada trimestre para ajustar al bono mensual d 2000 + 2000 x bono x estudios se confirma cada trimestre
1762.42 cierre del prime trimestre de indicadores</t>
        </r>
      </text>
    </comment>
    <comment ref="EP84" authorId="4" shapeId="0" xr:uid="{88868C48-B227-49E7-8729-8F97D07C7BB3}">
      <text>
        <r>
          <rPr>
            <b/>
            <sz val="8"/>
            <color indexed="81"/>
            <rFont val="Tahoma"/>
            <family val="2"/>
          </rPr>
          <t>Mayra Pérez:
120 descuento seguro</t>
        </r>
      </text>
    </comment>
    <comment ref="EQ84" authorId="1" shapeId="0" xr:uid="{DAB142B7-DF06-485C-A869-20B18712356B}">
      <text>
        <r>
          <rPr>
            <b/>
            <sz val="9"/>
            <color indexed="81"/>
            <rFont val="Tahoma"/>
            <family val="2"/>
          </rPr>
          <t>Gladys Lizeth Acabal:</t>
        </r>
        <r>
          <rPr>
            <sz val="9"/>
            <color indexed="81"/>
            <rFont val="Tahoma"/>
            <family val="2"/>
          </rPr>
          <t xml:space="preserve">
Uso de parqueo 240
Deuda total por compra de vehiculo Q.24,807.38 inicia julio 2020 agosto 2024 que equivalen a 49 cuotas mensuales de Q.500 c/d mes
Y la ultima cuota de Q307.38+ 75 por compra de silla negra</t>
        </r>
      </text>
    </comment>
    <comment ref="AW85" authorId="1" shapeId="0" xr:uid="{00000000-0006-0000-0000-000027000000}">
      <text>
        <r>
          <rPr>
            <b/>
            <sz val="9"/>
            <color indexed="81"/>
            <rFont val="Tahoma"/>
            <family val="2"/>
          </rPr>
          <t>Gladys Lizeth Acabal:</t>
        </r>
        <r>
          <rPr>
            <sz val="9"/>
            <color indexed="81"/>
            <rFont val="Tahoma"/>
            <family val="2"/>
          </rPr>
          <t xml:space="preserve">
adelanto mensual de 375 por bono indicador dr liquida cada trimestre al monto mensual de 750
904.14 cierre del primer trimestre de indicadores</t>
        </r>
      </text>
    </comment>
    <comment ref="EL85" authorId="0" shapeId="0" xr:uid="{B60DB23F-EB7A-4D90-8107-D30C6A5E0F1D}">
      <text>
        <r>
          <rPr>
            <b/>
            <sz val="9"/>
            <color indexed="81"/>
            <rFont val="Tahoma"/>
            <family val="2"/>
          </rPr>
          <t>Mayra Alejandra Pérez:</t>
        </r>
        <r>
          <rPr>
            <sz val="9"/>
            <color indexed="81"/>
            <rFont val="Tahoma"/>
            <family val="2"/>
          </rPr>
          <t xml:space="preserve">
DESCUENTO DE BANTRAB INICIA OCT 2022 FINALIZA SEP 26 DE OCT A SEP 2025 CUOTA DE 2877.72 Y DE OCT 25 A SEP 26 CUOTA DE 2783.07</t>
        </r>
      </text>
    </comment>
    <comment ref="BF86" authorId="1" shapeId="0" xr:uid="{00000000-0006-0000-0000-00002A000000}">
      <text>
        <r>
          <rPr>
            <b/>
            <sz val="9"/>
            <color indexed="81"/>
            <rFont val="Tahoma"/>
            <family val="2"/>
          </rPr>
          <t>Gladys Lizeth Acabal:</t>
        </r>
        <r>
          <rPr>
            <sz val="9"/>
            <color indexed="81"/>
            <rFont val="Tahoma"/>
            <family val="2"/>
          </rPr>
          <t xml:space="preserve">
adelanto de bono indicaador de 375 mensuales se liquida cada trimestre y se ajustsa al bono mensual de 750cierre del primer trimestre de indiadores 782.64</t>
        </r>
      </text>
    </comment>
    <comment ref="EQ86" authorId="0" shapeId="0" xr:uid="{4464FB5D-1327-489A-B756-CF496F77F4F2}">
      <text>
        <r>
          <rPr>
            <b/>
            <sz val="9"/>
            <color indexed="81"/>
            <rFont val="Tahoma"/>
            <family val="2"/>
          </rPr>
          <t>Mayra Alejandra Pérez:</t>
        </r>
        <r>
          <rPr>
            <sz val="9"/>
            <color indexed="81"/>
            <rFont val="Tahoma"/>
            <family val="2"/>
          </rPr>
          <t xml:space="preserve">
descuento por  mal procedimiento en empaque total de 826.12 4 quincenas de 206.53 en enero colocar 413.06</t>
        </r>
      </text>
    </comment>
    <comment ref="BF87" authorId="1" shapeId="0" xr:uid="{00000000-0006-0000-0000-00002B000000}">
      <text>
        <r>
          <rPr>
            <b/>
            <sz val="9"/>
            <color indexed="81"/>
            <rFont val="Tahoma"/>
            <family val="2"/>
          </rPr>
          <t>Gladys Lizeth Acabal:</t>
        </r>
        <r>
          <rPr>
            <sz val="9"/>
            <color indexed="81"/>
            <rFont val="Tahoma"/>
            <family val="2"/>
          </rPr>
          <t xml:space="preserve">
adelanto mensual de 375 por bono indicador se liquida cada trimestre el total de bono mensual es de 750
809.27 cierre del primer trimestre de indicadores </t>
        </r>
      </text>
    </comment>
    <comment ref="EQ87" authorId="0" shapeId="0" xr:uid="{7F59C73D-0E10-4E4E-B03F-FB9391546486}">
      <text>
        <r>
          <rPr>
            <b/>
            <sz val="9"/>
            <color indexed="81"/>
            <rFont val="Tahoma"/>
            <family val="2"/>
          </rPr>
          <t>Mayra Alejandra Pérez:</t>
        </r>
        <r>
          <rPr>
            <sz val="9"/>
            <color indexed="81"/>
            <rFont val="Tahoma"/>
            <family val="2"/>
          </rPr>
          <t xml:space="preserve">
descuento por mal procedimiento en empaquedescuento total de 560.6 4 quincenas de 140.15 en enero colocar 280.3 + descuento por descuadre de inventario  total de 364.065 en 4 quincenas inicia 31.1 finaliza 15/3</t>
        </r>
      </text>
    </comment>
    <comment ref="F88" authorId="1" shapeId="0" xr:uid="{00000000-0006-0000-0000-00002D000000}">
      <text>
        <r>
          <rPr>
            <b/>
            <sz val="9"/>
            <color indexed="81"/>
            <rFont val="Tahoma"/>
            <family val="2"/>
          </rPr>
          <t>Gladys Lizeth Acabal:</t>
        </r>
        <r>
          <rPr>
            <sz val="9"/>
            <color indexed="81"/>
            <rFont val="Tahoma"/>
            <family val="2"/>
          </rPr>
          <t xml:space="preserve">
bono por estudios de 2000 contra constancias</t>
        </r>
      </text>
    </comment>
    <comment ref="AW88" authorId="1" shapeId="0" xr:uid="{00000000-0006-0000-0000-00002E000000}">
      <text>
        <r>
          <rPr>
            <b/>
            <sz val="9"/>
            <color indexed="81"/>
            <rFont val="Tahoma"/>
            <family val="2"/>
          </rPr>
          <t>Gladys Lizeth Acabal:</t>
        </r>
        <r>
          <rPr>
            <sz val="9"/>
            <color indexed="81"/>
            <rFont val="Tahoma"/>
            <family val="2"/>
          </rPr>
          <t xml:space="preserve">
adelanto por bono por indicadores de 1000 mensuales se liquida cada trimestre para ajustar al bono mensual de 2000 + 2000 por bono x estudio se confirma cada trimestre
1020.01 cierre del primer trimestre de idnciadores</t>
        </r>
      </text>
    </comment>
    <comment ref="BO88" authorId="1" shapeId="0" xr:uid="{00000000-0006-0000-0000-00002F000000}">
      <text>
        <r>
          <rPr>
            <b/>
            <sz val="9"/>
            <color indexed="81"/>
            <rFont val="Tahoma"/>
            <family val="2"/>
          </rPr>
          <t>Gladys Lizeth Acabal:</t>
        </r>
        <r>
          <rPr>
            <sz val="9"/>
            <color indexed="81"/>
            <rFont val="Tahoma"/>
            <family val="2"/>
          </rPr>
          <t xml:space="preserve">
cirre del primer trimestre deindicadores 765.009</t>
        </r>
      </text>
    </comment>
    <comment ref="EL88" authorId="1" shapeId="0" xr:uid="{00000000-0006-0000-0000-000031000000}">
      <text>
        <r>
          <rPr>
            <b/>
            <sz val="9"/>
            <color indexed="81"/>
            <rFont val="Tahoma"/>
            <family val="2"/>
          </rPr>
          <t>Gladys Lizeth Acabal:</t>
        </r>
        <r>
          <rPr>
            <sz val="9"/>
            <color indexed="81"/>
            <rFont val="Tahoma"/>
            <family val="2"/>
          </rPr>
          <t xml:space="preserve">
Bantrab
</t>
        </r>
        <r>
          <rPr>
            <b/>
            <sz val="9"/>
            <color indexed="81"/>
            <rFont val="Tahoma"/>
            <family val="2"/>
          </rPr>
          <t xml:space="preserve">Inicio 15.12.2020  24 </t>
        </r>
        <r>
          <rPr>
            <sz val="9"/>
            <color indexed="81"/>
            <rFont val="Tahoma"/>
            <family val="2"/>
          </rPr>
          <t xml:space="preserve">cuotas de Q.1074.94 
Finaliza 15.11.2022
</t>
        </r>
        <r>
          <rPr>
            <b/>
            <sz val="9"/>
            <color indexed="81"/>
            <rFont val="Tahoma"/>
            <family val="2"/>
          </rPr>
          <t xml:space="preserve">Inicia  15.12.2022 12 </t>
        </r>
        <r>
          <rPr>
            <sz val="9"/>
            <color indexed="81"/>
            <rFont val="Tahoma"/>
            <family val="2"/>
          </rPr>
          <t>cuotas de Q. 1054.71 
Finaliza 15.11.2023</t>
        </r>
      </text>
    </comment>
    <comment ref="F90" authorId="1" shapeId="0" xr:uid="{00000000-0006-0000-0000-000032000000}">
      <text>
        <r>
          <rPr>
            <b/>
            <sz val="9"/>
            <color indexed="81"/>
            <rFont val="Tahoma"/>
            <family val="2"/>
          </rPr>
          <t>Gladys Lizeth Acabal:</t>
        </r>
        <r>
          <rPr>
            <sz val="9"/>
            <color indexed="81"/>
            <rFont val="Tahoma"/>
            <family val="2"/>
          </rPr>
          <t xml:space="preserve">
bono por estudios de 1000 contra constancia</t>
        </r>
      </text>
    </comment>
    <comment ref="AW90" authorId="1" shapeId="0" xr:uid="{00000000-0006-0000-0000-000033000000}">
      <text>
        <r>
          <rPr>
            <b/>
            <sz val="9"/>
            <color indexed="81"/>
            <rFont val="Tahoma"/>
            <family val="2"/>
          </rPr>
          <t>Gladys Lizeth Acabal:</t>
        </r>
        <r>
          <rPr>
            <sz val="9"/>
            <color indexed="81"/>
            <rFont val="Tahoma"/>
            <family val="2"/>
          </rPr>
          <t xml:space="preserve">
adelanto de bono x indicador  de 500 se liquidaca cadatrimestre para llegar al monto mensuasl de 1000 +1000 de bono x estudio  se confirma cada trimestre
510.008 cierre de indicadores primer trimestre</t>
        </r>
      </text>
    </comment>
    <comment ref="BF90" authorId="1" shapeId="0" xr:uid="{00000000-0006-0000-0000-000034000000}">
      <text>
        <r>
          <rPr>
            <b/>
            <sz val="9"/>
            <color indexed="81"/>
            <rFont val="Tahoma"/>
            <family val="2"/>
          </rPr>
          <t>Gladys Lizeth Acabal:</t>
        </r>
        <r>
          <rPr>
            <sz val="9"/>
            <color indexed="81"/>
            <rFont val="Tahoma"/>
            <family val="2"/>
          </rPr>
          <t xml:space="preserve">
382.51 cieerre del primer trimestre de indicadores
765.009 cierre del primer trimestre de comisiones</t>
        </r>
      </text>
    </comment>
    <comment ref="BO90" authorId="1" shapeId="0" xr:uid="{00000000-0006-0000-0000-000035000000}">
      <text>
        <r>
          <rPr>
            <b/>
            <sz val="9"/>
            <color indexed="81"/>
            <rFont val="Tahoma"/>
            <family val="2"/>
          </rPr>
          <t>Gladys Lizeth Acabal:</t>
        </r>
        <r>
          <rPr>
            <sz val="9"/>
            <color indexed="81"/>
            <rFont val="Tahoma"/>
            <family val="2"/>
          </rPr>
          <t xml:space="preserve">
cierre del primer trimestre de indicadores 382.51</t>
        </r>
      </text>
    </comment>
    <comment ref="EL90" authorId="1" shapeId="0" xr:uid="{00000000-0006-0000-0000-000036000000}">
      <text>
        <r>
          <rPr>
            <b/>
            <sz val="9"/>
            <color indexed="81"/>
            <rFont val="Tahoma"/>
            <family val="2"/>
          </rPr>
          <t>Gladys Lizeth Acabal:</t>
        </r>
        <r>
          <rPr>
            <sz val="9"/>
            <color indexed="81"/>
            <rFont val="Tahoma"/>
            <family val="2"/>
          </rPr>
          <t xml:space="preserve">
Total de Q.40,000 son 
48 cuotas mensuales de Q.992.95
 Inicia el 01.02.2021 
finaliza 01.01.2025
12 cuotas de 972.72
Inicia 01.02.2025
Finaliza 01.01.2026
 </t>
        </r>
      </text>
    </comment>
    <comment ref="EQ93" authorId="0" shapeId="0" xr:uid="{E504E4B6-E294-4C4A-BC97-69C9F20534F7}">
      <text>
        <r>
          <rPr>
            <b/>
            <sz val="9"/>
            <color indexed="81"/>
            <rFont val="Tahoma"/>
            <family val="2"/>
          </rPr>
          <t>Mayra Alejandra Pérez:</t>
        </r>
        <r>
          <rPr>
            <sz val="9"/>
            <color indexed="81"/>
            <rFont val="Tahoma"/>
            <family val="2"/>
          </rPr>
          <t xml:space="preserve">
descuento de lentes inicia sep finaliza febrero 23 </t>
        </r>
      </text>
    </comment>
    <comment ref="BF95" authorId="0" shapeId="0" xr:uid="{C2A90261-F311-457F-A74F-0BCA0C23D8CA}">
      <text>
        <r>
          <rPr>
            <b/>
            <sz val="9"/>
            <color indexed="81"/>
            <rFont val="Tahoma"/>
            <family val="2"/>
          </rPr>
          <t>Mayra Alejandra Pérez:</t>
        </r>
        <r>
          <rPr>
            <sz val="9"/>
            <color indexed="81"/>
            <rFont val="Tahoma"/>
            <family val="2"/>
          </rPr>
          <t xml:space="preserve">
reintegro de uniforme descontado de mas en noviembr 2022</t>
        </r>
      </text>
    </comment>
    <comment ref="EL97" authorId="5" shapeId="0" xr:uid="{00000000-0006-0000-0000-00003A000000}">
      <text>
        <r>
          <rPr>
            <b/>
            <sz val="9"/>
            <color indexed="81"/>
            <rFont val="Tahoma"/>
            <family val="2"/>
          </rPr>
          <t>Iris Hernandez de Lemus:</t>
        </r>
        <r>
          <rPr>
            <sz val="9"/>
            <color indexed="81"/>
            <rFont val="Tahoma"/>
            <family val="2"/>
          </rPr>
          <t xml:space="preserve">
Préstamo inicia Sept21 Q 544.61 Sept23 Q 527.36 finaliza Ago24.</t>
        </r>
      </text>
    </comment>
    <comment ref="EQ98" authorId="0" shapeId="0" xr:uid="{3E1778CE-30DA-42F8-B949-6DA0EEC7777D}">
      <text>
        <r>
          <rPr>
            <b/>
            <sz val="9"/>
            <color indexed="81"/>
            <rFont val="Tahoma"/>
            <family val="2"/>
          </rPr>
          <t>Mayra Alejandra Pérez:</t>
        </r>
        <r>
          <rPr>
            <sz val="9"/>
            <color indexed="81"/>
            <rFont val="Tahoma"/>
            <family val="2"/>
          </rPr>
          <t xml:space="preserve">
compra de silla d escritorio 1 solo descuento</t>
        </r>
      </text>
    </comment>
    <comment ref="CQ99" authorId="2" shapeId="0" xr:uid="{00000000-0006-0000-0000-00003B000000}">
      <text>
        <r>
          <rPr>
            <b/>
            <sz val="9"/>
            <color indexed="8"/>
            <rFont val="Tahoma"/>
            <family val="2"/>
          </rPr>
          <t xml:space="preserve">Francisco Escobar:
</t>
        </r>
        <r>
          <rPr>
            <sz val="9"/>
            <color indexed="8"/>
            <rFont val="Tahoma"/>
            <family val="2"/>
          </rPr>
          <t>se realizo formula para total unhesa</t>
        </r>
      </text>
    </comment>
    <comment ref="EL102" authorId="1" shapeId="0" xr:uid="{00000000-0006-0000-0000-00003D000000}">
      <text>
        <r>
          <rPr>
            <b/>
            <sz val="9"/>
            <color indexed="81"/>
            <rFont val="Tahoma"/>
            <family val="2"/>
          </rPr>
          <t>Gladys Lizeth Acabal:</t>
        </r>
        <r>
          <rPr>
            <sz val="9"/>
            <color indexed="81"/>
            <rFont val="Tahoma"/>
            <family val="2"/>
          </rPr>
          <t xml:space="preserve">
credito bantrab inciia dic 21 finaliza nov 2029 en dic 28 cambia la cuota a 841.66
nuevo prestamo bantrab inicia junio 2022 finaliza mayo 2030
de junio 22 a mayo 29 cuota de 1242.01
de junio 29 a mayo 30 cuota de 1186.96</t>
        </r>
      </text>
    </comment>
    <comment ref="AW107" authorId="0" shapeId="0" xr:uid="{65FC3176-ECD2-4140-A396-03ECF2E64987}">
      <text>
        <r>
          <rPr>
            <b/>
            <sz val="9"/>
            <color indexed="81"/>
            <rFont val="Tahoma"/>
            <family val="2"/>
          </rPr>
          <t>Mayra Alejandra Pérez:</t>
        </r>
        <r>
          <rPr>
            <sz val="9"/>
            <color indexed="81"/>
            <rFont val="Tahoma"/>
            <family val="2"/>
          </rPr>
          <t xml:space="preserve">
reintegro por descuento aplicado de mas en noviembre</t>
        </r>
      </text>
    </comment>
    <comment ref="EL109" authorId="1" shapeId="0" xr:uid="{00000000-0006-0000-0000-000040000000}">
      <text>
        <r>
          <rPr>
            <b/>
            <sz val="9"/>
            <color indexed="81"/>
            <rFont val="Tahoma"/>
            <family val="2"/>
          </rPr>
          <t>Gladys Lizeth Acabal:</t>
        </r>
        <r>
          <rPr>
            <sz val="9"/>
            <color indexed="81"/>
            <rFont val="Tahoma"/>
            <family val="2"/>
          </rPr>
          <t xml:space="preserve">
Prestamo Q.25,000.00
Cuota Q.955.15
Inicia  15.07.2021
Finaliza 15.06.2023
Cuota Q.929.10
Inicia 15.07.2023
Finaliza Q.15.06.2024
</t>
        </r>
      </text>
    </comment>
    <comment ref="EL110" authorId="1" shapeId="0" xr:uid="{00000000-0006-0000-0000-000043000000}">
      <text>
        <r>
          <rPr>
            <b/>
            <sz val="9"/>
            <color indexed="81"/>
            <rFont val="Tahoma"/>
            <family val="2"/>
          </rPr>
          <t>Gladys Lizeth Acabal:</t>
        </r>
        <r>
          <rPr>
            <sz val="9"/>
            <color indexed="81"/>
            <rFont val="Tahoma"/>
            <family val="2"/>
          </rPr>
          <t xml:space="preserve">
credito bantrab inicia dic 21 finaliza nov 2025 en dic del 24 cambia la cuota a 566.81</t>
        </r>
      </text>
    </comment>
    <comment ref="EL112" authorId="1" shapeId="0" xr:uid="{00000000-0006-0000-0000-000045000000}">
      <text>
        <r>
          <rPr>
            <b/>
            <sz val="9"/>
            <color indexed="81"/>
            <rFont val="Tahoma"/>
            <family val="2"/>
          </rPr>
          <t>Gladys Lizeth Acabal:</t>
        </r>
        <r>
          <rPr>
            <sz val="9"/>
            <color indexed="81"/>
            <rFont val="Tahoma"/>
            <family val="2"/>
          </rPr>
          <t xml:space="preserve">
NUEVO PRESTMO BANTRAB
INICIA NOV 2021 Y FINALIZA OCT 2026
CUOTA DE 762.59 HASTA OCT 2024 DE NOV 25 A OCTUBRE 26 CUOTA DE 729.54
</t>
        </r>
      </text>
    </comment>
    <comment ref="EL113" authorId="1" shapeId="0" xr:uid="{00000000-0006-0000-0000-000048000000}">
      <text>
        <r>
          <rPr>
            <b/>
            <sz val="9"/>
            <color indexed="81"/>
            <rFont val="Tahoma"/>
            <family val="2"/>
          </rPr>
          <t>Gladys Lizeth Acabal:</t>
        </r>
        <r>
          <rPr>
            <sz val="9"/>
            <color indexed="81"/>
            <rFont val="Tahoma"/>
            <family val="2"/>
          </rPr>
          <t xml:space="preserve">
credito bantrab inicia junio 2022 finaliza mayo 2027 de junio 22 a mayo 26 cuota de 746.75 de junio 2026 a mayo 2027 cuota de 713.70</t>
        </r>
      </text>
    </comment>
    <comment ref="CQ116" authorId="2" shapeId="0" xr:uid="{00000000-0006-0000-0000-00004C000000}">
      <text>
        <r>
          <rPr>
            <b/>
            <sz val="9"/>
            <color indexed="8"/>
            <rFont val="Tahoma"/>
            <family val="2"/>
          </rPr>
          <t xml:space="preserve">Francisco Escobar:
</t>
        </r>
        <r>
          <rPr>
            <sz val="9"/>
            <color indexed="8"/>
            <rFont val="Tahoma"/>
            <family val="2"/>
          </rPr>
          <t>se inserto formula para total operaciones econacional</t>
        </r>
      </text>
    </comment>
    <comment ref="CR116" authorId="2" shapeId="0" xr:uid="{00000000-0006-0000-0000-00004D000000}">
      <text>
        <r>
          <rPr>
            <b/>
            <sz val="9"/>
            <color indexed="8"/>
            <rFont val="Tahoma"/>
            <family val="2"/>
          </rPr>
          <t xml:space="preserve">Francisco Escobar:
</t>
        </r>
        <r>
          <rPr>
            <sz val="9"/>
            <color indexed="8"/>
            <rFont val="Tahoma"/>
            <family val="2"/>
          </rPr>
          <t>se inserto formula para total operaciones econacional</t>
        </r>
      </text>
    </comment>
    <comment ref="CS116" authorId="2" shapeId="0" xr:uid="{00000000-0006-0000-0000-00004E000000}">
      <text>
        <r>
          <rPr>
            <b/>
            <sz val="9"/>
            <color indexed="8"/>
            <rFont val="Tahoma"/>
            <family val="2"/>
          </rPr>
          <t xml:space="preserve">Francisco Escobar:
</t>
        </r>
        <r>
          <rPr>
            <sz val="9"/>
            <color indexed="8"/>
            <rFont val="Tahoma"/>
            <family val="2"/>
          </rPr>
          <t>se inserto formula para total operaciones econacional</t>
        </r>
      </text>
    </comment>
    <comment ref="CT116" authorId="2" shapeId="0" xr:uid="{00000000-0006-0000-0000-00004F000000}">
      <text>
        <r>
          <rPr>
            <b/>
            <sz val="9"/>
            <color indexed="8"/>
            <rFont val="Tahoma"/>
            <family val="2"/>
          </rPr>
          <t xml:space="preserve">Francisco Escobar:
</t>
        </r>
        <r>
          <rPr>
            <sz val="9"/>
            <color indexed="8"/>
            <rFont val="Tahoma"/>
            <family val="2"/>
          </rPr>
          <t>se inserto formula para total operaciones econacional</t>
        </r>
      </text>
    </comment>
    <comment ref="CU116" authorId="2" shapeId="0" xr:uid="{00000000-0006-0000-0000-000050000000}">
      <text>
        <r>
          <rPr>
            <b/>
            <sz val="9"/>
            <color indexed="8"/>
            <rFont val="Tahoma"/>
            <family val="2"/>
          </rPr>
          <t xml:space="preserve">Francisco Escobar:
</t>
        </r>
        <r>
          <rPr>
            <sz val="9"/>
            <color indexed="8"/>
            <rFont val="Tahoma"/>
            <family val="2"/>
          </rPr>
          <t>se inserto formula para total operaciones econacional</t>
        </r>
      </text>
    </comment>
    <comment ref="CV116" authorId="2" shapeId="0" xr:uid="{00000000-0006-0000-0000-000051000000}">
      <text>
        <r>
          <rPr>
            <b/>
            <sz val="9"/>
            <color indexed="8"/>
            <rFont val="Tahoma"/>
            <family val="2"/>
          </rPr>
          <t xml:space="preserve">Francisco Escobar:
</t>
        </r>
        <r>
          <rPr>
            <sz val="9"/>
            <color indexed="8"/>
            <rFont val="Tahoma"/>
            <family val="2"/>
          </rPr>
          <t>se inserto formula para total operaciones econacional</t>
        </r>
      </text>
    </comment>
    <comment ref="CW116" authorId="2" shapeId="0" xr:uid="{00000000-0006-0000-0000-000052000000}">
      <text>
        <r>
          <rPr>
            <b/>
            <sz val="9"/>
            <color indexed="8"/>
            <rFont val="Tahoma"/>
            <family val="2"/>
          </rPr>
          <t xml:space="preserve">Francisco Escobar:
</t>
        </r>
        <r>
          <rPr>
            <sz val="9"/>
            <color indexed="8"/>
            <rFont val="Tahoma"/>
            <family val="2"/>
          </rPr>
          <t>se inserto formula para total operaciones econacional</t>
        </r>
      </text>
    </comment>
    <comment ref="CX116" authorId="2" shapeId="0" xr:uid="{00000000-0006-0000-0000-000053000000}">
      <text>
        <r>
          <rPr>
            <b/>
            <sz val="9"/>
            <color indexed="8"/>
            <rFont val="Tahoma"/>
            <family val="2"/>
          </rPr>
          <t xml:space="preserve">Francisco Escobar:
</t>
        </r>
        <r>
          <rPr>
            <sz val="9"/>
            <color indexed="8"/>
            <rFont val="Tahoma"/>
            <family val="2"/>
          </rPr>
          <t>se inserto formula para total operaciones econacional</t>
        </r>
      </text>
    </comment>
    <comment ref="CY116" authorId="2" shapeId="0" xr:uid="{00000000-0006-0000-0000-000054000000}">
      <text>
        <r>
          <rPr>
            <b/>
            <sz val="9"/>
            <color indexed="8"/>
            <rFont val="Tahoma"/>
            <family val="2"/>
          </rPr>
          <t xml:space="preserve">Francisco Escobar:
</t>
        </r>
        <r>
          <rPr>
            <sz val="9"/>
            <color indexed="8"/>
            <rFont val="Tahoma"/>
            <family val="2"/>
          </rPr>
          <t>se inserto formula para total operaciones econacional</t>
        </r>
      </text>
    </comment>
    <comment ref="CZ116" authorId="2" shapeId="0" xr:uid="{00000000-0006-0000-0000-000055000000}">
      <text>
        <r>
          <rPr>
            <b/>
            <sz val="9"/>
            <color indexed="8"/>
            <rFont val="Tahoma"/>
            <family val="2"/>
          </rPr>
          <t xml:space="preserve">Francisco Escobar:
</t>
        </r>
        <r>
          <rPr>
            <sz val="9"/>
            <color indexed="8"/>
            <rFont val="Tahoma"/>
            <family val="2"/>
          </rPr>
          <t>se inserto formula para total operaciones econacional</t>
        </r>
      </text>
    </comment>
    <comment ref="DA116" authorId="2" shapeId="0" xr:uid="{00000000-0006-0000-0000-000056000000}">
      <text>
        <r>
          <rPr>
            <b/>
            <sz val="9"/>
            <color indexed="8"/>
            <rFont val="Tahoma"/>
            <family val="2"/>
          </rPr>
          <t xml:space="preserve">Francisco Escobar:
</t>
        </r>
        <r>
          <rPr>
            <sz val="9"/>
            <color indexed="8"/>
            <rFont val="Tahoma"/>
            <family val="2"/>
          </rPr>
          <t>se inserto formula para total operaciones econacional</t>
        </r>
      </text>
    </comment>
    <comment ref="DB116" authorId="2" shapeId="0" xr:uid="{00000000-0006-0000-0000-000057000000}">
      <text>
        <r>
          <rPr>
            <b/>
            <sz val="9"/>
            <color indexed="8"/>
            <rFont val="Tahoma"/>
            <family val="2"/>
          </rPr>
          <t xml:space="preserve">Francisco Escobar:
</t>
        </r>
        <r>
          <rPr>
            <sz val="9"/>
            <color indexed="8"/>
            <rFont val="Tahoma"/>
            <family val="2"/>
          </rPr>
          <t>se inserto formula para total operaciones econacional</t>
        </r>
      </text>
    </comment>
    <comment ref="DC116" authorId="2" shapeId="0" xr:uid="{00000000-0006-0000-0000-000058000000}">
      <text>
        <r>
          <rPr>
            <b/>
            <sz val="9"/>
            <color indexed="8"/>
            <rFont val="Tahoma"/>
            <family val="2"/>
          </rPr>
          <t xml:space="preserve">Francisco Escobar:
</t>
        </r>
        <r>
          <rPr>
            <sz val="9"/>
            <color indexed="8"/>
            <rFont val="Tahoma"/>
            <family val="2"/>
          </rPr>
          <t>se inserto formula para total operaciones econacional</t>
        </r>
      </text>
    </comment>
    <comment ref="DD116" authorId="2" shapeId="0" xr:uid="{00000000-0006-0000-0000-000059000000}">
      <text>
        <r>
          <rPr>
            <b/>
            <sz val="9"/>
            <color indexed="8"/>
            <rFont val="Tahoma"/>
            <family val="2"/>
          </rPr>
          <t xml:space="preserve">Francisco Escobar:
</t>
        </r>
        <r>
          <rPr>
            <sz val="9"/>
            <color indexed="8"/>
            <rFont val="Tahoma"/>
            <family val="2"/>
          </rPr>
          <t>se inserto formula para total operaciones econacional</t>
        </r>
      </text>
    </comment>
    <comment ref="DE116" authorId="2" shapeId="0" xr:uid="{00000000-0006-0000-0000-00005A000000}">
      <text>
        <r>
          <rPr>
            <b/>
            <sz val="9"/>
            <color indexed="8"/>
            <rFont val="Tahoma"/>
            <family val="2"/>
          </rPr>
          <t xml:space="preserve">Francisco Escobar:
</t>
        </r>
        <r>
          <rPr>
            <sz val="9"/>
            <color indexed="8"/>
            <rFont val="Tahoma"/>
            <family val="2"/>
          </rPr>
          <t>se inserto formula para total operaciones econacional</t>
        </r>
      </text>
    </comment>
    <comment ref="DF116" authorId="2" shapeId="0" xr:uid="{00000000-0006-0000-0000-00005B000000}">
      <text>
        <r>
          <rPr>
            <b/>
            <sz val="9"/>
            <color indexed="8"/>
            <rFont val="Tahoma"/>
            <family val="2"/>
          </rPr>
          <t xml:space="preserve">Francisco Escobar:
</t>
        </r>
        <r>
          <rPr>
            <sz val="9"/>
            <color indexed="8"/>
            <rFont val="Tahoma"/>
            <family val="2"/>
          </rPr>
          <t>se inserto formula para total operaciones econacional</t>
        </r>
      </text>
    </comment>
    <comment ref="DG116" authorId="2" shapeId="0" xr:uid="{00000000-0006-0000-0000-00005C000000}">
      <text>
        <r>
          <rPr>
            <b/>
            <sz val="9"/>
            <color indexed="8"/>
            <rFont val="Tahoma"/>
            <family val="2"/>
          </rPr>
          <t xml:space="preserve">Francisco Escobar:
</t>
        </r>
        <r>
          <rPr>
            <sz val="9"/>
            <color indexed="8"/>
            <rFont val="Tahoma"/>
            <family val="2"/>
          </rPr>
          <t>se inserto formula para total operaciones econacional</t>
        </r>
      </text>
    </comment>
    <comment ref="DH116" authorId="2" shapeId="0" xr:uid="{00000000-0006-0000-0000-00005D000000}">
      <text>
        <r>
          <rPr>
            <b/>
            <sz val="9"/>
            <color indexed="8"/>
            <rFont val="Tahoma"/>
            <family val="2"/>
          </rPr>
          <t xml:space="preserve">Francisco Escobar:
</t>
        </r>
        <r>
          <rPr>
            <sz val="9"/>
            <color indexed="8"/>
            <rFont val="Tahoma"/>
            <family val="2"/>
          </rPr>
          <t>se inserto formula para total operaciones econacional</t>
        </r>
      </text>
    </comment>
    <comment ref="DI116" authorId="2" shapeId="0" xr:uid="{00000000-0006-0000-0000-00005E000000}">
      <text>
        <r>
          <rPr>
            <b/>
            <sz val="9"/>
            <color indexed="8"/>
            <rFont val="Tahoma"/>
            <family val="2"/>
          </rPr>
          <t xml:space="preserve">Francisco Escobar:
</t>
        </r>
        <r>
          <rPr>
            <sz val="9"/>
            <color indexed="8"/>
            <rFont val="Tahoma"/>
            <family val="2"/>
          </rPr>
          <t>se inserto formula para total operaciones econacional</t>
        </r>
      </text>
    </comment>
    <comment ref="DJ116" authorId="2" shapeId="0" xr:uid="{00000000-0006-0000-0000-00005F000000}">
      <text>
        <r>
          <rPr>
            <b/>
            <sz val="9"/>
            <color indexed="8"/>
            <rFont val="Tahoma"/>
            <family val="2"/>
          </rPr>
          <t xml:space="preserve">Francisco Escobar:
</t>
        </r>
        <r>
          <rPr>
            <sz val="9"/>
            <color indexed="8"/>
            <rFont val="Tahoma"/>
            <family val="2"/>
          </rPr>
          <t>se inserto formula para total operaciones econacional</t>
        </r>
      </text>
    </comment>
    <comment ref="DK116" authorId="2" shapeId="0" xr:uid="{00000000-0006-0000-0000-000060000000}">
      <text>
        <r>
          <rPr>
            <b/>
            <sz val="9"/>
            <color indexed="8"/>
            <rFont val="Tahoma"/>
            <family val="2"/>
          </rPr>
          <t xml:space="preserve">Francisco Escobar:
</t>
        </r>
        <r>
          <rPr>
            <sz val="9"/>
            <color indexed="8"/>
            <rFont val="Tahoma"/>
            <family val="2"/>
          </rPr>
          <t>se inserto formula para total operaciones econacional</t>
        </r>
      </text>
    </comment>
    <comment ref="DL116" authorId="2" shapeId="0" xr:uid="{00000000-0006-0000-0000-000061000000}">
      <text>
        <r>
          <rPr>
            <b/>
            <sz val="9"/>
            <color indexed="8"/>
            <rFont val="Tahoma"/>
            <family val="2"/>
          </rPr>
          <t xml:space="preserve">Francisco Escobar:
</t>
        </r>
        <r>
          <rPr>
            <sz val="9"/>
            <color indexed="8"/>
            <rFont val="Tahoma"/>
            <family val="2"/>
          </rPr>
          <t>se inserto formula para total operaciones econacional</t>
        </r>
      </text>
    </comment>
    <comment ref="DM116" authorId="2" shapeId="0" xr:uid="{00000000-0006-0000-0000-000062000000}">
      <text>
        <r>
          <rPr>
            <b/>
            <sz val="9"/>
            <color indexed="8"/>
            <rFont val="Tahoma"/>
            <family val="2"/>
          </rPr>
          <t xml:space="preserve">Francisco Escobar:
</t>
        </r>
        <r>
          <rPr>
            <sz val="9"/>
            <color indexed="8"/>
            <rFont val="Tahoma"/>
            <family val="2"/>
          </rPr>
          <t>se inserto formula para total operaciones econacional</t>
        </r>
      </text>
    </comment>
    <comment ref="DN116" authorId="2" shapeId="0" xr:uid="{00000000-0006-0000-0000-000063000000}">
      <text>
        <r>
          <rPr>
            <b/>
            <sz val="9"/>
            <color indexed="8"/>
            <rFont val="Tahoma"/>
            <family val="2"/>
          </rPr>
          <t xml:space="preserve">Francisco Escobar:
</t>
        </r>
        <r>
          <rPr>
            <sz val="9"/>
            <color indexed="8"/>
            <rFont val="Tahoma"/>
            <family val="2"/>
          </rPr>
          <t>se inserto formula para total operaciones econacional</t>
        </r>
      </text>
    </comment>
    <comment ref="DO116" authorId="2" shapeId="0" xr:uid="{00000000-0006-0000-0000-000064000000}">
      <text>
        <r>
          <rPr>
            <b/>
            <sz val="9"/>
            <color indexed="8"/>
            <rFont val="Tahoma"/>
            <family val="2"/>
          </rPr>
          <t xml:space="preserve">Francisco Escobar:
</t>
        </r>
        <r>
          <rPr>
            <sz val="9"/>
            <color indexed="8"/>
            <rFont val="Tahoma"/>
            <family val="2"/>
          </rPr>
          <t>se inserto formula para total operaciones econacional</t>
        </r>
      </text>
    </comment>
    <comment ref="DP116" authorId="2" shapeId="0" xr:uid="{00000000-0006-0000-0000-000065000000}">
      <text>
        <r>
          <rPr>
            <b/>
            <sz val="9"/>
            <color indexed="8"/>
            <rFont val="Tahoma"/>
            <family val="2"/>
          </rPr>
          <t xml:space="preserve">Francisco Escobar:
</t>
        </r>
        <r>
          <rPr>
            <sz val="9"/>
            <color indexed="8"/>
            <rFont val="Tahoma"/>
            <family val="2"/>
          </rPr>
          <t>se inserto formula para total operaciones econacional</t>
        </r>
      </text>
    </comment>
    <comment ref="DQ116" authorId="2" shapeId="0" xr:uid="{00000000-0006-0000-0000-000066000000}">
      <text>
        <r>
          <rPr>
            <b/>
            <sz val="9"/>
            <color indexed="8"/>
            <rFont val="Tahoma"/>
            <family val="2"/>
          </rPr>
          <t xml:space="preserve">Francisco Escobar:
</t>
        </r>
        <r>
          <rPr>
            <sz val="9"/>
            <color indexed="8"/>
            <rFont val="Tahoma"/>
            <family val="2"/>
          </rPr>
          <t>se inserto formula para total operaciones econacional</t>
        </r>
      </text>
    </comment>
    <comment ref="DR116" authorId="2" shapeId="0" xr:uid="{00000000-0006-0000-0000-000067000000}">
      <text>
        <r>
          <rPr>
            <b/>
            <sz val="9"/>
            <color indexed="8"/>
            <rFont val="Tahoma"/>
            <family val="2"/>
          </rPr>
          <t xml:space="preserve">Francisco Escobar:
</t>
        </r>
        <r>
          <rPr>
            <sz val="9"/>
            <color indexed="8"/>
            <rFont val="Tahoma"/>
            <family val="2"/>
          </rPr>
          <t>se inserto formula para total operaciones econacional</t>
        </r>
      </text>
    </comment>
    <comment ref="DS116" authorId="2" shapeId="0" xr:uid="{00000000-0006-0000-0000-000068000000}">
      <text>
        <r>
          <rPr>
            <b/>
            <sz val="9"/>
            <color indexed="8"/>
            <rFont val="Tahoma"/>
            <family val="2"/>
          </rPr>
          <t xml:space="preserve">Francisco Escobar:
</t>
        </r>
        <r>
          <rPr>
            <sz val="9"/>
            <color indexed="8"/>
            <rFont val="Tahoma"/>
            <family val="2"/>
          </rPr>
          <t>se inserto formula para total operaciones econacional</t>
        </r>
      </text>
    </comment>
    <comment ref="DT116" authorId="2" shapeId="0" xr:uid="{00000000-0006-0000-0000-000069000000}">
      <text>
        <r>
          <rPr>
            <b/>
            <sz val="9"/>
            <color indexed="8"/>
            <rFont val="Tahoma"/>
            <family val="2"/>
          </rPr>
          <t xml:space="preserve">Francisco Escobar:
</t>
        </r>
        <r>
          <rPr>
            <sz val="9"/>
            <color indexed="8"/>
            <rFont val="Tahoma"/>
            <family val="2"/>
          </rPr>
          <t>se inserto formula para total operaciones econacional</t>
        </r>
      </text>
    </comment>
    <comment ref="DU116" authorId="2" shapeId="0" xr:uid="{00000000-0006-0000-0000-00006A000000}">
      <text>
        <r>
          <rPr>
            <b/>
            <sz val="9"/>
            <color indexed="8"/>
            <rFont val="Tahoma"/>
            <family val="2"/>
          </rPr>
          <t xml:space="preserve">Francisco Escobar:
</t>
        </r>
        <r>
          <rPr>
            <sz val="9"/>
            <color indexed="8"/>
            <rFont val="Tahoma"/>
            <family val="2"/>
          </rPr>
          <t>se inserto formula para total operaciones econacional</t>
        </r>
      </text>
    </comment>
    <comment ref="DV116" authorId="2" shapeId="0" xr:uid="{00000000-0006-0000-0000-00006B000000}">
      <text>
        <r>
          <rPr>
            <b/>
            <sz val="9"/>
            <color indexed="8"/>
            <rFont val="Tahoma"/>
            <family val="2"/>
          </rPr>
          <t xml:space="preserve">Francisco Escobar:
</t>
        </r>
        <r>
          <rPr>
            <sz val="9"/>
            <color indexed="8"/>
            <rFont val="Tahoma"/>
            <family val="2"/>
          </rPr>
          <t>se inserto formula para total operaciones econacional</t>
        </r>
      </text>
    </comment>
    <comment ref="DW116" authorId="2" shapeId="0" xr:uid="{00000000-0006-0000-0000-00006C000000}">
      <text>
        <r>
          <rPr>
            <b/>
            <sz val="9"/>
            <color indexed="8"/>
            <rFont val="Tahoma"/>
            <family val="2"/>
          </rPr>
          <t xml:space="preserve">Francisco Escobar:
</t>
        </r>
        <r>
          <rPr>
            <sz val="9"/>
            <color indexed="8"/>
            <rFont val="Tahoma"/>
            <family val="2"/>
          </rPr>
          <t>se inserto formula para total operaciones econacional</t>
        </r>
      </text>
    </comment>
    <comment ref="DX116" authorId="2" shapeId="0" xr:uid="{00000000-0006-0000-0000-00006D000000}">
      <text>
        <r>
          <rPr>
            <b/>
            <sz val="9"/>
            <color indexed="8"/>
            <rFont val="Tahoma"/>
            <family val="2"/>
          </rPr>
          <t xml:space="preserve">Francisco Escobar:
</t>
        </r>
        <r>
          <rPr>
            <sz val="9"/>
            <color indexed="8"/>
            <rFont val="Tahoma"/>
            <family val="2"/>
          </rPr>
          <t>se inserto formula para total operaciones econacional</t>
        </r>
      </text>
    </comment>
    <comment ref="DY116" authorId="2" shapeId="0" xr:uid="{00000000-0006-0000-0000-00006E000000}">
      <text>
        <r>
          <rPr>
            <b/>
            <sz val="9"/>
            <color indexed="8"/>
            <rFont val="Tahoma"/>
            <family val="2"/>
          </rPr>
          <t xml:space="preserve">Francisco Escobar:
</t>
        </r>
        <r>
          <rPr>
            <sz val="9"/>
            <color indexed="8"/>
            <rFont val="Tahoma"/>
            <family val="2"/>
          </rPr>
          <t>se inserto formula para total operaciones econacional</t>
        </r>
      </text>
    </comment>
    <comment ref="DZ116" authorId="2" shapeId="0" xr:uid="{00000000-0006-0000-0000-00006F000000}">
      <text>
        <r>
          <rPr>
            <b/>
            <sz val="9"/>
            <color indexed="8"/>
            <rFont val="Tahoma"/>
            <family val="2"/>
          </rPr>
          <t xml:space="preserve">Francisco Escobar:
</t>
        </r>
        <r>
          <rPr>
            <sz val="9"/>
            <color indexed="8"/>
            <rFont val="Tahoma"/>
            <family val="2"/>
          </rPr>
          <t>se inserto formula para total operaciones econacional</t>
        </r>
      </text>
    </comment>
    <comment ref="EA116" authorId="2" shapeId="0" xr:uid="{00000000-0006-0000-0000-000070000000}">
      <text>
        <r>
          <rPr>
            <b/>
            <sz val="9"/>
            <color indexed="8"/>
            <rFont val="Tahoma"/>
            <family val="2"/>
          </rPr>
          <t xml:space="preserve">Francisco Escobar:
</t>
        </r>
        <r>
          <rPr>
            <sz val="9"/>
            <color indexed="8"/>
            <rFont val="Tahoma"/>
            <family val="2"/>
          </rPr>
          <t>se inserto formula para total operaciones econacional</t>
        </r>
      </text>
    </comment>
    <comment ref="EB116" authorId="2" shapeId="0" xr:uid="{00000000-0006-0000-0000-000071000000}">
      <text>
        <r>
          <rPr>
            <b/>
            <sz val="9"/>
            <color indexed="8"/>
            <rFont val="Tahoma"/>
            <family val="2"/>
          </rPr>
          <t xml:space="preserve">Francisco Escobar:
</t>
        </r>
        <r>
          <rPr>
            <sz val="9"/>
            <color indexed="8"/>
            <rFont val="Tahoma"/>
            <family val="2"/>
          </rPr>
          <t>se inserto formula para total operaciones econacional</t>
        </r>
      </text>
    </comment>
    <comment ref="EC116" authorId="2" shapeId="0" xr:uid="{00000000-0006-0000-0000-000072000000}">
      <text>
        <r>
          <rPr>
            <b/>
            <sz val="9"/>
            <color indexed="8"/>
            <rFont val="Tahoma"/>
            <family val="2"/>
          </rPr>
          <t xml:space="preserve">Francisco Escobar:
</t>
        </r>
        <r>
          <rPr>
            <sz val="9"/>
            <color indexed="8"/>
            <rFont val="Tahoma"/>
            <family val="2"/>
          </rPr>
          <t>se inserto formula para total operaciones econacional</t>
        </r>
      </text>
    </comment>
    <comment ref="ED116" authorId="2" shapeId="0" xr:uid="{00000000-0006-0000-0000-000073000000}">
      <text>
        <r>
          <rPr>
            <b/>
            <sz val="9"/>
            <color indexed="8"/>
            <rFont val="Tahoma"/>
            <family val="2"/>
          </rPr>
          <t xml:space="preserve">Francisco Escobar:
</t>
        </r>
        <r>
          <rPr>
            <sz val="9"/>
            <color indexed="8"/>
            <rFont val="Tahoma"/>
            <family val="2"/>
          </rPr>
          <t>se inserto formula para total operaciones econacional</t>
        </r>
      </text>
    </comment>
    <comment ref="EE116" authorId="2" shapeId="0" xr:uid="{00000000-0006-0000-0000-000074000000}">
      <text>
        <r>
          <rPr>
            <b/>
            <sz val="9"/>
            <color indexed="8"/>
            <rFont val="Tahoma"/>
            <family val="2"/>
          </rPr>
          <t xml:space="preserve">Francisco Escobar:
</t>
        </r>
        <r>
          <rPr>
            <sz val="9"/>
            <color indexed="8"/>
            <rFont val="Tahoma"/>
            <family val="2"/>
          </rPr>
          <t>se inserto formula para total operaciones econacional</t>
        </r>
      </text>
    </comment>
    <comment ref="EF116" authorId="2" shapeId="0" xr:uid="{00000000-0006-0000-0000-000075000000}">
      <text>
        <r>
          <rPr>
            <b/>
            <sz val="9"/>
            <color indexed="8"/>
            <rFont val="Tahoma"/>
            <family val="2"/>
          </rPr>
          <t xml:space="preserve">Francisco Escobar:
</t>
        </r>
        <r>
          <rPr>
            <sz val="9"/>
            <color indexed="8"/>
            <rFont val="Tahoma"/>
            <family val="2"/>
          </rPr>
          <t>se inserto formula para total operaciones econacional</t>
        </r>
      </text>
    </comment>
    <comment ref="EG116" authorId="2" shapeId="0" xr:uid="{00000000-0006-0000-0000-000076000000}">
      <text>
        <r>
          <rPr>
            <b/>
            <sz val="9"/>
            <color indexed="8"/>
            <rFont val="Tahoma"/>
            <family val="2"/>
          </rPr>
          <t xml:space="preserve">Francisco Escobar:
</t>
        </r>
        <r>
          <rPr>
            <sz val="9"/>
            <color indexed="8"/>
            <rFont val="Tahoma"/>
            <family val="2"/>
          </rPr>
          <t>se inserto formula para total operaciones econacional</t>
        </r>
      </text>
    </comment>
    <comment ref="EH116" authorId="2" shapeId="0" xr:uid="{00000000-0006-0000-0000-000077000000}">
      <text>
        <r>
          <rPr>
            <b/>
            <sz val="9"/>
            <color indexed="8"/>
            <rFont val="Tahoma"/>
            <family val="2"/>
          </rPr>
          <t xml:space="preserve">Francisco Escobar:
</t>
        </r>
        <r>
          <rPr>
            <sz val="9"/>
            <color indexed="8"/>
            <rFont val="Tahoma"/>
            <family val="2"/>
          </rPr>
          <t>se inserto formula para total operaciones econacional</t>
        </r>
      </text>
    </comment>
    <comment ref="EI116" authorId="2" shapeId="0" xr:uid="{00000000-0006-0000-0000-000078000000}">
      <text>
        <r>
          <rPr>
            <b/>
            <sz val="9"/>
            <color indexed="8"/>
            <rFont val="Tahoma"/>
            <family val="2"/>
          </rPr>
          <t xml:space="preserve">Francisco Escobar:
</t>
        </r>
        <r>
          <rPr>
            <sz val="9"/>
            <color indexed="8"/>
            <rFont val="Tahoma"/>
            <family val="2"/>
          </rPr>
          <t>se inserto formula para total operaciones econacional</t>
        </r>
      </text>
    </comment>
    <comment ref="BB119" authorId="2" shapeId="0" xr:uid="{00000000-0006-0000-0000-000079000000}">
      <text>
        <r>
          <rPr>
            <b/>
            <sz val="9"/>
            <color indexed="8"/>
            <rFont val="Tahoma"/>
            <family val="2"/>
          </rPr>
          <t xml:space="preserve">Francisco Escobar:
</t>
        </r>
        <r>
          <rPr>
            <sz val="9"/>
            <color indexed="8"/>
            <rFont val="Tahoma"/>
            <family val="2"/>
          </rPr>
          <t>error en furmula
=AI117+#¡REF!
formula correcta
=AI117+an117</t>
        </r>
      </text>
    </comment>
    <comment ref="EL120" authorId="1" shapeId="0" xr:uid="{00000000-0006-0000-0000-00007B000000}">
      <text>
        <r>
          <rPr>
            <b/>
            <sz val="9"/>
            <color indexed="81"/>
            <rFont val="Tahoma"/>
            <family val="2"/>
          </rPr>
          <t>Alejandra Pèrez
prestamo BANTRAB inicia octubre 2021 finaliza septiembre 2023.
octubre 22 cuota de 489.63</t>
        </r>
      </text>
    </comment>
    <comment ref="BF125" authorId="1" shapeId="0" xr:uid="{00000000-0006-0000-0000-000081000000}">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BF126" authorId="1" shapeId="0" xr:uid="{00000000-0006-0000-0000-000082000000}">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EQ127" authorId="1" shapeId="0" xr:uid="{00000000-0006-0000-0000-000083000000}">
      <text>
        <r>
          <rPr>
            <b/>
            <sz val="9"/>
            <color indexed="81"/>
            <rFont val="Tahoma"/>
            <family val="2"/>
          </rPr>
          <t>Gladys Lizeth Acabal:</t>
        </r>
        <r>
          <rPr>
            <sz val="9"/>
            <color indexed="81"/>
            <rFont val="Tahoma"/>
            <family val="2"/>
          </rPr>
          <t xml:space="preserve">
Embago  No.01105-2021-0776
Monto Q.33,151.47
</t>
        </r>
        <r>
          <rPr>
            <u/>
            <sz val="9"/>
            <color indexed="81"/>
            <rFont val="Tahoma"/>
            <family val="2"/>
          </rPr>
          <t>10%      Q   3,315.15</t>
        </r>
        <r>
          <rPr>
            <sz val="9"/>
            <color indexed="81"/>
            <rFont val="Tahoma"/>
            <family val="2"/>
          </rPr>
          <t xml:space="preserve"> gastos admon
Total Q.36,466.62
Descuentos Mensuales de 
Q.1148.44
Inicia      15.04.2021
Finaliza 15.11. 2023
enero cambio cuota a 1193.23
enero 2023 cambio cuota a 1265.73</t>
        </r>
      </text>
    </comment>
    <comment ref="EQ128" authorId="1" shapeId="0" xr:uid="{00000000-0006-0000-0000-000085000000}">
      <text>
        <r>
          <rPr>
            <b/>
            <sz val="9"/>
            <color indexed="81"/>
            <rFont val="Tahoma"/>
            <family val="2"/>
          </rPr>
          <t>Gladys Lizeth Acabal:</t>
        </r>
        <r>
          <rPr>
            <sz val="9"/>
            <color indexed="81"/>
            <rFont val="Tahoma"/>
            <family val="2"/>
          </rPr>
          <t xml:space="preserve">
DESCUENTO DE PARQUEO 240 MENSUAL</t>
        </r>
      </text>
    </comment>
    <comment ref="F129" authorId="0" shapeId="0" xr:uid="{150893B9-D911-4977-9BB0-A01EB67B6965}">
      <text>
        <r>
          <rPr>
            <b/>
            <sz val="9"/>
            <color indexed="81"/>
            <rFont val="Tahoma"/>
            <family val="2"/>
          </rPr>
          <t xml:space="preserve">Mayra Alejandra Pérez:
despues del 3er mes incremento a bonif de Q.359.24 ingreso en noviembre </t>
        </r>
      </text>
    </comment>
    <comment ref="EL131" authorId="5" shapeId="0" xr:uid="{00000000-0006-0000-0000-000089000000}">
      <text>
        <r>
          <rPr>
            <b/>
            <sz val="9"/>
            <color indexed="81"/>
            <rFont val="Tahoma"/>
            <family val="2"/>
          </rPr>
          <t>Iris Hernandez de Lemus:</t>
        </r>
        <r>
          <rPr>
            <sz val="9"/>
            <color indexed="81"/>
            <rFont val="Tahoma"/>
            <family val="2"/>
          </rPr>
          <t xml:space="preserve">
Préstamo cuota inicial Q 904.98 sep/20-ago/23 Q 878.93 sept/23-Ago/24 
NUEVO PRESTAMO BANTRAB INICIA ABRIL 22 FINALIZA MARZO 2026 DE ABRIL 22 A MARZO 25 CUOTA DE 638.29
DE ABRIL 2025  A MARZO 2026 CUOTA DE 612.28
nuevo credito ENERO 2023
CUOTA MENSUAL DE 1430.33 DE EENERO 23 A DIC 2031 LUEGO DE ENERO 32 A DIC 32 CUOTA DE 1362.08</t>
        </r>
      </text>
    </comment>
    <comment ref="ES131" authorId="0" shapeId="0" xr:uid="{D3FA456F-307D-4DB4-B05D-2AD41D28C7BF}">
      <text>
        <r>
          <rPr>
            <b/>
            <sz val="9"/>
            <color indexed="81"/>
            <rFont val="Tahoma"/>
            <family val="2"/>
          </rPr>
          <t>Mayra Alejandra Pérez:</t>
        </r>
        <r>
          <rPr>
            <sz val="9"/>
            <color indexed="81"/>
            <rFont val="Tahoma"/>
            <family val="2"/>
          </rPr>
          <t xml:space="preserve">
uniforme total de 320 en 2 meses inicia en enero finaliza feb  mensu7al de 160</t>
        </r>
      </text>
    </comment>
    <comment ref="AW132" authorId="1" shapeId="0" xr:uid="{00000000-0006-0000-0000-00008A000000}">
      <text>
        <r>
          <rPr>
            <b/>
            <sz val="9"/>
            <color indexed="81"/>
            <rFont val="Tahoma"/>
            <family val="2"/>
          </rPr>
          <t>Gladys Lizeth Acabal:</t>
        </r>
        <r>
          <rPr>
            <sz val="9"/>
            <color indexed="81"/>
            <rFont val="Tahoma"/>
            <family val="2"/>
          </rPr>
          <t xml:space="preserve">
BONO PAGADO DE 1 DIA LABORADO FEB</t>
        </r>
      </text>
    </comment>
    <comment ref="EQ133" authorId="0" shapeId="0" xr:uid="{C9B86906-00B2-4DE0-8531-62217E4F6538}">
      <text>
        <r>
          <rPr>
            <sz val="9"/>
            <color indexed="81"/>
            <rFont val="Tahoma"/>
            <family val="2"/>
          </rPr>
          <t xml:space="preserve"> ddescuento por juego de mesa de madera total de 300 2 descuentos de 150 finalza feb 15</t>
        </r>
      </text>
    </comment>
    <comment ref="CQ134" authorId="2" shapeId="0" xr:uid="{00000000-0006-0000-0000-00008C000000}">
      <text>
        <r>
          <rPr>
            <b/>
            <sz val="9"/>
            <color indexed="8"/>
            <rFont val="Tahoma"/>
            <family val="2"/>
          </rPr>
          <t xml:space="preserve">Francisco Escobar:
</t>
        </r>
        <r>
          <rPr>
            <sz val="9"/>
            <color indexed="8"/>
            <rFont val="Tahoma"/>
            <family val="2"/>
          </rPr>
          <t>se inserto formula total bodega producto terminado</t>
        </r>
      </text>
    </comment>
    <comment ref="AW145" authorId="1" shapeId="0" xr:uid="{00000000-0006-0000-0000-000090000000}">
      <text>
        <r>
          <rPr>
            <b/>
            <sz val="9"/>
            <color indexed="81"/>
            <rFont val="Tahoma"/>
            <family val="2"/>
          </rPr>
          <t>Gladys Lizeth Acabal:</t>
        </r>
        <r>
          <rPr>
            <sz val="9"/>
            <color indexed="81"/>
            <rFont val="Tahoma"/>
            <family val="2"/>
          </rPr>
          <t xml:space="preserve">
adelanto por bono x indicadores mensual de 1000 se liquida cada trimestre para ajuste mensual d 2000
1101.52 cierre del primer trimestre de comisiones</t>
        </r>
      </text>
    </comment>
    <comment ref="BF145" authorId="1" shapeId="0" xr:uid="{00000000-0006-0000-0000-000091000000}">
      <text>
        <r>
          <rPr>
            <b/>
            <sz val="9"/>
            <color indexed="81"/>
            <rFont val="Tahoma"/>
            <family val="2"/>
          </rPr>
          <t>Gladys Lizeth Acabal:</t>
        </r>
        <r>
          <rPr>
            <sz val="9"/>
            <color indexed="81"/>
            <rFont val="Tahoma"/>
            <family val="2"/>
          </rPr>
          <t xml:space="preserve">
1101.52  cierre del primer trimestre de indicadores</t>
        </r>
      </text>
    </comment>
    <comment ref="EQ145" authorId="1" shapeId="0" xr:uid="{00000000-0006-0000-0000-000093000000}">
      <text>
        <r>
          <rPr>
            <b/>
            <sz val="9"/>
            <color indexed="81"/>
            <rFont val="Tahoma"/>
            <family val="2"/>
          </rPr>
          <t>Gladys Lizeth Acabal:</t>
        </r>
        <r>
          <rPr>
            <sz val="9"/>
            <color indexed="81"/>
            <rFont val="Tahoma"/>
            <family val="2"/>
          </rPr>
          <t xml:space="preserve">
Uso de parqueo Q 240</t>
        </r>
      </text>
    </comment>
    <comment ref="CP150" authorId="2" shapeId="0" xr:uid="{00000000-0006-0000-0000-000096000000}">
      <text>
        <r>
          <rPr>
            <b/>
            <sz val="9"/>
            <color indexed="8"/>
            <rFont val="Tahoma"/>
            <family val="2"/>
          </rPr>
          <t xml:space="preserve">Francisco Escobar:
</t>
        </r>
        <r>
          <rPr>
            <sz val="9"/>
            <color indexed="8"/>
            <rFont val="Tahoma"/>
            <family val="2"/>
          </rPr>
          <t xml:space="preserve">se creo formula faltante para totales area operaciones
</t>
        </r>
      </text>
    </comment>
    <comment ref="BF155" authorId="0" shapeId="0" xr:uid="{6D10A862-BE33-4677-80E2-F1FF657245E0}">
      <text>
        <r>
          <rPr>
            <b/>
            <sz val="9"/>
            <color indexed="81"/>
            <rFont val="Tahoma"/>
            <family val="2"/>
          </rPr>
          <t>Mayra Alejandra Pérez:</t>
        </r>
        <r>
          <rPr>
            <sz val="9"/>
            <color indexed="81"/>
            <rFont val="Tahoma"/>
            <family val="2"/>
          </rPr>
          <t xml:space="preserve">
comision desde enero 2022 de 14,000 se anticipa mensual 7000 en cada cierre de trimestre se realiza el ajuste</t>
        </r>
      </text>
    </comment>
    <comment ref="EL155" authorId="4" shapeId="0" xr:uid="{00000000-0006-0000-0000-000097000000}">
      <text>
        <r>
          <rPr>
            <b/>
            <sz val="9"/>
            <color indexed="81"/>
            <rFont val="Tahoma"/>
            <family val="2"/>
          </rPr>
          <t>Mayra Pérez:</t>
        </r>
        <r>
          <rPr>
            <sz val="9"/>
            <color indexed="81"/>
            <rFont val="Tahoma"/>
            <family val="2"/>
          </rPr>
          <t xml:space="preserve">
prestamo promerica inicia mayo 2018 finaliza  abril 2022  no. Prestamo 180001560423
MAYO 22 NUEVO PRESTAMO  CUOTA DE 4104.94 A PARTIR DE MAYO 2022 A ABRIL 2026
cambio de cuota x ampliacion de credito agosto 2022 cuota de Q.5247.52 hasta julio 2027</t>
        </r>
      </text>
    </comment>
    <comment ref="EQ155" authorId="0" shapeId="0" xr:uid="{8445C9BE-F142-4926-9697-51A07885B739}">
      <text>
        <r>
          <rPr>
            <b/>
            <sz val="9"/>
            <color indexed="81"/>
            <rFont val="Tahoma"/>
            <family val="2"/>
          </rPr>
          <t>Mayra Alejandra Pérez:</t>
        </r>
        <r>
          <rPr>
            <sz val="9"/>
            <color indexed="81"/>
            <rFont val="Tahoma"/>
            <family val="2"/>
          </rPr>
          <t xml:space="preserve">
descuento por compra de 3 puertas de madera total de 225finaliza febrero 15+ ddescuento por juego de mesa de madera total de 300 2 descuentos de 150 finalza feb 15+150 de silla gerencial  1 descuento</t>
        </r>
      </text>
    </comment>
    <comment ref="AW156" authorId="1" shapeId="0" xr:uid="{00000000-0006-0000-0000-000098000000}">
      <text>
        <r>
          <rPr>
            <sz val="9"/>
            <color indexed="81"/>
            <rFont val="Tahoma"/>
            <family val="2"/>
          </rPr>
          <t xml:space="preserve"> enero 2022 del incremento de bono variable a partir de feb 22 son 3000 mensuales
apartair de abril ajuste de 75% en el pago dde bonificacion de comision</t>
        </r>
      </text>
    </comment>
    <comment ref="EK156" authorId="1" shapeId="0" xr:uid="{00000000-0006-0000-0000-000099000000}">
      <text>
        <r>
          <rPr>
            <b/>
            <sz val="9"/>
            <color indexed="81"/>
            <rFont val="Tahoma"/>
            <family val="2"/>
          </rPr>
          <t>Gladys Lizeth Acabal:</t>
        </r>
        <r>
          <rPr>
            <sz val="9"/>
            <color indexed="81"/>
            <rFont val="Tahoma"/>
            <family val="2"/>
          </rPr>
          <t xml:space="preserve">
263.30 ajuste enro 22</t>
        </r>
      </text>
    </comment>
    <comment ref="AW157" authorId="1" shapeId="0" xr:uid="{00000000-0006-0000-0000-00009A000000}">
      <text>
        <r>
          <rPr>
            <b/>
            <sz val="9"/>
            <color indexed="81"/>
            <rFont val="Tahoma"/>
            <family val="2"/>
          </rPr>
          <t>Gladys Lizeth Acabal:</t>
        </r>
        <r>
          <rPr>
            <sz val="9"/>
            <color indexed="81"/>
            <rFont val="Tahoma"/>
            <family val="2"/>
          </rPr>
          <t xml:space="preserve">
comisiones de 3000 mensuales a partir de abril que son el 75% de 4000 que tiene en la tabla. Abril 2022  enero 2023 cambia monto de comisiones a 7000adelanto mensual de 75%</t>
        </r>
      </text>
    </comment>
    <comment ref="EK157" authorId="1" shapeId="0" xr:uid="{00000000-0006-0000-0000-00009B000000}">
      <text>
        <r>
          <rPr>
            <b/>
            <sz val="9"/>
            <color indexed="81"/>
            <rFont val="Tahoma"/>
            <family val="2"/>
          </rPr>
          <t>Gladys Lizeth Acabal:</t>
        </r>
        <r>
          <rPr>
            <sz val="9"/>
            <color indexed="81"/>
            <rFont val="Tahoma"/>
            <family val="2"/>
          </rPr>
          <t xml:space="preserve">
175.42 ajuste 22</t>
        </r>
      </text>
    </comment>
    <comment ref="AW158" authorId="5" shapeId="0" xr:uid="{BB39A40D-A411-4F06-A790-8CA6260E99B7}">
      <text>
        <r>
          <rPr>
            <b/>
            <sz val="9"/>
            <color indexed="81"/>
            <rFont val="Tahoma"/>
            <family val="2"/>
          </rPr>
          <t>Iris Hernandez de Lemus:</t>
        </r>
        <r>
          <rPr>
            <sz val="9"/>
            <color indexed="81"/>
            <rFont val="Tahoma"/>
            <family val="2"/>
          </rPr>
          <t xml:space="preserve">
Bono de Q 500 correspondiente al 75% del bono variable de Q 375 mensuales bono trimestral 3000 375 de comision no pagado en noviembre</t>
        </r>
      </text>
    </comment>
    <comment ref="EQ158" authorId="0" shapeId="0" xr:uid="{20624022-7ECB-4010-BDD3-B7211432D167}">
      <text>
        <r>
          <rPr>
            <b/>
            <sz val="9"/>
            <color indexed="81"/>
            <rFont val="Tahoma"/>
            <family val="2"/>
          </rPr>
          <t>Mayra Alejandra Pérez:</t>
        </r>
        <r>
          <rPr>
            <sz val="9"/>
            <color indexed="81"/>
            <rFont val="Tahoma"/>
            <family val="2"/>
          </rPr>
          <t xml:space="preserve">
compra de silla d escritorio 1 solo descuento</t>
        </r>
      </text>
    </comment>
    <comment ref="EQ159" authorId="0" shapeId="0" xr:uid="{C5EE0429-CC15-4751-BB94-59D2B8495A44}">
      <text>
        <r>
          <rPr>
            <b/>
            <sz val="9"/>
            <color indexed="81"/>
            <rFont val="Tahoma"/>
            <family val="2"/>
          </rPr>
          <t>Mayra Alejandra Pérez:</t>
        </r>
        <r>
          <rPr>
            <sz val="9"/>
            <color indexed="81"/>
            <rFont val="Tahoma"/>
            <family val="2"/>
          </rPr>
          <t xml:space="preserve">
descuento por compra de sala 1 solo descuento
quedan pendinete del descunto de los sillones Q50.00</t>
        </r>
      </text>
    </comment>
    <comment ref="EQ160" authorId="0" shapeId="0" xr:uid="{4CD6928C-CDE9-42E2-8A88-F883D2609F36}">
      <text>
        <r>
          <rPr>
            <sz val="9"/>
            <color indexed="81"/>
            <rFont val="Tahoma"/>
            <family val="2"/>
          </rPr>
          <t xml:space="preserve"> ddescuento por juego de mesa de madera total de 300 2 descuentos de 150 finalza feb 15</t>
        </r>
      </text>
    </comment>
    <comment ref="CQ161" authorId="2" shapeId="0" xr:uid="{00000000-0006-0000-0000-00009E000000}">
      <text>
        <r>
          <rPr>
            <b/>
            <sz val="9"/>
            <color indexed="8"/>
            <rFont val="Tahoma"/>
            <family val="2"/>
          </rPr>
          <t xml:space="preserve">Francisco Escobar:
</t>
        </r>
        <r>
          <rPr>
            <sz val="9"/>
            <color indexed="8"/>
            <rFont val="Tahoma"/>
            <family val="2"/>
          </rPr>
          <t>se creo formula para total admon comercializacion</t>
        </r>
      </text>
    </comment>
    <comment ref="CR161" authorId="2" shapeId="0" xr:uid="{00000000-0006-0000-0000-00009F000000}">
      <text>
        <r>
          <rPr>
            <b/>
            <sz val="9"/>
            <color indexed="8"/>
            <rFont val="Tahoma"/>
            <family val="2"/>
          </rPr>
          <t xml:space="preserve">Francisco Escobar:
</t>
        </r>
        <r>
          <rPr>
            <sz val="9"/>
            <color indexed="8"/>
            <rFont val="Tahoma"/>
            <family val="2"/>
          </rPr>
          <t>se creo formula para total admon comercializacion</t>
        </r>
      </text>
    </comment>
    <comment ref="CS161" authorId="2" shapeId="0" xr:uid="{00000000-0006-0000-0000-0000A0000000}">
      <text>
        <r>
          <rPr>
            <b/>
            <sz val="9"/>
            <color indexed="8"/>
            <rFont val="Tahoma"/>
            <family val="2"/>
          </rPr>
          <t xml:space="preserve">Francisco Escobar:
</t>
        </r>
        <r>
          <rPr>
            <sz val="9"/>
            <color indexed="8"/>
            <rFont val="Tahoma"/>
            <family val="2"/>
          </rPr>
          <t>se creo formula para total admon comercializacion</t>
        </r>
      </text>
    </comment>
    <comment ref="CT161" authorId="2" shapeId="0" xr:uid="{00000000-0006-0000-0000-0000A1000000}">
      <text>
        <r>
          <rPr>
            <b/>
            <sz val="9"/>
            <color indexed="8"/>
            <rFont val="Tahoma"/>
            <family val="2"/>
          </rPr>
          <t xml:space="preserve">Francisco Escobar:
</t>
        </r>
        <r>
          <rPr>
            <sz val="9"/>
            <color indexed="8"/>
            <rFont val="Tahoma"/>
            <family val="2"/>
          </rPr>
          <t>se creo formula para total admon comercializacion</t>
        </r>
      </text>
    </comment>
    <comment ref="CU161" authorId="2" shapeId="0" xr:uid="{00000000-0006-0000-0000-0000A2000000}">
      <text>
        <r>
          <rPr>
            <b/>
            <sz val="9"/>
            <color indexed="8"/>
            <rFont val="Tahoma"/>
            <family val="2"/>
          </rPr>
          <t xml:space="preserve">Francisco Escobar:
</t>
        </r>
        <r>
          <rPr>
            <sz val="9"/>
            <color indexed="8"/>
            <rFont val="Tahoma"/>
            <family val="2"/>
          </rPr>
          <t>se creo formula para total admon comercializacion</t>
        </r>
      </text>
    </comment>
    <comment ref="CV161" authorId="2" shapeId="0" xr:uid="{00000000-0006-0000-0000-0000A3000000}">
      <text>
        <r>
          <rPr>
            <b/>
            <sz val="9"/>
            <color indexed="8"/>
            <rFont val="Tahoma"/>
            <family val="2"/>
          </rPr>
          <t xml:space="preserve">Francisco Escobar:
</t>
        </r>
        <r>
          <rPr>
            <sz val="9"/>
            <color indexed="8"/>
            <rFont val="Tahoma"/>
            <family val="2"/>
          </rPr>
          <t>se creo formula para total admon comercializacion</t>
        </r>
      </text>
    </comment>
    <comment ref="CW161" authorId="2" shapeId="0" xr:uid="{00000000-0006-0000-0000-0000A4000000}">
      <text>
        <r>
          <rPr>
            <b/>
            <sz val="9"/>
            <color indexed="8"/>
            <rFont val="Tahoma"/>
            <family val="2"/>
          </rPr>
          <t xml:space="preserve">Francisco Escobar:
</t>
        </r>
        <r>
          <rPr>
            <sz val="9"/>
            <color indexed="8"/>
            <rFont val="Tahoma"/>
            <family val="2"/>
          </rPr>
          <t>se creo formula para total admon comercializacion</t>
        </r>
      </text>
    </comment>
    <comment ref="CX161" authorId="2" shapeId="0" xr:uid="{00000000-0006-0000-0000-0000A5000000}">
      <text>
        <r>
          <rPr>
            <b/>
            <sz val="9"/>
            <color indexed="8"/>
            <rFont val="Tahoma"/>
            <family val="2"/>
          </rPr>
          <t xml:space="preserve">Francisco Escobar:
</t>
        </r>
        <r>
          <rPr>
            <sz val="9"/>
            <color indexed="8"/>
            <rFont val="Tahoma"/>
            <family val="2"/>
          </rPr>
          <t>se creo formula para total admon comercializacion</t>
        </r>
      </text>
    </comment>
    <comment ref="CY161" authorId="2" shapeId="0" xr:uid="{00000000-0006-0000-0000-0000A6000000}">
      <text>
        <r>
          <rPr>
            <b/>
            <sz val="9"/>
            <color indexed="8"/>
            <rFont val="Tahoma"/>
            <family val="2"/>
          </rPr>
          <t xml:space="preserve">Francisco Escobar:
</t>
        </r>
        <r>
          <rPr>
            <sz val="9"/>
            <color indexed="8"/>
            <rFont val="Tahoma"/>
            <family val="2"/>
          </rPr>
          <t>se creo formula para total admon comercializacion</t>
        </r>
      </text>
    </comment>
    <comment ref="CZ161" authorId="2" shapeId="0" xr:uid="{00000000-0006-0000-0000-0000A7000000}">
      <text>
        <r>
          <rPr>
            <b/>
            <sz val="9"/>
            <color indexed="8"/>
            <rFont val="Tahoma"/>
            <family val="2"/>
          </rPr>
          <t xml:space="preserve">Francisco Escobar:
</t>
        </r>
        <r>
          <rPr>
            <sz val="9"/>
            <color indexed="8"/>
            <rFont val="Tahoma"/>
            <family val="2"/>
          </rPr>
          <t>se creo formula para total admon comercializacion</t>
        </r>
      </text>
    </comment>
    <comment ref="DA161" authorId="2" shapeId="0" xr:uid="{00000000-0006-0000-0000-0000A8000000}">
      <text>
        <r>
          <rPr>
            <b/>
            <sz val="9"/>
            <color indexed="8"/>
            <rFont val="Tahoma"/>
            <family val="2"/>
          </rPr>
          <t xml:space="preserve">Francisco Escobar:
</t>
        </r>
        <r>
          <rPr>
            <sz val="9"/>
            <color indexed="8"/>
            <rFont val="Tahoma"/>
            <family val="2"/>
          </rPr>
          <t>se creo formula para total admon comercializacion</t>
        </r>
      </text>
    </comment>
    <comment ref="DB161" authorId="2" shapeId="0" xr:uid="{00000000-0006-0000-0000-0000A9000000}">
      <text>
        <r>
          <rPr>
            <b/>
            <sz val="9"/>
            <color indexed="8"/>
            <rFont val="Tahoma"/>
            <family val="2"/>
          </rPr>
          <t xml:space="preserve">Francisco Escobar:
</t>
        </r>
        <r>
          <rPr>
            <sz val="9"/>
            <color indexed="8"/>
            <rFont val="Tahoma"/>
            <family val="2"/>
          </rPr>
          <t>se creo formula para total admon comercializacion</t>
        </r>
      </text>
    </comment>
    <comment ref="DC161" authorId="2" shapeId="0" xr:uid="{00000000-0006-0000-0000-0000AA000000}">
      <text>
        <r>
          <rPr>
            <b/>
            <sz val="9"/>
            <color indexed="8"/>
            <rFont val="Tahoma"/>
            <family val="2"/>
          </rPr>
          <t xml:space="preserve">Francisco Escobar:
</t>
        </r>
        <r>
          <rPr>
            <sz val="9"/>
            <color indexed="8"/>
            <rFont val="Tahoma"/>
            <family val="2"/>
          </rPr>
          <t>se creo formula para total admon comercializacion</t>
        </r>
      </text>
    </comment>
    <comment ref="DD161" authorId="2" shapeId="0" xr:uid="{00000000-0006-0000-0000-0000AB000000}">
      <text>
        <r>
          <rPr>
            <b/>
            <sz val="9"/>
            <color indexed="8"/>
            <rFont val="Tahoma"/>
            <family val="2"/>
          </rPr>
          <t xml:space="preserve">Francisco Escobar:
</t>
        </r>
        <r>
          <rPr>
            <sz val="9"/>
            <color indexed="8"/>
            <rFont val="Tahoma"/>
            <family val="2"/>
          </rPr>
          <t>se creo formula para total admon comercializacion</t>
        </r>
      </text>
    </comment>
    <comment ref="DE161" authorId="2" shapeId="0" xr:uid="{00000000-0006-0000-0000-0000AC000000}">
      <text>
        <r>
          <rPr>
            <b/>
            <sz val="9"/>
            <color indexed="8"/>
            <rFont val="Tahoma"/>
            <family val="2"/>
          </rPr>
          <t xml:space="preserve">Francisco Escobar:
</t>
        </r>
        <r>
          <rPr>
            <sz val="9"/>
            <color indexed="8"/>
            <rFont val="Tahoma"/>
            <family val="2"/>
          </rPr>
          <t>se creo formula para total admon comercializacion</t>
        </r>
      </text>
    </comment>
    <comment ref="DF161" authorId="2" shapeId="0" xr:uid="{00000000-0006-0000-0000-0000AD000000}">
      <text>
        <r>
          <rPr>
            <b/>
            <sz val="9"/>
            <color indexed="8"/>
            <rFont val="Tahoma"/>
            <family val="2"/>
          </rPr>
          <t xml:space="preserve">Francisco Escobar:
</t>
        </r>
        <r>
          <rPr>
            <sz val="9"/>
            <color indexed="8"/>
            <rFont val="Tahoma"/>
            <family val="2"/>
          </rPr>
          <t>se creo formula para total admon comercializacion</t>
        </r>
      </text>
    </comment>
    <comment ref="DG161" authorId="2" shapeId="0" xr:uid="{00000000-0006-0000-0000-0000AE000000}">
      <text>
        <r>
          <rPr>
            <b/>
            <sz val="9"/>
            <color indexed="8"/>
            <rFont val="Tahoma"/>
            <family val="2"/>
          </rPr>
          <t xml:space="preserve">Francisco Escobar:
</t>
        </r>
        <r>
          <rPr>
            <sz val="9"/>
            <color indexed="8"/>
            <rFont val="Tahoma"/>
            <family val="2"/>
          </rPr>
          <t>se creo formula para total admon comercializacion</t>
        </r>
      </text>
    </comment>
    <comment ref="DH161" authorId="2" shapeId="0" xr:uid="{00000000-0006-0000-0000-0000AF000000}">
      <text>
        <r>
          <rPr>
            <b/>
            <sz val="9"/>
            <color indexed="8"/>
            <rFont val="Tahoma"/>
            <family val="2"/>
          </rPr>
          <t xml:space="preserve">Francisco Escobar:
</t>
        </r>
        <r>
          <rPr>
            <sz val="9"/>
            <color indexed="8"/>
            <rFont val="Tahoma"/>
            <family val="2"/>
          </rPr>
          <t>se creo formula para total admon comercializacion</t>
        </r>
      </text>
    </comment>
    <comment ref="DI161" authorId="2" shapeId="0" xr:uid="{00000000-0006-0000-0000-0000B0000000}">
      <text>
        <r>
          <rPr>
            <b/>
            <sz val="9"/>
            <color indexed="8"/>
            <rFont val="Tahoma"/>
            <family val="2"/>
          </rPr>
          <t xml:space="preserve">Francisco Escobar:
</t>
        </r>
        <r>
          <rPr>
            <sz val="9"/>
            <color indexed="8"/>
            <rFont val="Tahoma"/>
            <family val="2"/>
          </rPr>
          <t>se creo formula para total admon comercializacion</t>
        </r>
      </text>
    </comment>
    <comment ref="DJ161" authorId="2" shapeId="0" xr:uid="{00000000-0006-0000-0000-0000B1000000}">
      <text>
        <r>
          <rPr>
            <b/>
            <sz val="9"/>
            <color indexed="8"/>
            <rFont val="Tahoma"/>
            <family val="2"/>
          </rPr>
          <t xml:space="preserve">Francisco Escobar:
</t>
        </r>
        <r>
          <rPr>
            <sz val="9"/>
            <color indexed="8"/>
            <rFont val="Tahoma"/>
            <family val="2"/>
          </rPr>
          <t>se creo formula para total admon comercializacion</t>
        </r>
      </text>
    </comment>
    <comment ref="DK161" authorId="2" shapeId="0" xr:uid="{00000000-0006-0000-0000-0000B2000000}">
      <text>
        <r>
          <rPr>
            <b/>
            <sz val="9"/>
            <color indexed="8"/>
            <rFont val="Tahoma"/>
            <family val="2"/>
          </rPr>
          <t xml:space="preserve">Francisco Escobar:
</t>
        </r>
        <r>
          <rPr>
            <sz val="9"/>
            <color indexed="8"/>
            <rFont val="Tahoma"/>
            <family val="2"/>
          </rPr>
          <t>se creo formula para total admon comercializacion</t>
        </r>
      </text>
    </comment>
    <comment ref="DL161" authorId="2" shapeId="0" xr:uid="{00000000-0006-0000-0000-0000B3000000}">
      <text>
        <r>
          <rPr>
            <b/>
            <sz val="9"/>
            <color indexed="8"/>
            <rFont val="Tahoma"/>
            <family val="2"/>
          </rPr>
          <t xml:space="preserve">Francisco Escobar:
</t>
        </r>
        <r>
          <rPr>
            <sz val="9"/>
            <color indexed="8"/>
            <rFont val="Tahoma"/>
            <family val="2"/>
          </rPr>
          <t>se creo formula para total admon comercializacion</t>
        </r>
      </text>
    </comment>
    <comment ref="DM161" authorId="2" shapeId="0" xr:uid="{00000000-0006-0000-0000-0000B4000000}">
      <text>
        <r>
          <rPr>
            <b/>
            <sz val="9"/>
            <color indexed="8"/>
            <rFont val="Tahoma"/>
            <family val="2"/>
          </rPr>
          <t xml:space="preserve">Francisco Escobar:
</t>
        </r>
        <r>
          <rPr>
            <sz val="9"/>
            <color indexed="8"/>
            <rFont val="Tahoma"/>
            <family val="2"/>
          </rPr>
          <t>se creo formula para total admon comercializacion</t>
        </r>
      </text>
    </comment>
    <comment ref="DN161" authorId="2" shapeId="0" xr:uid="{00000000-0006-0000-0000-0000B5000000}">
      <text>
        <r>
          <rPr>
            <b/>
            <sz val="9"/>
            <color indexed="8"/>
            <rFont val="Tahoma"/>
            <family val="2"/>
          </rPr>
          <t xml:space="preserve">Francisco Escobar:
</t>
        </r>
        <r>
          <rPr>
            <sz val="9"/>
            <color indexed="8"/>
            <rFont val="Tahoma"/>
            <family val="2"/>
          </rPr>
          <t>se creo formula para total admon comercializacion</t>
        </r>
      </text>
    </comment>
    <comment ref="DO161" authorId="2" shapeId="0" xr:uid="{00000000-0006-0000-0000-0000B6000000}">
      <text>
        <r>
          <rPr>
            <b/>
            <sz val="9"/>
            <color indexed="8"/>
            <rFont val="Tahoma"/>
            <family val="2"/>
          </rPr>
          <t xml:space="preserve">Francisco Escobar:
</t>
        </r>
        <r>
          <rPr>
            <sz val="9"/>
            <color indexed="8"/>
            <rFont val="Tahoma"/>
            <family val="2"/>
          </rPr>
          <t>se creo formula para total admon comercializacion</t>
        </r>
      </text>
    </comment>
    <comment ref="DP161" authorId="2" shapeId="0" xr:uid="{00000000-0006-0000-0000-0000B7000000}">
      <text>
        <r>
          <rPr>
            <b/>
            <sz val="9"/>
            <color indexed="8"/>
            <rFont val="Tahoma"/>
            <family val="2"/>
          </rPr>
          <t xml:space="preserve">Francisco Escobar:
</t>
        </r>
        <r>
          <rPr>
            <sz val="9"/>
            <color indexed="8"/>
            <rFont val="Tahoma"/>
            <family val="2"/>
          </rPr>
          <t>se creo formula para total admon comercializacion</t>
        </r>
      </text>
    </comment>
    <comment ref="DQ161" authorId="2" shapeId="0" xr:uid="{00000000-0006-0000-0000-0000B8000000}">
      <text>
        <r>
          <rPr>
            <b/>
            <sz val="9"/>
            <color indexed="8"/>
            <rFont val="Tahoma"/>
            <family val="2"/>
          </rPr>
          <t xml:space="preserve">Francisco Escobar:
</t>
        </r>
        <r>
          <rPr>
            <sz val="9"/>
            <color indexed="8"/>
            <rFont val="Tahoma"/>
            <family val="2"/>
          </rPr>
          <t>se creo formula para total admon comercializacion</t>
        </r>
      </text>
    </comment>
    <comment ref="DR161" authorId="2" shapeId="0" xr:uid="{00000000-0006-0000-0000-0000B9000000}">
      <text>
        <r>
          <rPr>
            <b/>
            <sz val="9"/>
            <color indexed="8"/>
            <rFont val="Tahoma"/>
            <family val="2"/>
          </rPr>
          <t xml:space="preserve">Francisco Escobar:
</t>
        </r>
        <r>
          <rPr>
            <sz val="9"/>
            <color indexed="8"/>
            <rFont val="Tahoma"/>
            <family val="2"/>
          </rPr>
          <t>se creo formula para total admon comercializacion</t>
        </r>
      </text>
    </comment>
    <comment ref="DS161" authorId="2" shapeId="0" xr:uid="{00000000-0006-0000-0000-0000BA000000}">
      <text>
        <r>
          <rPr>
            <b/>
            <sz val="9"/>
            <color indexed="8"/>
            <rFont val="Tahoma"/>
            <family val="2"/>
          </rPr>
          <t xml:space="preserve">Francisco Escobar:
</t>
        </r>
        <r>
          <rPr>
            <sz val="9"/>
            <color indexed="8"/>
            <rFont val="Tahoma"/>
            <family val="2"/>
          </rPr>
          <t>se creo formula para total admon comercializacion</t>
        </r>
      </text>
    </comment>
    <comment ref="DT161" authorId="2" shapeId="0" xr:uid="{00000000-0006-0000-0000-0000BB000000}">
      <text>
        <r>
          <rPr>
            <b/>
            <sz val="9"/>
            <color indexed="8"/>
            <rFont val="Tahoma"/>
            <family val="2"/>
          </rPr>
          <t xml:space="preserve">Francisco Escobar:
</t>
        </r>
        <r>
          <rPr>
            <sz val="9"/>
            <color indexed="8"/>
            <rFont val="Tahoma"/>
            <family val="2"/>
          </rPr>
          <t>se creo formula para total admon comercializacion</t>
        </r>
      </text>
    </comment>
    <comment ref="DU161" authorId="2" shapeId="0" xr:uid="{00000000-0006-0000-0000-0000BC000000}">
      <text>
        <r>
          <rPr>
            <b/>
            <sz val="9"/>
            <color indexed="8"/>
            <rFont val="Tahoma"/>
            <family val="2"/>
          </rPr>
          <t xml:space="preserve">Francisco Escobar:
</t>
        </r>
        <r>
          <rPr>
            <sz val="9"/>
            <color indexed="8"/>
            <rFont val="Tahoma"/>
            <family val="2"/>
          </rPr>
          <t>se creo formula para total admon comercializacion</t>
        </r>
      </text>
    </comment>
    <comment ref="DV161" authorId="2" shapeId="0" xr:uid="{00000000-0006-0000-0000-0000BD000000}">
      <text>
        <r>
          <rPr>
            <b/>
            <sz val="9"/>
            <color indexed="8"/>
            <rFont val="Tahoma"/>
            <family val="2"/>
          </rPr>
          <t xml:space="preserve">Francisco Escobar:
</t>
        </r>
        <r>
          <rPr>
            <sz val="9"/>
            <color indexed="8"/>
            <rFont val="Tahoma"/>
            <family val="2"/>
          </rPr>
          <t>se creo formula para total admon comercializacion</t>
        </r>
      </text>
    </comment>
    <comment ref="DW161" authorId="2" shapeId="0" xr:uid="{00000000-0006-0000-0000-0000BE000000}">
      <text>
        <r>
          <rPr>
            <b/>
            <sz val="9"/>
            <color indexed="8"/>
            <rFont val="Tahoma"/>
            <family val="2"/>
          </rPr>
          <t xml:space="preserve">Francisco Escobar:
</t>
        </r>
        <r>
          <rPr>
            <sz val="9"/>
            <color indexed="8"/>
            <rFont val="Tahoma"/>
            <family val="2"/>
          </rPr>
          <t>se creo formula para total admon comercializacion</t>
        </r>
      </text>
    </comment>
    <comment ref="DX161" authorId="2" shapeId="0" xr:uid="{00000000-0006-0000-0000-0000BF000000}">
      <text>
        <r>
          <rPr>
            <b/>
            <sz val="9"/>
            <color indexed="8"/>
            <rFont val="Tahoma"/>
            <family val="2"/>
          </rPr>
          <t xml:space="preserve">Francisco Escobar:
</t>
        </r>
        <r>
          <rPr>
            <sz val="9"/>
            <color indexed="8"/>
            <rFont val="Tahoma"/>
            <family val="2"/>
          </rPr>
          <t>se creo formula para total admon comercializacion</t>
        </r>
      </text>
    </comment>
    <comment ref="DY161" authorId="2" shapeId="0" xr:uid="{00000000-0006-0000-0000-0000C0000000}">
      <text>
        <r>
          <rPr>
            <b/>
            <sz val="9"/>
            <color indexed="8"/>
            <rFont val="Tahoma"/>
            <family val="2"/>
          </rPr>
          <t xml:space="preserve">Francisco Escobar:
</t>
        </r>
        <r>
          <rPr>
            <sz val="9"/>
            <color indexed="8"/>
            <rFont val="Tahoma"/>
            <family val="2"/>
          </rPr>
          <t>se creo formula para total admon comercializacion</t>
        </r>
      </text>
    </comment>
    <comment ref="DZ161" authorId="2" shapeId="0" xr:uid="{00000000-0006-0000-0000-0000C1000000}">
      <text>
        <r>
          <rPr>
            <b/>
            <sz val="9"/>
            <color indexed="8"/>
            <rFont val="Tahoma"/>
            <family val="2"/>
          </rPr>
          <t xml:space="preserve">Francisco Escobar:
</t>
        </r>
        <r>
          <rPr>
            <sz val="9"/>
            <color indexed="8"/>
            <rFont val="Tahoma"/>
            <family val="2"/>
          </rPr>
          <t>se creo formula para total admon comercializacion</t>
        </r>
      </text>
    </comment>
    <comment ref="EA161" authorId="2" shapeId="0" xr:uid="{00000000-0006-0000-0000-0000C2000000}">
      <text>
        <r>
          <rPr>
            <b/>
            <sz val="9"/>
            <color indexed="8"/>
            <rFont val="Tahoma"/>
            <family val="2"/>
          </rPr>
          <t xml:space="preserve">Francisco Escobar:
</t>
        </r>
        <r>
          <rPr>
            <sz val="9"/>
            <color indexed="8"/>
            <rFont val="Tahoma"/>
            <family val="2"/>
          </rPr>
          <t>se creo formula para total admon comercializacion</t>
        </r>
      </text>
    </comment>
    <comment ref="EB161" authorId="2" shapeId="0" xr:uid="{00000000-0006-0000-0000-0000C3000000}">
      <text>
        <r>
          <rPr>
            <b/>
            <sz val="9"/>
            <color indexed="8"/>
            <rFont val="Tahoma"/>
            <family val="2"/>
          </rPr>
          <t xml:space="preserve">Francisco Escobar:
</t>
        </r>
        <r>
          <rPr>
            <sz val="9"/>
            <color indexed="8"/>
            <rFont val="Tahoma"/>
            <family val="2"/>
          </rPr>
          <t>se creo formula para total admon comercializacion</t>
        </r>
      </text>
    </comment>
    <comment ref="EC161" authorId="2" shapeId="0" xr:uid="{00000000-0006-0000-0000-0000C4000000}">
      <text>
        <r>
          <rPr>
            <b/>
            <sz val="9"/>
            <color indexed="8"/>
            <rFont val="Tahoma"/>
            <family val="2"/>
          </rPr>
          <t xml:space="preserve">Francisco Escobar:
</t>
        </r>
        <r>
          <rPr>
            <sz val="9"/>
            <color indexed="8"/>
            <rFont val="Tahoma"/>
            <family val="2"/>
          </rPr>
          <t>se creo formula para total admon comercializacion</t>
        </r>
      </text>
    </comment>
    <comment ref="ED161" authorId="2" shapeId="0" xr:uid="{00000000-0006-0000-0000-0000C5000000}">
      <text>
        <r>
          <rPr>
            <b/>
            <sz val="9"/>
            <color indexed="8"/>
            <rFont val="Tahoma"/>
            <family val="2"/>
          </rPr>
          <t xml:space="preserve">Francisco Escobar:
</t>
        </r>
        <r>
          <rPr>
            <sz val="9"/>
            <color indexed="8"/>
            <rFont val="Tahoma"/>
            <family val="2"/>
          </rPr>
          <t>se creo formula para total admon comercializacion</t>
        </r>
      </text>
    </comment>
    <comment ref="EE161" authorId="2" shapeId="0" xr:uid="{00000000-0006-0000-0000-0000C6000000}">
      <text>
        <r>
          <rPr>
            <b/>
            <sz val="9"/>
            <color indexed="8"/>
            <rFont val="Tahoma"/>
            <family val="2"/>
          </rPr>
          <t xml:space="preserve">Francisco Escobar:
</t>
        </r>
        <r>
          <rPr>
            <sz val="9"/>
            <color indexed="8"/>
            <rFont val="Tahoma"/>
            <family val="2"/>
          </rPr>
          <t>se creo formula para total admon comercializacion</t>
        </r>
      </text>
    </comment>
    <comment ref="EF161" authorId="2" shapeId="0" xr:uid="{00000000-0006-0000-0000-0000C7000000}">
      <text>
        <r>
          <rPr>
            <b/>
            <sz val="9"/>
            <color indexed="8"/>
            <rFont val="Tahoma"/>
            <family val="2"/>
          </rPr>
          <t xml:space="preserve">Francisco Escobar:
</t>
        </r>
        <r>
          <rPr>
            <sz val="9"/>
            <color indexed="8"/>
            <rFont val="Tahoma"/>
            <family val="2"/>
          </rPr>
          <t>se creo formula para total admon comercializacion</t>
        </r>
      </text>
    </comment>
    <comment ref="EG161" authorId="2" shapeId="0" xr:uid="{00000000-0006-0000-0000-0000C8000000}">
      <text>
        <r>
          <rPr>
            <b/>
            <sz val="9"/>
            <color indexed="8"/>
            <rFont val="Tahoma"/>
            <family val="2"/>
          </rPr>
          <t xml:space="preserve">Francisco Escobar:
</t>
        </r>
        <r>
          <rPr>
            <sz val="9"/>
            <color indexed="8"/>
            <rFont val="Tahoma"/>
            <family val="2"/>
          </rPr>
          <t>se creo formula para total admon comercializacion</t>
        </r>
      </text>
    </comment>
    <comment ref="EH161" authorId="2" shapeId="0" xr:uid="{00000000-0006-0000-0000-0000C9000000}">
      <text>
        <r>
          <rPr>
            <b/>
            <sz val="9"/>
            <color indexed="8"/>
            <rFont val="Tahoma"/>
            <family val="2"/>
          </rPr>
          <t xml:space="preserve">Francisco Escobar:
</t>
        </r>
        <r>
          <rPr>
            <sz val="9"/>
            <color indexed="8"/>
            <rFont val="Tahoma"/>
            <family val="2"/>
          </rPr>
          <t>se creo formula para total admon comercializacion</t>
        </r>
      </text>
    </comment>
    <comment ref="EI161" authorId="2" shapeId="0" xr:uid="{00000000-0006-0000-0000-0000CA000000}">
      <text>
        <r>
          <rPr>
            <b/>
            <sz val="9"/>
            <color indexed="8"/>
            <rFont val="Tahoma"/>
            <family val="2"/>
          </rPr>
          <t xml:space="preserve">Francisco Escobar:
</t>
        </r>
        <r>
          <rPr>
            <sz val="9"/>
            <color indexed="8"/>
            <rFont val="Tahoma"/>
            <family val="2"/>
          </rPr>
          <t>se creo formula para total admon comercializacion</t>
        </r>
      </text>
    </comment>
    <comment ref="F163" authorId="2" shapeId="0" xr:uid="{00000000-0006-0000-0000-0000CB000000}">
      <text>
        <r>
          <rPr>
            <b/>
            <sz val="9"/>
            <color indexed="8"/>
            <rFont val="Tahoma"/>
            <family val="2"/>
          </rPr>
          <t>MX:
Pago de bono variable Q 7,000 bono decreto Q 250.00 mensual.  El bono variable se anticipa 75% cada mes al final del trimestre se evalua el resultado para determinar cuánto se le debe.</t>
        </r>
      </text>
    </comment>
    <comment ref="EK163" authorId="1" shapeId="0" xr:uid="{00000000-0006-0000-0000-0000CC000000}">
      <text>
        <r>
          <rPr>
            <b/>
            <sz val="9"/>
            <color indexed="81"/>
            <rFont val="Tahoma"/>
            <family val="2"/>
          </rPr>
          <t>Gladys Lizeth Acabal:</t>
        </r>
        <r>
          <rPr>
            <sz val="9"/>
            <color indexed="81"/>
            <rFont val="Tahoma"/>
            <family val="2"/>
          </rPr>
          <t xml:space="preserve">
128.94 ajuste enero 2022</t>
        </r>
      </text>
    </comment>
    <comment ref="CQ165" authorId="2" shapeId="0" xr:uid="{00000000-0006-0000-0000-0000D2000000}">
      <text>
        <r>
          <rPr>
            <b/>
            <sz val="9"/>
            <color indexed="8"/>
            <rFont val="Tahoma"/>
            <family val="2"/>
          </rPr>
          <t xml:space="preserve">Francisco Escobar:
</t>
        </r>
        <r>
          <rPr>
            <sz val="9"/>
            <color indexed="8"/>
            <rFont val="Tahoma"/>
            <family val="2"/>
          </rPr>
          <t>se corrigieron datos y formulas total division proquima</t>
        </r>
      </text>
    </comment>
    <comment ref="BF181" authorId="0" shapeId="0" xr:uid="{8BA5A965-5A68-470B-9136-E8A66D25A5A6}">
      <text>
        <r>
          <rPr>
            <b/>
            <sz val="9"/>
            <color indexed="81"/>
            <rFont val="Tahoma"/>
            <family val="2"/>
          </rPr>
          <t>Mayra Alejandra Pérez:</t>
        </r>
        <r>
          <rPr>
            <sz val="9"/>
            <color indexed="81"/>
            <rFont val="Tahoma"/>
            <family val="2"/>
          </rPr>
          <t xml:space="preserve">
reintegro de unfirome descontado de mas en nov 135</t>
        </r>
      </text>
    </comment>
    <comment ref="EL205" authorId="1" shapeId="0" xr:uid="{00000000-0006-0000-0000-0000D4000000}">
      <text>
        <r>
          <rPr>
            <b/>
            <sz val="9"/>
            <color indexed="81"/>
            <rFont val="Tahoma"/>
            <family val="2"/>
          </rPr>
          <t>Gladys Lizeth Acabal:</t>
        </r>
        <r>
          <rPr>
            <sz val="9"/>
            <color indexed="81"/>
            <rFont val="Tahoma"/>
            <family val="2"/>
          </rPr>
          <t xml:space="preserve">
NUEVO PRSTAMO BANTRAB INICIA ABRIL 2022 FINALIZA MARZO 2030 DE ABRIL 22 PARA MARZO 2029 CUOTA DE 1079.70 DE ABRIL 29 PARA MARZO 30 CUOTA DE 1022.89</t>
        </r>
      </text>
    </comment>
    <comment ref="EL208" authorId="1" shapeId="0" xr:uid="{00000000-0006-0000-0000-0000D6000000}">
      <text>
        <r>
          <rPr>
            <b/>
            <sz val="9"/>
            <color indexed="81"/>
            <rFont val="Tahoma"/>
            <family val="2"/>
          </rPr>
          <t>Gladys Lizeth Acabal:</t>
        </r>
        <r>
          <rPr>
            <sz val="9"/>
            <color indexed="81"/>
            <rFont val="Tahoma"/>
            <family val="2"/>
          </rPr>
          <t xml:space="preserve">
NUEVO PRESTAMO BANTRAB INICIA NOV 2021 FINALIZA NOV 2029
MNSUAL DE 661.65 HASTA  OCT 2028
NOV 2028 PAGOS DE 628.6 HASTA NOV 2029 NUEVO CREDITO MAYO 22 , MAYO A ABRIL 2029 CUOTA DE 680.48 Y DE MAYO 29 A ABRIL 30 CUOTA DE 647.43</t>
        </r>
      </text>
    </comment>
    <comment ref="EQ208" authorId="0" shapeId="0" xr:uid="{885F760A-6D2D-44F9-A490-3E3F4F501F17}">
      <text>
        <r>
          <rPr>
            <b/>
            <sz val="9"/>
            <color indexed="81"/>
            <rFont val="Tahoma"/>
            <family val="2"/>
          </rPr>
          <t xml:space="preserve">Mayra Alejandra Pérez:
descuento por mala ejecucion en procedimiento de empaque 4 quincenas total de 354.05 en enero colocar 177.02 + </t>
        </r>
      </text>
    </comment>
    <comment ref="BO209" authorId="0" shapeId="0" xr:uid="{BBC92BC0-6AC4-4B62-9C5A-0C5BEC856850}">
      <text>
        <r>
          <rPr>
            <b/>
            <sz val="9"/>
            <color indexed="81"/>
            <rFont val="Tahoma"/>
            <family val="2"/>
          </rPr>
          <t>Mayra Alejandra Pérez:</t>
        </r>
        <r>
          <rPr>
            <sz val="9"/>
            <color indexed="81"/>
            <rFont val="Tahoma"/>
            <family val="2"/>
          </rPr>
          <t xml:space="preserve">
reintegro x descuento en exceso  de bantrab en noviembre</t>
        </r>
      </text>
    </comment>
    <comment ref="EL209" authorId="1" shapeId="0" xr:uid="{00000000-0006-0000-0000-0000D7000000}">
      <text>
        <r>
          <rPr>
            <b/>
            <sz val="9"/>
            <color indexed="81"/>
            <rFont val="Tahoma"/>
            <family val="2"/>
          </rPr>
          <t>Gladys Lizeth Acabal:</t>
        </r>
        <r>
          <rPr>
            <sz val="9"/>
            <color indexed="81"/>
            <rFont val="Tahoma"/>
            <family val="2"/>
          </rPr>
          <t xml:space="preserve">
16,000 
24 cuotas de Q.573.22
Inicia 01.02.2021
Finaliza 01.01.2023
12 cuotas de Q.562.51
Inicia 01.02.2023
Finaliza 01.01.2024</t>
        </r>
      </text>
    </comment>
    <comment ref="EP209" authorId="5" shapeId="0" xr:uid="{00000000-0006-0000-0000-0000D8000000}">
      <text>
        <r>
          <rPr>
            <b/>
            <sz val="9"/>
            <color indexed="81"/>
            <rFont val="Tahoma"/>
            <family val="2"/>
          </rPr>
          <t>Iris Hernandez de Lemus:</t>
        </r>
        <r>
          <rPr>
            <sz val="9"/>
            <color indexed="81"/>
            <rFont val="Tahoma"/>
            <family val="2"/>
          </rPr>
          <t xml:space="preserve">
Seguro 55</t>
        </r>
      </text>
    </comment>
    <comment ref="EL210" authorId="1" shapeId="0" xr:uid="{00000000-0006-0000-0000-0000D9000000}">
      <text>
        <r>
          <rPr>
            <b/>
            <sz val="9"/>
            <color indexed="81"/>
            <rFont val="Tahoma"/>
            <family val="2"/>
          </rPr>
          <t>Gladys Lizeth Acabal:</t>
        </r>
        <r>
          <rPr>
            <sz val="9"/>
            <color indexed="81"/>
            <rFont val="Tahoma"/>
            <family val="2"/>
          </rPr>
          <t xml:space="preserve">
Prestamo Q.33,000.00
Cuota Q.748.92.
Inicia  15.07.2021
Finaliza 15.06.2026
Cuota Q.715.83
Inicia 15.07.2026
Finaliza Q.15.06.27
</t>
        </r>
      </text>
    </comment>
    <comment ref="BO214" authorId="5" shapeId="0" xr:uid="{00000000-0006-0000-0000-0000DB000000}">
      <text>
        <r>
          <rPr>
            <b/>
            <sz val="9"/>
            <color indexed="81"/>
            <rFont val="Tahoma"/>
            <family val="2"/>
          </rPr>
          <t>Iris Hernandez de Lemus:</t>
        </r>
        <r>
          <rPr>
            <sz val="9"/>
            <color indexed="81"/>
            <rFont val="Tahoma"/>
            <family val="2"/>
          </rPr>
          <t xml:space="preserve">
Reintegro de Q 100 por descuento efectuado de Hisopado en Ago2021.</t>
        </r>
      </text>
    </comment>
    <comment ref="BB215" authorId="2" shapeId="0" xr:uid="{00000000-0006-0000-0000-0000DC000000}">
      <text>
        <r>
          <rPr>
            <b/>
            <sz val="9"/>
            <color indexed="8"/>
            <rFont val="Tahoma"/>
            <family val="2"/>
          </rPr>
          <t xml:space="preserve">Francisco Escobar:
</t>
        </r>
        <r>
          <rPr>
            <sz val="9"/>
            <color indexed="8"/>
            <rFont val="Tahoma"/>
            <family val="2"/>
          </rPr>
          <t>error en furmula
=AI117+#¡REF!
formula correcta
=AI117+an117</t>
        </r>
      </text>
    </comment>
    <comment ref="EL215" authorId="1" shapeId="0" xr:uid="{00000000-0006-0000-0000-0000DD000000}">
      <text>
        <r>
          <rPr>
            <b/>
            <sz val="9"/>
            <color indexed="81"/>
            <rFont val="Tahoma"/>
            <family val="2"/>
          </rPr>
          <t>Gladys Lizeth Acabal:</t>
        </r>
        <r>
          <rPr>
            <sz val="9"/>
            <color indexed="81"/>
            <rFont val="Tahoma"/>
            <family val="2"/>
          </rPr>
          <t xml:space="preserve">
credito en bantrab inicia junio 2022 finaliza mayo  2027
de junio 22 a mayo 26 cuota de 623.4 de junio 2026 a mayo 2027 cuota de 594.75</t>
        </r>
      </text>
    </comment>
    <comment ref="BB220" authorId="2" shapeId="0" xr:uid="{00000000-0006-0000-0000-0000DE000000}">
      <text>
        <r>
          <rPr>
            <b/>
            <sz val="9"/>
            <color indexed="8"/>
            <rFont val="Tahoma"/>
            <family val="2"/>
          </rPr>
          <t xml:space="preserve">Francisco Escobar:
formula incorrecta
</t>
        </r>
        <r>
          <rPr>
            <sz val="9"/>
            <color indexed="8"/>
            <rFont val="Tahoma"/>
            <family val="2"/>
          </rPr>
          <t>=AI91+#¡REF!
formula correcta</t>
        </r>
      </text>
    </comment>
    <comment ref="EP224" authorId="4" shapeId="0" xr:uid="{00000000-0006-0000-0000-0000DF000000}">
      <text>
        <r>
          <rPr>
            <b/>
            <sz val="8"/>
            <color indexed="81"/>
            <rFont val="Tahoma"/>
            <family val="2"/>
          </rPr>
          <t>Mayra Pérez:</t>
        </r>
        <r>
          <rPr>
            <sz val="8"/>
            <color indexed="81"/>
            <rFont val="Tahoma"/>
            <family val="2"/>
          </rPr>
          <t xml:space="preserve">
seguro medico</t>
        </r>
      </text>
    </comment>
    <comment ref="EQ224" authorId="0" shapeId="0" xr:uid="{2DE18D05-8317-44E1-A814-6D5E6F2A8277}">
      <text>
        <r>
          <rPr>
            <sz val="9"/>
            <color indexed="81"/>
            <rFont val="Tahoma"/>
            <family val="2"/>
          </rPr>
          <t xml:space="preserve"> ddescuento por juego de mesa de madera total de 300 2 descuentos de 150 finalza feb 15</t>
        </r>
      </text>
    </comment>
    <comment ref="EO225" authorId="1" shapeId="0" xr:uid="{00000000-0006-0000-0000-0000E0000000}">
      <text>
        <r>
          <rPr>
            <b/>
            <sz val="9"/>
            <color indexed="81"/>
            <rFont val="Tahoma"/>
            <family val="2"/>
          </rPr>
          <t>Gladys Lizeth Acabal:</t>
        </r>
        <r>
          <rPr>
            <sz val="9"/>
            <color indexed="81"/>
            <rFont val="Tahoma"/>
            <family val="2"/>
          </rPr>
          <t xml:space="preserve">
QUEDA EN SEPTIEMBRE</t>
        </r>
      </text>
    </comment>
    <comment ref="EP225" authorId="6" shapeId="0" xr:uid="{00000000-0006-0000-0000-0000E1000000}">
      <text>
        <r>
          <rPr>
            <b/>
            <sz val="9"/>
            <color indexed="81"/>
            <rFont val="Tahoma"/>
            <family val="2"/>
          </rPr>
          <t>Dámaris España:</t>
        </r>
        <r>
          <rPr>
            <sz val="9"/>
            <color indexed="81"/>
            <rFont val="Tahoma"/>
            <family val="2"/>
          </rPr>
          <t xml:space="preserve">
Descuento de seguro. Pendiente de Aplicar desde 30/08/2019 , se retoma Descuento 15/11/2019</t>
        </r>
      </text>
    </comment>
    <comment ref="BB549" authorId="1" shapeId="0" xr:uid="{00000000-0006-0000-0000-0000E200000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G551" authorId="1" shapeId="0" xr:uid="{00000000-0006-0000-0000-0000E3000000}">
      <text>
        <r>
          <rPr>
            <b/>
            <sz val="9"/>
            <color indexed="81"/>
            <rFont val="Tahoma"/>
            <family val="2"/>
          </rPr>
          <t>Gladys Lizeth Acabal:</t>
        </r>
        <r>
          <rPr>
            <sz val="9"/>
            <color indexed="81"/>
            <rFont val="Tahoma"/>
            <family val="2"/>
          </rPr>
          <t xml:space="preserve">
este monto debe cuadrar con el monto de ECONACIONAL en el cuadro de arriba</t>
        </r>
      </text>
    </comment>
    <comment ref="BG553" authorId="1" shapeId="0" xr:uid="{00000000-0006-0000-0000-0000E4000000}">
      <text>
        <r>
          <rPr>
            <b/>
            <sz val="9"/>
            <color indexed="81"/>
            <rFont val="Tahoma"/>
            <family val="2"/>
          </rPr>
          <t>Gladys Lizeth Acabal:</t>
        </r>
        <r>
          <rPr>
            <sz val="9"/>
            <color indexed="81"/>
            <rFont val="Tahoma"/>
            <family val="2"/>
          </rPr>
          <t xml:space="preserve">
MONTO QUE TIENE PROQUIMA ARRIBA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Alejandra Perez</author>
    <author>Gladys Lizeth Acabal</author>
    <author>Mayra Pérez</author>
    <author/>
  </authors>
  <commentList>
    <comment ref="F20" authorId="0" shapeId="0" xr:uid="{00000000-0006-0000-0100-000001000000}">
      <text>
        <r>
          <rPr>
            <b/>
            <sz val="9"/>
            <color indexed="81"/>
            <rFont val="Tahoma"/>
            <family val="2"/>
          </rPr>
          <t>Alejandra Perez:</t>
        </r>
        <r>
          <rPr>
            <sz val="9"/>
            <color indexed="81"/>
            <rFont val="Tahoma"/>
            <family val="2"/>
          </rPr>
          <t xml:space="preserve">
120 por depreciacion de vehiculo</t>
        </r>
      </text>
    </comment>
    <comment ref="F38" authorId="1" shapeId="0" xr:uid="{00000000-0006-0000-0100-000002000000}">
      <text>
        <r>
          <rPr>
            <b/>
            <sz val="9"/>
            <color indexed="81"/>
            <rFont val="Tahoma"/>
            <family val="2"/>
          </rPr>
          <t>ALEJANDRA
AJUSTE A BONIFICACION DE 500 DESPUES DE 3 MESES INICIO EN NOVIEMBRE</t>
        </r>
      </text>
    </comment>
    <comment ref="F64" authorId="1" shapeId="0" xr:uid="{00000000-0006-0000-0100-000003000000}">
      <text>
        <r>
          <rPr>
            <b/>
            <sz val="9"/>
            <color indexed="81"/>
            <rFont val="Tahoma"/>
            <family val="2"/>
          </rPr>
          <t>Gladys Lizeth Acabal:</t>
        </r>
        <r>
          <rPr>
            <sz val="9"/>
            <color indexed="81"/>
            <rFont val="Tahoma"/>
            <family val="2"/>
          </rPr>
          <t xml:space="preserve">
incremento de salario en noviembre
en ENERO 2022 NUEVO INCREMENTO EN ORDINARIO DE 200</t>
        </r>
      </text>
    </comment>
    <comment ref="F152" authorId="2" shapeId="0" xr:uid="{00000000-0006-0000-0100-000004000000}">
      <text>
        <r>
          <rPr>
            <b/>
            <sz val="8"/>
            <color indexed="81"/>
            <rFont val="Tahoma"/>
            <family val="2"/>
          </rPr>
          <t>Mayra Pérez:</t>
        </r>
        <r>
          <rPr>
            <sz val="8"/>
            <color indexed="81"/>
            <rFont val="Tahoma"/>
            <family val="2"/>
          </rPr>
          <t xml:space="preserve">
bonificacion deQ3000.00 es por 6 meses en julio se confirma el cambio. 
Julio se modifico bonif a 1500</t>
        </r>
      </text>
    </comment>
    <comment ref="F159" authorId="3" shapeId="0" xr:uid="{00000000-0006-0000-0100-000005000000}">
      <text>
        <r>
          <rPr>
            <b/>
            <sz val="9"/>
            <color indexed="8"/>
            <rFont val="Tahoma"/>
            <family val="2"/>
          </rPr>
          <t>MX:
Pago de bono variable Q 7,000 bono decreto Q 250.00 mensual.  El bono variable se anticipa 75% cada mes al final del trimestre se evalua el resultado para determinar cuánto se le debe.</t>
        </r>
      </text>
    </comment>
    <comment ref="F160" authorId="3" shapeId="0" xr:uid="{00000000-0006-0000-0100-000006000000}">
      <text>
        <r>
          <rPr>
            <b/>
            <sz val="9"/>
            <color indexed="8"/>
            <rFont val="Tahoma"/>
            <family val="2"/>
          </rPr>
          <t>MX:
Pago de bono variable Q 7,000 bono decreto Q 250.00 mensual.  El bono variable se anticipa 75% cada mes al final del trimestre se evalua el resultado para determinar cuánto se le debe
NUEVAS CONDICIONES JULIO 2019
BONIF VARIABLE DE 2000SEGUN TABLA  FUERA DE NOMINA CON FACTURA  500 POR GAS Y 500 ADICIONALES POR CUMPLIMIENTO DE METAS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Alejandra Perez</author>
    <author>Iris Hernandez de Lemus</author>
  </authors>
  <commentList>
    <comment ref="F21" authorId="0" shapeId="0" xr:uid="{00000000-0006-0000-0200-000001000000}">
      <text>
        <r>
          <rPr>
            <b/>
            <sz val="9"/>
            <color indexed="81"/>
            <rFont val="Tahoma"/>
            <family val="2"/>
          </rPr>
          <t>Alejandra Perez:</t>
        </r>
        <r>
          <rPr>
            <sz val="9"/>
            <color indexed="81"/>
            <rFont val="Tahoma"/>
            <family val="2"/>
          </rPr>
          <t xml:space="preserve">
120 por depreciacion de vehiculo</t>
        </r>
      </text>
    </comment>
    <comment ref="Q21" authorId="0" shapeId="0" xr:uid="{00000000-0006-0000-0200-000002000000}">
      <text>
        <r>
          <rPr>
            <b/>
            <sz val="9"/>
            <color indexed="81"/>
            <rFont val="Tahoma"/>
            <family val="2"/>
          </rPr>
          <t>Alejandra Perez:</t>
        </r>
        <r>
          <rPr>
            <sz val="9"/>
            <color indexed="81"/>
            <rFont val="Tahoma"/>
            <family val="2"/>
          </rPr>
          <t xml:space="preserve">
120 por depreciacion de vehiculo</t>
        </r>
      </text>
    </comment>
    <comment ref="E121" authorId="1" shapeId="0" xr:uid="{00000000-0006-0000-0200-000003000000}">
      <text>
        <r>
          <rPr>
            <b/>
            <sz val="9"/>
            <color indexed="81"/>
            <rFont val="Tahoma"/>
            <family val="2"/>
          </rPr>
          <t>Iris Hernandez de Lemus:</t>
        </r>
        <r>
          <rPr>
            <sz val="9"/>
            <color indexed="81"/>
            <rFont val="Tahoma"/>
            <family val="2"/>
          </rPr>
          <t xml:space="preserve">
Mantiene el salario Mínimo nuevo Q 2,825.10 + 40.87 que tiene como diferencia al resto de posiciones.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Alejandra Perez</author>
    <author>Mayra Alejandra Pérez</author>
  </authors>
  <commentList>
    <comment ref="F19" authorId="0" shapeId="0" xr:uid="{13681A0F-1A4A-4CC0-BB73-B3D2E7B0F3E1}">
      <text>
        <r>
          <rPr>
            <b/>
            <sz val="9"/>
            <color indexed="81"/>
            <rFont val="Tahoma"/>
            <family val="2"/>
          </rPr>
          <t>Alejandra Perez:</t>
        </r>
        <r>
          <rPr>
            <sz val="9"/>
            <color indexed="81"/>
            <rFont val="Tahoma"/>
            <family val="2"/>
          </rPr>
          <t xml:space="preserve">
120 por depreciacion de vehiculo</t>
        </r>
      </text>
    </comment>
    <comment ref="S19" authorId="0" shapeId="0" xr:uid="{B94FB299-36C5-4DD9-A672-1DBFDBFAF061}">
      <text>
        <r>
          <rPr>
            <b/>
            <sz val="9"/>
            <color indexed="81"/>
            <rFont val="Tahoma"/>
            <family val="2"/>
          </rPr>
          <t>Alejandra Perez:</t>
        </r>
        <r>
          <rPr>
            <sz val="9"/>
            <color indexed="81"/>
            <rFont val="Tahoma"/>
            <family val="2"/>
          </rPr>
          <t xml:space="preserve">
120 por depreciacion de vehiculo</t>
        </r>
      </text>
    </comment>
    <comment ref="G25" authorId="1" shapeId="0" xr:uid="{DE133D63-C04C-4F47-914A-48CB4D47F15E}">
      <text>
        <r>
          <rPr>
            <b/>
            <sz val="9"/>
            <color indexed="81"/>
            <rFont val="Tahoma"/>
            <family val="2"/>
          </rPr>
          <t>Mayra Alejandra Pérez:</t>
        </r>
        <r>
          <rPr>
            <sz val="9"/>
            <color indexed="81"/>
            <rFont val="Tahoma"/>
            <family val="2"/>
          </rPr>
          <t xml:space="preserve">
incremento de 400 despues de 2 meses de prueba  preautorizado</t>
        </r>
      </text>
    </comment>
    <comment ref="T25" authorId="1" shapeId="0" xr:uid="{2DAD0F83-E761-4018-B6E8-399BA1F46F73}">
      <text>
        <r>
          <rPr>
            <b/>
            <sz val="9"/>
            <color indexed="81"/>
            <rFont val="Tahoma"/>
            <family val="2"/>
          </rPr>
          <t>Mayra Alejandra Pérez:</t>
        </r>
        <r>
          <rPr>
            <sz val="9"/>
            <color indexed="81"/>
            <rFont val="Tahoma"/>
            <family val="2"/>
          </rPr>
          <t xml:space="preserve">
incremento de 400 despues de 2 meses de prueba  preautorizado</t>
        </r>
      </text>
    </comment>
    <comment ref="F80" authorId="1" shapeId="0" xr:uid="{D3E0193A-C6D0-4BA7-9E05-AA11F4E05DBC}">
      <text>
        <r>
          <rPr>
            <b/>
            <sz val="9"/>
            <color indexed="81"/>
            <rFont val="Tahoma"/>
            <family val="2"/>
          </rPr>
          <t xml:space="preserve">Mayra Alejandra Pérez:
despues del 3er mes incremento a bonif de Q.359.24 ingreso en noviembre </t>
        </r>
      </text>
    </comment>
    <comment ref="S80" authorId="1" shapeId="0" xr:uid="{02434E6B-5E72-4029-933F-0A2876517A7A}">
      <text>
        <r>
          <rPr>
            <b/>
            <sz val="9"/>
            <color indexed="81"/>
            <rFont val="Tahoma"/>
            <family val="2"/>
          </rPr>
          <t xml:space="preserve">Mayra Alejandra Pérez:
despues del 3er mes incremento a bonif de Q.359.24 ingreso en noviembre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Mayra Alejandra Pérez</author>
  </authors>
  <commentList>
    <comment ref="H42" authorId="0" shapeId="0" xr:uid="{6F0139A6-827C-4113-847F-7E0C11BC3A78}">
      <text>
        <r>
          <rPr>
            <b/>
            <sz val="9"/>
            <color indexed="81"/>
            <rFont val="Tahoma"/>
            <family val="2"/>
          </rPr>
          <t>Mayra Alejandra Pérez:</t>
        </r>
        <r>
          <rPr>
            <sz val="9"/>
            <color indexed="81"/>
            <rFont val="Tahoma"/>
            <family val="2"/>
          </rPr>
          <t xml:space="preserve">
incremento de 400 despues de 2 meses de prueba  preautorizado</t>
        </r>
      </text>
    </comment>
    <comment ref="G58" authorId="0" shapeId="0" xr:uid="{54858EBE-2BBF-43D5-9EB2-F83024B0B9C1}">
      <text>
        <r>
          <rPr>
            <b/>
            <sz val="9"/>
            <color indexed="81"/>
            <rFont val="Tahoma"/>
            <family val="2"/>
          </rPr>
          <t xml:space="preserve">Mayra Alejandra Pérez:
despues del 3er mes incremento a bonif de Q.359.24 ingreso en noviembre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Gladys Lizeth Acabal</author>
  </authors>
  <commentList>
    <comment ref="P35" authorId="0" shapeId="0" xr:uid="{00000000-0006-0000-0400-000001000000}">
      <text>
        <r>
          <rPr>
            <b/>
            <sz val="9"/>
            <color indexed="81"/>
            <rFont val="Tahoma"/>
            <family val="2"/>
          </rPr>
          <t>Gladys Lizeth Acabal:</t>
        </r>
        <r>
          <rPr>
            <sz val="9"/>
            <color indexed="81"/>
            <rFont val="Tahoma"/>
            <family val="2"/>
          </rPr>
          <t xml:space="preserve">
Jubilado 3%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Alejandra Perez</author>
  </authors>
  <commentList>
    <comment ref="AA9" authorId="0" shapeId="0" xr:uid="{00000000-0006-0000-0800-000001000000}">
      <text>
        <r>
          <rPr>
            <b/>
            <sz val="9"/>
            <color indexed="81"/>
            <rFont val="Tahoma"/>
            <family val="2"/>
          </rPr>
          <t>Alejandra Perez:</t>
        </r>
        <r>
          <rPr>
            <sz val="9"/>
            <color indexed="81"/>
            <rFont val="Tahoma"/>
            <family val="2"/>
          </rPr>
          <t xml:space="preserve">
pago total solo a fin de mes</t>
        </r>
      </text>
    </comment>
  </commentList>
</comments>
</file>

<file path=xl/sharedStrings.xml><?xml version="1.0" encoding="utf-8"?>
<sst xmlns="http://schemas.openxmlformats.org/spreadsheetml/2006/main" count="4412" uniqueCount="884">
  <si>
    <t>DISTRIBUCION DE PERSONAL Y COSTO POR EMPRESA</t>
  </si>
  <si>
    <t>DISTRIBUCION DE EMPLEADOS</t>
  </si>
  <si>
    <t>NOMINAS SEGÚN DISTRIBUCION REAL</t>
  </si>
  <si>
    <t>NOMINAS SEGÚN DISTRIBUCION CONTABILIDAD</t>
  </si>
  <si>
    <t>HORAS EXTRAS PROQUIMA</t>
  </si>
  <si>
    <t>HORAS EXTRAS UNHESA</t>
  </si>
  <si>
    <t>HORAS EXTRAS UNHESA LIQUIDOS</t>
  </si>
  <si>
    <t>HORAS EXTRAS ECONACIONAL</t>
  </si>
  <si>
    <t>HORAS EXTRAS PROQUIMA MAQUILA</t>
  </si>
  <si>
    <t>COMISIONES</t>
  </si>
  <si>
    <t>PROQUIMA</t>
  </si>
  <si>
    <t>UNHESA</t>
  </si>
  <si>
    <t>UNHESA LIQUIDOS</t>
  </si>
  <si>
    <t>ECONACIONAL</t>
  </si>
  <si>
    <t>EGRESOS MENSUALES</t>
  </si>
  <si>
    <t>EGRESOS</t>
  </si>
  <si>
    <t>DISTRIBUCION REAL</t>
  </si>
  <si>
    <t>Salario</t>
  </si>
  <si>
    <t>Bono</t>
  </si>
  <si>
    <t xml:space="preserve">Total </t>
  </si>
  <si>
    <t>%</t>
  </si>
  <si>
    <t>% Unhesa</t>
  </si>
  <si>
    <t>Observaciones</t>
  </si>
  <si>
    <t>H.E. Simples</t>
  </si>
  <si>
    <t>H.E. Dobles</t>
  </si>
  <si>
    <t>Otrros ingresos</t>
  </si>
  <si>
    <t>cantidad</t>
  </si>
  <si>
    <t xml:space="preserve">Hrs. Extra </t>
  </si>
  <si>
    <t>Comis /</t>
  </si>
  <si>
    <t>Cuota</t>
  </si>
  <si>
    <t>Nueva</t>
  </si>
  <si>
    <t>ISR</t>
  </si>
  <si>
    <t>CELULAR</t>
  </si>
  <si>
    <t>CAFETERIA</t>
  </si>
  <si>
    <t>CALZADO</t>
  </si>
  <si>
    <t>UNIFORME</t>
  </si>
  <si>
    <t>OTROS EGRESOS</t>
  </si>
  <si>
    <t>Nombre</t>
  </si>
  <si>
    <t>Puesto</t>
  </si>
  <si>
    <t>Ordinario</t>
  </si>
  <si>
    <t>Decreto</t>
  </si>
  <si>
    <t>Proquima</t>
  </si>
  <si>
    <t>Unhesa</t>
  </si>
  <si>
    <t>Econacional</t>
  </si>
  <si>
    <t>Cantidad</t>
  </si>
  <si>
    <t>Valor</t>
  </si>
  <si>
    <t>simples</t>
  </si>
  <si>
    <t>dobles</t>
  </si>
  <si>
    <t>Otros</t>
  </si>
  <si>
    <t>Patronal</t>
  </si>
  <si>
    <t>Empresa</t>
  </si>
  <si>
    <t>Calidul</t>
  </si>
  <si>
    <t>Cleartec</t>
  </si>
  <si>
    <t>AREA ADMINISTRATIVA</t>
  </si>
  <si>
    <t xml:space="preserve"> </t>
  </si>
  <si>
    <t>cional</t>
  </si>
  <si>
    <t>PRESIDENCIA</t>
  </si>
  <si>
    <t>Presidente</t>
  </si>
  <si>
    <t>Piloto</t>
  </si>
  <si>
    <t>Asistente de Gerencia General</t>
  </si>
  <si>
    <t>Estrada Robles, Juan Pablo1</t>
  </si>
  <si>
    <t>Total Presidencia</t>
  </si>
  <si>
    <t>ADMINISTRATIVO</t>
  </si>
  <si>
    <t>Piloto de Presidencia</t>
  </si>
  <si>
    <t>Conserje</t>
  </si>
  <si>
    <t>conserje</t>
  </si>
  <si>
    <t>Mensajero</t>
  </si>
  <si>
    <t>Total Administrativo</t>
  </si>
  <si>
    <t>CONTABILIDAD Y FINANZAS</t>
  </si>
  <si>
    <t>Contador General</t>
  </si>
  <si>
    <t>Auxiliar Contable</t>
  </si>
  <si>
    <t>Auditor interno</t>
  </si>
  <si>
    <t>Total Contabilidad y Finanzas</t>
  </si>
  <si>
    <t>INVESTIGACION Y DESARROLLO</t>
  </si>
  <si>
    <t>Investigación y Desarrollo</t>
  </si>
  <si>
    <t>TotaL Investigacion y desarrollo</t>
  </si>
  <si>
    <t>CONTROL DE CALIDAD</t>
  </si>
  <si>
    <t>Cano Lopez Consuelo Iliana</t>
  </si>
  <si>
    <t>TotaL Control de Calidad</t>
  </si>
  <si>
    <t>INFORMATICA</t>
  </si>
  <si>
    <t>Jefe de Informática</t>
  </si>
  <si>
    <t>RECURSOS HUMANOS</t>
  </si>
  <si>
    <t>Jefe de Recursos Humanos</t>
  </si>
  <si>
    <t>TotaL Recursos Humanos</t>
  </si>
  <si>
    <t>Total AREA ADMINISTRATIVA</t>
  </si>
  <si>
    <t>AREA DE OPERACIONES</t>
  </si>
  <si>
    <t>COMPRAS, IMPORTACIONES Y EXPORTACIONES</t>
  </si>
  <si>
    <t>Asistente de Compras</t>
  </si>
  <si>
    <t>Total Compras e importaciones</t>
  </si>
  <si>
    <t>PRODUCCION</t>
  </si>
  <si>
    <t>DIRECCION</t>
  </si>
  <si>
    <t>Gerente de Operaciones</t>
  </si>
  <si>
    <t>Chanta Bautista, Karlss Heberth</t>
  </si>
  <si>
    <t>Empacadora</t>
  </si>
  <si>
    <t>Operario</t>
  </si>
  <si>
    <t>Gomez Perez, Gerber Saul</t>
  </si>
  <si>
    <t>Total Unhesa</t>
  </si>
  <si>
    <t>Total Proquima</t>
  </si>
  <si>
    <t>Mendoza, Jennifer Viviana</t>
  </si>
  <si>
    <t>Paz Lopez, Jose Ignacio</t>
  </si>
  <si>
    <t>Garrido Aguilar, Maria Elena</t>
  </si>
  <si>
    <t>Lajon Puac, Osmen Gudiel</t>
  </si>
  <si>
    <t>Chavez Sanchez, Federico Wuinebaldo</t>
  </si>
  <si>
    <t>Orellana Gonzalez, Francisco Javier</t>
  </si>
  <si>
    <t>LOGISTICA</t>
  </si>
  <si>
    <t>BODEGA DE PRODUCTO TERMINADO</t>
  </si>
  <si>
    <t>Rodas Morales Rony Alfonso</t>
  </si>
  <si>
    <t>Coordinador bodegas</t>
  </si>
  <si>
    <t>Operador de montacargas</t>
  </si>
  <si>
    <t>Jacinto Aguilar, Kevin Alexander</t>
  </si>
  <si>
    <t>Total BPT</t>
  </si>
  <si>
    <t>BOEDGA MATERIA PRIMA</t>
  </si>
  <si>
    <t>Auxiliar de Bodega</t>
  </si>
  <si>
    <t>Total BMP</t>
  </si>
  <si>
    <t>Total Logística</t>
  </si>
  <si>
    <t>MANTENIMIENTO</t>
  </si>
  <si>
    <t>Mecánico</t>
  </si>
  <si>
    <t>Mantenimiento</t>
  </si>
  <si>
    <t>TotaL Mantenimiento</t>
  </si>
  <si>
    <t>TOTAL AREA OPERACIONES</t>
  </si>
  <si>
    <t>AREA COMERCIALIZACIÓN</t>
  </si>
  <si>
    <t>VENTAS PROQUIMA</t>
  </si>
  <si>
    <t>Total Admón. Comercialización</t>
  </si>
  <si>
    <t>Total Asesores</t>
  </si>
  <si>
    <t>Total Dvisión Proquima</t>
  </si>
  <si>
    <t>División Filtración</t>
  </si>
  <si>
    <t>VENTAS UNHESA</t>
  </si>
  <si>
    <t>Divisió Polvos</t>
  </si>
  <si>
    <t>Ventas Ruta 5</t>
  </si>
  <si>
    <t>Samayoa Romero, Maria Antonia</t>
  </si>
  <si>
    <t>Ventas Ruta 6</t>
  </si>
  <si>
    <t>Total Ruta 6</t>
  </si>
  <si>
    <t>Ventas Ruta 7</t>
  </si>
  <si>
    <t>Vendedor Mayorista</t>
  </si>
  <si>
    <t>MERCADEO</t>
  </si>
  <si>
    <t>Mercadeo Ruta 1</t>
  </si>
  <si>
    <t>Sagastume Garcia, Evelin Yolibet</t>
  </si>
  <si>
    <t>Total Mercadeo</t>
  </si>
  <si>
    <t>División Líquidos</t>
  </si>
  <si>
    <t>TOTAL AREA COMERCIALIZACION</t>
  </si>
  <si>
    <t>TOTAL GENERAL</t>
  </si>
  <si>
    <t>Cuadre de Horas Extras</t>
  </si>
  <si>
    <t>Verifiacion 1) CONCILIACION ENTRE HOJA DE DISTRIBUCION Y NOMINAS INDIVIDUALES</t>
  </si>
  <si>
    <t>diurna</t>
  </si>
  <si>
    <t>nocturna</t>
  </si>
  <si>
    <t xml:space="preserve">logistica diurnas </t>
  </si>
  <si>
    <t>Total</t>
  </si>
  <si>
    <t>Contabilidad y Finanzas</t>
  </si>
  <si>
    <t>Nomina según hojra de distribucion</t>
  </si>
  <si>
    <t>investigacion y desarrollo diurnas</t>
  </si>
  <si>
    <t>Nomina individuale por empresa</t>
  </si>
  <si>
    <t>produccion nomina</t>
  </si>
  <si>
    <t>Variaciones</t>
  </si>
  <si>
    <t>Horas ingreso manual</t>
  </si>
  <si>
    <t>Horas según distribucion</t>
  </si>
  <si>
    <t>Variacion</t>
  </si>
  <si>
    <t>Verificacion 2) CONCILIACION HOJA DE DISTRIBUCION</t>
  </si>
  <si>
    <t>DISTRICUBION ASIGNACION REAL</t>
  </si>
  <si>
    <t>Distribu.</t>
  </si>
  <si>
    <t>Proq. Maquila</t>
  </si>
  <si>
    <t>Unhesa Liq.</t>
  </si>
  <si>
    <t>Econaciona</t>
  </si>
  <si>
    <t>por %</t>
  </si>
  <si>
    <t>ORDINARIO</t>
  </si>
  <si>
    <t>BONO DECRETO</t>
  </si>
  <si>
    <t>EXTRAORDINARIO</t>
  </si>
  <si>
    <t>CUARDOS PARA DETERMINAR VARIACIONES ENTRE GASTO REAL VERSUS GASTO CONTABILAZADO</t>
  </si>
  <si>
    <t>TOTALES</t>
  </si>
  <si>
    <t>Resumen Gasto Real</t>
  </si>
  <si>
    <t>Unhesa liqui.</t>
  </si>
  <si>
    <t>Presidencia</t>
  </si>
  <si>
    <t>Admnistrativo</t>
  </si>
  <si>
    <t>Contabilidad</t>
  </si>
  <si>
    <t>lnvestigacion y desarrollo</t>
  </si>
  <si>
    <t>Control de calidad</t>
  </si>
  <si>
    <t>Informatica</t>
  </si>
  <si>
    <t>Recursos Humanos</t>
  </si>
  <si>
    <t>Compras</t>
  </si>
  <si>
    <t>Producción</t>
  </si>
  <si>
    <t>Producción 29-89</t>
  </si>
  <si>
    <t>Logistica</t>
  </si>
  <si>
    <t>Admon Comercializacion</t>
  </si>
  <si>
    <t>Negocios 2 Leslie Samayoa</t>
  </si>
  <si>
    <t>Negocios 5 Sabrina Santos</t>
  </si>
  <si>
    <t>Negocios 6 Rodolfo Araujo</t>
  </si>
  <si>
    <t>Negocios 8 Brenda Cosillo</t>
  </si>
  <si>
    <t>Ventas Filtracion</t>
  </si>
  <si>
    <t>Ventas Ruta1</t>
  </si>
  <si>
    <t>Ventas Ruta4</t>
  </si>
  <si>
    <t>Ventas Ruta6</t>
  </si>
  <si>
    <t>Ventas Ruta7</t>
  </si>
  <si>
    <t>Ventas Ruta8</t>
  </si>
  <si>
    <t>Mercadeo</t>
  </si>
  <si>
    <t>Totales</t>
  </si>
  <si>
    <t>Variacion contra hoja distribucion</t>
  </si>
  <si>
    <t>Resumen Gastos contabilidad</t>
  </si>
  <si>
    <t>INTEGRACION DE VARIACIONES PARA REGISTRO DE GASTOS REALES</t>
  </si>
  <si>
    <t>Variacion a facturar entre compañias</t>
  </si>
  <si>
    <t>*Nota: los valores en positivo significa que se cargo gasto de mas y lo negativos se dejo de cargar gasto</t>
  </si>
  <si>
    <t>3) VERIFIACION ENTRE NOMINA REAL Y CONTABLE</t>
  </si>
  <si>
    <t>Planillas según Distribucion Real</t>
  </si>
  <si>
    <t>Planillas según Contable</t>
  </si>
  <si>
    <t>BASE</t>
  </si>
  <si>
    <t>IVA</t>
  </si>
  <si>
    <t>TOTAL</t>
  </si>
  <si>
    <t xml:space="preserve">  </t>
  </si>
  <si>
    <t>PROQUIMA, S.A.</t>
  </si>
  <si>
    <t>No.</t>
  </si>
  <si>
    <t>Salario afecto al IGSS</t>
  </si>
  <si>
    <t>Dias laborados</t>
  </si>
  <si>
    <t>REF.</t>
  </si>
  <si>
    <t xml:space="preserve">Salario Ordinario </t>
  </si>
  <si>
    <t>Bonificacion incentivo decreto 37-2001 y 78-89</t>
  </si>
  <si>
    <t>Total devengado</t>
  </si>
  <si>
    <t>Horas Simples</t>
  </si>
  <si>
    <t>Valor Hora E. Simple</t>
  </si>
  <si>
    <t>Horas Dobles</t>
  </si>
  <si>
    <t>Valor Hora E. Doble</t>
  </si>
  <si>
    <t>otros ingresos</t>
  </si>
  <si>
    <t>Salario Total</t>
  </si>
  <si>
    <t>IGSS</t>
  </si>
  <si>
    <t>Celular</t>
  </si>
  <si>
    <t>Otros egresos</t>
  </si>
  <si>
    <t>Total Egresos</t>
  </si>
  <si>
    <t>Liquido a Recibir</t>
  </si>
  <si>
    <t>Primera Quincena</t>
  </si>
  <si>
    <t>Segunda Quincena</t>
  </si>
  <si>
    <t>Administración</t>
  </si>
  <si>
    <t>Investigacion y Desarrollo</t>
  </si>
  <si>
    <t>Control y Calidad</t>
  </si>
  <si>
    <t>AREA OPERACIONES</t>
  </si>
  <si>
    <t>Compras e importaciones</t>
  </si>
  <si>
    <t>Produccion</t>
  </si>
  <si>
    <t>Dirección</t>
  </si>
  <si>
    <t>TOTAL PRODUCCION</t>
  </si>
  <si>
    <t>TOTAL LOGISTICA</t>
  </si>
  <si>
    <t>AREA DE COMERCIALIZACION</t>
  </si>
  <si>
    <t>DIVISION PROQUIMA</t>
  </si>
  <si>
    <t>RESUMEN DE NOMINA PARA COMPARAR CON HOJA DE DISTRICUCION</t>
  </si>
  <si>
    <t>BONIFICACION</t>
  </si>
  <si>
    <t>NOMBRE EN NOMINA</t>
  </si>
  <si>
    <t>NUMERO DE CUENTA</t>
  </si>
  <si>
    <t>NOMBRE EN BANCO</t>
  </si>
  <si>
    <t>puesto</t>
  </si>
  <si>
    <t>Salario ordinario</t>
  </si>
  <si>
    <t>bono</t>
  </si>
  <si>
    <t>horas simples</t>
  </si>
  <si>
    <t>total  horas simples</t>
  </si>
  <si>
    <t>horas dobles</t>
  </si>
  <si>
    <t>total horas dobles</t>
  </si>
  <si>
    <t>total ingresos</t>
  </si>
  <si>
    <t>igss</t>
  </si>
  <si>
    <t>isr</t>
  </si>
  <si>
    <t>bantrab</t>
  </si>
  <si>
    <t>celular</t>
  </si>
  <si>
    <t>otros egresos</t>
  </si>
  <si>
    <t>total egresos</t>
  </si>
  <si>
    <t>primera quincena</t>
  </si>
  <si>
    <t>segunda quincena</t>
  </si>
  <si>
    <t>NUMERO DE AFILIACION</t>
  </si>
  <si>
    <t>SALARIO AFECTO A IGSS</t>
  </si>
  <si>
    <t>Consuelo Iliana Cano Lopez</t>
  </si>
  <si>
    <t>CHEQUE</t>
  </si>
  <si>
    <t>Nomina</t>
  </si>
  <si>
    <t>Banco</t>
  </si>
  <si>
    <t>cuenta</t>
  </si>
  <si>
    <t>cheque</t>
  </si>
  <si>
    <t>Rax Yat, Selvin Estuardo</t>
  </si>
  <si>
    <t>Selvin Estuardo Rax Yat</t>
  </si>
  <si>
    <t>0147036445</t>
  </si>
  <si>
    <t>Federico Wuinebaldo Chavez Sanchez</t>
  </si>
  <si>
    <t>Perez Morales, Luis Israel</t>
  </si>
  <si>
    <t>Luis Israel Perez Morales</t>
  </si>
  <si>
    <t>Kevin Alexander Jacinto Aguilar</t>
  </si>
  <si>
    <t>Jennifer Viviana Mendoza</t>
  </si>
  <si>
    <t>Pineda Macal, Cruz Antonio</t>
  </si>
  <si>
    <t>Cruz Antonio Pineda Macal</t>
  </si>
  <si>
    <t>Maria Antonia Samayoa Romero</t>
  </si>
  <si>
    <t>Karlss Heberth Chanta Bautista</t>
  </si>
  <si>
    <t>Castellanos Barillas, Felix Alberto</t>
  </si>
  <si>
    <t>Felix Alberto Castellanos Barillas</t>
  </si>
  <si>
    <t>Evelin Yolibet Sagastume Garcia</t>
  </si>
  <si>
    <t>Gerber Saul Gomez Perez</t>
  </si>
  <si>
    <t>Guamuche Lopez, Alexander</t>
  </si>
  <si>
    <t>Alexander Guamuche Lopez</t>
  </si>
  <si>
    <t>Espinal, Erick Oswaldo</t>
  </si>
  <si>
    <t>Erick Oswaldo Espinal</t>
  </si>
  <si>
    <t>Alvarez Lopez, Osmin Alexander</t>
  </si>
  <si>
    <t>Osmin Alexander Alvarez Lopez</t>
  </si>
  <si>
    <t>Revolorio Lastro, Maycol Alfredo</t>
  </si>
  <si>
    <t>Maycol Alfredo Revolorio Lastro</t>
  </si>
  <si>
    <t>Molina Revolorio, Luis Antonio</t>
  </si>
  <si>
    <t>Luis Antonio Molina Revolorio</t>
  </si>
  <si>
    <t>Agustin Lopez, Sergio</t>
  </si>
  <si>
    <t xml:space="preserve"> Sergio Agustin Lopez</t>
  </si>
  <si>
    <t>Melgar Cruz, Christian Armando</t>
  </si>
  <si>
    <t>Christian Armando Melgar Cruz</t>
  </si>
  <si>
    <t>Caal Mo, Mario Esteban</t>
  </si>
  <si>
    <t>Mario Esteban Caal Mo</t>
  </si>
  <si>
    <t>Juan Pablo Estrada Robles</t>
  </si>
  <si>
    <t>Cheque</t>
  </si>
  <si>
    <t>Lopez Marroquin, Carlos Reyes</t>
  </si>
  <si>
    <t>Lopez Gudiel, Elgin Evelio</t>
  </si>
  <si>
    <t xml:space="preserve">Elgin Evelio Lopez Gudiel </t>
  </si>
  <si>
    <t>Lastro, Marco Antonio</t>
  </si>
  <si>
    <t>Marco Antonio Lastro</t>
  </si>
  <si>
    <t>Tecún Sican, Santiago</t>
  </si>
  <si>
    <t>Santiago Tecun Sican</t>
  </si>
  <si>
    <t>Escobar, Kewin Alexander</t>
  </si>
  <si>
    <t>Kewin Alexander Escobar</t>
  </si>
  <si>
    <t xml:space="preserve">Maria Elena Garrido Aguilar </t>
  </si>
  <si>
    <t>NOMBRE</t>
  </si>
  <si>
    <t>PUESTO</t>
  </si>
  <si>
    <t>VALOR</t>
  </si>
  <si>
    <t>OBSERVACIONES</t>
  </si>
  <si>
    <t>UNION HERMANOS, S.A.</t>
  </si>
  <si>
    <t>Comisiones</t>
  </si>
  <si>
    <t xml:space="preserve">UNIFORME </t>
  </si>
  <si>
    <t xml:space="preserve">Otros </t>
  </si>
  <si>
    <t>BODEGA MATERIA PRIMA</t>
  </si>
  <si>
    <t>Ventas Unhesa</t>
  </si>
  <si>
    <t>DIVISION POLVOS</t>
  </si>
  <si>
    <t>NOMRE EN NOMINA</t>
  </si>
  <si>
    <t>LIQUIDO A RECIBIR</t>
  </si>
  <si>
    <t>PRIMERA QUINCENA</t>
  </si>
  <si>
    <t>SEGUNDA QUINCENA</t>
  </si>
  <si>
    <t>Reyes Corado, Madelin Isamar</t>
  </si>
  <si>
    <t>Madelin Isamar Reyes Corado</t>
  </si>
  <si>
    <t>Aguilar Carrera, Maria Karina</t>
  </si>
  <si>
    <t xml:space="preserve"> Maria Karina Aguilar Carrera</t>
  </si>
  <si>
    <t>Carlos Reyes Lopez Marroquin</t>
  </si>
  <si>
    <t>Carpio Gonzalez, Ronald Augusto</t>
  </si>
  <si>
    <t>ECONACIONAL, S.A.</t>
  </si>
  <si>
    <t>Jose Ignacio Paz Lopez</t>
  </si>
  <si>
    <t>Mejia Molina, Ederson David</t>
  </si>
  <si>
    <t>Ederson David Mejia Molina</t>
  </si>
  <si>
    <t>Bravo De Leon, Duyi Evelin</t>
  </si>
  <si>
    <t>Duyi Evelin Bravo de Leon</t>
  </si>
  <si>
    <t>Osmen Gudiel Lajon Puac</t>
  </si>
  <si>
    <t>Martinez Guzman, Edin Arnoldo</t>
  </si>
  <si>
    <t>Edin Arnoldo Martinez Guzman</t>
  </si>
  <si>
    <t>Lopez Ricac, Dorcas Noemi</t>
  </si>
  <si>
    <t>Dorcas Noemi Lopez Ricac</t>
  </si>
  <si>
    <t>Hernandez Sanchez, Jose Nery</t>
  </si>
  <si>
    <t>Jose Nery Hernandez Sanchez</t>
  </si>
  <si>
    <t>Francisco Javier Orellana Gonzalez</t>
  </si>
  <si>
    <t>Solorzano Ajanel, Nelson Omar</t>
  </si>
  <si>
    <t>Nelson Omar Solorzano Ajanel</t>
  </si>
  <si>
    <t>Col Escobar, Jorge Luis</t>
  </si>
  <si>
    <t>Jorge Luis Col Escobar</t>
  </si>
  <si>
    <t>Xol Xol, Pedro Alfonso</t>
  </si>
  <si>
    <t>Pedro Alfonso Xol Xol</t>
  </si>
  <si>
    <t>Morales Pineda, Christiam Alexis</t>
  </si>
  <si>
    <t>Christiam Alexis Morales Pineda</t>
  </si>
  <si>
    <t>Hernandez, Shearly Amarelly</t>
  </si>
  <si>
    <t>Shearly Amarelly Hernandez</t>
  </si>
  <si>
    <t>Chom Panjoj, Isaias</t>
  </si>
  <si>
    <t>Isaias Chom Panjoj</t>
  </si>
  <si>
    <t>Alvarez Pineda, Brenda Johanna</t>
  </si>
  <si>
    <t>Brenda Johanna Alvarez Pineda</t>
  </si>
  <si>
    <t>Chun Lopez, Lesly Siomara</t>
  </si>
  <si>
    <t>Lesly Siomara Chun Lopez</t>
  </si>
  <si>
    <t>Ixcoy Morales, Carlos Augusto</t>
  </si>
  <si>
    <t>Carlos Augusto Ixcoy Morales</t>
  </si>
  <si>
    <t>Guarcas Castillo, Fernando Adolfo</t>
  </si>
  <si>
    <t>Fernando Adolfo Guarcas Castillo</t>
  </si>
  <si>
    <t>Franco Mazariegos, Jorge Luis</t>
  </si>
  <si>
    <t>Jorge Luis Franco Mazariegos</t>
  </si>
  <si>
    <t xml:space="preserve"> Ronald Augusto Carpio Gonzalez </t>
  </si>
  <si>
    <t>Ramirez Godoy, Boris Idanny</t>
  </si>
  <si>
    <t>Boris Idanny Ramirez Godoy</t>
  </si>
  <si>
    <t>Juan Pablo Estrada Robles,</t>
  </si>
  <si>
    <t>no aplica</t>
  </si>
  <si>
    <t>Hernandez Garcia, Reuyeris</t>
  </si>
  <si>
    <t>Reuyeris Hernandez Garcia</t>
  </si>
  <si>
    <t>.</t>
  </si>
  <si>
    <t>Gerente Financiero</t>
  </si>
  <si>
    <t>Encargado de Proveeduria</t>
  </si>
  <si>
    <t>Xol Botzoc Hermelindo</t>
  </si>
  <si>
    <t>Asistente de Control de Calidad</t>
  </si>
  <si>
    <t>Auxiliar de Piloto</t>
  </si>
  <si>
    <t>ECOMEZCLAS</t>
  </si>
  <si>
    <t>Total Unhesa Liquidos</t>
  </si>
  <si>
    <t>PROQUMA</t>
  </si>
  <si>
    <t>Total Ruta 5</t>
  </si>
  <si>
    <t>Mercadero Ruta 1</t>
  </si>
  <si>
    <t>Mercadeo Ruta 6</t>
  </si>
  <si>
    <t>bodega de producto terminado</t>
  </si>
  <si>
    <t xml:space="preserve">REAL </t>
  </si>
  <si>
    <t>simples Q</t>
  </si>
  <si>
    <t>dobles Q</t>
  </si>
  <si>
    <t>División Proquima Asesores</t>
  </si>
  <si>
    <t>CONTABLE</t>
  </si>
  <si>
    <t>AJUSTE VÍA FACTURA / SERVICIOS RRHH</t>
  </si>
  <si>
    <t>DETERMINACIÓN / RESUMEN FACTURACIÓN</t>
  </si>
  <si>
    <t>UNHESA LIQUIDO</t>
  </si>
  <si>
    <t>Mercadeo Ruta 2</t>
  </si>
  <si>
    <t>Mercadeo Ruta 3</t>
  </si>
  <si>
    <t>Total Mercadeo Ruta 3</t>
  </si>
  <si>
    <t>BLOQUE LIQUIDOS</t>
  </si>
  <si>
    <t>LIQUIDOS PRODUCCION</t>
  </si>
  <si>
    <t>LIQUIDOS MERCADEO</t>
  </si>
  <si>
    <t>LIQUIDOS VENTAS</t>
  </si>
  <si>
    <t>TOTAL LIQUIDOS</t>
  </si>
  <si>
    <t/>
  </si>
  <si>
    <t xml:space="preserve">                         </t>
  </si>
  <si>
    <t>Ventas liquidos</t>
  </si>
  <si>
    <t>Mercadeo liquidos</t>
  </si>
  <si>
    <t>Mercadero Ruta 2</t>
  </si>
  <si>
    <t>Mercadero Ruta 3</t>
  </si>
  <si>
    <t>Erik Nordyn Flores Flores</t>
  </si>
  <si>
    <t>Otros ingresos</t>
  </si>
  <si>
    <t>Asistente  Juridico</t>
  </si>
  <si>
    <t>Juan Pablo Tortola Cal</t>
  </si>
  <si>
    <t xml:space="preserve">Asesor   </t>
  </si>
  <si>
    <t>Desarrollador de Vta consumidor</t>
  </si>
  <si>
    <t>Juan Wilberto Cortez Cisnros</t>
  </si>
  <si>
    <t>Luis Fernando Ibarra Martinez</t>
  </si>
  <si>
    <t>PRODUCCION LIMPIEZA</t>
  </si>
  <si>
    <t>Auxiliar de Limpieza</t>
  </si>
  <si>
    <t>Total Limpieza</t>
  </si>
  <si>
    <t>TOTAL OPERACIONES</t>
  </si>
  <si>
    <t>LIMPIEZA PRODUCCION</t>
  </si>
  <si>
    <t>EMITIR FACTURAS DE:</t>
  </si>
  <si>
    <t>Jose Luis Zurdo Morales</t>
  </si>
  <si>
    <t>Victor Manuel Tije Pocon</t>
  </si>
  <si>
    <t>Lopez de Lopez Angelica Elizabeth</t>
  </si>
  <si>
    <t>Sergio Baudilio Ac Lopez</t>
  </si>
  <si>
    <t>Enrique Lopez Cortez</t>
  </si>
  <si>
    <t>LIQUIDOS VENTAS (Desarrolladores de Negocios)</t>
  </si>
  <si>
    <t>Gerente Comercial</t>
  </si>
  <si>
    <t>Total Informatica</t>
  </si>
  <si>
    <t>Total Ruta 7</t>
  </si>
  <si>
    <t>Total Líquidos Mercadeo</t>
  </si>
  <si>
    <t>Total Líquidos Ventas</t>
  </si>
  <si>
    <t>Analista Programador</t>
  </si>
  <si>
    <t>Ruta 5 Ventas (Mayorista Capital)</t>
  </si>
  <si>
    <t>Ruta 7 Ventas (Mayorista Nor-Oriente)</t>
  </si>
  <si>
    <t>Ruta 6 Ventas (Mayorista Sur-Occidente)</t>
  </si>
  <si>
    <t>TOTAL Ruta 5</t>
  </si>
  <si>
    <t>TOTAL Ruta 6</t>
  </si>
  <si>
    <t>TOTAL Ruta 7</t>
  </si>
  <si>
    <t>Otros Ingresos</t>
  </si>
  <si>
    <t>Salario Ordinario</t>
  </si>
  <si>
    <t>Empresa Real</t>
  </si>
  <si>
    <t>Bono Decreto</t>
  </si>
  <si>
    <t>Días Laborados</t>
  </si>
  <si>
    <t>% Proquima</t>
  </si>
  <si>
    <t>% Unhesa Liq.</t>
  </si>
  <si>
    <t>% Econacional</t>
  </si>
  <si>
    <t>% Ecomezclas</t>
  </si>
  <si>
    <t>Total % Distribución</t>
  </si>
  <si>
    <t>Distribuidor Tercerizado</t>
  </si>
  <si>
    <t>Cuotas Préstamos Bancos</t>
  </si>
  <si>
    <t>Digitador</t>
  </si>
  <si>
    <t>GRUPO ECONSA</t>
  </si>
  <si>
    <t>VERIFICADOR DE PAGO DE NOMINA</t>
  </si>
  <si>
    <t>FECHA DE PAGO:</t>
  </si>
  <si>
    <t>Nombre de</t>
  </si>
  <si>
    <t>Tipo de</t>
  </si>
  <si>
    <t>Soporte</t>
  </si>
  <si>
    <t xml:space="preserve">Medio de </t>
  </si>
  <si>
    <t>Monto</t>
  </si>
  <si>
    <t>Colaborador</t>
  </si>
  <si>
    <t>Personal</t>
  </si>
  <si>
    <t>de Pago</t>
  </si>
  <si>
    <t>Pago</t>
  </si>
  <si>
    <t>Empresa:    PROQUIMA, S.A.</t>
  </si>
  <si>
    <t>fijo</t>
  </si>
  <si>
    <t>Empresa:    UNION HERMANOS, S.A.</t>
  </si>
  <si>
    <t>Autorizado por: Walter Mendez (Auditoria Interna)</t>
  </si>
  <si>
    <t>LOTE CORRECTO</t>
  </si>
  <si>
    <t>Varios Plantilla</t>
  </si>
  <si>
    <t>Fijo</t>
  </si>
  <si>
    <t>Industrial</t>
  </si>
  <si>
    <t>Transferencia</t>
  </si>
  <si>
    <t xml:space="preserve">   Revisado por: Walter Mendez (Auditoria)</t>
  </si>
  <si>
    <t xml:space="preserve">       Autorizado  por : Gerardo Estrada (Presidencia)</t>
  </si>
  <si>
    <t>Tesorera-Contador</t>
  </si>
  <si>
    <t>Encargada de Bodega PT</t>
  </si>
  <si>
    <t>Vendedor</t>
  </si>
  <si>
    <t>SEGURO</t>
  </si>
  <si>
    <t>Otros Descuentos</t>
  </si>
  <si>
    <t>Ruta 3 Ventas (Promovendedora Occidente)</t>
  </si>
  <si>
    <t>Ruta 4 Ventas (Promovendedora Cosa Sur)</t>
  </si>
  <si>
    <t>Ruta 2 Ventas (Promovendedora Capital)</t>
  </si>
  <si>
    <t>Ruta 2 Ventas (Promovendeodora Capital)</t>
  </si>
  <si>
    <t>Ruta 4 Ventas (Promovendeodora Costa Sur)</t>
  </si>
  <si>
    <t>Ruta 3 Ventas (Promovendeodora Occidente)</t>
  </si>
  <si>
    <t>TOTAL SUELDOS VENTAS</t>
  </si>
  <si>
    <t>Ruta 2 Ventas (promovendedora Capital)</t>
  </si>
  <si>
    <t>Ruta 4 ventas (Promovendedora Costa Sur)</t>
  </si>
  <si>
    <t>Ruta 3 (Promovendedora Occidente)</t>
  </si>
  <si>
    <t>Ruta 5 (Mayorista Capital)</t>
  </si>
  <si>
    <t>Ruta 6 (Mayorista Sur Occidente)</t>
  </si>
  <si>
    <t>Ruta 7 (/Mayorista Nor Oriente)</t>
  </si>
  <si>
    <t>Promérica</t>
  </si>
  <si>
    <t>Melgar Najera Alfredo Emilio</t>
  </si>
  <si>
    <t>FACTURAR CON FECHA  30 DE septiembre SERVICIOS DE RRHH DE septiembre 2019 DE PROQUIMA:</t>
  </si>
  <si>
    <t>Jefe de Producción</t>
  </si>
  <si>
    <t>Mendez Cruz Walter Emilio</t>
  </si>
  <si>
    <t>Jimenez Sosa Luis Eduardo</t>
  </si>
  <si>
    <t>Samayoa Chavarria Leslie Amabilia</t>
  </si>
  <si>
    <t>Garcia Cruz Cesar Antonio</t>
  </si>
  <si>
    <t>Veliz Cortez Jonathan Luis</t>
  </si>
  <si>
    <t xml:space="preserve">Macz Cu Carlos Enrique </t>
  </si>
  <si>
    <t>Gaitan Hernandez Luis Daniel</t>
  </si>
  <si>
    <t>Guzman Hernandez Edgar Geovanni</t>
  </si>
  <si>
    <t>Sanchez José Nelson</t>
  </si>
  <si>
    <t>Gómez Laparra Glenda Esmeralda</t>
  </si>
  <si>
    <t xml:space="preserve">Ramos Marcial </t>
  </si>
  <si>
    <t>Lajon Puac Osmen Gudiel</t>
  </si>
  <si>
    <t>Orellana Gonzalez Francisco Javier</t>
  </si>
  <si>
    <t>Cisneros Lopez Marvin Daniel</t>
  </si>
  <si>
    <t>Pu Canto Domingo</t>
  </si>
  <si>
    <t>Alpuaque Aragon Sergio Antonio</t>
  </si>
  <si>
    <t>Lopez Vasquez Flor de Maria</t>
  </si>
  <si>
    <t>Mendez Flores Juan Andres</t>
  </si>
  <si>
    <t>Palma Salvatierra Harim Abdala</t>
  </si>
  <si>
    <t>Toz Putul Martin</t>
  </si>
  <si>
    <t>Cruz Juarez Santos Ernesto</t>
  </si>
  <si>
    <t>Turcios Carlos Alfredo</t>
  </si>
  <si>
    <t>Mendez Velasquez Hector Eduardo</t>
  </si>
  <si>
    <t>Monterroso Barrios Juan Carlos</t>
  </si>
  <si>
    <t>Hernandez Contreras Kewin Josue</t>
  </si>
  <si>
    <t>Choc Caal Augusto Adan</t>
  </si>
  <si>
    <t>López Gerber Alexander</t>
  </si>
  <si>
    <t>Santizo Santizo Rodrigo Eduardo</t>
  </si>
  <si>
    <t>Ixcoy de Quevedo Blanca Francisca</t>
  </si>
  <si>
    <t>Araujo Calderon Jose Rodolfo</t>
  </si>
  <si>
    <t>De Paz Corado Erick Geovanni</t>
  </si>
  <si>
    <t>Yat Mo Marvin Obdulio</t>
  </si>
  <si>
    <t>Cisneros Escobar Walter De Jesus</t>
  </si>
  <si>
    <t>Samayoa Martir Mario Humberto</t>
  </si>
  <si>
    <t>Boror Pirir Jose Cruz</t>
  </si>
  <si>
    <t xml:space="preserve">Guerra Lopez Jonathan Otoniel </t>
  </si>
  <si>
    <t>Estrada Robles Victor Gerardo</t>
  </si>
  <si>
    <t>Tot Paau David Antonio</t>
  </si>
  <si>
    <t>Soto Juarez Mario Antonio</t>
  </si>
  <si>
    <t>Hernandez de Lemus Iris Carolina</t>
  </si>
  <si>
    <t>Huertas Valenzuela Sergio Antonio</t>
  </si>
  <si>
    <t>Si Mes Pablo</t>
  </si>
  <si>
    <t>Chamay Gomez Susana Noemi</t>
  </si>
  <si>
    <t>Ambrocio Sanchez Rolando</t>
  </si>
  <si>
    <t>España Arana Ruth Emilia</t>
  </si>
  <si>
    <t xml:space="preserve">Patzan Quib Lucrecia </t>
  </si>
  <si>
    <t>Gonzalez Gomez Glendy Paola</t>
  </si>
  <si>
    <t>Ramirez Ovando Marilyn Crystal</t>
  </si>
  <si>
    <t>Sontay Cifuentes Leydi Rosivel</t>
  </si>
  <si>
    <t>Aragón Coronado Guillermo Giovanni</t>
  </si>
  <si>
    <t>Castañeda Osorio Estela Angelina</t>
  </si>
  <si>
    <t>Jolon Carrascoza Erwin Antonio</t>
  </si>
  <si>
    <t>Morales Hernandez Ausencio</t>
  </si>
  <si>
    <t>Chacón Morales Katheryne Mariannela</t>
  </si>
  <si>
    <t>Cotzajay Lopez Aura Leticia</t>
  </si>
  <si>
    <t>Garrido Aguilar Maria Elena</t>
  </si>
  <si>
    <t>Boche Mendez Olga Veronica</t>
  </si>
  <si>
    <t>Veliz Carias Elder Danilo</t>
  </si>
  <si>
    <t>Chavez Garcia Benner Amilcar</t>
  </si>
  <si>
    <t>Gerente Compras expo e impo</t>
  </si>
  <si>
    <t>Encargado Administrativo</t>
  </si>
  <si>
    <t>Coordinador Administrativo</t>
  </si>
  <si>
    <t>Jefe I &amp; D</t>
  </si>
  <si>
    <t>Asistente de Recursos Humanos</t>
  </si>
  <si>
    <t>TOTAL EGRESOS Bol Ornato, Seguro, Otros</t>
  </si>
  <si>
    <t>Sical Cruz Manuel Estuardo</t>
  </si>
  <si>
    <t>Supervisor Contable</t>
  </si>
  <si>
    <t xml:space="preserve">   Autorizado por:  Iris de Lemus (Recursos Humanos)</t>
  </si>
  <si>
    <t>Operador</t>
  </si>
  <si>
    <t>Cisneros Gonzales  Esvin Antonio</t>
  </si>
  <si>
    <t>COMPRAS IMPORTACIONES Y EXPORTACIONES</t>
  </si>
  <si>
    <t>Cisneros Gonalez  Esvin Antonio</t>
  </si>
  <si>
    <t>Auxiliar de Mantenimiento</t>
  </si>
  <si>
    <t xml:space="preserve">Facturador </t>
  </si>
  <si>
    <t xml:space="preserve">Chávez Velásquez Wendy Lorena </t>
  </si>
  <si>
    <t>Estrada Robles Victor Gerardo 1</t>
  </si>
  <si>
    <t xml:space="preserve"> Arriaga García Melvin Rodrigo</t>
  </si>
  <si>
    <t>Gregorio Rodríguez Sulma Maribel</t>
  </si>
  <si>
    <t>Recepcionista</t>
  </si>
  <si>
    <t>Solis Dominguez Angel Gabriel</t>
  </si>
  <si>
    <t xml:space="preserve"> Velásquez  López Claudia Carolina</t>
  </si>
  <si>
    <t>LOTE  A        ELIMINAR</t>
  </si>
  <si>
    <t>Samora Sacul Yocelin Paola</t>
  </si>
  <si>
    <t>|</t>
  </si>
  <si>
    <t>Enriquez Donis Alvaro Cristian</t>
  </si>
  <si>
    <t>Communitry Manager</t>
  </si>
  <si>
    <t>Maldonado Robles Diego</t>
  </si>
  <si>
    <t>Gerente de Mercadeo</t>
  </si>
  <si>
    <t>Guerra Tobar Melvin Esleiter</t>
  </si>
  <si>
    <t>Gomez Martinez Sandor Felipe</t>
  </si>
  <si>
    <t>Vasquez Bamaca Walter Leonidas</t>
  </si>
  <si>
    <t>Auxiliar Bodega MP</t>
  </si>
  <si>
    <t>Solano Garcia Jorge Alberto</t>
  </si>
  <si>
    <t>Auxiliar de control de calidad</t>
  </si>
  <si>
    <t>Muñoz Laparra Orly Gabriela</t>
  </si>
  <si>
    <t>Empacadora Liquidos</t>
  </si>
  <si>
    <t>Empacadora de Sobres</t>
  </si>
  <si>
    <t>Operario Liquidos</t>
  </si>
  <si>
    <t>Linea de Botes</t>
  </si>
  <si>
    <t>Operario  Sobres</t>
  </si>
  <si>
    <t>Operario  Liquidos</t>
  </si>
  <si>
    <t>Boror López Mayra Guadalupe</t>
  </si>
  <si>
    <t>0420070229</t>
  </si>
  <si>
    <t>Jefe de Gestion de calidad</t>
  </si>
  <si>
    <t>Imeri Ordoñez Luis Enrique</t>
  </si>
  <si>
    <t xml:space="preserve">Lopez Orellana Genesis Alejandra </t>
  </si>
  <si>
    <t>Auxiliar de Carga</t>
  </si>
  <si>
    <t>0030066278</t>
  </si>
  <si>
    <t xml:space="preserve">0130222755 </t>
  </si>
  <si>
    <t>De Florán  Rodas Luis  Arnau Estanislao</t>
  </si>
  <si>
    <t>De Floran Rodas Luis  Arnau Estanislao</t>
  </si>
  <si>
    <t>12545050291728 </t>
  </si>
  <si>
    <t>Pirir Toj Luis Alberto</t>
  </si>
  <si>
    <t>Rosales Soberaniz Benito Pedro Pablo</t>
  </si>
  <si>
    <t>Paz Pacheco Otoniel Adonias</t>
  </si>
  <si>
    <t>Project Manager</t>
  </si>
  <si>
    <t>4600065991</t>
  </si>
  <si>
    <t>Quej Cau Jose Angel</t>
  </si>
  <si>
    <t>6280017507</t>
  </si>
  <si>
    <t>Martinez Garcia Erick Rolando</t>
  </si>
  <si>
    <t>Contreras Vasquez Oscar Jose</t>
  </si>
  <si>
    <t>Ibañez Galicia Jonatan Alexander</t>
  </si>
  <si>
    <t>Cano Cano Nolberto</t>
  </si>
  <si>
    <t>Ramirez Vasquez Audelio</t>
  </si>
  <si>
    <t xml:space="preserve">Operario  </t>
  </si>
  <si>
    <t>Garcia Sarceño Mayvin Armando</t>
  </si>
  <si>
    <t>DESCUENTO  producto</t>
  </si>
  <si>
    <t xml:space="preserve">Nota:  Transferencia programada para    </t>
  </si>
  <si>
    <t>Bran Toc Juan Jose</t>
  </si>
  <si>
    <t>Arriaga García Melvin Rodrigo</t>
  </si>
  <si>
    <t>Ramos Caracun Jose Ottoniel</t>
  </si>
  <si>
    <t>Flores Ruano Yandira Beatriz</t>
  </si>
  <si>
    <t>Velásquez  López Claudia Carolina</t>
  </si>
  <si>
    <t>Revolorio Urías Erick Manolo</t>
  </si>
  <si>
    <t>Morales Ojeda Yefri Misael</t>
  </si>
  <si>
    <t>Salvatierra de Leon Jakeline Marisela</t>
  </si>
  <si>
    <t xml:space="preserve">Ruche Bor José Antonio </t>
  </si>
  <si>
    <t>Ramirez Perez Mynor Estuardo</t>
  </si>
  <si>
    <t>Gomez Likez Rene Alexander</t>
  </si>
  <si>
    <t>Hernandez Aquino Wendy Lizbeth</t>
  </si>
  <si>
    <t>Morales Hernandez Joselyn Arceli</t>
  </si>
  <si>
    <t>Alvarez Caceros Genesis Arleth</t>
  </si>
  <si>
    <t>DESCUENTO PRODUCTO</t>
  </si>
  <si>
    <t>Reyes Salazar Lesly Alejandra</t>
  </si>
  <si>
    <t>Auxiliar de Telemarketing</t>
  </si>
  <si>
    <t>0120367420</t>
  </si>
  <si>
    <t>Méndez González Grecia Marbella</t>
  </si>
  <si>
    <t>Sian Ortega Mildred Liliana</t>
  </si>
  <si>
    <t>Ramirez Arcon Maria Nury</t>
  </si>
  <si>
    <t xml:space="preserve">  Revisado por: Iris de Lemus (Recursos Humanos)</t>
  </si>
  <si>
    <t>BANCOS</t>
  </si>
  <si>
    <t>Perez Menendez Mayra Alejandra</t>
  </si>
  <si>
    <t>3350115071</t>
  </si>
  <si>
    <t>2360220285</t>
  </si>
  <si>
    <t>Castro Aceituno Rodrigo Jose</t>
  </si>
  <si>
    <t>Lopez Calderon Cesar Anibal</t>
  </si>
  <si>
    <t>SISTEMAS</t>
  </si>
  <si>
    <t>Cabrera Guzman Javier Antonio</t>
  </si>
  <si>
    <t>Figueros Cardona Gabriel</t>
  </si>
  <si>
    <t>Auxiliar de  Investigacion y Desarrollo</t>
  </si>
  <si>
    <t xml:space="preserve">Hecho por:   Alejandra Pérez </t>
  </si>
  <si>
    <t>Ruano Quevedo Marvin Gerardo</t>
  </si>
  <si>
    <t>Encargado de Bodega MP</t>
  </si>
  <si>
    <t>Orozco Tzic Yenifer Jimena</t>
  </si>
  <si>
    <t>Asistente de Investigacion y Desarrollo</t>
  </si>
  <si>
    <t>Supervisor</t>
  </si>
  <si>
    <t>NUMERO DE CUENTA PROMERICA</t>
  </si>
  <si>
    <t>0709960</t>
  </si>
  <si>
    <t>Lopez Rivera Lourdes Janeth</t>
  </si>
  <si>
    <t>Vasquez Rodriguez Mauro Trinidad</t>
  </si>
  <si>
    <t>Zarate De Leon, Enma Yaneth</t>
  </si>
  <si>
    <t>Asistente de Reclutamiento</t>
  </si>
  <si>
    <t>Elaborado por: Alejandra Pèrez (BYC)</t>
  </si>
  <si>
    <t>Estrada Robles Juan Pablo</t>
  </si>
  <si>
    <t>PARQUEOS</t>
  </si>
  <si>
    <t>YANDIRA</t>
  </si>
  <si>
    <t>RONY</t>
  </si>
  <si>
    <t xml:space="preserve">GABRIELA </t>
  </si>
  <si>
    <t>SEGUROS</t>
  </si>
  <si>
    <t>MARVIN CISNEROS</t>
  </si>
  <si>
    <t>SERGIO HUERTAS</t>
  </si>
  <si>
    <t>DEUDA RONY</t>
  </si>
  <si>
    <t>DESCUENTOS JURIDICOS</t>
  </si>
  <si>
    <t>ERROR OTONIEL</t>
  </si>
  <si>
    <t>JOSE RUCHE</t>
  </si>
  <si>
    <t>WENDY CHAVEZ</t>
  </si>
  <si>
    <t>Renovación Examenes</t>
  </si>
  <si>
    <t>Tarjetas de Salud</t>
  </si>
  <si>
    <t>TARJETAS DE SALUD</t>
  </si>
  <si>
    <t xml:space="preserve">TOTAL INTEGRACION COLUMNA </t>
  </si>
  <si>
    <t>RUTH</t>
  </si>
  <si>
    <t xml:space="preserve">RONY </t>
  </si>
  <si>
    <t>PRODUCTO</t>
  </si>
  <si>
    <t>NOMINA MES DE: ENERO  2,022  1a. Quincena)</t>
  </si>
  <si>
    <t>SALARIO VENCIDO</t>
  </si>
  <si>
    <t>SALARIO ACTUAL</t>
  </si>
  <si>
    <t xml:space="preserve">IMPACTO DE INCREMENTO </t>
  </si>
  <si>
    <t>BONIF DTO</t>
  </si>
  <si>
    <t>TOTAL SALARIO</t>
  </si>
  <si>
    <t>TABLA DE RESUMEN DE INCREMENTO</t>
  </si>
  <si>
    <t>IMPACTO POR EMPRESA</t>
  </si>
  <si>
    <t>Lancerio Sete Katherine Maeli</t>
  </si>
  <si>
    <t>Revisado por: Iris de Lemus</t>
  </si>
  <si>
    <t>Vo.Bo. Gerencia General</t>
  </si>
  <si>
    <t>Realizado Por: Alejandra Pèrez</t>
  </si>
  <si>
    <t>Autorizado Por: Walter Mendez</t>
  </si>
  <si>
    <t xml:space="preserve">MONTO BOLETO </t>
  </si>
  <si>
    <t>Osoy Gonzalez Luis Antonio</t>
  </si>
  <si>
    <t>Maldonado Solval Karla Elizabeth</t>
  </si>
  <si>
    <t xml:space="preserve">        </t>
  </si>
  <si>
    <t>Coordinador de Produccion</t>
  </si>
  <si>
    <t>pago trimestral 9000</t>
  </si>
  <si>
    <t>Ejecutado por: Alejandra Perez</t>
  </si>
  <si>
    <t>Revisado POR : Iris de Lemus</t>
  </si>
  <si>
    <t>Ejecutado por : Alejandra Perez</t>
  </si>
  <si>
    <t>Revisado Por. Walter Mendez</t>
  </si>
  <si>
    <t>Revisado Por: Iris de Lemus</t>
  </si>
  <si>
    <t>sueldo de mayra 1 era quincena</t>
  </si>
  <si>
    <t>Verificador</t>
  </si>
  <si>
    <t>Zapata Hernandez Francisco Javier</t>
  </si>
  <si>
    <t>operador</t>
  </si>
  <si>
    <t>Garcia Valenzuela Jaime Rene</t>
  </si>
  <si>
    <t>Gonzalez Vasquez Kevin Moises</t>
  </si>
  <si>
    <t>Asesor JR Comercial</t>
  </si>
  <si>
    <t>Brandao De Melo Lucenilza</t>
  </si>
  <si>
    <t>LIQUIDACION LABORAL ANUAL AL 31.12</t>
  </si>
  <si>
    <t>Mendizabal Rosales Edgar Osvaldo</t>
  </si>
  <si>
    <t>Vasquez Perez Esbin Manolo</t>
  </si>
  <si>
    <t>Cajbon Chacat Mario Adolfo</t>
  </si>
  <si>
    <t>Cuello Pirir Jorge Renato</t>
  </si>
  <si>
    <t>Aux Creiditos y Cobros</t>
  </si>
  <si>
    <t>Jimenez Ventura Angel Eduardo</t>
  </si>
  <si>
    <t>Asistente de Vta en Linea</t>
  </si>
  <si>
    <t>Zarate De Leon Enma Yaneth</t>
  </si>
  <si>
    <t>Saban Culajay Edson Omar</t>
  </si>
  <si>
    <t>Aux Mantenimiento</t>
  </si>
  <si>
    <t>Asistente de Gerencia</t>
  </si>
  <si>
    <t>Lorenzana Gonzalez Cesar Leonel</t>
  </si>
  <si>
    <t>Hernandez Reyes Astrid Verenice</t>
  </si>
  <si>
    <t>1430021798</t>
  </si>
  <si>
    <t>Argueta Hernandez Annika Lorena</t>
  </si>
  <si>
    <t xml:space="preserve">Vendedor   </t>
  </si>
  <si>
    <t>Lopez Teletor Josue Leonel</t>
  </si>
  <si>
    <t>Asistente de Auditoria Interna</t>
  </si>
  <si>
    <t>Guzman Tian Fredy Alexander</t>
  </si>
  <si>
    <t>7060080863</t>
  </si>
  <si>
    <t>1830123582</t>
  </si>
  <si>
    <t>Gomez Aldana Jenifer Melissa</t>
  </si>
  <si>
    <t>Asistente de Aseguramiento de Calidad</t>
  </si>
  <si>
    <t>6280031615</t>
  </si>
  <si>
    <t>Borrayo  Martinez Barbara Ivon</t>
  </si>
  <si>
    <t>Estrada Robles Victor Gerardo1</t>
  </si>
  <si>
    <t>Gerente General</t>
  </si>
  <si>
    <t>Quevedo Lopez Ingrid Aracely</t>
  </si>
  <si>
    <t>4450112372</t>
  </si>
  <si>
    <t>4450112364</t>
  </si>
  <si>
    <t>0030080212</t>
  </si>
  <si>
    <t>Morales Alvarez Yony</t>
  </si>
  <si>
    <t>Alvarez Fajardo Erick Geovanni</t>
  </si>
  <si>
    <t xml:space="preserve">Muñoz Laparra Orly Gabriela </t>
  </si>
  <si>
    <t>5210063557</t>
  </si>
  <si>
    <t>Recinos Martinez Dany Gudiel</t>
  </si>
  <si>
    <t>Sanabria Cardona Yuidin Franklin</t>
  </si>
  <si>
    <t>Cristales Hernandez Victor Manuel</t>
  </si>
  <si>
    <t>DESCUENTO DE OFTALMOLOGIA</t>
  </si>
  <si>
    <t>LESLY REYES</t>
  </si>
  <si>
    <t>OLGA BOCHE</t>
  </si>
  <si>
    <t>MARCIAL RAMOS</t>
  </si>
  <si>
    <t>GERARDO ESTRADA</t>
  </si>
  <si>
    <t>ROLANDO AMBROCIO</t>
  </si>
  <si>
    <t>MARIA NURY RAMIREZ</t>
  </si>
  <si>
    <t>KEWIN HERNANDEZ</t>
  </si>
  <si>
    <t>FREDY GUZMAN</t>
  </si>
  <si>
    <t>ANGELICA LOPEZ</t>
  </si>
  <si>
    <t>ALEJANDRA PEREZ</t>
  </si>
  <si>
    <t>ANGEL SOLIS</t>
  </si>
  <si>
    <t>RUTH ESPAÑA</t>
  </si>
  <si>
    <t>EDGAR GUZMAN</t>
  </si>
  <si>
    <t xml:space="preserve">FRANCISCO ZAPATA </t>
  </si>
  <si>
    <t>EMPRESA</t>
  </si>
  <si>
    <t>MONTO</t>
  </si>
  <si>
    <t>SEPTIEMBRE</t>
  </si>
  <si>
    <t>OCTUBRE</t>
  </si>
  <si>
    <t>NOVIEMBRE</t>
  </si>
  <si>
    <t>DIFERENCIA</t>
  </si>
  <si>
    <t>DICIEMBRE</t>
  </si>
  <si>
    <t>ENERO</t>
  </si>
  <si>
    <t>FEBRERO</t>
  </si>
  <si>
    <t>TIEMPO MESES</t>
  </si>
  <si>
    <t>TOTAL MENSUAL</t>
  </si>
  <si>
    <t>Ramirez Ramos Brayan Neptaly</t>
  </si>
  <si>
    <t>6050034195</t>
  </si>
  <si>
    <t>3  desc solo en quincena</t>
  </si>
  <si>
    <t>OTROS DESCUENTOS</t>
  </si>
  <si>
    <t>Descuento de IGSS no aplicado en agosto/ si fue pagado en la planilla de igss</t>
  </si>
  <si>
    <t>Marvin YAT</t>
  </si>
  <si>
    <t>Descuento BANTRAB</t>
  </si>
  <si>
    <t xml:space="preserve">Descuento aplicado en agosot y septiembre que estaban pendientes de descontar por </t>
  </si>
  <si>
    <t>suspension de IGSS en Julio</t>
  </si>
  <si>
    <t>monto a descontar mensual</t>
  </si>
  <si>
    <t>monto que se desconto en Julio</t>
  </si>
  <si>
    <t>Monto pendiente de Dto</t>
  </si>
  <si>
    <t>Descuento de agosto</t>
  </si>
  <si>
    <t>descuento de Septiembre</t>
  </si>
  <si>
    <t>total</t>
  </si>
  <si>
    <t>Diferencia</t>
  </si>
  <si>
    <t>Depositado a la cuenta de proquima adjunto envio foto del deposito</t>
  </si>
  <si>
    <t>con esto el valor por reintegrar queda a 0</t>
  </si>
  <si>
    <t>0142241081</t>
  </si>
  <si>
    <t>Curruchiche Aguilar Triana Maria</t>
  </si>
  <si>
    <t>0170148605</t>
  </si>
  <si>
    <t>Hernandez Brenes Juan Pablo Jose</t>
  </si>
  <si>
    <t>Auxiliar de Control De Calidad</t>
  </si>
  <si>
    <t>0170148613</t>
  </si>
  <si>
    <t>Saenz Lemus Dulce Maria</t>
  </si>
  <si>
    <t>Marroquin Cruz Kevin Omar</t>
  </si>
  <si>
    <t xml:space="preserve">Barrios Cifuentes Julia Aracely </t>
  </si>
  <si>
    <t xml:space="preserve">Ramirez Vasquez Audelio </t>
  </si>
  <si>
    <t>Encargado de Bodega PT</t>
  </si>
  <si>
    <t xml:space="preserve">Alvarez Caceros Genesis Arleth </t>
  </si>
  <si>
    <t>Tapia Ortiz Emir Orlando</t>
  </si>
  <si>
    <t>Asistente de  Investigacion y Desarrollo</t>
  </si>
  <si>
    <t>vacaciones</t>
  </si>
  <si>
    <t>Cruz Salguero Aramis Antonio</t>
  </si>
  <si>
    <t>Rodas Coronado Karen Daniela</t>
  </si>
  <si>
    <t>Analista de Investigacion y Desarrollo</t>
  </si>
  <si>
    <t>SE DESCONTO EN LIQ EL PENDIENTE</t>
  </si>
  <si>
    <t xml:space="preserve">Mendez Gonzalez Grecia Marbella </t>
  </si>
  <si>
    <t xml:space="preserve"> 1270561614</t>
  </si>
  <si>
    <t>0143954105</t>
  </si>
  <si>
    <t>SALARIO MINIMO 2023</t>
  </si>
  <si>
    <t>TODOS LOS DEPARTAMENTOS EXCEPTO GUATEMALA</t>
  </si>
  <si>
    <t>4% INCREMENTO</t>
  </si>
  <si>
    <t>ACUERDO 353-2022</t>
  </si>
  <si>
    <t>ACTIVIDAD ECONOMICA</t>
  </si>
  <si>
    <t>SALARIO DIARIO</t>
  </si>
  <si>
    <t>SALARIO MENSUAL</t>
  </si>
  <si>
    <t>BONIF INC</t>
  </si>
  <si>
    <t>SALARIO TOTAL</t>
  </si>
  <si>
    <t>AGRICOLA</t>
  </si>
  <si>
    <t>NO AGRICOLA</t>
  </si>
  <si>
    <t>EXPORTADORA Y MAQUILA</t>
  </si>
  <si>
    <t>DEPARTAMENTO DE GUATEMALA</t>
  </si>
  <si>
    <t>7% INCREMENTO</t>
  </si>
  <si>
    <t>IMPACTO SALARIO MINIMO 2023</t>
  </si>
  <si>
    <t>SALARIO MINIMO 2022</t>
  </si>
  <si>
    <t>DFERENCIA 2023</t>
  </si>
  <si>
    <t>75 Colaboradores afectos al incremento de salario</t>
  </si>
  <si>
    <t xml:space="preserve">EJECUTADO POR </t>
  </si>
  <si>
    <t xml:space="preserve">REVISADO POR </t>
  </si>
  <si>
    <t>REVISADO POR</t>
  </si>
  <si>
    <t xml:space="preserve">AUTORIZADO POR </t>
  </si>
  <si>
    <t>ALEJANDRA PEREZ (RRHH)</t>
  </si>
  <si>
    <t>WALTER MENDEZ (AUDITORIA)</t>
  </si>
  <si>
    <t>IRIS DE LEMUS (RRHH)</t>
  </si>
  <si>
    <t>GERARDO ESTRADA (GERENCIA GENERAL)</t>
  </si>
  <si>
    <t>INCREMENTO SALARIO MINIMO 2023 ACUERDO No.353-2022</t>
  </si>
  <si>
    <t>NOMINA MES DE: ENERO   2,023  2da Quincena)</t>
  </si>
  <si>
    <t>PERSONAL AFECTO EN SALARIO BASE,  NO EN SALARIO COMPLETO</t>
  </si>
  <si>
    <t>SALARIO BASE</t>
  </si>
  <si>
    <t>BONIF</t>
  </si>
  <si>
    <t>Administracion Operaciones</t>
  </si>
  <si>
    <t>B.15.1.23</t>
  </si>
  <si>
    <t>Asistente de Import-compras Internaciuonales</t>
  </si>
  <si>
    <t>B.3.1.22</t>
  </si>
  <si>
    <t>B.9.1.23</t>
  </si>
  <si>
    <t>Pop Aldana Jose Ruben</t>
  </si>
  <si>
    <t>Asistente Exportaciones</t>
  </si>
  <si>
    <t>A.3.1.23</t>
  </si>
  <si>
    <t>4630101030</t>
  </si>
  <si>
    <t>Yoc Barillas Luis Estuardo</t>
  </si>
  <si>
    <t xml:space="preserve">Contador    </t>
  </si>
  <si>
    <t>A.2/1/2023</t>
  </si>
  <si>
    <t>suspe del 13 al 24/1</t>
  </si>
  <si>
    <t>suso del 6 al 11/1  susp del 16 al 31</t>
  </si>
  <si>
    <t xml:space="preserve">suspendida por mat desde 10/10 hasta 1/01/2023 BAJA 2/1 POR ABANDONO D LABORES </t>
  </si>
  <si>
    <t xml:space="preserve">falta injustificada </t>
  </si>
  <si>
    <t>incremento</t>
  </si>
  <si>
    <t>SEGURO/BOLETO ORNATO</t>
  </si>
  <si>
    <t>a las  08:00   hrs.</t>
  </si>
  <si>
    <r>
      <t>FACTURAR CON FECHA  ENERO SERVICIOS DE RRHH DE ENERO  2023 DE</t>
    </r>
    <r>
      <rPr>
        <b/>
        <sz val="9"/>
        <color theme="1"/>
        <rFont val="Arial"/>
        <family val="2"/>
      </rPr>
      <t xml:space="preserve"> PROQUIMA a UNHESA</t>
    </r>
  </si>
  <si>
    <r>
      <t>FACTURAR CON FECHA ENERO  SERVICIOS DE RRHH DE  ENERO  2023 DE</t>
    </r>
    <r>
      <rPr>
        <b/>
        <sz val="9"/>
        <color theme="1"/>
        <rFont val="Arial"/>
        <family val="2"/>
      </rPr>
      <t xml:space="preserve"> PROQUIMA A ECONACIONAL</t>
    </r>
  </si>
  <si>
    <r>
      <t>FACTURAR CON FECHA  ENERO  SERVICIOS DE RRHH DE  ENERO  2023 DE</t>
    </r>
    <r>
      <rPr>
        <b/>
        <sz val="9"/>
        <color theme="1"/>
        <rFont val="Arial"/>
        <family val="2"/>
      </rPr>
      <t xml:space="preserve"> UNHESA A ECONACIONAL</t>
    </r>
  </si>
  <si>
    <t xml:space="preserve">INCREMENTO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</si>
</sst>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_(&quot;Q&quot;* #,##0.00_);_(&quot;Q&quot;* \(#,##0.00\);_(&quot;Q&quot;* &quot;-&quot;??_);_(@_)"/>
    <numFmt numFmtId="165" formatCode="_(* #,##0.00_);_(* \(#,##0.00\);_(* &quot;-&quot;??_);_(@_)"/>
    <numFmt numFmtId="166" formatCode="_(* #,##0.00_);_(* \(#,##0.00\);_(* \-??_);_(@_)"/>
    <numFmt numFmtId="167" formatCode="#,##0.00\ ;&quot; (&quot;#,##0.00\);&quot; -&quot;#\ ;@\ "/>
    <numFmt numFmtId="168" formatCode="_(\Q* #,##0.00_);_(\Q* \(#,##0.00\);_(\Q* \-??_);_(@_)"/>
    <numFmt numFmtId="169" formatCode="_-* #,##0.00_-;\-* #,##0.00_-;_-* \-??_-;_-@_-"/>
    <numFmt numFmtId="170" formatCode="#,##0.00;[Red]#,##0.00"/>
    <numFmt numFmtId="171" formatCode="#,##0.0;[Red]#,##0.0"/>
    <numFmt numFmtId="172" formatCode="#,##0.0000000;[Red]#,##0.0000000"/>
    <numFmt numFmtId="173" formatCode="#,##0.0000;[Red]\-#,##0.0000"/>
    <numFmt numFmtId="174" formatCode="#,##0.00_ ;[Red]\-#,##0.00\ "/>
    <numFmt numFmtId="175" formatCode="#,##0.0000;[Red]#,##0.0000"/>
    <numFmt numFmtId="176" formatCode="0000000000"/>
    <numFmt numFmtId="177" formatCode="00000000000"/>
    <numFmt numFmtId="178" formatCode="#,##0;[Red]#,##0"/>
    <numFmt numFmtId="179" formatCode="0000000"/>
    <numFmt numFmtId="180" formatCode="&quot;Q&quot;#,##0.00"/>
    <numFmt numFmtId="181" formatCode="#.##;[Red]#.##"/>
    <numFmt numFmtId="182" formatCode="000000000000"/>
    <numFmt numFmtId="183" formatCode="#,##0.000_ ;[Red]\-#,##0.000\ "/>
    <numFmt numFmtId="184" formatCode="#,##0.0000000_ ;[Red]\-#,##0.0000000\ "/>
    <numFmt numFmtId="185" formatCode="#,##0.0000_ ;[Red]\-#,##0.0000\ "/>
    <numFmt numFmtId="186" formatCode="#,##0_ ;[Red]\-#,##0\ "/>
    <numFmt numFmtId="187" formatCode="_-[$Q-100A]* #,##0.00_-;\-[$Q-100A]* #,##0.00_-;_-[$Q-100A]* &quot;-&quot;??_-;_-@_-"/>
  </numFmts>
  <fonts count="228">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indexed="8"/>
      <name val="Arial"/>
      <family val="2"/>
    </font>
    <font>
      <sz val="11"/>
      <color indexed="8"/>
      <name val="Arial1"/>
    </font>
    <font>
      <sz val="11"/>
      <color indexed="8"/>
      <name val="Calibri"/>
      <family val="2"/>
      <charset val="1"/>
    </font>
    <font>
      <sz val="10"/>
      <name val="Arial"/>
      <family val="2"/>
    </font>
    <font>
      <sz val="10"/>
      <color indexed="8"/>
      <name val="Arial"/>
      <family val="2"/>
    </font>
    <font>
      <b/>
      <sz val="11"/>
      <color indexed="8"/>
      <name val="Arial1"/>
    </font>
    <font>
      <b/>
      <sz val="9"/>
      <color indexed="8"/>
      <name val="Tahoma"/>
      <family val="2"/>
    </font>
    <font>
      <sz val="9"/>
      <color indexed="8"/>
      <name val="Tahoma"/>
      <family val="2"/>
    </font>
    <font>
      <sz val="8"/>
      <color indexed="8"/>
      <name val="Arial"/>
      <family val="2"/>
      <charset val="1"/>
    </font>
    <font>
      <b/>
      <sz val="10"/>
      <color indexed="8"/>
      <name val="Arial"/>
      <family val="2"/>
    </font>
    <font>
      <b/>
      <sz val="12"/>
      <color indexed="8"/>
      <name val="Arial"/>
      <family val="2"/>
      <charset val="1"/>
    </font>
    <font>
      <b/>
      <sz val="8"/>
      <color indexed="8"/>
      <name val="Arial"/>
      <family val="2"/>
    </font>
    <font>
      <b/>
      <sz val="8"/>
      <name val="Arial"/>
      <family val="2"/>
    </font>
    <font>
      <sz val="8"/>
      <name val="Arial"/>
      <family val="2"/>
      <charset val="1"/>
    </font>
    <font>
      <b/>
      <sz val="8"/>
      <color indexed="8"/>
      <name val="Arial"/>
      <family val="2"/>
      <charset val="1"/>
    </font>
    <font>
      <sz val="9"/>
      <color indexed="8"/>
      <name val="Arial"/>
      <family val="2"/>
    </font>
    <font>
      <u/>
      <sz val="8"/>
      <color indexed="8"/>
      <name val="Arial"/>
      <family val="2"/>
      <charset val="1"/>
    </font>
    <font>
      <b/>
      <sz val="8"/>
      <color indexed="10"/>
      <name val="Arial"/>
      <family val="2"/>
    </font>
    <font>
      <b/>
      <sz val="11"/>
      <color indexed="8"/>
      <name val="Calibri"/>
      <family val="2"/>
    </font>
    <font>
      <sz val="11"/>
      <name val="Calibri"/>
      <family val="2"/>
    </font>
    <font>
      <b/>
      <sz val="9"/>
      <color indexed="8"/>
      <name val="Arial"/>
      <family val="2"/>
    </font>
    <font>
      <b/>
      <sz val="10"/>
      <color indexed="8"/>
      <name val="Arial"/>
      <family val="2"/>
      <charset val="1"/>
    </font>
    <font>
      <b/>
      <sz val="10"/>
      <color indexed="10"/>
      <name val="Arial"/>
      <family val="2"/>
      <charset val="1"/>
    </font>
    <font>
      <b/>
      <sz val="11"/>
      <color indexed="8"/>
      <name val="Calibri"/>
      <family val="2"/>
      <charset val="1"/>
    </font>
    <font>
      <sz val="12"/>
      <color indexed="8"/>
      <name val="Times New Roman"/>
      <family val="1"/>
      <charset val="1"/>
    </font>
    <font>
      <sz val="5"/>
      <color indexed="8"/>
      <name val="Times New Roman"/>
      <family val="1"/>
      <charset val="1"/>
    </font>
    <font>
      <sz val="5"/>
      <color indexed="8"/>
      <name val="Arial"/>
      <family val="2"/>
      <charset val="1"/>
    </font>
    <font>
      <sz val="10"/>
      <color indexed="8"/>
      <name val="Arial Unicode MS"/>
      <family val="2"/>
    </font>
    <font>
      <sz val="8"/>
      <color indexed="8"/>
      <name val="Calibri"/>
      <family val="2"/>
    </font>
    <font>
      <b/>
      <sz val="8"/>
      <color indexed="8"/>
      <name val="Calibri"/>
      <family val="2"/>
    </font>
    <font>
      <sz val="8"/>
      <color indexed="8"/>
      <name val="Arial Unicode MS"/>
      <family val="2"/>
    </font>
    <font>
      <sz val="8"/>
      <color indexed="8"/>
      <name val="Calibri"/>
      <family val="2"/>
      <charset val="1"/>
    </font>
    <font>
      <b/>
      <sz val="10"/>
      <name val="Arial"/>
      <family val="2"/>
      <charset val="1"/>
    </font>
    <font>
      <sz val="8"/>
      <color indexed="8"/>
      <name val="Times New Roman"/>
      <family val="1"/>
      <charset val="1"/>
    </font>
    <font>
      <u/>
      <sz val="8"/>
      <color indexed="8"/>
      <name val="Times New Roman"/>
      <family val="1"/>
      <charset val="1"/>
    </font>
    <font>
      <sz val="11"/>
      <color indexed="8"/>
      <name val="Calibri"/>
      <family val="2"/>
    </font>
    <font>
      <sz val="9"/>
      <color indexed="81"/>
      <name val="Tahoma"/>
      <family val="2"/>
    </font>
    <font>
      <b/>
      <sz val="9"/>
      <color indexed="81"/>
      <name val="Tahoma"/>
      <family val="2"/>
    </font>
    <font>
      <b/>
      <sz val="11"/>
      <name val="Calibri"/>
      <family val="2"/>
    </font>
    <font>
      <b/>
      <sz val="11"/>
      <color indexed="8"/>
      <name val="Arial"/>
      <family val="2"/>
    </font>
    <font>
      <b/>
      <sz val="8"/>
      <color rgb="FFFF0000"/>
      <name val="Arial"/>
      <family val="2"/>
    </font>
    <font>
      <sz val="8"/>
      <color indexed="81"/>
      <name val="Tahoma"/>
      <family val="2"/>
    </font>
    <font>
      <b/>
      <sz val="8"/>
      <color indexed="81"/>
      <name val="Tahoma"/>
      <family val="2"/>
    </font>
    <font>
      <b/>
      <sz val="12"/>
      <color indexed="8"/>
      <name val="Arial"/>
      <family val="2"/>
    </font>
    <font>
      <b/>
      <sz val="14"/>
      <color indexed="8"/>
      <name val="Arial"/>
      <family val="2"/>
    </font>
    <font>
      <sz val="10"/>
      <color rgb="FF000000"/>
      <name val="Arial"/>
      <family val="2"/>
    </font>
    <font>
      <b/>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4"/>
      <name val="Arial"/>
      <family val="2"/>
    </font>
    <font>
      <sz val="11"/>
      <color rgb="FF0000FF"/>
      <name val="Calibri"/>
      <family val="2"/>
    </font>
    <font>
      <sz val="11"/>
      <color rgb="FF0000FF"/>
      <name val="Calibri"/>
      <family val="2"/>
      <charset val="1"/>
    </font>
    <font>
      <sz val="12"/>
      <name val="Arial"/>
      <family val="2"/>
    </font>
    <font>
      <sz val="14"/>
      <name val="Calibri"/>
      <family val="2"/>
      <scheme val="minor"/>
    </font>
    <font>
      <b/>
      <sz val="14"/>
      <name val="Calibri"/>
      <family val="2"/>
      <scheme val="minor"/>
    </font>
    <font>
      <sz val="14"/>
      <color theme="0"/>
      <name val="Calibri"/>
      <family val="2"/>
      <scheme val="minor"/>
    </font>
    <font>
      <sz val="10"/>
      <color rgb="FF0000FF"/>
      <name val="Arial"/>
      <family val="2"/>
    </font>
    <font>
      <sz val="11"/>
      <name val="Calibri"/>
      <family val="2"/>
      <charset val="1"/>
    </font>
    <font>
      <sz val="11"/>
      <color rgb="FFFF0000"/>
      <name val="Calibri"/>
      <family val="2"/>
    </font>
    <font>
      <sz val="11"/>
      <color rgb="FFFF0000"/>
      <name val="Calibri"/>
      <family val="2"/>
      <charset val="1"/>
    </font>
    <font>
      <sz val="10"/>
      <color rgb="FFFF0000"/>
      <name val="Arial"/>
      <family val="2"/>
    </font>
    <font>
      <sz val="11"/>
      <color theme="1"/>
      <name val="Calibri"/>
      <family val="2"/>
      <charset val="1"/>
    </font>
    <font>
      <sz val="11"/>
      <name val="Calibri"/>
      <family val="2"/>
      <scheme val="minor"/>
    </font>
    <font>
      <sz val="14"/>
      <name val="Calibri"/>
      <family val="2"/>
    </font>
    <font>
      <sz val="11"/>
      <name val="Calibri"/>
      <family val="2"/>
      <charset val="1"/>
      <scheme val="minor"/>
    </font>
    <font>
      <b/>
      <sz val="11"/>
      <name val="Calibri"/>
      <family val="2"/>
      <charset val="1"/>
    </font>
    <font>
      <sz val="11"/>
      <color theme="1"/>
      <name val="Calibri"/>
      <family val="2"/>
    </font>
    <font>
      <sz val="8"/>
      <color theme="1"/>
      <name val="Arial"/>
      <family val="2"/>
    </font>
    <font>
      <sz val="10"/>
      <color theme="1"/>
      <name val="Arial"/>
      <family val="2"/>
    </font>
    <font>
      <sz val="10"/>
      <color theme="1"/>
      <name val="Arial"/>
      <family val="2"/>
      <charset val="1"/>
    </font>
    <font>
      <b/>
      <sz val="11"/>
      <color rgb="FFFF0000"/>
      <name val="Calibri"/>
      <family val="2"/>
    </font>
    <font>
      <sz val="9"/>
      <name val="Arial"/>
      <family val="2"/>
    </font>
    <font>
      <sz val="8"/>
      <color theme="1"/>
      <name val="Arial"/>
      <family val="2"/>
      <charset val="1"/>
    </font>
    <font>
      <b/>
      <sz val="8"/>
      <color theme="1"/>
      <name val="Arial"/>
      <family val="2"/>
      <charset val="1"/>
    </font>
    <font>
      <b/>
      <sz val="11"/>
      <color theme="1"/>
      <name val="Calibri"/>
      <family val="2"/>
      <charset val="1"/>
    </font>
    <font>
      <sz val="10"/>
      <name val="Calibri"/>
      <family val="2"/>
      <scheme val="minor"/>
    </font>
    <font>
      <b/>
      <sz val="14"/>
      <name val="Calibri"/>
      <family val="2"/>
    </font>
    <font>
      <u/>
      <sz val="9"/>
      <color indexed="81"/>
      <name val="Tahoma"/>
      <family val="2"/>
    </font>
    <font>
      <b/>
      <sz val="9"/>
      <name val="Calibri"/>
      <family val="2"/>
      <scheme val="minor"/>
    </font>
    <font>
      <b/>
      <sz val="11"/>
      <color rgb="FF0000FF"/>
      <name val="Calibri"/>
      <family val="2"/>
    </font>
    <font>
      <sz val="14"/>
      <name val="Arial"/>
      <family val="2"/>
    </font>
    <font>
      <sz val="9"/>
      <color theme="1"/>
      <name val="Arial"/>
      <family val="2"/>
    </font>
    <font>
      <sz val="9"/>
      <name val="Arial"/>
      <family val="2"/>
      <charset val="1"/>
    </font>
    <font>
      <b/>
      <sz val="12"/>
      <color indexed="8"/>
      <name val="Calibri"/>
      <family val="2"/>
    </font>
    <font>
      <b/>
      <sz val="11"/>
      <color theme="1"/>
      <name val="Calibri"/>
      <family val="2"/>
    </font>
    <font>
      <b/>
      <sz val="10"/>
      <color theme="1"/>
      <name val="Arial"/>
      <family val="2"/>
    </font>
    <font>
      <b/>
      <sz val="10"/>
      <color theme="1"/>
      <name val="Arial"/>
      <family val="2"/>
      <charset val="1"/>
    </font>
    <font>
      <b/>
      <sz val="10"/>
      <color theme="1"/>
      <name val="Calibri"/>
      <family val="2"/>
      <scheme val="minor"/>
    </font>
    <font>
      <sz val="14"/>
      <color indexed="8"/>
      <name val="Arial"/>
      <family val="2"/>
    </font>
    <font>
      <sz val="14"/>
      <color indexed="9"/>
      <name val="Arial"/>
      <family val="2"/>
    </font>
    <font>
      <sz val="14"/>
      <color theme="1"/>
      <name val="Arial"/>
      <family val="2"/>
    </font>
    <font>
      <sz val="16"/>
      <color indexed="8"/>
      <name val="Calibri"/>
      <family val="2"/>
    </font>
    <font>
      <b/>
      <sz val="16"/>
      <color indexed="8"/>
      <name val="Calibri"/>
      <family val="2"/>
    </font>
    <font>
      <sz val="18"/>
      <color indexed="8"/>
      <name val="Arial"/>
      <family val="2"/>
    </font>
    <font>
      <b/>
      <sz val="18"/>
      <name val="Arial"/>
      <family val="2"/>
    </font>
    <font>
      <b/>
      <sz val="18"/>
      <name val="Arial"/>
      <family val="2"/>
      <charset val="1"/>
    </font>
    <font>
      <sz val="18"/>
      <color indexed="8"/>
      <name val="Arial"/>
      <family val="2"/>
      <charset val="1"/>
    </font>
    <font>
      <b/>
      <sz val="18"/>
      <color indexed="8"/>
      <name val="Arial"/>
      <family val="2"/>
    </font>
    <font>
      <b/>
      <sz val="18"/>
      <color indexed="8"/>
      <name val="Arial"/>
      <family val="2"/>
      <charset val="1"/>
    </font>
    <font>
      <sz val="18"/>
      <color indexed="9"/>
      <name val="Arial"/>
      <family val="2"/>
    </font>
    <font>
      <sz val="18"/>
      <color indexed="9"/>
      <name val="Arial"/>
      <family val="2"/>
      <charset val="1"/>
    </font>
    <font>
      <sz val="18"/>
      <color indexed="8"/>
      <name val="Calibri"/>
      <family val="2"/>
      <charset val="1"/>
    </font>
    <font>
      <b/>
      <sz val="18"/>
      <color indexed="10"/>
      <name val="Arial"/>
      <family val="2"/>
    </font>
    <font>
      <sz val="18"/>
      <name val="Arial"/>
      <family val="2"/>
    </font>
    <font>
      <sz val="18"/>
      <name val="Arial"/>
      <family val="2"/>
      <charset val="1"/>
    </font>
    <font>
      <sz val="18"/>
      <color theme="1"/>
      <name val="Arial"/>
      <family val="2"/>
    </font>
    <font>
      <sz val="18"/>
      <color theme="1"/>
      <name val="Arial"/>
      <family val="2"/>
      <charset val="1"/>
    </font>
    <font>
      <b/>
      <u/>
      <sz val="18"/>
      <color indexed="8"/>
      <name val="Arial"/>
      <family val="2"/>
    </font>
    <font>
      <sz val="18"/>
      <color rgb="FFFF0000"/>
      <name val="Arial"/>
      <family val="2"/>
      <charset val="1"/>
    </font>
    <font>
      <u/>
      <sz val="18"/>
      <color indexed="8"/>
      <name val="Arial"/>
      <family val="2"/>
    </font>
    <font>
      <sz val="18"/>
      <color indexed="8"/>
      <name val="Calibri"/>
      <family val="2"/>
    </font>
    <font>
      <b/>
      <u val="singleAccounting"/>
      <sz val="18"/>
      <color indexed="8"/>
      <name val="Calibri"/>
      <family val="2"/>
    </font>
    <font>
      <b/>
      <sz val="18"/>
      <color indexed="8"/>
      <name val="Calibri"/>
      <family val="2"/>
    </font>
    <font>
      <b/>
      <sz val="20"/>
      <color indexed="8"/>
      <name val="Calibri"/>
      <family val="2"/>
    </font>
    <font>
      <sz val="48"/>
      <color indexed="8"/>
      <name val="Arial"/>
      <family val="2"/>
    </font>
    <font>
      <b/>
      <sz val="48"/>
      <name val="Arial"/>
      <family val="2"/>
    </font>
    <font>
      <b/>
      <sz val="48"/>
      <name val="Arial"/>
      <family val="2"/>
      <charset val="1"/>
    </font>
    <font>
      <sz val="48"/>
      <color indexed="8"/>
      <name val="Arial"/>
      <family val="2"/>
      <charset val="1"/>
    </font>
    <font>
      <b/>
      <sz val="48"/>
      <color indexed="8"/>
      <name val="Arial"/>
      <family val="2"/>
    </font>
    <font>
      <b/>
      <sz val="48"/>
      <color indexed="8"/>
      <name val="Arial"/>
      <family val="2"/>
      <charset val="1"/>
    </font>
    <font>
      <sz val="48"/>
      <color indexed="9"/>
      <name val="Arial"/>
      <family val="2"/>
    </font>
    <font>
      <sz val="48"/>
      <color indexed="9"/>
      <name val="Arial"/>
      <family val="2"/>
      <charset val="1"/>
    </font>
    <font>
      <sz val="48"/>
      <color indexed="8"/>
      <name val="Calibri"/>
      <family val="2"/>
      <charset val="1"/>
    </font>
    <font>
      <b/>
      <sz val="48"/>
      <color indexed="10"/>
      <name val="Arial"/>
      <family val="2"/>
    </font>
    <font>
      <sz val="48"/>
      <name val="Arial"/>
      <family val="2"/>
    </font>
    <font>
      <sz val="48"/>
      <name val="Arial"/>
      <family val="2"/>
      <charset val="1"/>
    </font>
    <font>
      <sz val="48"/>
      <color theme="1"/>
      <name val="Arial"/>
      <family val="2"/>
    </font>
    <font>
      <sz val="48"/>
      <color theme="1"/>
      <name val="Arial"/>
      <family val="2"/>
      <charset val="1"/>
    </font>
    <font>
      <b/>
      <sz val="48"/>
      <color theme="1"/>
      <name val="Arial"/>
      <family val="2"/>
      <charset val="1"/>
    </font>
    <font>
      <b/>
      <u/>
      <sz val="48"/>
      <color indexed="8"/>
      <name val="Arial"/>
      <family val="2"/>
    </font>
    <font>
      <b/>
      <sz val="48"/>
      <color rgb="FFFF0000"/>
      <name val="Arial"/>
      <family val="2"/>
    </font>
    <font>
      <sz val="11"/>
      <name val="Arial"/>
      <family val="2"/>
      <charset val="1"/>
    </font>
    <font>
      <b/>
      <sz val="11"/>
      <color indexed="8"/>
      <name val="Arial"/>
      <family val="2"/>
      <charset val="1"/>
    </font>
    <font>
      <sz val="11"/>
      <color indexed="8"/>
      <name val="Arial"/>
      <family val="2"/>
      <charset val="1"/>
    </font>
    <font>
      <b/>
      <sz val="11"/>
      <color indexed="10"/>
      <name val="Arial"/>
      <family val="2"/>
      <charset val="1"/>
    </font>
    <font>
      <sz val="11"/>
      <color rgb="FF0000FF"/>
      <name val="Arial"/>
      <family val="2"/>
      <charset val="1"/>
    </font>
    <font>
      <sz val="11"/>
      <color indexed="8"/>
      <name val="Arial"/>
      <family val="2"/>
    </font>
    <font>
      <b/>
      <sz val="11"/>
      <name val="Arial"/>
      <family val="2"/>
    </font>
    <font>
      <sz val="11"/>
      <name val="Arial"/>
      <family val="2"/>
    </font>
    <font>
      <b/>
      <sz val="11"/>
      <color rgb="FFFF0000"/>
      <name val="Arial"/>
      <family val="2"/>
    </font>
    <font>
      <b/>
      <sz val="11"/>
      <name val="Arial"/>
      <family val="2"/>
      <charset val="1"/>
    </font>
    <font>
      <sz val="11"/>
      <color theme="1"/>
      <name val="Arial"/>
      <family val="2"/>
      <charset val="1"/>
    </font>
    <font>
      <b/>
      <sz val="11"/>
      <color theme="1"/>
      <name val="Arial"/>
      <family val="2"/>
    </font>
    <font>
      <sz val="11"/>
      <color theme="1"/>
      <name val="Arial"/>
      <family val="2"/>
    </font>
    <font>
      <sz val="11"/>
      <color rgb="FF0000FF"/>
      <name val="Arial"/>
      <family val="2"/>
    </font>
    <font>
      <b/>
      <u/>
      <sz val="11"/>
      <color indexed="8"/>
      <name val="Arial"/>
      <family val="2"/>
      <charset val="1"/>
    </font>
    <font>
      <b/>
      <sz val="12"/>
      <color rgb="FFFF0000"/>
      <name val="Arial"/>
      <family val="2"/>
    </font>
    <font>
      <b/>
      <sz val="12"/>
      <color rgb="FF0000FF"/>
      <name val="Arial"/>
      <family val="2"/>
    </font>
    <font>
      <sz val="20"/>
      <color indexed="8"/>
      <name val="Arial"/>
      <family val="2"/>
    </font>
    <font>
      <sz val="20"/>
      <color indexed="8"/>
      <name val="Arial"/>
      <family val="2"/>
      <charset val="1"/>
    </font>
    <font>
      <b/>
      <sz val="20"/>
      <color indexed="8"/>
      <name val="Arial"/>
      <family val="2"/>
      <charset val="1"/>
    </font>
    <font>
      <b/>
      <sz val="20"/>
      <color indexed="10"/>
      <name val="Arial"/>
      <family val="2"/>
      <charset val="1"/>
    </font>
    <font>
      <b/>
      <sz val="20"/>
      <color indexed="8"/>
      <name val="Arial"/>
      <family val="2"/>
    </font>
    <font>
      <sz val="20"/>
      <name val="Arial"/>
      <family val="2"/>
    </font>
    <font>
      <sz val="20"/>
      <color theme="1"/>
      <name val="Arial"/>
      <family val="2"/>
    </font>
    <font>
      <b/>
      <sz val="20"/>
      <name val="Arial"/>
      <family val="2"/>
    </font>
    <font>
      <sz val="20"/>
      <color indexed="8"/>
      <name val="Calibri"/>
      <family val="2"/>
    </font>
    <font>
      <sz val="20"/>
      <name val="Arial"/>
      <family val="2"/>
      <charset val="1"/>
    </font>
    <font>
      <b/>
      <sz val="20"/>
      <name val="Arial"/>
      <family val="2"/>
      <charset val="1"/>
    </font>
    <font>
      <sz val="20"/>
      <color rgb="FF0000FF"/>
      <name val="Arial"/>
      <family val="2"/>
      <charset val="1"/>
    </font>
    <font>
      <sz val="20"/>
      <color rgb="FF0000FF"/>
      <name val="Arial"/>
      <family val="2"/>
    </font>
    <font>
      <b/>
      <u/>
      <sz val="20"/>
      <color indexed="8"/>
      <name val="Arial"/>
      <family val="2"/>
      <charset val="1"/>
    </font>
    <font>
      <b/>
      <sz val="20"/>
      <color indexed="10"/>
      <name val="Arial"/>
      <family val="2"/>
    </font>
    <font>
      <sz val="20"/>
      <color rgb="FFFF0000"/>
      <name val="Arial"/>
      <family val="2"/>
      <charset val="1"/>
    </font>
    <font>
      <b/>
      <sz val="20"/>
      <color rgb="FFFF0000"/>
      <name val="Arial"/>
      <family val="2"/>
    </font>
    <font>
      <sz val="26"/>
      <color indexed="8"/>
      <name val="Arial"/>
      <family val="2"/>
    </font>
    <font>
      <u/>
      <sz val="26"/>
      <color indexed="8"/>
      <name val="Arial"/>
      <family val="2"/>
    </font>
    <font>
      <sz val="26"/>
      <color rgb="FFFF0000"/>
      <name val="Arial"/>
      <family val="2"/>
    </font>
    <font>
      <b/>
      <sz val="12"/>
      <color theme="1"/>
      <name val="Arial"/>
      <family val="2"/>
    </font>
    <font>
      <b/>
      <sz val="12"/>
      <color theme="1"/>
      <name val="Arial"/>
      <family val="2"/>
      <charset val="1"/>
    </font>
    <font>
      <sz val="12"/>
      <color theme="1"/>
      <name val="Arial"/>
      <family val="2"/>
    </font>
    <font>
      <b/>
      <sz val="8"/>
      <color theme="1"/>
      <name val="Arial"/>
      <family val="2"/>
    </font>
    <font>
      <b/>
      <sz val="14"/>
      <color theme="1"/>
      <name val="Arial"/>
      <family val="2"/>
    </font>
    <font>
      <b/>
      <sz val="9"/>
      <color theme="1"/>
      <name val="Arial"/>
      <family val="2"/>
      <charset val="1"/>
    </font>
    <font>
      <b/>
      <sz val="11"/>
      <color theme="1"/>
      <name val="Arial"/>
      <family val="2"/>
      <charset val="1"/>
    </font>
    <font>
      <sz val="8"/>
      <color theme="1"/>
      <name val="Arial Narrow"/>
      <family val="2"/>
    </font>
    <font>
      <b/>
      <sz val="16"/>
      <color theme="1"/>
      <name val="Arial"/>
      <family val="2"/>
    </font>
    <font>
      <b/>
      <sz val="7"/>
      <color theme="1"/>
      <name val="Arial"/>
      <family val="2"/>
      <charset val="1"/>
    </font>
    <font>
      <sz val="7"/>
      <color theme="1"/>
      <name val="Arial"/>
      <family val="2"/>
      <charset val="1"/>
    </font>
    <font>
      <b/>
      <sz val="9"/>
      <color theme="1"/>
      <name val="Arial"/>
      <family val="2"/>
    </font>
    <font>
      <b/>
      <u/>
      <sz val="8"/>
      <color theme="1"/>
      <name val="Arial"/>
      <family val="2"/>
    </font>
    <font>
      <b/>
      <u/>
      <sz val="10"/>
      <color theme="1"/>
      <name val="Arial"/>
      <family val="2"/>
    </font>
    <font>
      <u/>
      <sz val="8"/>
      <color theme="1"/>
      <name val="Arial"/>
      <family val="2"/>
    </font>
    <font>
      <u/>
      <sz val="8"/>
      <color theme="1"/>
      <name val="Arial"/>
      <family val="2"/>
      <charset val="1"/>
    </font>
    <font>
      <u/>
      <sz val="10"/>
      <color theme="1"/>
      <name val="Arial"/>
      <family val="2"/>
    </font>
    <font>
      <b/>
      <u/>
      <sz val="8"/>
      <color theme="1"/>
      <name val="Arial"/>
      <family val="2"/>
      <charset val="1"/>
    </font>
    <font>
      <b/>
      <u/>
      <sz val="9"/>
      <color theme="1"/>
      <name val="Arial"/>
      <family val="2"/>
    </font>
    <font>
      <u/>
      <sz val="9"/>
      <color theme="1"/>
      <name val="Arial"/>
      <family val="2"/>
    </font>
    <font>
      <b/>
      <sz val="11"/>
      <color rgb="FF0000FF"/>
      <name val="Arial"/>
      <family val="2"/>
    </font>
    <font>
      <b/>
      <sz val="26"/>
      <color indexed="8"/>
      <name val="Calibri"/>
      <family val="2"/>
    </font>
    <font>
      <sz val="14"/>
      <color rgb="FF0000FF"/>
      <name val="Arial"/>
      <family val="2"/>
    </font>
    <font>
      <b/>
      <i/>
      <u/>
      <sz val="14"/>
      <color theme="1"/>
      <name val="Calibri"/>
      <family val="2"/>
      <scheme val="minor"/>
    </font>
    <font>
      <b/>
      <u/>
      <sz val="14"/>
      <color theme="1"/>
      <name val="Calibri"/>
      <family val="2"/>
      <scheme val="minor"/>
    </font>
    <font>
      <sz val="14"/>
      <color indexed="8"/>
      <name val="Calibri"/>
      <family val="2"/>
    </font>
    <font>
      <b/>
      <sz val="24"/>
      <color indexed="8"/>
      <name val="Calibri"/>
      <family val="2"/>
    </font>
    <font>
      <sz val="24"/>
      <color indexed="8"/>
      <name val="Calibri"/>
      <family val="2"/>
    </font>
    <font>
      <b/>
      <sz val="24"/>
      <color theme="1"/>
      <name val="Arial"/>
      <family val="2"/>
    </font>
    <font>
      <sz val="24"/>
      <color theme="1"/>
      <name val="Calibri"/>
      <family val="2"/>
      <charset val="1"/>
    </font>
    <font>
      <sz val="24"/>
      <color theme="1"/>
      <name val="Arial"/>
      <family val="2"/>
    </font>
    <font>
      <b/>
      <sz val="24"/>
      <color theme="1"/>
      <name val="Arial"/>
      <family val="2"/>
      <charset val="1"/>
    </font>
    <font>
      <sz val="24"/>
      <color theme="1"/>
      <name val="Arial"/>
      <family val="2"/>
      <charset val="1"/>
    </font>
    <font>
      <b/>
      <u/>
      <sz val="24"/>
      <color theme="1"/>
      <name val="Arial"/>
      <family val="2"/>
    </font>
    <font>
      <b/>
      <sz val="36"/>
      <color indexed="8"/>
      <name val="Berlin Sans FB Demi"/>
      <family val="2"/>
    </font>
    <font>
      <sz val="26"/>
      <color indexed="8"/>
      <name val="Calibri"/>
      <family val="2"/>
    </font>
    <font>
      <b/>
      <u val="singleAccounting"/>
      <sz val="26"/>
      <color indexed="8"/>
      <name val="Calibri"/>
      <family val="2"/>
    </font>
    <font>
      <b/>
      <i/>
      <u/>
      <sz val="20"/>
      <color theme="1"/>
      <name val="Calibri"/>
      <family val="2"/>
      <scheme val="minor"/>
    </font>
    <font>
      <b/>
      <sz val="18"/>
      <color theme="1"/>
      <name val="Arial"/>
      <family val="2"/>
    </font>
    <font>
      <sz val="18"/>
      <color theme="1"/>
      <name val="Calibri"/>
      <family val="2"/>
      <scheme val="minor"/>
    </font>
    <font>
      <b/>
      <sz val="18"/>
      <color theme="1"/>
      <name val="Arial"/>
      <family val="2"/>
      <charset val="1"/>
    </font>
    <font>
      <b/>
      <u/>
      <sz val="18"/>
      <color theme="1"/>
      <name val="Arial"/>
      <family val="2"/>
    </font>
    <font>
      <sz val="8"/>
      <color theme="0"/>
      <name val="Arial"/>
      <family val="2"/>
      <charset val="1"/>
    </font>
  </fonts>
  <fills count="65">
    <fill>
      <patternFill patternType="none"/>
    </fill>
    <fill>
      <patternFill patternType="gray125"/>
    </fill>
    <fill>
      <patternFill patternType="solid">
        <fgColor indexed="31"/>
        <bgColor indexed="27"/>
      </patternFill>
    </fill>
    <fill>
      <patternFill patternType="solid">
        <fgColor indexed="45"/>
        <bgColor indexed="46"/>
      </patternFill>
    </fill>
    <fill>
      <patternFill patternType="solid">
        <fgColor indexed="42"/>
        <bgColor indexed="26"/>
      </patternFill>
    </fill>
    <fill>
      <patternFill patternType="solid">
        <fgColor indexed="46"/>
        <bgColor indexed="24"/>
      </patternFill>
    </fill>
    <fill>
      <patternFill patternType="solid">
        <fgColor indexed="27"/>
        <bgColor indexed="26"/>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57"/>
      </patternFill>
    </fill>
    <fill>
      <patternFill patternType="solid">
        <fgColor indexed="51"/>
        <bgColor indexed="52"/>
      </patternFill>
    </fill>
    <fill>
      <patternFill patternType="solid">
        <fgColor indexed="43"/>
        <bgColor indexed="26"/>
      </patternFill>
    </fill>
    <fill>
      <patternFill patternType="solid">
        <fgColor indexed="26"/>
        <bgColor indexed="27"/>
      </patternFill>
    </fill>
    <fill>
      <patternFill patternType="solid">
        <fgColor indexed="40"/>
        <bgColor indexed="49"/>
      </patternFill>
    </fill>
    <fill>
      <patternFill patternType="solid">
        <fgColor indexed="13"/>
        <bgColor indexed="34"/>
      </patternFill>
    </fill>
    <fill>
      <patternFill patternType="solid">
        <fgColor indexed="9"/>
        <bgColor indexed="26"/>
      </patternFill>
    </fill>
    <fill>
      <patternFill patternType="solid">
        <fgColor indexed="23"/>
        <bgColor indexed="48"/>
      </patternFill>
    </fill>
    <fill>
      <patternFill patternType="solid">
        <fgColor indexed="50"/>
        <bgColor indexed="55"/>
      </patternFill>
    </fill>
    <fill>
      <patternFill patternType="solid">
        <fgColor indexed="10"/>
        <bgColor indexed="16"/>
      </patternFill>
    </fill>
    <fill>
      <patternFill patternType="solid">
        <fgColor indexed="54"/>
        <bgColor indexed="62"/>
      </patternFill>
    </fill>
    <fill>
      <patternFill patternType="solid">
        <fgColor theme="0"/>
        <bgColor indexed="64"/>
      </patternFill>
    </fill>
    <fill>
      <patternFill patternType="solid">
        <fgColor rgb="FFFFFF00"/>
        <bgColor indexed="64"/>
      </patternFill>
    </fill>
    <fill>
      <patternFill patternType="solid">
        <fgColor theme="0"/>
        <bgColor indexed="26"/>
      </patternFill>
    </fill>
    <fill>
      <patternFill patternType="solid">
        <fgColor theme="4" tint="0.59999389629810485"/>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0"/>
        <bgColor indexed="34"/>
      </patternFill>
    </fill>
    <fill>
      <patternFill patternType="solid">
        <fgColor rgb="FFFFC00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FFFF00"/>
        <bgColor indexed="26"/>
      </patternFill>
    </fill>
    <fill>
      <patternFill patternType="solid">
        <fgColor rgb="FFFF0000"/>
        <bgColor indexed="64"/>
      </patternFill>
    </fill>
    <fill>
      <patternFill patternType="solid">
        <fgColor theme="6"/>
        <bgColor indexed="64"/>
      </patternFill>
    </fill>
    <fill>
      <patternFill patternType="solid">
        <fgColor rgb="FF92D050"/>
        <bgColor indexed="64"/>
      </patternFill>
    </fill>
    <fill>
      <patternFill patternType="solid">
        <fgColor theme="5" tint="0.79998168889431442"/>
        <bgColor indexed="64"/>
      </patternFill>
    </fill>
    <fill>
      <patternFill patternType="solid">
        <fgColor theme="5" tint="0.79998168889431442"/>
        <bgColor indexed="26"/>
      </patternFill>
    </fill>
    <fill>
      <patternFill patternType="solid">
        <fgColor rgb="FF00FFFF"/>
        <bgColor indexed="64"/>
      </patternFill>
    </fill>
    <fill>
      <patternFill patternType="solid">
        <fgColor theme="0" tint="-4.9989318521683403E-2"/>
        <bgColor indexed="64"/>
      </patternFill>
    </fill>
    <fill>
      <patternFill patternType="solid">
        <fgColor theme="6" tint="-0.249977111117893"/>
        <bgColor indexed="64"/>
      </patternFill>
    </fill>
    <fill>
      <patternFill patternType="solid">
        <fgColor theme="4"/>
        <bgColor indexed="64"/>
      </patternFill>
    </fill>
    <fill>
      <patternFill patternType="solid">
        <fgColor theme="9" tint="-0.249977111117893"/>
        <bgColor indexed="64"/>
      </patternFill>
    </fill>
    <fill>
      <patternFill patternType="solid">
        <fgColor theme="2" tint="-0.249977111117893"/>
        <bgColor indexed="26"/>
      </patternFill>
    </fill>
    <fill>
      <patternFill patternType="solid">
        <fgColor theme="7" tint="0.59999389629810485"/>
        <bgColor indexed="26"/>
      </patternFill>
    </fill>
    <fill>
      <patternFill patternType="solid">
        <fgColor theme="5" tint="0.39997558519241921"/>
        <bgColor indexed="26"/>
      </patternFill>
    </fill>
    <fill>
      <patternFill patternType="solid">
        <fgColor theme="6" tint="0.59999389629810485"/>
        <bgColor indexed="26"/>
      </patternFill>
    </fill>
    <fill>
      <patternFill patternType="solid">
        <fgColor theme="8" tint="0.59999389629810485"/>
        <bgColor indexed="26"/>
      </patternFill>
    </fill>
    <fill>
      <patternFill patternType="solid">
        <fgColor theme="8" tint="-0.249977111117893"/>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rgb="FFFB31C6"/>
        <bgColor indexed="64"/>
      </patternFill>
    </fill>
    <fill>
      <patternFill patternType="solid">
        <fgColor theme="5"/>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4" tint="-0.499984740745262"/>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5" tint="-0.249977111117893"/>
        <bgColor indexed="64"/>
      </patternFill>
    </fill>
  </fills>
  <borders count="107">
    <border>
      <left/>
      <right/>
      <top/>
      <bottom/>
      <diagonal/>
    </border>
    <border>
      <left style="thin">
        <color indexed="55"/>
      </left>
      <right style="thin">
        <color indexed="55"/>
      </right>
      <top style="thin">
        <color indexed="55"/>
      </top>
      <bottom style="thin">
        <color indexed="55"/>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top/>
      <bottom/>
      <diagonal/>
    </border>
    <border>
      <left/>
      <right style="medium">
        <color indexed="8"/>
      </right>
      <top/>
      <bottom/>
      <diagonal/>
    </border>
    <border>
      <left/>
      <right/>
      <top/>
      <bottom style="thin">
        <color indexed="8"/>
      </bottom>
      <diagonal/>
    </border>
    <border>
      <left style="hair">
        <color indexed="8"/>
      </left>
      <right/>
      <top style="thin">
        <color indexed="8"/>
      </top>
      <bottom style="hair">
        <color indexed="8"/>
      </bottom>
      <diagonal/>
    </border>
    <border>
      <left style="hair">
        <color indexed="8"/>
      </left>
      <right style="hair">
        <color indexed="8"/>
      </right>
      <top style="thin">
        <color indexed="8"/>
      </top>
      <bottom style="hair">
        <color indexed="8"/>
      </bottom>
      <diagonal/>
    </border>
    <border>
      <left style="medium">
        <color indexed="8"/>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thin">
        <color indexed="8"/>
      </top>
      <bottom style="hair">
        <color indexed="8"/>
      </bottom>
      <diagonal/>
    </border>
    <border>
      <left/>
      <right style="thin">
        <color indexed="8"/>
      </right>
      <top style="thin">
        <color indexed="8"/>
      </top>
      <bottom style="thin">
        <color indexed="8"/>
      </bottom>
      <diagonal/>
    </border>
    <border>
      <left/>
      <right/>
      <top style="thin">
        <color indexed="8"/>
      </top>
      <bottom style="double">
        <color indexed="8"/>
      </bottom>
      <diagonal/>
    </border>
    <border>
      <left style="medium">
        <color indexed="8"/>
      </left>
      <right style="hair">
        <color indexed="8"/>
      </right>
      <top/>
      <bottom style="hair">
        <color indexed="8"/>
      </bottom>
      <diagonal/>
    </border>
    <border>
      <left style="hair">
        <color indexed="8"/>
      </left>
      <right style="hair">
        <color indexed="8"/>
      </right>
      <top/>
      <bottom style="hair">
        <color indexed="8"/>
      </bottom>
      <diagonal/>
    </border>
    <border>
      <left style="hair">
        <color indexed="8"/>
      </left>
      <right/>
      <top/>
      <bottom style="hair">
        <color indexed="8"/>
      </bottom>
      <diagonal/>
    </border>
    <border>
      <left style="hair">
        <color indexed="8"/>
      </left>
      <right style="medium">
        <color indexed="8"/>
      </right>
      <top/>
      <bottom style="hair">
        <color indexed="8"/>
      </bottom>
      <diagonal/>
    </border>
    <border>
      <left/>
      <right style="hair">
        <color indexed="8"/>
      </right>
      <top/>
      <bottom style="hair">
        <color indexed="8"/>
      </bottom>
      <diagonal/>
    </border>
    <border>
      <left/>
      <right/>
      <top/>
      <bottom style="double">
        <color indexed="8"/>
      </bottom>
      <diagonal/>
    </border>
    <border>
      <left/>
      <right style="thin">
        <color indexed="8"/>
      </right>
      <top/>
      <bottom style="thin">
        <color indexed="8"/>
      </bottom>
      <diagonal/>
    </border>
    <border>
      <left/>
      <right style="thin">
        <color indexed="8"/>
      </right>
      <top style="thin">
        <color indexed="8"/>
      </top>
      <bottom/>
      <diagonal/>
    </border>
    <border>
      <left/>
      <right/>
      <top style="thin">
        <color indexed="8"/>
      </top>
      <bottom style="thin">
        <color indexed="8"/>
      </bottom>
      <diagonal/>
    </border>
    <border>
      <left style="thin">
        <color indexed="8"/>
      </left>
      <right style="thin">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thin">
        <color indexed="8"/>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top style="thin">
        <color indexed="8"/>
      </top>
      <bottom style="double">
        <color indexed="8"/>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bottom style="double">
        <color indexed="64"/>
      </bottom>
      <diagonal/>
    </border>
    <border>
      <left style="thin">
        <color indexed="64"/>
      </left>
      <right style="thin">
        <color indexed="64"/>
      </right>
      <top/>
      <bottom style="thin">
        <color indexed="64"/>
      </bottom>
      <diagonal/>
    </border>
    <border>
      <left/>
      <right/>
      <top/>
      <bottom style="medium">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8"/>
      </top>
      <bottom/>
      <diagonal/>
    </border>
    <border>
      <left style="medium">
        <color indexed="8"/>
      </left>
      <right style="medium">
        <color indexed="8"/>
      </right>
      <top style="medium">
        <color indexed="8"/>
      </top>
      <bottom/>
      <diagonal/>
    </border>
    <border>
      <left style="medium">
        <color indexed="64"/>
      </left>
      <right style="medium">
        <color indexed="64"/>
      </right>
      <top style="medium">
        <color indexed="64"/>
      </top>
      <bottom style="medium">
        <color indexed="64"/>
      </bottom>
      <diagonal/>
    </border>
    <border>
      <left style="medium">
        <color indexed="8"/>
      </left>
      <right style="medium">
        <color indexed="8"/>
      </right>
      <top/>
      <bottom/>
      <diagonal/>
    </border>
    <border>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style="thin">
        <color indexed="8"/>
      </right>
      <top style="medium">
        <color indexed="64"/>
      </top>
      <bottom style="thin">
        <color indexed="8"/>
      </bottom>
      <diagonal/>
    </border>
    <border>
      <left style="medium">
        <color indexed="8"/>
      </left>
      <right style="thin">
        <color indexed="8"/>
      </right>
      <top style="medium">
        <color indexed="64"/>
      </top>
      <bottom/>
      <diagonal/>
    </border>
    <border>
      <left style="thin">
        <color indexed="8"/>
      </left>
      <right/>
      <top style="medium">
        <color indexed="64"/>
      </top>
      <bottom/>
      <diagonal/>
    </border>
    <border>
      <left style="thin">
        <color indexed="8"/>
      </left>
      <right style="medium">
        <color indexed="8"/>
      </right>
      <top style="medium">
        <color indexed="64"/>
      </top>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style="hair">
        <color indexed="64"/>
      </right>
      <top style="medium">
        <color indexed="64"/>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double">
        <color indexed="64"/>
      </bottom>
      <diagonal/>
    </border>
    <border>
      <left/>
      <right/>
      <top style="hair">
        <color indexed="64"/>
      </top>
      <bottom style="double">
        <color indexed="64"/>
      </bottom>
      <diagonal/>
    </border>
    <border>
      <left style="hair">
        <color indexed="64"/>
      </left>
      <right style="hair">
        <color indexed="64"/>
      </right>
      <top/>
      <bottom style="hair">
        <color indexed="64"/>
      </bottom>
      <diagonal/>
    </border>
    <border>
      <left style="thin">
        <color indexed="8"/>
      </left>
      <right style="thin">
        <color indexed="8"/>
      </right>
      <top style="hair">
        <color indexed="64"/>
      </top>
      <bottom style="double">
        <color indexed="64"/>
      </bottom>
      <diagonal/>
    </border>
    <border>
      <left/>
      <right/>
      <top style="hair">
        <color indexed="64"/>
      </top>
      <bottom/>
      <diagonal/>
    </border>
    <border>
      <left style="thin">
        <color indexed="8"/>
      </left>
      <right/>
      <top style="hair">
        <color indexed="64"/>
      </top>
      <bottom style="double">
        <color indexed="64"/>
      </bottom>
      <diagonal/>
    </border>
    <border>
      <left/>
      <right/>
      <top style="thin">
        <color indexed="64"/>
      </top>
      <bottom style="medium">
        <color indexed="64"/>
      </bottom>
      <diagonal/>
    </border>
    <border>
      <left style="hair">
        <color indexed="64"/>
      </left>
      <right style="hair">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96">
    <xf numFmtId="0" fontId="0" fillId="0" borderId="0"/>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5" borderId="0" applyNumberFormat="0" applyBorder="0" applyAlignment="0" applyProtection="0"/>
    <xf numFmtId="0" fontId="16" fillId="8" borderId="0" applyNumberFormat="0" applyBorder="0" applyAlignment="0" applyProtection="0"/>
    <xf numFmtId="0" fontId="16" fillId="11" borderId="0" applyNumberFormat="0" applyBorder="0" applyAlignment="0" applyProtection="0"/>
    <xf numFmtId="0" fontId="17" fillId="0" borderId="0" applyBorder="0" applyProtection="0"/>
    <xf numFmtId="0" fontId="17" fillId="0" borderId="0" applyBorder="0" applyProtection="0">
      <alignment horizontal="left"/>
    </xf>
    <xf numFmtId="166" fontId="18" fillId="0" borderId="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19" fillId="0" borderId="0" applyFill="0" applyBorder="0" applyAlignment="0" applyProtection="0"/>
    <xf numFmtId="167" fontId="51" fillId="0" borderId="0" applyBorder="0" applyProtection="0"/>
    <xf numFmtId="168"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168" fontId="19" fillId="0" borderId="0" applyFill="0" applyBorder="0" applyAlignment="0" applyProtection="0"/>
    <xf numFmtId="168" fontId="51" fillId="0" borderId="0" applyFill="0" applyBorder="0" applyAlignment="0" applyProtection="0"/>
    <xf numFmtId="168" fontId="19"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0" fontId="17" fillId="0" borderId="0" applyBorder="0" applyProtection="0"/>
    <xf numFmtId="0" fontId="18" fillId="0" borderId="0"/>
    <xf numFmtId="166" fontId="18" fillId="0" borderId="0"/>
    <xf numFmtId="166" fontId="51" fillId="0" borderId="0" applyFill="0" applyBorder="0" applyAlignment="0" applyProtection="0"/>
    <xf numFmtId="166" fontId="51" fillId="0" borderId="0" applyFill="0" applyBorder="0" applyAlignment="0" applyProtection="0"/>
    <xf numFmtId="169" fontId="51" fillId="0" borderId="0" applyFill="0" applyBorder="0" applyAlignment="0" applyProtection="0"/>
    <xf numFmtId="169" fontId="51" fillId="0" borderId="0" applyFill="0" applyBorder="0" applyAlignment="0" applyProtection="0"/>
    <xf numFmtId="169" fontId="51" fillId="0" borderId="0" applyFill="0" applyBorder="0" applyAlignment="0" applyProtection="0"/>
    <xf numFmtId="169"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6"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168" fontId="51" fillId="0" borderId="0" applyFill="0" applyBorder="0" applyAlignment="0" applyProtection="0"/>
    <xf numFmtId="0" fontId="17" fillId="0" borderId="0"/>
    <xf numFmtId="0" fontId="17" fillId="0" borderId="0"/>
    <xf numFmtId="0" fontId="51" fillId="0" borderId="0"/>
    <xf numFmtId="0" fontId="19" fillId="0" borderId="0"/>
    <xf numFmtId="0" fontId="5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51" fillId="0" borderId="0"/>
    <xf numFmtId="0" fontId="5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1" fillId="0" borderId="0"/>
    <xf numFmtId="0" fontId="51" fillId="0" borderId="0"/>
    <xf numFmtId="0" fontId="16" fillId="0" borderId="0"/>
    <xf numFmtId="0" fontId="51" fillId="0" borderId="0"/>
    <xf numFmtId="0" fontId="51" fillId="0" borderId="0"/>
    <xf numFmtId="0" fontId="51" fillId="0" borderId="0"/>
    <xf numFmtId="0" fontId="16" fillId="0" borderId="0"/>
    <xf numFmtId="0" fontId="16" fillId="0" borderId="0"/>
    <xf numFmtId="0" fontId="16" fillId="0" borderId="0"/>
    <xf numFmtId="0" fontId="19" fillId="0" borderId="0"/>
    <xf numFmtId="0" fontId="16" fillId="0" borderId="0"/>
    <xf numFmtId="0" fontId="16" fillId="0" borderId="0"/>
    <xf numFmtId="0" fontId="1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1" fillId="0" borderId="0"/>
    <xf numFmtId="0" fontId="16" fillId="0" borderId="0"/>
    <xf numFmtId="0" fontId="16" fillId="0" borderId="0"/>
    <xf numFmtId="0" fontId="16" fillId="0" borderId="0"/>
    <xf numFmtId="0" fontId="16" fillId="0" borderId="0"/>
    <xf numFmtId="0" fontId="16" fillId="0" borderId="0"/>
    <xf numFmtId="0" fontId="16" fillId="0" borderId="0"/>
    <xf numFmtId="0" fontId="51" fillId="0" borderId="0"/>
    <xf numFmtId="0" fontId="51" fillId="0" borderId="0"/>
    <xf numFmtId="0" fontId="51" fillId="0" borderId="0"/>
    <xf numFmtId="0" fontId="19" fillId="0" borderId="0"/>
    <xf numFmtId="0" fontId="51" fillId="0" borderId="0"/>
    <xf numFmtId="0" fontId="51" fillId="0" borderId="0"/>
    <xf numFmtId="0" fontId="51" fillId="12" borderId="1" applyNumberFormat="0" applyAlignment="0" applyProtection="0"/>
    <xf numFmtId="0" fontId="51" fillId="12" borderId="1" applyNumberFormat="0" applyAlignment="0" applyProtection="0"/>
    <xf numFmtId="0" fontId="51" fillId="13" borderId="2" applyNumberFormat="0" applyAlignment="0" applyProtection="0"/>
    <xf numFmtId="0" fontId="51" fillId="13" borderId="2" applyNumberFormat="0" applyAlignment="0" applyProtection="0"/>
    <xf numFmtId="0" fontId="51" fillId="13" borderId="2" applyNumberFormat="0" applyAlignment="0" applyProtection="0"/>
    <xf numFmtId="0" fontId="51" fillId="13" borderId="2" applyNumberFormat="0" applyAlignment="0" applyProtection="0"/>
    <xf numFmtId="0" fontId="51" fillId="12" borderId="1" applyNumberFormat="0" applyAlignment="0" applyProtection="0"/>
    <xf numFmtId="0" fontId="51" fillId="13" borderId="2" applyNumberFormat="0" applyAlignment="0" applyProtection="0"/>
    <xf numFmtId="0" fontId="51" fillId="12" borderId="1" applyNumberFormat="0" applyAlignment="0" applyProtection="0"/>
    <xf numFmtId="9" fontId="18" fillId="0" borderId="0"/>
    <xf numFmtId="9" fontId="51" fillId="0" borderId="0" applyFill="0" applyBorder="0" applyAlignment="0" applyProtection="0"/>
    <xf numFmtId="9" fontId="51" fillId="0" borderId="0" applyFill="0" applyBorder="0" applyAlignment="0" applyProtection="0"/>
    <xf numFmtId="9" fontId="51" fillId="0" borderId="0" applyFill="0" applyBorder="0" applyAlignment="0" applyProtection="0"/>
    <xf numFmtId="9" fontId="51" fillId="0" borderId="0" applyFill="0" applyBorder="0" applyAlignment="0" applyProtection="0"/>
    <xf numFmtId="9" fontId="51" fillId="0" borderId="0" applyFill="0" applyBorder="0" applyAlignment="0" applyProtection="0"/>
    <xf numFmtId="9" fontId="51" fillId="0" borderId="0" applyFill="0" applyBorder="0" applyAlignment="0" applyProtection="0"/>
    <xf numFmtId="9" fontId="19" fillId="0" borderId="0" applyFill="0" applyBorder="0" applyAlignment="0" applyProtection="0"/>
    <xf numFmtId="9" fontId="18" fillId="0" borderId="0"/>
    <xf numFmtId="9" fontId="51" fillId="0" borderId="0" applyFill="0" applyBorder="0" applyAlignment="0" applyProtection="0"/>
    <xf numFmtId="9" fontId="51" fillId="0" borderId="0" applyFill="0" applyBorder="0" applyAlignment="0" applyProtection="0"/>
    <xf numFmtId="9" fontId="51" fillId="0" borderId="0" applyFill="0" applyBorder="0" applyAlignment="0" applyProtection="0"/>
    <xf numFmtId="9" fontId="51" fillId="0" borderId="0" applyFill="0" applyBorder="0" applyAlignment="0" applyProtection="0"/>
    <xf numFmtId="9" fontId="51" fillId="0" borderId="0" applyFill="0" applyBorder="0" applyAlignment="0" applyProtection="0"/>
    <xf numFmtId="0" fontId="21" fillId="0" borderId="0" applyBorder="0" applyProtection="0"/>
    <xf numFmtId="0" fontId="21" fillId="0" borderId="0" applyBorder="0" applyProtection="0">
      <alignment horizontal="left"/>
    </xf>
    <xf numFmtId="0" fontId="17" fillId="0" borderId="0" applyBorder="0" applyProtection="0"/>
    <xf numFmtId="0" fontId="15" fillId="0" borderId="0"/>
    <xf numFmtId="165" fontId="15" fillId="0" borderId="0" applyFont="0" applyFill="0" applyBorder="0" applyAlignment="0" applyProtection="0"/>
    <xf numFmtId="0" fontId="14" fillId="0" borderId="0"/>
    <xf numFmtId="0" fontId="14" fillId="0" borderId="0"/>
    <xf numFmtId="0" fontId="11" fillId="0" borderId="0"/>
    <xf numFmtId="0" fontId="10" fillId="0" borderId="0"/>
    <xf numFmtId="0" fontId="9"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6"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cellStyleXfs>
  <cellXfs count="2324">
    <xf numFmtId="0" fontId="0" fillId="0" borderId="0" xfId="0"/>
    <xf numFmtId="0" fontId="18" fillId="0" borderId="0" xfId="93"/>
    <xf numFmtId="166" fontId="18" fillId="0" borderId="0" xfId="94"/>
    <xf numFmtId="0" fontId="18" fillId="0" borderId="0" xfId="93" applyFill="1" applyBorder="1"/>
    <xf numFmtId="0" fontId="24" fillId="0" borderId="0" xfId="93" applyFont="1" applyFill="1"/>
    <xf numFmtId="0" fontId="29" fillId="0" borderId="0" xfId="93" applyFont="1" applyFill="1"/>
    <xf numFmtId="0" fontId="26" fillId="0" borderId="0" xfId="93" applyFont="1" applyFill="1"/>
    <xf numFmtId="0" fontId="24" fillId="0" borderId="0" xfId="93" applyFont="1" applyFill="1" applyBorder="1"/>
    <xf numFmtId="0" fontId="30" fillId="0" borderId="0" xfId="93" applyFont="1" applyFill="1"/>
    <xf numFmtId="0" fontId="26" fillId="0" borderId="0" xfId="93" applyFont="1" applyFill="1" applyAlignment="1"/>
    <xf numFmtId="0" fontId="24" fillId="0" borderId="0" xfId="93" applyFont="1" applyFill="1" applyAlignment="1">
      <alignment horizontal="center"/>
    </xf>
    <xf numFmtId="0" fontId="30" fillId="0" borderId="0" xfId="93" applyFont="1" applyFill="1" applyBorder="1" applyAlignment="1">
      <alignment horizontal="center"/>
    </xf>
    <xf numFmtId="0" fontId="37" fillId="0" borderId="0" xfId="93" applyFont="1" applyFill="1" applyBorder="1" applyAlignment="1">
      <alignment horizontal="left"/>
    </xf>
    <xf numFmtId="0" fontId="38" fillId="0" borderId="0" xfId="93" applyFont="1" applyFill="1" applyBorder="1" applyAlignment="1">
      <alignment horizontal="left"/>
    </xf>
    <xf numFmtId="0" fontId="30" fillId="0" borderId="0" xfId="93" applyFont="1" applyFill="1" applyBorder="1"/>
    <xf numFmtId="40" fontId="24" fillId="0" borderId="0" xfId="93" applyNumberFormat="1" applyFont="1" applyFill="1" applyBorder="1"/>
    <xf numFmtId="166" fontId="16" fillId="0" borderId="0" xfId="94" applyFont="1" applyFill="1" applyBorder="1"/>
    <xf numFmtId="170" fontId="16" fillId="0" borderId="0" xfId="93" applyNumberFormat="1" applyFont="1" applyFill="1" applyBorder="1"/>
    <xf numFmtId="0" fontId="16" fillId="0" borderId="0" xfId="93" applyFont="1" applyFill="1" applyBorder="1"/>
    <xf numFmtId="0" fontId="16" fillId="0" borderId="0" xfId="93" applyFont="1" applyFill="1"/>
    <xf numFmtId="0" fontId="27" fillId="0" borderId="0" xfId="93" applyFont="1" applyFill="1"/>
    <xf numFmtId="0" fontId="27" fillId="0" borderId="0" xfId="93" applyFont="1" applyFill="1" applyBorder="1"/>
    <xf numFmtId="0" fontId="29" fillId="0" borderId="0" xfId="93" applyFont="1" applyFill="1" applyBorder="1"/>
    <xf numFmtId="0" fontId="33" fillId="0" borderId="0" xfId="93" applyFont="1" applyFill="1" applyBorder="1"/>
    <xf numFmtId="0" fontId="32" fillId="0" borderId="0" xfId="93" applyFont="1" applyFill="1" applyBorder="1"/>
    <xf numFmtId="170" fontId="16" fillId="0" borderId="28" xfId="93" applyNumberFormat="1" applyFont="1" applyFill="1" applyBorder="1"/>
    <xf numFmtId="0" fontId="18" fillId="0" borderId="0" xfId="93" applyFill="1"/>
    <xf numFmtId="0" fontId="18" fillId="0" borderId="5" xfId="93" applyFont="1" applyFill="1" applyBorder="1"/>
    <xf numFmtId="166" fontId="18" fillId="0" borderId="5" xfId="94" applyBorder="1"/>
    <xf numFmtId="1" fontId="18" fillId="0" borderId="5" xfId="93" applyNumberFormat="1" applyFont="1" applyFill="1" applyBorder="1"/>
    <xf numFmtId="0" fontId="18" fillId="0" borderId="3" xfId="93" applyFont="1" applyFill="1" applyBorder="1"/>
    <xf numFmtId="176" fontId="18" fillId="0" borderId="27" xfId="93" applyNumberFormat="1" applyFill="1" applyBorder="1" applyAlignment="1">
      <alignment horizontal="right"/>
    </xf>
    <xf numFmtId="0" fontId="0" fillId="0" borderId="3" xfId="93" applyFont="1" applyFill="1" applyBorder="1"/>
    <xf numFmtId="0" fontId="24" fillId="16" borderId="3" xfId="93" applyFont="1" applyFill="1" applyBorder="1"/>
    <xf numFmtId="0" fontId="24" fillId="16" borderId="0" xfId="93" applyFont="1" applyFill="1" applyBorder="1"/>
    <xf numFmtId="0" fontId="18" fillId="0" borderId="0" xfId="93" applyFont="1" applyFill="1" applyBorder="1"/>
    <xf numFmtId="0" fontId="40" fillId="0" borderId="0" xfId="93" applyFont="1" applyFill="1" applyBorder="1"/>
    <xf numFmtId="166" fontId="18" fillId="0" borderId="0" xfId="93" applyNumberFormat="1" applyFill="1"/>
    <xf numFmtId="176" fontId="41" fillId="0" borderId="0" xfId="93" applyNumberFormat="1" applyFont="1" applyFill="1" applyBorder="1" applyAlignment="1">
      <alignment horizontal="left"/>
    </xf>
    <xf numFmtId="0" fontId="24" fillId="0" borderId="0" xfId="93" applyFont="1" applyFill="1" applyBorder="1" applyAlignment="1"/>
    <xf numFmtId="1" fontId="34" fillId="0" borderId="0" xfId="0" applyNumberFormat="1" applyFont="1"/>
    <xf numFmtId="0" fontId="29" fillId="15" borderId="3" xfId="93" applyFont="1" applyFill="1" applyBorder="1"/>
    <xf numFmtId="0" fontId="18" fillId="15" borderId="0" xfId="93" applyFont="1" applyFill="1" applyBorder="1"/>
    <xf numFmtId="0" fontId="0" fillId="15" borderId="0" xfId="0" applyFill="1" applyAlignment="1">
      <alignment horizontal="left"/>
    </xf>
    <xf numFmtId="0" fontId="43" fillId="0" borderId="0" xfId="0" applyFont="1" applyAlignment="1">
      <alignment vertical="center"/>
    </xf>
    <xf numFmtId="0" fontId="44" fillId="0" borderId="0" xfId="0" applyFont="1"/>
    <xf numFmtId="0" fontId="44" fillId="16" borderId="0" xfId="0" applyFont="1" applyFill="1"/>
    <xf numFmtId="0" fontId="29" fillId="0" borderId="39" xfId="93" applyFont="1" applyFill="1" applyBorder="1"/>
    <xf numFmtId="0" fontId="24" fillId="15" borderId="0" xfId="93" applyFont="1" applyFill="1" applyBorder="1"/>
    <xf numFmtId="0" fontId="24" fillId="14" borderId="0" xfId="93" applyFont="1" applyFill="1" applyBorder="1"/>
    <xf numFmtId="0" fontId="41" fillId="0" borderId="0" xfId="93" applyFont="1" applyFill="1" applyBorder="1"/>
    <xf numFmtId="0" fontId="42" fillId="0" borderId="0" xfId="93" applyFont="1" applyFill="1" applyBorder="1"/>
    <xf numFmtId="0" fontId="44" fillId="0" borderId="0" xfId="0" applyFont="1" applyFill="1"/>
    <xf numFmtId="0" fontId="29" fillId="0" borderId="21" xfId="93" applyFont="1" applyFill="1" applyBorder="1"/>
    <xf numFmtId="0" fontId="29" fillId="0" borderId="3" xfId="93" applyFont="1" applyFill="1" applyBorder="1"/>
    <xf numFmtId="0" fontId="24" fillId="0" borderId="39" xfId="93" applyFont="1" applyFill="1" applyBorder="1"/>
    <xf numFmtId="0" fontId="40" fillId="16" borderId="0" xfId="93" applyFont="1" applyFill="1" applyBorder="1"/>
    <xf numFmtId="0" fontId="24" fillId="16" borderId="39" xfId="93" applyFont="1" applyFill="1" applyBorder="1"/>
    <xf numFmtId="0" fontId="39" fillId="0" borderId="0" xfId="93" applyFont="1"/>
    <xf numFmtId="0" fontId="34" fillId="0" borderId="7" xfId="93" applyFont="1" applyBorder="1" applyAlignment="1">
      <alignment horizontal="center"/>
    </xf>
    <xf numFmtId="166" fontId="34" fillId="0" borderId="7" xfId="15" applyFont="1" applyBorder="1" applyAlignment="1">
      <alignment horizontal="center"/>
    </xf>
    <xf numFmtId="170" fontId="30" fillId="0" borderId="0" xfId="93" applyNumberFormat="1" applyFont="1" applyFill="1" applyBorder="1" applyAlignment="1">
      <alignment horizontal="center" wrapText="1"/>
    </xf>
    <xf numFmtId="4" fontId="16" fillId="0" borderId="0" xfId="93" applyNumberFormat="1" applyFont="1" applyFill="1" applyBorder="1"/>
    <xf numFmtId="38" fontId="24" fillId="0" borderId="0" xfId="93" applyNumberFormat="1" applyFont="1" applyFill="1" applyBorder="1"/>
    <xf numFmtId="0" fontId="0" fillId="0" borderId="0" xfId="0" applyFill="1" applyBorder="1"/>
    <xf numFmtId="4" fontId="27" fillId="0" borderId="0" xfId="94" applyNumberFormat="1" applyFont="1" applyFill="1" applyBorder="1" applyAlignment="1" applyProtection="1"/>
    <xf numFmtId="4" fontId="16" fillId="0" borderId="0" xfId="94" applyNumberFormat="1" applyFont="1" applyFill="1" applyBorder="1" applyAlignment="1" applyProtection="1"/>
    <xf numFmtId="4" fontId="16" fillId="0" borderId="0" xfId="0" applyNumberFormat="1" applyFont="1" applyFill="1"/>
    <xf numFmtId="166" fontId="16" fillId="0" borderId="0" xfId="94" applyFont="1" applyFill="1" applyBorder="1" applyAlignment="1">
      <alignment horizontal="right"/>
    </xf>
    <xf numFmtId="166" fontId="27" fillId="0" borderId="0" xfId="94" applyFont="1" applyFill="1" applyBorder="1"/>
    <xf numFmtId="4" fontId="27" fillId="0" borderId="28" xfId="93" applyNumberFormat="1" applyFont="1" applyFill="1" applyBorder="1"/>
    <xf numFmtId="0" fontId="39" fillId="0" borderId="42" xfId="93" applyFont="1" applyFill="1" applyBorder="1" applyAlignment="1">
      <alignment wrapText="1"/>
    </xf>
    <xf numFmtId="2" fontId="18" fillId="0" borderId="5" xfId="93" applyNumberFormat="1" applyFont="1" applyFill="1" applyBorder="1"/>
    <xf numFmtId="1" fontId="18" fillId="0" borderId="27" xfId="93" applyNumberFormat="1" applyFont="1" applyFill="1" applyBorder="1"/>
    <xf numFmtId="0" fontId="18" fillId="0" borderId="0" xfId="93" applyFont="1" applyBorder="1"/>
    <xf numFmtId="0" fontId="29" fillId="14" borderId="3" xfId="93" applyFont="1" applyFill="1" applyBorder="1"/>
    <xf numFmtId="0" fontId="18" fillId="0" borderId="5" xfId="93" applyFont="1" applyBorder="1"/>
    <xf numFmtId="177" fontId="41" fillId="0" borderId="0" xfId="93" applyNumberFormat="1" applyFont="1" applyFill="1" applyBorder="1" applyAlignment="1">
      <alignment horizontal="left"/>
    </xf>
    <xf numFmtId="166" fontId="16" fillId="0" borderId="0" xfId="94" applyFont="1" applyFill="1"/>
    <xf numFmtId="170" fontId="16" fillId="0" borderId="0" xfId="93" applyNumberFormat="1" applyFont="1" applyFill="1"/>
    <xf numFmtId="170" fontId="27" fillId="0" borderId="0" xfId="93" applyNumberFormat="1" applyFont="1" applyFill="1" applyAlignment="1"/>
    <xf numFmtId="0" fontId="16" fillId="0" borderId="0" xfId="93" applyFont="1" applyFill="1" applyBorder="1" applyAlignment="1">
      <alignment horizontal="center"/>
    </xf>
    <xf numFmtId="0" fontId="48" fillId="0" borderId="0" xfId="93" applyFont="1" applyFill="1" applyBorder="1" applyAlignment="1">
      <alignment horizontal="left"/>
    </xf>
    <xf numFmtId="170" fontId="27" fillId="0" borderId="0" xfId="93" applyNumberFormat="1" applyFont="1" applyFill="1" applyBorder="1" applyAlignment="1">
      <alignment horizontal="center" wrapText="1"/>
    </xf>
    <xf numFmtId="170" fontId="27" fillId="0" borderId="0" xfId="93" applyNumberFormat="1" applyFont="1" applyFill="1" applyBorder="1" applyAlignment="1">
      <alignment horizontal="center"/>
    </xf>
    <xf numFmtId="4" fontId="27" fillId="0" borderId="28" xfId="93" applyNumberFormat="1" applyFont="1" applyFill="1" applyBorder="1" applyAlignment="1">
      <alignment horizontal="right" wrapText="1"/>
    </xf>
    <xf numFmtId="4" fontId="27" fillId="0" borderId="44" xfId="93" applyNumberFormat="1" applyFont="1" applyFill="1" applyBorder="1" applyAlignment="1">
      <alignment horizontal="right" wrapText="1"/>
    </xf>
    <xf numFmtId="4" fontId="27" fillId="0" borderId="0" xfId="93" applyNumberFormat="1" applyFont="1" applyFill="1" applyBorder="1" applyAlignment="1">
      <alignment horizontal="right" wrapText="1"/>
    </xf>
    <xf numFmtId="4" fontId="28" fillId="0" borderId="28" xfId="93" applyNumberFormat="1" applyFont="1" applyFill="1" applyBorder="1"/>
    <xf numFmtId="4" fontId="27" fillId="0" borderId="28" xfId="94" applyNumberFormat="1" applyFont="1" applyFill="1" applyBorder="1" applyAlignment="1" applyProtection="1"/>
    <xf numFmtId="4" fontId="27" fillId="0" borderId="37" xfId="94" applyNumberFormat="1" applyFont="1" applyFill="1" applyBorder="1" applyAlignment="1" applyProtection="1"/>
    <xf numFmtId="0" fontId="18" fillId="0" borderId="41" xfId="93" applyFill="1" applyBorder="1" applyAlignment="1">
      <alignment wrapText="1"/>
    </xf>
    <xf numFmtId="0" fontId="39" fillId="0" borderId="41" xfId="93" applyFont="1" applyFill="1" applyBorder="1" applyAlignment="1">
      <alignment wrapText="1"/>
    </xf>
    <xf numFmtId="0" fontId="39" fillId="0" borderId="42" xfId="93" applyFont="1" applyFill="1" applyBorder="1" applyAlignment="1">
      <alignment horizontal="center" wrapText="1"/>
    </xf>
    <xf numFmtId="0" fontId="39" fillId="0" borderId="43" xfId="93" applyFont="1" applyFill="1" applyBorder="1" applyAlignment="1">
      <alignment wrapText="1"/>
    </xf>
    <xf numFmtId="0" fontId="18" fillId="0" borderId="0" xfId="93" applyFill="1" applyAlignment="1">
      <alignment wrapText="1"/>
    </xf>
    <xf numFmtId="0" fontId="0" fillId="0" borderId="5" xfId="93" applyFont="1" applyFill="1" applyBorder="1"/>
    <xf numFmtId="176" fontId="18" fillId="0" borderId="5" xfId="93" applyNumberFormat="1" applyFill="1" applyBorder="1" applyAlignment="1">
      <alignment horizontal="right"/>
    </xf>
    <xf numFmtId="0" fontId="18" fillId="18" borderId="5" xfId="93" applyFont="1" applyFill="1" applyBorder="1"/>
    <xf numFmtId="1" fontId="18" fillId="0" borderId="35" xfId="93" applyNumberFormat="1" applyFont="1" applyFill="1" applyBorder="1"/>
    <xf numFmtId="49" fontId="18" fillId="0" borderId="5" xfId="93" applyNumberFormat="1" applyFont="1" applyFill="1" applyBorder="1"/>
    <xf numFmtId="49" fontId="18" fillId="0" borderId="3" xfId="94" applyNumberFormat="1" applyFill="1" applyBorder="1"/>
    <xf numFmtId="166" fontId="18" fillId="0" borderId="0" xfId="94" applyFont="1" applyFill="1" applyBorder="1" applyAlignment="1" applyProtection="1"/>
    <xf numFmtId="176" fontId="49" fillId="0" borderId="0" xfId="93" applyNumberFormat="1" applyFont="1" applyFill="1" applyBorder="1" applyAlignment="1">
      <alignment horizontal="left"/>
    </xf>
    <xf numFmtId="0" fontId="18" fillId="14" borderId="0" xfId="93" applyFont="1" applyFill="1" applyBorder="1"/>
    <xf numFmtId="176" fontId="49" fillId="14" borderId="0" xfId="93" applyNumberFormat="1" applyFont="1" applyFill="1" applyBorder="1" applyAlignment="1">
      <alignment horizontal="left"/>
    </xf>
    <xf numFmtId="0" fontId="41" fillId="16" borderId="0" xfId="93" applyFont="1" applyFill="1" applyBorder="1"/>
    <xf numFmtId="176" fontId="49" fillId="16" borderId="0" xfId="93" applyNumberFormat="1" applyFont="1" applyFill="1" applyBorder="1" applyAlignment="1">
      <alignment horizontal="left"/>
    </xf>
    <xf numFmtId="0" fontId="45" fillId="0" borderId="0" xfId="0" applyFont="1"/>
    <xf numFmtId="11" fontId="24" fillId="0" borderId="0" xfId="93" applyNumberFormat="1" applyFont="1" applyFill="1" applyBorder="1"/>
    <xf numFmtId="176" fontId="50" fillId="0" borderId="0" xfId="93" applyNumberFormat="1" applyFont="1" applyFill="1" applyBorder="1" applyAlignment="1">
      <alignment horizontal="left"/>
    </xf>
    <xf numFmtId="0" fontId="29" fillId="16" borderId="0" xfId="93" applyFont="1" applyFill="1" applyBorder="1"/>
    <xf numFmtId="176" fontId="50" fillId="16" borderId="0" xfId="93" applyNumberFormat="1" applyFont="1" applyFill="1" applyBorder="1" applyAlignment="1">
      <alignment horizontal="left"/>
    </xf>
    <xf numFmtId="0" fontId="46" fillId="16" borderId="0" xfId="0" applyFont="1" applyFill="1" applyAlignment="1">
      <alignment vertical="center"/>
    </xf>
    <xf numFmtId="0" fontId="49" fillId="0" borderId="0" xfId="93" applyFont="1" applyFill="1" applyBorder="1"/>
    <xf numFmtId="0" fontId="0" fillId="0" borderId="7" xfId="93" applyFont="1" applyFill="1" applyBorder="1"/>
    <xf numFmtId="0" fontId="47" fillId="0" borderId="0" xfId="93" applyFont="1" applyFill="1"/>
    <xf numFmtId="0" fontId="24" fillId="0" borderId="30" xfId="93" applyFont="1" applyFill="1" applyBorder="1"/>
    <xf numFmtId="168" fontId="34" fillId="0" borderId="34" xfId="109" applyFont="1" applyFill="1" applyBorder="1" applyAlignment="1" applyProtection="1"/>
    <xf numFmtId="0" fontId="0" fillId="21" borderId="3" xfId="0" applyFont="1" applyFill="1" applyBorder="1"/>
    <xf numFmtId="4" fontId="24" fillId="0" borderId="0" xfId="93" applyNumberFormat="1" applyFont="1" applyFill="1"/>
    <xf numFmtId="0" fontId="18" fillId="0" borderId="45" xfId="93" applyFont="1" applyFill="1" applyBorder="1"/>
    <xf numFmtId="4" fontId="28" fillId="0" borderId="0" xfId="93" applyNumberFormat="1" applyFont="1" applyFill="1" applyBorder="1"/>
    <xf numFmtId="165" fontId="16" fillId="24" borderId="0" xfId="93" applyNumberFormat="1" applyFont="1" applyFill="1" applyBorder="1"/>
    <xf numFmtId="170" fontId="56" fillId="24" borderId="0" xfId="93" applyNumberFormat="1" applyFont="1" applyFill="1" applyBorder="1"/>
    <xf numFmtId="4" fontId="16" fillId="24" borderId="0" xfId="93" applyNumberFormat="1" applyFont="1" applyFill="1" applyBorder="1"/>
    <xf numFmtId="4" fontId="16" fillId="21" borderId="0" xfId="93" applyNumberFormat="1" applyFont="1" applyFill="1" applyBorder="1"/>
    <xf numFmtId="40" fontId="18" fillId="0" borderId="45" xfId="93" applyNumberFormat="1" applyFont="1" applyFill="1" applyBorder="1"/>
    <xf numFmtId="176" fontId="18" fillId="21" borderId="27" xfId="93" applyNumberFormat="1" applyFill="1" applyBorder="1" applyAlignment="1">
      <alignment horizontal="right"/>
    </xf>
    <xf numFmtId="0" fontId="24" fillId="21" borderId="0" xfId="93" applyFont="1" applyFill="1" applyBorder="1"/>
    <xf numFmtId="40" fontId="24" fillId="21" borderId="0" xfId="93" applyNumberFormat="1" applyFont="1" applyFill="1" applyBorder="1"/>
    <xf numFmtId="166" fontId="16" fillId="21" borderId="0" xfId="94" applyFont="1" applyFill="1" applyBorder="1"/>
    <xf numFmtId="0" fontId="24" fillId="21" borderId="0" xfId="93" applyFont="1" applyFill="1"/>
    <xf numFmtId="38" fontId="24" fillId="21" borderId="0" xfId="93" applyNumberFormat="1" applyFont="1" applyFill="1" applyBorder="1"/>
    <xf numFmtId="0" fontId="16" fillId="21" borderId="0" xfId="163" applyFill="1"/>
    <xf numFmtId="0" fontId="18" fillId="23" borderId="3" xfId="93" applyFont="1" applyFill="1" applyBorder="1"/>
    <xf numFmtId="166" fontId="51" fillId="21" borderId="3" xfId="16" applyFont="1" applyFill="1" applyBorder="1" applyAlignment="1" applyProtection="1"/>
    <xf numFmtId="0" fontId="0" fillId="21" borderId="0" xfId="0" applyFill="1"/>
    <xf numFmtId="176" fontId="18" fillId="25" borderId="27" xfId="93" applyNumberFormat="1" applyFill="1" applyBorder="1" applyAlignment="1">
      <alignment horizontal="right"/>
    </xf>
    <xf numFmtId="2" fontId="18" fillId="0" borderId="0" xfId="93" applyNumberFormat="1" applyFill="1"/>
    <xf numFmtId="2" fontId="18" fillId="0" borderId="0" xfId="94" applyNumberFormat="1"/>
    <xf numFmtId="2" fontId="34" fillId="0" borderId="38" xfId="94" applyNumberFormat="1" applyFont="1" applyBorder="1" applyAlignment="1">
      <alignment wrapText="1"/>
    </xf>
    <xf numFmtId="2" fontId="18" fillId="0" borderId="5" xfId="94" applyNumberFormat="1" applyBorder="1"/>
    <xf numFmtId="2" fontId="18" fillId="0" borderId="0" xfId="94" applyNumberFormat="1" applyFont="1" applyFill="1" applyBorder="1" applyAlignment="1" applyProtection="1"/>
    <xf numFmtId="0" fontId="20" fillId="0" borderId="0" xfId="93" applyFont="1" applyFill="1"/>
    <xf numFmtId="170" fontId="56" fillId="21" borderId="0" xfId="93" applyNumberFormat="1" applyFont="1" applyFill="1" applyBorder="1"/>
    <xf numFmtId="165" fontId="16" fillId="21" borderId="0" xfId="93" applyNumberFormat="1" applyFont="1" applyFill="1" applyBorder="1"/>
    <xf numFmtId="0" fontId="16" fillId="21" borderId="0" xfId="93" applyFont="1" applyFill="1" applyBorder="1" applyAlignment="1">
      <alignment horizontal="right"/>
    </xf>
    <xf numFmtId="4" fontId="16" fillId="21" borderId="0" xfId="0" applyNumberFormat="1" applyFont="1" applyFill="1"/>
    <xf numFmtId="0" fontId="20" fillId="0" borderId="45" xfId="93" applyFont="1" applyFill="1" applyBorder="1"/>
    <xf numFmtId="0" fontId="63" fillId="0" borderId="0" xfId="266" applyFont="1"/>
    <xf numFmtId="0" fontId="15" fillId="0" borderId="0" xfId="266"/>
    <xf numFmtId="180" fontId="15" fillId="0" borderId="0" xfId="266" applyNumberFormat="1"/>
    <xf numFmtId="0" fontId="15" fillId="0" borderId="70" xfId="266" applyBorder="1" applyAlignment="1">
      <alignment horizontal="center"/>
    </xf>
    <xf numFmtId="0" fontId="15" fillId="0" borderId="51" xfId="266" applyBorder="1" applyAlignment="1">
      <alignment horizontal="center"/>
    </xf>
    <xf numFmtId="180" fontId="15" fillId="0" borderId="51" xfId="266" applyNumberFormat="1" applyBorder="1" applyAlignment="1">
      <alignment horizontal="center"/>
    </xf>
    <xf numFmtId="0" fontId="15" fillId="0" borderId="48" xfId="266" applyBorder="1" applyAlignment="1">
      <alignment horizontal="center"/>
    </xf>
    <xf numFmtId="0" fontId="15" fillId="0" borderId="54" xfId="266" applyBorder="1" applyAlignment="1">
      <alignment horizontal="center"/>
    </xf>
    <xf numFmtId="180" fontId="15" fillId="0" borderId="54" xfId="266" applyNumberFormat="1" applyBorder="1" applyAlignment="1">
      <alignment horizontal="center"/>
    </xf>
    <xf numFmtId="180" fontId="15" fillId="0" borderId="0" xfId="266" applyNumberFormat="1" applyFill="1" applyBorder="1"/>
    <xf numFmtId="0" fontId="15" fillId="0" borderId="0" xfId="266" applyBorder="1"/>
    <xf numFmtId="180" fontId="15" fillId="0" borderId="0" xfId="266" applyNumberFormat="1" applyBorder="1"/>
    <xf numFmtId="164" fontId="15" fillId="0" borderId="0" xfId="266" applyNumberFormat="1" applyBorder="1"/>
    <xf numFmtId="0" fontId="15" fillId="0" borderId="54" xfId="266" applyBorder="1"/>
    <xf numFmtId="0" fontId="64" fillId="0" borderId="0" xfId="266" applyFont="1"/>
    <xf numFmtId="0" fontId="65" fillId="0" borderId="0" xfId="266" applyFont="1"/>
    <xf numFmtId="0" fontId="65" fillId="0" borderId="0" xfId="266" applyFont="1" applyBorder="1"/>
    <xf numFmtId="0" fontId="13" fillId="0" borderId="70" xfId="266" applyFont="1" applyBorder="1" applyAlignment="1">
      <alignment horizontal="center"/>
    </xf>
    <xf numFmtId="0" fontId="13" fillId="0" borderId="48" xfId="266" applyFont="1" applyBorder="1" applyAlignment="1">
      <alignment horizontal="center"/>
    </xf>
    <xf numFmtId="0" fontId="20" fillId="0" borderId="45" xfId="93" applyFont="1" applyFill="1" applyBorder="1" applyAlignment="1" applyProtection="1">
      <alignment horizontal="left"/>
      <protection locked="0"/>
    </xf>
    <xf numFmtId="0" fontId="36" fillId="0" borderId="73" xfId="93" applyFont="1" applyFill="1" applyBorder="1" applyAlignment="1">
      <alignment horizontal="center"/>
    </xf>
    <xf numFmtId="0" fontId="20" fillId="16" borderId="45" xfId="93" applyFont="1" applyFill="1" applyBorder="1"/>
    <xf numFmtId="0" fontId="18" fillId="21" borderId="0" xfId="93" applyFill="1" applyBorder="1"/>
    <xf numFmtId="0" fontId="18" fillId="21" borderId="45" xfId="93" applyFont="1" applyFill="1" applyBorder="1"/>
    <xf numFmtId="0" fontId="36" fillId="0" borderId="74" xfId="93" applyFont="1" applyFill="1" applyBorder="1" applyAlignment="1">
      <alignment horizontal="center"/>
    </xf>
    <xf numFmtId="0" fontId="36" fillId="0" borderId="73" xfId="93" applyFont="1" applyFill="1" applyBorder="1" applyAlignment="1">
      <alignment horizontal="center" wrapText="1"/>
    </xf>
    <xf numFmtId="176" fontId="20" fillId="0" borderId="45" xfId="93" applyNumberFormat="1" applyFont="1" applyFill="1" applyBorder="1"/>
    <xf numFmtId="176" fontId="20" fillId="0" borderId="45" xfId="93" applyNumberFormat="1" applyFont="1" applyFill="1" applyBorder="1" applyAlignment="1">
      <alignment horizontal="right"/>
    </xf>
    <xf numFmtId="0" fontId="20" fillId="21" borderId="45" xfId="93" applyFont="1" applyFill="1" applyBorder="1"/>
    <xf numFmtId="0" fontId="61" fillId="0" borderId="45" xfId="0" applyFont="1" applyBorder="1"/>
    <xf numFmtId="179" fontId="20" fillId="21" borderId="45" xfId="93" applyNumberFormat="1" applyFont="1" applyFill="1" applyBorder="1" applyAlignment="1">
      <alignment horizontal="right"/>
    </xf>
    <xf numFmtId="0" fontId="20" fillId="21" borderId="45" xfId="93" applyFont="1" applyFill="1" applyBorder="1" applyAlignment="1">
      <alignment horizontal="right"/>
    </xf>
    <xf numFmtId="168" fontId="51" fillId="0" borderId="0" xfId="109" applyFill="1"/>
    <xf numFmtId="0" fontId="15" fillId="21" borderId="0" xfId="266" applyFill="1" applyBorder="1"/>
    <xf numFmtId="180" fontId="15" fillId="21" borderId="0" xfId="266" applyNumberFormat="1" applyFill="1" applyBorder="1"/>
    <xf numFmtId="0" fontId="18" fillId="0" borderId="45" xfId="93" applyFill="1" applyBorder="1"/>
    <xf numFmtId="0" fontId="36" fillId="0" borderId="42" xfId="93" applyFont="1" applyFill="1" applyBorder="1" applyAlignment="1">
      <alignment horizontal="center" wrapText="1"/>
    </xf>
    <xf numFmtId="1" fontId="18" fillId="0" borderId="45" xfId="93" applyNumberFormat="1" applyFont="1" applyFill="1" applyBorder="1"/>
    <xf numFmtId="1" fontId="18" fillId="0" borderId="45" xfId="93" applyNumberFormat="1" applyFill="1" applyBorder="1"/>
    <xf numFmtId="1" fontId="18" fillId="16" borderId="45" xfId="93" applyNumberFormat="1" applyFont="1" applyFill="1" applyBorder="1"/>
    <xf numFmtId="166" fontId="18" fillId="0" borderId="45" xfId="94" applyBorder="1" applyAlignment="1">
      <alignment horizontal="center" vertical="center" wrapText="1"/>
    </xf>
    <xf numFmtId="2" fontId="34" fillId="0" borderId="45" xfId="94" applyNumberFormat="1" applyFont="1" applyBorder="1" applyAlignment="1">
      <alignment horizontal="center" wrapText="1"/>
    </xf>
    <xf numFmtId="2" fontId="34" fillId="0" borderId="45" xfId="94" applyNumberFormat="1" applyFont="1" applyBorder="1"/>
    <xf numFmtId="0" fontId="12" fillId="0" borderId="0" xfId="266" applyFont="1"/>
    <xf numFmtId="0" fontId="65" fillId="0" borderId="67" xfId="266" applyFont="1" applyBorder="1"/>
    <xf numFmtId="0" fontId="70" fillId="0" borderId="0" xfId="266" applyFont="1" applyAlignment="1">
      <alignment horizontal="center" vertical="center"/>
    </xf>
    <xf numFmtId="0" fontId="70" fillId="0" borderId="0" xfId="266" applyFont="1" applyAlignment="1">
      <alignment horizontal="center"/>
    </xf>
    <xf numFmtId="0" fontId="69" fillId="0" borderId="0" xfId="93" applyFont="1" applyFill="1" applyBorder="1"/>
    <xf numFmtId="0" fontId="70" fillId="0" borderId="0" xfId="266" applyFont="1"/>
    <xf numFmtId="0" fontId="71" fillId="0" borderId="0" xfId="266" applyFont="1"/>
    <xf numFmtId="0" fontId="70" fillId="0" borderId="67" xfId="266" applyFont="1" applyBorder="1"/>
    <xf numFmtId="0" fontId="70" fillId="0" borderId="0" xfId="266" applyFont="1" applyBorder="1"/>
    <xf numFmtId="0" fontId="74" fillId="0" borderId="45" xfId="93" applyFont="1" applyFill="1" applyBorder="1"/>
    <xf numFmtId="1" fontId="74" fillId="0" borderId="45" xfId="93" applyNumberFormat="1" applyFont="1" applyFill="1" applyBorder="1"/>
    <xf numFmtId="40" fontId="74" fillId="0" borderId="45" xfId="93" applyNumberFormat="1" applyFont="1" applyFill="1" applyBorder="1"/>
    <xf numFmtId="0" fontId="74" fillId="0" borderId="0" xfId="93" applyFont="1" applyFill="1" applyBorder="1"/>
    <xf numFmtId="1" fontId="35" fillId="0" borderId="0" xfId="0" applyNumberFormat="1" applyFont="1" applyBorder="1" applyAlignment="1"/>
    <xf numFmtId="0" fontId="19" fillId="16" borderId="45" xfId="93" applyFont="1" applyFill="1" applyBorder="1"/>
    <xf numFmtId="0" fontId="70" fillId="0" borderId="0" xfId="266" applyFont="1" applyAlignment="1">
      <alignment wrapText="1"/>
    </xf>
    <xf numFmtId="0" fontId="70" fillId="0" borderId="0" xfId="266" applyFont="1" applyAlignment="1">
      <alignment horizontal="left"/>
    </xf>
    <xf numFmtId="168" fontId="80" fillId="0" borderId="0" xfId="109" applyFont="1"/>
    <xf numFmtId="0" fontId="18" fillId="0" borderId="45" xfId="94" applyNumberFormat="1" applyBorder="1"/>
    <xf numFmtId="0" fontId="18" fillId="21" borderId="45" xfId="94" applyNumberFormat="1" applyFill="1" applyBorder="1"/>
    <xf numFmtId="0" fontId="84" fillId="0" borderId="85" xfId="93" applyFont="1" applyFill="1" applyBorder="1" applyAlignment="1" applyProtection="1">
      <alignment horizontal="left"/>
      <protection locked="0"/>
    </xf>
    <xf numFmtId="0" fontId="78" fillId="0" borderId="45" xfId="93" applyFont="1" applyFill="1" applyBorder="1"/>
    <xf numFmtId="0" fontId="85" fillId="16" borderId="45" xfId="93" applyFont="1" applyFill="1" applyBorder="1"/>
    <xf numFmtId="1" fontId="78" fillId="0" borderId="45" xfId="93" applyNumberFormat="1" applyFont="1" applyFill="1" applyBorder="1"/>
    <xf numFmtId="40" fontId="78" fillId="0" borderId="45" xfId="93" applyNumberFormat="1" applyFont="1" applyFill="1" applyBorder="1"/>
    <xf numFmtId="0" fontId="78" fillId="0" borderId="0" xfId="93" applyFont="1" applyFill="1" applyBorder="1"/>
    <xf numFmtId="0" fontId="74" fillId="21" borderId="45" xfId="94" applyNumberFormat="1" applyFont="1" applyFill="1" applyBorder="1"/>
    <xf numFmtId="0" fontId="19" fillId="0" borderId="45" xfId="93" applyFont="1" applyFill="1" applyBorder="1" applyAlignment="1" applyProtection="1">
      <alignment horizontal="left"/>
      <protection locked="0"/>
    </xf>
    <xf numFmtId="0" fontId="19" fillId="21" borderId="45" xfId="93" applyFont="1" applyFill="1" applyBorder="1"/>
    <xf numFmtId="0" fontId="19" fillId="21" borderId="45" xfId="93" applyNumberFormat="1" applyFont="1" applyFill="1" applyBorder="1"/>
    <xf numFmtId="0" fontId="19" fillId="21" borderId="45" xfId="93" applyFont="1" applyFill="1" applyBorder="1" applyAlignment="1">
      <alignment horizontal="right"/>
    </xf>
    <xf numFmtId="0" fontId="74" fillId="21" borderId="0" xfId="93" applyFont="1" applyFill="1"/>
    <xf numFmtId="176" fontId="19" fillId="21" borderId="45" xfId="93" applyNumberFormat="1" applyFont="1" applyFill="1" applyBorder="1" applyAlignment="1">
      <alignment horizontal="right"/>
    </xf>
    <xf numFmtId="0" fontId="72" fillId="0" borderId="0" xfId="266" applyFont="1"/>
    <xf numFmtId="43" fontId="72" fillId="0" borderId="0" xfId="266" applyNumberFormat="1" applyFont="1"/>
    <xf numFmtId="2" fontId="72" fillId="0" borderId="0" xfId="266" applyNumberFormat="1" applyFont="1"/>
    <xf numFmtId="2" fontId="19" fillId="21" borderId="45" xfId="93" applyNumberFormat="1" applyFont="1" applyFill="1" applyBorder="1"/>
    <xf numFmtId="2" fontId="20" fillId="0" borderId="45" xfId="93" applyNumberFormat="1" applyFont="1" applyFill="1" applyBorder="1"/>
    <xf numFmtId="2" fontId="20" fillId="21" borderId="45" xfId="93" applyNumberFormat="1" applyFont="1" applyFill="1" applyBorder="1"/>
    <xf numFmtId="2" fontId="18" fillId="0" borderId="45" xfId="94" applyNumberFormat="1" applyBorder="1"/>
    <xf numFmtId="2" fontId="78" fillId="0" borderId="45" xfId="94" applyNumberFormat="1" applyFont="1" applyBorder="1"/>
    <xf numFmtId="2" fontId="74" fillId="21" borderId="45" xfId="94" applyNumberFormat="1" applyFont="1" applyFill="1" applyBorder="1"/>
    <xf numFmtId="2" fontId="54" fillId="21" borderId="45" xfId="94" applyNumberFormat="1" applyFont="1" applyFill="1" applyBorder="1"/>
    <xf numFmtId="2" fontId="74" fillId="0" borderId="45" xfId="94" applyNumberFormat="1" applyFont="1" applyBorder="1"/>
    <xf numFmtId="2" fontId="18" fillId="21" borderId="45" xfId="94" applyNumberFormat="1" applyFill="1" applyBorder="1"/>
    <xf numFmtId="2" fontId="18" fillId="0" borderId="45" xfId="93" applyNumberFormat="1" applyFont="1" applyFill="1" applyBorder="1"/>
    <xf numFmtId="2" fontId="18" fillId="21" borderId="45" xfId="93" applyNumberFormat="1" applyFont="1" applyFill="1" applyBorder="1"/>
    <xf numFmtId="2" fontId="74" fillId="0" borderId="45" xfId="93" applyNumberFormat="1" applyFont="1" applyFill="1" applyBorder="1"/>
    <xf numFmtId="2" fontId="78" fillId="0" borderId="45" xfId="93" applyNumberFormat="1" applyFont="1" applyFill="1" applyBorder="1"/>
    <xf numFmtId="0" fontId="79" fillId="0" borderId="0" xfId="266" applyFont="1"/>
    <xf numFmtId="0" fontId="79" fillId="0" borderId="0" xfId="266" applyFont="1" applyFill="1" applyBorder="1"/>
    <xf numFmtId="0" fontId="74" fillId="21" borderId="45" xfId="93" applyFont="1" applyFill="1" applyBorder="1"/>
    <xf numFmtId="2" fontId="74" fillId="21" borderId="45" xfId="93" applyNumberFormat="1" applyFont="1" applyFill="1" applyBorder="1"/>
    <xf numFmtId="1" fontId="74" fillId="21" borderId="45" xfId="93" applyNumberFormat="1" applyFont="1" applyFill="1" applyBorder="1"/>
    <xf numFmtId="40" fontId="74" fillId="21" borderId="45" xfId="93" applyNumberFormat="1" applyFont="1" applyFill="1" applyBorder="1"/>
    <xf numFmtId="0" fontId="74" fillId="21" borderId="0" xfId="93" applyFont="1" applyFill="1" applyBorder="1"/>
    <xf numFmtId="1" fontId="18" fillId="21" borderId="45" xfId="93" applyNumberFormat="1" applyFont="1" applyFill="1" applyBorder="1"/>
    <xf numFmtId="40" fontId="18" fillId="21" borderId="45" xfId="93" applyNumberFormat="1" applyFont="1" applyFill="1" applyBorder="1"/>
    <xf numFmtId="1" fontId="68" fillId="21" borderId="45" xfId="93" applyNumberFormat="1" applyFont="1" applyFill="1" applyBorder="1"/>
    <xf numFmtId="0" fontId="68" fillId="21" borderId="0" xfId="93" applyFont="1" applyFill="1" applyBorder="1"/>
    <xf numFmtId="0" fontId="81" fillId="21" borderId="45" xfId="93" applyFont="1" applyFill="1" applyBorder="1"/>
    <xf numFmtId="0" fontId="74" fillId="23" borderId="45" xfId="93" applyFont="1" applyFill="1" applyBorder="1"/>
    <xf numFmtId="2" fontId="35" fillId="21" borderId="45" xfId="94" applyNumberFormat="1" applyFont="1" applyFill="1" applyBorder="1"/>
    <xf numFmtId="0" fontId="19" fillId="0" borderId="45" xfId="93" applyFont="1" applyFill="1" applyBorder="1"/>
    <xf numFmtId="2" fontId="19" fillId="0" borderId="45" xfId="93" applyNumberFormat="1" applyFont="1" applyFill="1" applyBorder="1"/>
    <xf numFmtId="0" fontId="74" fillId="0" borderId="45" xfId="94" applyNumberFormat="1" applyFont="1" applyBorder="1"/>
    <xf numFmtId="0" fontId="79" fillId="0" borderId="70" xfId="266" applyFont="1" applyBorder="1" applyAlignment="1">
      <alignment horizontal="center"/>
    </xf>
    <xf numFmtId="0" fontId="79" fillId="0" borderId="48" xfId="266" applyFont="1" applyBorder="1" applyAlignment="1">
      <alignment horizontal="center"/>
    </xf>
    <xf numFmtId="180" fontId="70" fillId="0" borderId="0" xfId="266" applyNumberFormat="1" applyFont="1"/>
    <xf numFmtId="180" fontId="71" fillId="0" borderId="0" xfId="266" applyNumberFormat="1" applyFont="1" applyBorder="1"/>
    <xf numFmtId="166" fontId="35" fillId="0" borderId="0" xfId="94" applyFont="1"/>
    <xf numFmtId="165" fontId="70" fillId="0" borderId="0" xfId="266" applyNumberFormat="1" applyFont="1"/>
    <xf numFmtId="43" fontId="71" fillId="0" borderId="46" xfId="266" applyNumberFormat="1" applyFont="1" applyBorder="1"/>
    <xf numFmtId="164" fontId="71" fillId="0" borderId="46" xfId="266" applyNumberFormat="1" applyFont="1" applyBorder="1"/>
    <xf numFmtId="164" fontId="71" fillId="0" borderId="0" xfId="266" applyNumberFormat="1" applyFont="1" applyBorder="1"/>
    <xf numFmtId="164" fontId="71" fillId="0" borderId="67" xfId="266" applyNumberFormat="1" applyFont="1" applyBorder="1"/>
    <xf numFmtId="164" fontId="70" fillId="0" borderId="0" xfId="266" applyNumberFormat="1" applyFont="1" applyBorder="1"/>
    <xf numFmtId="0" fontId="70" fillId="21" borderId="0" xfId="266" applyFont="1" applyFill="1"/>
    <xf numFmtId="0" fontId="8" fillId="0" borderId="0" xfId="266" applyFont="1"/>
    <xf numFmtId="0" fontId="8" fillId="0" borderId="50" xfId="266" applyFont="1" applyBorder="1" applyAlignment="1">
      <alignment horizontal="center"/>
    </xf>
    <xf numFmtId="0" fontId="8" fillId="0" borderId="53" xfId="266" applyFont="1" applyBorder="1" applyAlignment="1">
      <alignment horizontal="center"/>
    </xf>
    <xf numFmtId="0" fontId="8" fillId="0" borderId="0" xfId="266" applyFont="1" applyBorder="1"/>
    <xf numFmtId="2" fontId="51" fillId="0" borderId="45" xfId="94" applyNumberFormat="1" applyFont="1" applyBorder="1" applyAlignment="1">
      <alignment horizontal="center" wrapText="1"/>
    </xf>
    <xf numFmtId="2" fontId="51" fillId="21" borderId="45" xfId="94" applyNumberFormat="1" applyFont="1" applyFill="1" applyBorder="1"/>
    <xf numFmtId="2" fontId="83" fillId="21" borderId="45" xfId="94" applyNumberFormat="1" applyFont="1" applyFill="1" applyBorder="1"/>
    <xf numFmtId="2" fontId="51" fillId="21" borderId="0" xfId="93" applyNumberFormat="1" applyFont="1" applyFill="1"/>
    <xf numFmtId="2" fontId="35" fillId="21" borderId="45" xfId="93" applyNumberFormat="1" applyFont="1" applyFill="1" applyBorder="1"/>
    <xf numFmtId="0" fontId="35" fillId="21" borderId="45" xfId="94" applyNumberFormat="1" applyFont="1" applyFill="1" applyBorder="1"/>
    <xf numFmtId="168" fontId="80" fillId="21" borderId="0" xfId="109" applyFont="1" applyFill="1"/>
    <xf numFmtId="176" fontId="18" fillId="0" borderId="72" xfId="93" applyNumberFormat="1" applyFill="1" applyBorder="1"/>
    <xf numFmtId="176" fontId="18" fillId="0" borderId="72" xfId="93" applyNumberFormat="1" applyFill="1" applyBorder="1" applyAlignment="1">
      <alignment horizontal="right"/>
    </xf>
    <xf numFmtId="176" fontId="0" fillId="0" borderId="72" xfId="93" applyNumberFormat="1" applyFont="1" applyFill="1" applyBorder="1" applyAlignment="1">
      <alignment horizontal="right"/>
    </xf>
    <xf numFmtId="176" fontId="51" fillId="23" borderId="72" xfId="93" applyNumberFormat="1" applyFont="1" applyFill="1" applyBorder="1" applyAlignment="1">
      <alignment horizontal="right"/>
    </xf>
    <xf numFmtId="176" fontId="18" fillId="21" borderId="72" xfId="93" applyNumberFormat="1" applyFill="1" applyBorder="1" applyAlignment="1">
      <alignment horizontal="right"/>
    </xf>
    <xf numFmtId="176" fontId="78" fillId="21" borderId="72" xfId="93" applyNumberFormat="1" applyFont="1" applyFill="1" applyBorder="1" applyAlignment="1">
      <alignment horizontal="right"/>
    </xf>
    <xf numFmtId="176" fontId="74" fillId="21" borderId="72" xfId="93" applyNumberFormat="1" applyFont="1" applyFill="1" applyBorder="1" applyAlignment="1">
      <alignment horizontal="right"/>
    </xf>
    <xf numFmtId="0" fontId="0" fillId="0" borderId="72" xfId="0" applyBorder="1"/>
    <xf numFmtId="176" fontId="82" fillId="21" borderId="72" xfId="93" applyNumberFormat="1" applyFont="1" applyFill="1" applyBorder="1" applyAlignment="1">
      <alignment horizontal="right"/>
    </xf>
    <xf numFmtId="0" fontId="25" fillId="0" borderId="45" xfId="93" applyFont="1" applyFill="1" applyBorder="1" applyAlignment="1">
      <alignment horizontal="center"/>
    </xf>
    <xf numFmtId="0" fontId="35" fillId="0" borderId="0" xfId="93" applyFont="1" applyFill="1" applyBorder="1"/>
    <xf numFmtId="0" fontId="36" fillId="0" borderId="45" xfId="93" applyFont="1" applyFill="1" applyBorder="1" applyAlignment="1">
      <alignment horizontal="center"/>
    </xf>
    <xf numFmtId="0" fontId="35" fillId="0" borderId="45" xfId="0" applyFont="1" applyBorder="1"/>
    <xf numFmtId="0" fontId="70" fillId="0" borderId="47" xfId="266" applyFont="1" applyBorder="1" applyAlignment="1">
      <alignment horizontal="center" vertical="center"/>
    </xf>
    <xf numFmtId="0" fontId="70" fillId="0" borderId="47" xfId="266" applyFont="1" applyBorder="1" applyAlignment="1">
      <alignment horizontal="center"/>
    </xf>
    <xf numFmtId="164" fontId="71" fillId="0" borderId="47" xfId="266" applyNumberFormat="1" applyFont="1" applyBorder="1"/>
    <xf numFmtId="180" fontId="71" fillId="0" borderId="47" xfId="266" applyNumberFormat="1" applyFont="1" applyBorder="1"/>
    <xf numFmtId="2" fontId="54" fillId="0" borderId="45" xfId="94" applyNumberFormat="1" applyFont="1" applyBorder="1" applyAlignment="1">
      <alignment horizontal="center" wrapText="1"/>
    </xf>
    <xf numFmtId="2" fontId="74" fillId="0" borderId="0" xfId="94" applyNumberFormat="1" applyFont="1"/>
    <xf numFmtId="179" fontId="19" fillId="21" borderId="45" xfId="93" applyNumberFormat="1" applyFont="1" applyFill="1" applyBorder="1" applyAlignment="1">
      <alignment horizontal="right"/>
    </xf>
    <xf numFmtId="0" fontId="19" fillId="23" borderId="45" xfId="93" applyFont="1" applyFill="1" applyBorder="1"/>
    <xf numFmtId="0" fontId="0" fillId="21" borderId="72" xfId="0" applyFill="1" applyBorder="1"/>
    <xf numFmtId="0" fontId="20" fillId="23" borderId="45" xfId="93" applyFont="1" applyFill="1" applyBorder="1"/>
    <xf numFmtId="0" fontId="78" fillId="21" borderId="45" xfId="93" applyFont="1" applyFill="1" applyBorder="1"/>
    <xf numFmtId="2" fontId="78" fillId="21" borderId="45" xfId="94" applyNumberFormat="1" applyFont="1" applyFill="1" applyBorder="1"/>
    <xf numFmtId="0" fontId="78" fillId="21" borderId="0" xfId="93" applyFont="1" applyFill="1" applyBorder="1"/>
    <xf numFmtId="0" fontId="74" fillId="21" borderId="45" xfId="93" applyFont="1" applyFill="1" applyBorder="1" applyAlignment="1" applyProtection="1">
      <alignment horizontal="left"/>
      <protection locked="0"/>
    </xf>
    <xf numFmtId="176" fontId="35" fillId="21" borderId="72" xfId="93" applyNumberFormat="1" applyFont="1" applyFill="1" applyBorder="1" applyAlignment="1">
      <alignment horizontal="right"/>
    </xf>
    <xf numFmtId="166" fontId="88" fillId="21" borderId="45" xfId="94" applyFont="1" applyFill="1" applyBorder="1" applyAlignment="1">
      <alignment horizontal="left"/>
    </xf>
    <xf numFmtId="0" fontId="84" fillId="21" borderId="85" xfId="93" applyFont="1" applyFill="1" applyBorder="1" applyAlignment="1" applyProtection="1">
      <alignment horizontal="left"/>
      <protection locked="0"/>
    </xf>
    <xf numFmtId="0" fontId="84" fillId="21" borderId="85" xfId="93" applyFont="1" applyFill="1" applyBorder="1" applyProtection="1">
      <protection locked="0"/>
    </xf>
    <xf numFmtId="0" fontId="89" fillId="21" borderId="85" xfId="93" applyFont="1" applyFill="1" applyBorder="1" applyProtection="1">
      <protection locked="0"/>
    </xf>
    <xf numFmtId="170" fontId="89" fillId="21" borderId="85" xfId="94" applyNumberFormat="1" applyFont="1" applyFill="1" applyBorder="1" applyAlignment="1" applyProtection="1">
      <protection locked="0"/>
    </xf>
    <xf numFmtId="40" fontId="89" fillId="21" borderId="85" xfId="93" applyNumberFormat="1" applyFont="1" applyFill="1" applyBorder="1" applyProtection="1">
      <protection locked="0"/>
    </xf>
    <xf numFmtId="9" fontId="90" fillId="21" borderId="85" xfId="257" applyFont="1" applyFill="1" applyBorder="1" applyAlignment="1" applyProtection="1">
      <protection locked="0"/>
    </xf>
    <xf numFmtId="9" fontId="90" fillId="21" borderId="85" xfId="93" applyNumberFormat="1" applyFont="1" applyFill="1" applyBorder="1" applyProtection="1">
      <protection locked="0"/>
    </xf>
    <xf numFmtId="9" fontId="89" fillId="21" borderId="85" xfId="93" applyNumberFormat="1" applyFont="1" applyFill="1" applyBorder="1" applyProtection="1">
      <protection locked="0"/>
    </xf>
    <xf numFmtId="170" fontId="89" fillId="21" borderId="0" xfId="93" applyNumberFormat="1" applyFont="1" applyFill="1" applyProtection="1">
      <protection locked="0"/>
    </xf>
    <xf numFmtId="2" fontId="89" fillId="21" borderId="85" xfId="94" applyNumberFormat="1" applyFont="1" applyFill="1" applyBorder="1" applyAlignment="1" applyProtection="1">
      <protection locked="0"/>
    </xf>
    <xf numFmtId="2" fontId="89" fillId="21" borderId="85" xfId="93" applyNumberFormat="1" applyFont="1" applyFill="1" applyBorder="1" applyProtection="1">
      <protection locked="0"/>
    </xf>
    <xf numFmtId="1" fontId="89" fillId="21" borderId="85" xfId="93" applyNumberFormat="1" applyFont="1" applyFill="1" applyBorder="1" applyProtection="1">
      <protection locked="0"/>
    </xf>
    <xf numFmtId="1" fontId="90" fillId="21" borderId="85" xfId="93" applyNumberFormat="1" applyFont="1" applyFill="1" applyBorder="1" applyProtection="1">
      <protection locked="0"/>
    </xf>
    <xf numFmtId="40" fontId="90" fillId="21" borderId="85" xfId="93" applyNumberFormat="1" applyFont="1" applyFill="1" applyBorder="1" applyProtection="1">
      <protection locked="0"/>
    </xf>
    <xf numFmtId="170" fontId="90" fillId="21" borderId="85" xfId="94" applyNumberFormat="1" applyFont="1" applyFill="1" applyBorder="1" applyAlignment="1" applyProtection="1">
      <protection locked="0"/>
    </xf>
    <xf numFmtId="169" fontId="89" fillId="21" borderId="85" xfId="94" applyNumberFormat="1" applyFont="1" applyFill="1" applyBorder="1" applyAlignment="1" applyProtection="1">
      <protection locked="0"/>
    </xf>
    <xf numFmtId="40" fontId="90" fillId="21" borderId="27" xfId="93" applyNumberFormat="1" applyFont="1" applyFill="1" applyBorder="1" applyProtection="1">
      <protection locked="0"/>
    </xf>
    <xf numFmtId="40" fontId="90" fillId="21" borderId="3" xfId="93" applyNumberFormat="1" applyFont="1" applyFill="1" applyBorder="1" applyProtection="1">
      <protection locked="0"/>
    </xf>
    <xf numFmtId="40" fontId="90" fillId="21" borderId="15" xfId="93" applyNumberFormat="1" applyFont="1" applyFill="1" applyBorder="1" applyProtection="1">
      <protection locked="0"/>
    </xf>
    <xf numFmtId="0" fontId="89" fillId="21" borderId="0" xfId="93" applyFont="1" applyFill="1" applyBorder="1" applyProtection="1">
      <protection locked="0"/>
    </xf>
    <xf numFmtId="0" fontId="89" fillId="21" borderId="0" xfId="93" applyFont="1" applyFill="1" applyProtection="1">
      <protection locked="0"/>
    </xf>
    <xf numFmtId="9" fontId="78" fillId="21" borderId="85" xfId="257" applyFont="1" applyFill="1" applyBorder="1"/>
    <xf numFmtId="9" fontId="91" fillId="21" borderId="85" xfId="257" applyFont="1" applyFill="1" applyBorder="1"/>
    <xf numFmtId="49" fontId="85" fillId="21" borderId="45" xfId="93" applyNumberFormat="1" applyFont="1" applyFill="1" applyBorder="1" applyAlignment="1">
      <alignment horizontal="right"/>
    </xf>
    <xf numFmtId="0" fontId="79" fillId="0" borderId="50" xfId="266" applyFont="1" applyBorder="1" applyAlignment="1">
      <alignment horizontal="center"/>
    </xf>
    <xf numFmtId="0" fontId="79" fillId="0" borderId="51" xfId="266" applyFont="1" applyBorder="1" applyAlignment="1">
      <alignment horizontal="center"/>
    </xf>
    <xf numFmtId="168" fontId="80" fillId="0" borderId="51" xfId="109" applyFont="1" applyBorder="1" applyAlignment="1">
      <alignment horizontal="center"/>
    </xf>
    <xf numFmtId="0" fontId="79" fillId="0" borderId="53" xfId="266" applyFont="1" applyBorder="1" applyAlignment="1">
      <alignment horizontal="center"/>
    </xf>
    <xf numFmtId="0" fontId="79" fillId="0" borderId="54" xfId="266" applyFont="1" applyBorder="1" applyAlignment="1">
      <alignment horizontal="center"/>
    </xf>
    <xf numFmtId="168" fontId="80" fillId="0" borderId="54" xfId="109" applyFont="1" applyBorder="1" applyAlignment="1">
      <alignment horizontal="center"/>
    </xf>
    <xf numFmtId="168" fontId="80" fillId="0" borderId="0" xfId="109" applyFont="1" applyFill="1" applyBorder="1"/>
    <xf numFmtId="0" fontId="70" fillId="0" borderId="47" xfId="266" applyFont="1" applyBorder="1" applyAlignment="1">
      <alignment wrapText="1"/>
    </xf>
    <xf numFmtId="0" fontId="70" fillId="0" borderId="47" xfId="266" applyFont="1" applyBorder="1"/>
    <xf numFmtId="0" fontId="70" fillId="0" borderId="0" xfId="266" applyFont="1" applyFill="1" applyBorder="1" applyAlignment="1">
      <alignment wrapText="1"/>
    </xf>
    <xf numFmtId="0" fontId="70" fillId="0" borderId="0" xfId="266" applyFont="1" applyFill="1" applyBorder="1" applyAlignment="1">
      <alignment horizontal="center" vertical="center"/>
    </xf>
    <xf numFmtId="168" fontId="80" fillId="0" borderId="0" xfId="109" applyFont="1" applyBorder="1"/>
    <xf numFmtId="0" fontId="70" fillId="21" borderId="47" xfId="266" applyFont="1" applyFill="1" applyBorder="1"/>
    <xf numFmtId="168" fontId="93" fillId="0" borderId="47" xfId="109" applyFont="1" applyBorder="1"/>
    <xf numFmtId="168" fontId="80" fillId="0" borderId="67" xfId="109" applyFont="1" applyBorder="1"/>
    <xf numFmtId="0" fontId="70" fillId="21" borderId="0" xfId="266" applyFont="1" applyFill="1" applyBorder="1"/>
    <xf numFmtId="14" fontId="62" fillId="22" borderId="0" xfId="266" applyNumberFormat="1" applyFont="1" applyFill="1"/>
    <xf numFmtId="14" fontId="70" fillId="22" borderId="0" xfId="266" applyNumberFormat="1" applyFont="1" applyFill="1"/>
    <xf numFmtId="168" fontId="51" fillId="0" borderId="0" xfId="109"/>
    <xf numFmtId="0" fontId="84" fillId="21" borderId="0" xfId="93" applyFont="1" applyFill="1" applyProtection="1">
      <protection locked="0"/>
    </xf>
    <xf numFmtId="40" fontId="89" fillId="0" borderId="85" xfId="93" applyNumberFormat="1" applyFont="1" applyFill="1" applyBorder="1" applyProtection="1">
      <protection locked="0"/>
    </xf>
    <xf numFmtId="9" fontId="89" fillId="21" borderId="85" xfId="94" applyNumberFormat="1" applyFont="1" applyFill="1" applyBorder="1" applyAlignment="1" applyProtection="1">
      <protection locked="0"/>
    </xf>
    <xf numFmtId="2" fontId="84" fillId="21" borderId="85" xfId="94" applyNumberFormat="1" applyFont="1" applyFill="1" applyBorder="1" applyAlignment="1" applyProtection="1">
      <protection locked="0"/>
    </xf>
    <xf numFmtId="40" fontId="84" fillId="21" borderId="85" xfId="93" applyNumberFormat="1" applyFont="1" applyFill="1" applyBorder="1" applyProtection="1">
      <protection locked="0"/>
    </xf>
    <xf numFmtId="0" fontId="83" fillId="21" borderId="85" xfId="0" applyFont="1" applyFill="1" applyBorder="1" applyProtection="1">
      <protection locked="0"/>
    </xf>
    <xf numFmtId="40" fontId="89" fillId="21" borderId="27" xfId="93" applyNumberFormat="1" applyFont="1" applyFill="1" applyBorder="1" applyProtection="1">
      <protection locked="0"/>
    </xf>
    <xf numFmtId="40" fontId="89" fillId="21" borderId="3" xfId="93" applyNumberFormat="1" applyFont="1" applyFill="1" applyBorder="1" applyProtection="1">
      <protection locked="0"/>
    </xf>
    <xf numFmtId="40" fontId="89" fillId="21" borderId="15" xfId="93" applyNumberFormat="1" applyFont="1" applyFill="1" applyBorder="1" applyProtection="1">
      <protection locked="0"/>
    </xf>
    <xf numFmtId="0" fontId="89" fillId="0" borderId="85" xfId="93" applyFont="1" applyFill="1" applyBorder="1" applyProtection="1">
      <protection locked="0"/>
    </xf>
    <xf numFmtId="9" fontId="78" fillId="0" borderId="85" xfId="257" applyFont="1" applyBorder="1"/>
    <xf numFmtId="0" fontId="84" fillId="0" borderId="85" xfId="93" applyFont="1" applyFill="1" applyBorder="1" applyProtection="1">
      <protection locked="0"/>
    </xf>
    <xf numFmtId="2" fontId="89" fillId="0" borderId="85" xfId="93" applyNumberFormat="1" applyFont="1" applyFill="1" applyBorder="1" applyProtection="1">
      <protection locked="0"/>
    </xf>
    <xf numFmtId="176" fontId="35" fillId="21" borderId="45" xfId="93" applyNumberFormat="1" applyFont="1" applyFill="1" applyBorder="1" applyAlignment="1">
      <alignment horizontal="right"/>
    </xf>
    <xf numFmtId="49" fontId="19" fillId="21" borderId="45" xfId="93" applyNumberFormat="1" applyFont="1" applyFill="1" applyBorder="1" applyAlignment="1">
      <alignment horizontal="right"/>
    </xf>
    <xf numFmtId="2" fontId="87" fillId="34" borderId="45" xfId="94" applyNumberFormat="1" applyFont="1" applyFill="1" applyBorder="1"/>
    <xf numFmtId="0" fontId="75" fillId="34" borderId="45" xfId="94" applyNumberFormat="1" applyFont="1" applyFill="1" applyBorder="1"/>
    <xf numFmtId="0" fontId="85" fillId="21" borderId="45" xfId="93" applyFont="1" applyFill="1" applyBorder="1"/>
    <xf numFmtId="176" fontId="87" fillId="21" borderId="45" xfId="93" applyNumberFormat="1" applyFont="1" applyFill="1" applyBorder="1" applyAlignment="1">
      <alignment horizontal="right"/>
    </xf>
    <xf numFmtId="176" fontId="19" fillId="21" borderId="72" xfId="93" applyNumberFormat="1" applyFont="1" applyFill="1" applyBorder="1" applyAlignment="1">
      <alignment horizontal="right"/>
    </xf>
    <xf numFmtId="0" fontId="70" fillId="0" borderId="0" xfId="266" applyFont="1" applyAlignment="1">
      <alignment horizontal="center"/>
    </xf>
    <xf numFmtId="176" fontId="54" fillId="21" borderId="45" xfId="93" applyNumberFormat="1" applyFont="1" applyFill="1" applyBorder="1" applyAlignment="1">
      <alignment horizontal="right"/>
    </xf>
    <xf numFmtId="0" fontId="76" fillId="21" borderId="45" xfId="94" applyNumberFormat="1" applyFont="1" applyFill="1" applyBorder="1"/>
    <xf numFmtId="2" fontId="76" fillId="21" borderId="45" xfId="94" applyNumberFormat="1" applyFont="1" applyFill="1" applyBorder="1"/>
    <xf numFmtId="0" fontId="74" fillId="22" borderId="0" xfId="93" applyFont="1" applyFill="1" applyBorder="1"/>
    <xf numFmtId="0" fontId="18" fillId="22" borderId="0" xfId="93" applyFill="1" applyBorder="1"/>
    <xf numFmtId="0" fontId="76" fillId="21" borderId="0" xfId="93" applyFont="1" applyFill="1" applyBorder="1"/>
    <xf numFmtId="180" fontId="95" fillId="0" borderId="0" xfId="266" applyNumberFormat="1" applyFont="1"/>
    <xf numFmtId="2" fontId="35" fillId="34" borderId="45" xfId="94" applyNumberFormat="1" applyFont="1" applyFill="1" applyBorder="1"/>
    <xf numFmtId="2" fontId="35" fillId="34" borderId="45" xfId="93" applyNumberFormat="1" applyFont="1" applyFill="1" applyBorder="1"/>
    <xf numFmtId="0" fontId="36" fillId="0" borderId="45" xfId="93" applyFont="1" applyFill="1" applyBorder="1" applyAlignment="1">
      <alignment horizontal="center" wrapText="1"/>
    </xf>
    <xf numFmtId="168" fontId="34" fillId="0" borderId="45" xfId="109" applyFont="1" applyFill="1" applyBorder="1" applyAlignment="1">
      <alignment horizontal="center" wrapText="1"/>
    </xf>
    <xf numFmtId="0" fontId="31" fillId="0" borderId="45" xfId="93" applyFont="1" applyFill="1" applyBorder="1"/>
    <xf numFmtId="0" fontId="51" fillId="0" borderId="45" xfId="109" applyNumberFormat="1" applyFill="1" applyBorder="1"/>
    <xf numFmtId="0" fontId="31" fillId="27" borderId="45" xfId="93" applyFont="1" applyFill="1" applyBorder="1"/>
    <xf numFmtId="0" fontId="35" fillId="21" borderId="45" xfId="109" applyNumberFormat="1" applyFont="1" applyFill="1" applyBorder="1"/>
    <xf numFmtId="0" fontId="35" fillId="0" borderId="45" xfId="109" applyNumberFormat="1" applyFont="1" applyFill="1" applyBorder="1"/>
    <xf numFmtId="0" fontId="51" fillId="21" borderId="45" xfId="109" applyNumberFormat="1" applyFill="1" applyBorder="1"/>
    <xf numFmtId="182" fontId="35" fillId="21" borderId="45" xfId="0" applyNumberFormat="1" applyFont="1" applyFill="1" applyBorder="1"/>
    <xf numFmtId="0" fontId="67" fillId="21" borderId="45" xfId="109" applyNumberFormat="1" applyFont="1" applyFill="1" applyBorder="1"/>
    <xf numFmtId="0" fontId="71" fillId="22" borderId="0" xfId="266" applyFont="1" applyFill="1" applyAlignment="1"/>
    <xf numFmtId="0" fontId="71" fillId="21" borderId="0" xfId="266" applyFont="1" applyFill="1" applyAlignment="1"/>
    <xf numFmtId="14" fontId="71" fillId="22" borderId="0" xfId="266" applyNumberFormat="1" applyFont="1" applyFill="1" applyAlignment="1"/>
    <xf numFmtId="0" fontId="70" fillId="22" borderId="0" xfId="266" applyFont="1" applyFill="1"/>
    <xf numFmtId="2" fontId="51" fillId="0" borderId="0" xfId="93" applyNumberFormat="1" applyFont="1" applyFill="1"/>
    <xf numFmtId="2" fontId="74" fillId="34" borderId="45" xfId="94" applyNumberFormat="1" applyFont="1" applyFill="1" applyBorder="1"/>
    <xf numFmtId="0" fontId="74" fillId="34" borderId="45" xfId="94" applyNumberFormat="1" applyFont="1" applyFill="1" applyBorder="1"/>
    <xf numFmtId="176" fontId="96" fillId="21" borderId="45" xfId="93" applyNumberFormat="1" applyFont="1" applyFill="1" applyBorder="1" applyAlignment="1">
      <alignment horizontal="right"/>
    </xf>
    <xf numFmtId="0" fontId="97" fillId="0" borderId="47" xfId="266" applyFont="1" applyBorder="1"/>
    <xf numFmtId="0" fontId="71" fillId="0" borderId="47" xfId="266" applyFont="1" applyBorder="1" applyAlignment="1">
      <alignment horizontal="center"/>
    </xf>
    <xf numFmtId="2" fontId="84" fillId="21" borderId="85" xfId="93" applyNumberFormat="1" applyFont="1" applyFill="1" applyBorder="1" applyProtection="1">
      <protection locked="0"/>
    </xf>
    <xf numFmtId="2" fontId="74" fillId="34" borderId="45" xfId="93" applyNumberFormat="1" applyFont="1" applyFill="1" applyBorder="1"/>
    <xf numFmtId="0" fontId="88" fillId="27" borderId="45" xfId="93" applyFont="1" applyFill="1" applyBorder="1"/>
    <xf numFmtId="4" fontId="18" fillId="0" borderId="0" xfId="93" applyNumberFormat="1" applyFill="1" applyBorder="1"/>
    <xf numFmtId="2" fontId="90" fillId="21" borderId="85" xfId="94" applyNumberFormat="1" applyFont="1" applyFill="1" applyBorder="1" applyAlignment="1" applyProtection="1">
      <protection locked="0"/>
    </xf>
    <xf numFmtId="2" fontId="90" fillId="21" borderId="85" xfId="93" applyNumberFormat="1" applyFont="1" applyFill="1" applyBorder="1" applyProtection="1">
      <protection locked="0"/>
    </xf>
    <xf numFmtId="2" fontId="89" fillId="21" borderId="97" xfId="94" applyNumberFormat="1" applyFont="1" applyFill="1" applyBorder="1" applyAlignment="1" applyProtection="1">
      <protection locked="0"/>
    </xf>
    <xf numFmtId="40" fontId="89" fillId="21" borderId="97" xfId="93" applyNumberFormat="1" applyFont="1" applyFill="1" applyBorder="1" applyProtection="1">
      <protection locked="0"/>
    </xf>
    <xf numFmtId="2" fontId="89" fillId="21" borderId="97" xfId="93" applyNumberFormat="1" applyFont="1" applyFill="1" applyBorder="1" applyProtection="1">
      <protection locked="0"/>
    </xf>
    <xf numFmtId="2" fontId="90" fillId="21" borderId="97" xfId="93" applyNumberFormat="1" applyFont="1" applyFill="1" applyBorder="1" applyProtection="1">
      <protection locked="0"/>
    </xf>
    <xf numFmtId="1" fontId="89" fillId="21" borderId="97" xfId="93" applyNumberFormat="1" applyFont="1" applyFill="1" applyBorder="1" applyProtection="1">
      <protection locked="0"/>
    </xf>
    <xf numFmtId="0" fontId="85" fillId="21" borderId="0" xfId="93" applyFont="1" applyFill="1" applyProtection="1">
      <protection locked="0"/>
    </xf>
    <xf numFmtId="40" fontId="84" fillId="22" borderId="85" xfId="93" applyNumberFormat="1" applyFont="1" applyFill="1" applyBorder="1" applyProtection="1">
      <protection locked="0"/>
    </xf>
    <xf numFmtId="9" fontId="84" fillId="21" borderId="85" xfId="93" applyNumberFormat="1" applyFont="1" applyFill="1" applyBorder="1" applyProtection="1">
      <protection locked="0"/>
    </xf>
    <xf numFmtId="0" fontId="88" fillId="21" borderId="45" xfId="93" applyFont="1" applyFill="1" applyBorder="1" applyAlignment="1" applyProtection="1">
      <alignment horizontal="left"/>
      <protection locked="0"/>
    </xf>
    <xf numFmtId="0" fontId="99" fillId="0" borderId="45" xfId="93" applyFont="1" applyFill="1" applyBorder="1" applyAlignment="1"/>
    <xf numFmtId="0" fontId="86" fillId="0" borderId="0" xfId="93" applyFont="1" applyFill="1" applyBorder="1" applyAlignment="1">
      <alignment horizontal="left"/>
    </xf>
    <xf numFmtId="0" fontId="98" fillId="27" borderId="45" xfId="93" applyFont="1" applyFill="1" applyBorder="1"/>
    <xf numFmtId="0" fontId="78" fillId="34" borderId="45" xfId="94" applyNumberFormat="1" applyFont="1" applyFill="1" applyBorder="1"/>
    <xf numFmtId="0" fontId="100" fillId="30" borderId="0" xfId="0" applyFont="1" applyFill="1"/>
    <xf numFmtId="0" fontId="8" fillId="0" borderId="54" xfId="266" applyFont="1" applyBorder="1"/>
    <xf numFmtId="176" fontId="0" fillId="0" borderId="0" xfId="0" applyNumberFormat="1"/>
    <xf numFmtId="2" fontId="85" fillId="21" borderId="45" xfId="93" applyNumberFormat="1" applyFont="1" applyFill="1" applyBorder="1"/>
    <xf numFmtId="0" fontId="83" fillId="21" borderId="45" xfId="109" applyNumberFormat="1" applyFont="1" applyFill="1" applyBorder="1"/>
    <xf numFmtId="43" fontId="15" fillId="0" borderId="0" xfId="266" applyNumberFormat="1"/>
    <xf numFmtId="4" fontId="74" fillId="0" borderId="0" xfId="93" applyNumberFormat="1" applyFont="1" applyFill="1" applyBorder="1"/>
    <xf numFmtId="0" fontId="74" fillId="39" borderId="45" xfId="94" applyNumberFormat="1" applyFont="1" applyFill="1" applyBorder="1"/>
    <xf numFmtId="1" fontId="18" fillId="0" borderId="72" xfId="93" applyNumberFormat="1" applyFont="1" applyFill="1" applyBorder="1"/>
    <xf numFmtId="1" fontId="20" fillId="0" borderId="72" xfId="93" applyNumberFormat="1" applyFont="1" applyFill="1" applyBorder="1"/>
    <xf numFmtId="1" fontId="19" fillId="23" borderId="72" xfId="93" applyNumberFormat="1" applyFont="1" applyFill="1" applyBorder="1"/>
    <xf numFmtId="1" fontId="20" fillId="16" borderId="72" xfId="93" applyNumberFormat="1" applyFont="1" applyFill="1" applyBorder="1"/>
    <xf numFmtId="1" fontId="78" fillId="0" borderId="72" xfId="93" applyNumberFormat="1" applyFont="1" applyFill="1" applyBorder="1"/>
    <xf numFmtId="1" fontId="74" fillId="0" borderId="72" xfId="93" applyNumberFormat="1" applyFont="1" applyFill="1" applyBorder="1"/>
    <xf numFmtId="1" fontId="18" fillId="21" borderId="72" xfId="93" applyNumberFormat="1" applyFont="1" applyFill="1" applyBorder="1"/>
    <xf numFmtId="1" fontId="20" fillId="0" borderId="45" xfId="93" applyNumberFormat="1" applyFont="1" applyFill="1" applyBorder="1"/>
    <xf numFmtId="1" fontId="36" fillId="0" borderId="45" xfId="93" applyNumberFormat="1" applyFont="1" applyFill="1" applyBorder="1" applyAlignment="1">
      <alignment horizontal="center" wrapText="1"/>
    </xf>
    <xf numFmtId="1" fontId="20" fillId="0" borderId="45" xfId="93" applyNumberFormat="1" applyFont="1" applyFill="1" applyBorder="1" applyAlignment="1">
      <alignment horizontal="right"/>
    </xf>
    <xf numFmtId="1" fontId="19" fillId="21" borderId="45" xfId="93" applyNumberFormat="1" applyFont="1" applyFill="1" applyBorder="1"/>
    <xf numFmtId="1" fontId="19" fillId="0" borderId="45" xfId="93" applyNumberFormat="1" applyFont="1" applyFill="1" applyBorder="1"/>
    <xf numFmtId="1" fontId="20" fillId="21" borderId="45" xfId="93" applyNumberFormat="1" applyFont="1" applyFill="1" applyBorder="1"/>
    <xf numFmtId="1" fontId="77" fillId="21" borderId="45" xfId="93" applyNumberFormat="1" applyFont="1" applyFill="1" applyBorder="1"/>
    <xf numFmtId="1" fontId="85" fillId="21" borderId="45" xfId="93" applyNumberFormat="1" applyFont="1" applyFill="1" applyBorder="1"/>
    <xf numFmtId="1" fontId="73" fillId="21" borderId="0" xfId="93" applyNumberFormat="1" applyFont="1" applyFill="1" applyBorder="1"/>
    <xf numFmtId="1" fontId="20" fillId="0" borderId="0" xfId="93" applyNumberFormat="1" applyFont="1" applyFill="1"/>
    <xf numFmtId="0" fontId="5" fillId="0" borderId="0" xfId="266" applyFont="1"/>
    <xf numFmtId="0" fontId="0" fillId="42" borderId="0" xfId="0" applyFill="1"/>
    <xf numFmtId="0" fontId="102" fillId="21" borderId="45" xfId="93" applyFont="1" applyFill="1" applyBorder="1" applyAlignment="1" applyProtection="1">
      <alignment horizontal="left" vertical="center"/>
      <protection locked="0"/>
    </xf>
    <xf numFmtId="0" fontId="102" fillId="23" borderId="45" xfId="93" applyFont="1" applyFill="1" applyBorder="1" applyAlignment="1" applyProtection="1">
      <alignment horizontal="center" vertical="center"/>
      <protection locked="0"/>
    </xf>
    <xf numFmtId="166" fontId="62" fillId="21" borderId="45" xfId="94" applyFont="1" applyFill="1" applyBorder="1" applyAlignment="1">
      <alignment horizontal="center" vertical="center" wrapText="1"/>
    </xf>
    <xf numFmtId="4" fontId="86" fillId="21" borderId="85" xfId="93" applyNumberFormat="1" applyFont="1" applyFill="1" applyBorder="1" applyAlignment="1" applyProtection="1">
      <alignment horizontal="center"/>
      <protection locked="0"/>
    </xf>
    <xf numFmtId="4" fontId="86" fillId="22" borderId="85" xfId="93" applyNumberFormat="1" applyFont="1" applyFill="1" applyBorder="1" applyAlignment="1" applyProtection="1">
      <alignment horizontal="center"/>
      <protection locked="0"/>
    </xf>
    <xf numFmtId="4" fontId="85" fillId="21" borderId="85" xfId="93" applyNumberFormat="1" applyFont="1" applyFill="1" applyBorder="1" applyAlignment="1" applyProtection="1">
      <alignment horizontal="center"/>
      <protection locked="0"/>
    </xf>
    <xf numFmtId="4" fontId="103" fillId="21" borderId="85" xfId="93" applyNumberFormat="1" applyFont="1" applyFill="1" applyBorder="1" applyAlignment="1" applyProtection="1">
      <alignment horizontal="center"/>
      <protection locked="0"/>
    </xf>
    <xf numFmtId="0" fontId="4" fillId="21" borderId="0" xfId="0" applyFont="1" applyFill="1"/>
    <xf numFmtId="166" fontId="104" fillId="21" borderId="47" xfId="94" applyFont="1" applyFill="1" applyBorder="1" applyAlignment="1">
      <alignment horizontal="center"/>
    </xf>
    <xf numFmtId="43" fontId="0" fillId="0" borderId="0" xfId="0" applyNumberFormat="1"/>
    <xf numFmtId="43" fontId="0" fillId="42" borderId="0" xfId="0" applyNumberFormat="1" applyFill="1"/>
    <xf numFmtId="43" fontId="0" fillId="26" borderId="0" xfId="0" applyNumberFormat="1" applyFill="1"/>
    <xf numFmtId="0" fontId="105" fillId="16" borderId="0" xfId="93" applyFont="1" applyFill="1" applyProtection="1">
      <protection locked="0"/>
    </xf>
    <xf numFmtId="0" fontId="66" fillId="16" borderId="0" xfId="93" applyNumberFormat="1" applyFont="1" applyFill="1" applyAlignment="1" applyProtection="1">
      <protection locked="0"/>
    </xf>
    <xf numFmtId="0" fontId="60" fillId="16" borderId="0" xfId="93" applyFont="1" applyFill="1" applyAlignment="1" applyProtection="1">
      <protection locked="0"/>
    </xf>
    <xf numFmtId="0" fontId="60" fillId="37" borderId="0" xfId="93" applyFont="1" applyFill="1" applyAlignment="1" applyProtection="1">
      <protection locked="0"/>
    </xf>
    <xf numFmtId="0" fontId="106" fillId="16" borderId="0" xfId="93" applyFont="1" applyFill="1" applyProtection="1">
      <protection locked="0"/>
    </xf>
    <xf numFmtId="0" fontId="60" fillId="16" borderId="0" xfId="93" applyFont="1" applyFill="1" applyBorder="1" applyAlignment="1" applyProtection="1">
      <alignment horizontal="center"/>
      <protection locked="0"/>
    </xf>
    <xf numFmtId="0" fontId="60" fillId="16" borderId="90" xfId="93" applyFont="1" applyFill="1" applyBorder="1" applyAlignment="1" applyProtection="1">
      <alignment horizontal="center" vertical="center"/>
      <protection locked="0"/>
    </xf>
    <xf numFmtId="0" fontId="105" fillId="0" borderId="0" xfId="93" applyFont="1" applyFill="1" applyBorder="1" applyProtection="1">
      <protection locked="0"/>
    </xf>
    <xf numFmtId="0" fontId="60" fillId="0" borderId="0" xfId="93" applyFont="1" applyFill="1" applyBorder="1" applyAlignment="1" applyProtection="1">
      <alignment horizontal="center"/>
      <protection locked="0"/>
    </xf>
    <xf numFmtId="0" fontId="97" fillId="21" borderId="85" xfId="93" applyFont="1" applyFill="1" applyBorder="1" applyAlignment="1" applyProtection="1">
      <alignment horizontal="left"/>
      <protection locked="0"/>
    </xf>
    <xf numFmtId="0" fontId="97" fillId="21" borderId="85" xfId="93" applyFont="1" applyFill="1" applyBorder="1" applyProtection="1">
      <protection locked="0"/>
    </xf>
    <xf numFmtId="0" fontId="105" fillId="0" borderId="0" xfId="93" applyFont="1" applyFill="1" applyProtection="1">
      <protection locked="0"/>
    </xf>
    <xf numFmtId="0" fontId="105" fillId="0" borderId="85" xfId="93" applyFont="1" applyFill="1" applyBorder="1" applyProtection="1">
      <protection locked="0"/>
    </xf>
    <xf numFmtId="0" fontId="60" fillId="0" borderId="0" xfId="93" applyFont="1" applyFill="1" applyBorder="1" applyProtection="1">
      <protection locked="0"/>
    </xf>
    <xf numFmtId="0" fontId="97" fillId="0" borderId="85" xfId="93" applyFont="1" applyFill="1" applyBorder="1" applyProtection="1">
      <protection locked="0"/>
    </xf>
    <xf numFmtId="0" fontId="66" fillId="0" borderId="0" xfId="93" applyFont="1" applyFill="1" applyBorder="1" applyProtection="1">
      <protection locked="0"/>
    </xf>
    <xf numFmtId="0" fontId="97" fillId="0" borderId="0" xfId="93" applyFont="1" applyFill="1" applyBorder="1" applyProtection="1">
      <protection locked="0"/>
    </xf>
    <xf numFmtId="0" fontId="107" fillId="21" borderId="85" xfId="93" applyFont="1" applyFill="1" applyBorder="1" applyProtection="1">
      <protection locked="0"/>
    </xf>
    <xf numFmtId="0" fontId="105" fillId="21" borderId="0" xfId="93" applyFont="1" applyFill="1" applyProtection="1">
      <protection locked="0"/>
    </xf>
    <xf numFmtId="0" fontId="60" fillId="21" borderId="0" xfId="93" applyFont="1" applyFill="1" applyBorder="1" applyProtection="1">
      <protection locked="0"/>
    </xf>
    <xf numFmtId="0" fontId="105" fillId="21" borderId="85" xfId="93" applyFont="1" applyFill="1" applyBorder="1" applyProtection="1">
      <protection locked="0"/>
    </xf>
    <xf numFmtId="0" fontId="105" fillId="21" borderId="0" xfId="93" applyFont="1" applyFill="1" applyBorder="1" applyProtection="1">
      <protection locked="0"/>
    </xf>
    <xf numFmtId="0" fontId="66" fillId="21" borderId="0" xfId="93" applyFont="1" applyFill="1" applyBorder="1" applyProtection="1">
      <protection locked="0"/>
    </xf>
    <xf numFmtId="170" fontId="105" fillId="0" borderId="0" xfId="93" applyNumberFormat="1" applyFont="1" applyFill="1" applyProtection="1">
      <protection locked="0"/>
    </xf>
    <xf numFmtId="0" fontId="110" fillId="16" borderId="0" xfId="93" applyFont="1" applyFill="1" applyProtection="1">
      <protection locked="0"/>
    </xf>
    <xf numFmtId="0" fontId="111" fillId="21" borderId="0" xfId="93" applyNumberFormat="1" applyFont="1" applyFill="1" applyAlignment="1" applyProtection="1">
      <alignment horizontal="left"/>
      <protection locked="0"/>
    </xf>
    <xf numFmtId="0" fontId="111" fillId="16" borderId="0" xfId="93" applyNumberFormat="1" applyFont="1" applyFill="1" applyAlignment="1" applyProtection="1">
      <protection locked="0"/>
    </xf>
    <xf numFmtId="0" fontId="112" fillId="0" borderId="0" xfId="93" applyNumberFormat="1" applyFont="1" applyFill="1" applyAlignment="1" applyProtection="1">
      <protection locked="0"/>
    </xf>
    <xf numFmtId="0" fontId="112" fillId="16" borderId="0" xfId="93" applyNumberFormat="1" applyFont="1" applyFill="1" applyAlignment="1" applyProtection="1">
      <protection locked="0"/>
    </xf>
    <xf numFmtId="0" fontId="113" fillId="16" borderId="0" xfId="93" applyFont="1" applyFill="1" applyProtection="1">
      <protection locked="0"/>
    </xf>
    <xf numFmtId="170" fontId="110" fillId="16" borderId="0" xfId="93" applyNumberFormat="1" applyFont="1" applyFill="1" applyAlignment="1" applyProtection="1">
      <protection locked="0"/>
    </xf>
    <xf numFmtId="0" fontId="114" fillId="0" borderId="0" xfId="93" applyFont="1" applyFill="1" applyAlignment="1" applyProtection="1">
      <alignment horizontal="left"/>
      <protection locked="0"/>
    </xf>
    <xf numFmtId="0" fontId="114" fillId="16" borderId="0" xfId="93" applyFont="1" applyFill="1" applyAlignment="1" applyProtection="1">
      <protection locked="0"/>
    </xf>
    <xf numFmtId="0" fontId="115" fillId="16" borderId="0" xfId="93" applyFont="1" applyFill="1" applyAlignment="1" applyProtection="1">
      <protection locked="0"/>
    </xf>
    <xf numFmtId="170" fontId="115" fillId="16" borderId="0" xfId="93" applyNumberFormat="1" applyFont="1" applyFill="1" applyAlignment="1" applyProtection="1">
      <protection locked="0"/>
    </xf>
    <xf numFmtId="9" fontId="115" fillId="16" borderId="0" xfId="257" applyFont="1" applyFill="1" applyBorder="1" applyAlignment="1" applyProtection="1">
      <protection locked="0"/>
    </xf>
    <xf numFmtId="0" fontId="111" fillId="36" borderId="0" xfId="93" applyFont="1" applyFill="1" applyAlignment="1" applyProtection="1">
      <alignment horizontal="left"/>
      <protection locked="0"/>
    </xf>
    <xf numFmtId="0" fontId="114" fillId="37" borderId="0" xfId="93" applyFont="1" applyFill="1" applyAlignment="1" applyProtection="1">
      <protection locked="0"/>
    </xf>
    <xf numFmtId="0" fontId="110" fillId="0" borderId="0" xfId="93" applyFont="1" applyFill="1" applyAlignment="1" applyProtection="1">
      <alignment horizontal="left"/>
      <protection locked="0"/>
    </xf>
    <xf numFmtId="170" fontId="113" fillId="16" borderId="0" xfId="93" applyNumberFormat="1" applyFont="1" applyFill="1" applyProtection="1">
      <protection locked="0"/>
    </xf>
    <xf numFmtId="9" fontId="113" fillId="16" borderId="0" xfId="257" applyFont="1" applyFill="1" applyBorder="1" applyAlignment="1" applyProtection="1">
      <protection locked="0"/>
    </xf>
    <xf numFmtId="0" fontId="116" fillId="16" borderId="0" xfId="93" applyFont="1" applyFill="1" applyProtection="1">
      <protection locked="0"/>
    </xf>
    <xf numFmtId="0" fontId="116" fillId="0" borderId="0" xfId="93" applyFont="1" applyFill="1" applyAlignment="1" applyProtection="1">
      <alignment horizontal="left"/>
      <protection locked="0"/>
    </xf>
    <xf numFmtId="0" fontId="117" fillId="16" borderId="0" xfId="93" applyFont="1" applyFill="1" applyProtection="1">
      <protection locked="0"/>
    </xf>
    <xf numFmtId="9" fontId="117" fillId="16" borderId="0" xfId="257" applyFont="1" applyFill="1" applyBorder="1" applyAlignment="1" applyProtection="1">
      <protection locked="0"/>
    </xf>
    <xf numFmtId="0" fontId="110" fillId="16" borderId="0" xfId="93" applyFont="1" applyFill="1" applyAlignment="1" applyProtection="1">
      <alignment horizontal="center"/>
      <protection locked="0"/>
    </xf>
    <xf numFmtId="0" fontId="114" fillId="0" borderId="0" xfId="93" applyFont="1" applyFill="1" applyBorder="1" applyAlignment="1" applyProtection="1">
      <alignment horizontal="left"/>
      <protection locked="0"/>
    </xf>
    <xf numFmtId="0" fontId="114" fillId="16" borderId="0" xfId="93" applyFont="1" applyFill="1" applyBorder="1" applyAlignment="1" applyProtection="1">
      <alignment horizontal="center"/>
      <protection locked="0"/>
    </xf>
    <xf numFmtId="0" fontId="113" fillId="16" borderId="0" xfId="93" applyFont="1" applyFill="1" applyAlignment="1" applyProtection="1">
      <alignment horizontal="center"/>
      <protection locked="0"/>
    </xf>
    <xf numFmtId="0" fontId="114" fillId="0" borderId="89" xfId="93" applyFont="1" applyFill="1" applyBorder="1" applyAlignment="1" applyProtection="1">
      <alignment horizontal="left" vertical="center"/>
      <protection locked="0"/>
    </xf>
    <xf numFmtId="0" fontId="114" fillId="16" borderId="90" xfId="93" applyFont="1" applyFill="1" applyBorder="1" applyAlignment="1" applyProtection="1">
      <alignment horizontal="center" vertical="center"/>
      <protection locked="0"/>
    </xf>
    <xf numFmtId="166" fontId="118" fillId="28" borderId="90" xfId="94" applyFont="1" applyFill="1" applyBorder="1" applyAlignment="1">
      <alignment horizontal="center" vertical="center" wrapText="1"/>
    </xf>
    <xf numFmtId="0" fontId="110" fillId="0" borderId="0" xfId="93" applyFont="1" applyFill="1" applyBorder="1" applyProtection="1">
      <protection locked="0"/>
    </xf>
    <xf numFmtId="0" fontId="114" fillId="0" borderId="0" xfId="93" applyFont="1" applyFill="1" applyBorder="1" applyAlignment="1" applyProtection="1">
      <alignment horizontal="center"/>
      <protection locked="0"/>
    </xf>
    <xf numFmtId="0" fontId="110" fillId="0" borderId="0" xfId="93" applyFont="1" applyFill="1" applyBorder="1" applyAlignment="1" applyProtection="1">
      <alignment horizontal="center"/>
      <protection locked="0"/>
    </xf>
    <xf numFmtId="170" fontId="110" fillId="0" borderId="0" xfId="93" applyNumberFormat="1" applyFont="1" applyFill="1" applyBorder="1" applyAlignment="1" applyProtection="1">
      <alignment horizontal="center"/>
      <protection locked="0"/>
    </xf>
    <xf numFmtId="170" fontId="110" fillId="0" borderId="0" xfId="93" applyNumberFormat="1" applyFont="1" applyFill="1" applyBorder="1" applyAlignment="1" applyProtection="1">
      <alignment horizontal="center" vertical="center" wrapText="1"/>
      <protection locked="0"/>
    </xf>
    <xf numFmtId="9" fontId="110" fillId="0" borderId="0" xfId="257" applyFont="1" applyFill="1" applyBorder="1" applyAlignment="1" applyProtection="1">
      <alignment horizontal="center" vertical="center" wrapText="1"/>
      <protection locked="0"/>
    </xf>
    <xf numFmtId="0" fontId="113" fillId="0" borderId="0" xfId="93" applyFont="1" applyFill="1" applyBorder="1" applyProtection="1">
      <protection locked="0"/>
    </xf>
    <xf numFmtId="0" fontId="119" fillId="0" borderId="0" xfId="93" applyFont="1" applyFill="1" applyBorder="1" applyAlignment="1" applyProtection="1">
      <alignment horizontal="left"/>
      <protection locked="0"/>
    </xf>
    <xf numFmtId="0" fontId="115" fillId="0" borderId="0" xfId="93" applyFont="1" applyFill="1" applyBorder="1" applyAlignment="1" applyProtection="1">
      <alignment horizontal="center"/>
      <protection locked="0"/>
    </xf>
    <xf numFmtId="170" fontId="115" fillId="0" borderId="0" xfId="93" applyNumberFormat="1" applyFont="1" applyFill="1" applyBorder="1" applyAlignment="1" applyProtection="1">
      <alignment horizontal="center"/>
      <protection locked="0"/>
    </xf>
    <xf numFmtId="170" fontId="115" fillId="0" borderId="0" xfId="93" applyNumberFormat="1" applyFont="1" applyFill="1" applyBorder="1" applyAlignment="1" applyProtection="1">
      <alignment horizontal="center" vertical="center" wrapText="1"/>
      <protection locked="0"/>
    </xf>
    <xf numFmtId="9" fontId="115" fillId="0" borderId="0" xfId="257" applyFont="1" applyFill="1" applyBorder="1" applyAlignment="1" applyProtection="1">
      <alignment horizontal="center" vertical="center" wrapText="1"/>
      <protection locked="0"/>
    </xf>
    <xf numFmtId="0" fontId="120" fillId="21" borderId="0" xfId="93" applyFont="1" applyFill="1" applyProtection="1">
      <protection locked="0"/>
    </xf>
    <xf numFmtId="0" fontId="120" fillId="21" borderId="85" xfId="93" applyFont="1" applyFill="1" applyBorder="1" applyAlignment="1" applyProtection="1">
      <alignment horizontal="left"/>
      <protection locked="0"/>
    </xf>
    <xf numFmtId="0" fontId="120" fillId="21" borderId="85" xfId="93" applyFont="1" applyFill="1" applyBorder="1" applyProtection="1">
      <protection locked="0"/>
    </xf>
    <xf numFmtId="40" fontId="120" fillId="21" borderId="85" xfId="93" applyNumberFormat="1" applyFont="1" applyFill="1" applyBorder="1" applyProtection="1">
      <protection locked="0"/>
    </xf>
    <xf numFmtId="170" fontId="120" fillId="21" borderId="85" xfId="94" applyNumberFormat="1" applyFont="1" applyFill="1" applyBorder="1" applyAlignment="1" applyProtection="1">
      <protection locked="0"/>
    </xf>
    <xf numFmtId="9" fontId="120" fillId="21" borderId="85" xfId="93" applyNumberFormat="1" applyFont="1" applyFill="1" applyBorder="1" applyProtection="1">
      <protection locked="0"/>
    </xf>
    <xf numFmtId="0" fontId="121" fillId="21" borderId="85" xfId="93" applyFont="1" applyFill="1" applyBorder="1" applyProtection="1">
      <protection locked="0"/>
    </xf>
    <xf numFmtId="40" fontId="121" fillId="21" borderId="85" xfId="93" applyNumberFormat="1" applyFont="1" applyFill="1" applyBorder="1" applyProtection="1">
      <protection locked="0"/>
    </xf>
    <xf numFmtId="170" fontId="121" fillId="21" borderId="85" xfId="94" applyNumberFormat="1" applyFont="1" applyFill="1" applyBorder="1" applyAlignment="1" applyProtection="1">
      <protection locked="0"/>
    </xf>
    <xf numFmtId="9" fontId="121" fillId="21" borderId="85" xfId="93" applyNumberFormat="1" applyFont="1" applyFill="1" applyBorder="1" applyProtection="1">
      <protection locked="0"/>
    </xf>
    <xf numFmtId="0" fontId="121" fillId="21" borderId="0" xfId="93" applyFont="1" applyFill="1" applyProtection="1">
      <protection locked="0"/>
    </xf>
    <xf numFmtId="0" fontId="110" fillId="0" borderId="0" xfId="93" applyFont="1" applyFill="1" applyProtection="1">
      <protection locked="0"/>
    </xf>
    <xf numFmtId="0" fontId="110" fillId="0" borderId="85" xfId="93" applyFont="1" applyFill="1" applyBorder="1" applyAlignment="1" applyProtection="1">
      <alignment horizontal="left"/>
      <protection locked="0"/>
    </xf>
    <xf numFmtId="0" fontId="110" fillId="0" borderId="85" xfId="93" applyFont="1" applyFill="1" applyBorder="1" applyProtection="1">
      <protection locked="0"/>
    </xf>
    <xf numFmtId="0" fontId="113" fillId="0" borderId="85" xfId="93" applyFont="1" applyFill="1" applyBorder="1" applyProtection="1">
      <protection locked="0"/>
    </xf>
    <xf numFmtId="40" fontId="113" fillId="21" borderId="85" xfId="93" applyNumberFormat="1" applyFont="1" applyFill="1" applyBorder="1" applyProtection="1">
      <protection locked="0"/>
    </xf>
    <xf numFmtId="40" fontId="113" fillId="0" borderId="85" xfId="93" applyNumberFormat="1" applyFont="1" applyFill="1" applyBorder="1" applyProtection="1">
      <protection locked="0"/>
    </xf>
    <xf numFmtId="170" fontId="113" fillId="0" borderId="85" xfId="94" applyNumberFormat="1" applyFont="1" applyFill="1" applyBorder="1" applyAlignment="1" applyProtection="1">
      <protection locked="0"/>
    </xf>
    <xf numFmtId="9" fontId="113" fillId="0" borderId="85" xfId="93" applyNumberFormat="1" applyFont="1" applyFill="1" applyBorder="1" applyProtection="1">
      <protection locked="0"/>
    </xf>
    <xf numFmtId="0" fontId="113" fillId="0" borderId="0" xfId="93" applyFont="1" applyFill="1" applyProtection="1">
      <protection locked="0"/>
    </xf>
    <xf numFmtId="0" fontId="110" fillId="0" borderId="0" xfId="93" applyFont="1" applyFill="1" applyBorder="1" applyAlignment="1" applyProtection="1">
      <alignment horizontal="left"/>
      <protection locked="0"/>
    </xf>
    <xf numFmtId="0" fontId="114" fillId="0" borderId="0" xfId="93" applyFont="1" applyFill="1" applyBorder="1" applyProtection="1">
      <protection locked="0"/>
    </xf>
    <xf numFmtId="40" fontId="114" fillId="21" borderId="34" xfId="93" applyNumberFormat="1" applyFont="1" applyFill="1" applyBorder="1" applyProtection="1">
      <protection locked="0"/>
    </xf>
    <xf numFmtId="9" fontId="113" fillId="0" borderId="0" xfId="93" applyNumberFormat="1" applyFont="1" applyFill="1" applyBorder="1" applyProtection="1">
      <protection locked="0"/>
    </xf>
    <xf numFmtId="40" fontId="114" fillId="21" borderId="0" xfId="93" applyNumberFormat="1" applyFont="1" applyFill="1" applyBorder="1" applyProtection="1">
      <protection locked="0"/>
    </xf>
    <xf numFmtId="40" fontId="110" fillId="0" borderId="0" xfId="93" applyNumberFormat="1" applyFont="1" applyFill="1" applyBorder="1" applyProtection="1">
      <protection locked="0"/>
    </xf>
    <xf numFmtId="40" fontId="113" fillId="21" borderId="0" xfId="93" applyNumberFormat="1" applyFont="1" applyFill="1" applyBorder="1" applyProtection="1">
      <protection locked="0"/>
    </xf>
    <xf numFmtId="40" fontId="113" fillId="0" borderId="0" xfId="93" applyNumberFormat="1" applyFont="1" applyFill="1" applyBorder="1" applyProtection="1">
      <protection locked="0"/>
    </xf>
    <xf numFmtId="170" fontId="113" fillId="0" borderId="0" xfId="94" applyNumberFormat="1" applyFont="1" applyFill="1" applyBorder="1" applyAlignment="1" applyProtection="1">
      <protection locked="0"/>
    </xf>
    <xf numFmtId="0" fontId="120" fillId="0" borderId="0" xfId="93" applyFont="1" applyFill="1" applyProtection="1">
      <protection locked="0"/>
    </xf>
    <xf numFmtId="0" fontId="120" fillId="0" borderId="85" xfId="93" applyFont="1" applyFill="1" applyBorder="1" applyAlignment="1" applyProtection="1">
      <alignment horizontal="left"/>
      <protection locked="0"/>
    </xf>
    <xf numFmtId="0" fontId="120" fillId="0" borderId="85" xfId="93" applyFont="1" applyFill="1" applyBorder="1" applyProtection="1">
      <protection locked="0"/>
    </xf>
    <xf numFmtId="0" fontId="121" fillId="0" borderId="85" xfId="93" applyFont="1" applyFill="1" applyBorder="1" applyProtection="1">
      <protection locked="0"/>
    </xf>
    <xf numFmtId="40" fontId="121" fillId="0" borderId="85" xfId="93" applyNumberFormat="1" applyFont="1" applyFill="1" applyBorder="1" applyProtection="1">
      <protection locked="0"/>
    </xf>
    <xf numFmtId="170" fontId="121" fillId="0" borderId="85" xfId="94" applyNumberFormat="1" applyFont="1" applyFill="1" applyBorder="1" applyAlignment="1" applyProtection="1">
      <protection locked="0"/>
    </xf>
    <xf numFmtId="9" fontId="121" fillId="0" borderId="85" xfId="93" applyNumberFormat="1" applyFont="1" applyFill="1" applyBorder="1" applyProtection="1">
      <protection locked="0"/>
    </xf>
    <xf numFmtId="0" fontId="121" fillId="0" borderId="0" xfId="93" applyFont="1" applyFill="1" applyProtection="1">
      <protection locked="0"/>
    </xf>
    <xf numFmtId="40" fontId="120" fillId="0" borderId="85" xfId="93" applyNumberFormat="1" applyFont="1" applyFill="1" applyBorder="1" applyProtection="1">
      <protection locked="0"/>
    </xf>
    <xf numFmtId="170" fontId="112" fillId="0" borderId="85" xfId="94" applyNumberFormat="1" applyFont="1" applyFill="1" applyBorder="1" applyAlignment="1" applyProtection="1">
      <protection locked="0"/>
    </xf>
    <xf numFmtId="9" fontId="112" fillId="0" borderId="85" xfId="93" applyNumberFormat="1" applyFont="1" applyFill="1" applyBorder="1" applyProtection="1">
      <protection locked="0"/>
    </xf>
    <xf numFmtId="0" fontId="112" fillId="0" borderId="0" xfId="93" applyFont="1" applyFill="1" applyProtection="1">
      <protection locked="0"/>
    </xf>
    <xf numFmtId="0" fontId="120" fillId="0" borderId="0" xfId="93" applyFont="1" applyFill="1" applyBorder="1" applyAlignment="1" applyProtection="1">
      <alignment horizontal="left"/>
      <protection locked="0"/>
    </xf>
    <xf numFmtId="0" fontId="111" fillId="0" borderId="0" xfId="93" applyFont="1" applyFill="1" applyBorder="1" applyProtection="1">
      <protection locked="0"/>
    </xf>
    <xf numFmtId="40" fontId="114" fillId="0" borderId="34" xfId="93" applyNumberFormat="1" applyFont="1" applyFill="1" applyBorder="1" applyProtection="1">
      <protection locked="0"/>
    </xf>
    <xf numFmtId="0" fontId="120" fillId="0" borderId="0" xfId="93" applyFont="1" applyFill="1" applyBorder="1" applyProtection="1">
      <protection locked="0"/>
    </xf>
    <xf numFmtId="40" fontId="115" fillId="21" borderId="0" xfId="93" applyNumberFormat="1" applyFont="1" applyFill="1" applyBorder="1" applyProtection="1">
      <protection locked="0"/>
    </xf>
    <xf numFmtId="40" fontId="115" fillId="0" borderId="0" xfId="93" applyNumberFormat="1" applyFont="1" applyFill="1" applyBorder="1" applyProtection="1">
      <protection locked="0"/>
    </xf>
    <xf numFmtId="170" fontId="110" fillId="0" borderId="0" xfId="94" applyNumberFormat="1" applyFont="1" applyFill="1" applyBorder="1" applyAlignment="1" applyProtection="1">
      <protection locked="0"/>
    </xf>
    <xf numFmtId="170" fontId="115" fillId="21" borderId="0" xfId="94" applyNumberFormat="1" applyFont="1" applyFill="1" applyBorder="1" applyAlignment="1" applyProtection="1">
      <protection locked="0"/>
    </xf>
    <xf numFmtId="170" fontId="115" fillId="0" borderId="0" xfId="94" applyNumberFormat="1" applyFont="1" applyFill="1" applyBorder="1" applyAlignment="1" applyProtection="1">
      <protection locked="0"/>
    </xf>
    <xf numFmtId="9" fontId="115" fillId="0" borderId="0" xfId="257" applyFont="1" applyFill="1" applyBorder="1" applyAlignment="1" applyProtection="1">
      <protection locked="0"/>
    </xf>
    <xf numFmtId="0" fontId="122" fillId="21" borderId="0" xfId="93" applyFont="1" applyFill="1" applyProtection="1">
      <protection locked="0"/>
    </xf>
    <xf numFmtId="0" fontId="122" fillId="0" borderId="85" xfId="93" applyFont="1" applyFill="1" applyBorder="1" applyAlignment="1" applyProtection="1">
      <alignment horizontal="left"/>
      <protection locked="0"/>
    </xf>
    <xf numFmtId="0" fontId="122" fillId="21" borderId="85" xfId="93" applyFont="1" applyFill="1" applyBorder="1" applyProtection="1">
      <protection locked="0"/>
    </xf>
    <xf numFmtId="0" fontId="123" fillId="21" borderId="85" xfId="93" applyFont="1" applyFill="1" applyBorder="1" applyProtection="1">
      <protection locked="0"/>
    </xf>
    <xf numFmtId="170" fontId="123" fillId="21" borderId="85" xfId="94" applyNumberFormat="1" applyFont="1" applyFill="1" applyBorder="1" applyAlignment="1" applyProtection="1">
      <protection locked="0"/>
    </xf>
    <xf numFmtId="9" fontId="123" fillId="21" borderId="85" xfId="94" applyNumberFormat="1" applyFont="1" applyFill="1" applyBorder="1" applyAlignment="1" applyProtection="1">
      <protection locked="0"/>
    </xf>
    <xf numFmtId="9" fontId="123" fillId="21" borderId="85" xfId="93" applyNumberFormat="1" applyFont="1" applyFill="1" applyBorder="1" applyProtection="1">
      <protection locked="0"/>
    </xf>
    <xf numFmtId="0" fontId="123" fillId="21" borderId="0" xfId="93" applyFont="1" applyFill="1" applyProtection="1">
      <protection locked="0"/>
    </xf>
    <xf numFmtId="170" fontId="114" fillId="21" borderId="34" xfId="94" applyNumberFormat="1" applyFont="1" applyFill="1" applyBorder="1" applyAlignment="1" applyProtection="1">
      <protection locked="0"/>
    </xf>
    <xf numFmtId="170" fontId="114" fillId="0" borderId="34" xfId="94" applyNumberFormat="1" applyFont="1" applyFill="1" applyBorder="1" applyAlignment="1" applyProtection="1">
      <protection locked="0"/>
    </xf>
    <xf numFmtId="170" fontId="115" fillId="0" borderId="0" xfId="93" applyNumberFormat="1" applyFont="1" applyFill="1" applyBorder="1" applyProtection="1">
      <protection locked="0"/>
    </xf>
    <xf numFmtId="10" fontId="113" fillId="0" borderId="0" xfId="94" applyNumberFormat="1" applyFont="1" applyFill="1" applyBorder="1" applyAlignment="1" applyProtection="1">
      <protection locked="0"/>
    </xf>
    <xf numFmtId="9" fontId="121" fillId="21" borderId="85" xfId="94" applyNumberFormat="1" applyFont="1" applyFill="1" applyBorder="1" applyAlignment="1" applyProtection="1">
      <protection locked="0"/>
    </xf>
    <xf numFmtId="9" fontId="120" fillId="21" borderId="85" xfId="94" applyNumberFormat="1" applyFont="1" applyFill="1" applyBorder="1" applyAlignment="1" applyProtection="1">
      <protection locked="0"/>
    </xf>
    <xf numFmtId="170" fontId="115" fillId="21" borderId="34" xfId="94" applyNumberFormat="1" applyFont="1" applyFill="1" applyBorder="1" applyAlignment="1" applyProtection="1">
      <protection locked="0"/>
    </xf>
    <xf numFmtId="0" fontId="115" fillId="0" borderId="0" xfId="93" applyFont="1" applyFill="1" applyBorder="1" applyProtection="1">
      <protection locked="0"/>
    </xf>
    <xf numFmtId="170" fontId="113" fillId="21" borderId="85" xfId="94" applyNumberFormat="1" applyFont="1" applyFill="1" applyBorder="1" applyAlignment="1" applyProtection="1">
      <protection locked="0"/>
    </xf>
    <xf numFmtId="9" fontId="113" fillId="0" borderId="85" xfId="257" applyFont="1" applyFill="1" applyBorder="1" applyAlignment="1" applyProtection="1">
      <protection locked="0"/>
    </xf>
    <xf numFmtId="9" fontId="120" fillId="0" borderId="85" xfId="257" applyFont="1" applyFill="1" applyBorder="1" applyAlignment="1" applyProtection="1">
      <protection locked="0"/>
    </xf>
    <xf numFmtId="9" fontId="120" fillId="0" borderId="85" xfId="93" applyNumberFormat="1" applyFont="1" applyFill="1" applyBorder="1" applyProtection="1">
      <protection locked="0"/>
    </xf>
    <xf numFmtId="0" fontId="112" fillId="0" borderId="0" xfId="93" applyFont="1" applyFill="1" applyBorder="1" applyProtection="1">
      <protection locked="0"/>
    </xf>
    <xf numFmtId="170" fontId="114" fillId="21" borderId="47" xfId="94" applyNumberFormat="1" applyFont="1" applyFill="1" applyBorder="1" applyAlignment="1" applyProtection="1">
      <protection locked="0"/>
    </xf>
    <xf numFmtId="170" fontId="114" fillId="0" borderId="47" xfId="94" applyNumberFormat="1" applyFont="1" applyFill="1" applyBorder="1" applyAlignment="1" applyProtection="1">
      <protection locked="0"/>
    </xf>
    <xf numFmtId="9" fontId="113" fillId="0" borderId="0" xfId="257" applyFont="1" applyFill="1" applyBorder="1" applyAlignment="1" applyProtection="1">
      <protection locked="0"/>
    </xf>
    <xf numFmtId="170" fontId="114" fillId="21" borderId="0" xfId="94" applyNumberFormat="1" applyFont="1" applyFill="1" applyBorder="1" applyAlignment="1" applyProtection="1">
      <protection locked="0"/>
    </xf>
    <xf numFmtId="170" fontId="114" fillId="0" borderId="0" xfId="94" applyNumberFormat="1" applyFont="1" applyFill="1" applyBorder="1" applyAlignment="1" applyProtection="1">
      <protection locked="0"/>
    </xf>
    <xf numFmtId="9" fontId="114" fillId="0" borderId="0" xfId="257" applyFont="1" applyFill="1" applyBorder="1" applyAlignment="1" applyProtection="1">
      <protection locked="0"/>
    </xf>
    <xf numFmtId="0" fontId="114" fillId="0" borderId="0" xfId="93" applyFont="1" applyFill="1" applyProtection="1">
      <protection locked="0"/>
    </xf>
    <xf numFmtId="170" fontId="113" fillId="21" borderId="0" xfId="94" applyNumberFormat="1" applyFont="1" applyFill="1" applyBorder="1" applyAlignment="1" applyProtection="1">
      <protection locked="0"/>
    </xf>
    <xf numFmtId="0" fontId="110" fillId="21" borderId="85" xfId="93" applyFont="1" applyFill="1" applyBorder="1" applyAlignment="1" applyProtection="1">
      <alignment horizontal="left"/>
      <protection locked="0"/>
    </xf>
    <xf numFmtId="0" fontId="110" fillId="21" borderId="0" xfId="93" applyFont="1" applyFill="1" applyProtection="1">
      <protection locked="0"/>
    </xf>
    <xf numFmtId="0" fontId="114" fillId="21" borderId="0" xfId="93" applyFont="1" applyFill="1" applyBorder="1" applyProtection="1">
      <protection locked="0"/>
    </xf>
    <xf numFmtId="40" fontId="114" fillId="21" borderId="47" xfId="93" applyNumberFormat="1" applyFont="1" applyFill="1" applyBorder="1" applyProtection="1">
      <protection locked="0"/>
    </xf>
    <xf numFmtId="9" fontId="114" fillId="21" borderId="0" xfId="257" applyFont="1" applyFill="1" applyBorder="1" applyAlignment="1" applyProtection="1">
      <protection locked="0"/>
    </xf>
    <xf numFmtId="0" fontId="114" fillId="21" borderId="0" xfId="93" applyFont="1" applyFill="1" applyProtection="1">
      <protection locked="0"/>
    </xf>
    <xf numFmtId="0" fontId="119" fillId="0" borderId="0" xfId="93" applyFont="1" applyFill="1" applyAlignment="1" applyProtection="1">
      <alignment horizontal="left"/>
      <protection locked="0"/>
    </xf>
    <xf numFmtId="0" fontId="113" fillId="21" borderId="0" xfId="93" applyFont="1" applyFill="1" applyProtection="1">
      <protection locked="0"/>
    </xf>
    <xf numFmtId="170" fontId="113" fillId="21" borderId="0" xfId="93" applyNumberFormat="1" applyFont="1" applyFill="1" applyProtection="1">
      <protection locked="0"/>
    </xf>
    <xf numFmtId="9" fontId="113" fillId="21" borderId="0" xfId="257" applyFont="1" applyFill="1" applyBorder="1" applyAlignment="1" applyProtection="1">
      <protection locked="0"/>
    </xf>
    <xf numFmtId="0" fontId="110" fillId="21" borderId="85" xfId="93" applyFont="1" applyFill="1" applyBorder="1" applyProtection="1">
      <protection locked="0"/>
    </xf>
    <xf numFmtId="171" fontId="113" fillId="21" borderId="85" xfId="94" applyNumberFormat="1" applyFont="1" applyFill="1" applyBorder="1" applyAlignment="1" applyProtection="1">
      <protection locked="0"/>
    </xf>
    <xf numFmtId="9" fontId="113" fillId="21" borderId="85" xfId="93" applyNumberFormat="1" applyFont="1" applyFill="1" applyBorder="1" applyProtection="1">
      <protection locked="0"/>
    </xf>
    <xf numFmtId="9" fontId="110" fillId="21" borderId="85" xfId="257" applyFont="1" applyFill="1" applyBorder="1" applyAlignment="1" applyProtection="1">
      <protection locked="0"/>
    </xf>
    <xf numFmtId="171" fontId="121" fillId="21" borderId="85" xfId="94" applyNumberFormat="1" applyFont="1" applyFill="1" applyBorder="1" applyAlignment="1" applyProtection="1">
      <protection locked="0"/>
    </xf>
    <xf numFmtId="9" fontId="120" fillId="21" borderId="85" xfId="257" applyFont="1" applyFill="1" applyBorder="1" applyAlignment="1" applyProtection="1">
      <protection locked="0"/>
    </xf>
    <xf numFmtId="9" fontId="121" fillId="21" borderId="85" xfId="257" applyFont="1" applyFill="1" applyBorder="1" applyAlignment="1" applyProtection="1">
      <protection locked="0"/>
    </xf>
    <xf numFmtId="171" fontId="120" fillId="21" borderId="85" xfId="94" applyNumberFormat="1" applyFont="1" applyFill="1" applyBorder="1" applyAlignment="1" applyProtection="1">
      <protection locked="0"/>
    </xf>
    <xf numFmtId="0" fontId="110" fillId="21" borderId="0" xfId="93" applyFont="1" applyFill="1" applyBorder="1" applyProtection="1">
      <protection locked="0"/>
    </xf>
    <xf numFmtId="0" fontId="114" fillId="21" borderId="0" xfId="93" applyFont="1" applyFill="1" applyBorder="1" applyAlignment="1" applyProtection="1">
      <alignment horizontal="left"/>
      <protection locked="0"/>
    </xf>
    <xf numFmtId="0" fontId="111" fillId="21" borderId="0" xfId="93" applyFont="1" applyFill="1" applyBorder="1" applyProtection="1">
      <protection locked="0"/>
    </xf>
    <xf numFmtId="9" fontId="115" fillId="21" borderId="0" xfId="257" applyFont="1" applyFill="1" applyBorder="1" applyAlignment="1" applyProtection="1">
      <protection locked="0"/>
    </xf>
    <xf numFmtId="0" fontId="115" fillId="21" borderId="0" xfId="93" applyFont="1" applyFill="1" applyBorder="1" applyProtection="1">
      <protection locked="0"/>
    </xf>
    <xf numFmtId="0" fontId="113" fillId="21" borderId="85" xfId="93" applyFont="1" applyFill="1" applyBorder="1" applyProtection="1">
      <protection locked="0"/>
    </xf>
    <xf numFmtId="9" fontId="113" fillId="21" borderId="85" xfId="257" applyFont="1" applyFill="1" applyBorder="1" applyAlignment="1" applyProtection="1">
      <protection locked="0"/>
    </xf>
    <xf numFmtId="9" fontId="110" fillId="21" borderId="85" xfId="93" applyNumberFormat="1" applyFont="1" applyFill="1" applyBorder="1" applyProtection="1">
      <protection locked="0"/>
    </xf>
    <xf numFmtId="0" fontId="113" fillId="21" borderId="0" xfId="93" applyFont="1" applyFill="1" applyBorder="1" applyProtection="1">
      <protection locked="0"/>
    </xf>
    <xf numFmtId="40" fontId="112" fillId="21" borderId="85" xfId="93" applyNumberFormat="1" applyFont="1" applyFill="1" applyBorder="1" applyProtection="1">
      <protection locked="0"/>
    </xf>
    <xf numFmtId="170" fontId="112" fillId="21" borderId="85" xfId="94" applyNumberFormat="1" applyFont="1" applyFill="1" applyBorder="1" applyAlignment="1" applyProtection="1">
      <protection locked="0"/>
    </xf>
    <xf numFmtId="171" fontId="112" fillId="21" borderId="85" xfId="94" applyNumberFormat="1" applyFont="1" applyFill="1" applyBorder="1" applyAlignment="1" applyProtection="1">
      <protection locked="0"/>
    </xf>
    <xf numFmtId="9" fontId="112" fillId="21" borderId="85" xfId="257" applyFont="1" applyFill="1" applyBorder="1" applyAlignment="1" applyProtection="1">
      <protection locked="0"/>
    </xf>
    <xf numFmtId="9" fontId="112" fillId="21" borderId="85" xfId="93" applyNumberFormat="1" applyFont="1" applyFill="1" applyBorder="1" applyProtection="1">
      <protection locked="0"/>
    </xf>
    <xf numFmtId="0" fontId="112" fillId="21" borderId="0" xfId="93" applyFont="1" applyFill="1" applyBorder="1" applyProtection="1">
      <protection locked="0"/>
    </xf>
    <xf numFmtId="170" fontId="110" fillId="21" borderId="0" xfId="94" applyNumberFormat="1" applyFont="1" applyFill="1" applyBorder="1" applyAlignment="1" applyProtection="1">
      <protection locked="0"/>
    </xf>
    <xf numFmtId="0" fontId="124" fillId="0" borderId="0" xfId="93" applyFont="1" applyFill="1" applyBorder="1" applyAlignment="1" applyProtection="1">
      <alignment horizontal="left"/>
      <protection locked="0"/>
    </xf>
    <xf numFmtId="0" fontId="120" fillId="21" borderId="0" xfId="93" applyFont="1" applyFill="1" applyBorder="1" applyProtection="1">
      <protection locked="0"/>
    </xf>
    <xf numFmtId="0" fontId="115" fillId="21" borderId="0" xfId="93" applyFont="1" applyFill="1" applyProtection="1">
      <protection locked="0"/>
    </xf>
    <xf numFmtId="170" fontId="110" fillId="21" borderId="85" xfId="94" applyNumberFormat="1" applyFont="1" applyFill="1" applyBorder="1" applyAlignment="1" applyProtection="1">
      <protection locked="0"/>
    </xf>
    <xf numFmtId="0" fontId="111" fillId="21" borderId="0" xfId="93" applyFont="1" applyFill="1" applyProtection="1">
      <protection locked="0"/>
    </xf>
    <xf numFmtId="0" fontId="122" fillId="21" borderId="85" xfId="93" applyFont="1" applyFill="1" applyBorder="1" applyAlignment="1" applyProtection="1">
      <alignment horizontal="left"/>
      <protection locked="0"/>
    </xf>
    <xf numFmtId="170" fontId="122" fillId="21" borderId="85" xfId="94" applyNumberFormat="1" applyFont="1" applyFill="1" applyBorder="1" applyAlignment="1" applyProtection="1">
      <protection locked="0"/>
    </xf>
    <xf numFmtId="170" fontId="114" fillId="21" borderId="0" xfId="93" applyNumberFormat="1" applyFont="1" applyFill="1" applyBorder="1" applyProtection="1">
      <protection locked="0"/>
    </xf>
    <xf numFmtId="170" fontId="114" fillId="21" borderId="34" xfId="93" applyNumberFormat="1" applyFont="1" applyFill="1" applyBorder="1" applyProtection="1">
      <protection locked="0"/>
    </xf>
    <xf numFmtId="40" fontId="114" fillId="0" borderId="0" xfId="93" applyNumberFormat="1" applyFont="1" applyFill="1" applyBorder="1" applyProtection="1">
      <protection locked="0"/>
    </xf>
    <xf numFmtId="9" fontId="114" fillId="0" borderId="0" xfId="93" applyNumberFormat="1" applyFont="1" applyFill="1" applyBorder="1" applyProtection="1">
      <protection locked="0"/>
    </xf>
    <xf numFmtId="0" fontId="114" fillId="0" borderId="7" xfId="93" applyFont="1" applyFill="1" applyBorder="1" applyAlignment="1" applyProtection="1">
      <alignment horizontal="left"/>
      <protection locked="0"/>
    </xf>
    <xf numFmtId="0" fontId="125" fillId="21" borderId="0" xfId="93" applyFont="1" applyFill="1" applyProtection="1">
      <protection locked="0"/>
    </xf>
    <xf numFmtId="171" fontId="115" fillId="0" borderId="34" xfId="94" applyNumberFormat="1" applyFont="1" applyFill="1" applyBorder="1" applyAlignment="1" applyProtection="1">
      <protection locked="0"/>
    </xf>
    <xf numFmtId="171" fontId="115" fillId="0" borderId="0" xfId="94" applyNumberFormat="1" applyFont="1" applyFill="1" applyBorder="1" applyAlignment="1" applyProtection="1">
      <protection locked="0"/>
    </xf>
    <xf numFmtId="170" fontId="110" fillId="0" borderId="0" xfId="93" applyNumberFormat="1" applyFont="1" applyFill="1" applyProtection="1">
      <protection locked="0"/>
    </xf>
    <xf numFmtId="169" fontId="110" fillId="0" borderId="0" xfId="94" applyNumberFormat="1" applyFont="1" applyFill="1" applyBorder="1" applyAlignment="1" applyProtection="1">
      <alignment horizontal="left"/>
      <protection locked="0"/>
    </xf>
    <xf numFmtId="40" fontId="110" fillId="0" borderId="0" xfId="93" applyNumberFormat="1" applyFont="1" applyFill="1" applyProtection="1">
      <protection locked="0"/>
    </xf>
    <xf numFmtId="170" fontId="113" fillId="0" borderId="0" xfId="93" applyNumberFormat="1" applyFont="1" applyFill="1" applyProtection="1">
      <protection locked="0"/>
    </xf>
    <xf numFmtId="40" fontId="110" fillId="0" borderId="28" xfId="93" applyNumberFormat="1" applyFont="1" applyFill="1" applyBorder="1" applyProtection="1">
      <protection locked="0"/>
    </xf>
    <xf numFmtId="9" fontId="110" fillId="0" borderId="0" xfId="257" applyFont="1" applyFill="1" applyBorder="1" applyAlignment="1" applyProtection="1">
      <protection locked="0"/>
    </xf>
    <xf numFmtId="170" fontId="124" fillId="0" borderId="0" xfId="94" applyNumberFormat="1" applyFont="1" applyFill="1" applyBorder="1" applyAlignment="1" applyProtection="1">
      <protection locked="0"/>
    </xf>
    <xf numFmtId="9" fontId="110" fillId="0" borderId="3" xfId="257" applyFont="1" applyFill="1" applyBorder="1" applyAlignment="1" applyProtection="1">
      <alignment horizontal="center"/>
      <protection locked="0"/>
    </xf>
    <xf numFmtId="9" fontId="110" fillId="0" borderId="7" xfId="257" applyFont="1" applyFill="1" applyBorder="1" applyAlignment="1" applyProtection="1">
      <alignment horizontal="center"/>
      <protection locked="0"/>
    </xf>
    <xf numFmtId="170" fontId="110" fillId="0" borderId="5" xfId="93" applyNumberFormat="1" applyFont="1" applyFill="1" applyBorder="1" applyAlignment="1" applyProtection="1">
      <alignment horizontal="center"/>
      <protection locked="0"/>
    </xf>
    <xf numFmtId="9" fontId="110" fillId="0" borderId="5" xfId="257" applyFont="1" applyFill="1" applyBorder="1" applyAlignment="1" applyProtection="1">
      <alignment horizontal="center"/>
      <protection locked="0"/>
    </xf>
    <xf numFmtId="170" fontId="110" fillId="0" borderId="3" xfId="93" applyNumberFormat="1" applyFont="1" applyFill="1" applyBorder="1" applyAlignment="1" applyProtection="1">
      <alignment horizontal="center"/>
      <protection locked="0"/>
    </xf>
    <xf numFmtId="170" fontId="110" fillId="0" borderId="0" xfId="93" applyNumberFormat="1" applyFont="1" applyFill="1" applyAlignment="1" applyProtection="1">
      <alignment horizontal="left"/>
      <protection locked="0"/>
    </xf>
    <xf numFmtId="40" fontId="110" fillId="0" borderId="37" xfId="93" applyNumberFormat="1" applyFont="1" applyFill="1" applyBorder="1" applyProtection="1">
      <protection locked="0"/>
    </xf>
    <xf numFmtId="4" fontId="110" fillId="0" borderId="37" xfId="93" applyNumberFormat="1" applyFont="1" applyFill="1" applyBorder="1" applyProtection="1">
      <protection locked="0"/>
    </xf>
    <xf numFmtId="170" fontId="110" fillId="0" borderId="37" xfId="93" applyNumberFormat="1" applyFont="1" applyFill="1" applyBorder="1" applyProtection="1">
      <protection locked="0"/>
    </xf>
    <xf numFmtId="4" fontId="110" fillId="0" borderId="0" xfId="93" applyNumberFormat="1" applyFont="1" applyFill="1" applyProtection="1">
      <protection locked="0"/>
    </xf>
    <xf numFmtId="170" fontId="126" fillId="0" borderId="0" xfId="94" applyNumberFormat="1" applyFont="1" applyFill="1" applyBorder="1" applyAlignment="1" applyProtection="1">
      <protection locked="0"/>
    </xf>
    <xf numFmtId="40" fontId="110" fillId="0" borderId="6" xfId="93" applyNumberFormat="1" applyFont="1" applyFill="1" applyBorder="1" applyProtection="1">
      <protection locked="0"/>
    </xf>
    <xf numFmtId="170" fontId="114" fillId="0" borderId="0" xfId="93" applyNumberFormat="1" applyFont="1" applyFill="1" applyProtection="1">
      <protection locked="0"/>
    </xf>
    <xf numFmtId="166" fontId="110" fillId="0" borderId="0" xfId="94" applyFont="1" applyFill="1" applyProtection="1">
      <protection locked="0"/>
    </xf>
    <xf numFmtId="174" fontId="110" fillId="0" borderId="0" xfId="93" applyNumberFormat="1" applyFont="1" applyFill="1" applyProtection="1">
      <protection locked="0"/>
    </xf>
    <xf numFmtId="174" fontId="110" fillId="0" borderId="28" xfId="93" applyNumberFormat="1" applyFont="1" applyFill="1" applyBorder="1" applyProtection="1">
      <protection locked="0"/>
    </xf>
    <xf numFmtId="4" fontId="110" fillId="0" borderId="0" xfId="93" applyNumberFormat="1" applyFont="1" applyFill="1" applyBorder="1" applyProtection="1">
      <protection locked="0"/>
    </xf>
    <xf numFmtId="170" fontId="119" fillId="0" borderId="0" xfId="93" applyNumberFormat="1" applyFont="1" applyFill="1" applyProtection="1">
      <protection locked="0"/>
    </xf>
    <xf numFmtId="174" fontId="110" fillId="0" borderId="3" xfId="93" applyNumberFormat="1" applyFont="1" applyFill="1" applyBorder="1" applyAlignment="1" applyProtection="1">
      <alignment horizontal="center"/>
      <protection locked="0"/>
    </xf>
    <xf numFmtId="9" fontId="114" fillId="44" borderId="45" xfId="257" applyFont="1" applyFill="1" applyBorder="1" applyAlignment="1" applyProtection="1">
      <alignment horizontal="center"/>
      <protection locked="0"/>
    </xf>
    <xf numFmtId="0" fontId="114" fillId="16" borderId="45" xfId="93" applyFont="1" applyFill="1" applyBorder="1" applyAlignment="1" applyProtection="1">
      <alignment horizontal="center" wrapText="1"/>
      <protection locked="0"/>
    </xf>
    <xf numFmtId="168" fontId="127" fillId="16" borderId="45" xfId="109" applyFont="1" applyFill="1" applyBorder="1" applyProtection="1">
      <protection locked="0"/>
    </xf>
    <xf numFmtId="168" fontId="127" fillId="16" borderId="45" xfId="109" applyFont="1" applyFill="1" applyBorder="1" applyAlignment="1" applyProtection="1">
      <protection locked="0"/>
    </xf>
    <xf numFmtId="9" fontId="114" fillId="16" borderId="45" xfId="257" applyFont="1" applyFill="1" applyBorder="1" applyAlignment="1" applyProtection="1">
      <alignment horizontal="center" wrapText="1"/>
      <protection locked="0"/>
    </xf>
    <xf numFmtId="168" fontId="128" fillId="43" borderId="106" xfId="109" applyFont="1" applyFill="1" applyBorder="1" applyAlignment="1" applyProtection="1">
      <protection locked="0"/>
    </xf>
    <xf numFmtId="9" fontId="114" fillId="16" borderId="48" xfId="257" applyFont="1" applyFill="1" applyBorder="1" applyAlignment="1" applyProtection="1">
      <protection locked="0"/>
    </xf>
    <xf numFmtId="9" fontId="114" fillId="16" borderId="45" xfId="257" applyFont="1" applyFill="1" applyBorder="1" applyAlignment="1" applyProtection="1">
      <protection locked="0"/>
    </xf>
    <xf numFmtId="168" fontId="108" fillId="16" borderId="0" xfId="109" applyFont="1" applyFill="1" applyAlignment="1" applyProtection="1">
      <protection locked="0"/>
    </xf>
    <xf numFmtId="168" fontId="108" fillId="0" borderId="0" xfId="109" applyFont="1" applyFill="1" applyAlignment="1" applyProtection="1">
      <protection locked="0"/>
    </xf>
    <xf numFmtId="168" fontId="108" fillId="16" borderId="0" xfId="109" applyFont="1" applyFill="1" applyProtection="1">
      <protection locked="0"/>
    </xf>
    <xf numFmtId="168" fontId="108" fillId="28" borderId="90" xfId="109" applyFont="1" applyFill="1" applyBorder="1" applyAlignment="1">
      <alignment horizontal="center" vertical="center" wrapText="1"/>
    </xf>
    <xf numFmtId="168" fontId="108" fillId="0" borderId="0" xfId="109" applyFont="1" applyFill="1" applyBorder="1" applyAlignment="1" applyProtection="1">
      <alignment horizontal="center"/>
      <protection locked="0"/>
    </xf>
    <xf numFmtId="168" fontId="108" fillId="0" borderId="0" xfId="109" applyFont="1" applyFill="1" applyBorder="1" applyAlignment="1" applyProtection="1">
      <alignment horizontal="center" vertical="center" wrapText="1"/>
      <protection locked="0"/>
    </xf>
    <xf numFmtId="168" fontId="108" fillId="21" borderId="85" xfId="109" applyFont="1" applyFill="1" applyBorder="1" applyProtection="1">
      <protection locked="0"/>
    </xf>
    <xf numFmtId="168" fontId="108" fillId="21" borderId="85" xfId="109" applyFont="1" applyFill="1" applyBorder="1" applyAlignment="1" applyProtection="1">
      <protection locked="0"/>
    </xf>
    <xf numFmtId="168" fontId="108" fillId="0" borderId="85" xfId="109" applyFont="1" applyFill="1" applyBorder="1" applyProtection="1">
      <protection locked="0"/>
    </xf>
    <xf numFmtId="168" fontId="108" fillId="0" borderId="85" xfId="109" applyFont="1" applyFill="1" applyBorder="1" applyAlignment="1" applyProtection="1">
      <protection locked="0"/>
    </xf>
    <xf numFmtId="168" fontId="108" fillId="21" borderId="34" xfId="109" applyFont="1" applyFill="1" applyBorder="1" applyProtection="1">
      <protection locked="0"/>
    </xf>
    <xf numFmtId="168" fontId="108" fillId="21" borderId="0" xfId="109" applyFont="1" applyFill="1" applyBorder="1" applyProtection="1">
      <protection locked="0"/>
    </xf>
    <xf numFmtId="168" fontId="108" fillId="0" borderId="0" xfId="109" applyFont="1" applyFill="1" applyBorder="1" applyProtection="1">
      <protection locked="0"/>
    </xf>
    <xf numFmtId="168" fontId="108" fillId="0" borderId="0" xfId="109" applyFont="1" applyFill="1" applyBorder="1" applyAlignment="1" applyProtection="1">
      <protection locked="0"/>
    </xf>
    <xf numFmtId="168" fontId="108" fillId="0" borderId="34" xfId="109" applyFont="1" applyFill="1" applyBorder="1" applyProtection="1">
      <protection locked="0"/>
    </xf>
    <xf numFmtId="168" fontId="108" fillId="21" borderId="0" xfId="109" applyFont="1" applyFill="1" applyBorder="1" applyAlignment="1" applyProtection="1">
      <protection locked="0"/>
    </xf>
    <xf numFmtId="168" fontId="108" fillId="21" borderId="34" xfId="109" applyFont="1" applyFill="1" applyBorder="1" applyAlignment="1" applyProtection="1">
      <protection locked="0"/>
    </xf>
    <xf numFmtId="168" fontId="108" fillId="0" borderId="34" xfId="109" applyFont="1" applyFill="1" applyBorder="1" applyAlignment="1" applyProtection="1">
      <protection locked="0"/>
    </xf>
    <xf numFmtId="168" fontId="108" fillId="21" borderId="47" xfId="109" applyFont="1" applyFill="1" applyBorder="1" applyAlignment="1" applyProtection="1">
      <protection locked="0"/>
    </xf>
    <xf numFmtId="168" fontId="108" fillId="0" borderId="47" xfId="109" applyFont="1" applyFill="1" applyBorder="1" applyAlignment="1" applyProtection="1">
      <protection locked="0"/>
    </xf>
    <xf numFmtId="168" fontId="108" fillId="21" borderId="47" xfId="109" applyFont="1" applyFill="1" applyBorder="1" applyProtection="1">
      <protection locked="0"/>
    </xf>
    <xf numFmtId="168" fontId="108" fillId="21" borderId="0" xfId="109" applyFont="1" applyFill="1" applyProtection="1">
      <protection locked="0"/>
    </xf>
    <xf numFmtId="168" fontId="108" fillId="0" borderId="0" xfId="109" applyFont="1" applyFill="1" applyProtection="1">
      <protection locked="0"/>
    </xf>
    <xf numFmtId="168" fontId="108" fillId="16" borderId="0" xfId="109" applyFont="1" applyFill="1" applyBorder="1" applyAlignment="1" applyProtection="1">
      <protection locked="0"/>
    </xf>
    <xf numFmtId="0" fontId="110" fillId="0" borderId="51" xfId="93" applyFont="1" applyFill="1" applyBorder="1" applyAlignment="1" applyProtection="1">
      <alignment horizontal="left"/>
      <protection locked="0"/>
    </xf>
    <xf numFmtId="0" fontId="113" fillId="16" borderId="51" xfId="93" applyFont="1" applyFill="1" applyBorder="1" applyProtection="1">
      <protection locked="0"/>
    </xf>
    <xf numFmtId="9" fontId="113" fillId="16" borderId="51" xfId="257" applyFont="1" applyFill="1" applyBorder="1" applyAlignment="1" applyProtection="1">
      <protection locked="0"/>
    </xf>
    <xf numFmtId="168" fontId="130" fillId="16" borderId="48" xfId="109" applyFont="1" applyFill="1" applyBorder="1" applyAlignment="1" applyProtection="1">
      <protection locked="0"/>
    </xf>
    <xf numFmtId="168" fontId="130" fillId="16" borderId="45" xfId="109" applyFont="1" applyFill="1" applyBorder="1" applyAlignment="1" applyProtection="1">
      <protection locked="0"/>
    </xf>
    <xf numFmtId="168" fontId="130" fillId="44" borderId="45" xfId="109" applyFont="1" applyFill="1" applyBorder="1" applyAlignment="1" applyProtection="1">
      <alignment horizontal="center"/>
      <protection locked="0"/>
    </xf>
    <xf numFmtId="168" fontId="109" fillId="16" borderId="45" xfId="109" applyFont="1" applyFill="1" applyBorder="1" applyProtection="1">
      <protection locked="0"/>
    </xf>
    <xf numFmtId="168" fontId="109" fillId="16" borderId="45" xfId="109" applyFont="1" applyFill="1" applyBorder="1" applyAlignment="1" applyProtection="1">
      <protection locked="0"/>
    </xf>
    <xf numFmtId="168" fontId="109" fillId="43" borderId="106" xfId="109" applyFont="1" applyFill="1" applyBorder="1" applyAlignment="1" applyProtection="1">
      <protection locked="0"/>
    </xf>
    <xf numFmtId="0" fontId="131" fillId="16" borderId="0" xfId="93" applyFont="1" applyFill="1" applyProtection="1">
      <protection locked="0"/>
    </xf>
    <xf numFmtId="0" fontId="132" fillId="21" borderId="0" xfId="93" applyNumberFormat="1" applyFont="1" applyFill="1" applyAlignment="1" applyProtection="1">
      <alignment horizontal="left"/>
      <protection locked="0"/>
    </xf>
    <xf numFmtId="0" fontId="132" fillId="16" borderId="0" xfId="93" applyNumberFormat="1" applyFont="1" applyFill="1" applyAlignment="1" applyProtection="1">
      <protection locked="0"/>
    </xf>
    <xf numFmtId="0" fontId="133" fillId="0" borderId="0" xfId="93" applyNumberFormat="1" applyFont="1" applyFill="1" applyAlignment="1" applyProtection="1">
      <protection locked="0"/>
    </xf>
    <xf numFmtId="0" fontId="133" fillId="16" borderId="0" xfId="93" applyNumberFormat="1" applyFont="1" applyFill="1" applyAlignment="1" applyProtection="1">
      <protection locked="0"/>
    </xf>
    <xf numFmtId="0" fontId="134" fillId="16" borderId="0" xfId="93" applyFont="1" applyFill="1" applyProtection="1">
      <protection locked="0"/>
    </xf>
    <xf numFmtId="170" fontId="131" fillId="16" borderId="0" xfId="93" applyNumberFormat="1" applyFont="1" applyFill="1" applyAlignment="1" applyProtection="1">
      <protection locked="0"/>
    </xf>
    <xf numFmtId="0" fontId="135" fillId="0" borderId="0" xfId="93" applyFont="1" applyFill="1" applyAlignment="1" applyProtection="1">
      <alignment horizontal="left"/>
      <protection locked="0"/>
    </xf>
    <xf numFmtId="0" fontId="135" fillId="16" borderId="0" xfId="93" applyFont="1" applyFill="1" applyAlignment="1" applyProtection="1">
      <protection locked="0"/>
    </xf>
    <xf numFmtId="0" fontId="136" fillId="16" borderId="0" xfId="93" applyFont="1" applyFill="1" applyAlignment="1" applyProtection="1">
      <protection locked="0"/>
    </xf>
    <xf numFmtId="170" fontId="136" fillId="16" borderId="0" xfId="93" applyNumberFormat="1" applyFont="1" applyFill="1" applyAlignment="1" applyProtection="1">
      <protection locked="0"/>
    </xf>
    <xf numFmtId="0" fontId="132" fillId="36" borderId="0" xfId="93" applyFont="1" applyFill="1" applyAlignment="1" applyProtection="1">
      <alignment horizontal="left"/>
      <protection locked="0"/>
    </xf>
    <xf numFmtId="0" fontId="135" fillId="37" borderId="0" xfId="93" applyFont="1" applyFill="1" applyAlignment="1" applyProtection="1">
      <protection locked="0"/>
    </xf>
    <xf numFmtId="0" fontId="131" fillId="0" borderId="0" xfId="93" applyFont="1" applyFill="1" applyAlignment="1" applyProtection="1">
      <alignment horizontal="left"/>
      <protection locked="0"/>
    </xf>
    <xf numFmtId="170" fontId="134" fillId="16" borderId="0" xfId="93" applyNumberFormat="1" applyFont="1" applyFill="1" applyProtection="1">
      <protection locked="0"/>
    </xf>
    <xf numFmtId="0" fontId="137" fillId="16" borderId="0" xfId="93" applyFont="1" applyFill="1" applyProtection="1">
      <protection locked="0"/>
    </xf>
    <xf numFmtId="0" fontId="137" fillId="0" borderId="0" xfId="93" applyFont="1" applyFill="1" applyAlignment="1" applyProtection="1">
      <alignment horizontal="left"/>
      <protection locked="0"/>
    </xf>
    <xf numFmtId="0" fontId="138" fillId="16" borderId="0" xfId="93" applyFont="1" applyFill="1" applyProtection="1">
      <protection locked="0"/>
    </xf>
    <xf numFmtId="0" fontId="131" fillId="16" borderId="0" xfId="93" applyFont="1" applyFill="1" applyAlignment="1" applyProtection="1">
      <alignment horizontal="center"/>
      <protection locked="0"/>
    </xf>
    <xf numFmtId="0" fontId="135" fillId="0" borderId="0" xfId="93" applyFont="1" applyFill="1" applyBorder="1" applyAlignment="1" applyProtection="1">
      <alignment horizontal="left"/>
      <protection locked="0"/>
    </xf>
    <xf numFmtId="0" fontId="135" fillId="16" borderId="0" xfId="93" applyFont="1" applyFill="1" applyBorder="1" applyAlignment="1" applyProtection="1">
      <alignment horizontal="center"/>
      <protection locked="0"/>
    </xf>
    <xf numFmtId="0" fontId="134" fillId="16" borderId="0" xfId="93" applyFont="1" applyFill="1" applyAlignment="1" applyProtection="1">
      <alignment horizontal="center"/>
      <protection locked="0"/>
    </xf>
    <xf numFmtId="0" fontId="135" fillId="0" borderId="89" xfId="93" applyFont="1" applyFill="1" applyBorder="1" applyAlignment="1" applyProtection="1">
      <alignment horizontal="left" vertical="center"/>
      <protection locked="0"/>
    </xf>
    <xf numFmtId="0" fontId="135" fillId="16" borderId="90" xfId="93" applyFont="1" applyFill="1" applyBorder="1" applyAlignment="1" applyProtection="1">
      <alignment horizontal="center" vertical="center"/>
      <protection locked="0"/>
    </xf>
    <xf numFmtId="166" fontId="139" fillId="28" borderId="90" xfId="94" applyFont="1" applyFill="1" applyBorder="1" applyAlignment="1">
      <alignment horizontal="center" vertical="center" wrapText="1"/>
    </xf>
    <xf numFmtId="166" fontId="139" fillId="49" borderId="90" xfId="94" applyFont="1" applyFill="1" applyBorder="1" applyAlignment="1">
      <alignment horizontal="center" vertical="center" wrapText="1"/>
    </xf>
    <xf numFmtId="0" fontId="131" fillId="0" borderId="0" xfId="93" applyFont="1" applyFill="1" applyBorder="1" applyProtection="1">
      <protection locked="0"/>
    </xf>
    <xf numFmtId="0" fontId="135" fillId="0" borderId="0" xfId="93" applyFont="1" applyFill="1" applyBorder="1" applyAlignment="1" applyProtection="1">
      <alignment horizontal="center"/>
      <protection locked="0"/>
    </xf>
    <xf numFmtId="0" fontId="131" fillId="0" borderId="0" xfId="93" applyFont="1" applyFill="1" applyBorder="1" applyAlignment="1" applyProtection="1">
      <alignment horizontal="center"/>
      <protection locked="0"/>
    </xf>
    <xf numFmtId="170" fontId="131" fillId="0" borderId="0" xfId="93" applyNumberFormat="1" applyFont="1" applyFill="1" applyBorder="1" applyAlignment="1" applyProtection="1">
      <alignment horizontal="center"/>
      <protection locked="0"/>
    </xf>
    <xf numFmtId="170" fontId="131" fillId="0" borderId="0" xfId="93" applyNumberFormat="1" applyFont="1" applyFill="1" applyBorder="1" applyAlignment="1" applyProtection="1">
      <alignment horizontal="center" vertical="center" wrapText="1"/>
      <protection locked="0"/>
    </xf>
    <xf numFmtId="0" fontId="134" fillId="0" borderId="0" xfId="93" applyFont="1" applyFill="1" applyBorder="1" applyProtection="1">
      <protection locked="0"/>
    </xf>
    <xf numFmtId="0" fontId="140" fillId="0" borderId="0" xfId="93" applyFont="1" applyFill="1" applyBorder="1" applyAlignment="1" applyProtection="1">
      <alignment horizontal="left"/>
      <protection locked="0"/>
    </xf>
    <xf numFmtId="0" fontId="136" fillId="0" borderId="0" xfId="93" applyFont="1" applyFill="1" applyBorder="1" applyAlignment="1" applyProtection="1">
      <alignment horizontal="center"/>
      <protection locked="0"/>
    </xf>
    <xf numFmtId="170" fontId="136" fillId="0" borderId="0" xfId="93" applyNumberFormat="1" applyFont="1" applyFill="1" applyBorder="1" applyAlignment="1" applyProtection="1">
      <alignment horizontal="center"/>
      <protection locked="0"/>
    </xf>
    <xf numFmtId="170" fontId="136" fillId="0" borderId="0" xfId="93" applyNumberFormat="1" applyFont="1" applyFill="1" applyBorder="1" applyAlignment="1" applyProtection="1">
      <alignment horizontal="center" vertical="center" wrapText="1"/>
      <protection locked="0"/>
    </xf>
    <xf numFmtId="0" fontId="131" fillId="0" borderId="0" xfId="93" applyFont="1" applyFill="1" applyProtection="1">
      <protection locked="0"/>
    </xf>
    <xf numFmtId="0" fontId="141" fillId="0" borderId="85" xfId="93" applyFont="1" applyFill="1" applyBorder="1" applyAlignment="1" applyProtection="1">
      <alignment horizontal="left"/>
      <protection locked="0"/>
    </xf>
    <xf numFmtId="0" fontId="141" fillId="21" borderId="85" xfId="93" applyFont="1" applyFill="1" applyBorder="1" applyProtection="1">
      <protection locked="0"/>
    </xf>
    <xf numFmtId="40" fontId="141" fillId="21" borderId="85" xfId="93" applyNumberFormat="1" applyFont="1" applyFill="1" applyBorder="1" applyProtection="1">
      <protection locked="0"/>
    </xf>
    <xf numFmtId="170" fontId="141" fillId="21" borderId="85" xfId="94" applyNumberFormat="1" applyFont="1" applyFill="1" applyBorder="1" applyAlignment="1" applyProtection="1">
      <protection locked="0"/>
    </xf>
    <xf numFmtId="0" fontId="141" fillId="21" borderId="0" xfId="93" applyFont="1" applyFill="1" applyProtection="1">
      <protection locked="0"/>
    </xf>
    <xf numFmtId="0" fontId="131" fillId="0" borderId="85" xfId="93" applyFont="1" applyFill="1" applyBorder="1" applyAlignment="1" applyProtection="1">
      <alignment horizontal="left"/>
      <protection locked="0"/>
    </xf>
    <xf numFmtId="0" fontId="131" fillId="0" borderId="85" xfId="93" applyFont="1" applyFill="1" applyBorder="1" applyProtection="1">
      <protection locked="0"/>
    </xf>
    <xf numFmtId="0" fontId="134" fillId="0" borderId="85" xfId="93" applyFont="1" applyFill="1" applyBorder="1" applyProtection="1">
      <protection locked="0"/>
    </xf>
    <xf numFmtId="40" fontId="142" fillId="21" borderId="85" xfId="93" applyNumberFormat="1" applyFont="1" applyFill="1" applyBorder="1" applyProtection="1">
      <protection locked="0"/>
    </xf>
    <xf numFmtId="40" fontId="134" fillId="0" borderId="85" xfId="93" applyNumberFormat="1" applyFont="1" applyFill="1" applyBorder="1" applyProtection="1">
      <protection locked="0"/>
    </xf>
    <xf numFmtId="170" fontId="134" fillId="0" borderId="85" xfId="94" applyNumberFormat="1" applyFont="1" applyFill="1" applyBorder="1" applyAlignment="1" applyProtection="1">
      <protection locked="0"/>
    </xf>
    <xf numFmtId="0" fontId="134" fillId="0" borderId="0" xfId="93" applyFont="1" applyFill="1" applyProtection="1">
      <protection locked="0"/>
    </xf>
    <xf numFmtId="0" fontId="141" fillId="0" borderId="85" xfId="93" applyFont="1" applyFill="1" applyBorder="1" applyProtection="1">
      <protection locked="0"/>
    </xf>
    <xf numFmtId="0" fontId="142" fillId="0" borderId="85" xfId="93" applyFont="1" applyFill="1" applyBorder="1" applyProtection="1">
      <protection locked="0"/>
    </xf>
    <xf numFmtId="40" fontId="142" fillId="0" borderId="85" xfId="93" applyNumberFormat="1" applyFont="1" applyFill="1" applyBorder="1" applyProtection="1">
      <protection locked="0"/>
    </xf>
    <xf numFmtId="170" fontId="142" fillId="0" borderId="85" xfId="94" applyNumberFormat="1" applyFont="1" applyFill="1" applyBorder="1" applyAlignment="1" applyProtection="1">
      <protection locked="0"/>
    </xf>
    <xf numFmtId="0" fontId="142" fillId="0" borderId="0" xfId="93" applyFont="1" applyFill="1" applyProtection="1">
      <protection locked="0"/>
    </xf>
    <xf numFmtId="0" fontId="131" fillId="0" borderId="0" xfId="93" applyFont="1" applyFill="1" applyBorder="1" applyAlignment="1" applyProtection="1">
      <alignment horizontal="left"/>
      <protection locked="0"/>
    </xf>
    <xf numFmtId="0" fontId="135" fillId="0" borderId="0" xfId="93" applyFont="1" applyFill="1" applyBorder="1" applyProtection="1">
      <protection locked="0"/>
    </xf>
    <xf numFmtId="40" fontId="135" fillId="21" borderId="34" xfId="93" applyNumberFormat="1" applyFont="1" applyFill="1" applyBorder="1" applyProtection="1">
      <protection locked="0"/>
    </xf>
    <xf numFmtId="40" fontId="131" fillId="0" borderId="0" xfId="93" applyNumberFormat="1" applyFont="1" applyFill="1" applyBorder="1" applyProtection="1">
      <protection locked="0"/>
    </xf>
    <xf numFmtId="40" fontId="134" fillId="21" borderId="0" xfId="93" applyNumberFormat="1" applyFont="1" applyFill="1" applyBorder="1" applyProtection="1">
      <protection locked="0"/>
    </xf>
    <xf numFmtId="40" fontId="134" fillId="0" borderId="0" xfId="93" applyNumberFormat="1" applyFont="1" applyFill="1" applyBorder="1" applyProtection="1">
      <protection locked="0"/>
    </xf>
    <xf numFmtId="170" fontId="134" fillId="0" borderId="0" xfId="94" applyNumberFormat="1" applyFont="1" applyFill="1" applyBorder="1" applyAlignment="1" applyProtection="1">
      <protection locked="0"/>
    </xf>
    <xf numFmtId="0" fontId="141" fillId="0" borderId="0" xfId="93" applyFont="1" applyFill="1" applyProtection="1">
      <protection locked="0"/>
    </xf>
    <xf numFmtId="40" fontId="141" fillId="0" borderId="85" xfId="93" applyNumberFormat="1" applyFont="1" applyFill="1" applyBorder="1" applyProtection="1">
      <protection locked="0"/>
    </xf>
    <xf numFmtId="170" fontId="133" fillId="0" borderId="85" xfId="94" applyNumberFormat="1" applyFont="1" applyFill="1" applyBorder="1" applyAlignment="1" applyProtection="1">
      <protection locked="0"/>
    </xf>
    <xf numFmtId="0" fontId="133" fillId="0" borderId="0" xfId="93" applyFont="1" applyFill="1" applyProtection="1">
      <protection locked="0"/>
    </xf>
    <xf numFmtId="0" fontId="141" fillId="21" borderId="85" xfId="93" applyFont="1" applyFill="1" applyBorder="1" applyAlignment="1" applyProtection="1">
      <alignment horizontal="left"/>
      <protection locked="0"/>
    </xf>
    <xf numFmtId="0" fontId="142" fillId="21" borderId="85" xfId="93" applyFont="1" applyFill="1" applyBorder="1" applyProtection="1">
      <protection locked="0"/>
    </xf>
    <xf numFmtId="170" fontId="142" fillId="21" borderId="85" xfId="94" applyNumberFormat="1" applyFont="1" applyFill="1" applyBorder="1" applyAlignment="1" applyProtection="1">
      <protection locked="0"/>
    </xf>
    <xf numFmtId="0" fontId="142" fillId="21" borderId="0" xfId="93" applyFont="1" applyFill="1" applyProtection="1">
      <protection locked="0"/>
    </xf>
    <xf numFmtId="0" fontId="141" fillId="0" borderId="0" xfId="93" applyFont="1" applyFill="1" applyBorder="1" applyAlignment="1" applyProtection="1">
      <alignment horizontal="left"/>
      <protection locked="0"/>
    </xf>
    <xf numFmtId="0" fontId="132" fillId="0" borderId="0" xfId="93" applyFont="1" applyFill="1" applyBorder="1" applyProtection="1">
      <protection locked="0"/>
    </xf>
    <xf numFmtId="40" fontId="135" fillId="0" borderId="34" xfId="93" applyNumberFormat="1" applyFont="1" applyFill="1" applyBorder="1" applyProtection="1">
      <protection locked="0"/>
    </xf>
    <xf numFmtId="0" fontId="141" fillId="0" borderId="0" xfId="93" applyFont="1" applyFill="1" applyBorder="1" applyProtection="1">
      <protection locked="0"/>
    </xf>
    <xf numFmtId="40" fontId="134" fillId="21" borderId="85" xfId="93" applyNumberFormat="1" applyFont="1" applyFill="1" applyBorder="1" applyProtection="1">
      <protection locked="0"/>
    </xf>
    <xf numFmtId="0" fontId="134" fillId="21" borderId="85" xfId="93" applyFont="1" applyFill="1" applyBorder="1" applyProtection="1">
      <protection locked="0"/>
    </xf>
    <xf numFmtId="170" fontId="134" fillId="21" borderId="85" xfId="94" applyNumberFormat="1" applyFont="1" applyFill="1" applyBorder="1" applyAlignment="1" applyProtection="1">
      <protection locked="0"/>
    </xf>
    <xf numFmtId="0" fontId="134" fillId="21" borderId="0" xfId="93" applyFont="1" applyFill="1" applyProtection="1">
      <protection locked="0"/>
    </xf>
    <xf numFmtId="170" fontId="141" fillId="0" borderId="85" xfId="94" applyNumberFormat="1" applyFont="1" applyFill="1" applyBorder="1" applyAlignment="1" applyProtection="1">
      <protection locked="0"/>
    </xf>
    <xf numFmtId="40" fontId="136" fillId="21" borderId="0" xfId="93" applyNumberFormat="1" applyFont="1" applyFill="1" applyBorder="1" applyProtection="1">
      <protection locked="0"/>
    </xf>
    <xf numFmtId="40" fontId="136" fillId="0" borderId="0" xfId="93" applyNumberFormat="1" applyFont="1" applyFill="1" applyBorder="1" applyProtection="1">
      <protection locked="0"/>
    </xf>
    <xf numFmtId="170" fontId="131" fillId="0" borderId="0" xfId="94" applyNumberFormat="1" applyFont="1" applyFill="1" applyBorder="1" applyAlignment="1" applyProtection="1">
      <protection locked="0"/>
    </xf>
    <xf numFmtId="170" fontId="136" fillId="21" borderId="0" xfId="94" applyNumberFormat="1" applyFont="1" applyFill="1" applyBorder="1" applyAlignment="1" applyProtection="1">
      <protection locked="0"/>
    </xf>
    <xf numFmtId="170" fontId="136" fillId="0" borderId="0" xfId="94" applyNumberFormat="1" applyFont="1" applyFill="1" applyBorder="1" applyAlignment="1" applyProtection="1">
      <protection locked="0"/>
    </xf>
    <xf numFmtId="0" fontId="143" fillId="21" borderId="0" xfId="93" applyFont="1" applyFill="1" applyProtection="1">
      <protection locked="0"/>
    </xf>
    <xf numFmtId="0" fontId="143" fillId="0" borderId="85" xfId="93" applyFont="1" applyFill="1" applyBorder="1" applyAlignment="1" applyProtection="1">
      <alignment horizontal="left"/>
      <protection locked="0"/>
    </xf>
    <xf numFmtId="0" fontId="143" fillId="21" borderId="85" xfId="93" applyFont="1" applyFill="1" applyBorder="1" applyProtection="1">
      <protection locked="0"/>
    </xf>
    <xf numFmtId="0" fontId="144" fillId="21" borderId="85" xfId="93" applyFont="1" applyFill="1" applyBorder="1" applyProtection="1">
      <protection locked="0"/>
    </xf>
    <xf numFmtId="170" fontId="144" fillId="21" borderId="85" xfId="94" applyNumberFormat="1" applyFont="1" applyFill="1" applyBorder="1" applyAlignment="1" applyProtection="1">
      <protection locked="0"/>
    </xf>
    <xf numFmtId="0" fontId="144" fillId="21" borderId="0" xfId="93" applyFont="1" applyFill="1" applyProtection="1">
      <protection locked="0"/>
    </xf>
    <xf numFmtId="170" fontId="142" fillId="40" borderId="85" xfId="94" applyNumberFormat="1" applyFont="1" applyFill="1" applyBorder="1" applyAlignment="1" applyProtection="1">
      <protection locked="0"/>
    </xf>
    <xf numFmtId="170" fontId="135" fillId="21" borderId="34" xfId="94" applyNumberFormat="1" applyFont="1" applyFill="1" applyBorder="1" applyAlignment="1" applyProtection="1">
      <protection locked="0"/>
    </xf>
    <xf numFmtId="170" fontId="135" fillId="0" borderId="34" xfId="94" applyNumberFormat="1" applyFont="1" applyFill="1" applyBorder="1" applyAlignment="1" applyProtection="1">
      <protection locked="0"/>
    </xf>
    <xf numFmtId="170" fontId="136" fillId="0" borderId="0" xfId="93" applyNumberFormat="1" applyFont="1" applyFill="1" applyBorder="1" applyProtection="1">
      <protection locked="0"/>
    </xf>
    <xf numFmtId="0" fontId="131" fillId="21" borderId="0" xfId="93" applyFont="1" applyFill="1" applyProtection="1">
      <protection locked="0"/>
    </xf>
    <xf numFmtId="0" fontId="131" fillId="21" borderId="85" xfId="93" applyFont="1" applyFill="1" applyBorder="1" applyAlignment="1" applyProtection="1">
      <alignment horizontal="left"/>
      <protection locked="0"/>
    </xf>
    <xf numFmtId="0" fontId="131" fillId="21" borderId="85" xfId="93" applyFont="1" applyFill="1" applyBorder="1" applyProtection="1">
      <protection locked="0"/>
    </xf>
    <xf numFmtId="170" fontId="136" fillId="21" borderId="34" xfId="94" applyNumberFormat="1" applyFont="1" applyFill="1" applyBorder="1" applyAlignment="1" applyProtection="1">
      <protection locked="0"/>
    </xf>
    <xf numFmtId="0" fontId="136" fillId="0" borderId="0" xfId="93" applyFont="1" applyFill="1" applyBorder="1" applyProtection="1">
      <protection locked="0"/>
    </xf>
    <xf numFmtId="0" fontId="133" fillId="0" borderId="0" xfId="93" applyFont="1" applyFill="1" applyBorder="1" applyProtection="1">
      <protection locked="0"/>
    </xf>
    <xf numFmtId="170" fontId="135" fillId="21" borderId="47" xfId="94" applyNumberFormat="1" applyFont="1" applyFill="1" applyBorder="1" applyAlignment="1" applyProtection="1">
      <protection locked="0"/>
    </xf>
    <xf numFmtId="170" fontId="135" fillId="0" borderId="47" xfId="94" applyNumberFormat="1" applyFont="1" applyFill="1" applyBorder="1" applyAlignment="1" applyProtection="1">
      <protection locked="0"/>
    </xf>
    <xf numFmtId="170" fontId="136" fillId="21" borderId="0" xfId="93" applyNumberFormat="1" applyFont="1" applyFill="1" applyBorder="1" applyProtection="1">
      <protection locked="0"/>
    </xf>
    <xf numFmtId="2" fontId="136" fillId="21" borderId="34" xfId="93" applyNumberFormat="1" applyFont="1" applyFill="1" applyBorder="1" applyProtection="1">
      <protection locked="0"/>
    </xf>
    <xf numFmtId="4" fontId="136" fillId="21" borderId="0" xfId="93" applyNumberFormat="1" applyFont="1" applyFill="1" applyBorder="1" applyProtection="1">
      <protection locked="0"/>
    </xf>
    <xf numFmtId="4" fontId="136" fillId="0" borderId="0" xfId="93" applyNumberFormat="1" applyFont="1" applyFill="1" applyBorder="1" applyProtection="1">
      <protection locked="0"/>
    </xf>
    <xf numFmtId="170" fontId="134" fillId="21" borderId="0" xfId="94" applyNumberFormat="1" applyFont="1" applyFill="1" applyBorder="1" applyAlignment="1" applyProtection="1">
      <protection locked="0"/>
    </xf>
    <xf numFmtId="0" fontId="143" fillId="40" borderId="0" xfId="93" applyFont="1" applyFill="1" applyProtection="1">
      <protection locked="0"/>
    </xf>
    <xf numFmtId="0" fontId="143" fillId="40" borderId="85" xfId="93" applyFont="1" applyFill="1" applyBorder="1" applyAlignment="1" applyProtection="1">
      <alignment horizontal="left"/>
      <protection locked="0"/>
    </xf>
    <xf numFmtId="0" fontId="143" fillId="40" borderId="85" xfId="93" applyFont="1" applyFill="1" applyBorder="1" applyProtection="1">
      <protection locked="0"/>
    </xf>
    <xf numFmtId="0" fontId="144" fillId="40" borderId="85" xfId="93" applyFont="1" applyFill="1" applyBorder="1" applyProtection="1">
      <protection locked="0"/>
    </xf>
    <xf numFmtId="40" fontId="144" fillId="40" borderId="85" xfId="93" applyNumberFormat="1" applyFont="1" applyFill="1" applyBorder="1" applyProtection="1">
      <protection locked="0"/>
    </xf>
    <xf numFmtId="170" fontId="144" fillId="40" borderId="85" xfId="94" applyNumberFormat="1" applyFont="1" applyFill="1" applyBorder="1" applyAlignment="1" applyProtection="1">
      <protection locked="0"/>
    </xf>
    <xf numFmtId="0" fontId="144" fillId="40" borderId="0" xfId="93" applyFont="1" applyFill="1" applyProtection="1">
      <protection locked="0"/>
    </xf>
    <xf numFmtId="170" fontId="145" fillId="21" borderId="85" xfId="94" applyNumberFormat="1" applyFont="1" applyFill="1" applyBorder="1" applyAlignment="1" applyProtection="1">
      <protection locked="0"/>
    </xf>
    <xf numFmtId="0" fontId="135" fillId="0" borderId="0" xfId="93" applyFont="1" applyFill="1" applyProtection="1">
      <protection locked="0"/>
    </xf>
    <xf numFmtId="170" fontId="135" fillId="21" borderId="0" xfId="94" applyNumberFormat="1" applyFont="1" applyFill="1" applyBorder="1" applyAlignment="1" applyProtection="1">
      <protection locked="0"/>
    </xf>
    <xf numFmtId="170" fontId="135" fillId="0" borderId="0" xfId="94" applyNumberFormat="1" applyFont="1" applyFill="1" applyBorder="1" applyAlignment="1" applyProtection="1">
      <protection locked="0"/>
    </xf>
    <xf numFmtId="0" fontId="143" fillId="21" borderId="85" xfId="93" applyFont="1" applyFill="1" applyBorder="1" applyAlignment="1" applyProtection="1">
      <alignment horizontal="left"/>
      <protection locked="0"/>
    </xf>
    <xf numFmtId="0" fontId="136" fillId="21" borderId="0" xfId="93" applyFont="1" applyFill="1" applyBorder="1" applyProtection="1">
      <protection locked="0"/>
    </xf>
    <xf numFmtId="0" fontId="135" fillId="21" borderId="0" xfId="93" applyFont="1" applyFill="1" applyBorder="1" applyProtection="1">
      <protection locked="0"/>
    </xf>
    <xf numFmtId="40" fontId="135" fillId="21" borderId="47" xfId="93" applyNumberFormat="1" applyFont="1" applyFill="1" applyBorder="1" applyProtection="1">
      <protection locked="0"/>
    </xf>
    <xf numFmtId="0" fontId="135" fillId="21" borderId="0" xfId="93" applyFont="1" applyFill="1" applyProtection="1">
      <protection locked="0"/>
    </xf>
    <xf numFmtId="0" fontId="140" fillId="0" borderId="0" xfId="93" applyFont="1" applyFill="1" applyAlignment="1" applyProtection="1">
      <alignment horizontal="left"/>
      <protection locked="0"/>
    </xf>
    <xf numFmtId="170" fontId="134" fillId="21" borderId="0" xfId="93" applyNumberFormat="1" applyFont="1" applyFill="1" applyProtection="1">
      <protection locked="0"/>
    </xf>
    <xf numFmtId="171" fontId="134" fillId="21" borderId="85" xfId="94" applyNumberFormat="1" applyFont="1" applyFill="1" applyBorder="1" applyAlignment="1" applyProtection="1">
      <protection locked="0"/>
    </xf>
    <xf numFmtId="171" fontId="142" fillId="21" borderId="85" xfId="94" applyNumberFormat="1" applyFont="1" applyFill="1" applyBorder="1" applyAlignment="1" applyProtection="1">
      <protection locked="0"/>
    </xf>
    <xf numFmtId="171" fontId="141" fillId="21" borderId="85" xfId="94" applyNumberFormat="1" applyFont="1" applyFill="1" applyBorder="1" applyAlignment="1" applyProtection="1">
      <protection locked="0"/>
    </xf>
    <xf numFmtId="0" fontId="131" fillId="21" borderId="0" xfId="93" applyFont="1" applyFill="1" applyBorder="1" applyProtection="1">
      <protection locked="0"/>
    </xf>
    <xf numFmtId="0" fontId="135" fillId="21" borderId="0" xfId="93" applyFont="1" applyFill="1" applyBorder="1" applyAlignment="1" applyProtection="1">
      <alignment horizontal="left"/>
      <protection locked="0"/>
    </xf>
    <xf numFmtId="0" fontId="132" fillId="21" borderId="0" xfId="93" applyFont="1" applyFill="1" applyBorder="1" applyProtection="1">
      <protection locked="0"/>
    </xf>
    <xf numFmtId="0" fontId="134" fillId="21" borderId="0" xfId="93" applyFont="1" applyFill="1" applyBorder="1" applyProtection="1">
      <protection locked="0"/>
    </xf>
    <xf numFmtId="170" fontId="133" fillId="21" borderId="85" xfId="94" applyNumberFormat="1" applyFont="1" applyFill="1" applyBorder="1" applyAlignment="1" applyProtection="1">
      <protection locked="0"/>
    </xf>
    <xf numFmtId="171" fontId="133" fillId="21" borderId="85" xfId="94" applyNumberFormat="1" applyFont="1" applyFill="1" applyBorder="1" applyAlignment="1" applyProtection="1">
      <protection locked="0"/>
    </xf>
    <xf numFmtId="0" fontId="133" fillId="21" borderId="0" xfId="93" applyFont="1" applyFill="1" applyBorder="1" applyProtection="1">
      <protection locked="0"/>
    </xf>
    <xf numFmtId="40" fontId="135" fillId="21" borderId="0" xfId="93" applyNumberFormat="1" applyFont="1" applyFill="1" applyBorder="1" applyProtection="1">
      <protection locked="0"/>
    </xf>
    <xf numFmtId="170" fontId="135" fillId="21" borderId="28" xfId="94" applyNumberFormat="1" applyFont="1" applyFill="1" applyBorder="1" applyAlignment="1" applyProtection="1">
      <protection locked="0"/>
    </xf>
    <xf numFmtId="170" fontId="131" fillId="21" borderId="0" xfId="94" applyNumberFormat="1" applyFont="1" applyFill="1" applyBorder="1" applyAlignment="1" applyProtection="1">
      <protection locked="0"/>
    </xf>
    <xf numFmtId="0" fontId="146" fillId="0" borderId="0" xfId="93" applyFont="1" applyFill="1" applyBorder="1" applyAlignment="1" applyProtection="1">
      <alignment horizontal="left"/>
      <protection locked="0"/>
    </xf>
    <xf numFmtId="0" fontId="141" fillId="21" borderId="0" xfId="93" applyFont="1" applyFill="1" applyBorder="1" applyProtection="1">
      <protection locked="0"/>
    </xf>
    <xf numFmtId="170" fontId="131" fillId="21" borderId="85" xfId="94" applyNumberFormat="1" applyFont="1" applyFill="1" applyBorder="1" applyAlignment="1" applyProtection="1">
      <protection locked="0"/>
    </xf>
    <xf numFmtId="40" fontId="133" fillId="21" borderId="85" xfId="93" applyNumberFormat="1" applyFont="1" applyFill="1" applyBorder="1" applyProtection="1">
      <protection locked="0"/>
    </xf>
    <xf numFmtId="0" fontId="133" fillId="21" borderId="0" xfId="93" applyFont="1" applyFill="1" applyProtection="1">
      <protection locked="0"/>
    </xf>
    <xf numFmtId="0" fontId="136" fillId="21" borderId="0" xfId="93" applyFont="1" applyFill="1" applyProtection="1">
      <protection locked="0"/>
    </xf>
    <xf numFmtId="170" fontId="143" fillId="21" borderId="85" xfId="94" applyNumberFormat="1" applyFont="1" applyFill="1" applyBorder="1" applyAlignment="1" applyProtection="1">
      <protection locked="0"/>
    </xf>
    <xf numFmtId="0" fontId="132" fillId="21" borderId="0" xfId="93" applyFont="1" applyFill="1" applyProtection="1">
      <protection locked="0"/>
    </xf>
    <xf numFmtId="170" fontId="135" fillId="21" borderId="0" xfId="93" applyNumberFormat="1" applyFont="1" applyFill="1" applyBorder="1" applyProtection="1">
      <protection locked="0"/>
    </xf>
    <xf numFmtId="170" fontId="135" fillId="21" borderId="34" xfId="93" applyNumberFormat="1" applyFont="1" applyFill="1" applyBorder="1" applyProtection="1">
      <protection locked="0"/>
    </xf>
    <xf numFmtId="0" fontId="143" fillId="0" borderId="85" xfId="93" applyFont="1" applyFill="1" applyBorder="1" applyProtection="1">
      <protection locked="0"/>
    </xf>
    <xf numFmtId="0" fontId="142" fillId="0" borderId="0" xfId="93" applyFont="1" applyFill="1" applyBorder="1" applyProtection="1">
      <protection locked="0"/>
    </xf>
    <xf numFmtId="40" fontId="135" fillId="0" borderId="0" xfId="93" applyNumberFormat="1" applyFont="1" applyFill="1" applyBorder="1" applyProtection="1">
      <protection locked="0"/>
    </xf>
    <xf numFmtId="170" fontId="135" fillId="0" borderId="28" xfId="94" applyNumberFormat="1" applyFont="1" applyFill="1" applyBorder="1" applyAlignment="1" applyProtection="1">
      <protection locked="0"/>
    </xf>
    <xf numFmtId="0" fontId="131" fillId="41" borderId="0" xfId="93" applyFont="1" applyFill="1" applyBorder="1" applyProtection="1">
      <protection locked="0"/>
    </xf>
    <xf numFmtId="0" fontId="131" fillId="41" borderId="85" xfId="93" applyFont="1" applyFill="1" applyBorder="1" applyAlignment="1" applyProtection="1">
      <alignment horizontal="left"/>
      <protection locked="0"/>
    </xf>
    <xf numFmtId="0" fontId="131" fillId="41" borderId="85" xfId="93" applyFont="1" applyFill="1" applyBorder="1" applyProtection="1">
      <protection locked="0"/>
    </xf>
    <xf numFmtId="0" fontId="134" fillId="41" borderId="85" xfId="93" applyFont="1" applyFill="1" applyBorder="1" applyProtection="1">
      <protection locked="0"/>
    </xf>
    <xf numFmtId="170" fontId="134" fillId="41" borderId="85" xfId="94" applyNumberFormat="1" applyFont="1" applyFill="1" applyBorder="1" applyAlignment="1" applyProtection="1">
      <protection locked="0"/>
    </xf>
    <xf numFmtId="0" fontId="136" fillId="41" borderId="0" xfId="93" applyFont="1" applyFill="1" applyBorder="1" applyProtection="1">
      <protection locked="0"/>
    </xf>
    <xf numFmtId="0" fontId="132" fillId="0" borderId="0" xfId="93" applyFont="1" applyFill="1" applyBorder="1" applyAlignment="1" applyProtection="1">
      <alignment horizontal="left"/>
      <protection locked="0"/>
    </xf>
    <xf numFmtId="170" fontId="132" fillId="21" borderId="99" xfId="94" applyNumberFormat="1" applyFont="1" applyFill="1" applyBorder="1" applyAlignment="1" applyProtection="1">
      <protection locked="0"/>
    </xf>
    <xf numFmtId="170" fontId="132" fillId="0" borderId="99" xfId="94" applyNumberFormat="1" applyFont="1" applyFill="1" applyBorder="1" applyAlignment="1" applyProtection="1">
      <protection locked="0"/>
    </xf>
    <xf numFmtId="0" fontId="141" fillId="21" borderId="97" xfId="93" applyFont="1" applyFill="1" applyBorder="1" applyAlignment="1" applyProtection="1">
      <alignment horizontal="left"/>
      <protection locked="0"/>
    </xf>
    <xf numFmtId="0" fontId="141" fillId="21" borderId="97" xfId="93" applyFont="1" applyFill="1" applyBorder="1" applyProtection="1">
      <protection locked="0"/>
    </xf>
    <xf numFmtId="0" fontId="142" fillId="21" borderId="97" xfId="93" applyFont="1" applyFill="1" applyBorder="1" applyProtection="1">
      <protection locked="0"/>
    </xf>
    <xf numFmtId="170" fontId="142" fillId="21" borderId="97" xfId="94" applyNumberFormat="1" applyFont="1" applyFill="1" applyBorder="1" applyAlignment="1" applyProtection="1">
      <protection locked="0"/>
    </xf>
    <xf numFmtId="0" fontId="140" fillId="0" borderId="85" xfId="93" applyFont="1" applyFill="1" applyBorder="1" applyAlignment="1" applyProtection="1">
      <alignment horizontal="left"/>
      <protection locked="0"/>
    </xf>
    <xf numFmtId="0" fontId="135" fillId="0" borderId="85" xfId="93" applyFont="1" applyFill="1" applyBorder="1" applyAlignment="1" applyProtection="1">
      <alignment horizontal="left"/>
      <protection locked="0"/>
    </xf>
    <xf numFmtId="40" fontId="135" fillId="21" borderId="85" xfId="93" applyNumberFormat="1" applyFont="1" applyFill="1" applyBorder="1" applyProtection="1">
      <protection locked="0"/>
    </xf>
    <xf numFmtId="40" fontId="135" fillId="0" borderId="85" xfId="93" applyNumberFormat="1" applyFont="1" applyFill="1" applyBorder="1" applyProtection="1">
      <protection locked="0"/>
    </xf>
    <xf numFmtId="0" fontId="135" fillId="0" borderId="7" xfId="93" applyFont="1" applyFill="1" applyBorder="1" applyAlignment="1" applyProtection="1">
      <alignment horizontal="left"/>
      <protection locked="0"/>
    </xf>
    <xf numFmtId="0" fontId="147" fillId="0" borderId="0" xfId="93" applyFont="1" applyFill="1" applyBorder="1" applyProtection="1">
      <protection locked="0"/>
    </xf>
    <xf numFmtId="0" fontId="131" fillId="48" borderId="0" xfId="93" applyFont="1" applyFill="1" applyProtection="1">
      <protection locked="0"/>
    </xf>
    <xf numFmtId="0" fontId="131" fillId="48" borderId="85" xfId="93" applyFont="1" applyFill="1" applyBorder="1" applyAlignment="1" applyProtection="1">
      <alignment horizontal="left"/>
      <protection locked="0"/>
    </xf>
    <xf numFmtId="0" fontId="131" fillId="48" borderId="85" xfId="93" applyFont="1" applyFill="1" applyBorder="1" applyProtection="1">
      <protection locked="0"/>
    </xf>
    <xf numFmtId="0" fontId="134" fillId="48" borderId="85" xfId="93" applyFont="1" applyFill="1" applyBorder="1" applyProtection="1">
      <protection locked="0"/>
    </xf>
    <xf numFmtId="170" fontId="134" fillId="48" borderId="85" xfId="94" applyNumberFormat="1" applyFont="1" applyFill="1" applyBorder="1" applyAlignment="1" applyProtection="1">
      <protection locked="0"/>
    </xf>
    <xf numFmtId="0" fontId="136" fillId="48" borderId="0" xfId="93" applyFont="1" applyFill="1" applyProtection="1">
      <protection locked="0"/>
    </xf>
    <xf numFmtId="171" fontId="136" fillId="0" borderId="34" xfId="94" applyNumberFormat="1" applyFont="1" applyFill="1" applyBorder="1" applyAlignment="1" applyProtection="1">
      <protection locked="0"/>
    </xf>
    <xf numFmtId="170" fontId="131" fillId="0" borderId="0" xfId="93" applyNumberFormat="1" applyFont="1" applyFill="1" applyBorder="1" applyProtection="1">
      <protection locked="0"/>
    </xf>
    <xf numFmtId="170" fontId="131" fillId="0" borderId="0" xfId="93" applyNumberFormat="1" applyFont="1" applyFill="1" applyAlignment="1" applyProtection="1">
      <alignment horizontal="left"/>
      <protection locked="0"/>
    </xf>
    <xf numFmtId="170" fontId="131" fillId="0" borderId="0" xfId="93" applyNumberFormat="1" applyFont="1" applyFill="1" applyProtection="1">
      <protection locked="0"/>
    </xf>
    <xf numFmtId="170" fontId="134" fillId="0" borderId="0" xfId="93" applyNumberFormat="1" applyFont="1" applyFill="1" applyProtection="1">
      <protection locked="0"/>
    </xf>
    <xf numFmtId="9" fontId="131" fillId="0" borderId="0" xfId="257" applyFont="1" applyFill="1" applyBorder="1" applyAlignment="1" applyProtection="1">
      <protection locked="0"/>
    </xf>
    <xf numFmtId="170" fontId="134" fillId="0" borderId="0" xfId="93" applyNumberFormat="1" applyFont="1" applyFill="1" applyBorder="1" applyProtection="1">
      <protection locked="0"/>
    </xf>
    <xf numFmtId="169" fontId="131" fillId="0" borderId="0" xfId="94" applyNumberFormat="1" applyFont="1" applyFill="1" applyBorder="1" applyAlignment="1" applyProtection="1">
      <alignment horizontal="left"/>
      <protection locked="0"/>
    </xf>
    <xf numFmtId="40" fontId="89" fillId="22" borderId="85" xfId="93" applyNumberFormat="1" applyFont="1" applyFill="1" applyBorder="1" applyProtection="1">
      <protection locked="0"/>
    </xf>
    <xf numFmtId="0" fontId="148" fillId="0" borderId="0" xfId="93" applyFont="1" applyFill="1"/>
    <xf numFmtId="0" fontId="148" fillId="21" borderId="0" xfId="93" applyFont="1" applyFill="1"/>
    <xf numFmtId="4" fontId="148" fillId="0" borderId="0" xfId="93" applyNumberFormat="1" applyFont="1" applyFill="1"/>
    <xf numFmtId="0" fontId="148" fillId="0" borderId="0" xfId="93" applyNumberFormat="1" applyFont="1" applyFill="1"/>
    <xf numFmtId="0" fontId="149" fillId="0" borderId="0" xfId="93" applyFont="1" applyFill="1"/>
    <xf numFmtId="0" fontId="51" fillId="0" borderId="0" xfId="0" applyFont="1" applyFill="1"/>
    <xf numFmtId="0" fontId="150" fillId="0" borderId="0" xfId="93" applyFont="1" applyFill="1" applyBorder="1"/>
    <xf numFmtId="4" fontId="51" fillId="0" borderId="0" xfId="0" applyNumberFormat="1" applyFont="1" applyFill="1"/>
    <xf numFmtId="0" fontId="149" fillId="0" borderId="0" xfId="93" applyNumberFormat="1" applyFont="1" applyFill="1" applyAlignment="1"/>
    <xf numFmtId="4" fontId="149" fillId="0" borderId="0" xfId="93" applyNumberFormat="1" applyFont="1" applyFill="1" applyAlignment="1"/>
    <xf numFmtId="2" fontId="149" fillId="0" borderId="0" xfId="93" applyNumberFormat="1" applyFont="1" applyFill="1" applyAlignment="1"/>
    <xf numFmtId="170" fontId="149" fillId="0" borderId="0" xfId="93" applyNumberFormat="1" applyFont="1" applyFill="1" applyAlignment="1"/>
    <xf numFmtId="170" fontId="149" fillId="21" borderId="0" xfId="93" applyNumberFormat="1" applyFont="1" applyFill="1" applyAlignment="1"/>
    <xf numFmtId="2" fontId="51" fillId="0" borderId="0" xfId="0" applyNumberFormat="1" applyFont="1" applyFill="1"/>
    <xf numFmtId="0" fontId="150" fillId="0" borderId="0" xfId="93" applyFont="1" applyFill="1"/>
    <xf numFmtId="0" fontId="149" fillId="36" borderId="0" xfId="93" applyFont="1" applyFill="1"/>
    <xf numFmtId="0" fontId="51" fillId="36" borderId="0" xfId="0" applyFont="1" applyFill="1"/>
    <xf numFmtId="0" fontId="149" fillId="36" borderId="0" xfId="93" applyFont="1" applyFill="1" applyAlignment="1"/>
    <xf numFmtId="0" fontId="150" fillId="0" borderId="0" xfId="93" applyFont="1" applyFill="1" applyBorder="1" applyAlignment="1">
      <alignment horizontal="center"/>
    </xf>
    <xf numFmtId="0" fontId="150" fillId="0" borderId="0" xfId="93" applyFont="1" applyFill="1" applyAlignment="1">
      <alignment horizontal="center"/>
    </xf>
    <xf numFmtId="0" fontId="149" fillId="0" borderId="0" xfId="93" applyFont="1" applyFill="1" applyBorder="1" applyAlignment="1">
      <alignment horizontal="center"/>
    </xf>
    <xf numFmtId="0" fontId="149" fillId="0" borderId="0" xfId="93" applyFont="1" applyFill="1" applyBorder="1" applyAlignment="1">
      <alignment horizontal="left"/>
    </xf>
    <xf numFmtId="4" fontId="149" fillId="0" borderId="0" xfId="93" applyNumberFormat="1" applyFont="1" applyFill="1" applyBorder="1" applyAlignment="1">
      <alignment horizontal="center"/>
    </xf>
    <xf numFmtId="0" fontId="149" fillId="0" borderId="0" xfId="93" applyNumberFormat="1" applyFont="1" applyFill="1" applyBorder="1" applyAlignment="1">
      <alignment horizontal="center"/>
    </xf>
    <xf numFmtId="2" fontId="149" fillId="0" borderId="0" xfId="93" applyNumberFormat="1" applyFont="1" applyFill="1" applyBorder="1" applyAlignment="1">
      <alignment horizontal="center"/>
    </xf>
    <xf numFmtId="170" fontId="149" fillId="0" borderId="0" xfId="93" applyNumberFormat="1" applyFont="1" applyFill="1" applyBorder="1" applyAlignment="1">
      <alignment horizontal="center"/>
    </xf>
    <xf numFmtId="170" fontId="149" fillId="21" borderId="0" xfId="93" applyNumberFormat="1" applyFont="1" applyFill="1" applyBorder="1" applyAlignment="1">
      <alignment horizontal="center"/>
    </xf>
    <xf numFmtId="2" fontId="150" fillId="0" borderId="0" xfId="93" applyNumberFormat="1" applyFont="1" applyFill="1" applyBorder="1"/>
    <xf numFmtId="0" fontId="151" fillId="0" borderId="0" xfId="93" applyFont="1" applyFill="1" applyBorder="1" applyAlignment="1">
      <alignment horizontal="left"/>
    </xf>
    <xf numFmtId="2" fontId="149" fillId="0" borderId="0" xfId="93" applyNumberFormat="1" applyFont="1" applyFill="1" applyBorder="1"/>
    <xf numFmtId="0" fontId="149" fillId="0" borderId="0" xfId="93" applyFont="1" applyFill="1" applyBorder="1"/>
    <xf numFmtId="38" fontId="153" fillId="0" borderId="0" xfId="93" applyNumberFormat="1" applyFont="1" applyFill="1" applyBorder="1"/>
    <xf numFmtId="2" fontId="152" fillId="0" borderId="0" xfId="93" applyNumberFormat="1" applyFont="1" applyFill="1" applyBorder="1"/>
    <xf numFmtId="4" fontId="153" fillId="21" borderId="0" xfId="93" applyNumberFormat="1" applyFont="1" applyFill="1" applyBorder="1"/>
    <xf numFmtId="0" fontId="152" fillId="0" borderId="0" xfId="93" applyFont="1" applyFill="1" applyBorder="1"/>
    <xf numFmtId="0" fontId="154" fillId="0" borderId="0" xfId="93" applyFont="1" applyFill="1" applyBorder="1"/>
    <xf numFmtId="0" fontId="155" fillId="0" borderId="0" xfId="93" applyFont="1" applyFill="1" applyBorder="1" applyAlignment="1">
      <alignment horizontal="left"/>
    </xf>
    <xf numFmtId="40" fontId="155" fillId="0" borderId="0" xfId="93" applyNumberFormat="1" applyFont="1" applyFill="1" applyBorder="1"/>
    <xf numFmtId="4" fontId="155" fillId="0" borderId="0" xfId="93" applyNumberFormat="1" applyFont="1" applyFill="1" applyBorder="1"/>
    <xf numFmtId="38" fontId="155" fillId="0" borderId="0" xfId="93" applyNumberFormat="1" applyFont="1" applyFill="1" applyBorder="1"/>
    <xf numFmtId="166" fontId="155" fillId="0" borderId="0" xfId="94" applyFont="1" applyFill="1" applyBorder="1"/>
    <xf numFmtId="2" fontId="155" fillId="0" borderId="0" xfId="93" applyNumberFormat="1" applyFont="1" applyFill="1" applyBorder="1"/>
    <xf numFmtId="43" fontId="155" fillId="0" borderId="0" xfId="93" applyNumberFormat="1" applyFont="1" applyFill="1" applyBorder="1"/>
    <xf numFmtId="0" fontId="155" fillId="0" borderId="0" xfId="93" applyFont="1" applyFill="1" applyBorder="1"/>
    <xf numFmtId="0" fontId="155" fillId="0" borderId="0" xfId="93" applyFont="1" applyFill="1"/>
    <xf numFmtId="0" fontId="148" fillId="0" borderId="0" xfId="93" applyFont="1" applyFill="1" applyBorder="1" applyAlignment="1">
      <alignment horizontal="left"/>
    </xf>
    <xf numFmtId="40" fontId="148" fillId="0" borderId="0" xfId="93" applyNumberFormat="1" applyFont="1" applyFill="1" applyBorder="1"/>
    <xf numFmtId="4" fontId="148" fillId="0" borderId="0" xfId="93" applyNumberFormat="1" applyFont="1" applyFill="1" applyBorder="1"/>
    <xf numFmtId="38" fontId="148" fillId="0" borderId="0" xfId="93" applyNumberFormat="1" applyFont="1" applyFill="1" applyBorder="1"/>
    <xf numFmtId="166" fontId="148" fillId="0" borderId="0" xfId="94" applyFont="1" applyFill="1" applyBorder="1"/>
    <xf numFmtId="2" fontId="148" fillId="0" borderId="0" xfId="93" applyNumberFormat="1" applyFont="1" applyFill="1" applyBorder="1"/>
    <xf numFmtId="43" fontId="148" fillId="0" borderId="0" xfId="93" applyNumberFormat="1" applyFont="1" applyFill="1" applyBorder="1"/>
    <xf numFmtId="0" fontId="148" fillId="0" borderId="0" xfId="93" applyFont="1" applyFill="1" applyBorder="1"/>
    <xf numFmtId="0" fontId="55" fillId="0" borderId="0" xfId="93" applyFont="1" applyFill="1" applyBorder="1"/>
    <xf numFmtId="4" fontId="55" fillId="0" borderId="0" xfId="93" applyNumberFormat="1" applyFont="1" applyFill="1" applyBorder="1"/>
    <xf numFmtId="38" fontId="55" fillId="0" borderId="0" xfId="93" applyNumberFormat="1" applyFont="1" applyFill="1" applyBorder="1"/>
    <xf numFmtId="166" fontId="153" fillId="0" borderId="0" xfId="94" applyFont="1" applyFill="1" applyBorder="1"/>
    <xf numFmtId="4" fontId="155" fillId="0" borderId="37" xfId="93" applyNumberFormat="1" applyFont="1" applyFill="1" applyBorder="1"/>
    <xf numFmtId="2" fontId="155" fillId="0" borderId="37" xfId="93" applyNumberFormat="1" applyFont="1" applyFill="1" applyBorder="1"/>
    <xf numFmtId="170" fontId="156" fillId="24" borderId="0" xfId="93" applyNumberFormat="1" applyFont="1" applyFill="1" applyBorder="1"/>
    <xf numFmtId="165" fontId="153" fillId="24" borderId="0" xfId="93" applyNumberFormat="1" applyFont="1" applyFill="1" applyBorder="1"/>
    <xf numFmtId="43" fontId="150" fillId="0" borderId="0" xfId="93" applyNumberFormat="1" applyFont="1" applyFill="1" applyBorder="1"/>
    <xf numFmtId="4" fontId="153" fillId="0" borderId="0" xfId="93" applyNumberFormat="1" applyFont="1" applyFill="1" applyBorder="1"/>
    <xf numFmtId="2" fontId="153" fillId="0" borderId="0" xfId="93" applyNumberFormat="1" applyFont="1" applyFill="1" applyBorder="1"/>
    <xf numFmtId="40" fontId="153" fillId="0" borderId="0" xfId="93" applyNumberFormat="1" applyFont="1" applyFill="1" applyBorder="1"/>
    <xf numFmtId="40" fontId="153" fillId="21" borderId="0" xfId="93" applyNumberFormat="1" applyFont="1" applyFill="1" applyBorder="1"/>
    <xf numFmtId="4" fontId="153" fillId="0" borderId="0" xfId="0" applyNumberFormat="1" applyFont="1" applyFill="1" applyBorder="1"/>
    <xf numFmtId="0" fontId="148" fillId="0" borderId="0" xfId="93" applyFont="1" applyFill="1" applyBorder="1" applyAlignment="1"/>
    <xf numFmtId="40" fontId="150" fillId="0" borderId="0" xfId="93" applyNumberFormat="1" applyFont="1" applyFill="1" applyBorder="1"/>
    <xf numFmtId="40" fontId="148" fillId="21" borderId="0" xfId="93" applyNumberFormat="1" applyFont="1" applyFill="1" applyBorder="1"/>
    <xf numFmtId="170" fontId="157" fillId="24" borderId="0" xfId="93" applyNumberFormat="1" applyFont="1" applyFill="1" applyBorder="1"/>
    <xf numFmtId="165" fontId="148" fillId="24" borderId="0" xfId="93" applyNumberFormat="1" applyFont="1" applyFill="1" applyBorder="1"/>
    <xf numFmtId="0" fontId="148" fillId="21" borderId="0" xfId="93" applyFont="1" applyFill="1" applyBorder="1" applyAlignment="1"/>
    <xf numFmtId="40" fontId="150" fillId="21" borderId="0" xfId="93" applyNumberFormat="1" applyFont="1" applyFill="1" applyBorder="1"/>
    <xf numFmtId="38" fontId="153" fillId="21" borderId="0" xfId="93" applyNumberFormat="1" applyFont="1" applyFill="1" applyBorder="1"/>
    <xf numFmtId="166" fontId="153" fillId="21" borderId="0" xfId="94" applyFont="1" applyFill="1" applyBorder="1"/>
    <xf numFmtId="4" fontId="155" fillId="21" borderId="0" xfId="93" applyNumberFormat="1" applyFont="1" applyFill="1" applyBorder="1"/>
    <xf numFmtId="2" fontId="153" fillId="21" borderId="0" xfId="93" applyNumberFormat="1" applyFont="1" applyFill="1" applyBorder="1"/>
    <xf numFmtId="0" fontId="150" fillId="21" borderId="0" xfId="93" applyFont="1" applyFill="1" applyBorder="1"/>
    <xf numFmtId="0" fontId="150" fillId="21" borderId="0" xfId="93" applyFont="1" applyFill="1"/>
    <xf numFmtId="0" fontId="157" fillId="0" borderId="0" xfId="93" applyFont="1" applyFill="1" applyBorder="1" applyAlignment="1">
      <alignment horizontal="left"/>
    </xf>
    <xf numFmtId="0" fontId="157" fillId="0" borderId="0" xfId="93" applyFont="1" applyFill="1" applyBorder="1"/>
    <xf numFmtId="4" fontId="153" fillId="0" borderId="37" xfId="93" applyNumberFormat="1" applyFont="1" applyFill="1" applyBorder="1"/>
    <xf numFmtId="2" fontId="153" fillId="0" borderId="37" xfId="93" applyNumberFormat="1" applyFont="1" applyFill="1" applyBorder="1"/>
    <xf numFmtId="40" fontId="153" fillId="0" borderId="37" xfId="93" applyNumberFormat="1" applyFont="1" applyFill="1" applyBorder="1"/>
    <xf numFmtId="40" fontId="153" fillId="21" borderId="37" xfId="93" applyNumberFormat="1" applyFont="1" applyFill="1" applyBorder="1"/>
    <xf numFmtId="0" fontId="153" fillId="0" borderId="0" xfId="93" applyFont="1" applyFill="1" applyBorder="1"/>
    <xf numFmtId="0" fontId="153" fillId="0" borderId="0" xfId="93" applyFont="1" applyFill="1"/>
    <xf numFmtId="0" fontId="55" fillId="0" borderId="0" xfId="93" applyFont="1" applyFill="1"/>
    <xf numFmtId="4" fontId="153" fillId="0" borderId="37" xfId="94" applyNumberFormat="1" applyFont="1" applyFill="1" applyBorder="1" applyAlignment="1" applyProtection="1"/>
    <xf numFmtId="2" fontId="153" fillId="0" borderId="37" xfId="94" applyNumberFormat="1" applyFont="1" applyFill="1" applyBorder="1" applyAlignment="1" applyProtection="1"/>
    <xf numFmtId="170" fontId="153" fillId="0" borderId="37" xfId="94" applyNumberFormat="1" applyFont="1" applyFill="1" applyBorder="1" applyAlignment="1" applyProtection="1"/>
    <xf numFmtId="170" fontId="153" fillId="21" borderId="37" xfId="94" applyNumberFormat="1" applyFont="1" applyFill="1" applyBorder="1" applyAlignment="1" applyProtection="1"/>
    <xf numFmtId="0" fontId="155" fillId="21" borderId="0" xfId="93" applyFont="1" applyFill="1" applyBorder="1" applyAlignment="1" applyProtection="1">
      <alignment horizontal="left"/>
      <protection locked="0"/>
    </xf>
    <xf numFmtId="170" fontId="155" fillId="24" borderId="0" xfId="93" applyNumberFormat="1" applyFont="1" applyFill="1" applyBorder="1"/>
    <xf numFmtId="165" fontId="155" fillId="24" borderId="0" xfId="93" applyNumberFormat="1" applyFont="1" applyFill="1" applyBorder="1"/>
    <xf numFmtId="0" fontId="55" fillId="21" borderId="0" xfId="93" applyFont="1" applyFill="1" applyBorder="1"/>
    <xf numFmtId="0" fontId="153" fillId="21" borderId="0" xfId="93" applyFont="1" applyFill="1" applyBorder="1" applyAlignment="1" applyProtection="1">
      <alignment horizontal="left"/>
      <protection locked="0"/>
    </xf>
    <xf numFmtId="170" fontId="156" fillId="21" borderId="0" xfId="93" applyNumberFormat="1" applyFont="1" applyFill="1" applyBorder="1"/>
    <xf numFmtId="165" fontId="153" fillId="21" borderId="0" xfId="93" applyNumberFormat="1" applyFont="1" applyFill="1" applyBorder="1"/>
    <xf numFmtId="43" fontId="150" fillId="21" borderId="0" xfId="93" applyNumberFormat="1" applyFont="1" applyFill="1" applyBorder="1"/>
    <xf numFmtId="0" fontId="154" fillId="21" borderId="0" xfId="93" applyFont="1" applyFill="1" applyBorder="1"/>
    <xf numFmtId="0" fontId="148" fillId="21" borderId="0" xfId="93" applyFont="1" applyFill="1" applyBorder="1"/>
    <xf numFmtId="4" fontId="148" fillId="21" borderId="0" xfId="93" applyNumberFormat="1" applyFont="1" applyFill="1" applyBorder="1"/>
    <xf numFmtId="38" fontId="148" fillId="21" borderId="0" xfId="93" applyNumberFormat="1" applyFont="1" applyFill="1" applyBorder="1"/>
    <xf numFmtId="166" fontId="158" fillId="21" borderId="0" xfId="94" applyFont="1" applyFill="1" applyBorder="1"/>
    <xf numFmtId="2" fontId="148" fillId="21" borderId="0" xfId="93" applyNumberFormat="1" applyFont="1" applyFill="1" applyBorder="1"/>
    <xf numFmtId="170" fontId="157" fillId="21" borderId="0" xfId="93" applyNumberFormat="1" applyFont="1" applyFill="1" applyBorder="1"/>
    <xf numFmtId="165" fontId="148" fillId="21" borderId="0" xfId="93" applyNumberFormat="1" applyFont="1" applyFill="1" applyBorder="1"/>
    <xf numFmtId="43" fontId="148" fillId="21" borderId="0" xfId="93" applyNumberFormat="1" applyFont="1" applyFill="1" applyBorder="1"/>
    <xf numFmtId="0" fontId="149" fillId="21" borderId="0" xfId="93" applyFont="1" applyFill="1" applyBorder="1"/>
    <xf numFmtId="2" fontId="152" fillId="21" borderId="0" xfId="93" applyNumberFormat="1" applyFont="1" applyFill="1" applyBorder="1"/>
    <xf numFmtId="0" fontId="157" fillId="21" borderId="0" xfId="93" applyFont="1" applyFill="1"/>
    <xf numFmtId="0" fontId="159" fillId="21" borderId="0" xfId="93" applyFont="1" applyFill="1" applyBorder="1"/>
    <xf numFmtId="0" fontId="160" fillId="21" borderId="0" xfId="93" applyFont="1" applyFill="1" applyBorder="1"/>
    <xf numFmtId="40" fontId="160" fillId="21" borderId="0" xfId="93" applyNumberFormat="1" applyFont="1" applyFill="1" applyBorder="1"/>
    <xf numFmtId="4" fontId="160" fillId="21" borderId="0" xfId="93" applyNumberFormat="1" applyFont="1" applyFill="1" applyBorder="1"/>
    <xf numFmtId="38" fontId="160" fillId="21" borderId="0" xfId="93" applyNumberFormat="1" applyFont="1" applyFill="1" applyBorder="1"/>
    <xf numFmtId="166" fontId="160" fillId="21" borderId="0" xfId="94" applyFont="1" applyFill="1" applyBorder="1"/>
    <xf numFmtId="2" fontId="160" fillId="21" borderId="0" xfId="93" applyNumberFormat="1" applyFont="1" applyFill="1" applyBorder="1"/>
    <xf numFmtId="170" fontId="159" fillId="21" borderId="0" xfId="93" applyNumberFormat="1" applyFont="1" applyFill="1" applyBorder="1"/>
    <xf numFmtId="165" fontId="160" fillId="21" borderId="0" xfId="93" applyNumberFormat="1" applyFont="1" applyFill="1" applyBorder="1"/>
    <xf numFmtId="43" fontId="160" fillId="21" borderId="0" xfId="93" applyNumberFormat="1" applyFont="1" applyFill="1" applyBorder="1"/>
    <xf numFmtId="0" fontId="159" fillId="0" borderId="0" xfId="93" applyFont="1" applyFill="1" applyBorder="1"/>
    <xf numFmtId="2" fontId="160" fillId="0" borderId="0" xfId="93" applyNumberFormat="1" applyFont="1" applyFill="1" applyBorder="1"/>
    <xf numFmtId="0" fontId="160" fillId="21" borderId="0" xfId="93" applyFont="1" applyFill="1"/>
    <xf numFmtId="0" fontId="159" fillId="21" borderId="0" xfId="93" applyFont="1" applyFill="1"/>
    <xf numFmtId="0" fontId="150" fillId="21" borderId="0" xfId="93" applyFont="1" applyFill="1" applyBorder="1" applyAlignment="1">
      <alignment horizontal="left"/>
    </xf>
    <xf numFmtId="0" fontId="148" fillId="21" borderId="0" xfId="93" applyFont="1" applyFill="1" applyBorder="1" applyAlignment="1">
      <alignment horizontal="left"/>
    </xf>
    <xf numFmtId="38" fontId="155" fillId="21" borderId="0" xfId="93" applyNumberFormat="1" applyFont="1" applyFill="1" applyBorder="1"/>
    <xf numFmtId="166" fontId="155" fillId="21" borderId="0" xfId="94" applyFont="1" applyFill="1" applyBorder="1"/>
    <xf numFmtId="2" fontId="155" fillId="21" borderId="0" xfId="93" applyNumberFormat="1" applyFont="1" applyFill="1" applyBorder="1"/>
    <xf numFmtId="40" fontId="155" fillId="21" borderId="0" xfId="93" applyNumberFormat="1" applyFont="1" applyFill="1" applyBorder="1"/>
    <xf numFmtId="170" fontId="154" fillId="24" borderId="0" xfId="93" applyNumberFormat="1" applyFont="1" applyFill="1" applyBorder="1"/>
    <xf numFmtId="0" fontId="150" fillId="0" borderId="0" xfId="93" applyFont="1" applyFill="1" applyBorder="1" applyAlignment="1">
      <alignment horizontal="left"/>
    </xf>
    <xf numFmtId="4" fontId="153" fillId="0" borderId="0" xfId="94" applyNumberFormat="1" applyFont="1" applyFill="1" applyBorder="1" applyAlignment="1" applyProtection="1"/>
    <xf numFmtId="2" fontId="153" fillId="0" borderId="0" xfId="94" applyNumberFormat="1" applyFont="1" applyFill="1" applyBorder="1" applyAlignment="1" applyProtection="1"/>
    <xf numFmtId="170" fontId="153" fillId="0" borderId="0" xfId="94" applyNumberFormat="1" applyFont="1" applyFill="1" applyBorder="1" applyAlignment="1" applyProtection="1"/>
    <xf numFmtId="170" fontId="153" fillId="21" borderId="0" xfId="94" applyNumberFormat="1" applyFont="1" applyFill="1" applyBorder="1" applyAlignment="1" applyProtection="1"/>
    <xf numFmtId="4" fontId="155" fillId="0" borderId="0" xfId="94" applyNumberFormat="1" applyFont="1" applyFill="1" applyBorder="1" applyAlignment="1" applyProtection="1"/>
    <xf numFmtId="0" fontId="160" fillId="0" borderId="0" xfId="93" applyFont="1" applyFill="1" applyBorder="1" applyAlignment="1">
      <alignment horizontal="left"/>
    </xf>
    <xf numFmtId="4" fontId="160" fillId="0" borderId="0" xfId="93" applyNumberFormat="1" applyFont="1" applyFill="1" applyBorder="1"/>
    <xf numFmtId="38" fontId="160" fillId="0" borderId="0" xfId="93" applyNumberFormat="1" applyFont="1" applyFill="1" applyBorder="1"/>
    <xf numFmtId="40" fontId="160" fillId="0" borderId="0" xfId="93" applyNumberFormat="1" applyFont="1" applyFill="1" applyBorder="1"/>
    <xf numFmtId="170" fontId="160" fillId="24" borderId="0" xfId="93" applyNumberFormat="1" applyFont="1" applyFill="1" applyBorder="1"/>
    <xf numFmtId="165" fontId="160" fillId="24" borderId="0" xfId="93" applyNumberFormat="1" applyFont="1" applyFill="1" applyBorder="1"/>
    <xf numFmtId="43" fontId="160" fillId="0" borderId="0" xfId="93" applyNumberFormat="1" applyFont="1" applyFill="1" applyBorder="1"/>
    <xf numFmtId="0" fontId="160" fillId="0" borderId="0" xfId="93" applyFont="1" applyFill="1" applyBorder="1"/>
    <xf numFmtId="0" fontId="160" fillId="0" borderId="0" xfId="93" applyFont="1" applyFill="1"/>
    <xf numFmtId="0" fontId="151" fillId="0" borderId="0" xfId="93" applyFont="1" applyFill="1" applyBorder="1"/>
    <xf numFmtId="0" fontId="150" fillId="21" borderId="0" xfId="93" applyFont="1" applyFill="1" applyBorder="1" applyAlignment="1" applyProtection="1">
      <alignment horizontal="left"/>
      <protection locked="0"/>
    </xf>
    <xf numFmtId="38" fontId="150" fillId="21" borderId="0" xfId="93" applyNumberFormat="1" applyFont="1" applyFill="1" applyBorder="1"/>
    <xf numFmtId="2" fontId="153" fillId="21" borderId="0" xfId="93" applyNumberFormat="1" applyFont="1" applyFill="1"/>
    <xf numFmtId="4" fontId="150" fillId="21" borderId="0" xfId="93" applyNumberFormat="1" applyFont="1" applyFill="1"/>
    <xf numFmtId="0" fontId="155" fillId="21" borderId="0" xfId="93" applyFont="1" applyFill="1" applyBorder="1"/>
    <xf numFmtId="166" fontId="161" fillId="21" borderId="0" xfId="94" applyFont="1" applyFill="1" applyBorder="1"/>
    <xf numFmtId="2" fontId="155" fillId="21" borderId="0" xfId="93" applyNumberFormat="1" applyFont="1" applyFill="1"/>
    <xf numFmtId="4" fontId="155" fillId="21" borderId="0" xfId="93" applyNumberFormat="1" applyFont="1" applyFill="1"/>
    <xf numFmtId="0" fontId="155" fillId="21" borderId="0" xfId="93" applyFont="1" applyFill="1"/>
    <xf numFmtId="166" fontId="152" fillId="21" borderId="0" xfId="94" applyFont="1" applyFill="1" applyBorder="1"/>
    <xf numFmtId="4" fontId="150" fillId="0" borderId="0" xfId="93" applyNumberFormat="1" applyFont="1" applyFill="1"/>
    <xf numFmtId="2" fontId="150" fillId="0" borderId="0" xfId="93" applyNumberFormat="1" applyFont="1" applyFill="1"/>
    <xf numFmtId="0" fontId="162" fillId="0" borderId="0" xfId="93" applyFont="1" applyFill="1" applyBorder="1"/>
    <xf numFmtId="0" fontId="157" fillId="0" borderId="0" xfId="93" applyFont="1" applyFill="1"/>
    <xf numFmtId="0" fontId="154" fillId="0" borderId="0" xfId="93" applyFont="1" applyFill="1"/>
    <xf numFmtId="4" fontId="55" fillId="0" borderId="0" xfId="93" applyNumberFormat="1" applyFont="1" applyFill="1" applyBorder="1" applyAlignment="1">
      <alignment horizontal="center"/>
    </xf>
    <xf numFmtId="0" fontId="55" fillId="0" borderId="0" xfId="93" applyFont="1" applyFill="1" applyBorder="1" applyAlignment="1">
      <alignment horizontal="center"/>
    </xf>
    <xf numFmtId="4" fontId="153" fillId="0" borderId="0" xfId="93" applyNumberFormat="1" applyFont="1" applyFill="1" applyBorder="1" applyAlignment="1">
      <alignment horizontal="center"/>
    </xf>
    <xf numFmtId="2" fontId="153" fillId="0" borderId="0" xfId="93" applyNumberFormat="1" applyFont="1" applyFill="1" applyBorder="1" applyAlignment="1">
      <alignment horizontal="center"/>
    </xf>
    <xf numFmtId="170" fontId="153" fillId="0" borderId="0" xfId="93" applyNumberFormat="1" applyFont="1" applyFill="1" applyBorder="1" applyAlignment="1">
      <alignment horizontal="center"/>
    </xf>
    <xf numFmtId="170" fontId="153" fillId="21" borderId="0" xfId="93" applyNumberFormat="1" applyFont="1" applyFill="1" applyBorder="1" applyAlignment="1">
      <alignment horizontal="center"/>
    </xf>
    <xf numFmtId="4" fontId="161" fillId="0" borderId="0" xfId="93" applyNumberFormat="1" applyFont="1" applyFill="1" applyBorder="1"/>
    <xf numFmtId="2" fontId="161" fillId="0" borderId="0" xfId="93" applyNumberFormat="1" applyFont="1" applyFill="1" applyBorder="1"/>
    <xf numFmtId="40" fontId="161" fillId="0" borderId="0" xfId="93" applyNumberFormat="1" applyFont="1" applyFill="1" applyBorder="1"/>
    <xf numFmtId="40" fontId="161" fillId="21" borderId="0" xfId="93" applyNumberFormat="1" applyFont="1" applyFill="1" applyBorder="1"/>
    <xf numFmtId="4" fontId="154" fillId="0" borderId="0" xfId="93" applyNumberFormat="1" applyFont="1" applyFill="1" applyBorder="1"/>
    <xf numFmtId="38" fontId="154" fillId="0" borderId="0" xfId="93" applyNumberFormat="1" applyFont="1" applyFill="1" applyBorder="1"/>
    <xf numFmtId="0" fontId="149" fillId="21" borderId="0" xfId="93" applyFont="1" applyFill="1"/>
    <xf numFmtId="0" fontId="148" fillId="0" borderId="0" xfId="93" applyFont="1" applyFill="1" applyBorder="1" applyAlignment="1" applyProtection="1">
      <alignment horizontal="left"/>
      <protection locked="0"/>
    </xf>
    <xf numFmtId="40" fontId="155" fillId="0" borderId="37" xfId="93" applyNumberFormat="1" applyFont="1" applyFill="1" applyBorder="1"/>
    <xf numFmtId="0" fontId="153" fillId="21" borderId="0" xfId="93" applyFont="1" applyFill="1" applyBorder="1"/>
    <xf numFmtId="4" fontId="153" fillId="0" borderId="28" xfId="94" applyNumberFormat="1" applyFont="1" applyFill="1" applyBorder="1"/>
    <xf numFmtId="166" fontId="153" fillId="0" borderId="28" xfId="94" applyFont="1" applyFill="1" applyBorder="1"/>
    <xf numFmtId="166" fontId="153" fillId="0" borderId="0" xfId="93" applyNumberFormat="1" applyFont="1" applyFill="1" applyBorder="1"/>
    <xf numFmtId="166" fontId="153" fillId="21" borderId="0" xfId="93" applyNumberFormat="1" applyFont="1" applyFill="1" applyBorder="1"/>
    <xf numFmtId="4" fontId="153" fillId="24" borderId="0" xfId="93" applyNumberFormat="1" applyFont="1" applyFill="1" applyBorder="1"/>
    <xf numFmtId="2" fontId="153" fillId="24" borderId="0" xfId="93" applyNumberFormat="1" applyFont="1" applyFill="1" applyBorder="1"/>
    <xf numFmtId="168" fontId="51" fillId="24" borderId="0" xfId="109" applyFont="1" applyFill="1" applyBorder="1"/>
    <xf numFmtId="0" fontId="156" fillId="0" borderId="0" xfId="0" applyFont="1" applyFill="1" applyBorder="1"/>
    <xf numFmtId="0" fontId="156" fillId="24" borderId="0" xfId="93" applyNumberFormat="1" applyFont="1" applyFill="1" applyBorder="1"/>
    <xf numFmtId="4" fontId="156" fillId="24" borderId="0" xfId="93" applyNumberFormat="1" applyFont="1" applyFill="1" applyBorder="1"/>
    <xf numFmtId="2" fontId="156" fillId="24" borderId="0" xfId="93" applyNumberFormat="1" applyFont="1" applyFill="1" applyBorder="1"/>
    <xf numFmtId="0" fontId="153" fillId="0" borderId="0" xfId="0" applyFont="1" applyFill="1" applyBorder="1"/>
    <xf numFmtId="0" fontId="153" fillId="0" borderId="0" xfId="93" applyNumberFormat="1" applyFont="1" applyFill="1" applyBorder="1"/>
    <xf numFmtId="170" fontId="153" fillId="0" borderId="0" xfId="93" applyNumberFormat="1" applyFont="1" applyFill="1" applyBorder="1"/>
    <xf numFmtId="170" fontId="153" fillId="21" borderId="0" xfId="93" applyNumberFormat="1" applyFont="1" applyFill="1" applyBorder="1"/>
    <xf numFmtId="170" fontId="150" fillId="0" borderId="0" xfId="93" applyNumberFormat="1" applyFont="1" applyFill="1"/>
    <xf numFmtId="2" fontId="153" fillId="0" borderId="0" xfId="93" applyNumberFormat="1" applyFont="1" applyFill="1"/>
    <xf numFmtId="4" fontId="150" fillId="0" borderId="0" xfId="93" applyNumberFormat="1" applyFont="1" applyFill="1" applyBorder="1"/>
    <xf numFmtId="0" fontId="150" fillId="0" borderId="0" xfId="93" applyNumberFormat="1" applyFont="1" applyFill="1" applyBorder="1"/>
    <xf numFmtId="170" fontId="150" fillId="0" borderId="0" xfId="93" applyNumberFormat="1" applyFont="1" applyFill="1" applyBorder="1"/>
    <xf numFmtId="170" fontId="150" fillId="21" borderId="0" xfId="93" applyNumberFormat="1" applyFont="1" applyFill="1" applyBorder="1"/>
    <xf numFmtId="0" fontId="150" fillId="0" borderId="0" xfId="93" applyNumberFormat="1" applyFont="1" applyFill="1"/>
    <xf numFmtId="170" fontId="150" fillId="21" borderId="0" xfId="93" applyNumberFormat="1" applyFont="1" applyFill="1"/>
    <xf numFmtId="4" fontId="153" fillId="0" borderId="0" xfId="94" applyNumberFormat="1" applyFont="1" applyFill="1" applyBorder="1"/>
    <xf numFmtId="2" fontId="153" fillId="0" borderId="0" xfId="94" applyNumberFormat="1" applyFont="1" applyFill="1" applyBorder="1"/>
    <xf numFmtId="0" fontId="113" fillId="0" borderId="0" xfId="93" applyFont="1" applyFill="1" applyBorder="1"/>
    <xf numFmtId="0" fontId="113" fillId="0" borderId="51" xfId="93" applyFont="1" applyFill="1" applyBorder="1"/>
    <xf numFmtId="0" fontId="150" fillId="0" borderId="51" xfId="93" applyFont="1" applyFill="1" applyBorder="1"/>
    <xf numFmtId="4" fontId="153" fillId="0" borderId="51" xfId="93" applyNumberFormat="1" applyFont="1" applyFill="1" applyBorder="1"/>
    <xf numFmtId="170" fontId="153" fillId="21" borderId="51" xfId="93" applyNumberFormat="1" applyFont="1" applyFill="1" applyBorder="1"/>
    <xf numFmtId="174" fontId="149" fillId="0" borderId="0" xfId="93" applyNumberFormat="1" applyFont="1" applyFill="1" applyBorder="1"/>
    <xf numFmtId="4" fontId="25" fillId="21" borderId="0" xfId="93" applyNumberFormat="1" applyFont="1" applyFill="1"/>
    <xf numFmtId="40" fontId="99" fillId="0" borderId="45" xfId="93" applyNumberFormat="1" applyFont="1" applyFill="1" applyBorder="1" applyAlignment="1"/>
    <xf numFmtId="40" fontId="158" fillId="0" borderId="0" xfId="93" applyNumberFormat="1" applyFont="1" applyFill="1" applyBorder="1"/>
    <xf numFmtId="170" fontId="84" fillId="21" borderId="0" xfId="93" applyNumberFormat="1" applyFont="1" applyFill="1" applyProtection="1">
      <protection locked="0"/>
    </xf>
    <xf numFmtId="40" fontId="89" fillId="21" borderId="26" xfId="93" applyNumberFormat="1" applyFont="1" applyFill="1" applyBorder="1" applyProtection="1">
      <protection locked="0"/>
    </xf>
    <xf numFmtId="40" fontId="89" fillId="21" borderId="23" xfId="93" applyNumberFormat="1" applyFont="1" applyFill="1" applyBorder="1" applyProtection="1">
      <protection locked="0"/>
    </xf>
    <xf numFmtId="40" fontId="89" fillId="21" borderId="22" xfId="93" applyNumberFormat="1" applyFont="1" applyFill="1" applyBorder="1" applyProtection="1">
      <protection locked="0"/>
    </xf>
    <xf numFmtId="40" fontId="89" fillId="21" borderId="25" xfId="93" applyNumberFormat="1" applyFont="1" applyFill="1" applyBorder="1" applyProtection="1">
      <protection locked="0"/>
    </xf>
    <xf numFmtId="40" fontId="89" fillId="21" borderId="24" xfId="93" applyNumberFormat="1" applyFont="1" applyFill="1" applyBorder="1" applyProtection="1">
      <protection locked="0"/>
    </xf>
    <xf numFmtId="0" fontId="18" fillId="0" borderId="0" xfId="93" applyFont="1" applyFill="1"/>
    <xf numFmtId="0" fontId="31" fillId="0" borderId="73" xfId="93" applyFont="1" applyFill="1" applyBorder="1" applyAlignment="1">
      <alignment horizontal="center"/>
    </xf>
    <xf numFmtId="176" fontId="18" fillId="0" borderId="72" xfId="93" applyNumberFormat="1" applyFont="1" applyFill="1" applyBorder="1" applyAlignment="1">
      <alignment horizontal="right"/>
    </xf>
    <xf numFmtId="0" fontId="59" fillId="0" borderId="0" xfId="93" applyFont="1" applyFill="1" applyBorder="1"/>
    <xf numFmtId="4" fontId="59" fillId="0" borderId="0" xfId="93" applyNumberFormat="1" applyFont="1" applyFill="1" applyBorder="1"/>
    <xf numFmtId="4" fontId="59" fillId="24" borderId="0" xfId="93" applyNumberFormat="1" applyFont="1" applyFill="1" applyBorder="1"/>
    <xf numFmtId="170" fontId="163" fillId="24" borderId="0" xfId="93" applyNumberFormat="1" applyFont="1" applyFill="1" applyBorder="1"/>
    <xf numFmtId="165" fontId="59" fillId="24" borderId="0" xfId="93" applyNumberFormat="1" applyFont="1" applyFill="1" applyBorder="1"/>
    <xf numFmtId="43" fontId="59" fillId="0" borderId="0" xfId="93" applyNumberFormat="1" applyFont="1" applyFill="1" applyBorder="1"/>
    <xf numFmtId="0" fontId="164" fillId="0" borderId="0" xfId="93" applyFont="1" applyFill="1" applyBorder="1"/>
    <xf numFmtId="2" fontId="164" fillId="0" borderId="0" xfId="93" applyNumberFormat="1" applyFont="1" applyFill="1" applyBorder="1"/>
    <xf numFmtId="0" fontId="59" fillId="0" borderId="0" xfId="93" applyFont="1" applyFill="1"/>
    <xf numFmtId="0" fontId="165" fillId="0" borderId="0" xfId="93" applyFont="1" applyFill="1" applyBorder="1"/>
    <xf numFmtId="0" fontId="165" fillId="21" borderId="0" xfId="93" applyFont="1" applyFill="1" applyBorder="1"/>
    <xf numFmtId="0" fontId="165" fillId="0" borderId="0" xfId="93" applyFont="1" applyFill="1"/>
    <xf numFmtId="0" fontId="166" fillId="0" borderId="0" xfId="93" applyFont="1" applyFill="1" applyAlignment="1">
      <alignment horizontal="left"/>
    </xf>
    <xf numFmtId="0" fontId="166" fillId="0" borderId="0" xfId="93" applyFont="1" applyFill="1"/>
    <xf numFmtId="0" fontId="167" fillId="0" borderId="0" xfId="93" applyFont="1" applyFill="1" applyAlignment="1"/>
    <xf numFmtId="0" fontId="166" fillId="21" borderId="0" xfId="93" applyFont="1" applyFill="1"/>
    <xf numFmtId="170" fontId="167" fillId="0" borderId="0" xfId="93" applyNumberFormat="1" applyFont="1" applyFill="1" applyAlignment="1"/>
    <xf numFmtId="2" fontId="167" fillId="0" borderId="0" xfId="93" applyNumberFormat="1" applyFont="1" applyFill="1" applyAlignment="1"/>
    <xf numFmtId="2" fontId="166" fillId="21" borderId="0" xfId="93" applyNumberFormat="1" applyFont="1" applyFill="1"/>
    <xf numFmtId="0" fontId="165" fillId="36" borderId="0" xfId="93" applyFont="1" applyFill="1"/>
    <xf numFmtId="0" fontId="166" fillId="36" borderId="0" xfId="93" applyFont="1" applyFill="1" applyAlignment="1">
      <alignment horizontal="left"/>
    </xf>
    <xf numFmtId="0" fontId="167" fillId="36" borderId="0" xfId="93" applyFont="1" applyFill="1" applyAlignment="1"/>
    <xf numFmtId="170" fontId="167" fillId="0" borderId="6" xfId="93" applyNumberFormat="1" applyFont="1" applyFill="1" applyBorder="1" applyAlignment="1">
      <alignment horizontal="center"/>
    </xf>
    <xf numFmtId="0" fontId="166" fillId="0" borderId="0" xfId="93" applyFont="1" applyFill="1" applyAlignment="1">
      <alignment horizontal="center"/>
    </xf>
    <xf numFmtId="170" fontId="167" fillId="0" borderId="0" xfId="93" applyNumberFormat="1" applyFont="1" applyFill="1" applyBorder="1" applyAlignment="1">
      <alignment horizontal="center"/>
    </xf>
    <xf numFmtId="170" fontId="167" fillId="0" borderId="21" xfId="93" applyNumberFormat="1" applyFont="1" applyFill="1" applyBorder="1" applyAlignment="1">
      <alignment horizontal="center"/>
    </xf>
    <xf numFmtId="0" fontId="165" fillId="0" borderId="0" xfId="93" applyFont="1" applyFill="1" applyBorder="1" applyAlignment="1">
      <alignment horizontal="center"/>
    </xf>
    <xf numFmtId="0" fontId="167" fillId="0" borderId="0" xfId="93" applyFont="1" applyFill="1" applyBorder="1" applyAlignment="1">
      <alignment horizontal="left"/>
    </xf>
    <xf numFmtId="0" fontId="167" fillId="0" borderId="0" xfId="93" applyFont="1" applyFill="1" applyBorder="1" applyAlignment="1">
      <alignment horizontal="center"/>
    </xf>
    <xf numFmtId="170" fontId="167" fillId="21" borderId="0" xfId="93" applyNumberFormat="1" applyFont="1" applyFill="1" applyBorder="1" applyAlignment="1">
      <alignment horizontal="center" wrapText="1"/>
    </xf>
    <xf numFmtId="170" fontId="167" fillId="0" borderId="7" xfId="93" applyNumberFormat="1" applyFont="1" applyFill="1" applyBorder="1" applyAlignment="1">
      <alignment horizontal="center" wrapText="1"/>
    </xf>
    <xf numFmtId="170" fontId="167" fillId="0" borderId="40" xfId="93" applyNumberFormat="1" applyFont="1" applyFill="1" applyBorder="1" applyAlignment="1">
      <alignment horizontal="center"/>
    </xf>
    <xf numFmtId="170" fontId="167" fillId="0" borderId="0" xfId="93" applyNumberFormat="1" applyFont="1" applyFill="1" applyBorder="1" applyAlignment="1">
      <alignment horizontal="center" wrapText="1"/>
    </xf>
    <xf numFmtId="2" fontId="167" fillId="0" borderId="0" xfId="93" applyNumberFormat="1" applyFont="1" applyFill="1" applyBorder="1" applyAlignment="1">
      <alignment horizontal="center"/>
    </xf>
    <xf numFmtId="2" fontId="167" fillId="0" borderId="0" xfId="93" applyNumberFormat="1" applyFont="1" applyFill="1" applyBorder="1" applyAlignment="1">
      <alignment horizontal="center" wrapText="1"/>
    </xf>
    <xf numFmtId="2" fontId="167" fillId="21" borderId="0" xfId="93" applyNumberFormat="1" applyFont="1" applyFill="1" applyBorder="1" applyAlignment="1">
      <alignment horizontal="center" wrapText="1"/>
    </xf>
    <xf numFmtId="0" fontId="168" fillId="0" borderId="0" xfId="93" applyFont="1" applyFill="1" applyBorder="1" applyAlignment="1">
      <alignment horizontal="left"/>
    </xf>
    <xf numFmtId="0" fontId="167" fillId="21" borderId="0" xfId="93" applyFont="1" applyFill="1" applyBorder="1" applyAlignment="1">
      <alignment horizontal="center"/>
    </xf>
    <xf numFmtId="4" fontId="169" fillId="0" borderId="0" xfId="93" applyNumberFormat="1" applyFont="1" applyFill="1" applyBorder="1" applyAlignment="1">
      <alignment horizontal="center"/>
    </xf>
    <xf numFmtId="2" fontId="169" fillId="0" borderId="0" xfId="93" applyNumberFormat="1" applyFont="1" applyFill="1" applyBorder="1" applyAlignment="1">
      <alignment horizontal="center"/>
    </xf>
    <xf numFmtId="2" fontId="165" fillId="21" borderId="0" xfId="93" applyNumberFormat="1" applyFont="1" applyFill="1" applyBorder="1"/>
    <xf numFmtId="0" fontId="166" fillId="0" borderId="0" xfId="93" applyFont="1" applyFill="1" applyBorder="1" applyAlignment="1">
      <alignment horizontal="left"/>
    </xf>
    <xf numFmtId="40" fontId="166" fillId="0" borderId="0" xfId="93" applyNumberFormat="1" applyFont="1" applyFill="1" applyBorder="1"/>
    <xf numFmtId="40" fontId="166" fillId="21" borderId="0" xfId="93" applyNumberFormat="1" applyFont="1" applyFill="1" applyBorder="1"/>
    <xf numFmtId="38" fontId="166" fillId="0" borderId="0" xfId="93" applyNumberFormat="1" applyFont="1" applyFill="1" applyBorder="1"/>
    <xf numFmtId="166" fontId="165" fillId="0" borderId="0" xfId="94" applyFont="1" applyFill="1" applyBorder="1"/>
    <xf numFmtId="4" fontId="165" fillId="0" borderId="0" xfId="93" applyNumberFormat="1" applyFont="1" applyFill="1" applyBorder="1"/>
    <xf numFmtId="4" fontId="170" fillId="0" borderId="0" xfId="93" applyNumberFormat="1" applyFont="1" applyFill="1" applyBorder="1"/>
    <xf numFmtId="2" fontId="165" fillId="0" borderId="0" xfId="93" applyNumberFormat="1" applyFont="1" applyFill="1" applyBorder="1"/>
    <xf numFmtId="4" fontId="165" fillId="21" borderId="0" xfId="93" applyNumberFormat="1" applyFont="1" applyFill="1"/>
    <xf numFmtId="4" fontId="166" fillId="0" borderId="0" xfId="93" applyNumberFormat="1" applyFont="1" applyFill="1"/>
    <xf numFmtId="0" fontId="171" fillId="0" borderId="0" xfId="93" applyFont="1" applyFill="1" applyBorder="1" applyAlignment="1">
      <alignment horizontal="left"/>
    </xf>
    <xf numFmtId="40" fontId="171" fillId="0" borderId="0" xfId="93" applyNumberFormat="1" applyFont="1" applyFill="1" applyBorder="1"/>
    <xf numFmtId="40" fontId="171" fillId="21" borderId="0" xfId="93" applyNumberFormat="1" applyFont="1" applyFill="1" applyBorder="1"/>
    <xf numFmtId="38" fontId="171" fillId="0" borderId="0" xfId="93" applyNumberFormat="1" applyFont="1" applyFill="1" applyBorder="1"/>
    <xf numFmtId="166" fontId="171" fillId="0" borderId="0" xfId="94" applyFont="1" applyFill="1" applyBorder="1"/>
    <xf numFmtId="4" fontId="171" fillId="0" borderId="0" xfId="93" applyNumberFormat="1" applyFont="1" applyFill="1" applyBorder="1"/>
    <xf numFmtId="2" fontId="171" fillId="0" borderId="0" xfId="93" applyNumberFormat="1" applyFont="1" applyFill="1" applyBorder="1"/>
    <xf numFmtId="0" fontId="171" fillId="0" borderId="0" xfId="93" applyFont="1" applyFill="1"/>
    <xf numFmtId="0" fontId="170" fillId="0" borderId="0" xfId="93" applyFont="1" applyFill="1" applyBorder="1"/>
    <xf numFmtId="40" fontId="170" fillId="0" borderId="0" xfId="93" applyNumberFormat="1" applyFont="1" applyFill="1" applyBorder="1"/>
    <xf numFmtId="40" fontId="170" fillId="21" borderId="0" xfId="93" applyNumberFormat="1" applyFont="1" applyFill="1" applyBorder="1"/>
    <xf numFmtId="38" fontId="170" fillId="0" borderId="0" xfId="93" applyNumberFormat="1" applyFont="1" applyFill="1" applyBorder="1"/>
    <xf numFmtId="166" fontId="170" fillId="0" borderId="0" xfId="94" applyFont="1" applyFill="1" applyBorder="1"/>
    <xf numFmtId="2" fontId="170" fillId="0" borderId="0" xfId="93" applyNumberFormat="1" applyFont="1" applyFill="1" applyBorder="1"/>
    <xf numFmtId="0" fontId="172" fillId="0" borderId="0" xfId="93" applyFont="1" applyFill="1"/>
    <xf numFmtId="0" fontId="170" fillId="0" borderId="0" xfId="93" applyFont="1" applyFill="1"/>
    <xf numFmtId="0" fontId="169" fillId="0" borderId="0" xfId="93" applyFont="1" applyFill="1" applyBorder="1" applyAlignment="1">
      <alignment horizontal="left"/>
    </xf>
    <xf numFmtId="0" fontId="169" fillId="0" borderId="0" xfId="93" applyFont="1" applyFill="1" applyBorder="1"/>
    <xf numFmtId="0" fontId="169" fillId="21" borderId="0" xfId="93" applyFont="1" applyFill="1" applyBorder="1"/>
    <xf numFmtId="0" fontId="173" fillId="0" borderId="0" xfId="0" applyFont="1" applyFill="1" applyBorder="1"/>
    <xf numFmtId="4" fontId="169" fillId="0" borderId="37" xfId="0" applyNumberFormat="1" applyFont="1" applyFill="1" applyBorder="1"/>
    <xf numFmtId="0" fontId="166" fillId="0" borderId="0" xfId="93" applyFont="1" applyFill="1" applyBorder="1"/>
    <xf numFmtId="0" fontId="166" fillId="21" borderId="0" xfId="93" applyFont="1" applyFill="1" applyBorder="1"/>
    <xf numFmtId="4" fontId="165" fillId="21" borderId="0" xfId="93" applyNumberFormat="1" applyFont="1" applyFill="1" applyBorder="1"/>
    <xf numFmtId="0" fontId="172" fillId="0" borderId="0" xfId="93" applyFont="1" applyFill="1" applyBorder="1" applyAlignment="1">
      <alignment horizontal="left"/>
    </xf>
    <xf numFmtId="0" fontId="172" fillId="0" borderId="0" xfId="93" applyFont="1" applyFill="1" applyBorder="1"/>
    <xf numFmtId="4" fontId="165" fillId="0" borderId="37" xfId="0" applyNumberFormat="1" applyFont="1" applyFill="1" applyBorder="1"/>
    <xf numFmtId="0" fontId="169" fillId="0" borderId="0" xfId="93" applyFont="1" applyFill="1"/>
    <xf numFmtId="4" fontId="169" fillId="0" borderId="0" xfId="0" applyNumberFormat="1" applyFont="1" applyFill="1" applyBorder="1"/>
    <xf numFmtId="4" fontId="165" fillId="0" borderId="0" xfId="0" applyNumberFormat="1" applyFont="1" applyFill="1" applyBorder="1"/>
    <xf numFmtId="4" fontId="165" fillId="21" borderId="0" xfId="0" applyNumberFormat="1" applyFont="1" applyFill="1" applyBorder="1"/>
    <xf numFmtId="2" fontId="165" fillId="0" borderId="0" xfId="0" applyNumberFormat="1" applyFont="1" applyFill="1" applyBorder="1"/>
    <xf numFmtId="4" fontId="169" fillId="21" borderId="0" xfId="0" applyNumberFormat="1" applyFont="1" applyFill="1" applyBorder="1"/>
    <xf numFmtId="0" fontId="174" fillId="0" borderId="0" xfId="93" applyFont="1" applyFill="1" applyBorder="1"/>
    <xf numFmtId="0" fontId="174" fillId="0" borderId="0" xfId="93" applyFont="1" applyFill="1" applyBorder="1" applyAlignment="1">
      <alignment horizontal="left"/>
    </xf>
    <xf numFmtId="4" fontId="169" fillId="0" borderId="0" xfId="93" applyNumberFormat="1" applyFont="1" applyFill="1" applyBorder="1"/>
    <xf numFmtId="2" fontId="169" fillId="0" borderId="0" xfId="93" applyNumberFormat="1" applyFont="1" applyFill="1" applyBorder="1"/>
    <xf numFmtId="4" fontId="169" fillId="21" borderId="0" xfId="93" applyNumberFormat="1" applyFont="1" applyFill="1" applyBorder="1"/>
    <xf numFmtId="2" fontId="165" fillId="0" borderId="37" xfId="0" applyNumberFormat="1" applyFont="1" applyFill="1" applyBorder="1"/>
    <xf numFmtId="4" fontId="165" fillId="0" borderId="0" xfId="94" applyNumberFormat="1" applyFont="1" applyFill="1" applyBorder="1" applyAlignment="1" applyProtection="1"/>
    <xf numFmtId="2" fontId="165" fillId="0" borderId="0" xfId="94" applyNumberFormat="1" applyFont="1" applyFill="1" applyBorder="1" applyAlignment="1" applyProtection="1"/>
    <xf numFmtId="0" fontId="171" fillId="0" borderId="0" xfId="93" applyFont="1" applyFill="1" applyBorder="1" applyAlignment="1" applyProtection="1">
      <alignment horizontal="left"/>
      <protection locked="0"/>
    </xf>
    <xf numFmtId="40" fontId="174" fillId="0" borderId="0" xfId="93" applyNumberFormat="1" applyFont="1" applyFill="1" applyBorder="1"/>
    <xf numFmtId="40" fontId="174" fillId="21" borderId="0" xfId="93" applyNumberFormat="1" applyFont="1" applyFill="1" applyBorder="1"/>
    <xf numFmtId="38" fontId="174" fillId="0" borderId="0" xfId="93" applyNumberFormat="1" applyFont="1" applyFill="1" applyBorder="1"/>
    <xf numFmtId="166" fontId="174" fillId="0" borderId="0" xfId="94" applyFont="1" applyFill="1" applyBorder="1"/>
    <xf numFmtId="4" fontId="174" fillId="0" borderId="0" xfId="93" applyNumberFormat="1" applyFont="1" applyFill="1" applyBorder="1"/>
    <xf numFmtId="2" fontId="174" fillId="0" borderId="0" xfId="93" applyNumberFormat="1" applyFont="1" applyFill="1" applyBorder="1"/>
    <xf numFmtId="0" fontId="174" fillId="0" borderId="0" xfId="93" applyFont="1" applyFill="1"/>
    <xf numFmtId="0" fontId="175" fillId="0" borderId="0" xfId="93" applyFont="1" applyFill="1" applyBorder="1"/>
    <xf numFmtId="38" fontId="165" fillId="0" borderId="0" xfId="93" applyNumberFormat="1" applyFont="1" applyFill="1" applyBorder="1"/>
    <xf numFmtId="40" fontId="165" fillId="0" borderId="0" xfId="93" applyNumberFormat="1" applyFont="1" applyFill="1" applyBorder="1"/>
    <xf numFmtId="40" fontId="165" fillId="21" borderId="0" xfId="93" applyNumberFormat="1" applyFont="1" applyFill="1" applyBorder="1"/>
    <xf numFmtId="165" fontId="165" fillId="24" borderId="0" xfId="93" applyNumberFormat="1" applyFont="1" applyFill="1" applyBorder="1"/>
    <xf numFmtId="0" fontId="174" fillId="21" borderId="0" xfId="93" applyFont="1" applyFill="1" applyBorder="1" applyAlignment="1" applyProtection="1">
      <alignment horizontal="left"/>
      <protection locked="0"/>
    </xf>
    <xf numFmtId="166" fontId="172" fillId="0" borderId="0" xfId="94" applyFont="1" applyFill="1" applyBorder="1"/>
    <xf numFmtId="2" fontId="172" fillId="0" borderId="37" xfId="93" applyNumberFormat="1" applyFont="1" applyFill="1" applyBorder="1"/>
    <xf numFmtId="4" fontId="165" fillId="0" borderId="0" xfId="0" applyNumberFormat="1" applyFont="1" applyFill="1"/>
    <xf numFmtId="166" fontId="176" fillId="0" borderId="0" xfId="94" applyFont="1" applyFill="1" applyBorder="1"/>
    <xf numFmtId="0" fontId="170" fillId="21" borderId="0" xfId="93" applyFont="1" applyFill="1" applyBorder="1" applyAlignment="1" applyProtection="1">
      <alignment horizontal="left"/>
      <protection locked="0"/>
    </xf>
    <xf numFmtId="38" fontId="171" fillId="21" borderId="0" xfId="93" applyNumberFormat="1" applyFont="1" applyFill="1" applyBorder="1"/>
    <xf numFmtId="166" fontId="177" fillId="21" borderId="0" xfId="94" applyFont="1" applyFill="1" applyBorder="1"/>
    <xf numFmtId="4" fontId="170" fillId="21" borderId="0" xfId="93" applyNumberFormat="1" applyFont="1" applyFill="1" applyBorder="1"/>
    <xf numFmtId="2" fontId="170" fillId="21" borderId="0" xfId="93" applyNumberFormat="1" applyFont="1" applyFill="1" applyBorder="1"/>
    <xf numFmtId="0" fontId="170" fillId="21" borderId="0" xfId="93" applyFont="1" applyFill="1" applyBorder="1"/>
    <xf numFmtId="0" fontId="170" fillId="21" borderId="0" xfId="93" applyFont="1" applyFill="1"/>
    <xf numFmtId="38" fontId="170" fillId="21" borderId="0" xfId="93" applyNumberFormat="1" applyFont="1" applyFill="1" applyBorder="1"/>
    <xf numFmtId="166" fontId="170" fillId="21" borderId="0" xfId="94" applyFont="1" applyFill="1" applyBorder="1"/>
    <xf numFmtId="166" fontId="169" fillId="21" borderId="0" xfId="94" applyFont="1" applyFill="1" applyBorder="1" applyAlignment="1">
      <alignment horizontal="left"/>
    </xf>
    <xf numFmtId="166" fontId="165" fillId="0" borderId="0" xfId="94" applyFont="1" applyFill="1" applyBorder="1" applyAlignment="1">
      <alignment horizontal="right"/>
    </xf>
    <xf numFmtId="0" fontId="178" fillId="0" borderId="0" xfId="93" applyFont="1" applyFill="1" applyBorder="1" applyAlignment="1">
      <alignment horizontal="left"/>
    </xf>
    <xf numFmtId="0" fontId="165" fillId="0" borderId="0" xfId="93" applyFont="1" applyFill="1" applyBorder="1" applyAlignment="1">
      <alignment horizontal="left"/>
    </xf>
    <xf numFmtId="0" fontId="165" fillId="21" borderId="0" xfId="93" applyFont="1" applyFill="1" applyBorder="1" applyAlignment="1" applyProtection="1">
      <alignment horizontal="left"/>
      <protection locked="0"/>
    </xf>
    <xf numFmtId="169" fontId="166" fillId="0" borderId="0" xfId="94" applyNumberFormat="1" applyFont="1" applyFill="1" applyBorder="1" applyAlignment="1" applyProtection="1"/>
    <xf numFmtId="4" fontId="169" fillId="21" borderId="37" xfId="0" applyNumberFormat="1" applyFont="1" applyFill="1" applyBorder="1"/>
    <xf numFmtId="40" fontId="169" fillId="0" borderId="0" xfId="93" applyNumberFormat="1" applyFont="1" applyFill="1" applyBorder="1"/>
    <xf numFmtId="38" fontId="174" fillId="21" borderId="0" xfId="93" applyNumberFormat="1" applyFont="1" applyFill="1" applyBorder="1"/>
    <xf numFmtId="166" fontId="174" fillId="21" borderId="0" xfId="94" applyFont="1" applyFill="1" applyBorder="1"/>
    <xf numFmtId="4" fontId="174" fillId="21" borderId="0" xfId="93" applyNumberFormat="1" applyFont="1" applyFill="1" applyBorder="1"/>
    <xf numFmtId="2" fontId="174" fillId="21" borderId="0" xfId="93" applyNumberFormat="1" applyFont="1" applyFill="1" applyBorder="1"/>
    <xf numFmtId="0" fontId="174" fillId="21" borderId="0" xfId="93" applyFont="1" applyFill="1"/>
    <xf numFmtId="4" fontId="169" fillId="0" borderId="104" xfId="0" applyNumberFormat="1" applyFont="1" applyFill="1" applyBorder="1"/>
    <xf numFmtId="0" fontId="179" fillId="0" borderId="0" xfId="93" applyFont="1" applyFill="1" applyBorder="1" applyAlignment="1">
      <alignment horizontal="left"/>
    </xf>
    <xf numFmtId="0" fontId="165" fillId="0" borderId="0" xfId="93" applyFont="1" applyFill="1" applyBorder="1" applyAlignment="1" applyProtection="1">
      <alignment horizontal="left"/>
      <protection locked="0"/>
    </xf>
    <xf numFmtId="0" fontId="167" fillId="0" borderId="0" xfId="93" applyFont="1" applyFill="1"/>
    <xf numFmtId="0" fontId="169" fillId="0" borderId="0" xfId="93" applyFont="1" applyFill="1" applyBorder="1" applyAlignment="1" applyProtection="1">
      <alignment horizontal="left"/>
      <protection locked="0"/>
    </xf>
    <xf numFmtId="4" fontId="165" fillId="21" borderId="69" xfId="93" applyNumberFormat="1" applyFont="1" applyFill="1" applyBorder="1"/>
    <xf numFmtId="38" fontId="166" fillId="21" borderId="0" xfId="93" applyNumberFormat="1" applyFont="1" applyFill="1" applyBorder="1"/>
    <xf numFmtId="166" fontId="165" fillId="21" borderId="0" xfId="94" applyFont="1" applyFill="1" applyBorder="1"/>
    <xf numFmtId="166" fontId="169" fillId="0" borderId="0" xfId="94" applyFont="1" applyFill="1" applyBorder="1"/>
    <xf numFmtId="0" fontId="166" fillId="21" borderId="0" xfId="93" applyFont="1" applyFill="1" applyBorder="1" applyAlignment="1">
      <alignment horizontal="left"/>
    </xf>
    <xf numFmtId="4" fontId="165" fillId="21" borderId="37" xfId="0" applyNumberFormat="1" applyFont="1" applyFill="1" applyBorder="1"/>
    <xf numFmtId="0" fontId="170" fillId="0" borderId="0" xfId="93" applyFont="1" applyFill="1" applyBorder="1" applyAlignment="1" applyProtection="1">
      <alignment horizontal="left"/>
      <protection locked="0"/>
    </xf>
    <xf numFmtId="4" fontId="165" fillId="0" borderId="6" xfId="0" applyNumberFormat="1" applyFont="1" applyFill="1" applyBorder="1"/>
    <xf numFmtId="4" fontId="165" fillId="21" borderId="6" xfId="0" applyNumberFormat="1" applyFont="1" applyFill="1" applyBorder="1"/>
    <xf numFmtId="166" fontId="180" fillId="0" borderId="0" xfId="94" applyFont="1" applyFill="1" applyBorder="1"/>
    <xf numFmtId="0" fontId="170" fillId="21" borderId="0" xfId="93" applyFont="1" applyFill="1" applyBorder="1" applyAlignment="1">
      <alignment horizontal="left"/>
    </xf>
    <xf numFmtId="165" fontId="165" fillId="21" borderId="0" xfId="93" applyNumberFormat="1" applyFont="1" applyFill="1" applyBorder="1"/>
    <xf numFmtId="4" fontId="169" fillId="0" borderId="46" xfId="0" applyNumberFormat="1" applyFont="1" applyFill="1" applyBorder="1"/>
    <xf numFmtId="4" fontId="166" fillId="21" borderId="0" xfId="93" applyNumberFormat="1" applyFont="1" applyFill="1" applyBorder="1"/>
    <xf numFmtId="40" fontId="167" fillId="21" borderId="0" xfId="93" applyNumberFormat="1" applyFont="1" applyFill="1" applyBorder="1"/>
    <xf numFmtId="0" fontId="167" fillId="0" borderId="0" xfId="93" applyFont="1" applyFill="1" applyBorder="1"/>
    <xf numFmtId="0" fontId="167" fillId="21" borderId="0" xfId="93" applyFont="1" applyFill="1" applyBorder="1"/>
    <xf numFmtId="0" fontId="165" fillId="0" borderId="47" xfId="93" applyFont="1" applyFill="1" applyBorder="1"/>
    <xf numFmtId="0" fontId="166" fillId="0" borderId="47" xfId="93" applyFont="1" applyFill="1" applyBorder="1" applyAlignment="1">
      <alignment horizontal="left"/>
    </xf>
    <xf numFmtId="0" fontId="167" fillId="0" borderId="47" xfId="93" applyFont="1" applyFill="1" applyBorder="1"/>
    <xf numFmtId="4" fontId="167" fillId="21" borderId="47" xfId="93" applyNumberFormat="1" applyFont="1" applyFill="1" applyBorder="1"/>
    <xf numFmtId="4" fontId="169" fillId="0" borderId="47" xfId="93" applyNumberFormat="1" applyFont="1" applyFill="1" applyBorder="1"/>
    <xf numFmtId="0" fontId="166" fillId="0" borderId="47" xfId="93" applyFont="1" applyFill="1" applyBorder="1"/>
    <xf numFmtId="4" fontId="169" fillId="24" borderId="0" xfId="93" applyNumberFormat="1" applyFont="1" applyFill="1" applyBorder="1"/>
    <xf numFmtId="4" fontId="166" fillId="21" borderId="0" xfId="93" applyNumberFormat="1" applyFont="1" applyFill="1"/>
    <xf numFmtId="170" fontId="181" fillId="21" borderId="0" xfId="93" applyNumberFormat="1" applyFont="1" applyFill="1" applyBorder="1"/>
    <xf numFmtId="4" fontId="169" fillId="33" borderId="0" xfId="93" applyNumberFormat="1" applyFont="1" applyFill="1" applyBorder="1"/>
    <xf numFmtId="4" fontId="177" fillId="0" borderId="0" xfId="93" applyNumberFormat="1" applyFont="1" applyFill="1" applyBorder="1"/>
    <xf numFmtId="0" fontId="177" fillId="0" borderId="0" xfId="93" applyFont="1" applyFill="1" applyBorder="1"/>
    <xf numFmtId="2" fontId="166" fillId="0" borderId="0" xfId="93" applyNumberFormat="1" applyFont="1" applyFill="1" applyBorder="1"/>
    <xf numFmtId="0" fontId="173" fillId="0" borderId="0" xfId="0" applyFont="1" applyFill="1" applyBorder="1" applyAlignment="1">
      <alignment horizontal="left"/>
    </xf>
    <xf numFmtId="170" fontId="169" fillId="0" borderId="0" xfId="93" applyNumberFormat="1" applyFont="1" applyFill="1" applyBorder="1"/>
    <xf numFmtId="170" fontId="170" fillId="0" borderId="0" xfId="93" applyNumberFormat="1" applyFont="1" applyFill="1" applyBorder="1"/>
    <xf numFmtId="170" fontId="166" fillId="0" borderId="0" xfId="93" applyNumberFormat="1" applyFont="1" applyFill="1" applyBorder="1"/>
    <xf numFmtId="2" fontId="166" fillId="21" borderId="0" xfId="93" applyNumberFormat="1" applyFont="1" applyFill="1" applyBorder="1"/>
    <xf numFmtId="2" fontId="169" fillId="21" borderId="0" xfId="93" applyNumberFormat="1" applyFont="1" applyFill="1" applyBorder="1"/>
    <xf numFmtId="170" fontId="166" fillId="0" borderId="0" xfId="93" applyNumberFormat="1" applyFont="1" applyFill="1"/>
    <xf numFmtId="2" fontId="166" fillId="0" borderId="0" xfId="93" applyNumberFormat="1" applyFont="1" applyFill="1"/>
    <xf numFmtId="0" fontId="182" fillId="0" borderId="51" xfId="93" applyFont="1" applyFill="1" applyBorder="1"/>
    <xf numFmtId="0" fontId="182" fillId="0" borderId="51" xfId="93" applyFont="1" applyFill="1" applyBorder="1" applyAlignment="1">
      <alignment horizontal="left"/>
    </xf>
    <xf numFmtId="0" fontId="183" fillId="0" borderId="0" xfId="93" applyFont="1" applyFill="1" applyBorder="1"/>
    <xf numFmtId="0" fontId="182" fillId="21" borderId="0" xfId="93" applyFont="1" applyFill="1" applyBorder="1"/>
    <xf numFmtId="0" fontId="182" fillId="0" borderId="0" xfId="93" applyFont="1" applyFill="1" applyBorder="1"/>
    <xf numFmtId="170" fontId="182" fillId="0" borderId="0" xfId="93" applyNumberFormat="1" applyFont="1" applyFill="1" applyBorder="1"/>
    <xf numFmtId="4" fontId="182" fillId="0" borderId="0" xfId="93" applyNumberFormat="1" applyFont="1" applyFill="1" applyBorder="1"/>
    <xf numFmtId="4" fontId="182" fillId="0" borderId="51" xfId="93" applyNumberFormat="1" applyFont="1" applyFill="1" applyBorder="1"/>
    <xf numFmtId="2" fontId="182" fillId="0" borderId="0" xfId="93" applyNumberFormat="1" applyFont="1" applyFill="1" applyBorder="1"/>
    <xf numFmtId="0" fontId="184" fillId="21" borderId="0" xfId="93" applyFont="1" applyFill="1" applyBorder="1" applyAlignment="1" applyProtection="1">
      <alignment horizontal="left"/>
      <protection locked="0"/>
    </xf>
    <xf numFmtId="2" fontId="182" fillId="21" borderId="0" xfId="93" applyNumberFormat="1" applyFont="1" applyFill="1" applyBorder="1"/>
    <xf numFmtId="0" fontId="184" fillId="0" borderId="0" xfId="93" applyFont="1" applyFill="1"/>
    <xf numFmtId="0" fontId="182" fillId="0" borderId="0" xfId="93" applyFont="1" applyFill="1"/>
    <xf numFmtId="170" fontId="182" fillId="0" borderId="51" xfId="93" applyNumberFormat="1" applyFont="1" applyFill="1" applyBorder="1"/>
    <xf numFmtId="0" fontId="85" fillId="21" borderId="45" xfId="93" applyFont="1" applyFill="1" applyBorder="1" applyAlignment="1">
      <alignment horizontal="right"/>
    </xf>
    <xf numFmtId="40" fontId="88" fillId="21" borderId="45" xfId="93" applyNumberFormat="1" applyFont="1" applyFill="1" applyBorder="1" applyAlignment="1" applyProtection="1">
      <alignment horizontal="left"/>
      <protection locked="0"/>
    </xf>
    <xf numFmtId="168" fontId="34" fillId="0" borderId="46" xfId="109" applyFont="1" applyBorder="1"/>
    <xf numFmtId="4" fontId="153" fillId="0" borderId="54" xfId="93" applyNumberFormat="1" applyFont="1" applyFill="1" applyBorder="1"/>
    <xf numFmtId="0" fontId="84" fillId="16" borderId="0" xfId="93" applyFont="1" applyFill="1" applyProtection="1">
      <protection locked="0"/>
    </xf>
    <xf numFmtId="0" fontId="185" fillId="21" borderId="0" xfId="93" applyNumberFormat="1" applyFont="1" applyFill="1" applyAlignment="1" applyProtection="1">
      <alignment horizontal="left"/>
      <protection locked="0"/>
    </xf>
    <xf numFmtId="0" fontId="185" fillId="16" borderId="0" xfId="93" applyNumberFormat="1" applyFont="1" applyFill="1" applyAlignment="1" applyProtection="1">
      <protection locked="0"/>
    </xf>
    <xf numFmtId="0" fontId="186" fillId="0" borderId="0" xfId="93" applyNumberFormat="1" applyFont="1" applyFill="1" applyAlignment="1" applyProtection="1">
      <protection locked="0"/>
    </xf>
    <xf numFmtId="0" fontId="186" fillId="16" borderId="0" xfId="93" applyNumberFormat="1" applyFont="1" applyFill="1" applyAlignment="1" applyProtection="1">
      <protection locked="0"/>
    </xf>
    <xf numFmtId="0" fontId="186" fillId="16" borderId="0" xfId="93" applyNumberFormat="1" applyFont="1" applyFill="1" applyBorder="1" applyAlignment="1" applyProtection="1">
      <protection locked="0"/>
    </xf>
    <xf numFmtId="0" fontId="186" fillId="0" borderId="0" xfId="93" applyNumberFormat="1" applyFont="1" applyFill="1" applyBorder="1" applyAlignment="1" applyProtection="1">
      <protection locked="0"/>
    </xf>
    <xf numFmtId="0" fontId="89" fillId="16" borderId="0" xfId="93" applyFont="1" applyFill="1" applyProtection="1">
      <protection locked="0"/>
    </xf>
    <xf numFmtId="170" fontId="187" fillId="16" borderId="0" xfId="93" applyNumberFormat="1" applyFont="1" applyFill="1" applyAlignment="1" applyProtection="1">
      <protection locked="0"/>
    </xf>
    <xf numFmtId="0" fontId="102" fillId="0" borderId="0" xfId="93" applyFont="1" applyFill="1" applyAlignment="1" applyProtection="1">
      <alignment horizontal="left"/>
      <protection locked="0"/>
    </xf>
    <xf numFmtId="0" fontId="185" fillId="16" borderId="0" xfId="93" applyFont="1" applyFill="1" applyAlignment="1" applyProtection="1">
      <protection locked="0"/>
    </xf>
    <xf numFmtId="0" fontId="186" fillId="16" borderId="0" xfId="93" applyFont="1" applyFill="1" applyAlignment="1" applyProtection="1">
      <protection locked="0"/>
    </xf>
    <xf numFmtId="170" fontId="186" fillId="16" borderId="0" xfId="93" applyNumberFormat="1" applyFont="1" applyFill="1" applyAlignment="1" applyProtection="1">
      <protection locked="0"/>
    </xf>
    <xf numFmtId="9" fontId="186" fillId="16" borderId="0" xfId="257" applyFont="1" applyFill="1" applyBorder="1" applyAlignment="1" applyProtection="1">
      <protection locked="0"/>
    </xf>
    <xf numFmtId="0" fontId="89" fillId="16" borderId="0" xfId="93" applyFont="1" applyFill="1" applyBorder="1" applyProtection="1">
      <protection locked="0"/>
    </xf>
    <xf numFmtId="0" fontId="188" fillId="0" borderId="0" xfId="93" applyFont="1" applyFill="1" applyBorder="1" applyProtection="1">
      <protection locked="0"/>
    </xf>
    <xf numFmtId="0" fontId="189" fillId="36" borderId="0" xfId="93" applyFont="1" applyFill="1" applyAlignment="1" applyProtection="1">
      <alignment horizontal="left"/>
      <protection locked="0"/>
    </xf>
    <xf numFmtId="0" fontId="185" fillId="37" borderId="0" xfId="93" applyFont="1" applyFill="1" applyAlignment="1" applyProtection="1">
      <protection locked="0"/>
    </xf>
    <xf numFmtId="0" fontId="84" fillId="0" borderId="0" xfId="93" applyFont="1" applyFill="1" applyAlignment="1" applyProtection="1">
      <alignment horizontal="left"/>
      <protection locked="0"/>
    </xf>
    <xf numFmtId="170" fontId="89" fillId="16" borderId="0" xfId="93" applyNumberFormat="1" applyFont="1" applyFill="1" applyProtection="1">
      <protection locked="0"/>
    </xf>
    <xf numFmtId="9" fontId="89" fillId="16" borderId="0" xfId="257" applyFont="1" applyFill="1" applyBorder="1" applyAlignment="1" applyProtection="1">
      <protection locked="0"/>
    </xf>
    <xf numFmtId="0" fontId="186" fillId="0" borderId="0" xfId="93" applyFont="1" applyBorder="1" applyAlignment="1" applyProtection="1">
      <protection locked="0"/>
    </xf>
    <xf numFmtId="0" fontId="186" fillId="16" borderId="0" xfId="93" applyFont="1" applyFill="1" applyBorder="1" applyAlignment="1" applyProtection="1">
      <protection locked="0"/>
    </xf>
    <xf numFmtId="0" fontId="84" fillId="16" borderId="0" xfId="93" applyFont="1" applyFill="1" applyAlignment="1" applyProtection="1">
      <alignment horizontal="center"/>
      <protection locked="0"/>
    </xf>
    <xf numFmtId="0" fontId="188" fillId="0" borderId="0" xfId="93" applyFont="1" applyFill="1" applyBorder="1" applyAlignment="1" applyProtection="1">
      <alignment horizontal="left"/>
      <protection locked="0"/>
    </xf>
    <xf numFmtId="0" fontId="188" fillId="16" borderId="0" xfId="93" applyFont="1" applyFill="1" applyBorder="1" applyAlignment="1" applyProtection="1">
      <alignment horizontal="center"/>
      <protection locked="0"/>
    </xf>
    <xf numFmtId="9" fontId="90" fillId="16" borderId="0" xfId="257" applyFont="1" applyFill="1" applyBorder="1" applyAlignment="1" applyProtection="1">
      <alignment horizontal="center" wrapText="1"/>
      <protection locked="0"/>
    </xf>
    <xf numFmtId="170" fontId="90" fillId="6" borderId="95" xfId="93" applyNumberFormat="1" applyFont="1" applyFill="1" applyBorder="1" applyAlignment="1" applyProtection="1">
      <alignment horizontal="center"/>
      <protection locked="0"/>
    </xf>
    <xf numFmtId="170" fontId="90" fillId="6" borderId="77" xfId="93" applyNumberFormat="1" applyFont="1" applyFill="1" applyBorder="1" applyAlignment="1" applyProtection="1">
      <alignment horizontal="center"/>
      <protection locked="0"/>
    </xf>
    <xf numFmtId="170" fontId="90" fillId="6" borderId="78" xfId="93" applyNumberFormat="1" applyFont="1" applyFill="1" applyBorder="1" applyAlignment="1" applyProtection="1">
      <alignment horizontal="center"/>
      <protection locked="0"/>
    </xf>
    <xf numFmtId="170" fontId="90" fillId="13" borderId="78" xfId="93" applyNumberFormat="1" applyFont="1" applyFill="1" applyBorder="1" applyAlignment="1" applyProtection="1">
      <alignment horizontal="center"/>
      <protection locked="0"/>
    </xf>
    <xf numFmtId="170" fontId="90" fillId="17" borderId="78" xfId="93" applyNumberFormat="1" applyFont="1" applyFill="1" applyBorder="1" applyAlignment="1" applyProtection="1">
      <alignment horizontal="center"/>
      <protection locked="0"/>
    </xf>
    <xf numFmtId="170" fontId="90" fillId="3" borderId="78" xfId="93" applyNumberFormat="1" applyFont="1" applyFill="1" applyBorder="1" applyAlignment="1" applyProtection="1">
      <alignment horizontal="center"/>
      <protection locked="0"/>
    </xf>
    <xf numFmtId="170" fontId="192" fillId="16" borderId="78" xfId="93" applyNumberFormat="1" applyFont="1" applyFill="1" applyBorder="1" applyAlignment="1" applyProtection="1">
      <alignment horizontal="center" vertical="center" wrapText="1"/>
      <protection locked="0"/>
    </xf>
    <xf numFmtId="0" fontId="89" fillId="16" borderId="62" xfId="93" applyFont="1" applyFill="1" applyBorder="1" applyAlignment="1" applyProtection="1">
      <alignment horizontal="center"/>
      <protection locked="0"/>
    </xf>
    <xf numFmtId="170" fontId="90" fillId="16" borderId="80" xfId="93" applyNumberFormat="1" applyFont="1" applyFill="1" applyBorder="1" applyAlignment="1" applyProtection="1">
      <alignment horizontal="center"/>
      <protection locked="0"/>
    </xf>
    <xf numFmtId="170" fontId="90" fillId="23" borderId="78" xfId="93" applyNumberFormat="1" applyFont="1" applyFill="1" applyBorder="1" applyAlignment="1" applyProtection="1">
      <alignment horizontal="center"/>
      <protection locked="0"/>
    </xf>
    <xf numFmtId="170" fontId="90" fillId="16" borderId="78" xfId="93" applyNumberFormat="1" applyFont="1" applyFill="1" applyBorder="1" applyAlignment="1" applyProtection="1">
      <alignment horizontal="center"/>
      <protection locked="0"/>
    </xf>
    <xf numFmtId="170" fontId="90" fillId="16" borderId="78" xfId="93" applyNumberFormat="1" applyFont="1" applyFill="1" applyBorder="1" applyAlignment="1" applyProtection="1">
      <alignment horizontal="center" vertical="center" wrapText="1"/>
      <protection locked="0"/>
    </xf>
    <xf numFmtId="170" fontId="90" fillId="16" borderId="81" xfId="93" applyNumberFormat="1" applyFont="1" applyFill="1" applyBorder="1" applyAlignment="1" applyProtection="1">
      <alignment horizontal="center" vertical="center" wrapText="1"/>
      <protection locked="0"/>
    </xf>
    <xf numFmtId="170" fontId="90" fillId="16" borderId="82" xfId="93" applyNumberFormat="1" applyFont="1" applyFill="1" applyBorder="1" applyAlignment="1" applyProtection="1">
      <alignment horizontal="center" wrapText="1"/>
      <protection locked="0"/>
    </xf>
    <xf numFmtId="170" fontId="90" fillId="16" borderId="81" xfId="93" applyNumberFormat="1" applyFont="1" applyFill="1" applyBorder="1" applyAlignment="1" applyProtection="1">
      <alignment horizontal="center" wrapText="1"/>
      <protection locked="0"/>
    </xf>
    <xf numFmtId="0" fontId="89" fillId="16" borderId="0" xfId="93" applyFont="1" applyFill="1" applyBorder="1" applyAlignment="1" applyProtection="1">
      <alignment horizontal="center"/>
      <protection locked="0"/>
    </xf>
    <xf numFmtId="170" fontId="90" fillId="16" borderId="87" xfId="93" applyNumberFormat="1" applyFont="1" applyFill="1" applyBorder="1" applyAlignment="1" applyProtection="1">
      <alignment horizontal="center"/>
      <protection locked="0"/>
    </xf>
    <xf numFmtId="170" fontId="90" fillId="16" borderId="77" xfId="93" applyNumberFormat="1" applyFont="1" applyFill="1" applyBorder="1" applyAlignment="1" applyProtection="1">
      <alignment horizontal="center"/>
      <protection locked="0"/>
    </xf>
    <xf numFmtId="9" fontId="98" fillId="11" borderId="96" xfId="257" applyFont="1" applyFill="1" applyBorder="1" applyAlignment="1" applyProtection="1">
      <alignment horizontal="center"/>
      <protection locked="0"/>
    </xf>
    <xf numFmtId="9" fontId="98" fillId="11" borderId="90" xfId="257" applyFont="1" applyFill="1" applyBorder="1" applyAlignment="1" applyProtection="1">
      <alignment horizontal="center"/>
      <protection locked="0"/>
    </xf>
    <xf numFmtId="9" fontId="98" fillId="11" borderId="91" xfId="257" applyFont="1" applyFill="1" applyBorder="1" applyAlignment="1" applyProtection="1">
      <alignment horizontal="center"/>
      <protection locked="0"/>
    </xf>
    <xf numFmtId="0" fontId="89" fillId="16" borderId="0" xfId="93" applyFont="1" applyFill="1" applyAlignment="1" applyProtection="1">
      <alignment horizontal="center"/>
      <protection locked="0"/>
    </xf>
    <xf numFmtId="0" fontId="102" fillId="0" borderId="89" xfId="93" applyFont="1" applyFill="1" applyBorder="1" applyAlignment="1" applyProtection="1">
      <alignment horizontal="left" vertical="center"/>
      <protection locked="0"/>
    </xf>
    <xf numFmtId="0" fontId="102" fillId="16" borderId="90" xfId="93" applyFont="1" applyFill="1" applyBorder="1" applyAlignment="1" applyProtection="1">
      <alignment horizontal="center" vertical="center"/>
      <protection locked="0"/>
    </xf>
    <xf numFmtId="166" fontId="78" fillId="28" borderId="90" xfId="94" applyFont="1" applyFill="1" applyBorder="1" applyAlignment="1">
      <alignment horizontal="center" vertical="center" wrapText="1"/>
    </xf>
    <xf numFmtId="9" fontId="90" fillId="16" borderId="75" xfId="257" applyFont="1" applyFill="1" applyBorder="1" applyAlignment="1" applyProtection="1">
      <alignment horizontal="center" vertical="center" wrapText="1"/>
      <protection locked="0"/>
    </xf>
    <xf numFmtId="170" fontId="90" fillId="6" borderId="40" xfId="93" applyNumberFormat="1" applyFont="1" applyFill="1" applyBorder="1" applyAlignment="1" applyProtection="1">
      <alignment horizontal="center"/>
      <protection locked="0"/>
    </xf>
    <xf numFmtId="170" fontId="90" fillId="6" borderId="13" xfId="93" applyNumberFormat="1" applyFont="1" applyFill="1" applyBorder="1" applyAlignment="1" applyProtection="1">
      <alignment horizontal="center"/>
      <protection locked="0"/>
    </xf>
    <xf numFmtId="170" fontId="90" fillId="13" borderId="13" xfId="93" applyNumberFormat="1" applyFont="1" applyFill="1" applyBorder="1" applyAlignment="1" applyProtection="1">
      <alignment horizontal="center"/>
      <protection locked="0"/>
    </xf>
    <xf numFmtId="170" fontId="90" fillId="17" borderId="13" xfId="93" applyNumberFormat="1" applyFont="1" applyFill="1" applyBorder="1" applyAlignment="1" applyProtection="1">
      <alignment horizontal="center"/>
      <protection locked="0"/>
    </xf>
    <xf numFmtId="170" fontId="90" fillId="3" borderId="13" xfId="93" applyNumberFormat="1" applyFont="1" applyFill="1" applyBorder="1" applyAlignment="1" applyProtection="1">
      <alignment horizontal="center"/>
      <protection locked="0"/>
    </xf>
    <xf numFmtId="170" fontId="192" fillId="16" borderId="13" xfId="93" applyNumberFormat="1" applyFont="1" applyFill="1" applyBorder="1" applyAlignment="1" applyProtection="1">
      <alignment horizontal="center" vertical="center" wrapText="1"/>
      <protection locked="0"/>
    </xf>
    <xf numFmtId="170" fontId="90" fillId="16" borderId="12" xfId="93" applyNumberFormat="1" applyFont="1" applyFill="1" applyBorder="1" applyAlignment="1" applyProtection="1">
      <alignment horizontal="center"/>
      <protection locked="0"/>
    </xf>
    <xf numFmtId="170" fontId="90" fillId="23" borderId="13" xfId="93" applyNumberFormat="1" applyFont="1" applyFill="1" applyBorder="1" applyAlignment="1" applyProtection="1">
      <alignment horizontal="center"/>
      <protection locked="0"/>
    </xf>
    <xf numFmtId="170" fontId="90" fillId="16" borderId="13" xfId="93" applyNumberFormat="1" applyFont="1" applyFill="1" applyBorder="1" applyAlignment="1" applyProtection="1">
      <alignment horizontal="center"/>
      <protection locked="0"/>
    </xf>
    <xf numFmtId="170" fontId="90" fillId="16" borderId="4" xfId="93" applyNumberFormat="1" applyFont="1" applyFill="1" applyBorder="1" applyAlignment="1" applyProtection="1">
      <alignment horizontal="center"/>
      <protection locked="0"/>
    </xf>
    <xf numFmtId="170" fontId="90" fillId="16" borderId="14" xfId="93" applyNumberFormat="1" applyFont="1" applyFill="1" applyBorder="1" applyAlignment="1" applyProtection="1">
      <alignment horizontal="center" vertical="center" wrapText="1"/>
      <protection locked="0"/>
    </xf>
    <xf numFmtId="170" fontId="90" fillId="16" borderId="4" xfId="93" applyNumberFormat="1" applyFont="1" applyFill="1" applyBorder="1" applyAlignment="1" applyProtection="1">
      <alignment horizontal="center" vertical="center" wrapText="1"/>
      <protection locked="0"/>
    </xf>
    <xf numFmtId="0" fontId="90" fillId="16" borderId="88" xfId="93" applyFont="1" applyFill="1" applyBorder="1" applyAlignment="1" applyProtection="1">
      <alignment horizontal="center"/>
      <protection locked="0"/>
    </xf>
    <xf numFmtId="170" fontId="90" fillId="16" borderId="40" xfId="93" applyNumberFormat="1" applyFont="1" applyFill="1" applyBorder="1" applyAlignment="1" applyProtection="1">
      <alignment horizontal="center"/>
      <protection locked="0"/>
    </xf>
    <xf numFmtId="0" fontId="84" fillId="9" borderId="89" xfId="93" applyFont="1" applyFill="1" applyBorder="1" applyProtection="1">
      <protection locked="0"/>
    </xf>
    <xf numFmtId="0" fontId="89" fillId="9" borderId="90" xfId="93" applyFont="1" applyFill="1" applyBorder="1" applyProtection="1">
      <protection locked="0"/>
    </xf>
    <xf numFmtId="0" fontId="188" fillId="9" borderId="90" xfId="93" applyFont="1" applyFill="1" applyBorder="1" applyAlignment="1" applyProtection="1">
      <alignment horizontal="center" vertical="center"/>
      <protection locked="0"/>
    </xf>
    <xf numFmtId="0" fontId="188" fillId="9" borderId="90" xfId="93" applyFont="1" applyFill="1" applyBorder="1" applyAlignment="1" applyProtection="1">
      <alignment vertical="center"/>
      <protection locked="0"/>
    </xf>
    <xf numFmtId="0" fontId="188" fillId="9" borderId="90" xfId="93" applyFont="1" applyFill="1" applyBorder="1" applyAlignment="1" applyProtection="1">
      <alignment horizontal="center" vertical="center" wrapText="1"/>
      <protection locked="0"/>
    </xf>
    <xf numFmtId="0" fontId="188" fillId="9" borderId="91" xfId="93" applyFont="1" applyFill="1" applyBorder="1" applyAlignment="1" applyProtection="1">
      <alignment horizontal="center" wrapText="1"/>
      <protection locked="0"/>
    </xf>
    <xf numFmtId="0" fontId="188" fillId="7" borderId="89" xfId="93" applyFont="1" applyFill="1" applyBorder="1" applyAlignment="1" applyProtection="1">
      <alignment horizontal="center"/>
      <protection locked="0"/>
    </xf>
    <xf numFmtId="0" fontId="188" fillId="7" borderId="90" xfId="93" applyFont="1" applyFill="1" applyBorder="1" applyAlignment="1" applyProtection="1">
      <alignment horizontal="center"/>
      <protection locked="0"/>
    </xf>
    <xf numFmtId="0" fontId="188" fillId="7" borderId="90" xfId="93" applyFont="1" applyFill="1" applyBorder="1" applyAlignment="1" applyProtection="1">
      <alignment horizontal="center" wrapText="1"/>
      <protection locked="0"/>
    </xf>
    <xf numFmtId="9" fontId="98" fillId="11" borderId="92" xfId="257" applyFont="1" applyFill="1" applyBorder="1" applyAlignment="1" applyProtection="1">
      <alignment horizontal="center" vertical="center"/>
      <protection locked="0"/>
    </xf>
    <xf numFmtId="9" fontId="98" fillId="11" borderId="93" xfId="257" applyFont="1" applyFill="1" applyBorder="1" applyAlignment="1" applyProtection="1">
      <alignment horizontal="center" vertical="center" wrapText="1"/>
      <protection locked="0"/>
    </xf>
    <xf numFmtId="9" fontId="98" fillId="11" borderId="94" xfId="257" applyFont="1" applyFill="1" applyBorder="1" applyAlignment="1" applyProtection="1">
      <alignment horizontal="center" vertical="center" wrapText="1"/>
      <protection locked="0"/>
    </xf>
    <xf numFmtId="0" fontId="84" fillId="0" borderId="0" xfId="93" applyFont="1" applyFill="1" applyBorder="1" applyProtection="1">
      <protection locked="0"/>
    </xf>
    <xf numFmtId="0" fontId="185" fillId="0" borderId="0" xfId="93" applyFont="1" applyFill="1" applyBorder="1" applyAlignment="1" applyProtection="1">
      <alignment horizontal="left"/>
      <protection locked="0"/>
    </xf>
    <xf numFmtId="0" fontId="188" fillId="0" borderId="0" xfId="93" applyFont="1" applyFill="1" applyBorder="1" applyAlignment="1" applyProtection="1">
      <alignment horizontal="center"/>
      <protection locked="0"/>
    </xf>
    <xf numFmtId="0" fontId="85" fillId="0" borderId="0" xfId="93" applyFont="1" applyFill="1" applyBorder="1" applyAlignment="1" applyProtection="1">
      <alignment horizontal="center"/>
      <protection locked="0"/>
    </xf>
    <xf numFmtId="170" fontId="85" fillId="0" borderId="0" xfId="93" applyNumberFormat="1" applyFont="1" applyFill="1" applyBorder="1" applyAlignment="1" applyProtection="1">
      <alignment horizontal="center"/>
      <protection locked="0"/>
    </xf>
    <xf numFmtId="170" fontId="85" fillId="0" borderId="0" xfId="93" applyNumberFormat="1" applyFont="1" applyFill="1" applyBorder="1" applyAlignment="1" applyProtection="1">
      <alignment horizontal="center" vertical="center" wrapText="1"/>
      <protection locked="0"/>
    </xf>
    <xf numFmtId="9" fontId="85" fillId="0" borderId="0" xfId="257" applyFont="1" applyFill="1" applyBorder="1" applyAlignment="1" applyProtection="1">
      <alignment horizontal="center" vertical="center" wrapText="1"/>
      <protection locked="0"/>
    </xf>
    <xf numFmtId="9" fontId="90" fillId="0" borderId="0" xfId="257" applyFont="1" applyFill="1" applyBorder="1" applyAlignment="1" applyProtection="1">
      <alignment horizontal="center" vertical="center" wrapText="1"/>
      <protection locked="0"/>
    </xf>
    <xf numFmtId="170" fontId="90" fillId="0" borderId="0" xfId="93" applyNumberFormat="1" applyFont="1" applyFill="1" applyBorder="1" applyAlignment="1" applyProtection="1">
      <alignment horizontal="center"/>
      <protection locked="0"/>
    </xf>
    <xf numFmtId="170" fontId="90" fillId="0" borderId="0" xfId="93" applyNumberFormat="1" applyFont="1" applyFill="1" applyBorder="1" applyAlignment="1" applyProtection="1">
      <alignment horizontal="center" vertical="center"/>
      <protection locked="0"/>
    </xf>
    <xf numFmtId="170" fontId="90" fillId="0" borderId="0" xfId="93" applyNumberFormat="1" applyFont="1" applyFill="1" applyBorder="1" applyAlignment="1" applyProtection="1">
      <alignment horizontal="center" vertical="center" wrapText="1"/>
      <protection locked="0"/>
    </xf>
    <xf numFmtId="0" fontId="89" fillId="0" borderId="0" xfId="93" applyFont="1" applyFill="1" applyBorder="1" applyProtection="1">
      <protection locked="0"/>
    </xf>
    <xf numFmtId="0" fontId="90" fillId="0" borderId="0" xfId="93" applyFont="1" applyFill="1" applyBorder="1" applyAlignment="1" applyProtection="1">
      <alignment horizontal="center"/>
      <protection locked="0"/>
    </xf>
    <xf numFmtId="0" fontId="159" fillId="0" borderId="0" xfId="93" applyFont="1" applyFill="1" applyBorder="1" applyAlignment="1" applyProtection="1">
      <alignment horizontal="left"/>
      <protection locked="0"/>
    </xf>
    <xf numFmtId="170" fontId="89" fillId="0" borderId="0" xfId="93" applyNumberFormat="1" applyFont="1" applyFill="1" applyBorder="1" applyProtection="1">
      <protection locked="0"/>
    </xf>
    <xf numFmtId="0" fontId="84" fillId="21" borderId="0" xfId="93" applyFont="1" applyFill="1" applyBorder="1" applyProtection="1">
      <protection locked="0"/>
    </xf>
    <xf numFmtId="40" fontId="89" fillId="21" borderId="85" xfId="93" quotePrefix="1" applyNumberFormat="1" applyFont="1" applyFill="1" applyBorder="1" applyProtection="1">
      <protection locked="0"/>
    </xf>
    <xf numFmtId="40" fontId="89" fillId="21" borderId="33" xfId="93" applyNumberFormat="1" applyFont="1" applyFill="1" applyBorder="1" applyProtection="1">
      <protection locked="0"/>
    </xf>
    <xf numFmtId="40" fontId="89" fillId="21" borderId="30" xfId="93" applyNumberFormat="1" applyFont="1" applyFill="1" applyBorder="1" applyProtection="1">
      <protection locked="0"/>
    </xf>
    <xf numFmtId="40" fontId="89" fillId="21" borderId="31" xfId="93" applyNumberFormat="1" applyFont="1" applyFill="1" applyBorder="1" applyProtection="1">
      <protection locked="0"/>
    </xf>
    <xf numFmtId="40" fontId="89" fillId="21" borderId="32" xfId="93" applyNumberFormat="1" applyFont="1" applyFill="1" applyBorder="1" applyProtection="1">
      <protection locked="0"/>
    </xf>
    <xf numFmtId="40" fontId="89" fillId="21" borderId="29" xfId="93" applyNumberFormat="1" applyFont="1" applyFill="1" applyBorder="1" applyProtection="1">
      <protection locked="0"/>
    </xf>
    <xf numFmtId="0" fontId="188" fillId="21" borderId="85" xfId="93" applyFont="1" applyFill="1" applyBorder="1" applyProtection="1">
      <protection locked="0"/>
    </xf>
    <xf numFmtId="40" fontId="188" fillId="21" borderId="85" xfId="93" applyNumberFormat="1" applyFont="1" applyFill="1" applyBorder="1" applyProtection="1">
      <protection locked="0"/>
    </xf>
    <xf numFmtId="40" fontId="90" fillId="21" borderId="30" xfId="93" applyNumberFormat="1" applyFont="1" applyFill="1" applyBorder="1" applyProtection="1">
      <protection locked="0"/>
    </xf>
    <xf numFmtId="40" fontId="90" fillId="21" borderId="31" xfId="93" applyNumberFormat="1" applyFont="1" applyFill="1" applyBorder="1" applyProtection="1">
      <protection locked="0"/>
    </xf>
    <xf numFmtId="40" fontId="90" fillId="21" borderId="33" xfId="93" applyNumberFormat="1" applyFont="1" applyFill="1" applyBorder="1" applyProtection="1">
      <protection locked="0"/>
    </xf>
    <xf numFmtId="40" fontId="90" fillId="21" borderId="32" xfId="93" applyNumberFormat="1" applyFont="1" applyFill="1" applyBorder="1" applyProtection="1">
      <protection locked="0"/>
    </xf>
    <xf numFmtId="170" fontId="89" fillId="0" borderId="85" xfId="94" applyNumberFormat="1" applyFont="1" applyFill="1" applyBorder="1" applyAlignment="1" applyProtection="1">
      <protection locked="0"/>
    </xf>
    <xf numFmtId="9" fontId="89" fillId="0" borderId="85" xfId="93" applyNumberFormat="1" applyFont="1" applyFill="1" applyBorder="1" applyProtection="1">
      <protection locked="0"/>
    </xf>
    <xf numFmtId="170" fontId="89" fillId="0" borderId="0" xfId="93" applyNumberFormat="1" applyFont="1" applyFill="1" applyProtection="1">
      <protection locked="0"/>
    </xf>
    <xf numFmtId="1" fontId="89" fillId="0" borderId="85" xfId="93" applyNumberFormat="1" applyFont="1" applyFill="1" applyBorder="1" applyProtection="1">
      <protection locked="0"/>
    </xf>
    <xf numFmtId="40" fontId="89" fillId="0" borderId="26" xfId="93" applyNumberFormat="1" applyFont="1" applyFill="1" applyBorder="1" applyProtection="1">
      <protection locked="0"/>
    </xf>
    <xf numFmtId="40" fontId="89" fillId="0" borderId="23" xfId="93" applyNumberFormat="1" applyFont="1" applyFill="1" applyBorder="1" applyProtection="1">
      <protection locked="0"/>
    </xf>
    <xf numFmtId="40" fontId="89" fillId="0" borderId="22" xfId="93" applyNumberFormat="1" applyFont="1" applyFill="1" applyBorder="1" applyProtection="1">
      <protection locked="0"/>
    </xf>
    <xf numFmtId="40" fontId="89" fillId="0" borderId="25" xfId="93" applyNumberFormat="1" applyFont="1" applyFill="1" applyBorder="1" applyProtection="1">
      <protection locked="0"/>
    </xf>
    <xf numFmtId="40" fontId="89" fillId="0" borderId="24" xfId="93" applyNumberFormat="1" applyFont="1" applyFill="1" applyBorder="1" applyProtection="1">
      <protection locked="0"/>
    </xf>
    <xf numFmtId="0" fontId="188" fillId="0" borderId="85" xfId="93" applyFont="1" applyFill="1" applyBorder="1" applyProtection="1">
      <protection locked="0"/>
    </xf>
    <xf numFmtId="0" fontId="89" fillId="0" borderId="0" xfId="93" applyFont="1" applyFill="1" applyProtection="1">
      <protection locked="0"/>
    </xf>
    <xf numFmtId="0" fontId="84" fillId="0" borderId="0" xfId="93" applyFont="1" applyFill="1" applyBorder="1" applyAlignment="1" applyProtection="1">
      <alignment horizontal="left"/>
      <protection locked="0"/>
    </xf>
    <xf numFmtId="40" fontId="188" fillId="21" borderId="34" xfId="93" applyNumberFormat="1" applyFont="1" applyFill="1" applyBorder="1" applyProtection="1">
      <protection locked="0"/>
    </xf>
    <xf numFmtId="40" fontId="89" fillId="0" borderId="0" xfId="93" applyNumberFormat="1" applyFont="1" applyFill="1" applyBorder="1" applyProtection="1">
      <protection locked="0"/>
    </xf>
    <xf numFmtId="9" fontId="89" fillId="0" borderId="0" xfId="93" applyNumberFormat="1" applyFont="1" applyFill="1" applyBorder="1" applyProtection="1">
      <protection locked="0"/>
    </xf>
    <xf numFmtId="40" fontId="188" fillId="0" borderId="34" xfId="93" applyNumberFormat="1" applyFont="1" applyFill="1" applyBorder="1" applyProtection="1">
      <protection locked="0"/>
    </xf>
    <xf numFmtId="40" fontId="188" fillId="0" borderId="28" xfId="93" applyNumberFormat="1" applyFont="1" applyFill="1" applyBorder="1" applyProtection="1">
      <protection locked="0"/>
    </xf>
    <xf numFmtId="9" fontId="78" fillId="0" borderId="0" xfId="257" applyFont="1"/>
    <xf numFmtId="40" fontId="84" fillId="0" borderId="0" xfId="93" applyNumberFormat="1" applyFont="1" applyFill="1" applyBorder="1" applyProtection="1">
      <protection locked="0"/>
    </xf>
    <xf numFmtId="40" fontId="89" fillId="21" borderId="0" xfId="93" applyNumberFormat="1" applyFont="1" applyFill="1" applyBorder="1" applyProtection="1">
      <protection locked="0"/>
    </xf>
    <xf numFmtId="170" fontId="89" fillId="0" borderId="0" xfId="94" applyNumberFormat="1" applyFont="1" applyFill="1" applyBorder="1" applyAlignment="1" applyProtection="1">
      <protection locked="0"/>
    </xf>
    <xf numFmtId="2" fontId="89" fillId="0" borderId="0" xfId="93" applyNumberFormat="1" applyFont="1" applyFill="1" applyBorder="1" applyProtection="1">
      <protection locked="0"/>
    </xf>
    <xf numFmtId="1" fontId="89" fillId="0" borderId="0" xfId="93" applyNumberFormat="1" applyFont="1" applyFill="1" applyBorder="1" applyProtection="1">
      <protection locked="0"/>
    </xf>
    <xf numFmtId="0" fontId="85" fillId="0" borderId="0" xfId="93" applyFont="1" applyFill="1" applyProtection="1">
      <protection locked="0"/>
    </xf>
    <xf numFmtId="40" fontId="89" fillId="0" borderId="33" xfId="93" applyNumberFormat="1" applyFont="1" applyFill="1" applyBorder="1" applyProtection="1">
      <protection locked="0"/>
    </xf>
    <xf numFmtId="40" fontId="89" fillId="0" borderId="30" xfId="93" applyNumberFormat="1" applyFont="1" applyFill="1" applyBorder="1" applyProtection="1">
      <protection locked="0"/>
    </xf>
    <xf numFmtId="40" fontId="89" fillId="0" borderId="31" xfId="93" applyNumberFormat="1" applyFont="1" applyFill="1" applyBorder="1" applyProtection="1">
      <protection locked="0"/>
    </xf>
    <xf numFmtId="40" fontId="89" fillId="0" borderId="32" xfId="93" applyNumberFormat="1" applyFont="1" applyFill="1" applyBorder="1" applyProtection="1">
      <protection locked="0"/>
    </xf>
    <xf numFmtId="40" fontId="89" fillId="0" borderId="29" xfId="93" applyNumberFormat="1" applyFont="1" applyFill="1" applyBorder="1" applyProtection="1">
      <protection locked="0"/>
    </xf>
    <xf numFmtId="170" fontId="188" fillId="0" borderId="0" xfId="93" applyNumberFormat="1" applyFont="1" applyFill="1" applyProtection="1">
      <protection locked="0"/>
    </xf>
    <xf numFmtId="40" fontId="84" fillId="0" borderId="85" xfId="93" applyNumberFormat="1" applyFont="1" applyFill="1" applyBorder="1" applyProtection="1">
      <protection locked="0"/>
    </xf>
    <xf numFmtId="170" fontId="90" fillId="0" borderId="85" xfId="94" applyNumberFormat="1" applyFont="1" applyFill="1" applyBorder="1" applyAlignment="1" applyProtection="1">
      <protection locked="0"/>
    </xf>
    <xf numFmtId="9" fontId="90" fillId="0" borderId="85" xfId="93" applyNumberFormat="1" applyFont="1" applyFill="1" applyBorder="1" applyProtection="1">
      <protection locked="0"/>
    </xf>
    <xf numFmtId="0" fontId="90" fillId="0" borderId="0" xfId="93" applyFont="1" applyFill="1" applyProtection="1">
      <protection locked="0"/>
    </xf>
    <xf numFmtId="2" fontId="90" fillId="0" borderId="85" xfId="93" applyNumberFormat="1" applyFont="1" applyFill="1" applyBorder="1" applyProtection="1">
      <protection locked="0"/>
    </xf>
    <xf numFmtId="40" fontId="90" fillId="0" borderId="85" xfId="93" applyNumberFormat="1" applyFont="1" applyFill="1" applyBorder="1" applyProtection="1">
      <protection locked="0"/>
    </xf>
    <xf numFmtId="1" fontId="90" fillId="0" borderId="85" xfId="93" applyNumberFormat="1" applyFont="1" applyFill="1" applyBorder="1" applyProtection="1">
      <protection locked="0"/>
    </xf>
    <xf numFmtId="0" fontId="194" fillId="0" borderId="85" xfId="93" applyFont="1" applyFill="1" applyBorder="1" applyProtection="1">
      <protection locked="0"/>
    </xf>
    <xf numFmtId="40" fontId="90" fillId="0" borderId="26" xfId="93" applyNumberFormat="1" applyFont="1" applyFill="1" applyBorder="1" applyProtection="1">
      <protection locked="0"/>
    </xf>
    <xf numFmtId="40" fontId="90" fillId="0" borderId="23" xfId="93" applyNumberFormat="1" applyFont="1" applyFill="1" applyBorder="1" applyProtection="1">
      <protection locked="0"/>
    </xf>
    <xf numFmtId="40" fontId="90" fillId="0" borderId="22" xfId="93" applyNumberFormat="1" applyFont="1" applyFill="1" applyBorder="1" applyProtection="1">
      <protection locked="0"/>
    </xf>
    <xf numFmtId="40" fontId="90" fillId="0" borderId="25" xfId="93" applyNumberFormat="1" applyFont="1" applyFill="1" applyBorder="1" applyProtection="1">
      <protection locked="0"/>
    </xf>
    <xf numFmtId="40" fontId="90" fillId="0" borderId="24" xfId="93" applyNumberFormat="1" applyFont="1" applyFill="1" applyBorder="1" applyProtection="1">
      <protection locked="0"/>
    </xf>
    <xf numFmtId="0" fontId="90" fillId="0" borderId="0" xfId="93" applyFont="1" applyFill="1" applyBorder="1" applyProtection="1">
      <protection locked="0"/>
    </xf>
    <xf numFmtId="0" fontId="90" fillId="0" borderId="85" xfId="93" applyFont="1" applyFill="1" applyBorder="1" applyProtection="1">
      <protection locked="0"/>
    </xf>
    <xf numFmtId="9" fontId="91" fillId="0" borderId="85" xfId="257" applyFont="1" applyBorder="1"/>
    <xf numFmtId="170" fontId="188" fillId="21" borderId="0" xfId="93" applyNumberFormat="1" applyFont="1" applyFill="1" applyProtection="1">
      <protection locked="0"/>
    </xf>
    <xf numFmtId="0" fontId="195" fillId="21" borderId="85" xfId="93" applyFont="1" applyFill="1" applyBorder="1" applyProtection="1">
      <protection locked="0"/>
    </xf>
    <xf numFmtId="9" fontId="89" fillId="25" borderId="85" xfId="93" applyNumberFormat="1" applyFont="1" applyFill="1" applyBorder="1" applyProtection="1">
      <protection locked="0"/>
    </xf>
    <xf numFmtId="170" fontId="89" fillId="21" borderId="0" xfId="93" applyNumberFormat="1" applyFont="1" applyFill="1" applyBorder="1" applyProtection="1">
      <protection locked="0"/>
    </xf>
    <xf numFmtId="1" fontId="89" fillId="25" borderId="85" xfId="93" applyNumberFormat="1" applyFont="1" applyFill="1" applyBorder="1" applyProtection="1">
      <protection locked="0"/>
    </xf>
    <xf numFmtId="40" fontId="89" fillId="25" borderId="85" xfId="93" applyNumberFormat="1" applyFont="1" applyFill="1" applyBorder="1" applyProtection="1">
      <protection locked="0"/>
    </xf>
    <xf numFmtId="40" fontId="89" fillId="25" borderId="26" xfId="93" applyNumberFormat="1" applyFont="1" applyFill="1" applyBorder="1" applyProtection="1">
      <protection locked="0"/>
    </xf>
    <xf numFmtId="40" fontId="89" fillId="25" borderId="23" xfId="93" applyNumberFormat="1" applyFont="1" applyFill="1" applyBorder="1" applyProtection="1">
      <protection locked="0"/>
    </xf>
    <xf numFmtId="40" fontId="89" fillId="25" borderId="22" xfId="93" applyNumberFormat="1" applyFont="1" applyFill="1" applyBorder="1" applyProtection="1">
      <protection locked="0"/>
    </xf>
    <xf numFmtId="40" fontId="89" fillId="25" borderId="25" xfId="93" applyNumberFormat="1" applyFont="1" applyFill="1" applyBorder="1" applyProtection="1">
      <protection locked="0"/>
    </xf>
    <xf numFmtId="40" fontId="89" fillId="25" borderId="24" xfId="93" applyNumberFormat="1" applyFont="1" applyFill="1" applyBorder="1" applyProtection="1">
      <protection locked="0"/>
    </xf>
    <xf numFmtId="170" fontId="84" fillId="0" borderId="0" xfId="93" applyNumberFormat="1" applyFont="1" applyFill="1" applyProtection="1">
      <protection locked="0"/>
    </xf>
    <xf numFmtId="0" fontId="195" fillId="0" borderId="85" xfId="93" applyFont="1" applyFill="1" applyBorder="1" applyProtection="1">
      <protection locked="0"/>
    </xf>
    <xf numFmtId="0" fontId="84" fillId="0" borderId="0" xfId="93" applyFont="1" applyFill="1" applyProtection="1">
      <protection locked="0"/>
    </xf>
    <xf numFmtId="40" fontId="188" fillId="0" borderId="0" xfId="93" applyNumberFormat="1" applyFont="1" applyFill="1" applyBorder="1" applyProtection="1">
      <protection locked="0"/>
    </xf>
    <xf numFmtId="0" fontId="89" fillId="0" borderId="40" xfId="93" applyFont="1" applyFill="1" applyBorder="1" applyProtection="1">
      <protection locked="0"/>
    </xf>
    <xf numFmtId="0" fontId="188" fillId="22" borderId="85" xfId="93" applyFont="1" applyFill="1" applyBorder="1" applyProtection="1">
      <protection locked="0"/>
    </xf>
    <xf numFmtId="9" fontId="89" fillId="0" borderId="85" xfId="257" applyFont="1" applyFill="1" applyBorder="1" applyAlignment="1" applyProtection="1">
      <protection locked="0"/>
    </xf>
    <xf numFmtId="40" fontId="89" fillId="0" borderId="27" xfId="93" applyNumberFormat="1" applyFont="1" applyFill="1" applyBorder="1" applyProtection="1">
      <protection locked="0"/>
    </xf>
    <xf numFmtId="40" fontId="89" fillId="0" borderId="3" xfId="93" applyNumberFormat="1" applyFont="1" applyFill="1" applyBorder="1" applyProtection="1">
      <protection locked="0"/>
    </xf>
    <xf numFmtId="40" fontId="89" fillId="0" borderId="15" xfId="93" applyNumberFormat="1" applyFont="1" applyFill="1" applyBorder="1" applyProtection="1">
      <protection locked="0"/>
    </xf>
    <xf numFmtId="9" fontId="89" fillId="21" borderId="85" xfId="257" applyFont="1" applyFill="1" applyBorder="1" applyAlignment="1" applyProtection="1">
      <protection locked="0"/>
    </xf>
    <xf numFmtId="2" fontId="188" fillId="0" borderId="85" xfId="93" applyNumberFormat="1" applyFont="1" applyFill="1" applyBorder="1" applyProtection="1">
      <protection locked="0"/>
    </xf>
    <xf numFmtId="0" fontId="188" fillId="0" borderId="0" xfId="93" applyFont="1" applyFill="1" applyProtection="1">
      <protection locked="0"/>
    </xf>
    <xf numFmtId="0" fontId="188" fillId="21" borderId="0" xfId="93" applyFont="1" applyFill="1" applyProtection="1">
      <protection locked="0"/>
    </xf>
    <xf numFmtId="170" fontId="84" fillId="0" borderId="85" xfId="94" applyNumberFormat="1" applyFont="1" applyFill="1" applyBorder="1" applyAlignment="1" applyProtection="1">
      <protection locked="0"/>
    </xf>
    <xf numFmtId="9" fontId="84" fillId="0" borderId="85" xfId="93" applyNumberFormat="1" applyFont="1" applyFill="1" applyBorder="1" applyProtection="1">
      <protection locked="0"/>
    </xf>
    <xf numFmtId="40" fontId="90" fillId="0" borderId="0" xfId="93" applyNumberFormat="1" applyFont="1" applyFill="1" applyBorder="1" applyProtection="1">
      <protection locked="0"/>
    </xf>
    <xf numFmtId="40" fontId="84" fillId="0" borderId="34" xfId="93" applyNumberFormat="1" applyFont="1" applyFill="1" applyBorder="1" applyProtection="1">
      <protection locked="0"/>
    </xf>
    <xf numFmtId="40" fontId="90" fillId="0" borderId="28" xfId="93" applyNumberFormat="1" applyFont="1" applyFill="1" applyBorder="1" applyProtection="1">
      <protection locked="0"/>
    </xf>
    <xf numFmtId="40" fontId="90" fillId="0" borderId="34" xfId="93" applyNumberFormat="1" applyFont="1" applyFill="1" applyBorder="1" applyProtection="1">
      <protection locked="0"/>
    </xf>
    <xf numFmtId="40" fontId="90" fillId="21" borderId="0" xfId="93" applyNumberFormat="1" applyFont="1" applyFill="1" applyBorder="1" applyProtection="1">
      <protection locked="0"/>
    </xf>
    <xf numFmtId="2" fontId="90" fillId="0" borderId="0" xfId="93" applyNumberFormat="1" applyFont="1" applyFill="1" applyBorder="1" applyProtection="1">
      <protection locked="0"/>
    </xf>
    <xf numFmtId="1" fontId="90" fillId="0" borderId="0" xfId="93" applyNumberFormat="1" applyFont="1" applyFill="1" applyBorder="1" applyProtection="1">
      <protection locked="0"/>
    </xf>
    <xf numFmtId="170" fontId="84" fillId="0" borderId="0" xfId="94" applyNumberFormat="1" applyFont="1" applyFill="1" applyBorder="1" applyAlignment="1" applyProtection="1">
      <protection locked="0"/>
    </xf>
    <xf numFmtId="170" fontId="90" fillId="21" borderId="0" xfId="94" applyNumberFormat="1" applyFont="1" applyFill="1" applyBorder="1" applyAlignment="1" applyProtection="1">
      <protection locked="0"/>
    </xf>
    <xf numFmtId="170" fontId="90" fillId="0" borderId="0" xfId="94" applyNumberFormat="1" applyFont="1" applyFill="1" applyBorder="1" applyAlignment="1" applyProtection="1">
      <protection locked="0"/>
    </xf>
    <xf numFmtId="9" fontId="90" fillId="0" borderId="0" xfId="257" applyFont="1" applyFill="1" applyBorder="1" applyAlignment="1" applyProtection="1">
      <protection locked="0"/>
    </xf>
    <xf numFmtId="2" fontId="90" fillId="0" borderId="0" xfId="94" applyNumberFormat="1" applyFont="1" applyFill="1" applyBorder="1" applyAlignment="1" applyProtection="1">
      <protection locked="0"/>
    </xf>
    <xf numFmtId="1" fontId="90" fillId="0" borderId="0" xfId="94" applyNumberFormat="1" applyFont="1" applyFill="1" applyBorder="1" applyAlignment="1" applyProtection="1">
      <protection locked="0"/>
    </xf>
    <xf numFmtId="169" fontId="89" fillId="0" borderId="0" xfId="94" applyNumberFormat="1" applyFont="1" applyFill="1" applyBorder="1" applyAlignment="1" applyProtection="1">
      <protection locked="0"/>
    </xf>
    <xf numFmtId="170" fontId="188" fillId="21" borderId="34" xfId="94" applyNumberFormat="1" applyFont="1" applyFill="1" applyBorder="1" applyAlignment="1" applyProtection="1">
      <protection locked="0"/>
    </xf>
    <xf numFmtId="170" fontId="188" fillId="0" borderId="34" xfId="94" applyNumberFormat="1" applyFont="1" applyFill="1" applyBorder="1" applyAlignment="1" applyProtection="1">
      <protection locked="0"/>
    </xf>
    <xf numFmtId="169" fontId="188" fillId="0" borderId="0" xfId="94" applyNumberFormat="1" applyFont="1" applyFill="1" applyBorder="1" applyAlignment="1" applyProtection="1">
      <protection locked="0"/>
    </xf>
    <xf numFmtId="170" fontId="90" fillId="0" borderId="28" xfId="94" applyNumberFormat="1" applyFont="1" applyFill="1" applyBorder="1" applyAlignment="1" applyProtection="1">
      <protection locked="0"/>
    </xf>
    <xf numFmtId="170" fontId="90" fillId="0" borderId="34" xfId="94" applyNumberFormat="1" applyFont="1" applyFill="1" applyBorder="1" applyAlignment="1" applyProtection="1">
      <protection locked="0"/>
    </xf>
    <xf numFmtId="170" fontId="90" fillId="0" borderId="0" xfId="93" applyNumberFormat="1" applyFont="1" applyFill="1" applyBorder="1" applyProtection="1">
      <protection locked="0"/>
    </xf>
    <xf numFmtId="10" fontId="89" fillId="0" borderId="0" xfId="94" applyNumberFormat="1" applyFont="1" applyFill="1" applyBorder="1" applyAlignment="1" applyProtection="1">
      <protection locked="0"/>
    </xf>
    <xf numFmtId="0" fontId="188" fillId="42" borderId="85" xfId="93" applyFont="1" applyFill="1" applyBorder="1" applyProtection="1">
      <protection locked="0"/>
    </xf>
    <xf numFmtId="170" fontId="84" fillId="21" borderId="85" xfId="94" applyNumberFormat="1" applyFont="1" applyFill="1" applyBorder="1" applyAlignment="1" applyProtection="1">
      <protection locked="0"/>
    </xf>
    <xf numFmtId="9" fontId="84" fillId="21" borderId="85" xfId="94" applyNumberFormat="1" applyFont="1" applyFill="1" applyBorder="1" applyAlignment="1" applyProtection="1">
      <protection locked="0"/>
    </xf>
    <xf numFmtId="1" fontId="84" fillId="21" borderId="85" xfId="93" applyNumberFormat="1" applyFont="1" applyFill="1" applyBorder="1" applyProtection="1">
      <protection locked="0"/>
    </xf>
    <xf numFmtId="170" fontId="90" fillId="21" borderId="34" xfId="94" applyNumberFormat="1" applyFont="1" applyFill="1" applyBorder="1" applyAlignment="1" applyProtection="1">
      <protection locked="0"/>
    </xf>
    <xf numFmtId="170" fontId="188" fillId="0" borderId="103" xfId="94" applyNumberFormat="1" applyFont="1" applyFill="1" applyBorder="1" applyAlignment="1" applyProtection="1">
      <protection locked="0"/>
    </xf>
    <xf numFmtId="170" fontId="188" fillId="0" borderId="0" xfId="94" applyNumberFormat="1" applyFont="1" applyFill="1" applyBorder="1" applyAlignment="1" applyProtection="1">
      <protection locked="0"/>
    </xf>
    <xf numFmtId="2" fontId="84" fillId="0" borderId="0" xfId="94" applyNumberFormat="1" applyFont="1" applyFill="1" applyBorder="1" applyAlignment="1" applyProtection="1">
      <protection locked="0"/>
    </xf>
    <xf numFmtId="169" fontId="90" fillId="0" borderId="0" xfId="94" applyNumberFormat="1" applyFont="1" applyFill="1" applyBorder="1" applyAlignment="1" applyProtection="1">
      <protection locked="0"/>
    </xf>
    <xf numFmtId="0" fontId="90" fillId="21" borderId="0" xfId="93" applyFont="1" applyFill="1" applyBorder="1" applyProtection="1">
      <protection locked="0"/>
    </xf>
    <xf numFmtId="2" fontId="89" fillId="0" borderId="85" xfId="94" applyNumberFormat="1" applyFont="1" applyFill="1" applyBorder="1" applyAlignment="1" applyProtection="1">
      <protection locked="0"/>
    </xf>
    <xf numFmtId="169" fontId="90" fillId="0" borderId="85" xfId="94" applyNumberFormat="1" applyFont="1" applyFill="1" applyBorder="1" applyAlignment="1" applyProtection="1">
      <protection locked="0"/>
    </xf>
    <xf numFmtId="9" fontId="84" fillId="0" borderId="85" xfId="257" applyFont="1" applyFill="1" applyBorder="1" applyAlignment="1" applyProtection="1">
      <protection locked="0"/>
    </xf>
    <xf numFmtId="2" fontId="90" fillId="0" borderId="85" xfId="94" applyNumberFormat="1" applyFont="1" applyFill="1" applyBorder="1" applyAlignment="1" applyProtection="1">
      <protection locked="0"/>
    </xf>
    <xf numFmtId="40" fontId="90" fillId="22" borderId="85" xfId="93" applyNumberFormat="1" applyFont="1" applyFill="1" applyBorder="1" applyProtection="1">
      <protection locked="0"/>
    </xf>
    <xf numFmtId="40" fontId="90" fillId="0" borderId="27" xfId="93" applyNumberFormat="1" applyFont="1" applyFill="1" applyBorder="1" applyProtection="1">
      <protection locked="0"/>
    </xf>
    <xf numFmtId="40" fontId="90" fillId="0" borderId="3" xfId="93" applyNumberFormat="1" applyFont="1" applyFill="1" applyBorder="1" applyProtection="1">
      <protection locked="0"/>
    </xf>
    <xf numFmtId="40" fontId="90" fillId="0" borderId="15" xfId="93" applyNumberFormat="1" applyFont="1" applyFill="1" applyBorder="1" applyProtection="1">
      <protection locked="0"/>
    </xf>
    <xf numFmtId="0" fontId="90" fillId="21" borderId="85" xfId="93" applyFont="1" applyFill="1" applyBorder="1" applyProtection="1">
      <protection locked="0"/>
    </xf>
    <xf numFmtId="170" fontId="188" fillId="21" borderId="47" xfId="94" applyNumberFormat="1" applyFont="1" applyFill="1" applyBorder="1" applyAlignment="1" applyProtection="1">
      <protection locked="0"/>
    </xf>
    <xf numFmtId="170" fontId="188" fillId="0" borderId="47" xfId="94" applyNumberFormat="1" applyFont="1" applyFill="1" applyBorder="1" applyAlignment="1" applyProtection="1">
      <protection locked="0"/>
    </xf>
    <xf numFmtId="9" fontId="89" fillId="0" borderId="0" xfId="257" applyFont="1" applyFill="1" applyBorder="1" applyAlignment="1" applyProtection="1">
      <protection locked="0"/>
    </xf>
    <xf numFmtId="170" fontId="188" fillId="0" borderId="98" xfId="94" applyNumberFormat="1" applyFont="1" applyFill="1" applyBorder="1" applyAlignment="1" applyProtection="1">
      <protection locked="0"/>
    </xf>
    <xf numFmtId="170" fontId="89" fillId="0" borderId="27" xfId="94" applyNumberFormat="1" applyFont="1" applyFill="1" applyBorder="1" applyAlignment="1" applyProtection="1">
      <protection locked="0"/>
    </xf>
    <xf numFmtId="170" fontId="89" fillId="0" borderId="3" xfId="94" applyNumberFormat="1" applyFont="1" applyFill="1" applyBorder="1" applyAlignment="1" applyProtection="1">
      <protection locked="0"/>
    </xf>
    <xf numFmtId="170" fontId="89" fillId="0" borderId="15" xfId="94" applyNumberFormat="1" applyFont="1" applyFill="1" applyBorder="1" applyAlignment="1" applyProtection="1">
      <protection locked="0"/>
    </xf>
    <xf numFmtId="0" fontId="188" fillId="0" borderId="40" xfId="93" applyFont="1" applyFill="1" applyBorder="1" applyProtection="1">
      <protection locked="0"/>
    </xf>
    <xf numFmtId="170" fontId="188" fillId="21" borderId="98" xfId="94" applyNumberFormat="1" applyFont="1" applyFill="1" applyBorder="1" applyAlignment="1" applyProtection="1">
      <protection locked="0"/>
    </xf>
    <xf numFmtId="170" fontId="90" fillId="21" borderId="0" xfId="93" applyNumberFormat="1" applyFont="1" applyFill="1" applyBorder="1" applyProtection="1">
      <protection locked="0"/>
    </xf>
    <xf numFmtId="40" fontId="89" fillId="38" borderId="85" xfId="93" applyNumberFormat="1" applyFont="1" applyFill="1" applyBorder="1" applyProtection="1">
      <protection locked="0"/>
    </xf>
    <xf numFmtId="2" fontId="90" fillId="21" borderId="34" xfId="93" applyNumberFormat="1" applyFont="1" applyFill="1" applyBorder="1" applyProtection="1">
      <protection locked="0"/>
    </xf>
    <xf numFmtId="9" fontId="91" fillId="0" borderId="0" xfId="257" applyFont="1"/>
    <xf numFmtId="4" fontId="90" fillId="21" borderId="0" xfId="93" applyNumberFormat="1" applyFont="1" applyFill="1" applyBorder="1" applyProtection="1">
      <protection locked="0"/>
    </xf>
    <xf numFmtId="4" fontId="90" fillId="0" borderId="0" xfId="93" applyNumberFormat="1" applyFont="1" applyFill="1" applyBorder="1" applyProtection="1">
      <protection locked="0"/>
    </xf>
    <xf numFmtId="4" fontId="188" fillId="0" borderId="98" xfId="93" applyNumberFormat="1" applyFont="1" applyFill="1" applyBorder="1" applyProtection="1">
      <protection locked="0"/>
    </xf>
    <xf numFmtId="2" fontId="188" fillId="0" borderId="98" xfId="93" applyNumberFormat="1" applyFont="1" applyFill="1" applyBorder="1" applyProtection="1">
      <protection locked="0"/>
    </xf>
    <xf numFmtId="2" fontId="196" fillId="0" borderId="0" xfId="93" applyNumberFormat="1" applyFont="1" applyFill="1" applyBorder="1" applyProtection="1">
      <protection locked="0"/>
    </xf>
    <xf numFmtId="2" fontId="196" fillId="21" borderId="0" xfId="93" applyNumberFormat="1" applyFont="1" applyFill="1" applyBorder="1" applyProtection="1">
      <protection locked="0"/>
    </xf>
    <xf numFmtId="9" fontId="188" fillId="0" borderId="0" xfId="257" applyFont="1" applyFill="1" applyBorder="1" applyAlignment="1" applyProtection="1">
      <protection locked="0"/>
    </xf>
    <xf numFmtId="170" fontId="89" fillId="21" borderId="0" xfId="94" applyNumberFormat="1" applyFont="1" applyFill="1" applyBorder="1" applyAlignment="1" applyProtection="1">
      <protection locked="0"/>
    </xf>
    <xf numFmtId="2" fontId="89" fillId="0" borderId="0" xfId="94" applyNumberFormat="1" applyFont="1" applyFill="1" applyBorder="1" applyAlignment="1" applyProtection="1">
      <protection locked="0"/>
    </xf>
    <xf numFmtId="1" fontId="89" fillId="0" borderId="0" xfId="94" applyNumberFormat="1" applyFont="1" applyFill="1" applyBorder="1" applyAlignment="1" applyProtection="1">
      <protection locked="0"/>
    </xf>
    <xf numFmtId="9" fontId="90" fillId="0" borderId="85" xfId="257" applyFont="1" applyFill="1" applyBorder="1" applyAlignment="1" applyProtection="1">
      <protection locked="0"/>
    </xf>
    <xf numFmtId="169" fontId="89" fillId="0" borderId="85" xfId="94" applyNumberFormat="1" applyFont="1" applyFill="1" applyBorder="1" applyAlignment="1" applyProtection="1">
      <protection locked="0"/>
    </xf>
    <xf numFmtId="170" fontId="188" fillId="0" borderId="28" xfId="94" applyNumberFormat="1" applyFont="1" applyFill="1" applyBorder="1" applyAlignment="1" applyProtection="1">
      <protection locked="0"/>
    </xf>
    <xf numFmtId="170" fontId="188" fillId="21" borderId="0" xfId="94" applyNumberFormat="1" applyFont="1" applyFill="1" applyBorder="1" applyAlignment="1" applyProtection="1">
      <protection locked="0"/>
    </xf>
    <xf numFmtId="0" fontId="188" fillId="0" borderId="0" xfId="93" applyFont="1" applyFill="1" applyAlignment="1" applyProtection="1">
      <alignment horizontal="left"/>
      <protection locked="0"/>
    </xf>
    <xf numFmtId="170" fontId="89" fillId="50" borderId="0" xfId="93" applyNumberFormat="1" applyFont="1" applyFill="1" applyProtection="1">
      <protection locked="0"/>
    </xf>
    <xf numFmtId="40" fontId="188" fillId="35" borderId="85" xfId="93" applyNumberFormat="1" applyFont="1" applyFill="1" applyBorder="1" applyProtection="1">
      <protection locked="0"/>
    </xf>
    <xf numFmtId="40" fontId="84" fillId="35" borderId="85" xfId="93" applyNumberFormat="1" applyFont="1" applyFill="1" applyBorder="1" applyProtection="1">
      <protection locked="0"/>
    </xf>
    <xf numFmtId="40" fontId="89" fillId="35" borderId="85" xfId="93" applyNumberFormat="1" applyFont="1" applyFill="1" applyBorder="1" applyProtection="1">
      <protection locked="0"/>
    </xf>
    <xf numFmtId="0" fontId="188" fillId="51" borderId="0" xfId="93" applyFont="1" applyFill="1" applyProtection="1">
      <protection locked="0"/>
    </xf>
    <xf numFmtId="2" fontId="89" fillId="51" borderId="85" xfId="93" applyNumberFormat="1" applyFont="1" applyFill="1" applyBorder="1" applyProtection="1">
      <protection locked="0"/>
    </xf>
    <xf numFmtId="170" fontId="89" fillId="52" borderId="85" xfId="94" applyNumberFormat="1" applyFont="1" applyFill="1" applyBorder="1" applyAlignment="1" applyProtection="1">
      <protection locked="0"/>
    </xf>
    <xf numFmtId="2" fontId="188" fillId="21" borderId="85" xfId="93" applyNumberFormat="1" applyFont="1" applyFill="1" applyBorder="1" applyProtection="1">
      <protection locked="0"/>
    </xf>
    <xf numFmtId="9" fontId="84" fillId="21" borderId="85" xfId="257" applyFont="1" applyFill="1" applyBorder="1" applyAlignment="1" applyProtection="1">
      <protection locked="0"/>
    </xf>
    <xf numFmtId="0" fontId="90" fillId="22" borderId="85" xfId="93" applyFont="1" applyFill="1" applyBorder="1" applyProtection="1">
      <protection locked="0"/>
    </xf>
    <xf numFmtId="0" fontId="188" fillId="21" borderId="0" xfId="93" applyFont="1" applyFill="1" applyBorder="1" applyProtection="1">
      <protection locked="0"/>
    </xf>
    <xf numFmtId="40" fontId="188" fillId="21" borderId="47" xfId="93" applyNumberFormat="1" applyFont="1" applyFill="1" applyBorder="1" applyProtection="1">
      <protection locked="0"/>
    </xf>
    <xf numFmtId="40" fontId="188" fillId="21" borderId="0" xfId="93" applyNumberFormat="1" applyFont="1" applyFill="1" applyBorder="1" applyProtection="1">
      <protection locked="0"/>
    </xf>
    <xf numFmtId="9" fontId="188" fillId="21" borderId="0" xfId="257" applyFont="1" applyFill="1" applyBorder="1" applyAlignment="1" applyProtection="1">
      <protection locked="0"/>
    </xf>
    <xf numFmtId="40" fontId="188" fillId="21" borderId="99" xfId="93" applyNumberFormat="1" applyFont="1" applyFill="1" applyBorder="1" applyProtection="1">
      <protection locked="0"/>
    </xf>
    <xf numFmtId="40" fontId="188" fillId="21" borderId="98" xfId="93" applyNumberFormat="1" applyFont="1" applyFill="1" applyBorder="1" applyProtection="1">
      <protection locked="0"/>
    </xf>
    <xf numFmtId="0" fontId="185" fillId="0" borderId="0" xfId="93" applyFont="1" applyFill="1" applyAlignment="1" applyProtection="1">
      <alignment horizontal="left"/>
      <protection locked="0"/>
    </xf>
    <xf numFmtId="9" fontId="89" fillId="21" borderId="0" xfId="257" applyFont="1" applyFill="1" applyBorder="1" applyAlignment="1" applyProtection="1">
      <protection locked="0"/>
    </xf>
    <xf numFmtId="2" fontId="89" fillId="21" borderId="0" xfId="93" applyNumberFormat="1" applyFont="1" applyFill="1" applyProtection="1">
      <protection locked="0"/>
    </xf>
    <xf numFmtId="1" fontId="89" fillId="21" borderId="0" xfId="93" applyNumberFormat="1" applyFont="1" applyFill="1" applyProtection="1">
      <protection locked="0"/>
    </xf>
    <xf numFmtId="171" fontId="89" fillId="21" borderId="85" xfId="94" applyNumberFormat="1" applyFont="1" applyFill="1" applyBorder="1" applyAlignment="1" applyProtection="1">
      <protection locked="0"/>
    </xf>
    <xf numFmtId="40" fontId="89" fillId="21" borderId="36" xfId="93" applyNumberFormat="1" applyFont="1" applyFill="1" applyBorder="1" applyProtection="1">
      <protection locked="0"/>
    </xf>
    <xf numFmtId="40" fontId="89" fillId="21" borderId="7" xfId="93" applyNumberFormat="1" applyFont="1" applyFill="1" applyBorder="1" applyProtection="1">
      <protection locked="0"/>
    </xf>
    <xf numFmtId="40" fontId="89" fillId="21" borderId="84" xfId="93" applyNumberFormat="1" applyFont="1" applyFill="1" applyBorder="1" applyProtection="1">
      <protection locked="0"/>
    </xf>
    <xf numFmtId="170" fontId="84" fillId="21" borderId="85" xfId="93" applyNumberFormat="1" applyFont="1" applyFill="1" applyBorder="1" applyProtection="1">
      <protection locked="0"/>
    </xf>
    <xf numFmtId="0" fontId="89" fillId="22" borderId="85" xfId="93" applyFont="1" applyFill="1" applyBorder="1" applyProtection="1">
      <protection locked="0"/>
    </xf>
    <xf numFmtId="171" fontId="84" fillId="21" borderId="85" xfId="94" applyNumberFormat="1" applyFont="1" applyFill="1" applyBorder="1" applyAlignment="1" applyProtection="1">
      <protection locked="0"/>
    </xf>
    <xf numFmtId="9" fontId="78" fillId="21" borderId="86" xfId="257" applyFont="1" applyFill="1" applyBorder="1"/>
    <xf numFmtId="0" fontId="188" fillId="21" borderId="0" xfId="93" applyFont="1" applyFill="1" applyBorder="1" applyAlignment="1" applyProtection="1">
      <alignment horizontal="left"/>
      <protection locked="0"/>
    </xf>
    <xf numFmtId="9" fontId="90" fillId="21" borderId="0" xfId="257" applyFont="1" applyFill="1" applyBorder="1" applyAlignment="1" applyProtection="1">
      <protection locked="0"/>
    </xf>
    <xf numFmtId="0" fontId="188" fillId="21" borderId="40" xfId="93" applyFont="1" applyFill="1" applyBorder="1" applyProtection="1">
      <protection locked="0"/>
    </xf>
    <xf numFmtId="0" fontId="90" fillId="21" borderId="0" xfId="93" applyFont="1" applyFill="1" applyProtection="1">
      <protection locked="0"/>
    </xf>
    <xf numFmtId="0" fontId="83" fillId="0" borderId="0" xfId="0" applyFont="1" applyFill="1" applyBorder="1" applyProtection="1">
      <protection locked="0"/>
    </xf>
    <xf numFmtId="1" fontId="84" fillId="0" borderId="0" xfId="93" applyNumberFormat="1" applyFont="1" applyFill="1" applyBorder="1" applyProtection="1">
      <protection locked="0"/>
    </xf>
    <xf numFmtId="1" fontId="188" fillId="25" borderId="85" xfId="93" applyNumberFormat="1" applyFont="1" applyFill="1" applyBorder="1" applyProtection="1">
      <protection locked="0"/>
    </xf>
    <xf numFmtId="1" fontId="90" fillId="25" borderId="85" xfId="93" applyNumberFormat="1" applyFont="1" applyFill="1" applyBorder="1" applyProtection="1">
      <protection locked="0"/>
    </xf>
    <xf numFmtId="40" fontId="90" fillId="25" borderId="85" xfId="93" applyNumberFormat="1" applyFont="1" applyFill="1" applyBorder="1" applyProtection="1">
      <protection locked="0"/>
    </xf>
    <xf numFmtId="170" fontId="90" fillId="25" borderId="85" xfId="94" applyNumberFormat="1" applyFont="1" applyFill="1" applyBorder="1" applyAlignment="1" applyProtection="1">
      <protection locked="0"/>
    </xf>
    <xf numFmtId="170" fontId="89" fillId="25" borderId="85" xfId="94" applyNumberFormat="1" applyFont="1" applyFill="1" applyBorder="1" applyAlignment="1" applyProtection="1">
      <protection locked="0"/>
    </xf>
    <xf numFmtId="169" fontId="89" fillId="25" borderId="85" xfId="94" applyNumberFormat="1" applyFont="1" applyFill="1" applyBorder="1" applyAlignment="1" applyProtection="1">
      <protection locked="0"/>
    </xf>
    <xf numFmtId="40" fontId="90" fillId="25" borderId="3" xfId="93" applyNumberFormat="1" applyFont="1" applyFill="1" applyBorder="1" applyProtection="1">
      <protection locked="0"/>
    </xf>
    <xf numFmtId="40" fontId="90" fillId="25" borderId="15" xfId="93" applyNumberFormat="1" applyFont="1" applyFill="1" applyBorder="1" applyProtection="1">
      <protection locked="0"/>
    </xf>
    <xf numFmtId="40" fontId="90" fillId="25" borderId="27" xfId="93" applyNumberFormat="1" applyFont="1" applyFill="1" applyBorder="1" applyProtection="1">
      <protection locked="0"/>
    </xf>
    <xf numFmtId="9" fontId="78" fillId="25" borderId="86" xfId="257" applyFont="1" applyFill="1" applyBorder="1"/>
    <xf numFmtId="9" fontId="78" fillId="25" borderId="85" xfId="257" applyFont="1" applyFill="1" applyBorder="1"/>
    <xf numFmtId="9" fontId="91" fillId="25" borderId="85" xfId="257" applyFont="1" applyFill="1" applyBorder="1"/>
    <xf numFmtId="40" fontId="188" fillId="22" borderId="85" xfId="93" applyNumberFormat="1" applyFont="1" applyFill="1" applyBorder="1" applyProtection="1">
      <protection locked="0"/>
    </xf>
    <xf numFmtId="170" fontId="188" fillId="21" borderId="0" xfId="93" applyNumberFormat="1" applyFont="1" applyFill="1" applyBorder="1" applyProtection="1">
      <protection locked="0"/>
    </xf>
    <xf numFmtId="171" fontId="90" fillId="21" borderId="85" xfId="94" applyNumberFormat="1" applyFont="1" applyFill="1" applyBorder="1" applyAlignment="1" applyProtection="1">
      <protection locked="0"/>
    </xf>
    <xf numFmtId="0" fontId="101" fillId="21" borderId="85" xfId="0" applyFont="1" applyFill="1" applyBorder="1" applyProtection="1">
      <protection locked="0"/>
    </xf>
    <xf numFmtId="169" fontId="188" fillId="21" borderId="98" xfId="94" applyNumberFormat="1" applyFont="1" applyFill="1" applyBorder="1" applyAlignment="1" applyProtection="1">
      <protection locked="0"/>
    </xf>
    <xf numFmtId="40" fontId="188" fillId="21" borderId="6" xfId="93" applyNumberFormat="1" applyFont="1" applyFill="1" applyBorder="1" applyProtection="1">
      <protection locked="0"/>
    </xf>
    <xf numFmtId="40" fontId="89" fillId="21" borderId="0" xfId="93" applyNumberFormat="1" applyFont="1" applyFill="1" applyProtection="1">
      <protection locked="0"/>
    </xf>
    <xf numFmtId="0" fontId="85" fillId="21" borderId="0" xfId="93" applyFont="1" applyFill="1" applyBorder="1" applyProtection="1">
      <protection locked="0"/>
    </xf>
    <xf numFmtId="169" fontId="89" fillId="21" borderId="97" xfId="94" applyNumberFormat="1" applyFont="1" applyFill="1" applyBorder="1" applyAlignment="1" applyProtection="1">
      <protection locked="0"/>
    </xf>
    <xf numFmtId="40" fontId="90" fillId="21" borderId="97" xfId="93" applyNumberFormat="1" applyFont="1" applyFill="1" applyBorder="1" applyProtection="1">
      <protection locked="0"/>
    </xf>
    <xf numFmtId="170" fontId="188" fillId="21" borderId="28" xfId="94" applyNumberFormat="1" applyFont="1" applyFill="1" applyBorder="1" applyAlignment="1" applyProtection="1">
      <protection locked="0"/>
    </xf>
    <xf numFmtId="170" fontId="84" fillId="21" borderId="0" xfId="94" applyNumberFormat="1" applyFont="1" applyFill="1" applyBorder="1" applyAlignment="1" applyProtection="1">
      <protection locked="0"/>
    </xf>
    <xf numFmtId="2" fontId="89" fillId="21" borderId="0" xfId="94" applyNumberFormat="1" applyFont="1" applyFill="1" applyBorder="1" applyAlignment="1" applyProtection="1">
      <protection locked="0"/>
    </xf>
    <xf numFmtId="1" fontId="89" fillId="21" borderId="0" xfId="94" applyNumberFormat="1" applyFont="1" applyFill="1" applyBorder="1" applyAlignment="1" applyProtection="1">
      <protection locked="0"/>
    </xf>
    <xf numFmtId="169" fontId="89" fillId="21" borderId="0" xfId="94" applyNumberFormat="1" applyFont="1" applyFill="1" applyBorder="1" applyAlignment="1" applyProtection="1">
      <protection locked="0"/>
    </xf>
    <xf numFmtId="0" fontId="197" fillId="0" borderId="0" xfId="93" applyFont="1" applyFill="1" applyBorder="1" applyAlignment="1" applyProtection="1">
      <alignment horizontal="left"/>
      <protection locked="0"/>
    </xf>
    <xf numFmtId="170" fontId="84" fillId="52" borderId="85" xfId="94" applyNumberFormat="1" applyFont="1" applyFill="1" applyBorder="1" applyAlignment="1" applyProtection="1">
      <protection locked="0"/>
    </xf>
    <xf numFmtId="169" fontId="84" fillId="21" borderId="85" xfId="94" applyNumberFormat="1" applyFont="1" applyFill="1" applyBorder="1" applyAlignment="1" applyProtection="1">
      <protection locked="0"/>
    </xf>
    <xf numFmtId="40" fontId="84" fillId="21" borderId="27" xfId="93" applyNumberFormat="1" applyFont="1" applyFill="1" applyBorder="1" applyProtection="1">
      <protection locked="0"/>
    </xf>
    <xf numFmtId="40" fontId="84" fillId="21" borderId="3" xfId="93" applyNumberFormat="1" applyFont="1" applyFill="1" applyBorder="1" applyProtection="1">
      <protection locked="0"/>
    </xf>
    <xf numFmtId="40" fontId="84" fillId="21" borderId="15" xfId="93" applyNumberFormat="1" applyFont="1" applyFill="1" applyBorder="1" applyProtection="1">
      <protection locked="0"/>
    </xf>
    <xf numFmtId="2" fontId="188" fillId="21" borderId="85" xfId="94" applyNumberFormat="1" applyFont="1" applyFill="1" applyBorder="1" applyAlignment="1" applyProtection="1">
      <protection locked="0"/>
    </xf>
    <xf numFmtId="2" fontId="89" fillId="22" borderId="85" xfId="93" applyNumberFormat="1" applyFont="1" applyFill="1" applyBorder="1" applyProtection="1">
      <protection locked="0"/>
    </xf>
    <xf numFmtId="170" fontId="188" fillId="21" borderId="85" xfId="93" applyNumberFormat="1" applyFont="1" applyFill="1" applyBorder="1" applyProtection="1">
      <protection locked="0"/>
    </xf>
    <xf numFmtId="170" fontId="84" fillId="21" borderId="0" xfId="93" applyNumberFormat="1" applyFont="1" applyFill="1" applyBorder="1" applyProtection="1">
      <protection locked="0"/>
    </xf>
    <xf numFmtId="40" fontId="188" fillId="21" borderId="27" xfId="93" applyNumberFormat="1" applyFont="1" applyFill="1" applyBorder="1" applyProtection="1">
      <protection locked="0"/>
    </xf>
    <xf numFmtId="40" fontId="188" fillId="21" borderId="3" xfId="93" applyNumberFormat="1" applyFont="1" applyFill="1" applyBorder="1" applyProtection="1">
      <protection locked="0"/>
    </xf>
    <xf numFmtId="40" fontId="188" fillId="21" borderId="15" xfId="93" applyNumberFormat="1" applyFont="1" applyFill="1" applyBorder="1" applyProtection="1">
      <protection locked="0"/>
    </xf>
    <xf numFmtId="0" fontId="101" fillId="21" borderId="0" xfId="0" applyFont="1" applyFill="1" applyProtection="1">
      <protection locked="0"/>
    </xf>
    <xf numFmtId="40" fontId="188" fillId="21" borderId="101" xfId="93" applyNumberFormat="1" applyFont="1" applyFill="1" applyBorder="1" applyProtection="1">
      <protection locked="0"/>
    </xf>
    <xf numFmtId="9" fontId="78" fillId="21" borderId="0" xfId="257" applyFont="1" applyFill="1"/>
    <xf numFmtId="169" fontId="84" fillId="21" borderId="85" xfId="94" applyNumberFormat="1" applyFont="1" applyFill="1" applyBorder="1" applyAlignment="1" applyProtection="1">
      <alignment horizontal="left"/>
      <protection locked="0"/>
    </xf>
    <xf numFmtId="170" fontId="188" fillId="21" borderId="34" xfId="93" applyNumberFormat="1" applyFont="1" applyFill="1" applyBorder="1" applyProtection="1">
      <protection locked="0"/>
    </xf>
    <xf numFmtId="170" fontId="188" fillId="21" borderId="28" xfId="93" applyNumberFormat="1" applyFont="1" applyFill="1" applyBorder="1" applyProtection="1">
      <protection locked="0"/>
    </xf>
    <xf numFmtId="170" fontId="188" fillId="21" borderId="6" xfId="93" applyNumberFormat="1" applyFont="1" applyFill="1" applyBorder="1" applyProtection="1">
      <protection locked="0"/>
    </xf>
    <xf numFmtId="1" fontId="89" fillId="21" borderId="0" xfId="93" applyNumberFormat="1" applyFont="1" applyFill="1" applyBorder="1" applyProtection="1">
      <protection locked="0"/>
    </xf>
    <xf numFmtId="170" fontId="89" fillId="21" borderId="7" xfId="94" applyNumberFormat="1" applyFont="1" applyFill="1" applyBorder="1" applyAlignment="1" applyProtection="1">
      <protection locked="0"/>
    </xf>
    <xf numFmtId="170" fontId="188" fillId="0" borderId="85" xfId="94" applyNumberFormat="1" applyFont="1" applyFill="1" applyBorder="1" applyAlignment="1" applyProtection="1">
      <protection locked="0"/>
    </xf>
    <xf numFmtId="169" fontId="188" fillId="0" borderId="85" xfId="94" applyNumberFormat="1" applyFont="1" applyFill="1" applyBorder="1" applyAlignment="1" applyProtection="1">
      <protection locked="0"/>
    </xf>
    <xf numFmtId="169" fontId="188" fillId="0" borderId="47" xfId="94" applyNumberFormat="1" applyFont="1" applyFill="1" applyBorder="1" applyAlignment="1" applyProtection="1">
      <protection locked="0"/>
    </xf>
    <xf numFmtId="170" fontId="188" fillId="0" borderId="99" xfId="94" applyNumberFormat="1" applyFont="1" applyFill="1" applyBorder="1" applyAlignment="1" applyProtection="1">
      <protection locked="0"/>
    </xf>
    <xf numFmtId="170" fontId="84" fillId="0" borderId="99" xfId="94" applyNumberFormat="1" applyFont="1" applyFill="1" applyBorder="1" applyAlignment="1" applyProtection="1">
      <protection locked="0"/>
    </xf>
    <xf numFmtId="170" fontId="196" fillId="0" borderId="0" xfId="94" applyNumberFormat="1" applyFont="1" applyFill="1" applyBorder="1" applyAlignment="1" applyProtection="1">
      <protection locked="0"/>
    </xf>
    <xf numFmtId="0" fontId="189" fillId="0" borderId="0" xfId="93" applyFont="1" applyFill="1" applyBorder="1" applyAlignment="1" applyProtection="1">
      <alignment horizontal="left"/>
      <protection locked="0"/>
    </xf>
    <xf numFmtId="170" fontId="89" fillId="0" borderId="7" xfId="94" applyNumberFormat="1" applyFont="1" applyFill="1" applyBorder="1" applyAlignment="1" applyProtection="1">
      <protection locked="0"/>
    </xf>
    <xf numFmtId="0" fontId="85" fillId="0" borderId="0" xfId="93" applyFont="1" applyFill="1" applyBorder="1" applyProtection="1">
      <protection locked="0"/>
    </xf>
    <xf numFmtId="40" fontId="188" fillId="38" borderId="85" xfId="93" applyNumberFormat="1" applyFont="1" applyFill="1" applyBorder="1" applyProtection="1">
      <protection locked="0"/>
    </xf>
    <xf numFmtId="169" fontId="90" fillId="21" borderId="85" xfId="94" applyNumberFormat="1" applyFont="1" applyFill="1" applyBorder="1" applyAlignment="1" applyProtection="1">
      <protection locked="0"/>
    </xf>
    <xf numFmtId="170" fontId="188" fillId="21" borderId="85" xfId="94" applyNumberFormat="1" applyFont="1" applyFill="1" applyBorder="1" applyAlignment="1" applyProtection="1">
      <protection locked="0"/>
    </xf>
    <xf numFmtId="9" fontId="188" fillId="0" borderId="0" xfId="93" applyNumberFormat="1" applyFont="1" applyFill="1" applyBorder="1" applyProtection="1">
      <protection locked="0"/>
    </xf>
    <xf numFmtId="40" fontId="188" fillId="0" borderId="98" xfId="93" applyNumberFormat="1" applyFont="1" applyFill="1" applyBorder="1" applyProtection="1">
      <protection locked="0"/>
    </xf>
    <xf numFmtId="0" fontId="188" fillId="0" borderId="98" xfId="93" applyFont="1" applyFill="1" applyBorder="1" applyProtection="1">
      <protection locked="0"/>
    </xf>
    <xf numFmtId="40" fontId="188" fillId="0" borderId="6" xfId="93" applyNumberFormat="1" applyFont="1" applyFill="1" applyBorder="1" applyProtection="1">
      <protection locked="0"/>
    </xf>
    <xf numFmtId="40" fontId="188" fillId="0" borderId="103" xfId="93" applyNumberFormat="1" applyFont="1" applyFill="1" applyBorder="1" applyProtection="1">
      <protection locked="0"/>
    </xf>
    <xf numFmtId="40" fontId="188" fillId="0" borderId="99" xfId="93" applyNumberFormat="1" applyFont="1" applyFill="1" applyBorder="1" applyProtection="1">
      <protection locked="0"/>
    </xf>
    <xf numFmtId="170" fontId="188" fillId="0" borderId="0" xfId="93" applyNumberFormat="1" applyFont="1" applyFill="1" applyBorder="1" applyProtection="1">
      <protection locked="0"/>
    </xf>
    <xf numFmtId="9" fontId="78" fillId="0" borderId="0" xfId="257" applyFont="1" applyBorder="1"/>
    <xf numFmtId="40" fontId="89" fillId="0" borderId="40" xfId="93" applyNumberFormat="1" applyFont="1" applyFill="1" applyBorder="1" applyProtection="1">
      <protection locked="0"/>
    </xf>
    <xf numFmtId="40" fontId="89" fillId="0" borderId="13" xfId="93" applyNumberFormat="1" applyFont="1" applyFill="1" applyBorder="1" applyProtection="1">
      <protection locked="0"/>
    </xf>
    <xf numFmtId="40" fontId="89" fillId="0" borderId="4" xfId="93" applyNumberFormat="1" applyFont="1" applyFill="1" applyBorder="1" applyProtection="1">
      <protection locked="0"/>
    </xf>
    <xf numFmtId="40" fontId="188" fillId="0" borderId="85" xfId="93" applyNumberFormat="1" applyFont="1" applyFill="1" applyBorder="1" applyProtection="1">
      <protection locked="0"/>
    </xf>
    <xf numFmtId="40" fontId="188" fillId="0" borderId="72" xfId="93" applyNumberFormat="1" applyFont="1" applyFill="1" applyBorder="1" applyProtection="1">
      <protection locked="0"/>
    </xf>
    <xf numFmtId="40" fontId="188" fillId="0" borderId="45" xfId="93" applyNumberFormat="1" applyFont="1" applyFill="1" applyBorder="1" applyProtection="1">
      <protection locked="0"/>
    </xf>
    <xf numFmtId="40" fontId="188" fillId="0" borderId="71" xfId="93" applyNumberFormat="1" applyFont="1" applyFill="1" applyBorder="1" applyProtection="1">
      <protection locked="0"/>
    </xf>
    <xf numFmtId="170" fontId="84" fillId="0" borderId="98" xfId="94" applyNumberFormat="1" applyFont="1" applyFill="1" applyBorder="1" applyAlignment="1" applyProtection="1">
      <protection locked="0"/>
    </xf>
    <xf numFmtId="169" fontId="89" fillId="0" borderId="98" xfId="94" applyNumberFormat="1" applyFont="1" applyFill="1" applyBorder="1" applyAlignment="1" applyProtection="1">
      <protection locked="0"/>
    </xf>
    <xf numFmtId="170" fontId="188" fillId="21" borderId="99" xfId="94" applyNumberFormat="1" applyFont="1" applyFill="1" applyBorder="1" applyAlignment="1" applyProtection="1">
      <protection locked="0"/>
    </xf>
    <xf numFmtId="170" fontId="89" fillId="0" borderId="13" xfId="94" applyNumberFormat="1" applyFont="1" applyFill="1" applyBorder="1" applyAlignment="1" applyProtection="1">
      <protection locked="0"/>
    </xf>
    <xf numFmtId="170" fontId="89" fillId="0" borderId="5" xfId="94" applyNumberFormat="1" applyFont="1" applyFill="1" applyBorder="1" applyAlignment="1" applyProtection="1">
      <protection locked="0"/>
    </xf>
    <xf numFmtId="40" fontId="89" fillId="0" borderId="35" xfId="93" applyNumberFormat="1" applyFont="1" applyFill="1" applyBorder="1" applyProtection="1">
      <protection locked="0"/>
    </xf>
    <xf numFmtId="40" fontId="89" fillId="0" borderId="5" xfId="93" applyNumberFormat="1" applyFont="1" applyFill="1" applyBorder="1" applyProtection="1">
      <protection locked="0"/>
    </xf>
    <xf numFmtId="40" fontId="89" fillId="0" borderId="16" xfId="93" applyNumberFormat="1" applyFont="1" applyFill="1" applyBorder="1" applyProtection="1">
      <protection locked="0"/>
    </xf>
    <xf numFmtId="170" fontId="188" fillId="0" borderId="40" xfId="94" applyNumberFormat="1" applyFont="1" applyFill="1" applyBorder="1" applyAlignment="1" applyProtection="1">
      <protection locked="0"/>
    </xf>
    <xf numFmtId="170" fontId="188" fillId="0" borderId="13" xfId="94" applyNumberFormat="1" applyFont="1" applyFill="1" applyBorder="1" applyAlignment="1" applyProtection="1">
      <protection locked="0"/>
    </xf>
    <xf numFmtId="170" fontId="188" fillId="0" borderId="4" xfId="94" applyNumberFormat="1" applyFont="1" applyFill="1" applyBorder="1" applyAlignment="1" applyProtection="1">
      <protection locked="0"/>
    </xf>
    <xf numFmtId="0" fontId="188" fillId="0" borderId="85" xfId="93" applyFont="1" applyFill="1" applyBorder="1" applyAlignment="1" applyProtection="1">
      <alignment horizontal="left"/>
      <protection locked="0"/>
    </xf>
    <xf numFmtId="170" fontId="188" fillId="0" borderId="45" xfId="94" applyNumberFormat="1" applyFont="1" applyFill="1" applyBorder="1" applyAlignment="1" applyProtection="1">
      <protection locked="0"/>
    </xf>
    <xf numFmtId="170" fontId="188" fillId="21" borderId="45" xfId="94" applyNumberFormat="1" applyFont="1" applyFill="1" applyBorder="1" applyAlignment="1" applyProtection="1">
      <protection locked="0"/>
    </xf>
    <xf numFmtId="40" fontId="84" fillId="21" borderId="0" xfId="93" applyNumberFormat="1" applyFont="1" applyFill="1" applyBorder="1" applyProtection="1">
      <protection locked="0"/>
    </xf>
    <xf numFmtId="9" fontId="84" fillId="0" borderId="0" xfId="93" applyNumberFormat="1" applyFont="1" applyFill="1" applyBorder="1" applyProtection="1">
      <protection locked="0"/>
    </xf>
    <xf numFmtId="9" fontId="84" fillId="0" borderId="0" xfId="257" applyFont="1" applyFill="1" applyBorder="1" applyAlignment="1" applyProtection="1">
      <protection locked="0"/>
    </xf>
    <xf numFmtId="40" fontId="89" fillId="21" borderId="35" xfId="93" applyNumberFormat="1" applyFont="1" applyFill="1" applyBorder="1" applyProtection="1">
      <protection locked="0"/>
    </xf>
    <xf numFmtId="40" fontId="89" fillId="21" borderId="5" xfId="93" applyNumberFormat="1" applyFont="1" applyFill="1" applyBorder="1" applyProtection="1">
      <protection locked="0"/>
    </xf>
    <xf numFmtId="40" fontId="89" fillId="21" borderId="16" xfId="93" applyNumberFormat="1" applyFont="1" applyFill="1" applyBorder="1" applyProtection="1">
      <protection locked="0"/>
    </xf>
    <xf numFmtId="9" fontId="90" fillId="0" borderId="0" xfId="93" applyNumberFormat="1" applyFont="1" applyFill="1" applyBorder="1" applyProtection="1">
      <protection locked="0"/>
    </xf>
    <xf numFmtId="0" fontId="84" fillId="0" borderId="0" xfId="93" applyFont="1" applyFill="1" applyBorder="1" applyAlignment="1" applyProtection="1">
      <alignment horizontal="center"/>
      <protection locked="0"/>
    </xf>
    <xf numFmtId="40" fontId="89" fillId="21" borderId="40" xfId="93" applyNumberFormat="1" applyFont="1" applyFill="1" applyBorder="1" applyProtection="1">
      <protection locked="0"/>
    </xf>
    <xf numFmtId="40" fontId="89" fillId="21" borderId="13" xfId="93" applyNumberFormat="1" applyFont="1" applyFill="1" applyBorder="1" applyProtection="1">
      <protection locked="0"/>
    </xf>
    <xf numFmtId="40" fontId="89" fillId="21" borderId="4" xfId="93" applyNumberFormat="1" applyFont="1" applyFill="1" applyBorder="1" applyProtection="1">
      <protection locked="0"/>
    </xf>
    <xf numFmtId="40" fontId="188" fillId="21" borderId="102" xfId="93" applyNumberFormat="1" applyFont="1" applyFill="1" applyBorder="1" applyProtection="1">
      <protection locked="0"/>
    </xf>
    <xf numFmtId="40" fontId="188" fillId="0" borderId="102" xfId="93" applyNumberFormat="1" applyFont="1" applyFill="1" applyBorder="1" applyProtection="1">
      <protection locked="0"/>
    </xf>
    <xf numFmtId="40" fontId="188" fillId="0" borderId="97" xfId="93" applyNumberFormat="1" applyFont="1" applyFill="1" applyBorder="1" applyProtection="1">
      <protection locked="0"/>
    </xf>
    <xf numFmtId="0" fontId="89" fillId="38" borderId="85" xfId="93" applyFont="1" applyFill="1" applyBorder="1" applyProtection="1">
      <protection locked="0"/>
    </xf>
    <xf numFmtId="9" fontId="78" fillId="0" borderId="100" xfId="257" applyFont="1" applyBorder="1"/>
    <xf numFmtId="40" fontId="188" fillId="0" borderId="40" xfId="93" applyNumberFormat="1" applyFont="1" applyFill="1" applyBorder="1" applyProtection="1">
      <protection locked="0"/>
    </xf>
    <xf numFmtId="40" fontId="188" fillId="0" borderId="13" xfId="93" applyNumberFormat="1" applyFont="1" applyFill="1" applyBorder="1" applyProtection="1">
      <protection locked="0"/>
    </xf>
    <xf numFmtId="40" fontId="188" fillId="0" borderId="4" xfId="93" applyNumberFormat="1" applyFont="1" applyFill="1" applyBorder="1" applyProtection="1">
      <protection locked="0"/>
    </xf>
    <xf numFmtId="0" fontId="84" fillId="21" borderId="97" xfId="93" applyFont="1" applyFill="1" applyBorder="1" applyAlignment="1" applyProtection="1">
      <alignment horizontal="left"/>
      <protection locked="0"/>
    </xf>
    <xf numFmtId="0" fontId="84" fillId="21" borderId="97" xfId="93" applyFont="1" applyFill="1" applyBorder="1" applyProtection="1">
      <protection locked="0"/>
    </xf>
    <xf numFmtId="0" fontId="89" fillId="21" borderId="97" xfId="93" applyFont="1" applyFill="1" applyBorder="1" applyProtection="1">
      <protection locked="0"/>
    </xf>
    <xf numFmtId="170" fontId="89" fillId="21" borderId="97" xfId="94" applyNumberFormat="1" applyFont="1" applyFill="1" applyBorder="1" applyAlignment="1" applyProtection="1">
      <protection locked="0"/>
    </xf>
    <xf numFmtId="9" fontId="89" fillId="21" borderId="97" xfId="93" applyNumberFormat="1" applyFont="1" applyFill="1" applyBorder="1" applyProtection="1">
      <protection locked="0"/>
    </xf>
    <xf numFmtId="9" fontId="89" fillId="21" borderId="97" xfId="257" applyFont="1" applyFill="1" applyBorder="1" applyAlignment="1" applyProtection="1">
      <protection locked="0"/>
    </xf>
    <xf numFmtId="2" fontId="188" fillId="21" borderId="97" xfId="93" applyNumberFormat="1" applyFont="1" applyFill="1" applyBorder="1" applyProtection="1">
      <protection locked="0"/>
    </xf>
    <xf numFmtId="40" fontId="89" fillId="22" borderId="97" xfId="93" applyNumberFormat="1" applyFont="1" applyFill="1" applyBorder="1" applyProtection="1">
      <protection locked="0"/>
    </xf>
    <xf numFmtId="0" fontId="90" fillId="21" borderId="97" xfId="93" applyFont="1" applyFill="1" applyBorder="1" applyProtection="1">
      <protection locked="0"/>
    </xf>
    <xf numFmtId="0" fontId="188" fillId="21" borderId="97" xfId="93" applyFont="1" applyFill="1" applyBorder="1" applyProtection="1">
      <protection locked="0"/>
    </xf>
    <xf numFmtId="9" fontId="78" fillId="21" borderId="97" xfId="257" applyFont="1" applyFill="1" applyBorder="1"/>
    <xf numFmtId="0" fontId="90" fillId="22" borderId="0" xfId="93" applyFont="1" applyFill="1" applyProtection="1">
      <protection locked="0"/>
    </xf>
    <xf numFmtId="0" fontId="159" fillId="0" borderId="85" xfId="93" applyFont="1" applyFill="1" applyBorder="1" applyAlignment="1" applyProtection="1">
      <alignment horizontal="left"/>
      <protection locked="0"/>
    </xf>
    <xf numFmtId="0" fontId="90" fillId="0" borderId="0" xfId="93" applyFont="1" applyFill="1" applyAlignment="1" applyProtection="1">
      <alignment horizontal="left"/>
      <protection locked="0"/>
    </xf>
    <xf numFmtId="0" fontId="84" fillId="0" borderId="85" xfId="93" applyFont="1" applyFill="1" applyBorder="1" applyAlignment="1" applyProtection="1">
      <alignment horizontal="center"/>
      <protection locked="0"/>
    </xf>
    <xf numFmtId="40" fontId="188" fillId="0" borderId="3" xfId="93" applyNumberFormat="1" applyFont="1" applyFill="1" applyBorder="1" applyProtection="1">
      <protection locked="0"/>
    </xf>
    <xf numFmtId="0" fontId="188" fillId="0" borderId="7" xfId="93" applyFont="1" applyFill="1" applyBorder="1" applyAlignment="1" applyProtection="1">
      <alignment horizontal="left"/>
      <protection locked="0"/>
    </xf>
    <xf numFmtId="1" fontId="188" fillId="21" borderId="85" xfId="93" applyNumberFormat="1" applyFont="1" applyFill="1" applyBorder="1" applyProtection="1">
      <protection locked="0"/>
    </xf>
    <xf numFmtId="0" fontId="89" fillId="21" borderId="6" xfId="93" applyFont="1" applyFill="1" applyBorder="1" applyProtection="1">
      <protection locked="0"/>
    </xf>
    <xf numFmtId="40" fontId="188" fillId="21" borderId="46" xfId="93" applyNumberFormat="1" applyFont="1" applyFill="1" applyBorder="1" applyProtection="1">
      <protection locked="0"/>
    </xf>
    <xf numFmtId="40" fontId="188" fillId="0" borderId="47" xfId="93" applyNumberFormat="1" applyFont="1" applyFill="1" applyBorder="1" applyProtection="1">
      <protection locked="0"/>
    </xf>
    <xf numFmtId="0" fontId="188" fillId="21" borderId="98" xfId="93" applyFont="1" applyFill="1" applyBorder="1" applyProtection="1">
      <protection locked="0"/>
    </xf>
    <xf numFmtId="0" fontId="90" fillId="31" borderId="85" xfId="93" applyFont="1" applyFill="1" applyBorder="1" applyProtection="1">
      <protection locked="0"/>
    </xf>
    <xf numFmtId="170" fontId="188" fillId="0" borderId="105" xfId="94" applyNumberFormat="1" applyFont="1" applyFill="1" applyBorder="1" applyAlignment="1" applyProtection="1">
      <protection locked="0"/>
    </xf>
    <xf numFmtId="2" fontId="90" fillId="6" borderId="0" xfId="94" applyNumberFormat="1" applyFont="1" applyFill="1" applyBorder="1" applyAlignment="1" applyProtection="1">
      <protection locked="0"/>
    </xf>
    <xf numFmtId="170" fontId="90" fillId="6" borderId="0" xfId="94" applyNumberFormat="1" applyFont="1" applyFill="1" applyBorder="1" applyAlignment="1" applyProtection="1">
      <protection locked="0"/>
    </xf>
    <xf numFmtId="2" fontId="90" fillId="13" borderId="0" xfId="94" applyNumberFormat="1" applyFont="1" applyFill="1" applyBorder="1" applyAlignment="1" applyProtection="1">
      <protection locked="0"/>
    </xf>
    <xf numFmtId="170" fontId="90" fillId="13" borderId="0" xfId="94" applyNumberFormat="1" applyFont="1" applyFill="1" applyBorder="1" applyAlignment="1" applyProtection="1">
      <protection locked="0"/>
    </xf>
    <xf numFmtId="1" fontId="90" fillId="6" borderId="0" xfId="94" applyNumberFormat="1" applyFont="1" applyFill="1" applyBorder="1" applyAlignment="1" applyProtection="1">
      <protection locked="0"/>
    </xf>
    <xf numFmtId="1" fontId="90" fillId="17" borderId="0" xfId="94" applyNumberFormat="1" applyFont="1" applyFill="1" applyBorder="1" applyAlignment="1" applyProtection="1">
      <protection locked="0"/>
    </xf>
    <xf numFmtId="170" fontId="90" fillId="17" borderId="0" xfId="94" applyNumberFormat="1" applyFont="1" applyFill="1" applyBorder="1" applyAlignment="1" applyProtection="1">
      <protection locked="0"/>
    </xf>
    <xf numFmtId="170" fontId="90" fillId="3" borderId="0" xfId="94" applyNumberFormat="1" applyFont="1" applyFill="1" applyBorder="1" applyAlignment="1" applyProtection="1">
      <protection locked="0"/>
    </xf>
    <xf numFmtId="1" fontId="90" fillId="3" borderId="0" xfId="94" applyNumberFormat="1" applyFont="1" applyFill="1" applyBorder="1" applyAlignment="1" applyProtection="1">
      <protection locked="0"/>
    </xf>
    <xf numFmtId="170" fontId="90" fillId="16" borderId="0" xfId="94" applyNumberFormat="1" applyFont="1" applyFill="1" applyBorder="1" applyAlignment="1" applyProtection="1">
      <protection locked="0"/>
    </xf>
    <xf numFmtId="171" fontId="90" fillId="0" borderId="34" xfId="94" applyNumberFormat="1" applyFont="1" applyFill="1" applyBorder="1" applyAlignment="1" applyProtection="1">
      <protection locked="0"/>
    </xf>
    <xf numFmtId="171" fontId="90" fillId="0" borderId="0" xfId="94" applyNumberFormat="1" applyFont="1" applyFill="1" applyBorder="1" applyAlignment="1" applyProtection="1">
      <protection locked="0"/>
    </xf>
    <xf numFmtId="171" fontId="188" fillId="0" borderId="34" xfId="94" applyNumberFormat="1" applyFont="1" applyFill="1" applyBorder="1" applyAlignment="1" applyProtection="1">
      <protection locked="0"/>
    </xf>
    <xf numFmtId="181" fontId="90" fillId="0" borderId="34" xfId="94" applyNumberFormat="1" applyFont="1" applyFill="1" applyBorder="1" applyAlignment="1" applyProtection="1">
      <protection locked="0"/>
    </xf>
    <xf numFmtId="0" fontId="90" fillId="0" borderId="0" xfId="94" applyNumberFormat="1" applyFont="1" applyFill="1" applyBorder="1" applyAlignment="1" applyProtection="1">
      <protection locked="0"/>
    </xf>
    <xf numFmtId="181" fontId="188" fillId="0" borderId="34" xfId="94" applyNumberFormat="1" applyFont="1" applyFill="1" applyBorder="1" applyAlignment="1" applyProtection="1">
      <protection locked="0"/>
    </xf>
    <xf numFmtId="170" fontId="90" fillId="24" borderId="0" xfId="94" applyNumberFormat="1" applyFont="1" applyFill="1" applyBorder="1" applyAlignment="1" applyProtection="1">
      <protection locked="0"/>
    </xf>
    <xf numFmtId="0" fontId="90" fillId="24" borderId="0" xfId="94" applyNumberFormat="1" applyFont="1" applyFill="1" applyBorder="1" applyAlignment="1" applyProtection="1">
      <protection locked="0"/>
    </xf>
    <xf numFmtId="170" fontId="84" fillId="24" borderId="0" xfId="94" applyNumberFormat="1" applyFont="1" applyFill="1" applyBorder="1" applyAlignment="1" applyProtection="1">
      <protection locked="0"/>
    </xf>
    <xf numFmtId="178" fontId="90" fillId="24" borderId="0" xfId="94" applyNumberFormat="1" applyFont="1" applyFill="1" applyBorder="1" applyAlignment="1" applyProtection="1">
      <protection locked="0"/>
    </xf>
    <xf numFmtId="178" fontId="90" fillId="0" borderId="0" xfId="94" applyNumberFormat="1" applyFont="1" applyFill="1" applyBorder="1" applyAlignment="1" applyProtection="1">
      <protection locked="0"/>
    </xf>
    <xf numFmtId="170" fontId="188" fillId="24" borderId="0" xfId="93" applyNumberFormat="1" applyFont="1" applyFill="1" applyBorder="1"/>
    <xf numFmtId="170" fontId="198" fillId="0" borderId="0" xfId="94" applyNumberFormat="1" applyFont="1" applyFill="1" applyBorder="1" applyAlignment="1" applyProtection="1">
      <protection locked="0"/>
    </xf>
    <xf numFmtId="169" fontId="84" fillId="0" borderId="0" xfId="94" applyNumberFormat="1" applyFont="1" applyFill="1" applyBorder="1" applyAlignment="1" applyProtection="1">
      <alignment horizontal="left"/>
      <protection locked="0"/>
    </xf>
    <xf numFmtId="0" fontId="199" fillId="0" borderId="8" xfId="93" applyFont="1" applyFill="1" applyBorder="1" applyAlignment="1" applyProtection="1">
      <alignment horizontal="center"/>
      <protection locked="0"/>
    </xf>
    <xf numFmtId="0" fontId="200" fillId="0" borderId="11" xfId="93" applyFont="1" applyFill="1" applyBorder="1" applyAlignment="1" applyProtection="1">
      <alignment horizontal="center"/>
      <protection locked="0"/>
    </xf>
    <xf numFmtId="170" fontId="201" fillId="0" borderId="0" xfId="94" applyNumberFormat="1" applyFont="1" applyFill="1" applyBorder="1" applyAlignment="1" applyProtection="1">
      <protection locked="0"/>
    </xf>
    <xf numFmtId="171" fontId="188" fillId="24" borderId="0" xfId="93" applyNumberFormat="1" applyFont="1" applyFill="1" applyBorder="1"/>
    <xf numFmtId="169" fontId="84" fillId="0" borderId="85" xfId="94" applyNumberFormat="1" applyFont="1" applyFill="1" applyBorder="1" applyAlignment="1" applyProtection="1">
      <alignment horizontal="left"/>
      <protection locked="0"/>
    </xf>
    <xf numFmtId="3" fontId="84" fillId="0" borderId="85" xfId="93" applyNumberFormat="1" applyFont="1" applyFill="1" applyBorder="1" applyAlignment="1" applyProtection="1">
      <alignment horizontal="center"/>
      <protection locked="0"/>
    </xf>
    <xf numFmtId="3" fontId="89" fillId="0" borderId="85" xfId="93" applyNumberFormat="1" applyFont="1" applyFill="1" applyBorder="1" applyAlignment="1" applyProtection="1">
      <alignment horizontal="center"/>
      <protection locked="0"/>
    </xf>
    <xf numFmtId="170" fontId="85" fillId="0" borderId="3" xfId="93" applyNumberFormat="1" applyFont="1" applyFill="1" applyBorder="1" applyAlignment="1" applyProtection="1">
      <alignment horizontal="center"/>
      <protection locked="0"/>
    </xf>
    <xf numFmtId="170" fontId="103" fillId="33" borderId="0" xfId="94" applyNumberFormat="1" applyFont="1" applyFill="1" applyBorder="1" applyAlignment="1" applyProtection="1">
      <protection locked="0"/>
    </xf>
    <xf numFmtId="170" fontId="85" fillId="0" borderId="0" xfId="94" applyNumberFormat="1" applyFont="1" applyFill="1" applyBorder="1" applyAlignment="1" applyProtection="1">
      <protection locked="0"/>
    </xf>
    <xf numFmtId="0" fontId="84" fillId="0" borderId="85" xfId="93" applyNumberFormat="1" applyFont="1" applyFill="1" applyBorder="1" applyAlignment="1" applyProtection="1">
      <alignment horizontal="center"/>
      <protection locked="0"/>
    </xf>
    <xf numFmtId="40" fontId="85" fillId="0" borderId="28" xfId="93" applyNumberFormat="1" applyFont="1" applyFill="1" applyBorder="1" applyProtection="1">
      <protection locked="0"/>
    </xf>
    <xf numFmtId="40" fontId="85" fillId="0" borderId="0" xfId="93" applyNumberFormat="1" applyFont="1" applyFill="1" applyBorder="1" applyProtection="1">
      <protection locked="0"/>
    </xf>
    <xf numFmtId="3" fontId="84" fillId="0" borderId="85" xfId="94" applyNumberFormat="1" applyFont="1" applyFill="1" applyBorder="1" applyAlignment="1" applyProtection="1">
      <alignment horizontal="center"/>
      <protection locked="0"/>
    </xf>
    <xf numFmtId="3" fontId="89" fillId="0" borderId="85" xfId="94" applyNumberFormat="1" applyFont="1" applyFill="1" applyBorder="1" applyAlignment="1" applyProtection="1">
      <alignment horizontal="center"/>
      <protection locked="0"/>
    </xf>
    <xf numFmtId="170" fontId="84" fillId="0" borderId="0" xfId="93" applyNumberFormat="1" applyFont="1" applyFill="1" applyBorder="1" applyAlignment="1" applyProtection="1">
      <alignment horizontal="left"/>
      <protection locked="0"/>
    </xf>
    <xf numFmtId="170" fontId="84" fillId="0" borderId="0" xfId="93" applyNumberFormat="1" applyFont="1" applyFill="1" applyBorder="1" applyProtection="1">
      <protection locked="0"/>
    </xf>
    <xf numFmtId="170" fontId="90" fillId="11" borderId="36" xfId="94" applyNumberFormat="1" applyFont="1" applyFill="1" applyBorder="1" applyAlignment="1" applyProtection="1">
      <alignment horizontal="center"/>
      <protection locked="0"/>
    </xf>
    <xf numFmtId="170" fontId="90" fillId="0" borderId="7" xfId="94" applyNumberFormat="1" applyFont="1" applyFill="1" applyBorder="1" applyAlignment="1" applyProtection="1">
      <alignment horizontal="center"/>
      <protection locked="0"/>
    </xf>
    <xf numFmtId="170" fontId="85" fillId="6" borderId="5" xfId="93" applyNumberFormat="1" applyFont="1" applyFill="1" applyBorder="1" applyAlignment="1" applyProtection="1">
      <alignment horizontal="center"/>
      <protection locked="0"/>
    </xf>
    <xf numFmtId="170" fontId="85" fillId="11" borderId="5" xfId="93" applyNumberFormat="1" applyFont="1" applyFill="1" applyBorder="1" applyAlignment="1" applyProtection="1">
      <alignment horizontal="center"/>
      <protection locked="0"/>
    </xf>
    <xf numFmtId="170" fontId="85" fillId="0" borderId="5" xfId="93" applyNumberFormat="1" applyFont="1" applyFill="1" applyBorder="1" applyAlignment="1" applyProtection="1">
      <alignment horizontal="center"/>
      <protection locked="0"/>
    </xf>
    <xf numFmtId="4" fontId="89" fillId="6" borderId="0" xfId="257" applyNumberFormat="1" applyFont="1" applyFill="1" applyBorder="1" applyAlignment="1" applyProtection="1">
      <protection locked="0"/>
    </xf>
    <xf numFmtId="4" fontId="89" fillId="11" borderId="0" xfId="257" applyNumberFormat="1" applyFont="1" applyFill="1" applyBorder="1" applyAlignment="1" applyProtection="1">
      <protection locked="0"/>
    </xf>
    <xf numFmtId="4" fontId="89" fillId="0" borderId="0" xfId="257" applyNumberFormat="1" applyFont="1" applyFill="1" applyBorder="1" applyAlignment="1" applyProtection="1">
      <protection locked="0"/>
    </xf>
    <xf numFmtId="170" fontId="84" fillId="0" borderId="0" xfId="93" applyNumberFormat="1" applyFont="1" applyFill="1" applyAlignment="1" applyProtection="1">
      <alignment horizontal="left"/>
      <protection locked="0"/>
    </xf>
    <xf numFmtId="4" fontId="89" fillId="6" borderId="28" xfId="257" applyNumberFormat="1" applyFont="1" applyFill="1" applyBorder="1" applyAlignment="1" applyProtection="1">
      <protection locked="0"/>
    </xf>
    <xf numFmtId="4" fontId="89" fillId="11" borderId="28" xfId="257" applyNumberFormat="1" applyFont="1" applyFill="1" applyBorder="1" applyAlignment="1" applyProtection="1">
      <protection locked="0"/>
    </xf>
    <xf numFmtId="4" fontId="89" fillId="0" borderId="28" xfId="257" applyNumberFormat="1" applyFont="1" applyFill="1" applyBorder="1" applyAlignment="1" applyProtection="1">
      <protection locked="0"/>
    </xf>
    <xf numFmtId="4" fontId="90" fillId="0" borderId="0" xfId="93" applyNumberFormat="1" applyFont="1" applyFill="1" applyBorder="1" applyAlignment="1" applyProtection="1">
      <alignment horizontal="center"/>
      <protection locked="0"/>
    </xf>
    <xf numFmtId="0" fontId="101" fillId="0" borderId="0" xfId="0" applyFont="1" applyFill="1" applyBorder="1" applyAlignment="1" applyProtection="1">
      <alignment horizontal="center"/>
      <protection locked="0"/>
    </xf>
    <xf numFmtId="170" fontId="196" fillId="0" borderId="0" xfId="93" applyNumberFormat="1" applyFont="1" applyFill="1" applyBorder="1" applyProtection="1">
      <protection locked="0"/>
    </xf>
    <xf numFmtId="9" fontId="98" fillId="0" borderId="0" xfId="257" applyFont="1" applyFill="1" applyBorder="1" applyAlignment="1" applyProtection="1">
      <protection locked="0"/>
    </xf>
    <xf numFmtId="170" fontId="98" fillId="0" borderId="0" xfId="93" applyNumberFormat="1" applyFont="1" applyFill="1" applyBorder="1" applyProtection="1">
      <protection locked="0"/>
    </xf>
    <xf numFmtId="170" fontId="83" fillId="0" borderId="0" xfId="0" applyNumberFormat="1" applyFont="1" applyFill="1" applyBorder="1" applyProtection="1">
      <protection locked="0"/>
    </xf>
    <xf numFmtId="9" fontId="98" fillId="0" borderId="7" xfId="257" applyFont="1" applyFill="1" applyBorder="1" applyAlignment="1" applyProtection="1">
      <alignment horizontal="center"/>
      <protection locked="0"/>
    </xf>
    <xf numFmtId="170" fontId="202" fillId="0" borderId="0" xfId="94" applyNumberFormat="1" applyFont="1" applyFill="1" applyBorder="1" applyAlignment="1" applyProtection="1">
      <protection locked="0"/>
    </xf>
    <xf numFmtId="170" fontId="203" fillId="0" borderId="0" xfId="94" applyNumberFormat="1" applyFont="1" applyFill="1" applyBorder="1" applyAlignment="1" applyProtection="1">
      <protection locked="0"/>
    </xf>
    <xf numFmtId="0" fontId="98" fillId="0" borderId="0" xfId="93" applyFont="1" applyFill="1" applyBorder="1" applyProtection="1">
      <protection locked="0"/>
    </xf>
    <xf numFmtId="170" fontId="98" fillId="0" borderId="5" xfId="93" applyNumberFormat="1" applyFont="1" applyFill="1" applyBorder="1" applyAlignment="1" applyProtection="1">
      <alignment horizontal="center"/>
      <protection locked="0"/>
    </xf>
    <xf numFmtId="9" fontId="98" fillId="0" borderId="5" xfId="257" applyFont="1" applyFill="1" applyBorder="1" applyAlignment="1" applyProtection="1">
      <alignment horizontal="center"/>
      <protection locked="0"/>
    </xf>
    <xf numFmtId="170" fontId="98" fillId="0" borderId="3" xfId="93" applyNumberFormat="1" applyFont="1" applyFill="1" applyBorder="1" applyAlignment="1" applyProtection="1">
      <alignment horizontal="center"/>
      <protection locked="0"/>
    </xf>
    <xf numFmtId="170" fontId="98" fillId="0" borderId="15" xfId="93" applyNumberFormat="1" applyFont="1" applyFill="1" applyBorder="1" applyAlignment="1" applyProtection="1">
      <alignment horizontal="center"/>
      <protection locked="0"/>
    </xf>
    <xf numFmtId="170" fontId="89" fillId="0" borderId="0" xfId="93" applyNumberFormat="1" applyFont="1" applyFill="1" applyBorder="1" applyAlignment="1" applyProtection="1">
      <alignment horizontal="center"/>
      <protection locked="0"/>
    </xf>
    <xf numFmtId="40" fontId="89" fillId="0" borderId="0" xfId="94" applyNumberFormat="1" applyFont="1" applyFill="1" applyBorder="1" applyAlignment="1" applyProtection="1">
      <protection locked="0"/>
    </xf>
    <xf numFmtId="170" fontId="98" fillId="0" borderId="0" xfId="94" applyNumberFormat="1" applyFont="1" applyFill="1" applyBorder="1" applyAlignment="1" applyProtection="1">
      <protection locked="0"/>
    </xf>
    <xf numFmtId="170" fontId="98" fillId="0" borderId="0" xfId="93" applyNumberFormat="1" applyFont="1" applyFill="1" applyProtection="1">
      <protection locked="0"/>
    </xf>
    <xf numFmtId="40" fontId="98" fillId="0" borderId="0" xfId="93" applyNumberFormat="1" applyFont="1" applyFill="1" applyProtection="1">
      <protection locked="0"/>
    </xf>
    <xf numFmtId="40" fontId="89" fillId="0" borderId="0" xfId="93" applyNumberFormat="1" applyFont="1" applyFill="1" applyProtection="1">
      <protection locked="0"/>
    </xf>
    <xf numFmtId="172" fontId="89" fillId="0" borderId="0" xfId="93" applyNumberFormat="1" applyFont="1" applyFill="1" applyProtection="1">
      <protection locked="0"/>
    </xf>
    <xf numFmtId="40" fontId="90" fillId="0" borderId="0" xfId="94" applyNumberFormat="1" applyFont="1" applyFill="1" applyBorder="1" applyAlignment="1" applyProtection="1">
      <protection locked="0"/>
    </xf>
    <xf numFmtId="40" fontId="98" fillId="0" borderId="28" xfId="93" applyNumberFormat="1" applyFont="1" applyFill="1" applyBorder="1" applyProtection="1">
      <protection locked="0"/>
    </xf>
    <xf numFmtId="0" fontId="98" fillId="0" borderId="0" xfId="93" applyFont="1" applyFill="1" applyProtection="1">
      <protection locked="0"/>
    </xf>
    <xf numFmtId="40" fontId="98" fillId="0" borderId="37" xfId="93" applyNumberFormat="1" applyFont="1" applyFill="1" applyBorder="1" applyProtection="1">
      <protection locked="0"/>
    </xf>
    <xf numFmtId="4" fontId="98" fillId="0" borderId="37" xfId="93" applyNumberFormat="1" applyFont="1" applyFill="1" applyBorder="1" applyProtection="1">
      <protection locked="0"/>
    </xf>
    <xf numFmtId="170" fontId="98" fillId="0" borderId="37" xfId="93" applyNumberFormat="1" applyFont="1" applyFill="1" applyBorder="1" applyProtection="1">
      <protection locked="0"/>
    </xf>
    <xf numFmtId="4" fontId="98" fillId="0" borderId="0" xfId="93" applyNumberFormat="1" applyFont="1" applyFill="1" applyProtection="1">
      <protection locked="0"/>
    </xf>
    <xf numFmtId="40" fontId="98" fillId="0" borderId="0" xfId="93" applyNumberFormat="1" applyFont="1" applyFill="1" applyBorder="1" applyProtection="1">
      <protection locked="0"/>
    </xf>
    <xf numFmtId="170" fontId="204" fillId="0" borderId="0" xfId="94" applyNumberFormat="1" applyFont="1" applyFill="1" applyBorder="1" applyAlignment="1" applyProtection="1">
      <protection locked="0"/>
    </xf>
    <xf numFmtId="170" fontId="89" fillId="0" borderId="0" xfId="93" applyNumberFormat="1" applyFont="1" applyFill="1" applyAlignment="1" applyProtection="1">
      <alignment horizontal="center"/>
      <protection locked="0"/>
    </xf>
    <xf numFmtId="173" fontId="89" fillId="0" borderId="0" xfId="93" applyNumberFormat="1" applyFont="1" applyFill="1" applyProtection="1">
      <protection locked="0"/>
    </xf>
    <xf numFmtId="40" fontId="98" fillId="0" borderId="6" xfId="93" applyNumberFormat="1" applyFont="1" applyFill="1" applyBorder="1" applyProtection="1">
      <protection locked="0"/>
    </xf>
    <xf numFmtId="170" fontId="196" fillId="0" borderId="0" xfId="93" applyNumberFormat="1" applyFont="1" applyFill="1" applyProtection="1">
      <protection locked="0"/>
    </xf>
    <xf numFmtId="166" fontId="98" fillId="0" borderId="0" xfId="94" applyFont="1" applyFill="1" applyProtection="1">
      <protection locked="0"/>
    </xf>
    <xf numFmtId="166" fontId="78" fillId="0" borderId="0" xfId="94" applyFont="1" applyFill="1" applyProtection="1">
      <protection locked="0"/>
    </xf>
    <xf numFmtId="174" fontId="98" fillId="0" borderId="0" xfId="93" applyNumberFormat="1" applyFont="1" applyFill="1" applyProtection="1">
      <protection locked="0"/>
    </xf>
    <xf numFmtId="175" fontId="89" fillId="0" borderId="0" xfId="93" applyNumberFormat="1" applyFont="1" applyFill="1" applyProtection="1">
      <protection locked="0"/>
    </xf>
    <xf numFmtId="174" fontId="98" fillId="0" borderId="28" xfId="93" applyNumberFormat="1" applyFont="1" applyFill="1" applyBorder="1" applyProtection="1">
      <protection locked="0"/>
    </xf>
    <xf numFmtId="4" fontId="98" fillId="0" borderId="0" xfId="93" applyNumberFormat="1" applyFont="1" applyFill="1" applyBorder="1" applyProtection="1">
      <protection locked="0"/>
    </xf>
    <xf numFmtId="2" fontId="89" fillId="0" borderId="0" xfId="93" applyNumberFormat="1" applyFont="1" applyFill="1" applyProtection="1">
      <protection locked="0"/>
    </xf>
    <xf numFmtId="174" fontId="98" fillId="0" borderId="3" xfId="93" applyNumberFormat="1" applyFont="1" applyFill="1" applyBorder="1" applyAlignment="1" applyProtection="1">
      <alignment horizontal="center"/>
      <protection locked="0"/>
    </xf>
    <xf numFmtId="174" fontId="98" fillId="0" borderId="0" xfId="93" applyNumberFormat="1" applyFont="1" applyFill="1" applyAlignment="1" applyProtection="1">
      <alignment horizontal="center"/>
      <protection locked="0"/>
    </xf>
    <xf numFmtId="1" fontId="89" fillId="0" borderId="0" xfId="257" applyNumberFormat="1" applyFont="1" applyFill="1" applyBorder="1" applyAlignment="1" applyProtection="1">
      <protection locked="0"/>
    </xf>
    <xf numFmtId="170" fontId="90" fillId="16" borderId="8" xfId="93" applyNumberFormat="1" applyFont="1" applyFill="1" applyBorder="1" applyAlignment="1" applyProtection="1">
      <alignment horizontal="center"/>
      <protection locked="0"/>
    </xf>
    <xf numFmtId="170" fontId="90" fillId="16" borderId="9" xfId="93" applyNumberFormat="1" applyFont="1" applyFill="1" applyBorder="1" applyAlignment="1" applyProtection="1">
      <alignment horizontal="center"/>
      <protection locked="0"/>
    </xf>
    <xf numFmtId="170" fontId="90" fillId="16" borderId="9" xfId="93" applyNumberFormat="1" applyFont="1" applyFill="1" applyBorder="1" applyAlignment="1" applyProtection="1">
      <alignment horizontal="center" vertical="center" wrapText="1"/>
      <protection locked="0"/>
    </xf>
    <xf numFmtId="170" fontId="90" fillId="16" borderId="10" xfId="93" applyNumberFormat="1" applyFont="1" applyFill="1" applyBorder="1" applyAlignment="1" applyProtection="1">
      <alignment horizontal="center" vertical="center" wrapText="1"/>
      <protection locked="0"/>
    </xf>
    <xf numFmtId="170" fontId="90" fillId="16" borderId="11" xfId="93" applyNumberFormat="1" applyFont="1" applyFill="1" applyBorder="1" applyAlignment="1" applyProtection="1">
      <alignment horizontal="center" wrapText="1"/>
      <protection locked="0"/>
    </xf>
    <xf numFmtId="170" fontId="90" fillId="16" borderId="10" xfId="93" applyNumberFormat="1" applyFont="1" applyFill="1" applyBorder="1" applyAlignment="1" applyProtection="1">
      <alignment horizontal="center" wrapText="1"/>
      <protection locked="0"/>
    </xf>
    <xf numFmtId="170" fontId="90" fillId="16" borderId="17" xfId="93" applyNumberFormat="1" applyFont="1" applyFill="1" applyBorder="1" applyAlignment="1" applyProtection="1">
      <alignment horizontal="center"/>
      <protection locked="0"/>
    </xf>
    <xf numFmtId="170" fontId="90" fillId="16" borderId="5" xfId="93" applyNumberFormat="1" applyFont="1" applyFill="1" applyBorder="1" applyAlignment="1" applyProtection="1">
      <alignment horizontal="center"/>
      <protection locked="0"/>
    </xf>
    <xf numFmtId="170" fontId="90" fillId="16" borderId="16" xfId="93" applyNumberFormat="1" applyFont="1" applyFill="1" applyBorder="1" applyAlignment="1" applyProtection="1">
      <alignment horizontal="center"/>
      <protection locked="0"/>
    </xf>
    <xf numFmtId="170" fontId="90" fillId="16" borderId="18" xfId="93" applyNumberFormat="1" applyFont="1" applyFill="1" applyBorder="1" applyAlignment="1" applyProtection="1">
      <alignment horizontal="center" vertical="center" wrapText="1"/>
      <protection locked="0"/>
    </xf>
    <xf numFmtId="170" fontId="90" fillId="16" borderId="16" xfId="93" applyNumberFormat="1" applyFont="1" applyFill="1" applyBorder="1" applyAlignment="1" applyProtection="1">
      <alignment horizontal="center" vertical="center" wrapText="1"/>
      <protection locked="0"/>
    </xf>
    <xf numFmtId="0" fontId="102" fillId="16" borderId="0" xfId="93" applyFont="1" applyFill="1" applyBorder="1" applyAlignment="1" applyProtection="1">
      <alignment horizontal="left"/>
      <protection locked="0"/>
    </xf>
    <xf numFmtId="0" fontId="102" fillId="0" borderId="0" xfId="93" applyFont="1" applyFill="1" applyBorder="1" applyAlignment="1" applyProtection="1">
      <alignment horizontal="left"/>
      <protection locked="0"/>
    </xf>
    <xf numFmtId="170" fontId="89" fillId="32" borderId="0" xfId="93" applyNumberFormat="1" applyFont="1" applyFill="1" applyProtection="1">
      <protection locked="0"/>
    </xf>
    <xf numFmtId="0" fontId="198" fillId="0" borderId="0" xfId="93" applyFont="1" applyFill="1" applyBorder="1" applyAlignment="1" applyProtection="1">
      <alignment horizontal="left"/>
      <protection locked="0"/>
    </xf>
    <xf numFmtId="0" fontId="85" fillId="0" borderId="0" xfId="93" applyFont="1" applyFill="1" applyBorder="1" applyAlignment="1" applyProtection="1">
      <alignment horizontal="left"/>
      <protection locked="0"/>
    </xf>
    <xf numFmtId="0" fontId="188" fillId="16" borderId="0" xfId="93" applyFont="1" applyFill="1" applyProtection="1">
      <protection locked="0"/>
    </xf>
    <xf numFmtId="0" fontId="102" fillId="0" borderId="0" xfId="93" applyFont="1" applyFill="1" applyBorder="1" applyAlignment="1" applyProtection="1">
      <alignment horizontal="right"/>
      <protection locked="0"/>
    </xf>
    <xf numFmtId="170" fontId="188" fillId="16" borderId="0" xfId="93" applyNumberFormat="1" applyFont="1" applyFill="1" applyProtection="1">
      <protection locked="0"/>
    </xf>
    <xf numFmtId="9" fontId="188" fillId="16" borderId="0" xfId="257" applyFont="1" applyFill="1" applyBorder="1" applyAlignment="1" applyProtection="1">
      <protection locked="0"/>
    </xf>
    <xf numFmtId="170" fontId="188" fillId="16" borderId="46" xfId="93" applyNumberFormat="1" applyFont="1" applyFill="1" applyBorder="1" applyProtection="1">
      <protection locked="0"/>
    </xf>
    <xf numFmtId="0" fontId="188" fillId="16" borderId="0" xfId="93" applyFont="1" applyFill="1" applyBorder="1" applyProtection="1">
      <protection locked="0"/>
    </xf>
    <xf numFmtId="0" fontId="84" fillId="16" borderId="0" xfId="93" applyFont="1" applyFill="1" applyBorder="1" applyProtection="1">
      <protection locked="0"/>
    </xf>
    <xf numFmtId="170" fontId="188" fillId="16" borderId="58" xfId="93" applyNumberFormat="1" applyFont="1" applyFill="1" applyBorder="1" applyProtection="1">
      <protection locked="0"/>
    </xf>
    <xf numFmtId="170" fontId="188" fillId="16" borderId="59" xfId="93" applyNumberFormat="1" applyFont="1" applyFill="1" applyBorder="1" applyProtection="1">
      <protection locked="0"/>
    </xf>
    <xf numFmtId="170" fontId="188" fillId="16" borderId="60" xfId="93" applyNumberFormat="1" applyFont="1" applyFill="1" applyBorder="1" applyProtection="1">
      <protection locked="0"/>
    </xf>
    <xf numFmtId="170" fontId="89" fillId="16" borderId="56" xfId="93" applyNumberFormat="1" applyFont="1" applyFill="1" applyBorder="1" applyProtection="1">
      <protection locked="0"/>
    </xf>
    <xf numFmtId="170" fontId="89" fillId="16" borderId="0" xfId="93" applyNumberFormat="1" applyFont="1" applyFill="1" applyBorder="1" applyProtection="1">
      <protection locked="0"/>
    </xf>
    <xf numFmtId="170" fontId="89" fillId="16" borderId="57" xfId="93" applyNumberFormat="1" applyFont="1" applyFill="1" applyBorder="1" applyProtection="1">
      <protection locked="0"/>
    </xf>
    <xf numFmtId="170" fontId="89" fillId="16" borderId="53" xfId="93" applyNumberFormat="1" applyFont="1" applyFill="1" applyBorder="1" applyProtection="1">
      <protection locked="0"/>
    </xf>
    <xf numFmtId="170" fontId="89" fillId="16" borderId="54" xfId="93" applyNumberFormat="1" applyFont="1" applyFill="1" applyBorder="1" applyProtection="1">
      <protection locked="0"/>
    </xf>
    <xf numFmtId="170" fontId="89" fillId="16" borderId="55" xfId="93" applyNumberFormat="1" applyFont="1" applyFill="1" applyBorder="1" applyProtection="1">
      <protection locked="0"/>
    </xf>
    <xf numFmtId="170" fontId="89" fillId="16" borderId="50" xfId="93" applyNumberFormat="1" applyFont="1" applyFill="1" applyBorder="1" applyProtection="1">
      <protection locked="0"/>
    </xf>
    <xf numFmtId="170" fontId="89" fillId="16" borderId="51" xfId="93" applyNumberFormat="1" applyFont="1" applyFill="1" applyBorder="1" applyProtection="1">
      <protection locked="0"/>
    </xf>
    <xf numFmtId="170" fontId="89" fillId="16" borderId="52" xfId="93" applyNumberFormat="1" applyFont="1" applyFill="1" applyBorder="1" applyProtection="1">
      <protection locked="0"/>
    </xf>
    <xf numFmtId="170" fontId="188" fillId="16" borderId="61" xfId="93" applyNumberFormat="1" applyFont="1" applyFill="1" applyBorder="1" applyProtection="1">
      <protection locked="0"/>
    </xf>
    <xf numFmtId="170" fontId="89" fillId="16" borderId="62" xfId="93" applyNumberFormat="1" applyFont="1" applyFill="1" applyBorder="1" applyProtection="1">
      <protection locked="0"/>
    </xf>
    <xf numFmtId="170" fontId="89" fillId="16" borderId="63" xfId="93" applyNumberFormat="1" applyFont="1" applyFill="1" applyBorder="1" applyProtection="1">
      <protection locked="0"/>
    </xf>
    <xf numFmtId="170" fontId="159" fillId="16" borderId="64" xfId="93" applyNumberFormat="1" applyFont="1" applyFill="1" applyBorder="1" applyProtection="1">
      <protection locked="0"/>
    </xf>
    <xf numFmtId="170" fontId="89" fillId="16" borderId="65" xfId="93" applyNumberFormat="1" applyFont="1" applyFill="1" applyBorder="1" applyProtection="1">
      <protection locked="0"/>
    </xf>
    <xf numFmtId="170" fontId="89" fillId="16" borderId="64" xfId="93" applyNumberFormat="1" applyFont="1" applyFill="1" applyBorder="1" applyProtection="1">
      <protection locked="0"/>
    </xf>
    <xf numFmtId="170" fontId="159" fillId="16" borderId="66" xfId="93" applyNumberFormat="1" applyFont="1" applyFill="1" applyBorder="1" applyProtection="1">
      <protection locked="0"/>
    </xf>
    <xf numFmtId="170" fontId="89" fillId="16" borderId="67" xfId="93" applyNumberFormat="1" applyFont="1" applyFill="1" applyBorder="1" applyProtection="1">
      <protection locked="0"/>
    </xf>
    <xf numFmtId="170" fontId="89" fillId="16" borderId="68" xfId="93" applyNumberFormat="1" applyFont="1" applyFill="1" applyBorder="1" applyProtection="1">
      <protection locked="0"/>
    </xf>
    <xf numFmtId="170" fontId="98" fillId="22" borderId="0" xfId="94" applyNumberFormat="1" applyFont="1" applyFill="1" applyBorder="1" applyAlignment="1" applyProtection="1">
      <protection locked="0"/>
    </xf>
    <xf numFmtId="9" fontId="98" fillId="22" borderId="0" xfId="257" applyFont="1" applyFill="1" applyBorder="1" applyAlignment="1" applyProtection="1">
      <protection locked="0"/>
    </xf>
    <xf numFmtId="170" fontId="98" fillId="22" borderId="0" xfId="93" applyNumberFormat="1" applyFont="1" applyFill="1" applyProtection="1">
      <protection locked="0"/>
    </xf>
    <xf numFmtId="174" fontId="98" fillId="0" borderId="7" xfId="93" applyNumberFormat="1" applyFont="1" applyFill="1" applyBorder="1" applyAlignment="1" applyProtection="1">
      <alignment horizontal="center"/>
      <protection locked="0"/>
    </xf>
    <xf numFmtId="184" fontId="89" fillId="16" borderId="0" xfId="93" applyNumberFormat="1" applyFont="1" applyFill="1" applyProtection="1">
      <protection locked="0"/>
    </xf>
    <xf numFmtId="174" fontId="98" fillId="0" borderId="45" xfId="93" applyNumberFormat="1" applyFont="1" applyFill="1" applyBorder="1" applyProtection="1">
      <protection locked="0"/>
    </xf>
    <xf numFmtId="174" fontId="98" fillId="0" borderId="0" xfId="93" applyNumberFormat="1" applyFont="1" applyFill="1" applyBorder="1" applyProtection="1">
      <protection locked="0"/>
    </xf>
    <xf numFmtId="183" fontId="98" fillId="0" borderId="45" xfId="93" applyNumberFormat="1" applyFont="1" applyFill="1" applyBorder="1" applyProtection="1">
      <protection locked="0"/>
    </xf>
    <xf numFmtId="183" fontId="98" fillId="0" borderId="0" xfId="93" applyNumberFormat="1" applyFont="1" applyFill="1" applyBorder="1" applyProtection="1">
      <protection locked="0"/>
    </xf>
    <xf numFmtId="170" fontId="89" fillId="16" borderId="45" xfId="93" applyNumberFormat="1" applyFont="1" applyFill="1" applyBorder="1" applyProtection="1">
      <protection locked="0"/>
    </xf>
    <xf numFmtId="174" fontId="84" fillId="0" borderId="45" xfId="93" applyNumberFormat="1" applyFont="1" applyFill="1" applyBorder="1" applyAlignment="1" applyProtection="1">
      <alignment wrapText="1"/>
      <protection locked="0"/>
    </xf>
    <xf numFmtId="2" fontId="155" fillId="21" borderId="37" xfId="93" applyNumberFormat="1" applyFont="1" applyFill="1" applyBorder="1"/>
    <xf numFmtId="2" fontId="153" fillId="21" borderId="37" xfId="93" applyNumberFormat="1" applyFont="1" applyFill="1" applyBorder="1"/>
    <xf numFmtId="4" fontId="153" fillId="21" borderId="37" xfId="93" applyNumberFormat="1" applyFont="1" applyFill="1" applyBorder="1"/>
    <xf numFmtId="4" fontId="153" fillId="21" borderId="37" xfId="94" applyNumberFormat="1" applyFont="1" applyFill="1" applyBorder="1" applyAlignment="1" applyProtection="1"/>
    <xf numFmtId="4" fontId="155" fillId="21" borderId="37" xfId="93" applyNumberFormat="1" applyFont="1" applyFill="1" applyBorder="1"/>
    <xf numFmtId="4" fontId="153" fillId="21" borderId="54" xfId="93" applyNumberFormat="1" applyFont="1" applyFill="1" applyBorder="1"/>
    <xf numFmtId="40" fontId="155" fillId="21" borderId="37" xfId="93" applyNumberFormat="1" applyFont="1" applyFill="1" applyBorder="1"/>
    <xf numFmtId="4" fontId="153" fillId="21" borderId="28" xfId="94" applyNumberFormat="1" applyFont="1" applyFill="1" applyBorder="1"/>
    <xf numFmtId="0" fontId="84" fillId="51" borderId="85" xfId="93" applyFont="1" applyFill="1" applyBorder="1" applyAlignment="1" applyProtection="1">
      <alignment horizontal="left"/>
      <protection locked="0"/>
    </xf>
    <xf numFmtId="0" fontId="84" fillId="51" borderId="85" xfId="93" applyFont="1" applyFill="1" applyBorder="1" applyProtection="1">
      <protection locked="0"/>
    </xf>
    <xf numFmtId="40" fontId="89" fillId="51" borderId="85" xfId="93" applyNumberFormat="1" applyFont="1" applyFill="1" applyBorder="1" applyProtection="1">
      <protection locked="0"/>
    </xf>
    <xf numFmtId="170" fontId="89" fillId="51" borderId="85" xfId="94" applyNumberFormat="1" applyFont="1" applyFill="1" applyBorder="1" applyAlignment="1" applyProtection="1">
      <protection locked="0"/>
    </xf>
    <xf numFmtId="9" fontId="84" fillId="51" borderId="85" xfId="93" applyNumberFormat="1" applyFont="1" applyFill="1" applyBorder="1" applyProtection="1">
      <protection locked="0"/>
    </xf>
    <xf numFmtId="9" fontId="89" fillId="51" borderId="85" xfId="93" applyNumberFormat="1" applyFont="1" applyFill="1" applyBorder="1" applyProtection="1">
      <protection locked="0"/>
    </xf>
    <xf numFmtId="170" fontId="84" fillId="51" borderId="0" xfId="93" applyNumberFormat="1" applyFont="1" applyFill="1" applyProtection="1">
      <protection locked="0"/>
    </xf>
    <xf numFmtId="2" fontId="84" fillId="51" borderId="85" xfId="94" applyNumberFormat="1" applyFont="1" applyFill="1" applyBorder="1" applyAlignment="1" applyProtection="1">
      <protection locked="0"/>
    </xf>
    <xf numFmtId="40" fontId="84" fillId="51" borderId="85" xfId="93" applyNumberFormat="1" applyFont="1" applyFill="1" applyBorder="1" applyProtection="1">
      <protection locked="0"/>
    </xf>
    <xf numFmtId="2" fontId="84" fillId="51" borderId="85" xfId="93" applyNumberFormat="1" applyFont="1" applyFill="1" applyBorder="1" applyProtection="1">
      <protection locked="0"/>
    </xf>
    <xf numFmtId="1" fontId="84" fillId="51" borderId="85" xfId="93" applyNumberFormat="1" applyFont="1" applyFill="1" applyBorder="1" applyProtection="1">
      <protection locked="0"/>
    </xf>
    <xf numFmtId="1" fontId="89" fillId="51" borderId="85" xfId="93" applyNumberFormat="1" applyFont="1" applyFill="1" applyBorder="1" applyProtection="1">
      <protection locked="0"/>
    </xf>
    <xf numFmtId="0" fontId="83" fillId="51" borderId="85" xfId="0" applyFont="1" applyFill="1" applyBorder="1" applyProtection="1">
      <protection locked="0"/>
    </xf>
    <xf numFmtId="40" fontId="89" fillId="51" borderId="27" xfId="93" applyNumberFormat="1" applyFont="1" applyFill="1" applyBorder="1" applyProtection="1">
      <protection locked="0"/>
    </xf>
    <xf numFmtId="40" fontId="89" fillId="51" borderId="3" xfId="93" applyNumberFormat="1" applyFont="1" applyFill="1" applyBorder="1" applyProtection="1">
      <protection locked="0"/>
    </xf>
    <xf numFmtId="40" fontId="89" fillId="51" borderId="15" xfId="93" applyNumberFormat="1" applyFont="1" applyFill="1" applyBorder="1" applyProtection="1">
      <protection locked="0"/>
    </xf>
    <xf numFmtId="0" fontId="89" fillId="51" borderId="85" xfId="93" applyFont="1" applyFill="1" applyBorder="1" applyProtection="1">
      <protection locked="0"/>
    </xf>
    <xf numFmtId="9" fontId="78" fillId="51" borderId="85" xfId="257" applyFont="1" applyFill="1" applyBorder="1"/>
    <xf numFmtId="2" fontId="89" fillId="16" borderId="0" xfId="93" applyNumberFormat="1" applyFont="1" applyFill="1" applyProtection="1">
      <protection locked="0"/>
    </xf>
    <xf numFmtId="1" fontId="155" fillId="0" borderId="0" xfId="93" applyNumberFormat="1" applyFont="1" applyFill="1" applyBorder="1"/>
    <xf numFmtId="2" fontId="205" fillId="0" borderId="0" xfId="93" applyNumberFormat="1" applyFont="1" applyFill="1" applyBorder="1"/>
    <xf numFmtId="0" fontId="89" fillId="22" borderId="0" xfId="93" applyFont="1" applyFill="1" applyProtection="1">
      <protection locked="0"/>
    </xf>
    <xf numFmtId="0" fontId="3" fillId="0" borderId="0" xfId="266" applyFont="1"/>
    <xf numFmtId="1" fontId="35" fillId="0" borderId="0" xfId="0" applyNumberFormat="1" applyFont="1"/>
    <xf numFmtId="40" fontId="84" fillId="53" borderId="85" xfId="93" applyNumberFormat="1" applyFont="1" applyFill="1" applyBorder="1" applyProtection="1">
      <protection locked="0"/>
    </xf>
    <xf numFmtId="0" fontId="127" fillId="0" borderId="0" xfId="0" applyFont="1"/>
    <xf numFmtId="187" fontId="127" fillId="0" borderId="0" xfId="0" applyNumberFormat="1" applyFont="1"/>
    <xf numFmtId="168" fontId="127" fillId="0" borderId="0" xfId="109" applyFont="1"/>
    <xf numFmtId="0" fontId="130" fillId="55" borderId="45" xfId="0" applyFont="1" applyFill="1" applyBorder="1" applyAlignment="1">
      <alignment horizontal="center"/>
    </xf>
    <xf numFmtId="0" fontId="127" fillId="29" borderId="45" xfId="0" applyFont="1" applyFill="1" applyBorder="1"/>
    <xf numFmtId="168" fontId="127" fillId="29" borderId="45" xfId="0" applyNumberFormat="1" applyFont="1" applyFill="1" applyBorder="1"/>
    <xf numFmtId="168" fontId="127" fillId="56" borderId="45" xfId="109" applyFont="1" applyFill="1" applyBorder="1"/>
    <xf numFmtId="0" fontId="127" fillId="22" borderId="0" xfId="0" applyFont="1" applyFill="1"/>
    <xf numFmtId="187" fontId="127" fillId="22" borderId="0" xfId="0" applyNumberFormat="1" applyFont="1" applyFill="1"/>
    <xf numFmtId="168" fontId="127" fillId="22" borderId="0" xfId="109" applyFont="1" applyFill="1"/>
    <xf numFmtId="168" fontId="127" fillId="22" borderId="45" xfId="109" applyFont="1" applyFill="1" applyBorder="1"/>
    <xf numFmtId="0" fontId="0" fillId="22" borderId="0" xfId="0" applyFill="1"/>
    <xf numFmtId="0" fontId="0" fillId="0" borderId="0" xfId="0" applyAlignment="1">
      <alignment horizontal="center"/>
    </xf>
    <xf numFmtId="2" fontId="0" fillId="0" borderId="0" xfId="0" applyNumberFormat="1"/>
    <xf numFmtId="0" fontId="0" fillId="0" borderId="0" xfId="0" applyAlignment="1">
      <alignment horizontal="center"/>
    </xf>
    <xf numFmtId="0" fontId="127" fillId="29" borderId="0" xfId="0" applyFont="1" applyFill="1" applyBorder="1"/>
    <xf numFmtId="168" fontId="127" fillId="29" borderId="0" xfId="0" applyNumberFormat="1" applyFont="1" applyFill="1" applyBorder="1"/>
    <xf numFmtId="0" fontId="29" fillId="21" borderId="85" xfId="93" applyFont="1" applyFill="1" applyBorder="1" applyProtection="1">
      <protection locked="0"/>
    </xf>
    <xf numFmtId="9" fontId="89" fillId="0" borderId="85" xfId="257" applyFont="1" applyFill="1" applyBorder="1" applyAlignment="1" applyProtection="1">
      <alignment horizontal="right"/>
      <protection locked="0"/>
    </xf>
    <xf numFmtId="9" fontId="78" fillId="26" borderId="85" xfId="257" applyFont="1" applyFill="1" applyBorder="1"/>
    <xf numFmtId="0" fontId="89" fillId="26" borderId="0" xfId="93" applyFont="1" applyFill="1" applyProtection="1">
      <protection locked="0"/>
    </xf>
    <xf numFmtId="40" fontId="90" fillId="26" borderId="32" xfId="93" applyNumberFormat="1" applyFont="1" applyFill="1" applyBorder="1" applyProtection="1">
      <protection locked="0"/>
    </xf>
    <xf numFmtId="40" fontId="90" fillId="26" borderId="31" xfId="93" applyNumberFormat="1" applyFont="1" applyFill="1" applyBorder="1" applyProtection="1">
      <protection locked="0"/>
    </xf>
    <xf numFmtId="40" fontId="90" fillId="26" borderId="30" xfId="93" applyNumberFormat="1" applyFont="1" applyFill="1" applyBorder="1" applyProtection="1">
      <protection locked="0"/>
    </xf>
    <xf numFmtId="40" fontId="90" fillId="26" borderId="33" xfId="93" applyNumberFormat="1" applyFont="1" applyFill="1" applyBorder="1" applyProtection="1">
      <protection locked="0"/>
    </xf>
    <xf numFmtId="0" fontId="89" fillId="26" borderId="0" xfId="93" applyFont="1" applyFill="1" applyBorder="1" applyProtection="1">
      <protection locked="0"/>
    </xf>
    <xf numFmtId="40" fontId="89" fillId="26" borderId="29" xfId="93" applyNumberFormat="1" applyFont="1" applyFill="1" applyBorder="1" applyProtection="1">
      <protection locked="0"/>
    </xf>
    <xf numFmtId="40" fontId="89" fillId="26" borderId="32" xfId="93" applyNumberFormat="1" applyFont="1" applyFill="1" applyBorder="1" applyProtection="1">
      <protection locked="0"/>
    </xf>
    <xf numFmtId="40" fontId="89" fillId="26" borderId="31" xfId="93" applyNumberFormat="1" applyFont="1" applyFill="1" applyBorder="1" applyProtection="1">
      <protection locked="0"/>
    </xf>
    <xf numFmtId="40" fontId="89" fillId="26" borderId="30" xfId="93" applyNumberFormat="1" applyFont="1" applyFill="1" applyBorder="1" applyProtection="1">
      <protection locked="0"/>
    </xf>
    <xf numFmtId="40" fontId="89" fillId="26" borderId="33" xfId="93" applyNumberFormat="1" applyFont="1" applyFill="1" applyBorder="1" applyProtection="1">
      <protection locked="0"/>
    </xf>
    <xf numFmtId="40" fontId="188" fillId="26" borderId="85" xfId="93" applyNumberFormat="1" applyFont="1" applyFill="1" applyBorder="1" applyProtection="1">
      <protection locked="0"/>
    </xf>
    <xf numFmtId="40" fontId="90" fillId="26" borderId="85" xfId="93" applyNumberFormat="1" applyFont="1" applyFill="1" applyBorder="1" applyProtection="1">
      <protection locked="0"/>
    </xf>
    <xf numFmtId="1" fontId="90" fillId="26" borderId="85" xfId="93" applyNumberFormat="1" applyFont="1" applyFill="1" applyBorder="1" applyProtection="1">
      <protection locked="0"/>
    </xf>
    <xf numFmtId="1" fontId="89" fillId="26" borderId="85" xfId="93" applyNumberFormat="1" applyFont="1" applyFill="1" applyBorder="1" applyProtection="1">
      <protection locked="0"/>
    </xf>
    <xf numFmtId="2" fontId="89" fillId="26" borderId="85" xfId="93" applyNumberFormat="1" applyFont="1" applyFill="1" applyBorder="1" applyProtection="1">
      <protection locked="0"/>
    </xf>
    <xf numFmtId="170" fontId="89" fillId="26" borderId="0" xfId="93" applyNumberFormat="1" applyFont="1" applyFill="1" applyProtection="1">
      <protection locked="0"/>
    </xf>
    <xf numFmtId="9" fontId="89" fillId="26" borderId="85" xfId="93" applyNumberFormat="1" applyFont="1" applyFill="1" applyBorder="1" applyProtection="1">
      <protection locked="0"/>
    </xf>
    <xf numFmtId="170" fontId="89" fillId="26" borderId="85" xfId="94" applyNumberFormat="1" applyFont="1" applyFill="1" applyBorder="1" applyAlignment="1" applyProtection="1">
      <protection locked="0"/>
    </xf>
    <xf numFmtId="40" fontId="89" fillId="26" borderId="85" xfId="93" applyNumberFormat="1" applyFont="1" applyFill="1" applyBorder="1" applyProtection="1">
      <protection locked="0"/>
    </xf>
    <xf numFmtId="0" fontId="84" fillId="26" borderId="85" xfId="93" applyFont="1" applyFill="1" applyBorder="1" applyProtection="1">
      <protection locked="0"/>
    </xf>
    <xf numFmtId="0" fontId="84" fillId="26" borderId="85" xfId="93" applyFont="1" applyFill="1" applyBorder="1" applyAlignment="1" applyProtection="1">
      <alignment horizontal="left"/>
      <protection locked="0"/>
    </xf>
    <xf numFmtId="0" fontId="85" fillId="26" borderId="0" xfId="93" applyFont="1" applyFill="1" applyProtection="1">
      <protection locked="0"/>
    </xf>
    <xf numFmtId="0" fontId="84" fillId="21" borderId="85" xfId="93" applyFont="1" applyFill="1" applyBorder="1" applyAlignment="1" applyProtection="1">
      <alignment horizontal="left"/>
      <protection locked="0"/>
    </xf>
    <xf numFmtId="0" fontId="84" fillId="21" borderId="85" xfId="93" applyFont="1" applyFill="1" applyBorder="1" applyProtection="1">
      <protection locked="0"/>
    </xf>
    <xf numFmtId="0" fontId="89" fillId="21" borderId="85" xfId="93" applyFont="1" applyFill="1" applyBorder="1" applyProtection="1">
      <protection locked="0"/>
    </xf>
    <xf numFmtId="170" fontId="89" fillId="21" borderId="85" xfId="94" applyNumberFormat="1" applyFont="1" applyFill="1" applyBorder="1" applyAlignment="1" applyProtection="1">
      <protection locked="0"/>
    </xf>
    <xf numFmtId="40" fontId="89" fillId="21" borderId="85" xfId="93" applyNumberFormat="1" applyFont="1" applyFill="1" applyBorder="1" applyProtection="1">
      <protection locked="0"/>
    </xf>
    <xf numFmtId="9" fontId="89" fillId="21" borderId="85" xfId="93" applyNumberFormat="1" applyFont="1" applyFill="1" applyBorder="1" applyProtection="1">
      <protection locked="0"/>
    </xf>
    <xf numFmtId="2" fontId="89" fillId="21" borderId="85" xfId="94" applyNumberFormat="1" applyFont="1" applyFill="1" applyBorder="1" applyAlignment="1" applyProtection="1">
      <protection locked="0"/>
    </xf>
    <xf numFmtId="2" fontId="89" fillId="21" borderId="85" xfId="93" applyNumberFormat="1" applyFont="1" applyFill="1" applyBorder="1" applyProtection="1">
      <protection locked="0"/>
    </xf>
    <xf numFmtId="1" fontId="89" fillId="21" borderId="85" xfId="93" applyNumberFormat="1" applyFont="1" applyFill="1" applyBorder="1" applyProtection="1">
      <protection locked="0"/>
    </xf>
    <xf numFmtId="0" fontId="89" fillId="21" borderId="0" xfId="93" applyFont="1" applyFill="1" applyBorder="1" applyProtection="1">
      <protection locked="0"/>
    </xf>
    <xf numFmtId="0" fontId="89" fillId="21" borderId="0" xfId="93" applyFont="1" applyFill="1" applyProtection="1">
      <protection locked="0"/>
    </xf>
    <xf numFmtId="9" fontId="78" fillId="21" borderId="85" xfId="257" applyFont="1" applyFill="1" applyBorder="1"/>
    <xf numFmtId="40" fontId="84" fillId="21" borderId="85" xfId="93" applyNumberFormat="1" applyFont="1" applyFill="1" applyBorder="1" applyProtection="1">
      <protection locked="0"/>
    </xf>
    <xf numFmtId="0" fontId="83" fillId="21" borderId="85" xfId="0" applyFont="1" applyFill="1" applyBorder="1" applyProtection="1">
      <protection locked="0"/>
    </xf>
    <xf numFmtId="40" fontId="89" fillId="21" borderId="27" xfId="93" applyNumberFormat="1" applyFont="1" applyFill="1" applyBorder="1" applyProtection="1">
      <protection locked="0"/>
    </xf>
    <xf numFmtId="40" fontId="89" fillId="21" borderId="3" xfId="93" applyNumberFormat="1" applyFont="1" applyFill="1" applyBorder="1" applyProtection="1">
      <protection locked="0"/>
    </xf>
    <xf numFmtId="40" fontId="89" fillId="21" borderId="15" xfId="93" applyNumberFormat="1" applyFont="1" applyFill="1" applyBorder="1" applyProtection="1">
      <protection locked="0"/>
    </xf>
    <xf numFmtId="0" fontId="85" fillId="21" borderId="0" xfId="93" applyFont="1" applyFill="1" applyProtection="1">
      <protection locked="0"/>
    </xf>
    <xf numFmtId="4" fontId="165" fillId="0" borderId="0" xfId="93" applyNumberFormat="1" applyFont="1" applyFill="1" applyBorder="1"/>
    <xf numFmtId="0" fontId="170" fillId="0" borderId="0" xfId="93" applyFont="1" applyFill="1" applyBorder="1"/>
    <xf numFmtId="9" fontId="84" fillId="21" borderId="85" xfId="257" applyFont="1" applyFill="1" applyBorder="1" applyAlignment="1" applyProtection="1">
      <protection locked="0"/>
    </xf>
    <xf numFmtId="171" fontId="89" fillId="21" borderId="85" xfId="94" applyNumberFormat="1" applyFont="1" applyFill="1" applyBorder="1" applyAlignment="1" applyProtection="1">
      <protection locked="0"/>
    </xf>
    <xf numFmtId="0" fontId="89" fillId="26" borderId="85" xfId="93" applyFont="1" applyFill="1" applyBorder="1" applyProtection="1">
      <protection locked="0"/>
    </xf>
    <xf numFmtId="2" fontId="153" fillId="33" borderId="0" xfId="93" applyNumberFormat="1" applyFont="1" applyFill="1" applyBorder="1"/>
    <xf numFmtId="4" fontId="166" fillId="0" borderId="0" xfId="93" applyNumberFormat="1" applyFont="1" applyFill="1" applyBorder="1"/>
    <xf numFmtId="2" fontId="97" fillId="0" borderId="0" xfId="93" applyNumberFormat="1" applyFont="1" applyFill="1" applyBorder="1"/>
    <xf numFmtId="4" fontId="207" fillId="0" borderId="0" xfId="93" applyNumberFormat="1" applyFont="1" applyFill="1" applyBorder="1"/>
    <xf numFmtId="4" fontId="97" fillId="0" borderId="0" xfId="93" applyNumberFormat="1" applyFont="1" applyFill="1" applyBorder="1"/>
    <xf numFmtId="174" fontId="158" fillId="16" borderId="0" xfId="93" applyNumberFormat="1" applyFont="1" applyFill="1" applyProtection="1">
      <protection locked="0"/>
    </xf>
    <xf numFmtId="186" fontId="158" fillId="16" borderId="0" xfId="93" applyNumberFormat="1" applyFont="1" applyFill="1" applyProtection="1">
      <protection locked="0"/>
    </xf>
    <xf numFmtId="0" fontId="158" fillId="16" borderId="0" xfId="93" applyFont="1" applyFill="1" applyProtection="1">
      <protection locked="0"/>
    </xf>
    <xf numFmtId="185" fontId="158" fillId="16" borderId="0" xfId="93" applyNumberFormat="1" applyFont="1" applyFill="1" applyProtection="1">
      <protection locked="0"/>
    </xf>
    <xf numFmtId="170" fontId="158" fillId="16" borderId="0" xfId="93" applyNumberFormat="1" applyFont="1" applyFill="1" applyProtection="1">
      <protection locked="0"/>
    </xf>
    <xf numFmtId="0" fontId="85" fillId="51" borderId="0" xfId="93" applyFont="1" applyFill="1" applyProtection="1">
      <protection locked="0"/>
    </xf>
    <xf numFmtId="170" fontId="84" fillId="51" borderId="85" xfId="94" applyNumberFormat="1" applyFont="1" applyFill="1" applyBorder="1" applyAlignment="1" applyProtection="1">
      <protection locked="0"/>
    </xf>
    <xf numFmtId="9" fontId="84" fillId="51" borderId="85" xfId="257" applyFont="1" applyFill="1" applyBorder="1" applyAlignment="1" applyProtection="1">
      <protection locked="0"/>
    </xf>
    <xf numFmtId="0" fontId="84" fillId="51" borderId="0" xfId="93" applyFont="1" applyFill="1" applyBorder="1" applyProtection="1">
      <protection locked="0"/>
    </xf>
    <xf numFmtId="0" fontId="188" fillId="51" borderId="85" xfId="93" applyFont="1" applyFill="1" applyBorder="1" applyProtection="1">
      <protection locked="0"/>
    </xf>
    <xf numFmtId="0" fontId="84" fillId="51" borderId="0" xfId="93" applyFont="1" applyFill="1" applyProtection="1">
      <protection locked="0"/>
    </xf>
    <xf numFmtId="0" fontId="1" fillId="0" borderId="0" xfId="266" applyFont="1"/>
    <xf numFmtId="168" fontId="34" fillId="0" borderId="0" xfId="109" applyFont="1" applyBorder="1"/>
    <xf numFmtId="4" fontId="59" fillId="21" borderId="0" xfId="93" applyNumberFormat="1" applyFont="1" applyFill="1" applyBorder="1"/>
    <xf numFmtId="168" fontId="127" fillId="21" borderId="0" xfId="109" applyFont="1" applyFill="1"/>
    <xf numFmtId="168" fontId="127" fillId="54" borderId="0" xfId="109" applyFont="1" applyFill="1"/>
    <xf numFmtId="40" fontId="89" fillId="57" borderId="85" xfId="93" applyNumberFormat="1" applyFont="1" applyFill="1" applyBorder="1" applyProtection="1">
      <protection locked="0"/>
    </xf>
    <xf numFmtId="40" fontId="84" fillId="57" borderId="85" xfId="93" applyNumberFormat="1" applyFont="1" applyFill="1" applyBorder="1" applyProtection="1">
      <protection locked="0"/>
    </xf>
    <xf numFmtId="40" fontId="188" fillId="57" borderId="85" xfId="93" applyNumberFormat="1" applyFont="1" applyFill="1" applyBorder="1" applyProtection="1">
      <protection locked="0"/>
    </xf>
    <xf numFmtId="40" fontId="89" fillId="22" borderId="23" xfId="93" applyNumberFormat="1" applyFont="1" applyFill="1" applyBorder="1" applyProtection="1">
      <protection locked="0"/>
    </xf>
    <xf numFmtId="170" fontId="84" fillId="59" borderId="85" xfId="93" applyNumberFormat="1" applyFont="1" applyFill="1" applyBorder="1" applyProtection="1">
      <protection locked="0"/>
    </xf>
    <xf numFmtId="2" fontId="18" fillId="0" borderId="45" xfId="93" applyNumberFormat="1" applyBorder="1"/>
    <xf numFmtId="2" fontId="74" fillId="0" borderId="45" xfId="93" applyNumberFormat="1" applyFont="1" applyBorder="1"/>
    <xf numFmtId="2" fontId="18" fillId="21" borderId="45" xfId="93" applyNumberFormat="1" applyFill="1" applyBorder="1"/>
    <xf numFmtId="2" fontId="78" fillId="0" borderId="45" xfId="93" applyNumberFormat="1" applyFont="1" applyBorder="1"/>
    <xf numFmtId="168" fontId="127" fillId="60" borderId="0" xfId="109" applyFont="1" applyFill="1"/>
    <xf numFmtId="0" fontId="65" fillId="0" borderId="0" xfId="0" applyFont="1"/>
    <xf numFmtId="0" fontId="64" fillId="62" borderId="45" xfId="0" applyFont="1" applyFill="1" applyBorder="1"/>
    <xf numFmtId="0" fontId="64" fillId="0" borderId="45" xfId="0" applyFont="1" applyBorder="1"/>
    <xf numFmtId="0" fontId="64" fillId="60" borderId="45" xfId="0" applyFont="1" applyFill="1" applyBorder="1" applyAlignment="1">
      <alignment horizontal="center"/>
    </xf>
    <xf numFmtId="0" fontId="64" fillId="0" borderId="45" xfId="0" applyFont="1" applyBorder="1" applyAlignment="1">
      <alignment horizontal="center"/>
    </xf>
    <xf numFmtId="168" fontId="64" fillId="0" borderId="45" xfId="109" applyFont="1" applyBorder="1"/>
    <xf numFmtId="0" fontId="64" fillId="56" borderId="45" xfId="0" applyFont="1" applyFill="1" applyBorder="1" applyAlignment="1">
      <alignment horizontal="center"/>
    </xf>
    <xf numFmtId="168" fontId="64" fillId="56" borderId="45" xfId="109" applyFont="1" applyFill="1" applyBorder="1"/>
    <xf numFmtId="0" fontId="64" fillId="63" borderId="45" xfId="0" applyFont="1" applyFill="1" applyBorder="1" applyAlignment="1">
      <alignment horizontal="center"/>
    </xf>
    <xf numFmtId="168" fontId="64" fillId="0" borderId="45" xfId="109" applyFont="1" applyBorder="1" applyAlignment="1">
      <alignment horizontal="center"/>
    </xf>
    <xf numFmtId="168" fontId="64" fillId="56" borderId="45" xfId="109" applyFont="1" applyFill="1" applyBorder="1" applyAlignment="1">
      <alignment horizontal="center"/>
    </xf>
    <xf numFmtId="0" fontId="210" fillId="0" borderId="0" xfId="0" applyFont="1"/>
    <xf numFmtId="0" fontId="210" fillId="21" borderId="0" xfId="0" applyFont="1" applyFill="1"/>
    <xf numFmtId="0" fontId="212" fillId="0" borderId="0" xfId="0" applyFont="1"/>
    <xf numFmtId="0" fontId="213" fillId="0" borderId="89" xfId="93" applyFont="1" applyFill="1" applyBorder="1" applyAlignment="1" applyProtection="1">
      <alignment horizontal="left" vertical="center"/>
      <protection locked="0"/>
    </xf>
    <xf numFmtId="0" fontId="213" fillId="16" borderId="90" xfId="93" applyFont="1" applyFill="1" applyBorder="1" applyAlignment="1" applyProtection="1">
      <alignment horizontal="center" vertical="center"/>
      <protection locked="0"/>
    </xf>
    <xf numFmtId="166" fontId="214" fillId="28" borderId="90" xfId="94" applyFont="1" applyFill="1" applyBorder="1" applyAlignment="1">
      <alignment horizontal="center" vertical="center" wrapText="1"/>
    </xf>
    <xf numFmtId="0" fontId="213" fillId="0" borderId="0" xfId="93" applyFont="1" applyFill="1" applyBorder="1" applyAlignment="1" applyProtection="1">
      <alignment horizontal="left"/>
      <protection locked="0"/>
    </xf>
    <xf numFmtId="0" fontId="213" fillId="0" borderId="0" xfId="93" applyFont="1" applyFill="1" applyBorder="1" applyAlignment="1" applyProtection="1">
      <alignment horizontal="center"/>
      <protection locked="0"/>
    </xf>
    <xf numFmtId="0" fontId="215" fillId="0" borderId="0" xfId="93" applyFont="1" applyFill="1" applyBorder="1" applyAlignment="1" applyProtection="1">
      <alignment horizontal="center"/>
      <protection locked="0"/>
    </xf>
    <xf numFmtId="170" fontId="215" fillId="0" borderId="0" xfId="93" applyNumberFormat="1" applyFont="1" applyFill="1" applyBorder="1" applyAlignment="1" applyProtection="1">
      <alignment horizontal="center"/>
      <protection locked="0"/>
    </xf>
    <xf numFmtId="170" fontId="215" fillId="0" borderId="0" xfId="93" applyNumberFormat="1" applyFont="1" applyFill="1" applyBorder="1" applyAlignment="1" applyProtection="1">
      <alignment horizontal="center" vertical="center" wrapText="1"/>
      <protection locked="0"/>
    </xf>
    <xf numFmtId="9" fontId="215" fillId="0" borderId="0" xfId="257" applyFont="1" applyFill="1" applyBorder="1" applyAlignment="1" applyProtection="1">
      <alignment horizontal="center" vertical="center" wrapText="1"/>
      <protection locked="0"/>
    </xf>
    <xf numFmtId="0" fontId="216" fillId="0" borderId="0" xfId="93" applyFont="1" applyFill="1" applyBorder="1" applyAlignment="1" applyProtection="1">
      <alignment horizontal="center"/>
      <protection locked="0"/>
    </xf>
    <xf numFmtId="170" fontId="216" fillId="0" borderId="0" xfId="93" applyNumberFormat="1" applyFont="1" applyFill="1" applyBorder="1" applyAlignment="1" applyProtection="1">
      <alignment horizontal="center"/>
      <protection locked="0"/>
    </xf>
    <xf numFmtId="170" fontId="216" fillId="0" borderId="0" xfId="93" applyNumberFormat="1" applyFont="1" applyFill="1" applyBorder="1" applyAlignment="1" applyProtection="1">
      <alignment horizontal="center" vertical="center" wrapText="1"/>
      <protection locked="0"/>
    </xf>
    <xf numFmtId="9" fontId="216" fillId="0" borderId="0" xfId="257" applyFont="1" applyFill="1" applyBorder="1" applyAlignment="1" applyProtection="1">
      <alignment horizontal="center" vertical="center" wrapText="1"/>
      <protection locked="0"/>
    </xf>
    <xf numFmtId="0" fontId="215" fillId="21" borderId="85" xfId="93" applyFont="1" applyFill="1" applyBorder="1" applyAlignment="1" applyProtection="1">
      <alignment horizontal="left"/>
      <protection locked="0"/>
    </xf>
    <xf numFmtId="0" fontId="215" fillId="21" borderId="85" xfId="93" applyFont="1" applyFill="1" applyBorder="1" applyProtection="1">
      <protection locked="0"/>
    </xf>
    <xf numFmtId="0" fontId="217" fillId="21" borderId="85" xfId="93" applyFont="1" applyFill="1" applyBorder="1" applyProtection="1">
      <protection locked="0"/>
    </xf>
    <xf numFmtId="40" fontId="217" fillId="21" borderId="85" xfId="93" applyNumberFormat="1" applyFont="1" applyFill="1" applyBorder="1" applyProtection="1">
      <protection locked="0"/>
    </xf>
    <xf numFmtId="40" fontId="217" fillId="0" borderId="85" xfId="93" applyNumberFormat="1" applyFont="1" applyFill="1" applyBorder="1" applyProtection="1">
      <protection locked="0"/>
    </xf>
    <xf numFmtId="170" fontId="217" fillId="0" borderId="85" xfId="94" applyNumberFormat="1" applyFont="1" applyFill="1" applyBorder="1" applyAlignment="1" applyProtection="1">
      <protection locked="0"/>
    </xf>
    <xf numFmtId="9" fontId="217" fillId="0" borderId="85" xfId="93" applyNumberFormat="1" applyFont="1" applyFill="1" applyBorder="1" applyProtection="1">
      <protection locked="0"/>
    </xf>
    <xf numFmtId="9" fontId="217" fillId="21" borderId="85" xfId="93" applyNumberFormat="1" applyFont="1" applyFill="1" applyBorder="1" applyProtection="1">
      <protection locked="0"/>
    </xf>
    <xf numFmtId="0" fontId="215" fillId="0" borderId="85" xfId="93" applyFont="1" applyFill="1" applyBorder="1" applyAlignment="1" applyProtection="1">
      <alignment horizontal="left"/>
      <protection locked="0"/>
    </xf>
    <xf numFmtId="0" fontId="215" fillId="0" borderId="85" xfId="93" applyFont="1" applyFill="1" applyBorder="1" applyProtection="1">
      <protection locked="0"/>
    </xf>
    <xf numFmtId="0" fontId="217" fillId="0" borderId="85" xfId="93" applyFont="1" applyFill="1" applyBorder="1" applyProtection="1">
      <protection locked="0"/>
    </xf>
    <xf numFmtId="170" fontId="217" fillId="21" borderId="85" xfId="94" applyNumberFormat="1" applyFont="1" applyFill="1" applyBorder="1" applyAlignment="1" applyProtection="1">
      <protection locked="0"/>
    </xf>
    <xf numFmtId="0" fontId="215" fillId="0" borderId="0" xfId="93" applyFont="1" applyFill="1" applyBorder="1" applyAlignment="1" applyProtection="1">
      <alignment horizontal="left"/>
      <protection locked="0"/>
    </xf>
    <xf numFmtId="0" fontId="213" fillId="0" borderId="0" xfId="93" applyFont="1" applyFill="1" applyBorder="1" applyProtection="1">
      <protection locked="0"/>
    </xf>
    <xf numFmtId="0" fontId="217" fillId="0" borderId="0" xfId="93" applyFont="1" applyFill="1" applyBorder="1" applyProtection="1">
      <protection locked="0"/>
    </xf>
    <xf numFmtId="40" fontId="213" fillId="21" borderId="34" xfId="93" applyNumberFormat="1" applyFont="1" applyFill="1" applyBorder="1" applyProtection="1">
      <protection locked="0"/>
    </xf>
    <xf numFmtId="9" fontId="217" fillId="0" borderId="0" xfId="93" applyNumberFormat="1" applyFont="1" applyFill="1" applyBorder="1" applyProtection="1">
      <protection locked="0"/>
    </xf>
    <xf numFmtId="0" fontId="215" fillId="0" borderId="0" xfId="93" applyFont="1" applyFill="1" applyBorder="1" applyProtection="1">
      <protection locked="0"/>
    </xf>
    <xf numFmtId="40" fontId="217" fillId="21" borderId="0" xfId="93" applyNumberFormat="1" applyFont="1" applyFill="1" applyBorder="1" applyProtection="1">
      <protection locked="0"/>
    </xf>
    <xf numFmtId="40" fontId="217" fillId="0" borderId="0" xfId="93" applyNumberFormat="1" applyFont="1" applyFill="1" applyBorder="1" applyProtection="1">
      <protection locked="0"/>
    </xf>
    <xf numFmtId="170" fontId="217" fillId="0" borderId="0" xfId="94" applyNumberFormat="1" applyFont="1" applyFill="1" applyBorder="1" applyAlignment="1" applyProtection="1">
      <protection locked="0"/>
    </xf>
    <xf numFmtId="40" fontId="215" fillId="0" borderId="85" xfId="93" applyNumberFormat="1" applyFont="1" applyFill="1" applyBorder="1" applyProtection="1">
      <protection locked="0"/>
    </xf>
    <xf numFmtId="170" fontId="216" fillId="0" borderId="85" xfId="94" applyNumberFormat="1" applyFont="1" applyFill="1" applyBorder="1" applyAlignment="1" applyProtection="1">
      <protection locked="0"/>
    </xf>
    <xf numFmtId="9" fontId="216" fillId="0" borderId="85" xfId="93" applyNumberFormat="1" applyFont="1" applyFill="1" applyBorder="1" applyProtection="1">
      <protection locked="0"/>
    </xf>
    <xf numFmtId="9" fontId="217" fillId="25" borderId="85" xfId="93" applyNumberFormat="1" applyFont="1" applyFill="1" applyBorder="1" applyProtection="1">
      <protection locked="0"/>
    </xf>
    <xf numFmtId="40" fontId="213" fillId="0" borderId="34" xfId="93" applyNumberFormat="1" applyFont="1" applyFill="1" applyBorder="1" applyProtection="1">
      <protection locked="0"/>
    </xf>
    <xf numFmtId="170" fontId="217" fillId="51" borderId="85" xfId="94" applyNumberFormat="1" applyFont="1" applyFill="1" applyBorder="1" applyAlignment="1" applyProtection="1">
      <protection locked="0"/>
    </xf>
    <xf numFmtId="40" fontId="216" fillId="21" borderId="0" xfId="93" applyNumberFormat="1" applyFont="1" applyFill="1" applyBorder="1" applyProtection="1">
      <protection locked="0"/>
    </xf>
    <xf numFmtId="40" fontId="216" fillId="0" borderId="0" xfId="93" applyNumberFormat="1" applyFont="1" applyFill="1" applyBorder="1" applyProtection="1">
      <protection locked="0"/>
    </xf>
    <xf numFmtId="170" fontId="216" fillId="21" borderId="0" xfId="94" applyNumberFormat="1" applyFont="1" applyFill="1" applyBorder="1" applyAlignment="1" applyProtection="1">
      <protection locked="0"/>
    </xf>
    <xf numFmtId="170" fontId="216" fillId="0" borderId="0" xfId="94" applyNumberFormat="1" applyFont="1" applyFill="1" applyBorder="1" applyAlignment="1" applyProtection="1">
      <protection locked="0"/>
    </xf>
    <xf numFmtId="170" fontId="216" fillId="0" borderId="0" xfId="93" applyNumberFormat="1" applyFont="1" applyFill="1" applyBorder="1" applyProtection="1">
      <protection locked="0"/>
    </xf>
    <xf numFmtId="10" fontId="217" fillId="0" borderId="0" xfId="94" applyNumberFormat="1" applyFont="1" applyFill="1" applyBorder="1" applyAlignment="1" applyProtection="1">
      <protection locked="0"/>
    </xf>
    <xf numFmtId="9" fontId="216" fillId="0" borderId="0" xfId="257" applyFont="1" applyFill="1" applyBorder="1" applyAlignment="1" applyProtection="1">
      <protection locked="0"/>
    </xf>
    <xf numFmtId="9" fontId="217" fillId="21" borderId="85" xfId="94" applyNumberFormat="1" applyFont="1" applyFill="1" applyBorder="1" applyAlignment="1" applyProtection="1">
      <protection locked="0"/>
    </xf>
    <xf numFmtId="170" fontId="215" fillId="21" borderId="85" xfId="94" applyNumberFormat="1" applyFont="1" applyFill="1" applyBorder="1" applyAlignment="1" applyProtection="1">
      <protection locked="0"/>
    </xf>
    <xf numFmtId="9" fontId="215" fillId="21" borderId="85" xfId="94" applyNumberFormat="1" applyFont="1" applyFill="1" applyBorder="1" applyAlignment="1" applyProtection="1">
      <protection locked="0"/>
    </xf>
    <xf numFmtId="9" fontId="215" fillId="21" borderId="85" xfId="93" applyNumberFormat="1" applyFont="1" applyFill="1" applyBorder="1" applyProtection="1">
      <protection locked="0"/>
    </xf>
    <xf numFmtId="170" fontId="216" fillId="21" borderId="34" xfId="94" applyNumberFormat="1" applyFont="1" applyFill="1" applyBorder="1" applyAlignment="1" applyProtection="1">
      <protection locked="0"/>
    </xf>
    <xf numFmtId="0" fontId="216" fillId="0" borderId="0" xfId="93" applyFont="1" applyFill="1" applyBorder="1" applyProtection="1">
      <protection locked="0"/>
    </xf>
    <xf numFmtId="9" fontId="217" fillId="0" borderId="85" xfId="257" applyFont="1" applyFill="1" applyBorder="1" applyAlignment="1" applyProtection="1">
      <protection locked="0"/>
    </xf>
    <xf numFmtId="170" fontId="213" fillId="21" borderId="47" xfId="94" applyNumberFormat="1" applyFont="1" applyFill="1" applyBorder="1" applyAlignment="1" applyProtection="1">
      <protection locked="0"/>
    </xf>
    <xf numFmtId="170" fontId="213" fillId="0" borderId="47" xfId="94" applyNumberFormat="1" applyFont="1" applyFill="1" applyBorder="1" applyAlignment="1" applyProtection="1">
      <protection locked="0"/>
    </xf>
    <xf numFmtId="9" fontId="217" fillId="0" borderId="0" xfId="257" applyFont="1" applyFill="1" applyBorder="1" applyAlignment="1" applyProtection="1">
      <protection locked="0"/>
    </xf>
    <xf numFmtId="170" fontId="216" fillId="21" borderId="0" xfId="93" applyNumberFormat="1" applyFont="1" applyFill="1" applyBorder="1" applyProtection="1">
      <protection locked="0"/>
    </xf>
    <xf numFmtId="170" fontId="213" fillId="21" borderId="0" xfId="94" applyNumberFormat="1" applyFont="1" applyFill="1" applyBorder="1" applyAlignment="1" applyProtection="1">
      <protection locked="0"/>
    </xf>
    <xf numFmtId="170" fontId="213" fillId="0" borderId="0" xfId="94" applyNumberFormat="1" applyFont="1" applyFill="1" applyBorder="1" applyAlignment="1" applyProtection="1">
      <protection locked="0"/>
    </xf>
    <xf numFmtId="9" fontId="213" fillId="0" borderId="0" xfId="257" applyFont="1" applyFill="1" applyBorder="1" applyAlignment="1" applyProtection="1">
      <protection locked="0"/>
    </xf>
    <xf numFmtId="170" fontId="217" fillId="21" borderId="0" xfId="94" applyNumberFormat="1" applyFont="1" applyFill="1" applyBorder="1" applyAlignment="1" applyProtection="1">
      <protection locked="0"/>
    </xf>
    <xf numFmtId="0" fontId="213" fillId="0" borderId="0" xfId="93" applyFont="1" applyFill="1" applyAlignment="1" applyProtection="1">
      <alignment horizontal="left"/>
      <protection locked="0"/>
    </xf>
    <xf numFmtId="0" fontId="215" fillId="21" borderId="0" xfId="93" applyFont="1" applyFill="1" applyProtection="1">
      <protection locked="0"/>
    </xf>
    <xf numFmtId="0" fontId="217" fillId="21" borderId="0" xfId="93" applyFont="1" applyFill="1" applyProtection="1">
      <protection locked="0"/>
    </xf>
    <xf numFmtId="170" fontId="217" fillId="21" borderId="0" xfId="93" applyNumberFormat="1" applyFont="1" applyFill="1" applyProtection="1">
      <protection locked="0"/>
    </xf>
    <xf numFmtId="9" fontId="217" fillId="21" borderId="0" xfId="257" applyFont="1" applyFill="1" applyBorder="1" applyAlignment="1" applyProtection="1">
      <protection locked="0"/>
    </xf>
    <xf numFmtId="171" fontId="217" fillId="21" borderId="85" xfId="94" applyNumberFormat="1" applyFont="1" applyFill="1" applyBorder="1" applyAlignment="1" applyProtection="1">
      <protection locked="0"/>
    </xf>
    <xf numFmtId="9" fontId="215" fillId="21" borderId="85" xfId="257" applyFont="1" applyFill="1" applyBorder="1" applyAlignment="1" applyProtection="1">
      <protection locked="0"/>
    </xf>
    <xf numFmtId="9" fontId="216" fillId="21" borderId="85" xfId="93" applyNumberFormat="1" applyFont="1" applyFill="1" applyBorder="1" applyProtection="1">
      <protection locked="0"/>
    </xf>
    <xf numFmtId="9" fontId="217" fillId="21" borderId="85" xfId="257" applyFont="1" applyFill="1" applyBorder="1" applyAlignment="1" applyProtection="1">
      <protection locked="0"/>
    </xf>
    <xf numFmtId="171" fontId="215" fillId="21" borderId="85" xfId="94" applyNumberFormat="1" applyFont="1" applyFill="1" applyBorder="1" applyAlignment="1" applyProtection="1">
      <protection locked="0"/>
    </xf>
    <xf numFmtId="0" fontId="213" fillId="21" borderId="0" xfId="93" applyFont="1" applyFill="1" applyBorder="1" applyAlignment="1" applyProtection="1">
      <alignment horizontal="left"/>
      <protection locked="0"/>
    </xf>
    <xf numFmtId="0" fontId="213" fillId="21" borderId="0" xfId="93" applyFont="1" applyFill="1" applyBorder="1" applyProtection="1">
      <protection locked="0"/>
    </xf>
    <xf numFmtId="40" fontId="213" fillId="21" borderId="47" xfId="93" applyNumberFormat="1" applyFont="1" applyFill="1" applyBorder="1" applyProtection="1">
      <protection locked="0"/>
    </xf>
    <xf numFmtId="9" fontId="213" fillId="21" borderId="0" xfId="257" applyFont="1" applyFill="1" applyBorder="1" applyAlignment="1" applyProtection="1">
      <protection locked="0"/>
    </xf>
    <xf numFmtId="9" fontId="216" fillId="21" borderId="0" xfId="257" applyFont="1" applyFill="1" applyBorder="1" applyAlignment="1" applyProtection="1">
      <protection locked="0"/>
    </xf>
    <xf numFmtId="170" fontId="216" fillId="21" borderId="85" xfId="94" applyNumberFormat="1" applyFont="1" applyFill="1" applyBorder="1" applyAlignment="1" applyProtection="1">
      <protection locked="0"/>
    </xf>
    <xf numFmtId="171" fontId="216" fillId="21" borderId="85" xfId="94" applyNumberFormat="1" applyFont="1" applyFill="1" applyBorder="1" applyAlignment="1" applyProtection="1">
      <protection locked="0"/>
    </xf>
    <xf numFmtId="9" fontId="216" fillId="21" borderId="85" xfId="257" applyFont="1" applyFill="1" applyBorder="1" applyAlignment="1" applyProtection="1">
      <protection locked="0"/>
    </xf>
    <xf numFmtId="0" fontId="217" fillId="21" borderId="0" xfId="93" applyFont="1" applyFill="1" applyBorder="1" applyProtection="1">
      <protection locked="0"/>
    </xf>
    <xf numFmtId="40" fontId="213" fillId="21" borderId="0" xfId="93" applyNumberFormat="1" applyFont="1" applyFill="1" applyBorder="1" applyProtection="1">
      <protection locked="0"/>
    </xf>
    <xf numFmtId="170" fontId="213" fillId="21" borderId="28" xfId="94" applyNumberFormat="1" applyFont="1" applyFill="1" applyBorder="1" applyAlignment="1" applyProtection="1">
      <protection locked="0"/>
    </xf>
    <xf numFmtId="0" fontId="215" fillId="21" borderId="0" xfId="93" applyFont="1" applyFill="1" applyBorder="1" applyProtection="1">
      <protection locked="0"/>
    </xf>
    <xf numFmtId="0" fontId="218" fillId="0" borderId="0" xfId="93" applyFont="1" applyFill="1" applyBorder="1" applyAlignment="1" applyProtection="1">
      <alignment horizontal="left"/>
      <protection locked="0"/>
    </xf>
    <xf numFmtId="40" fontId="216" fillId="21" borderId="85" xfId="93" applyNumberFormat="1" applyFont="1" applyFill="1" applyBorder="1" applyProtection="1">
      <protection locked="0"/>
    </xf>
    <xf numFmtId="9" fontId="216" fillId="0" borderId="85" xfId="257" applyFont="1" applyFill="1" applyBorder="1" applyAlignment="1" applyProtection="1">
      <protection locked="0"/>
    </xf>
    <xf numFmtId="0" fontId="216" fillId="21" borderId="0" xfId="93" applyFont="1" applyFill="1" applyBorder="1" applyProtection="1">
      <protection locked="0"/>
    </xf>
    <xf numFmtId="170" fontId="213" fillId="21" borderId="0" xfId="93" applyNumberFormat="1" applyFont="1" applyFill="1" applyBorder="1" applyProtection="1">
      <protection locked="0"/>
    </xf>
    <xf numFmtId="170" fontId="213" fillId="21" borderId="34" xfId="94" applyNumberFormat="1" applyFont="1" applyFill="1" applyBorder="1" applyAlignment="1" applyProtection="1">
      <protection locked="0"/>
    </xf>
    <xf numFmtId="170" fontId="213" fillId="0" borderId="34" xfId="94" applyNumberFormat="1" applyFont="1" applyFill="1" applyBorder="1" applyAlignment="1" applyProtection="1">
      <protection locked="0"/>
    </xf>
    <xf numFmtId="40" fontId="213" fillId="0" borderId="0" xfId="93" applyNumberFormat="1" applyFont="1" applyFill="1" applyBorder="1" applyProtection="1">
      <protection locked="0"/>
    </xf>
    <xf numFmtId="9" fontId="213" fillId="0" borderId="0" xfId="93" applyNumberFormat="1" applyFont="1" applyFill="1" applyBorder="1" applyProtection="1">
      <protection locked="0"/>
    </xf>
    <xf numFmtId="170" fontId="213" fillId="21" borderId="98" xfId="94" applyNumberFormat="1" applyFont="1" applyFill="1" applyBorder="1" applyAlignment="1" applyProtection="1">
      <protection locked="0"/>
    </xf>
    <xf numFmtId="170" fontId="213" fillId="0" borderId="98" xfId="94" applyNumberFormat="1" applyFont="1" applyFill="1" applyBorder="1" applyAlignment="1" applyProtection="1">
      <protection locked="0"/>
    </xf>
    <xf numFmtId="170" fontId="213" fillId="21" borderId="99" xfId="94" applyNumberFormat="1" applyFont="1" applyFill="1" applyBorder="1" applyAlignment="1" applyProtection="1">
      <protection locked="0"/>
    </xf>
    <xf numFmtId="9" fontId="216" fillId="0" borderId="0" xfId="93" applyNumberFormat="1" applyFont="1" applyFill="1" applyBorder="1" applyProtection="1">
      <protection locked="0"/>
    </xf>
    <xf numFmtId="40" fontId="213" fillId="21" borderId="102" xfId="93" applyNumberFormat="1" applyFont="1" applyFill="1" applyBorder="1" applyProtection="1">
      <protection locked="0"/>
    </xf>
    <xf numFmtId="40" fontId="213" fillId="0" borderId="102" xfId="93" applyNumberFormat="1" applyFont="1" applyFill="1" applyBorder="1" applyProtection="1">
      <protection locked="0"/>
    </xf>
    <xf numFmtId="0" fontId="213" fillId="0" borderId="7" xfId="93" applyFont="1" applyFill="1" applyBorder="1" applyAlignment="1" applyProtection="1">
      <alignment horizontal="left"/>
      <protection locked="0"/>
    </xf>
    <xf numFmtId="0" fontId="212" fillId="21" borderId="0" xfId="0" applyFont="1" applyFill="1"/>
    <xf numFmtId="174" fontId="211" fillId="0" borderId="45" xfId="0" applyNumberFormat="1" applyFont="1" applyBorder="1"/>
    <xf numFmtId="174" fontId="212" fillId="0" borderId="0" xfId="0" applyNumberFormat="1" applyFont="1"/>
    <xf numFmtId="0" fontId="211" fillId="0" borderId="0" xfId="0" applyFont="1"/>
    <xf numFmtId="0" fontId="212" fillId="0" borderId="51" xfId="0" applyFont="1" applyBorder="1"/>
    <xf numFmtId="0" fontId="212" fillId="0" borderId="0" xfId="0" applyFont="1" applyBorder="1"/>
    <xf numFmtId="0" fontId="220" fillId="0" borderId="0" xfId="0" applyFont="1"/>
    <xf numFmtId="0" fontId="220" fillId="0" borderId="45" xfId="0" applyFont="1" applyBorder="1" applyAlignment="1">
      <alignment horizontal="center"/>
    </xf>
    <xf numFmtId="168" fontId="206" fillId="0" borderId="45" xfId="109" applyFont="1" applyBorder="1"/>
    <xf numFmtId="0" fontId="206" fillId="29" borderId="45" xfId="0" applyFont="1" applyFill="1" applyBorder="1" applyAlignment="1">
      <alignment horizontal="center"/>
    </xf>
    <xf numFmtId="168" fontId="221" fillId="56" borderId="45" xfId="109" applyFont="1" applyFill="1" applyBorder="1"/>
    <xf numFmtId="0" fontId="223" fillId="0" borderId="45" xfId="93" applyFont="1" applyBorder="1" applyAlignment="1" applyProtection="1">
      <alignment horizontal="left"/>
      <protection locked="0"/>
    </xf>
    <xf numFmtId="0" fontId="223" fillId="0" borderId="45" xfId="93" applyFont="1" applyBorder="1" applyProtection="1">
      <protection locked="0"/>
    </xf>
    <xf numFmtId="40" fontId="223" fillId="21" borderId="45" xfId="93" applyNumberFormat="1" applyFont="1" applyFill="1" applyBorder="1" applyProtection="1">
      <protection locked="0"/>
    </xf>
    <xf numFmtId="40" fontId="223" fillId="0" borderId="45" xfId="93" applyNumberFormat="1" applyFont="1" applyBorder="1" applyProtection="1">
      <protection locked="0"/>
    </xf>
    <xf numFmtId="0" fontId="223" fillId="0" borderId="0" xfId="93" applyFont="1" applyAlignment="1" applyProtection="1">
      <alignment horizontal="left"/>
      <protection locked="0"/>
    </xf>
    <xf numFmtId="0" fontId="223" fillId="0" borderId="0" xfId="93" applyFont="1" applyProtection="1">
      <protection locked="0"/>
    </xf>
    <xf numFmtId="40" fontId="223" fillId="21" borderId="0" xfId="93" applyNumberFormat="1" applyFont="1" applyFill="1" applyProtection="1">
      <protection locked="0"/>
    </xf>
    <xf numFmtId="40" fontId="223" fillId="0" borderId="0" xfId="93" applyNumberFormat="1" applyFont="1" applyProtection="1">
      <protection locked="0"/>
    </xf>
    <xf numFmtId="0" fontId="122" fillId="21" borderId="100" xfId="93" applyFont="1" applyFill="1" applyBorder="1" applyAlignment="1" applyProtection="1">
      <alignment horizontal="left"/>
      <protection locked="0"/>
    </xf>
    <xf numFmtId="0" fontId="122" fillId="21" borderId="100" xfId="93" applyFont="1" applyFill="1" applyBorder="1" applyProtection="1">
      <protection locked="0"/>
    </xf>
    <xf numFmtId="0" fontId="123" fillId="21" borderId="100" xfId="93" applyFont="1" applyFill="1" applyBorder="1" applyProtection="1">
      <protection locked="0"/>
    </xf>
    <xf numFmtId="40" fontId="123" fillId="21" borderId="100" xfId="93" applyNumberFormat="1" applyFont="1" applyFill="1" applyBorder="1" applyProtection="1">
      <protection locked="0"/>
    </xf>
    <xf numFmtId="170" fontId="123" fillId="21" borderId="100" xfId="94" applyNumberFormat="1" applyFont="1" applyFill="1" applyBorder="1" applyProtection="1">
      <protection locked="0"/>
    </xf>
    <xf numFmtId="40" fontId="123" fillId="21" borderId="85" xfId="93" applyNumberFormat="1" applyFont="1" applyFill="1" applyBorder="1" applyProtection="1">
      <protection locked="0"/>
    </xf>
    <xf numFmtId="170" fontId="123" fillId="21" borderId="85" xfId="94" applyNumberFormat="1" applyFont="1" applyFill="1" applyBorder="1" applyProtection="1">
      <protection locked="0"/>
    </xf>
    <xf numFmtId="0" fontId="122" fillId="0" borderId="85" xfId="93" applyFont="1" applyBorder="1" applyAlignment="1" applyProtection="1">
      <alignment horizontal="left"/>
      <protection locked="0"/>
    </xf>
    <xf numFmtId="0" fontId="122" fillId="0" borderId="85" xfId="93" applyFont="1" applyBorder="1" applyProtection="1">
      <protection locked="0"/>
    </xf>
    <xf numFmtId="0" fontId="123" fillId="0" borderId="85" xfId="93" applyFont="1" applyBorder="1" applyProtection="1">
      <protection locked="0"/>
    </xf>
    <xf numFmtId="40" fontId="123" fillId="0" borderId="85" xfId="93" applyNumberFormat="1" applyFont="1" applyBorder="1" applyProtection="1">
      <protection locked="0"/>
    </xf>
    <xf numFmtId="170" fontId="123" fillId="0" borderId="85" xfId="94" applyNumberFormat="1" applyFont="1" applyBorder="1" applyProtection="1">
      <protection locked="0"/>
    </xf>
    <xf numFmtId="0" fontId="224" fillId="0" borderId="0" xfId="0" applyFont="1"/>
    <xf numFmtId="0" fontId="122" fillId="0" borderId="0" xfId="93" applyFont="1" applyProtection="1">
      <protection locked="0"/>
    </xf>
    <xf numFmtId="0" fontId="123" fillId="0" borderId="0" xfId="93" applyFont="1" applyProtection="1">
      <protection locked="0"/>
    </xf>
    <xf numFmtId="170" fontId="225" fillId="21" borderId="0" xfId="94" applyNumberFormat="1" applyFont="1" applyFill="1" applyProtection="1">
      <protection locked="0"/>
    </xf>
    <xf numFmtId="170" fontId="225" fillId="0" borderId="0" xfId="94" applyNumberFormat="1" applyFont="1" applyProtection="1">
      <protection locked="0"/>
    </xf>
    <xf numFmtId="170" fontId="122" fillId="21" borderId="85" xfId="94" applyNumberFormat="1" applyFont="1" applyFill="1" applyBorder="1" applyProtection="1">
      <protection locked="0"/>
    </xf>
    <xf numFmtId="0" fontId="225" fillId="0" borderId="0" xfId="93" applyFont="1" applyProtection="1">
      <protection locked="0"/>
    </xf>
    <xf numFmtId="0" fontId="226" fillId="0" borderId="0" xfId="93" applyFont="1" applyAlignment="1" applyProtection="1">
      <alignment horizontal="left"/>
      <protection locked="0"/>
    </xf>
    <xf numFmtId="40" fontId="225" fillId="21" borderId="85" xfId="93" applyNumberFormat="1" applyFont="1" applyFill="1" applyBorder="1" applyProtection="1">
      <protection locked="0"/>
    </xf>
    <xf numFmtId="170" fontId="225" fillId="21" borderId="85" xfId="94" applyNumberFormat="1" applyFont="1" applyFill="1" applyBorder="1" applyProtection="1">
      <protection locked="0"/>
    </xf>
    <xf numFmtId="0" fontId="227" fillId="58" borderId="85" xfId="93" applyFont="1" applyFill="1" applyBorder="1" applyProtection="1">
      <protection locked="0"/>
    </xf>
    <xf numFmtId="0" fontId="85" fillId="57" borderId="0" xfId="93" applyFont="1" applyFill="1" applyBorder="1" applyProtection="1">
      <protection locked="0"/>
    </xf>
    <xf numFmtId="0" fontId="84" fillId="57" borderId="85" xfId="93" applyFont="1" applyFill="1" applyBorder="1" applyAlignment="1" applyProtection="1">
      <alignment horizontal="left"/>
      <protection locked="0"/>
    </xf>
    <xf numFmtId="0" fontId="84" fillId="57" borderId="85" xfId="93" applyFont="1" applyFill="1" applyBorder="1" applyProtection="1">
      <protection locked="0"/>
    </xf>
    <xf numFmtId="170" fontId="89" fillId="57" borderId="85" xfId="94" applyNumberFormat="1" applyFont="1" applyFill="1" applyBorder="1" applyAlignment="1" applyProtection="1">
      <protection locked="0"/>
    </xf>
    <xf numFmtId="9" fontId="89" fillId="57" borderId="85" xfId="257" applyFont="1" applyFill="1" applyBorder="1" applyAlignment="1" applyProtection="1">
      <protection locked="0"/>
    </xf>
    <xf numFmtId="9" fontId="89" fillId="57" borderId="85" xfId="93" applyNumberFormat="1" applyFont="1" applyFill="1" applyBorder="1" applyProtection="1">
      <protection locked="0"/>
    </xf>
    <xf numFmtId="0" fontId="188" fillId="57" borderId="0" xfId="93" applyFont="1" applyFill="1" applyBorder="1" applyProtection="1">
      <protection locked="0"/>
    </xf>
    <xf numFmtId="2" fontId="89" fillId="57" borderId="85" xfId="94" applyNumberFormat="1" applyFont="1" applyFill="1" applyBorder="1" applyAlignment="1" applyProtection="1">
      <protection locked="0"/>
    </xf>
    <xf numFmtId="2" fontId="89" fillId="57" borderId="85" xfId="93" applyNumberFormat="1" applyFont="1" applyFill="1" applyBorder="1" applyProtection="1">
      <protection locked="0"/>
    </xf>
    <xf numFmtId="1" fontId="89" fillId="57" borderId="85" xfId="93" applyNumberFormat="1" applyFont="1" applyFill="1" applyBorder="1" applyProtection="1">
      <protection locked="0"/>
    </xf>
    <xf numFmtId="170" fontId="188" fillId="57" borderId="85" xfId="94" applyNumberFormat="1" applyFont="1" applyFill="1" applyBorder="1" applyAlignment="1" applyProtection="1">
      <protection locked="0"/>
    </xf>
    <xf numFmtId="169" fontId="89" fillId="57" borderId="85" xfId="94" applyNumberFormat="1" applyFont="1" applyFill="1" applyBorder="1" applyAlignment="1" applyProtection="1">
      <protection locked="0"/>
    </xf>
    <xf numFmtId="40" fontId="89" fillId="57" borderId="27" xfId="93" applyNumberFormat="1" applyFont="1" applyFill="1" applyBorder="1" applyProtection="1">
      <protection locked="0"/>
    </xf>
    <xf numFmtId="40" fontId="89" fillId="57" borderId="3" xfId="93" applyNumberFormat="1" applyFont="1" applyFill="1" applyBorder="1" applyProtection="1">
      <protection locked="0"/>
    </xf>
    <xf numFmtId="40" fontId="89" fillId="57" borderId="15" xfId="93" applyNumberFormat="1" applyFont="1" applyFill="1" applyBorder="1" applyProtection="1">
      <protection locked="0"/>
    </xf>
    <xf numFmtId="0" fontId="90" fillId="57" borderId="0" xfId="93" applyFont="1" applyFill="1" applyBorder="1" applyProtection="1">
      <protection locked="0"/>
    </xf>
    <xf numFmtId="0" fontId="89" fillId="57" borderId="85" xfId="93" applyFont="1" applyFill="1" applyBorder="1" applyProtection="1">
      <protection locked="0"/>
    </xf>
    <xf numFmtId="170" fontId="84" fillId="57" borderId="85" xfId="93" applyNumberFormat="1" applyFont="1" applyFill="1" applyBorder="1" applyProtection="1">
      <protection locked="0"/>
    </xf>
    <xf numFmtId="0" fontId="90" fillId="57" borderId="85" xfId="93" applyFont="1" applyFill="1" applyBorder="1" applyProtection="1">
      <protection locked="0"/>
    </xf>
    <xf numFmtId="0" fontId="188" fillId="57" borderId="0" xfId="93" applyFont="1" applyFill="1" applyProtection="1">
      <protection locked="0"/>
    </xf>
    <xf numFmtId="9" fontId="78" fillId="57" borderId="85" xfId="257" applyFont="1" applyFill="1" applyBorder="1"/>
    <xf numFmtId="0" fontId="89" fillId="57" borderId="0" xfId="93" applyFont="1" applyFill="1" applyProtection="1">
      <protection locked="0"/>
    </xf>
    <xf numFmtId="0" fontId="84" fillId="64" borderId="85" xfId="93" applyFont="1" applyFill="1" applyBorder="1" applyProtection="1">
      <protection locked="0"/>
    </xf>
    <xf numFmtId="0" fontId="89" fillId="64" borderId="85" xfId="93" applyFont="1" applyFill="1" applyBorder="1" applyProtection="1">
      <protection locked="0"/>
    </xf>
    <xf numFmtId="170" fontId="84" fillId="64" borderId="85" xfId="93" applyNumberFormat="1" applyFont="1" applyFill="1" applyBorder="1" applyProtection="1">
      <protection locked="0"/>
    </xf>
    <xf numFmtId="0" fontId="90" fillId="64" borderId="85" xfId="93" applyFont="1" applyFill="1" applyBorder="1" applyProtection="1">
      <protection locked="0"/>
    </xf>
    <xf numFmtId="2" fontId="84" fillId="64" borderId="85" xfId="93" applyNumberFormat="1" applyFont="1" applyFill="1" applyBorder="1" applyProtection="1">
      <protection locked="0"/>
    </xf>
    <xf numFmtId="0" fontId="188" fillId="64" borderId="85" xfId="93" applyFont="1" applyFill="1" applyBorder="1" applyProtection="1">
      <protection locked="0"/>
    </xf>
    <xf numFmtId="171" fontId="188" fillId="21" borderId="85" xfId="94" applyNumberFormat="1" applyFont="1" applyFill="1" applyBorder="1" applyAlignment="1" applyProtection="1">
      <protection locked="0"/>
    </xf>
    <xf numFmtId="0" fontId="85" fillId="51" borderId="0" xfId="93" applyFont="1" applyFill="1" applyBorder="1" applyProtection="1">
      <protection locked="0"/>
    </xf>
    <xf numFmtId="9" fontId="89" fillId="51" borderId="85" xfId="257" applyFont="1" applyFill="1" applyBorder="1" applyAlignment="1" applyProtection="1">
      <protection locked="0"/>
    </xf>
    <xf numFmtId="0" fontId="90" fillId="51" borderId="0" xfId="93" applyFont="1" applyFill="1" applyBorder="1" applyProtection="1">
      <protection locked="0"/>
    </xf>
    <xf numFmtId="2" fontId="89" fillId="51" borderId="85" xfId="94" applyNumberFormat="1" applyFont="1" applyFill="1" applyBorder="1" applyAlignment="1" applyProtection="1">
      <protection locked="0"/>
    </xf>
    <xf numFmtId="169" fontId="89" fillId="51" borderId="85" xfId="94" applyNumberFormat="1" applyFont="1" applyFill="1" applyBorder="1" applyAlignment="1" applyProtection="1">
      <protection locked="0"/>
    </xf>
    <xf numFmtId="40" fontId="188" fillId="51" borderId="85" xfId="93" applyNumberFormat="1" applyFont="1" applyFill="1" applyBorder="1" applyProtection="1">
      <protection locked="0"/>
    </xf>
    <xf numFmtId="40" fontId="89" fillId="51" borderId="35" xfId="93" applyNumberFormat="1" applyFont="1" applyFill="1" applyBorder="1" applyProtection="1">
      <protection locked="0"/>
    </xf>
    <xf numFmtId="40" fontId="89" fillId="51" borderId="5" xfId="93" applyNumberFormat="1" applyFont="1" applyFill="1" applyBorder="1" applyProtection="1">
      <protection locked="0"/>
    </xf>
    <xf numFmtId="40" fontId="89" fillId="51" borderId="16" xfId="93" applyNumberFormat="1" applyFont="1" applyFill="1" applyBorder="1" applyProtection="1">
      <protection locked="0"/>
    </xf>
    <xf numFmtId="170" fontId="84" fillId="51" borderId="85" xfId="93" applyNumberFormat="1" applyFont="1" applyFill="1" applyBorder="1" applyProtection="1">
      <protection locked="0"/>
    </xf>
    <xf numFmtId="170" fontId="90" fillId="51" borderId="85" xfId="93" applyNumberFormat="1" applyFont="1" applyFill="1" applyBorder="1" applyProtection="1">
      <protection locked="0"/>
    </xf>
    <xf numFmtId="0" fontId="90" fillId="51" borderId="85" xfId="93" applyFont="1" applyFill="1" applyBorder="1" applyProtection="1">
      <protection locked="0"/>
    </xf>
    <xf numFmtId="0" fontId="89" fillId="51" borderId="0" xfId="93" applyFont="1" applyFill="1" applyProtection="1">
      <protection locked="0"/>
    </xf>
    <xf numFmtId="4" fontId="55" fillId="24" borderId="0" xfId="93" applyNumberFormat="1" applyFont="1" applyFill="1" applyBorder="1"/>
    <xf numFmtId="170" fontId="188" fillId="0" borderId="49" xfId="93" applyNumberFormat="1" applyFont="1" applyFill="1" applyBorder="1" applyAlignment="1" applyProtection="1">
      <alignment horizontal="center"/>
      <protection locked="0"/>
    </xf>
    <xf numFmtId="9" fontId="98" fillId="0" borderId="3" xfId="257" applyFont="1" applyFill="1" applyBorder="1" applyAlignment="1" applyProtection="1">
      <alignment horizontal="center"/>
      <protection locked="0"/>
    </xf>
    <xf numFmtId="170" fontId="192" fillId="16" borderId="79" xfId="93" applyNumberFormat="1" applyFont="1" applyFill="1" applyBorder="1" applyAlignment="1" applyProtection="1">
      <alignment horizontal="center" vertical="center" wrapText="1"/>
      <protection locked="0"/>
    </xf>
    <xf numFmtId="170" fontId="192" fillId="16" borderId="83" xfId="93" applyNumberFormat="1" applyFont="1" applyFill="1" applyBorder="1" applyAlignment="1" applyProtection="1">
      <alignment horizontal="center" vertical="center" wrapText="1"/>
      <protection locked="0"/>
    </xf>
    <xf numFmtId="9" fontId="90" fillId="6" borderId="3" xfId="257" applyFont="1" applyFill="1" applyBorder="1" applyAlignment="1" applyProtection="1">
      <alignment horizontal="center"/>
      <protection locked="0"/>
    </xf>
    <xf numFmtId="0" fontId="86" fillId="6" borderId="7" xfId="93" applyFont="1" applyFill="1" applyBorder="1" applyAlignment="1" applyProtection="1">
      <alignment horizontal="center"/>
      <protection locked="0"/>
    </xf>
    <xf numFmtId="0" fontId="191" fillId="19" borderId="76" xfId="93" applyFont="1" applyFill="1" applyBorder="1" applyAlignment="1" applyProtection="1">
      <alignment horizontal="center"/>
      <protection locked="0"/>
    </xf>
    <xf numFmtId="0" fontId="191" fillId="17" borderId="76" xfId="93" applyFont="1" applyFill="1" applyBorder="1" applyAlignment="1" applyProtection="1">
      <alignment horizontal="center"/>
      <protection locked="0"/>
    </xf>
    <xf numFmtId="0" fontId="191" fillId="11" borderId="76" xfId="93" applyFont="1" applyFill="1" applyBorder="1" applyAlignment="1" applyProtection="1">
      <alignment horizontal="center"/>
      <protection locked="0"/>
    </xf>
    <xf numFmtId="0" fontId="191" fillId="3" borderId="76" xfId="93" applyFont="1" applyFill="1" applyBorder="1" applyAlignment="1" applyProtection="1">
      <alignment horizontal="center"/>
      <protection locked="0"/>
    </xf>
    <xf numFmtId="0" fontId="189" fillId="16" borderId="0" xfId="93" applyFont="1" applyFill="1" applyBorder="1" applyAlignment="1" applyProtection="1">
      <alignment horizontal="center" vertical="center"/>
      <protection locked="0"/>
    </xf>
    <xf numFmtId="0" fontId="193" fillId="16" borderId="58" xfId="93" applyFont="1" applyFill="1" applyBorder="1" applyAlignment="1" applyProtection="1">
      <alignment horizontal="center"/>
      <protection locked="0"/>
    </xf>
    <xf numFmtId="0" fontId="193" fillId="16" borderId="59" xfId="93" applyFont="1" applyFill="1" applyBorder="1" applyAlignment="1" applyProtection="1">
      <alignment horizontal="center"/>
      <protection locked="0"/>
    </xf>
    <xf numFmtId="0" fontId="193" fillId="16" borderId="60" xfId="93" applyFont="1" applyFill="1" applyBorder="1" applyAlignment="1" applyProtection="1">
      <alignment horizontal="center"/>
      <protection locked="0"/>
    </xf>
    <xf numFmtId="0" fontId="190" fillId="16" borderId="50" xfId="93" applyFont="1" applyFill="1" applyBorder="1" applyAlignment="1" applyProtection="1">
      <alignment horizontal="center"/>
      <protection locked="0"/>
    </xf>
    <xf numFmtId="0" fontId="190" fillId="16" borderId="51" xfId="93" applyFont="1" applyFill="1" applyBorder="1" applyAlignment="1" applyProtection="1">
      <alignment horizontal="center"/>
      <protection locked="0"/>
    </xf>
    <xf numFmtId="0" fontId="190" fillId="16" borderId="52" xfId="93" applyFont="1" applyFill="1" applyBorder="1" applyAlignment="1" applyProtection="1">
      <alignment horizontal="center"/>
      <protection locked="0"/>
    </xf>
    <xf numFmtId="0" fontId="191" fillId="20" borderId="76" xfId="93" applyFont="1" applyFill="1" applyBorder="1" applyAlignment="1" applyProtection="1">
      <alignment horizontal="center"/>
      <protection locked="0"/>
    </xf>
    <xf numFmtId="0" fontId="85" fillId="11" borderId="3" xfId="93" applyFont="1" applyFill="1" applyBorder="1" applyAlignment="1" applyProtection="1">
      <alignment horizontal="center"/>
      <protection locked="0"/>
    </xf>
    <xf numFmtId="0" fontId="186" fillId="11" borderId="0" xfId="93" applyFont="1" applyFill="1" applyBorder="1" applyAlignment="1" applyProtection="1">
      <alignment horizontal="center"/>
      <protection locked="0"/>
    </xf>
    <xf numFmtId="0" fontId="186" fillId="18" borderId="0" xfId="93" applyFont="1" applyFill="1" applyBorder="1" applyAlignment="1" applyProtection="1">
      <alignment horizontal="center"/>
      <protection locked="0"/>
    </xf>
    <xf numFmtId="0" fontId="90" fillId="6" borderId="70" xfId="93" applyFont="1" applyFill="1" applyBorder="1" applyAlignment="1" applyProtection="1">
      <alignment horizontal="center"/>
      <protection locked="0"/>
    </xf>
    <xf numFmtId="0" fontId="90" fillId="13" borderId="70" xfId="93" applyFont="1" applyFill="1" applyBorder="1" applyAlignment="1" applyProtection="1">
      <alignment horizontal="center"/>
      <protection locked="0"/>
    </xf>
    <xf numFmtId="0" fontId="90" fillId="17" borderId="70" xfId="93" applyFont="1" applyFill="1" applyBorder="1" applyAlignment="1" applyProtection="1">
      <alignment horizontal="center"/>
      <protection locked="0"/>
    </xf>
    <xf numFmtId="0" fontId="90" fillId="3" borderId="70" xfId="93" applyFont="1" applyFill="1" applyBorder="1" applyAlignment="1" applyProtection="1">
      <alignment horizontal="center"/>
      <protection locked="0"/>
    </xf>
    <xf numFmtId="0" fontId="103" fillId="16" borderId="70" xfId="93" applyFont="1" applyFill="1" applyBorder="1" applyAlignment="1" applyProtection="1">
      <alignment horizontal="center" wrapText="1"/>
      <protection locked="0"/>
    </xf>
    <xf numFmtId="0" fontId="191" fillId="20" borderId="20" xfId="93" applyFont="1" applyFill="1" applyBorder="1" applyAlignment="1" applyProtection="1">
      <alignment horizontal="center"/>
      <protection locked="0"/>
    </xf>
    <xf numFmtId="0" fontId="191" fillId="17" borderId="19" xfId="93" applyFont="1" applyFill="1" applyBorder="1" applyAlignment="1" applyProtection="1">
      <alignment horizontal="center"/>
      <protection locked="0"/>
    </xf>
    <xf numFmtId="0" fontId="191" fillId="11" borderId="74" xfId="93" applyFont="1" applyFill="1" applyBorder="1" applyAlignment="1" applyProtection="1">
      <alignment horizontal="center"/>
      <protection locked="0"/>
    </xf>
    <xf numFmtId="0" fontId="191" fillId="3" borderId="74" xfId="93" applyFont="1" applyFill="1" applyBorder="1" applyAlignment="1" applyProtection="1">
      <alignment horizontal="center"/>
      <protection locked="0"/>
    </xf>
    <xf numFmtId="0" fontId="131" fillId="11" borderId="3" xfId="93" applyFont="1" applyFill="1" applyBorder="1" applyAlignment="1" applyProtection="1">
      <alignment horizontal="center"/>
      <protection locked="0"/>
    </xf>
    <xf numFmtId="168" fontId="130" fillId="46" borderId="45" xfId="109" applyFont="1" applyFill="1" applyBorder="1" applyAlignment="1" applyProtection="1">
      <alignment horizontal="center"/>
      <protection locked="0"/>
    </xf>
    <xf numFmtId="168" fontId="130" fillId="16" borderId="45" xfId="109" applyFont="1" applyFill="1" applyBorder="1" applyAlignment="1" applyProtection="1">
      <alignment horizontal="center"/>
      <protection locked="0"/>
    </xf>
    <xf numFmtId="168" fontId="130" fillId="47" borderId="45" xfId="109" applyFont="1" applyFill="1" applyBorder="1" applyAlignment="1" applyProtection="1">
      <alignment horizontal="center"/>
      <protection locked="0"/>
    </xf>
    <xf numFmtId="9" fontId="110" fillId="0" borderId="3" xfId="257" applyFont="1" applyFill="1" applyBorder="1" applyAlignment="1" applyProtection="1">
      <alignment horizontal="center"/>
      <protection locked="0"/>
    </xf>
    <xf numFmtId="0" fontId="110" fillId="11" borderId="3" xfId="93" applyFont="1" applyFill="1" applyBorder="1" applyAlignment="1" applyProtection="1">
      <alignment horizontal="center"/>
      <protection locked="0"/>
    </xf>
    <xf numFmtId="168" fontId="129" fillId="47" borderId="45" xfId="109" applyFont="1" applyFill="1" applyBorder="1" applyAlignment="1" applyProtection="1">
      <alignment horizontal="center"/>
      <protection locked="0"/>
    </xf>
    <xf numFmtId="9" fontId="124" fillId="45" borderId="0" xfId="257" applyFont="1" applyFill="1" applyBorder="1" applyAlignment="1" applyProtection="1">
      <alignment horizontal="center"/>
      <protection locked="0"/>
    </xf>
    <xf numFmtId="9" fontId="114" fillId="46" borderId="45" xfId="257" applyFont="1" applyFill="1" applyBorder="1" applyAlignment="1" applyProtection="1">
      <alignment horizontal="center"/>
      <protection locked="0"/>
    </xf>
    <xf numFmtId="168" fontId="129" fillId="16" borderId="45" xfId="109" applyFont="1" applyFill="1" applyBorder="1" applyAlignment="1" applyProtection="1">
      <alignment horizontal="center"/>
      <protection locked="0"/>
    </xf>
    <xf numFmtId="168" fontId="130" fillId="45" borderId="0" xfId="109" applyFont="1" applyFill="1" applyBorder="1" applyAlignment="1" applyProtection="1">
      <alignment horizontal="center"/>
      <protection locked="0"/>
    </xf>
    <xf numFmtId="0" fontId="206" fillId="26" borderId="45" xfId="0" applyFont="1" applyFill="1" applyBorder="1" applyAlignment="1">
      <alignment horizontal="center"/>
    </xf>
    <xf numFmtId="0" fontId="206" fillId="0" borderId="45" xfId="0" applyFont="1" applyBorder="1" applyAlignment="1">
      <alignment horizontal="center" wrapText="1"/>
    </xf>
    <xf numFmtId="0" fontId="219" fillId="63" borderId="0" xfId="0" applyFont="1" applyFill="1" applyAlignment="1">
      <alignment horizontal="center"/>
    </xf>
    <xf numFmtId="0" fontId="208" fillId="51" borderId="45" xfId="0" applyFont="1" applyFill="1" applyBorder="1" applyAlignment="1">
      <alignment horizontal="center"/>
    </xf>
    <xf numFmtId="0" fontId="209" fillId="61" borderId="45" xfId="0" applyFont="1" applyFill="1" applyBorder="1" applyAlignment="1">
      <alignment horizontal="center"/>
    </xf>
    <xf numFmtId="0" fontId="209" fillId="24" borderId="45" xfId="0" applyFont="1" applyFill="1" applyBorder="1" applyAlignment="1">
      <alignment horizontal="center"/>
    </xf>
    <xf numFmtId="0" fontId="222" fillId="24" borderId="0" xfId="0" applyFont="1" applyFill="1" applyAlignment="1">
      <alignment horizontal="center"/>
    </xf>
    <xf numFmtId="170" fontId="149" fillId="0" borderId="45" xfId="93" applyNumberFormat="1" applyFont="1" applyFill="1" applyBorder="1" applyAlignment="1">
      <alignment horizontal="center"/>
    </xf>
    <xf numFmtId="2" fontId="149" fillId="0" borderId="45" xfId="93" applyNumberFormat="1" applyFont="1" applyFill="1" applyBorder="1" applyAlignment="1">
      <alignment horizontal="center" wrapText="1"/>
    </xf>
    <xf numFmtId="170" fontId="149" fillId="0" borderId="45" xfId="93" applyNumberFormat="1" applyFont="1" applyFill="1" applyBorder="1" applyAlignment="1">
      <alignment horizontal="center" wrapText="1"/>
    </xf>
    <xf numFmtId="4" fontId="149" fillId="0" borderId="45" xfId="93" applyNumberFormat="1" applyFont="1" applyFill="1" applyBorder="1" applyAlignment="1">
      <alignment horizontal="center"/>
    </xf>
    <xf numFmtId="170" fontId="149" fillId="21" borderId="45" xfId="93" applyNumberFormat="1" applyFont="1" applyFill="1" applyBorder="1" applyAlignment="1">
      <alignment horizontal="center"/>
    </xf>
    <xf numFmtId="0" fontId="149" fillId="0" borderId="45" xfId="93" applyFont="1" applyFill="1" applyBorder="1" applyAlignment="1">
      <alignment horizontal="center"/>
    </xf>
    <xf numFmtId="4" fontId="149" fillId="0" borderId="45" xfId="93" applyNumberFormat="1" applyFont="1" applyFill="1" applyBorder="1" applyAlignment="1">
      <alignment horizontal="center" wrapText="1"/>
    </xf>
    <xf numFmtId="170" fontId="149" fillId="0" borderId="37" xfId="93" applyNumberFormat="1" applyFont="1" applyFill="1" applyBorder="1" applyAlignment="1">
      <alignment horizontal="center" wrapText="1"/>
    </xf>
    <xf numFmtId="0" fontId="149" fillId="0" borderId="45" xfId="93" applyNumberFormat="1" applyFont="1" applyFill="1" applyBorder="1" applyAlignment="1">
      <alignment horizontal="center" wrapText="1"/>
    </xf>
    <xf numFmtId="2" fontId="167" fillId="21" borderId="27" xfId="93" applyNumberFormat="1" applyFont="1" applyFill="1" applyBorder="1" applyAlignment="1">
      <alignment horizontal="center" wrapText="1"/>
    </xf>
    <xf numFmtId="2" fontId="167" fillId="0" borderId="37" xfId="93" applyNumberFormat="1" applyFont="1" applyFill="1" applyBorder="1" applyAlignment="1">
      <alignment horizontal="center"/>
    </xf>
    <xf numFmtId="170" fontId="167" fillId="0" borderId="37" xfId="93" applyNumberFormat="1" applyFont="1" applyFill="1" applyBorder="1" applyAlignment="1">
      <alignment horizontal="center"/>
    </xf>
    <xf numFmtId="2" fontId="167" fillId="0" borderId="37" xfId="93" applyNumberFormat="1" applyFont="1" applyFill="1" applyBorder="1" applyAlignment="1">
      <alignment horizontal="center" wrapText="1"/>
    </xf>
    <xf numFmtId="170" fontId="167" fillId="0" borderId="37" xfId="93" applyNumberFormat="1" applyFont="1" applyFill="1" applyBorder="1" applyAlignment="1">
      <alignment horizontal="center" wrapText="1"/>
    </xf>
    <xf numFmtId="0" fontId="165" fillId="0" borderId="15" xfId="93" applyFont="1" applyFill="1" applyBorder="1" applyAlignment="1">
      <alignment horizontal="center"/>
    </xf>
    <xf numFmtId="0" fontId="167" fillId="0" borderId="37" xfId="93" applyFont="1" applyFill="1" applyBorder="1" applyAlignment="1">
      <alignment horizontal="center"/>
    </xf>
    <xf numFmtId="170" fontId="167" fillId="21" borderId="27" xfId="93" applyNumberFormat="1" applyFont="1" applyFill="1" applyBorder="1" applyAlignment="1">
      <alignment horizontal="center" wrapText="1"/>
    </xf>
    <xf numFmtId="170" fontId="167" fillId="0" borderId="3" xfId="93" applyNumberFormat="1" applyFont="1" applyFill="1" applyBorder="1" applyAlignment="1">
      <alignment horizontal="center" wrapText="1"/>
    </xf>
    <xf numFmtId="170" fontId="167" fillId="0" borderId="3" xfId="93" applyNumberFormat="1" applyFont="1" applyFill="1" applyBorder="1" applyAlignment="1">
      <alignment horizontal="center"/>
    </xf>
    <xf numFmtId="170" fontId="167" fillId="0" borderId="15" xfId="93" applyNumberFormat="1" applyFont="1" applyFill="1" applyBorder="1" applyAlignment="1">
      <alignment horizontal="center" wrapText="1"/>
    </xf>
    <xf numFmtId="170" fontId="27" fillId="0" borderId="37" xfId="93" applyNumberFormat="1" applyFont="1" applyFill="1" applyBorder="1" applyAlignment="1">
      <alignment horizontal="center" wrapText="1"/>
    </xf>
    <xf numFmtId="170" fontId="27" fillId="0" borderId="37" xfId="93" applyNumberFormat="1" applyFont="1" applyFill="1" applyBorder="1" applyAlignment="1">
      <alignment horizontal="center"/>
    </xf>
    <xf numFmtId="170" fontId="30" fillId="0" borderId="37" xfId="93" applyNumberFormat="1" applyFont="1" applyFill="1" applyBorder="1" applyAlignment="1">
      <alignment horizontal="center" wrapText="1"/>
    </xf>
    <xf numFmtId="170" fontId="27" fillId="0" borderId="15" xfId="93" applyNumberFormat="1" applyFont="1" applyFill="1" applyBorder="1" applyAlignment="1">
      <alignment horizontal="center" wrapText="1"/>
    </xf>
    <xf numFmtId="170" fontId="30" fillId="0" borderId="7" xfId="93" applyNumberFormat="1" applyFont="1" applyFill="1" applyBorder="1" applyAlignment="1">
      <alignment horizontal="center"/>
    </xf>
    <xf numFmtId="0" fontId="30" fillId="0" borderId="15" xfId="93" applyFont="1" applyFill="1" applyBorder="1" applyAlignment="1">
      <alignment horizontal="center"/>
    </xf>
    <xf numFmtId="0" fontId="30" fillId="0" borderId="37" xfId="93" applyFont="1" applyFill="1" applyBorder="1" applyAlignment="1">
      <alignment horizontal="center"/>
    </xf>
    <xf numFmtId="0" fontId="30" fillId="0" borderId="6" xfId="93" applyFont="1" applyFill="1" applyBorder="1" applyAlignment="1">
      <alignment horizontal="center"/>
    </xf>
    <xf numFmtId="170" fontId="30" fillId="0" borderId="36" xfId="93" applyNumberFormat="1" applyFont="1" applyFill="1" applyBorder="1" applyAlignment="1">
      <alignment horizontal="center" wrapText="1"/>
    </xf>
    <xf numFmtId="170" fontId="30" fillId="0" borderId="7" xfId="93" applyNumberFormat="1" applyFont="1" applyFill="1" applyBorder="1" applyAlignment="1">
      <alignment horizontal="center" wrapText="1"/>
    </xf>
    <xf numFmtId="0" fontId="92" fillId="29" borderId="45" xfId="266" applyFont="1" applyFill="1" applyBorder="1" applyAlignment="1">
      <alignment horizontal="center" wrapText="1"/>
    </xf>
    <xf numFmtId="0" fontId="79" fillId="29" borderId="52" xfId="266" applyFont="1" applyFill="1" applyBorder="1" applyAlignment="1">
      <alignment horizontal="center" vertical="center" wrapText="1"/>
    </xf>
    <xf numFmtId="0" fontId="79" fillId="29" borderId="55" xfId="266" applyFont="1" applyFill="1" applyBorder="1" applyAlignment="1">
      <alignment horizontal="center" vertical="center" wrapText="1"/>
    </xf>
    <xf numFmtId="0" fontId="71" fillId="22" borderId="0" xfId="266" applyFont="1" applyFill="1" applyAlignment="1">
      <alignment horizontal="center"/>
    </xf>
    <xf numFmtId="0" fontId="206" fillId="0" borderId="0" xfId="0" applyFont="1" applyAlignment="1">
      <alignment horizontal="center"/>
    </xf>
    <xf numFmtId="0" fontId="0" fillId="0" borderId="0" xfId="0" applyAlignment="1">
      <alignment horizontal="center"/>
    </xf>
    <xf numFmtId="0" fontId="85" fillId="63" borderId="0" xfId="93" applyFont="1" applyFill="1" applyProtection="1">
      <protection locked="0"/>
    </xf>
    <xf numFmtId="0" fontId="84" fillId="63" borderId="85" xfId="93" applyFont="1" applyFill="1" applyBorder="1" applyAlignment="1" applyProtection="1">
      <alignment horizontal="left"/>
      <protection locked="0"/>
    </xf>
    <xf numFmtId="0" fontId="84" fillId="63" borderId="85" xfId="93" applyFont="1" applyFill="1" applyBorder="1" applyProtection="1">
      <protection locked="0"/>
    </xf>
    <xf numFmtId="0" fontId="89" fillId="63" borderId="85" xfId="93" applyFont="1" applyFill="1" applyBorder="1" applyProtection="1">
      <protection locked="0"/>
    </xf>
    <xf numFmtId="40" fontId="89" fillId="63" borderId="85" xfId="93" applyNumberFormat="1" applyFont="1" applyFill="1" applyBorder="1" applyProtection="1">
      <protection locked="0"/>
    </xf>
    <xf numFmtId="170" fontId="89" fillId="63" borderId="85" xfId="94" applyNumberFormat="1" applyFont="1" applyFill="1" applyBorder="1" applyAlignment="1" applyProtection="1">
      <protection locked="0"/>
    </xf>
    <xf numFmtId="9" fontId="89" fillId="63" borderId="85" xfId="93" applyNumberFormat="1" applyFont="1" applyFill="1" applyBorder="1" applyProtection="1">
      <protection locked="0"/>
    </xf>
    <xf numFmtId="9" fontId="89" fillId="63" borderId="85" xfId="257" applyFont="1" applyFill="1" applyBorder="1" applyAlignment="1" applyProtection="1">
      <protection locked="0"/>
    </xf>
    <xf numFmtId="170" fontId="89" fillId="63" borderId="0" xfId="93" applyNumberFormat="1" applyFont="1" applyFill="1" applyProtection="1">
      <protection locked="0"/>
    </xf>
    <xf numFmtId="2" fontId="89" fillId="63" borderId="85" xfId="93" applyNumberFormat="1" applyFont="1" applyFill="1" applyBorder="1" applyProtection="1">
      <protection locked="0"/>
    </xf>
    <xf numFmtId="2" fontId="188" fillId="63" borderId="85" xfId="93" applyNumberFormat="1" applyFont="1" applyFill="1" applyBorder="1" applyProtection="1">
      <protection locked="0"/>
    </xf>
    <xf numFmtId="1" fontId="89" fillId="63" borderId="85" xfId="93" applyNumberFormat="1" applyFont="1" applyFill="1" applyBorder="1" applyProtection="1">
      <protection locked="0"/>
    </xf>
    <xf numFmtId="40" fontId="89" fillId="63" borderId="27" xfId="93" applyNumberFormat="1" applyFont="1" applyFill="1" applyBorder="1" applyProtection="1">
      <protection locked="0"/>
    </xf>
    <xf numFmtId="40" fontId="89" fillId="63" borderId="3" xfId="93" applyNumberFormat="1" applyFont="1" applyFill="1" applyBorder="1" applyProtection="1">
      <protection locked="0"/>
    </xf>
    <xf numFmtId="40" fontId="89" fillId="63" borderId="15" xfId="93" applyNumberFormat="1" applyFont="1" applyFill="1" applyBorder="1" applyProtection="1">
      <protection locked="0"/>
    </xf>
    <xf numFmtId="0" fontId="89" fillId="63" borderId="0" xfId="93" applyFont="1" applyFill="1" applyBorder="1" applyProtection="1">
      <protection locked="0"/>
    </xf>
    <xf numFmtId="0" fontId="188" fillId="63" borderId="85" xfId="93" applyFont="1" applyFill="1" applyBorder="1" applyProtection="1">
      <protection locked="0"/>
    </xf>
    <xf numFmtId="0" fontId="188" fillId="63" borderId="0" xfId="93" applyFont="1" applyFill="1" applyProtection="1">
      <protection locked="0"/>
    </xf>
    <xf numFmtId="9" fontId="78" fillId="63" borderId="85" xfId="257" applyFont="1" applyFill="1" applyBorder="1"/>
    <xf numFmtId="0" fontId="89" fillId="63" borderId="0" xfId="93" applyFont="1" applyFill="1" applyProtection="1">
      <protection locked="0"/>
    </xf>
  </cellXfs>
  <cellStyles count="296">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Campo de la tabla dinámica" xfId="13" xr:uid="{00000000-0005-0000-0000-00000C000000}"/>
    <cellStyle name="Categoría de la tabla dinámica" xfId="14" xr:uid="{00000000-0005-0000-0000-00000D000000}"/>
    <cellStyle name="Comma 2" xfId="15" xr:uid="{00000000-0005-0000-0000-00000E000000}"/>
    <cellStyle name="Comma 3" xfId="16" xr:uid="{00000000-0005-0000-0000-00000F000000}"/>
    <cellStyle name="Comma 3 10" xfId="17" xr:uid="{00000000-0005-0000-0000-000010000000}"/>
    <cellStyle name="Comma 3 11" xfId="18" xr:uid="{00000000-0005-0000-0000-000011000000}"/>
    <cellStyle name="Comma 3 2" xfId="19" xr:uid="{00000000-0005-0000-0000-000012000000}"/>
    <cellStyle name="Comma 3 2 2" xfId="20" xr:uid="{00000000-0005-0000-0000-000013000000}"/>
    <cellStyle name="Comma 3 2 2 2" xfId="21" xr:uid="{00000000-0005-0000-0000-000014000000}"/>
    <cellStyle name="Comma 3 2 2 3" xfId="22" xr:uid="{00000000-0005-0000-0000-000015000000}"/>
    <cellStyle name="Comma 3 2 2 4" xfId="23" xr:uid="{00000000-0005-0000-0000-000016000000}"/>
    <cellStyle name="Comma 3 2 2 5" xfId="24" xr:uid="{00000000-0005-0000-0000-000017000000}"/>
    <cellStyle name="Comma 3 2 2 6" xfId="25" xr:uid="{00000000-0005-0000-0000-000018000000}"/>
    <cellStyle name="Comma 3 2 2 7" xfId="26" xr:uid="{00000000-0005-0000-0000-000019000000}"/>
    <cellStyle name="Comma 3 2 2 8" xfId="27" xr:uid="{00000000-0005-0000-0000-00001A000000}"/>
    <cellStyle name="Comma 3 2 3" xfId="28" xr:uid="{00000000-0005-0000-0000-00001B000000}"/>
    <cellStyle name="Comma 3 2 4" xfId="29" xr:uid="{00000000-0005-0000-0000-00001C000000}"/>
    <cellStyle name="Comma 3 2 5" xfId="30" xr:uid="{00000000-0005-0000-0000-00001D000000}"/>
    <cellStyle name="Comma 3 2 6" xfId="31" xr:uid="{00000000-0005-0000-0000-00001E000000}"/>
    <cellStyle name="Comma 3 2 7" xfId="32" xr:uid="{00000000-0005-0000-0000-00001F000000}"/>
    <cellStyle name="Comma 3 2 8" xfId="33" xr:uid="{00000000-0005-0000-0000-000020000000}"/>
    <cellStyle name="Comma 3 2 9" xfId="34" xr:uid="{00000000-0005-0000-0000-000021000000}"/>
    <cellStyle name="Comma 3 2_RECIBO E IGSS ECONACIONAL" xfId="35" xr:uid="{00000000-0005-0000-0000-000022000000}"/>
    <cellStyle name="Comma 3 3" xfId="36" xr:uid="{00000000-0005-0000-0000-000023000000}"/>
    <cellStyle name="Comma 3 3 2" xfId="37" xr:uid="{00000000-0005-0000-0000-000024000000}"/>
    <cellStyle name="Comma 3 3 3" xfId="38" xr:uid="{00000000-0005-0000-0000-000025000000}"/>
    <cellStyle name="Comma 3 3 4" xfId="39" xr:uid="{00000000-0005-0000-0000-000026000000}"/>
    <cellStyle name="Comma 3 3 5" xfId="40" xr:uid="{00000000-0005-0000-0000-000027000000}"/>
    <cellStyle name="Comma 3 3 6" xfId="41" xr:uid="{00000000-0005-0000-0000-000028000000}"/>
    <cellStyle name="Comma 3 3 7" xfId="42" xr:uid="{00000000-0005-0000-0000-000029000000}"/>
    <cellStyle name="Comma 3 3 8" xfId="43" xr:uid="{00000000-0005-0000-0000-00002A000000}"/>
    <cellStyle name="Comma 3 4" xfId="44" xr:uid="{00000000-0005-0000-0000-00002B000000}"/>
    <cellStyle name="Comma 3 4 2" xfId="45" xr:uid="{00000000-0005-0000-0000-00002C000000}"/>
    <cellStyle name="Comma 3 4 3" xfId="46" xr:uid="{00000000-0005-0000-0000-00002D000000}"/>
    <cellStyle name="Comma 3 4 4" xfId="47" xr:uid="{00000000-0005-0000-0000-00002E000000}"/>
    <cellStyle name="Comma 3 4 5" xfId="48" xr:uid="{00000000-0005-0000-0000-00002F000000}"/>
    <cellStyle name="Comma 3 5" xfId="49" xr:uid="{00000000-0005-0000-0000-000030000000}"/>
    <cellStyle name="Comma 3 6" xfId="50" xr:uid="{00000000-0005-0000-0000-000031000000}"/>
    <cellStyle name="Comma 3 7" xfId="51" xr:uid="{00000000-0005-0000-0000-000032000000}"/>
    <cellStyle name="Comma 3 8" xfId="52" xr:uid="{00000000-0005-0000-0000-000033000000}"/>
    <cellStyle name="Comma 3 9" xfId="53" xr:uid="{00000000-0005-0000-0000-000034000000}"/>
    <cellStyle name="Comma 3_RECIBO E IGSS ECONACIONAL" xfId="54" xr:uid="{00000000-0005-0000-0000-000035000000}"/>
    <cellStyle name="Comma 4" xfId="55" xr:uid="{00000000-0005-0000-0000-000036000000}"/>
    <cellStyle name="Comma 4 10" xfId="56" xr:uid="{00000000-0005-0000-0000-000037000000}"/>
    <cellStyle name="Comma 4 2" xfId="57" xr:uid="{00000000-0005-0000-0000-000038000000}"/>
    <cellStyle name="Comma 4 2 2" xfId="58" xr:uid="{00000000-0005-0000-0000-000039000000}"/>
    <cellStyle name="Comma 4 2 3" xfId="59" xr:uid="{00000000-0005-0000-0000-00003A000000}"/>
    <cellStyle name="Comma 4 2 4" xfId="60" xr:uid="{00000000-0005-0000-0000-00003B000000}"/>
    <cellStyle name="Comma 4 2 5" xfId="61" xr:uid="{00000000-0005-0000-0000-00003C000000}"/>
    <cellStyle name="Comma 4 2 6" xfId="62" xr:uid="{00000000-0005-0000-0000-00003D000000}"/>
    <cellStyle name="Comma 4 2 7" xfId="63" xr:uid="{00000000-0005-0000-0000-00003E000000}"/>
    <cellStyle name="Comma 4 2 8" xfId="64" xr:uid="{00000000-0005-0000-0000-00003F000000}"/>
    <cellStyle name="Comma 4 3" xfId="65" xr:uid="{00000000-0005-0000-0000-000040000000}"/>
    <cellStyle name="Comma 4 4" xfId="66" xr:uid="{00000000-0005-0000-0000-000041000000}"/>
    <cellStyle name="Comma 4 5" xfId="67" xr:uid="{00000000-0005-0000-0000-000042000000}"/>
    <cellStyle name="Comma 4 6" xfId="68" xr:uid="{00000000-0005-0000-0000-000043000000}"/>
    <cellStyle name="Comma 4 7" xfId="69" xr:uid="{00000000-0005-0000-0000-000044000000}"/>
    <cellStyle name="Comma 4 8" xfId="70" xr:uid="{00000000-0005-0000-0000-000045000000}"/>
    <cellStyle name="Comma 4 9" xfId="71" xr:uid="{00000000-0005-0000-0000-000046000000}"/>
    <cellStyle name="Comma 4_RECIBO E IGSS ECONACIONAL" xfId="72" xr:uid="{00000000-0005-0000-0000-000047000000}"/>
    <cellStyle name="Comma 5" xfId="73" xr:uid="{00000000-0005-0000-0000-000048000000}"/>
    <cellStyle name="Comma 5 2" xfId="74" xr:uid="{00000000-0005-0000-0000-000049000000}"/>
    <cellStyle name="Comma 5 3" xfId="75" xr:uid="{00000000-0005-0000-0000-00004A000000}"/>
    <cellStyle name="Comma 5 4" xfId="76" xr:uid="{00000000-0005-0000-0000-00004B000000}"/>
    <cellStyle name="Comma 5 5" xfId="77" xr:uid="{00000000-0005-0000-0000-00004C000000}"/>
    <cellStyle name="Comma 5 6" xfId="78" xr:uid="{00000000-0005-0000-0000-00004D000000}"/>
    <cellStyle name="Comma 6" xfId="79" xr:uid="{00000000-0005-0000-0000-00004E000000}"/>
    <cellStyle name="Comma 6 2" xfId="80" xr:uid="{00000000-0005-0000-0000-00004F000000}"/>
    <cellStyle name="Comma 7" xfId="81" xr:uid="{00000000-0005-0000-0000-000050000000}"/>
    <cellStyle name="Comma 8" xfId="82" xr:uid="{00000000-0005-0000-0000-000051000000}"/>
    <cellStyle name="Currency 2" xfId="83" xr:uid="{00000000-0005-0000-0000-000052000000}"/>
    <cellStyle name="Currency 2 2" xfId="84" xr:uid="{00000000-0005-0000-0000-000053000000}"/>
    <cellStyle name="Currency 2 3" xfId="85" xr:uid="{00000000-0005-0000-0000-000054000000}"/>
    <cellStyle name="Currency 3" xfId="86" xr:uid="{00000000-0005-0000-0000-000055000000}"/>
    <cellStyle name="Currency 3 2" xfId="87" xr:uid="{00000000-0005-0000-0000-000056000000}"/>
    <cellStyle name="Currency 3 3" xfId="88" xr:uid="{00000000-0005-0000-0000-000057000000}"/>
    <cellStyle name="Currency 3 4" xfId="89" xr:uid="{00000000-0005-0000-0000-000058000000}"/>
    <cellStyle name="Currency 4" xfId="90" xr:uid="{00000000-0005-0000-0000-000059000000}"/>
    <cellStyle name="Currency 5" xfId="91" xr:uid="{00000000-0005-0000-0000-00005A000000}"/>
    <cellStyle name="Esquina de la tabla dinámica" xfId="92" xr:uid="{00000000-0005-0000-0000-00005B000000}"/>
    <cellStyle name="Excel Built-in Normal" xfId="93" xr:uid="{00000000-0005-0000-0000-00005C000000}"/>
    <cellStyle name="Millares" xfId="94" builtinId="3"/>
    <cellStyle name="Millares 2" xfId="95" xr:uid="{00000000-0005-0000-0000-00005E000000}"/>
    <cellStyle name="Millares 2 2" xfId="96" xr:uid="{00000000-0005-0000-0000-00005F000000}"/>
    <cellStyle name="Millares 2 2 2" xfId="97" xr:uid="{00000000-0005-0000-0000-000060000000}"/>
    <cellStyle name="Millares 2 2 2 2" xfId="98" xr:uid="{00000000-0005-0000-0000-000061000000}"/>
    <cellStyle name="Millares 2 2 3" xfId="99" xr:uid="{00000000-0005-0000-0000-000062000000}"/>
    <cellStyle name="Millares 2 2 3 2" xfId="100" xr:uid="{00000000-0005-0000-0000-000063000000}"/>
    <cellStyle name="Millares 2 2 4" xfId="101" xr:uid="{00000000-0005-0000-0000-000064000000}"/>
    <cellStyle name="Millares 2 3" xfId="102" xr:uid="{00000000-0005-0000-0000-000065000000}"/>
    <cellStyle name="Millares 2 3 2" xfId="103" xr:uid="{00000000-0005-0000-0000-000066000000}"/>
    <cellStyle name="Millares 2 4" xfId="104" xr:uid="{00000000-0005-0000-0000-000067000000}"/>
    <cellStyle name="Millares 2 4 2" xfId="105" xr:uid="{00000000-0005-0000-0000-000068000000}"/>
    <cellStyle name="Millares 2 5" xfId="106" xr:uid="{00000000-0005-0000-0000-000069000000}"/>
    <cellStyle name="Millares 2 5 2" xfId="107" xr:uid="{00000000-0005-0000-0000-00006A000000}"/>
    <cellStyle name="Millares 3" xfId="108" xr:uid="{00000000-0005-0000-0000-00006B000000}"/>
    <cellStyle name="Millares 4" xfId="267" xr:uid="{00000000-0005-0000-0000-00006C000000}"/>
    <cellStyle name="Millares 4 2" xfId="274" xr:uid="{00000000-0005-0000-0000-00006D000000}"/>
    <cellStyle name="Millares 4 2 2" xfId="289" xr:uid="{475540D2-66DB-44F4-9DB6-0A6915E590EC}"/>
    <cellStyle name="Millares 4 3" xfId="282" xr:uid="{6A591936-0C3C-4902-A002-2000E54A3C6E}"/>
    <cellStyle name="Moneda" xfId="109" builtinId="4"/>
    <cellStyle name="Moneda 2" xfId="110" xr:uid="{00000000-0005-0000-0000-00006F000000}"/>
    <cellStyle name="Moneda 2 2" xfId="111" xr:uid="{00000000-0005-0000-0000-000070000000}"/>
    <cellStyle name="Moneda 2 3" xfId="112" xr:uid="{00000000-0005-0000-0000-000071000000}"/>
    <cellStyle name="Moneda 2 4" xfId="113" xr:uid="{00000000-0005-0000-0000-000072000000}"/>
    <cellStyle name="Moneda 3" xfId="114" xr:uid="{00000000-0005-0000-0000-000073000000}"/>
    <cellStyle name="Moneda 3 2" xfId="115" xr:uid="{00000000-0005-0000-0000-000074000000}"/>
    <cellStyle name="Moneda 4" xfId="116" xr:uid="{00000000-0005-0000-0000-000075000000}"/>
    <cellStyle name="Moneda 5" xfId="117" xr:uid="{00000000-0005-0000-0000-000076000000}"/>
    <cellStyle name="Moneda 5 2" xfId="118" xr:uid="{00000000-0005-0000-0000-000077000000}"/>
    <cellStyle name="Moneda 6" xfId="119" xr:uid="{00000000-0005-0000-0000-000078000000}"/>
    <cellStyle name="Moneda 6 2" xfId="120" xr:uid="{00000000-0005-0000-0000-000079000000}"/>
    <cellStyle name="Moneda 7" xfId="121" xr:uid="{00000000-0005-0000-0000-00007A000000}"/>
    <cellStyle name="Normal" xfId="0" builtinId="0"/>
    <cellStyle name="Normal 10" xfId="122" xr:uid="{00000000-0005-0000-0000-00007C000000}"/>
    <cellStyle name="Normal 10 2" xfId="123" xr:uid="{00000000-0005-0000-0000-00007D000000}"/>
    <cellStyle name="Normal 10 3" xfId="124" xr:uid="{00000000-0005-0000-0000-00007E000000}"/>
    <cellStyle name="Normal 11" xfId="125" xr:uid="{00000000-0005-0000-0000-00007F000000}"/>
    <cellStyle name="Normal 12" xfId="126" xr:uid="{00000000-0005-0000-0000-000080000000}"/>
    <cellStyle name="Normal 13" xfId="266" xr:uid="{00000000-0005-0000-0000-000081000000}"/>
    <cellStyle name="Normal 13 2" xfId="269" xr:uid="{00000000-0005-0000-0000-000082000000}"/>
    <cellStyle name="Normal 13 2 2" xfId="276" xr:uid="{00000000-0005-0000-0000-000083000000}"/>
    <cellStyle name="Normal 13 2 2 2" xfId="291" xr:uid="{4847BE14-43BA-456A-8DAD-7A12980E8651}"/>
    <cellStyle name="Normal 13 2 3" xfId="280" xr:uid="{00000000-0005-0000-0000-000084000000}"/>
    <cellStyle name="Normal 13 2 3 2" xfId="295" xr:uid="{15DC0301-F6AF-4A2B-B5E5-4CCC49BF32D5}"/>
    <cellStyle name="Normal 13 2 4" xfId="284" xr:uid="{607D57B4-5C00-41D8-AB8A-04EC5C44286B}"/>
    <cellStyle name="Normal 13 3" xfId="273" xr:uid="{00000000-0005-0000-0000-000085000000}"/>
    <cellStyle name="Normal 13 3 2" xfId="288" xr:uid="{D161DF1A-B9AB-4E7D-BD57-E341B135E952}"/>
    <cellStyle name="Normal 13 4" xfId="281" xr:uid="{20329E80-7195-4ECC-A121-9BE7D73A1F66}"/>
    <cellStyle name="Normal 14" xfId="268" xr:uid="{00000000-0005-0000-0000-000086000000}"/>
    <cellStyle name="Normal 14 2" xfId="275" xr:uid="{00000000-0005-0000-0000-000087000000}"/>
    <cellStyle name="Normal 14 2 2" xfId="290" xr:uid="{0841B653-56AC-4B58-BAAD-A3FADD73079C}"/>
    <cellStyle name="Normal 14 3" xfId="283" xr:uid="{794E214F-C29B-452B-A887-2AD685EC6585}"/>
    <cellStyle name="Normal 15" xfId="270" xr:uid="{00000000-0005-0000-0000-000088000000}"/>
    <cellStyle name="Normal 15 2" xfId="277" xr:uid="{00000000-0005-0000-0000-000089000000}"/>
    <cellStyle name="Normal 15 2 2" xfId="292" xr:uid="{50A3D312-F3AD-4D85-91E9-EB797867C1F7}"/>
    <cellStyle name="Normal 15 3" xfId="285" xr:uid="{40DAF8DD-5BC6-4BD2-BA17-5040C98669A1}"/>
    <cellStyle name="Normal 16" xfId="271" xr:uid="{00000000-0005-0000-0000-00008A000000}"/>
    <cellStyle name="Normal 16 2" xfId="278" xr:uid="{00000000-0005-0000-0000-00008B000000}"/>
    <cellStyle name="Normal 16 2 2" xfId="293" xr:uid="{63F73530-AC70-4824-9C06-AF0C63E073D9}"/>
    <cellStyle name="Normal 16 3" xfId="286" xr:uid="{0DF27624-B6F9-47D2-9FA4-17D05450903F}"/>
    <cellStyle name="Normal 17" xfId="272" xr:uid="{00000000-0005-0000-0000-00008C000000}"/>
    <cellStyle name="Normal 17 2" xfId="279" xr:uid="{00000000-0005-0000-0000-00008D000000}"/>
    <cellStyle name="Normal 17 2 2" xfId="294" xr:uid="{E164D182-F1F8-48A8-A914-2A18090C0223}"/>
    <cellStyle name="Normal 17 3" xfId="287" xr:uid="{F9666DF5-9CF8-4C1A-B09E-6F57BE0CC57D}"/>
    <cellStyle name="Normal 2" xfId="127" xr:uid="{00000000-0005-0000-0000-00008E000000}"/>
    <cellStyle name="Normal 2 2" xfId="128" xr:uid="{00000000-0005-0000-0000-00008F000000}"/>
    <cellStyle name="Normal 2 2 2" xfId="129" xr:uid="{00000000-0005-0000-0000-000090000000}"/>
    <cellStyle name="Normal 2 3" xfId="130" xr:uid="{00000000-0005-0000-0000-000091000000}"/>
    <cellStyle name="Normal 2 3 2" xfId="131" xr:uid="{00000000-0005-0000-0000-000092000000}"/>
    <cellStyle name="Normal 2 4" xfId="132" xr:uid="{00000000-0005-0000-0000-000093000000}"/>
    <cellStyle name="Normal 2 4 2" xfId="133" xr:uid="{00000000-0005-0000-0000-000094000000}"/>
    <cellStyle name="Normal 2 5" xfId="134" xr:uid="{00000000-0005-0000-0000-000095000000}"/>
    <cellStyle name="Normal 2 5 2" xfId="135" xr:uid="{00000000-0005-0000-0000-000096000000}"/>
    <cellStyle name="Normal 2 6" xfId="136" xr:uid="{00000000-0005-0000-0000-000097000000}"/>
    <cellStyle name="Normal 2 7" xfId="137" xr:uid="{00000000-0005-0000-0000-000098000000}"/>
    <cellStyle name="Normal 3" xfId="138" xr:uid="{00000000-0005-0000-0000-000099000000}"/>
    <cellStyle name="Normal 3 2" xfId="139" xr:uid="{00000000-0005-0000-0000-00009A000000}"/>
    <cellStyle name="Normal 3 3" xfId="140" xr:uid="{00000000-0005-0000-0000-00009B000000}"/>
    <cellStyle name="Normal 3 4" xfId="141" xr:uid="{00000000-0005-0000-0000-00009C000000}"/>
    <cellStyle name="Normal 4" xfId="142" xr:uid="{00000000-0005-0000-0000-00009D000000}"/>
    <cellStyle name="Normal 4 2" xfId="143" xr:uid="{00000000-0005-0000-0000-00009E000000}"/>
    <cellStyle name="Normal 4 2 2" xfId="144" xr:uid="{00000000-0005-0000-0000-00009F000000}"/>
    <cellStyle name="Normal 4 2 2 2" xfId="145" xr:uid="{00000000-0005-0000-0000-0000A0000000}"/>
    <cellStyle name="Normal 4 2 2 3" xfId="146" xr:uid="{00000000-0005-0000-0000-0000A1000000}"/>
    <cellStyle name="Normal 4 2 2 4" xfId="147" xr:uid="{00000000-0005-0000-0000-0000A2000000}"/>
    <cellStyle name="Normal 4 2 3" xfId="148" xr:uid="{00000000-0005-0000-0000-0000A3000000}"/>
    <cellStyle name="Normal 4 2 3 2" xfId="149" xr:uid="{00000000-0005-0000-0000-0000A4000000}"/>
    <cellStyle name="Normal 4 2 3 3" xfId="150" xr:uid="{00000000-0005-0000-0000-0000A5000000}"/>
    <cellStyle name="Normal 4 2 4" xfId="151" xr:uid="{00000000-0005-0000-0000-0000A6000000}"/>
    <cellStyle name="Normal 4 2 5" xfId="152" xr:uid="{00000000-0005-0000-0000-0000A7000000}"/>
    <cellStyle name="Normal 4 2 6" xfId="153" xr:uid="{00000000-0005-0000-0000-0000A8000000}"/>
    <cellStyle name="Normal 4 2 7" xfId="154" xr:uid="{00000000-0005-0000-0000-0000A9000000}"/>
    <cellStyle name="Normal 4 3" xfId="155" xr:uid="{00000000-0005-0000-0000-0000AA000000}"/>
    <cellStyle name="Normal 4 3 2" xfId="156" xr:uid="{00000000-0005-0000-0000-0000AB000000}"/>
    <cellStyle name="Normal 4 4" xfId="157" xr:uid="{00000000-0005-0000-0000-0000AC000000}"/>
    <cellStyle name="Normal 4 4 2" xfId="158" xr:uid="{00000000-0005-0000-0000-0000AD000000}"/>
    <cellStyle name="Normal 4 5" xfId="159" xr:uid="{00000000-0005-0000-0000-0000AE000000}"/>
    <cellStyle name="Normal 5" xfId="160" xr:uid="{00000000-0005-0000-0000-0000AF000000}"/>
    <cellStyle name="Normal 5 2" xfId="161" xr:uid="{00000000-0005-0000-0000-0000B0000000}"/>
    <cellStyle name="Normal 5 3" xfId="162" xr:uid="{00000000-0005-0000-0000-0000B1000000}"/>
    <cellStyle name="Normal 6" xfId="163" xr:uid="{00000000-0005-0000-0000-0000B2000000}"/>
    <cellStyle name="Normal 6 10" xfId="164" xr:uid="{00000000-0005-0000-0000-0000B3000000}"/>
    <cellStyle name="Normal 6 11" xfId="165" xr:uid="{00000000-0005-0000-0000-0000B4000000}"/>
    <cellStyle name="Normal 6 12" xfId="166" xr:uid="{00000000-0005-0000-0000-0000B5000000}"/>
    <cellStyle name="Normal 6 2" xfId="167" xr:uid="{00000000-0005-0000-0000-0000B6000000}"/>
    <cellStyle name="Normal 6 2 10" xfId="168" xr:uid="{00000000-0005-0000-0000-0000B7000000}"/>
    <cellStyle name="Normal 6 2 11" xfId="169" xr:uid="{00000000-0005-0000-0000-0000B8000000}"/>
    <cellStyle name="Normal 6 2 2" xfId="170" xr:uid="{00000000-0005-0000-0000-0000B9000000}"/>
    <cellStyle name="Normal 6 2 2 2" xfId="171" xr:uid="{00000000-0005-0000-0000-0000BA000000}"/>
    <cellStyle name="Normal 6 2 2 3" xfId="172" xr:uid="{00000000-0005-0000-0000-0000BB000000}"/>
    <cellStyle name="Normal 6 2 2 4" xfId="173" xr:uid="{00000000-0005-0000-0000-0000BC000000}"/>
    <cellStyle name="Normal 6 2 2 5" xfId="174" xr:uid="{00000000-0005-0000-0000-0000BD000000}"/>
    <cellStyle name="Normal 6 2 2 6" xfId="175" xr:uid="{00000000-0005-0000-0000-0000BE000000}"/>
    <cellStyle name="Normal 6 2 2 7" xfId="176" xr:uid="{00000000-0005-0000-0000-0000BF000000}"/>
    <cellStyle name="Normal 6 2 2 8" xfId="177" xr:uid="{00000000-0005-0000-0000-0000C0000000}"/>
    <cellStyle name="Normal 6 2 3" xfId="178" xr:uid="{00000000-0005-0000-0000-0000C1000000}"/>
    <cellStyle name="Normal 6 2 3 2" xfId="179" xr:uid="{00000000-0005-0000-0000-0000C2000000}"/>
    <cellStyle name="Normal 6 2 4" xfId="180" xr:uid="{00000000-0005-0000-0000-0000C3000000}"/>
    <cellStyle name="Normal 6 2 5" xfId="181" xr:uid="{00000000-0005-0000-0000-0000C4000000}"/>
    <cellStyle name="Normal 6 2 6" xfId="182" xr:uid="{00000000-0005-0000-0000-0000C5000000}"/>
    <cellStyle name="Normal 6 2 7" xfId="183" xr:uid="{00000000-0005-0000-0000-0000C6000000}"/>
    <cellStyle name="Normal 6 2 8" xfId="184" xr:uid="{00000000-0005-0000-0000-0000C7000000}"/>
    <cellStyle name="Normal 6 2 9" xfId="185" xr:uid="{00000000-0005-0000-0000-0000C8000000}"/>
    <cellStyle name="Normal 6 3" xfId="186" xr:uid="{00000000-0005-0000-0000-0000C9000000}"/>
    <cellStyle name="Normal 6 3 2" xfId="187" xr:uid="{00000000-0005-0000-0000-0000CA000000}"/>
    <cellStyle name="Normal 6 3 3" xfId="188" xr:uid="{00000000-0005-0000-0000-0000CB000000}"/>
    <cellStyle name="Normal 6 3 4" xfId="189" xr:uid="{00000000-0005-0000-0000-0000CC000000}"/>
    <cellStyle name="Normal 6 3 5" xfId="190" xr:uid="{00000000-0005-0000-0000-0000CD000000}"/>
    <cellStyle name="Normal 6 3 6" xfId="191" xr:uid="{00000000-0005-0000-0000-0000CE000000}"/>
    <cellStyle name="Normal 6 3 7" xfId="192" xr:uid="{00000000-0005-0000-0000-0000CF000000}"/>
    <cellStyle name="Normal 6 3 8" xfId="193" xr:uid="{00000000-0005-0000-0000-0000D0000000}"/>
    <cellStyle name="Normal 6 4" xfId="194" xr:uid="{00000000-0005-0000-0000-0000D1000000}"/>
    <cellStyle name="Normal 6 4 2" xfId="195" xr:uid="{00000000-0005-0000-0000-0000D2000000}"/>
    <cellStyle name="Normal 6 4 3" xfId="196" xr:uid="{00000000-0005-0000-0000-0000D3000000}"/>
    <cellStyle name="Normal 6 4 4" xfId="197" xr:uid="{00000000-0005-0000-0000-0000D4000000}"/>
    <cellStyle name="Normal 6 4 5" xfId="198" xr:uid="{00000000-0005-0000-0000-0000D5000000}"/>
    <cellStyle name="Normal 6 5" xfId="199" xr:uid="{00000000-0005-0000-0000-0000D6000000}"/>
    <cellStyle name="Normal 6 6" xfId="200" xr:uid="{00000000-0005-0000-0000-0000D7000000}"/>
    <cellStyle name="Normal 6 7" xfId="201" xr:uid="{00000000-0005-0000-0000-0000D8000000}"/>
    <cellStyle name="Normal 6 8" xfId="202" xr:uid="{00000000-0005-0000-0000-0000D9000000}"/>
    <cellStyle name="Normal 6 9" xfId="203" xr:uid="{00000000-0005-0000-0000-0000DA000000}"/>
    <cellStyle name="Normal 7" xfId="204" xr:uid="{00000000-0005-0000-0000-0000DB000000}"/>
    <cellStyle name="Normal 7 10" xfId="205" xr:uid="{00000000-0005-0000-0000-0000DC000000}"/>
    <cellStyle name="Normal 7 11" xfId="206" xr:uid="{00000000-0005-0000-0000-0000DD000000}"/>
    <cellStyle name="Normal 7 12" xfId="207" xr:uid="{00000000-0005-0000-0000-0000DE000000}"/>
    <cellStyle name="Normal 7 2" xfId="208" xr:uid="{00000000-0005-0000-0000-0000DF000000}"/>
    <cellStyle name="Normal 7 2 2" xfId="209" xr:uid="{00000000-0005-0000-0000-0000E0000000}"/>
    <cellStyle name="Normal 7 2 3" xfId="210" xr:uid="{00000000-0005-0000-0000-0000E1000000}"/>
    <cellStyle name="Normal 7 2 4" xfId="211" xr:uid="{00000000-0005-0000-0000-0000E2000000}"/>
    <cellStyle name="Normal 7 2 5" xfId="212" xr:uid="{00000000-0005-0000-0000-0000E3000000}"/>
    <cellStyle name="Normal 7 2 6" xfId="213" xr:uid="{00000000-0005-0000-0000-0000E4000000}"/>
    <cellStyle name="Normal 7 2 7" xfId="214" xr:uid="{00000000-0005-0000-0000-0000E5000000}"/>
    <cellStyle name="Normal 7 2 8" xfId="215" xr:uid="{00000000-0005-0000-0000-0000E6000000}"/>
    <cellStyle name="Normal 7 2 9" xfId="216" xr:uid="{00000000-0005-0000-0000-0000E7000000}"/>
    <cellStyle name="Normal 7 3" xfId="217" xr:uid="{00000000-0005-0000-0000-0000E8000000}"/>
    <cellStyle name="Normal 7 3 2" xfId="218" xr:uid="{00000000-0005-0000-0000-0000E9000000}"/>
    <cellStyle name="Normal 7 4" xfId="219" xr:uid="{00000000-0005-0000-0000-0000EA000000}"/>
    <cellStyle name="Normal 7 4 2" xfId="220" xr:uid="{00000000-0005-0000-0000-0000EB000000}"/>
    <cellStyle name="Normal 7 5" xfId="221" xr:uid="{00000000-0005-0000-0000-0000EC000000}"/>
    <cellStyle name="Normal 7 6" xfId="222" xr:uid="{00000000-0005-0000-0000-0000ED000000}"/>
    <cellStyle name="Normal 7 7" xfId="223" xr:uid="{00000000-0005-0000-0000-0000EE000000}"/>
    <cellStyle name="Normal 7 8" xfId="224" xr:uid="{00000000-0005-0000-0000-0000EF000000}"/>
    <cellStyle name="Normal 7 9" xfId="225" xr:uid="{00000000-0005-0000-0000-0000F0000000}"/>
    <cellStyle name="Normal 8" xfId="226" xr:uid="{00000000-0005-0000-0000-0000F1000000}"/>
    <cellStyle name="Normal 8 2" xfId="227" xr:uid="{00000000-0005-0000-0000-0000F2000000}"/>
    <cellStyle name="Normal 8 3" xfId="228" xr:uid="{00000000-0005-0000-0000-0000F3000000}"/>
    <cellStyle name="Normal 8 4" xfId="229" xr:uid="{00000000-0005-0000-0000-0000F4000000}"/>
    <cellStyle name="Normal 8 5" xfId="230" xr:uid="{00000000-0005-0000-0000-0000F5000000}"/>
    <cellStyle name="Normal 8 6" xfId="231" xr:uid="{00000000-0005-0000-0000-0000F6000000}"/>
    <cellStyle name="Normal 8 7" xfId="232" xr:uid="{00000000-0005-0000-0000-0000F7000000}"/>
    <cellStyle name="Normal 8 8" xfId="233" xr:uid="{00000000-0005-0000-0000-0000F8000000}"/>
    <cellStyle name="Normal 8 9" xfId="234" xr:uid="{00000000-0005-0000-0000-0000F9000000}"/>
    <cellStyle name="Normal 9" xfId="235" xr:uid="{00000000-0005-0000-0000-0000FA000000}"/>
    <cellStyle name="Normal 9 2" xfId="236" xr:uid="{00000000-0005-0000-0000-0000FB000000}"/>
    <cellStyle name="Normal 9 3" xfId="237" xr:uid="{00000000-0005-0000-0000-0000FC000000}"/>
    <cellStyle name="Normal 9 4" xfId="238" xr:uid="{00000000-0005-0000-0000-0000FD000000}"/>
    <cellStyle name="Normal 9 5" xfId="239" xr:uid="{00000000-0005-0000-0000-0000FE000000}"/>
    <cellStyle name="Note 2" xfId="240" xr:uid="{00000000-0005-0000-0000-0000FF000000}"/>
    <cellStyle name="Note 2 2" xfId="241" xr:uid="{00000000-0005-0000-0000-000000010000}"/>
    <cellStyle name="Note 2 2 2" xfId="242" xr:uid="{00000000-0005-0000-0000-000001010000}"/>
    <cellStyle name="Note 2 2 3" xfId="243" xr:uid="{00000000-0005-0000-0000-000002010000}"/>
    <cellStyle name="Note 2 2 4" xfId="244" xr:uid="{00000000-0005-0000-0000-000003010000}"/>
    <cellStyle name="Note 2 2 5" xfId="245" xr:uid="{00000000-0005-0000-0000-000004010000}"/>
    <cellStyle name="Note 2 2 6" xfId="246" xr:uid="{00000000-0005-0000-0000-000005010000}"/>
    <cellStyle name="Note 2 2 7" xfId="247" xr:uid="{00000000-0005-0000-0000-000006010000}"/>
    <cellStyle name="Note 2 3" xfId="248" xr:uid="{00000000-0005-0000-0000-000007010000}"/>
    <cellStyle name="Percent 2" xfId="249" xr:uid="{00000000-0005-0000-0000-000008010000}"/>
    <cellStyle name="Percent 3" xfId="250" xr:uid="{00000000-0005-0000-0000-000009010000}"/>
    <cellStyle name="Percent 3 2" xfId="251" xr:uid="{00000000-0005-0000-0000-00000A010000}"/>
    <cellStyle name="Percent 3 3" xfId="252" xr:uid="{00000000-0005-0000-0000-00000B010000}"/>
    <cellStyle name="Percent 3 4" xfId="253" xr:uid="{00000000-0005-0000-0000-00000C010000}"/>
    <cellStyle name="Percent 3 5" xfId="254" xr:uid="{00000000-0005-0000-0000-00000D010000}"/>
    <cellStyle name="Percent 3 6" xfId="255" xr:uid="{00000000-0005-0000-0000-00000E010000}"/>
    <cellStyle name="Percent 4" xfId="256" xr:uid="{00000000-0005-0000-0000-00000F010000}"/>
    <cellStyle name="Porcentaje" xfId="257" builtinId="5"/>
    <cellStyle name="Porcentual 2" xfId="258" xr:uid="{00000000-0005-0000-0000-000011010000}"/>
    <cellStyle name="Porcentual 2 2" xfId="259" xr:uid="{00000000-0005-0000-0000-000012010000}"/>
    <cellStyle name="Porcentual 2 2 2" xfId="260" xr:uid="{00000000-0005-0000-0000-000013010000}"/>
    <cellStyle name="Porcentual 2 3" xfId="261" xr:uid="{00000000-0005-0000-0000-000014010000}"/>
    <cellStyle name="Porcentual 2 3 2" xfId="262" xr:uid="{00000000-0005-0000-0000-000015010000}"/>
    <cellStyle name="Resultado de la tabla dinámica" xfId="263" xr:uid="{00000000-0005-0000-0000-000016010000}"/>
    <cellStyle name="Título de la tabla dinámica" xfId="264" xr:uid="{00000000-0005-0000-0000-000017010000}"/>
    <cellStyle name="Valor de la tabla dinámica" xfId="265" xr:uid="{00000000-0005-0000-0000-000018010000}"/>
  </cellStyles>
  <dxfs count="99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C0C0C0"/>
      <rgbColor rgb="00558ED5"/>
      <rgbColor rgb="009999FF"/>
      <rgbColor rgb="00993366"/>
      <rgbColor rgb="00EBF1DE"/>
      <rgbColor rgb="00DCE6F2"/>
      <rgbColor rgb="00660066"/>
      <rgbColor rgb="00FF7C80"/>
      <rgbColor rgb="000066CC"/>
      <rgbColor rgb="00CCCCFF"/>
      <rgbColor rgb="00000080"/>
      <rgbColor rgb="00FF00FF"/>
      <rgbColor rgb="00FFFF00"/>
      <rgbColor rgb="0000FFFF"/>
      <rgbColor rgb="00800080"/>
      <rgbColor rgb="00800000"/>
      <rgbColor rgb="00008080"/>
      <rgbColor rgb="000000FF"/>
      <rgbColor rgb="0000CCFF"/>
      <rgbColor rgb="0099FFFF"/>
      <rgbColor rgb="00CCFFCC"/>
      <rgbColor rgb="00FFFF99"/>
      <rgbColor rgb="0099CCFF"/>
      <rgbColor rgb="00FF99CC"/>
      <rgbColor rgb="00CC99FF"/>
      <rgbColor rgb="00FAC090"/>
      <rgbColor rgb="003366FF"/>
      <rgbColor rgb="0033CCCC"/>
      <rgbColor rgb="0092D050"/>
      <rgbColor rgb="00FFC000"/>
      <rgbColor rgb="00FF9900"/>
      <rgbColor rgb="00E46C0A"/>
      <rgbColor rgb="00376092"/>
      <rgbColor rgb="00A6A6A6"/>
      <rgbColor rgb="00003366"/>
      <rgbColor rgb="0000B050"/>
      <rgbColor rgb="00003300"/>
      <rgbColor rgb="001C1C1C"/>
      <rgbColor rgb="00993300"/>
      <rgbColor rgb="00993366"/>
      <rgbColor rgb="00333399"/>
      <rgbColor rgb="00333333"/>
    </indexedColors>
    <mruColors>
      <color rgb="FF0000FF"/>
      <color rgb="FFFFFFCC"/>
      <color rgb="FFFB31C6"/>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752475</xdr:colOff>
      <xdr:row>12</xdr:row>
      <xdr:rowOff>105833</xdr:rowOff>
    </xdr:from>
    <xdr:to>
      <xdr:col>7</xdr:col>
      <xdr:colOff>257175</xdr:colOff>
      <xdr:row>13</xdr:row>
      <xdr:rowOff>0</xdr:rowOff>
    </xdr:to>
    <xdr:sp macro="" textlink="">
      <xdr:nvSpPr>
        <xdr:cNvPr id="2082" name="AutoShape 1">
          <a:extLst>
            <a:ext uri="{FF2B5EF4-FFF2-40B4-BE49-F238E27FC236}">
              <a16:creationId xmlns:a16="http://schemas.microsoft.com/office/drawing/2014/main" id="{00000000-0008-0000-0D00-000022080000}"/>
            </a:ext>
          </a:extLst>
        </xdr:cNvPr>
        <xdr:cNvSpPr>
          <a:spLocks noChangeArrowheads="1" noTextEdit="1"/>
        </xdr:cNvSpPr>
      </xdr:nvSpPr>
      <xdr:spPr bwMode="auto">
        <a:xfrm>
          <a:off x="8171949" y="5620307"/>
          <a:ext cx="657726" cy="857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1285875</xdr:colOff>
      <xdr:row>29</xdr:row>
      <xdr:rowOff>115006</xdr:rowOff>
    </xdr:from>
    <xdr:to>
      <xdr:col>11</xdr:col>
      <xdr:colOff>31750</xdr:colOff>
      <xdr:row>52</xdr:row>
      <xdr:rowOff>97896</xdr:rowOff>
    </xdr:to>
    <xdr:pic>
      <xdr:nvPicPr>
        <xdr:cNvPr id="2" name="Imagen 1">
          <a:extLst>
            <a:ext uri="{FF2B5EF4-FFF2-40B4-BE49-F238E27FC236}">
              <a16:creationId xmlns:a16="http://schemas.microsoft.com/office/drawing/2014/main" id="{35B671BE-7DD3-41B0-92B0-A425B3166A2F}"/>
            </a:ext>
          </a:extLst>
        </xdr:cNvPr>
        <xdr:cNvPicPr>
          <a:picLocks noChangeAspect="1"/>
        </xdr:cNvPicPr>
      </xdr:nvPicPr>
      <xdr:blipFill>
        <a:blip xmlns:r="http://schemas.openxmlformats.org/officeDocument/2006/relationships" r:embed="rId1"/>
        <a:stretch>
          <a:fillRect/>
        </a:stretch>
      </xdr:blipFill>
      <xdr:spPr>
        <a:xfrm>
          <a:off x="13684250" y="6909506"/>
          <a:ext cx="3603625" cy="43643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1285875</xdr:colOff>
      <xdr:row>29</xdr:row>
      <xdr:rowOff>115006</xdr:rowOff>
    </xdr:from>
    <xdr:to>
      <xdr:col>11</xdr:col>
      <xdr:colOff>31750</xdr:colOff>
      <xdr:row>52</xdr:row>
      <xdr:rowOff>97896</xdr:rowOff>
    </xdr:to>
    <xdr:pic>
      <xdr:nvPicPr>
        <xdr:cNvPr id="2" name="Imagen 1">
          <a:extLst>
            <a:ext uri="{FF2B5EF4-FFF2-40B4-BE49-F238E27FC236}">
              <a16:creationId xmlns:a16="http://schemas.microsoft.com/office/drawing/2014/main" id="{4D9D3D96-B7ED-4A8C-BC98-4972C1324B7E}"/>
            </a:ext>
          </a:extLst>
        </xdr:cNvPr>
        <xdr:cNvPicPr>
          <a:picLocks noChangeAspect="1"/>
        </xdr:cNvPicPr>
      </xdr:nvPicPr>
      <xdr:blipFill>
        <a:blip xmlns:r="http://schemas.openxmlformats.org/officeDocument/2006/relationships" r:embed="rId1"/>
        <a:stretch>
          <a:fillRect/>
        </a:stretch>
      </xdr:blipFill>
      <xdr:spPr>
        <a:xfrm>
          <a:off x="14954250" y="5915731"/>
          <a:ext cx="3594100" cy="43643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perez/Desktop/ALEJANDRA%20PEREZ/NOMINAS/2022/OCTUBRE/15.10/NOMINA%2015.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tribucion"/>
      <sheetName val="boleto de ornato"/>
      <sheetName val="INCREMENTO SALARIO MINIMO "/>
      <sheetName val="Hoja2"/>
      <sheetName val="Nomina Proquima"/>
      <sheetName val="RECIBO E IGSS PROQUIMA"/>
      <sheetName val="Nomina Unhesa"/>
      <sheetName val="RECIBO E IGSS UNHESA"/>
      <sheetName val="Nomina Econacional"/>
      <sheetName val="RECIBO E IGSS ECONACIONAL"/>
      <sheetName val="CHEQUES ECONACIONAL"/>
      <sheetName val="Sol.Cheques"/>
      <sheetName val="Verificador de pago"/>
      <sheetName val="Hoja1"/>
      <sheetName val="Hoja1 (2)"/>
    </sheetNames>
    <sheetDataSet>
      <sheetData sheetId="0"/>
      <sheetData sheetId="1"/>
      <sheetData sheetId="2"/>
      <sheetData sheetId="3"/>
      <sheetData sheetId="4"/>
      <sheetData sheetId="5"/>
      <sheetData sheetId="6">
        <row r="9">
          <cell r="B9" t="str">
            <v>Estrada Robles Victor Gerardo</v>
          </cell>
          <cell r="C9" t="str">
            <v>Presidente</v>
          </cell>
          <cell r="D9">
            <v>9875</v>
          </cell>
          <cell r="E9">
            <v>15</v>
          </cell>
          <cell r="F9">
            <v>0</v>
          </cell>
          <cell r="G9">
            <v>9875</v>
          </cell>
          <cell r="H9">
            <v>125</v>
          </cell>
          <cell r="I9">
            <v>10000</v>
          </cell>
          <cell r="J9">
            <v>0</v>
          </cell>
          <cell r="K9">
            <v>0</v>
          </cell>
          <cell r="L9">
            <v>0</v>
          </cell>
          <cell r="M9">
            <v>0</v>
          </cell>
          <cell r="N9">
            <v>0</v>
          </cell>
          <cell r="O9">
            <v>0</v>
          </cell>
          <cell r="P9">
            <v>10000</v>
          </cell>
          <cell r="Q9">
            <v>0</v>
          </cell>
          <cell r="R9">
            <v>0</v>
          </cell>
          <cell r="S9">
            <v>0</v>
          </cell>
          <cell r="T9">
            <v>0</v>
          </cell>
          <cell r="U9">
            <v>0</v>
          </cell>
          <cell r="V9">
            <v>0</v>
          </cell>
          <cell r="W9">
            <v>0</v>
          </cell>
          <cell r="X9">
            <v>0</v>
          </cell>
          <cell r="Y9">
            <v>0</v>
          </cell>
          <cell r="Z9">
            <v>10000</v>
          </cell>
          <cell r="AA9">
            <v>10000</v>
          </cell>
          <cell r="AB9">
            <v>0</v>
          </cell>
        </row>
        <row r="10">
          <cell r="B10" t="str">
            <v>Garcia Barrera Melani Melissa</v>
          </cell>
          <cell r="C10" t="str">
            <v>Asistente de Gerencia</v>
          </cell>
          <cell r="D10">
            <v>1875</v>
          </cell>
          <cell r="E10">
            <v>15</v>
          </cell>
          <cell r="F10">
            <v>0</v>
          </cell>
          <cell r="G10">
            <v>1875</v>
          </cell>
          <cell r="H10">
            <v>1625</v>
          </cell>
          <cell r="I10">
            <v>3500</v>
          </cell>
          <cell r="J10">
            <v>0</v>
          </cell>
          <cell r="K10">
            <v>0</v>
          </cell>
          <cell r="L10">
            <v>0</v>
          </cell>
          <cell r="M10">
            <v>0</v>
          </cell>
          <cell r="N10">
            <v>0</v>
          </cell>
          <cell r="O10">
            <v>0</v>
          </cell>
          <cell r="P10">
            <v>3500</v>
          </cell>
          <cell r="Q10">
            <v>90.56</v>
          </cell>
          <cell r="R10">
            <v>0</v>
          </cell>
          <cell r="S10">
            <v>0</v>
          </cell>
          <cell r="T10">
            <v>0</v>
          </cell>
          <cell r="U10">
            <v>0</v>
          </cell>
          <cell r="V10">
            <v>0</v>
          </cell>
          <cell r="W10">
            <v>0</v>
          </cell>
          <cell r="X10">
            <v>0</v>
          </cell>
          <cell r="Y10">
            <v>90.56</v>
          </cell>
          <cell r="Z10">
            <v>3409.44</v>
          </cell>
          <cell r="AA10">
            <v>3409.44</v>
          </cell>
          <cell r="AB10">
            <v>0</v>
          </cell>
        </row>
        <row r="11">
          <cell r="B11" t="str">
            <v xml:space="preserve">Muñoz Laparra Orly Gabriela </v>
          </cell>
          <cell r="C11" t="str">
            <v xml:space="preserve">Asistente de Proyectos </v>
          </cell>
          <cell r="D11">
            <v>2500</v>
          </cell>
          <cell r="E11">
            <v>15</v>
          </cell>
          <cell r="F11">
            <v>0</v>
          </cell>
          <cell r="G11">
            <v>2500</v>
          </cell>
          <cell r="H11">
            <v>1500</v>
          </cell>
          <cell r="I11">
            <v>4000</v>
          </cell>
          <cell r="J11">
            <v>0</v>
          </cell>
          <cell r="K11">
            <v>0</v>
          </cell>
          <cell r="L11">
            <v>0</v>
          </cell>
          <cell r="M11">
            <v>0</v>
          </cell>
          <cell r="N11">
            <v>0</v>
          </cell>
          <cell r="O11">
            <v>0</v>
          </cell>
          <cell r="P11">
            <v>4000</v>
          </cell>
          <cell r="Q11">
            <v>120.75</v>
          </cell>
          <cell r="R11">
            <v>39.909999999999997</v>
          </cell>
          <cell r="S11">
            <v>0</v>
          </cell>
          <cell r="T11">
            <v>0</v>
          </cell>
          <cell r="U11">
            <v>0</v>
          </cell>
          <cell r="V11">
            <v>31.67</v>
          </cell>
          <cell r="W11">
            <v>130.5</v>
          </cell>
          <cell r="X11">
            <v>120</v>
          </cell>
          <cell r="Y11">
            <v>442.83</v>
          </cell>
          <cell r="Z11">
            <v>3557.17</v>
          </cell>
          <cell r="AA11">
            <v>3557.17</v>
          </cell>
          <cell r="AB11">
            <v>0</v>
          </cell>
        </row>
        <row r="12">
          <cell r="B12" t="str">
            <v>Quevedo Lopez Ingrid Aracely</v>
          </cell>
          <cell r="C12" t="str">
            <v>Conserje</v>
          </cell>
          <cell r="D12">
            <v>1479.62</v>
          </cell>
          <cell r="E12">
            <v>15</v>
          </cell>
          <cell r="F12">
            <v>0</v>
          </cell>
          <cell r="G12">
            <v>1479.62</v>
          </cell>
          <cell r="H12">
            <v>125</v>
          </cell>
          <cell r="I12">
            <v>1604.62</v>
          </cell>
          <cell r="J12">
            <v>0</v>
          </cell>
          <cell r="K12">
            <v>0</v>
          </cell>
          <cell r="L12">
            <v>0</v>
          </cell>
          <cell r="M12">
            <v>0</v>
          </cell>
          <cell r="N12">
            <v>0</v>
          </cell>
          <cell r="O12">
            <v>0</v>
          </cell>
          <cell r="P12">
            <v>1604.62</v>
          </cell>
          <cell r="Q12">
            <v>71.47</v>
          </cell>
          <cell r="R12">
            <v>0</v>
          </cell>
          <cell r="S12">
            <v>0</v>
          </cell>
          <cell r="T12">
            <v>0</v>
          </cell>
          <cell r="U12">
            <v>0</v>
          </cell>
          <cell r="V12">
            <v>0</v>
          </cell>
          <cell r="W12">
            <v>0</v>
          </cell>
          <cell r="X12">
            <v>0</v>
          </cell>
          <cell r="Y12">
            <v>71.47</v>
          </cell>
          <cell r="Z12">
            <v>1533.1499999999999</v>
          </cell>
          <cell r="AA12">
            <v>1533.1499999999999</v>
          </cell>
          <cell r="AB12">
            <v>0</v>
          </cell>
        </row>
        <row r="13">
          <cell r="B13" t="str">
            <v>Morales Alvarez Yony</v>
          </cell>
          <cell r="C13" t="str">
            <v>Conserje</v>
          </cell>
          <cell r="D13">
            <v>1479.62</v>
          </cell>
          <cell r="E13">
            <v>15</v>
          </cell>
          <cell r="F13">
            <v>0</v>
          </cell>
          <cell r="G13">
            <v>1479.62</v>
          </cell>
          <cell r="H13">
            <v>125</v>
          </cell>
          <cell r="I13">
            <v>1604.62</v>
          </cell>
          <cell r="J13">
            <v>0</v>
          </cell>
          <cell r="K13">
            <v>0</v>
          </cell>
          <cell r="L13">
            <v>0</v>
          </cell>
          <cell r="M13">
            <v>0</v>
          </cell>
          <cell r="N13">
            <v>0</v>
          </cell>
          <cell r="O13">
            <v>0</v>
          </cell>
          <cell r="P13">
            <v>1604.62</v>
          </cell>
          <cell r="Q13">
            <v>71.47</v>
          </cell>
          <cell r="R13">
            <v>0</v>
          </cell>
          <cell r="S13">
            <v>0</v>
          </cell>
          <cell r="T13">
            <v>0</v>
          </cell>
          <cell r="U13">
            <v>0</v>
          </cell>
          <cell r="V13">
            <v>0</v>
          </cell>
          <cell r="W13">
            <v>0</v>
          </cell>
          <cell r="X13">
            <v>0</v>
          </cell>
          <cell r="Y13">
            <v>71.47</v>
          </cell>
          <cell r="Z13">
            <v>1533.1499999999999</v>
          </cell>
          <cell r="AA13">
            <v>1533.1499999999999</v>
          </cell>
          <cell r="AB13">
            <v>0</v>
          </cell>
        </row>
        <row r="14">
          <cell r="B14" t="str">
            <v>Veliz Carias Elder Danilo</v>
          </cell>
          <cell r="C14" t="str">
            <v>Piloto</v>
          </cell>
          <cell r="D14">
            <v>1479.62</v>
          </cell>
          <cell r="E14">
            <v>15</v>
          </cell>
          <cell r="F14">
            <v>0</v>
          </cell>
          <cell r="G14">
            <v>1479.62</v>
          </cell>
          <cell r="H14">
            <v>125</v>
          </cell>
          <cell r="I14">
            <v>1604.62</v>
          </cell>
          <cell r="J14">
            <v>0</v>
          </cell>
          <cell r="K14">
            <v>0</v>
          </cell>
          <cell r="L14">
            <v>0</v>
          </cell>
          <cell r="M14">
            <v>0</v>
          </cell>
          <cell r="N14">
            <v>0</v>
          </cell>
          <cell r="O14">
            <v>0</v>
          </cell>
          <cell r="P14">
            <v>1604.62</v>
          </cell>
          <cell r="Q14">
            <v>71.47</v>
          </cell>
          <cell r="R14">
            <v>0</v>
          </cell>
          <cell r="S14">
            <v>0</v>
          </cell>
          <cell r="T14">
            <v>0</v>
          </cell>
          <cell r="U14">
            <v>0</v>
          </cell>
          <cell r="V14">
            <v>0</v>
          </cell>
          <cell r="W14">
            <v>0</v>
          </cell>
          <cell r="X14">
            <v>0</v>
          </cell>
          <cell r="Y14">
            <v>71.47</v>
          </cell>
          <cell r="Z14">
            <v>1533.1499999999999</v>
          </cell>
          <cell r="AA14">
            <v>1533.1499999999999</v>
          </cell>
          <cell r="AB14">
            <v>0</v>
          </cell>
        </row>
        <row r="15">
          <cell r="B15"/>
          <cell r="C15" t="str">
            <v>TOTAL</v>
          </cell>
          <cell r="D15" t="str">
            <v>TOTAL</v>
          </cell>
          <cell r="E15"/>
          <cell r="F15"/>
          <cell r="G15">
            <v>18688.859999999997</v>
          </cell>
          <cell r="H15">
            <v>3625</v>
          </cell>
          <cell r="I15">
            <v>22313.859999999997</v>
          </cell>
          <cell r="J15">
            <v>0</v>
          </cell>
          <cell r="K15">
            <v>0</v>
          </cell>
          <cell r="L15">
            <v>0</v>
          </cell>
          <cell r="M15">
            <v>0</v>
          </cell>
          <cell r="N15">
            <v>0</v>
          </cell>
          <cell r="O15">
            <v>0</v>
          </cell>
          <cell r="P15">
            <v>22313.859999999997</v>
          </cell>
          <cell r="Q15">
            <v>425.72</v>
          </cell>
          <cell r="R15">
            <v>39.909999999999997</v>
          </cell>
          <cell r="S15">
            <v>0</v>
          </cell>
          <cell r="T15">
            <v>0</v>
          </cell>
          <cell r="U15">
            <v>0</v>
          </cell>
          <cell r="V15">
            <v>31.67</v>
          </cell>
          <cell r="W15">
            <v>130.5</v>
          </cell>
          <cell r="X15">
            <v>120</v>
          </cell>
          <cell r="Y15">
            <v>747.80000000000007</v>
          </cell>
          <cell r="Z15">
            <v>21566.060000000005</v>
          </cell>
          <cell r="AA15">
            <v>21566.060000000005</v>
          </cell>
          <cell r="AB15">
            <v>0</v>
          </cell>
        </row>
        <row r="16">
          <cell r="B16"/>
          <cell r="C16"/>
          <cell r="D16"/>
          <cell r="E16"/>
          <cell r="F16"/>
          <cell r="G16"/>
          <cell r="H16"/>
          <cell r="I16"/>
          <cell r="J16"/>
          <cell r="K16"/>
          <cell r="L16"/>
          <cell r="M16"/>
          <cell r="N16"/>
          <cell r="O16"/>
          <cell r="P16"/>
          <cell r="Q16"/>
          <cell r="R16"/>
          <cell r="S16"/>
          <cell r="T16"/>
          <cell r="U16"/>
          <cell r="V16"/>
          <cell r="W16"/>
          <cell r="X16"/>
          <cell r="Y16"/>
          <cell r="Z16"/>
          <cell r="AA16"/>
          <cell r="AB16"/>
        </row>
        <row r="17">
          <cell r="B17"/>
          <cell r="C17"/>
          <cell r="D17"/>
          <cell r="E17"/>
          <cell r="F17"/>
          <cell r="G17"/>
          <cell r="H17"/>
          <cell r="I17"/>
          <cell r="J17"/>
          <cell r="K17"/>
          <cell r="L17"/>
          <cell r="M17"/>
          <cell r="N17"/>
          <cell r="O17"/>
          <cell r="P17"/>
          <cell r="Q17"/>
          <cell r="R17"/>
          <cell r="S17"/>
          <cell r="T17"/>
          <cell r="U17"/>
          <cell r="V17"/>
          <cell r="W17"/>
          <cell r="X17"/>
          <cell r="Y17"/>
          <cell r="Z17"/>
          <cell r="AA17"/>
          <cell r="AB17"/>
        </row>
        <row r="18">
          <cell r="B18" t="str">
            <v>Chamay Gomez Susana Noemi</v>
          </cell>
          <cell r="C18" t="str">
            <v>conserje</v>
          </cell>
          <cell r="D18">
            <v>1479.62</v>
          </cell>
          <cell r="E18">
            <v>15</v>
          </cell>
          <cell r="F18" t="str">
            <v xml:space="preserve"> </v>
          </cell>
          <cell r="G18">
            <v>1479.62</v>
          </cell>
          <cell r="H18">
            <v>125</v>
          </cell>
          <cell r="I18">
            <v>1604.62</v>
          </cell>
          <cell r="J18">
            <v>0</v>
          </cell>
          <cell r="K18">
            <v>0</v>
          </cell>
          <cell r="L18">
            <v>0</v>
          </cell>
          <cell r="M18">
            <v>0</v>
          </cell>
          <cell r="N18">
            <v>0</v>
          </cell>
          <cell r="O18">
            <v>0</v>
          </cell>
          <cell r="P18">
            <v>1604.62</v>
          </cell>
          <cell r="Q18">
            <v>71.47</v>
          </cell>
          <cell r="R18">
            <v>0</v>
          </cell>
          <cell r="S18">
            <v>0</v>
          </cell>
          <cell r="T18">
            <v>0</v>
          </cell>
          <cell r="U18">
            <v>0</v>
          </cell>
          <cell r="V18">
            <v>0</v>
          </cell>
          <cell r="W18">
            <v>0</v>
          </cell>
          <cell r="X18">
            <v>0</v>
          </cell>
          <cell r="Y18">
            <v>71.47</v>
          </cell>
          <cell r="Z18">
            <v>1533.1499999999999</v>
          </cell>
          <cell r="AA18">
            <v>1533.1499999999999</v>
          </cell>
          <cell r="AB18">
            <v>0</v>
          </cell>
        </row>
        <row r="19">
          <cell r="B19"/>
          <cell r="C19" t="str">
            <v>TOTAL</v>
          </cell>
          <cell r="D19" t="str">
            <v>TOTAL</v>
          </cell>
          <cell r="E19"/>
          <cell r="F19"/>
          <cell r="G19">
            <v>1479.62</v>
          </cell>
          <cell r="H19">
            <v>125</v>
          </cell>
          <cell r="I19">
            <v>1604.62</v>
          </cell>
          <cell r="J19">
            <v>0</v>
          </cell>
          <cell r="K19">
            <v>0</v>
          </cell>
          <cell r="L19">
            <v>0</v>
          </cell>
          <cell r="M19">
            <v>0</v>
          </cell>
          <cell r="N19">
            <v>0</v>
          </cell>
          <cell r="O19">
            <v>0</v>
          </cell>
          <cell r="P19">
            <v>1604.62</v>
          </cell>
          <cell r="Q19">
            <v>71.47</v>
          </cell>
          <cell r="R19">
            <v>0</v>
          </cell>
          <cell r="S19">
            <v>0</v>
          </cell>
          <cell r="T19">
            <v>0</v>
          </cell>
          <cell r="U19">
            <v>0</v>
          </cell>
          <cell r="V19">
            <v>0</v>
          </cell>
          <cell r="W19">
            <v>0</v>
          </cell>
          <cell r="X19">
            <v>0</v>
          </cell>
          <cell r="Y19">
            <v>71.47</v>
          </cell>
          <cell r="Z19">
            <v>1533.1499999999999</v>
          </cell>
          <cell r="AA19">
            <v>1533.1499999999999</v>
          </cell>
          <cell r="AB19">
            <v>0</v>
          </cell>
        </row>
        <row r="20">
          <cell r="B20"/>
          <cell r="C20"/>
          <cell r="D20"/>
          <cell r="E20"/>
          <cell r="F20"/>
          <cell r="G20"/>
          <cell r="H20"/>
          <cell r="I20"/>
          <cell r="J20"/>
          <cell r="K20"/>
          <cell r="L20"/>
          <cell r="M20"/>
          <cell r="N20"/>
          <cell r="O20"/>
          <cell r="P20"/>
          <cell r="Q20"/>
          <cell r="R20"/>
          <cell r="S20"/>
          <cell r="T20"/>
          <cell r="U20"/>
          <cell r="V20"/>
          <cell r="W20"/>
          <cell r="X20"/>
          <cell r="Y20"/>
          <cell r="Z20"/>
          <cell r="AA20"/>
          <cell r="AB20"/>
        </row>
        <row r="21">
          <cell r="B21" t="str">
            <v>SISTEMAS</v>
          </cell>
          <cell r="C21"/>
          <cell r="D21"/>
          <cell r="E21"/>
          <cell r="F21"/>
          <cell r="G21"/>
          <cell r="H21"/>
          <cell r="I21"/>
          <cell r="J21"/>
          <cell r="K21"/>
          <cell r="L21"/>
          <cell r="M21"/>
          <cell r="N21"/>
          <cell r="O21"/>
          <cell r="P21"/>
          <cell r="Q21"/>
          <cell r="R21"/>
          <cell r="S21"/>
          <cell r="T21"/>
          <cell r="U21"/>
          <cell r="V21"/>
          <cell r="W21"/>
          <cell r="X21"/>
          <cell r="Y21"/>
          <cell r="Z21"/>
          <cell r="AA21"/>
          <cell r="AB21"/>
        </row>
        <row r="22">
          <cell r="B22"/>
          <cell r="C22" t="str">
            <v>TOTAL</v>
          </cell>
          <cell r="D22" t="str">
            <v>TOTAL</v>
          </cell>
          <cell r="E22"/>
          <cell r="F22"/>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row>
        <row r="23">
          <cell r="B23"/>
          <cell r="C23"/>
          <cell r="D23"/>
          <cell r="E23"/>
          <cell r="F23"/>
          <cell r="G23"/>
          <cell r="H23"/>
          <cell r="I23"/>
          <cell r="J23"/>
          <cell r="K23"/>
          <cell r="L23"/>
          <cell r="M23"/>
          <cell r="N23"/>
          <cell r="O23"/>
          <cell r="P23"/>
          <cell r="Q23"/>
          <cell r="R23"/>
          <cell r="S23"/>
          <cell r="T23"/>
          <cell r="U23"/>
          <cell r="V23"/>
          <cell r="W23"/>
          <cell r="X23"/>
          <cell r="Y23"/>
          <cell r="Z23"/>
          <cell r="AA23"/>
          <cell r="AB23"/>
        </row>
        <row r="24">
          <cell r="B24"/>
          <cell r="C24"/>
          <cell r="D24"/>
          <cell r="E24"/>
          <cell r="F24"/>
          <cell r="G24"/>
          <cell r="H24"/>
          <cell r="I24"/>
          <cell r="J24"/>
          <cell r="K24"/>
          <cell r="L24"/>
          <cell r="M24"/>
          <cell r="N24"/>
          <cell r="O24"/>
          <cell r="P24"/>
          <cell r="Q24"/>
          <cell r="R24"/>
          <cell r="S24"/>
          <cell r="T24"/>
          <cell r="U24"/>
          <cell r="V24"/>
          <cell r="W24"/>
          <cell r="X24"/>
          <cell r="Y24"/>
          <cell r="Z24"/>
          <cell r="AA24"/>
          <cell r="AB24"/>
        </row>
        <row r="25">
          <cell r="B25" t="str">
            <v>Contabilidad y Finanzas</v>
          </cell>
          <cell r="C25"/>
          <cell r="D25"/>
          <cell r="E25"/>
          <cell r="F25"/>
          <cell r="G25"/>
          <cell r="H25"/>
          <cell r="I25"/>
          <cell r="J25"/>
          <cell r="K25"/>
          <cell r="L25"/>
          <cell r="M25"/>
          <cell r="N25"/>
          <cell r="O25"/>
          <cell r="P25"/>
          <cell r="Q25"/>
          <cell r="R25"/>
          <cell r="S25"/>
          <cell r="T25"/>
          <cell r="U25"/>
          <cell r="V25"/>
          <cell r="W25"/>
          <cell r="X25"/>
          <cell r="Y25"/>
          <cell r="Z25"/>
          <cell r="AA25"/>
          <cell r="AB25"/>
        </row>
        <row r="26">
          <cell r="B26" t="str">
            <v>Lorenzana Gonzalez Cesar Leonel</v>
          </cell>
          <cell r="C26" t="str">
            <v>Gerente Financiero</v>
          </cell>
          <cell r="D26">
            <v>9000</v>
          </cell>
          <cell r="E26">
            <v>15</v>
          </cell>
          <cell r="F26">
            <v>0</v>
          </cell>
          <cell r="G26">
            <v>9000</v>
          </cell>
          <cell r="H26">
            <v>2500</v>
          </cell>
          <cell r="I26">
            <v>11500</v>
          </cell>
          <cell r="J26">
            <v>0</v>
          </cell>
          <cell r="K26">
            <v>0</v>
          </cell>
          <cell r="L26">
            <v>0</v>
          </cell>
          <cell r="M26">
            <v>0</v>
          </cell>
          <cell r="N26">
            <v>0</v>
          </cell>
          <cell r="O26">
            <v>0</v>
          </cell>
          <cell r="P26">
            <v>11500</v>
          </cell>
          <cell r="Q26">
            <v>434.7</v>
          </cell>
          <cell r="R26">
            <v>638.84</v>
          </cell>
          <cell r="S26">
            <v>0</v>
          </cell>
          <cell r="T26">
            <v>0</v>
          </cell>
          <cell r="U26">
            <v>0</v>
          </cell>
          <cell r="V26">
            <v>0</v>
          </cell>
          <cell r="W26">
            <v>0</v>
          </cell>
          <cell r="X26">
            <v>0</v>
          </cell>
          <cell r="Y26">
            <v>1073.54</v>
          </cell>
          <cell r="Z26">
            <v>10426.459999999999</v>
          </cell>
          <cell r="AA26">
            <v>10426.459999999999</v>
          </cell>
          <cell r="AB26">
            <v>0</v>
          </cell>
        </row>
        <row r="27">
          <cell r="B27" t="str">
            <v>Castañeda Osorio Estela Angelina</v>
          </cell>
          <cell r="C27" t="str">
            <v>Tesorera-Contador</v>
          </cell>
          <cell r="D27">
            <v>1625</v>
          </cell>
          <cell r="E27">
            <v>15</v>
          </cell>
          <cell r="F27">
            <v>0</v>
          </cell>
          <cell r="G27">
            <v>1625</v>
          </cell>
          <cell r="H27">
            <v>875</v>
          </cell>
          <cell r="I27">
            <v>2500</v>
          </cell>
          <cell r="J27">
            <v>0</v>
          </cell>
          <cell r="K27">
            <v>0</v>
          </cell>
          <cell r="L27">
            <v>0</v>
          </cell>
          <cell r="M27">
            <v>0</v>
          </cell>
          <cell r="N27">
            <v>0</v>
          </cell>
          <cell r="O27">
            <v>0</v>
          </cell>
          <cell r="P27">
            <v>2500</v>
          </cell>
          <cell r="Q27">
            <v>78.489999999999995</v>
          </cell>
          <cell r="R27">
            <v>0</v>
          </cell>
          <cell r="S27">
            <v>277.45999999999998</v>
          </cell>
          <cell r="T27">
            <v>0</v>
          </cell>
          <cell r="U27">
            <v>0</v>
          </cell>
          <cell r="V27">
            <v>0</v>
          </cell>
          <cell r="W27">
            <v>240</v>
          </cell>
          <cell r="X27">
            <v>0</v>
          </cell>
          <cell r="Y27">
            <v>595.95000000000005</v>
          </cell>
          <cell r="Z27">
            <v>1904.05</v>
          </cell>
          <cell r="AA27">
            <v>1904.05</v>
          </cell>
          <cell r="AB27">
            <v>0</v>
          </cell>
        </row>
        <row r="28">
          <cell r="B28" t="str">
            <v xml:space="preserve">Patzan Quib Lucrecia </v>
          </cell>
          <cell r="C28" t="str">
            <v>Contador General</v>
          </cell>
          <cell r="D28">
            <v>5018.2700000000004</v>
          </cell>
          <cell r="E28">
            <v>15</v>
          </cell>
          <cell r="F28">
            <v>0</v>
          </cell>
          <cell r="G28">
            <v>5018.2700000000004</v>
          </cell>
          <cell r="H28">
            <v>328.85</v>
          </cell>
          <cell r="I28">
            <v>5347.1200000000008</v>
          </cell>
          <cell r="J28">
            <v>0</v>
          </cell>
          <cell r="K28">
            <v>0</v>
          </cell>
          <cell r="L28">
            <v>0</v>
          </cell>
          <cell r="M28">
            <v>0</v>
          </cell>
          <cell r="N28">
            <v>0</v>
          </cell>
          <cell r="O28">
            <v>0</v>
          </cell>
          <cell r="P28">
            <v>5347.1200000000008</v>
          </cell>
          <cell r="Q28">
            <v>242.38</v>
          </cell>
          <cell r="R28">
            <v>192.92</v>
          </cell>
          <cell r="S28">
            <v>767.13</v>
          </cell>
          <cell r="T28">
            <v>0</v>
          </cell>
          <cell r="U28">
            <v>0</v>
          </cell>
          <cell r="V28">
            <v>0</v>
          </cell>
          <cell r="W28">
            <v>0</v>
          </cell>
          <cell r="X28">
            <v>0</v>
          </cell>
          <cell r="Y28">
            <v>1202.4299999999998</v>
          </cell>
          <cell r="Z28">
            <v>4144.6900000000005</v>
          </cell>
          <cell r="AA28">
            <v>4144.6900000000005</v>
          </cell>
          <cell r="AB28">
            <v>0</v>
          </cell>
        </row>
        <row r="29">
          <cell r="B29" t="str">
            <v>Lopez Teletor Josue Leonel</v>
          </cell>
          <cell r="C29" t="str">
            <v>Asistente de Auditoria Interna</v>
          </cell>
          <cell r="D29">
            <v>1875</v>
          </cell>
          <cell r="E29">
            <v>15</v>
          </cell>
          <cell r="F29">
            <v>0</v>
          </cell>
          <cell r="G29">
            <v>1875</v>
          </cell>
          <cell r="H29">
            <v>125</v>
          </cell>
          <cell r="I29">
            <v>2000</v>
          </cell>
          <cell r="J29">
            <v>0</v>
          </cell>
          <cell r="K29">
            <v>0</v>
          </cell>
          <cell r="L29">
            <v>0</v>
          </cell>
          <cell r="M29">
            <v>0</v>
          </cell>
          <cell r="N29">
            <v>0</v>
          </cell>
          <cell r="O29">
            <v>0</v>
          </cell>
          <cell r="P29">
            <v>2000</v>
          </cell>
          <cell r="Q29">
            <v>90.56</v>
          </cell>
          <cell r="R29">
            <v>0</v>
          </cell>
          <cell r="S29">
            <v>0</v>
          </cell>
          <cell r="T29">
            <v>0</v>
          </cell>
          <cell r="U29">
            <v>0</v>
          </cell>
          <cell r="V29">
            <v>0</v>
          </cell>
          <cell r="W29">
            <v>0</v>
          </cell>
          <cell r="X29">
            <v>0</v>
          </cell>
          <cell r="Y29">
            <v>90.56</v>
          </cell>
          <cell r="Z29">
            <v>1909.44</v>
          </cell>
          <cell r="AA29">
            <v>1909.44</v>
          </cell>
          <cell r="AB29">
            <v>0</v>
          </cell>
        </row>
        <row r="30">
          <cell r="B30" t="str">
            <v>Chavez Garcia Benner Amilcar</v>
          </cell>
          <cell r="C30" t="str">
            <v>Auxiliar Contable</v>
          </cell>
          <cell r="D30">
            <v>1479.62</v>
          </cell>
          <cell r="E30">
            <v>15</v>
          </cell>
          <cell r="F30">
            <v>0</v>
          </cell>
          <cell r="G30">
            <v>1479.62</v>
          </cell>
          <cell r="H30">
            <v>370.38</v>
          </cell>
          <cell r="I30">
            <v>1850</v>
          </cell>
          <cell r="J30">
            <v>0</v>
          </cell>
          <cell r="K30">
            <v>0</v>
          </cell>
          <cell r="L30">
            <v>0</v>
          </cell>
          <cell r="M30">
            <v>0</v>
          </cell>
          <cell r="N30">
            <v>0</v>
          </cell>
          <cell r="O30">
            <v>0</v>
          </cell>
          <cell r="P30">
            <v>1850</v>
          </cell>
          <cell r="Q30">
            <v>71.47</v>
          </cell>
          <cell r="R30">
            <v>0</v>
          </cell>
          <cell r="S30">
            <v>0</v>
          </cell>
          <cell r="T30">
            <v>0</v>
          </cell>
          <cell r="U30">
            <v>0</v>
          </cell>
          <cell r="V30">
            <v>0</v>
          </cell>
          <cell r="W30">
            <v>308</v>
          </cell>
          <cell r="X30">
            <v>0</v>
          </cell>
          <cell r="Y30">
            <v>379.47</v>
          </cell>
          <cell r="Z30">
            <v>1470.53</v>
          </cell>
          <cell r="AA30">
            <v>1470.53</v>
          </cell>
          <cell r="AB30">
            <v>0</v>
          </cell>
        </row>
        <row r="31">
          <cell r="B31" t="str">
            <v>Ramos Caracun Jose Ottoniel</v>
          </cell>
          <cell r="C31" t="str">
            <v>Auxiliar Contable</v>
          </cell>
          <cell r="D31">
            <v>1625</v>
          </cell>
          <cell r="E31">
            <v>15</v>
          </cell>
          <cell r="F31">
            <v>0</v>
          </cell>
          <cell r="G31">
            <v>1625</v>
          </cell>
          <cell r="H31">
            <v>575</v>
          </cell>
          <cell r="I31">
            <v>2200</v>
          </cell>
          <cell r="J31">
            <v>0</v>
          </cell>
          <cell r="K31">
            <v>0</v>
          </cell>
          <cell r="L31">
            <v>0</v>
          </cell>
          <cell r="M31">
            <v>0</v>
          </cell>
          <cell r="N31">
            <v>0</v>
          </cell>
          <cell r="O31">
            <v>0</v>
          </cell>
          <cell r="P31">
            <v>2200</v>
          </cell>
          <cell r="Q31">
            <v>78.489999999999995</v>
          </cell>
          <cell r="R31">
            <v>0</v>
          </cell>
          <cell r="S31">
            <v>0</v>
          </cell>
          <cell r="T31">
            <v>0</v>
          </cell>
          <cell r="U31">
            <v>0</v>
          </cell>
          <cell r="V31">
            <v>0</v>
          </cell>
          <cell r="W31">
            <v>115</v>
          </cell>
          <cell r="X31">
            <v>0</v>
          </cell>
          <cell r="Y31">
            <v>193.49</v>
          </cell>
          <cell r="Z31">
            <v>2006.51</v>
          </cell>
          <cell r="AA31">
            <v>2006.51</v>
          </cell>
          <cell r="AB31">
            <v>0</v>
          </cell>
        </row>
        <row r="32">
          <cell r="B32"/>
          <cell r="C32" t="str">
            <v>TOTAL</v>
          </cell>
          <cell r="D32" t="str">
            <v>TOTAL</v>
          </cell>
          <cell r="E32"/>
          <cell r="F32"/>
          <cell r="G32">
            <v>20622.89</v>
          </cell>
          <cell r="H32">
            <v>4774.2299999999996</v>
          </cell>
          <cell r="I32">
            <v>25397.120000000003</v>
          </cell>
          <cell r="J32">
            <v>0</v>
          </cell>
          <cell r="K32">
            <v>0</v>
          </cell>
          <cell r="L32">
            <v>0</v>
          </cell>
          <cell r="M32">
            <v>0</v>
          </cell>
          <cell r="N32">
            <v>0</v>
          </cell>
          <cell r="O32">
            <v>0</v>
          </cell>
          <cell r="P32">
            <v>25397.120000000003</v>
          </cell>
          <cell r="Q32">
            <v>996.08999999999992</v>
          </cell>
          <cell r="R32">
            <v>831.76</v>
          </cell>
          <cell r="S32">
            <v>1044.5899999999999</v>
          </cell>
          <cell r="T32">
            <v>0</v>
          </cell>
          <cell r="U32">
            <v>0</v>
          </cell>
          <cell r="V32">
            <v>0</v>
          </cell>
          <cell r="W32">
            <v>663</v>
          </cell>
          <cell r="X32">
            <v>0</v>
          </cell>
          <cell r="Y32">
            <v>3535.4399999999996</v>
          </cell>
          <cell r="Z32">
            <v>21861.679999999993</v>
          </cell>
          <cell r="AA32">
            <v>21861.679999999993</v>
          </cell>
          <cell r="AB32">
            <v>0</v>
          </cell>
        </row>
        <row r="33">
          <cell r="B33" t="str">
            <v>Recursos Humanos</v>
          </cell>
          <cell r="C33"/>
          <cell r="D33"/>
          <cell r="E33"/>
          <cell r="F33"/>
          <cell r="G33"/>
          <cell r="H33"/>
          <cell r="I33"/>
          <cell r="J33"/>
          <cell r="K33"/>
          <cell r="L33"/>
          <cell r="M33"/>
          <cell r="N33"/>
          <cell r="O33"/>
          <cell r="P33"/>
          <cell r="Q33"/>
          <cell r="R33"/>
          <cell r="S33"/>
          <cell r="T33"/>
          <cell r="U33"/>
          <cell r="V33"/>
          <cell r="W33"/>
          <cell r="X33"/>
          <cell r="Y33"/>
          <cell r="Z33"/>
          <cell r="AA33"/>
          <cell r="AB33"/>
        </row>
        <row r="34">
          <cell r="B34" t="str">
            <v>Hernandez de Lemus Iris Carolina</v>
          </cell>
          <cell r="C34" t="str">
            <v>Jefe de Recursos Humanos</v>
          </cell>
          <cell r="D34">
            <v>4000</v>
          </cell>
          <cell r="E34">
            <v>15</v>
          </cell>
          <cell r="F34">
            <v>0</v>
          </cell>
          <cell r="G34">
            <v>4000</v>
          </cell>
          <cell r="H34">
            <v>2000</v>
          </cell>
          <cell r="I34">
            <v>6000</v>
          </cell>
          <cell r="J34">
            <v>0</v>
          </cell>
          <cell r="K34">
            <v>0</v>
          </cell>
          <cell r="L34">
            <v>0</v>
          </cell>
          <cell r="M34">
            <v>0</v>
          </cell>
          <cell r="N34">
            <v>0</v>
          </cell>
          <cell r="O34">
            <v>0</v>
          </cell>
          <cell r="P34">
            <v>6000</v>
          </cell>
          <cell r="Q34">
            <v>193.2</v>
          </cell>
          <cell r="R34">
            <v>192.45</v>
          </cell>
          <cell r="S34">
            <v>0</v>
          </cell>
          <cell r="T34">
            <v>0</v>
          </cell>
          <cell r="U34">
            <v>0</v>
          </cell>
          <cell r="V34">
            <v>0</v>
          </cell>
          <cell r="W34">
            <v>120</v>
          </cell>
          <cell r="X34">
            <v>0</v>
          </cell>
          <cell r="Y34">
            <v>505.65</v>
          </cell>
          <cell r="Z34">
            <v>5494.35</v>
          </cell>
          <cell r="AA34">
            <v>5494.35</v>
          </cell>
          <cell r="AB34">
            <v>0</v>
          </cell>
        </row>
        <row r="35">
          <cell r="B35"/>
          <cell r="C35"/>
          <cell r="D35"/>
          <cell r="E35"/>
          <cell r="F35"/>
          <cell r="G35">
            <v>4000</v>
          </cell>
          <cell r="H35">
            <v>2000</v>
          </cell>
          <cell r="I35">
            <v>6000</v>
          </cell>
          <cell r="J35">
            <v>0</v>
          </cell>
          <cell r="K35">
            <v>0</v>
          </cell>
          <cell r="L35">
            <v>0</v>
          </cell>
          <cell r="M35">
            <v>0</v>
          </cell>
          <cell r="N35">
            <v>0</v>
          </cell>
          <cell r="O35">
            <v>0</v>
          </cell>
          <cell r="P35">
            <v>6000</v>
          </cell>
          <cell r="Q35">
            <v>193.2</v>
          </cell>
          <cell r="R35">
            <v>192.45</v>
          </cell>
          <cell r="S35">
            <v>0</v>
          </cell>
          <cell r="T35">
            <v>0</v>
          </cell>
          <cell r="U35">
            <v>0</v>
          </cell>
          <cell r="V35">
            <v>0</v>
          </cell>
          <cell r="W35">
            <v>120</v>
          </cell>
          <cell r="X35">
            <v>0</v>
          </cell>
          <cell r="Y35">
            <v>505.65</v>
          </cell>
          <cell r="Z35">
            <v>5494.35</v>
          </cell>
          <cell r="AA35">
            <v>5494.35</v>
          </cell>
          <cell r="AB35">
            <v>0</v>
          </cell>
        </row>
        <row r="36">
          <cell r="B36"/>
          <cell r="C36"/>
          <cell r="D36"/>
          <cell r="E36"/>
          <cell r="F36"/>
          <cell r="G36"/>
          <cell r="H36"/>
          <cell r="I36"/>
          <cell r="J36"/>
          <cell r="K36"/>
          <cell r="L36"/>
          <cell r="M36"/>
          <cell r="N36"/>
          <cell r="O36"/>
          <cell r="P36"/>
          <cell r="Q36"/>
          <cell r="R36"/>
          <cell r="S36"/>
          <cell r="T36"/>
          <cell r="U36"/>
          <cell r="V36"/>
          <cell r="W36"/>
          <cell r="X36"/>
          <cell r="Y36"/>
          <cell r="Z36"/>
          <cell r="AA36"/>
          <cell r="AB36"/>
        </row>
        <row r="37">
          <cell r="B37" t="str">
            <v>Compras e importaciones</v>
          </cell>
          <cell r="C37"/>
          <cell r="D37"/>
          <cell r="E37"/>
          <cell r="F37"/>
          <cell r="G37"/>
          <cell r="H37"/>
          <cell r="I37"/>
          <cell r="J37"/>
          <cell r="K37"/>
          <cell r="L37"/>
          <cell r="M37"/>
          <cell r="N37"/>
          <cell r="O37"/>
          <cell r="P37"/>
          <cell r="Q37"/>
          <cell r="R37"/>
          <cell r="S37"/>
          <cell r="T37"/>
          <cell r="U37"/>
          <cell r="V37"/>
          <cell r="W37"/>
          <cell r="X37"/>
          <cell r="Y37"/>
          <cell r="Z37"/>
          <cell r="AA37"/>
          <cell r="AB37"/>
        </row>
        <row r="38">
          <cell r="B38" t="str">
            <v>Gonzalez Gomez Glendy Paola</v>
          </cell>
          <cell r="C38" t="str">
            <v>Gerente Compras expo e impo</v>
          </cell>
          <cell r="D38">
            <v>6000</v>
          </cell>
          <cell r="E38">
            <v>15</v>
          </cell>
          <cell r="F38" t="str">
            <v xml:space="preserve"> </v>
          </cell>
          <cell r="G38">
            <v>6000</v>
          </cell>
          <cell r="H38">
            <v>2000</v>
          </cell>
          <cell r="I38">
            <v>8000</v>
          </cell>
          <cell r="J38">
            <v>0</v>
          </cell>
          <cell r="K38">
            <v>0</v>
          </cell>
          <cell r="L38">
            <v>0</v>
          </cell>
          <cell r="M38">
            <v>0</v>
          </cell>
          <cell r="N38">
            <v>0</v>
          </cell>
          <cell r="O38">
            <v>0</v>
          </cell>
          <cell r="P38">
            <v>8000</v>
          </cell>
          <cell r="Q38">
            <v>289.8</v>
          </cell>
          <cell r="R38">
            <v>305.58999999999997</v>
          </cell>
          <cell r="S38">
            <v>0</v>
          </cell>
          <cell r="T38">
            <v>0</v>
          </cell>
          <cell r="U38">
            <v>0</v>
          </cell>
          <cell r="V38">
            <v>0</v>
          </cell>
          <cell r="W38">
            <v>0</v>
          </cell>
          <cell r="X38">
            <v>0</v>
          </cell>
          <cell r="Y38">
            <v>595.39</v>
          </cell>
          <cell r="Z38">
            <v>7404.61</v>
          </cell>
          <cell r="AA38">
            <v>7404.61</v>
          </cell>
          <cell r="AB38">
            <v>0</v>
          </cell>
        </row>
        <row r="39">
          <cell r="B39" t="str">
            <v>Gomez Likez Rene Alexander</v>
          </cell>
          <cell r="C39" t="str">
            <v>Encargado de Proveeduria</v>
          </cell>
          <cell r="D39">
            <v>1725</v>
          </cell>
          <cell r="E39">
            <v>15</v>
          </cell>
          <cell r="F39" t="str">
            <v xml:space="preserve"> </v>
          </cell>
          <cell r="G39">
            <v>1725</v>
          </cell>
          <cell r="H39">
            <v>275</v>
          </cell>
          <cell r="I39">
            <v>2000</v>
          </cell>
          <cell r="J39">
            <v>0</v>
          </cell>
          <cell r="K39">
            <v>0</v>
          </cell>
          <cell r="L39">
            <v>0</v>
          </cell>
          <cell r="M39">
            <v>0</v>
          </cell>
          <cell r="N39">
            <v>0</v>
          </cell>
          <cell r="O39">
            <v>0</v>
          </cell>
          <cell r="P39">
            <v>2000</v>
          </cell>
          <cell r="Q39">
            <v>83.32</v>
          </cell>
          <cell r="R39">
            <v>0</v>
          </cell>
          <cell r="S39">
            <v>373.58</v>
          </cell>
          <cell r="T39">
            <v>0</v>
          </cell>
          <cell r="U39">
            <v>0</v>
          </cell>
          <cell r="V39">
            <v>0</v>
          </cell>
          <cell r="W39">
            <v>291.25</v>
          </cell>
          <cell r="X39">
            <v>0</v>
          </cell>
          <cell r="Y39">
            <v>748.15</v>
          </cell>
          <cell r="Z39">
            <v>1251.8499999999999</v>
          </cell>
          <cell r="AA39">
            <v>1251.8499999999999</v>
          </cell>
          <cell r="AB39">
            <v>0</v>
          </cell>
        </row>
        <row r="40">
          <cell r="B40"/>
          <cell r="C40" t="str">
            <v>TOTAL</v>
          </cell>
          <cell r="D40" t="str">
            <v>TOTAL</v>
          </cell>
          <cell r="E40"/>
          <cell r="F40"/>
          <cell r="G40">
            <v>7725</v>
          </cell>
          <cell r="H40">
            <v>2275</v>
          </cell>
          <cell r="I40">
            <v>10000</v>
          </cell>
          <cell r="J40">
            <v>0</v>
          </cell>
          <cell r="K40">
            <v>0</v>
          </cell>
          <cell r="L40">
            <v>0</v>
          </cell>
          <cell r="M40">
            <v>0</v>
          </cell>
          <cell r="N40">
            <v>0</v>
          </cell>
          <cell r="O40">
            <v>0</v>
          </cell>
          <cell r="P40">
            <v>10000</v>
          </cell>
          <cell r="Q40">
            <v>373.12</v>
          </cell>
          <cell r="R40">
            <v>305.58999999999997</v>
          </cell>
          <cell r="S40">
            <v>373.58</v>
          </cell>
          <cell r="T40">
            <v>0</v>
          </cell>
          <cell r="U40">
            <v>0</v>
          </cell>
          <cell r="V40">
            <v>0</v>
          </cell>
          <cell r="W40">
            <v>291.25</v>
          </cell>
          <cell r="X40">
            <v>0</v>
          </cell>
          <cell r="Y40">
            <v>1343.54</v>
          </cell>
          <cell r="Z40">
            <v>8656.4599999999991</v>
          </cell>
          <cell r="AA40">
            <v>8656.4599999999991</v>
          </cell>
          <cell r="AB40">
            <v>0</v>
          </cell>
        </row>
        <row r="41">
          <cell r="B41"/>
          <cell r="C41"/>
          <cell r="D41"/>
          <cell r="E41"/>
          <cell r="F41"/>
          <cell r="G41"/>
          <cell r="H41"/>
          <cell r="I41"/>
          <cell r="J41"/>
          <cell r="K41"/>
          <cell r="L41"/>
          <cell r="M41"/>
          <cell r="N41"/>
          <cell r="O41"/>
          <cell r="P41"/>
          <cell r="Q41"/>
          <cell r="R41"/>
          <cell r="S41"/>
          <cell r="T41"/>
          <cell r="U41"/>
          <cell r="V41"/>
          <cell r="W41"/>
          <cell r="X41"/>
          <cell r="Y41"/>
          <cell r="Z41"/>
          <cell r="AA41"/>
          <cell r="AB41"/>
        </row>
        <row r="42">
          <cell r="B42" t="str">
            <v>Control y Calidad</v>
          </cell>
          <cell r="C42"/>
          <cell r="D42"/>
          <cell r="E42"/>
          <cell r="F42"/>
          <cell r="G42"/>
          <cell r="H42"/>
          <cell r="I42"/>
          <cell r="J42"/>
          <cell r="K42"/>
          <cell r="L42"/>
          <cell r="M42"/>
          <cell r="N42"/>
          <cell r="O42"/>
          <cell r="P42"/>
          <cell r="Q42"/>
          <cell r="R42"/>
          <cell r="S42"/>
          <cell r="T42"/>
          <cell r="U42"/>
          <cell r="V42"/>
          <cell r="W42"/>
          <cell r="X42"/>
          <cell r="Y42"/>
          <cell r="Z42"/>
          <cell r="AA42"/>
          <cell r="AB42"/>
        </row>
        <row r="43">
          <cell r="B43" t="str">
            <v>Gomez Aldana Jenifer Melissa</v>
          </cell>
          <cell r="C43" t="str">
            <v>Asistente de Aseguramiento de Calidad</v>
          </cell>
          <cell r="D43">
            <v>2250</v>
          </cell>
          <cell r="E43">
            <v>15</v>
          </cell>
          <cell r="F43">
            <v>0</v>
          </cell>
          <cell r="G43">
            <v>2250</v>
          </cell>
          <cell r="H43">
            <v>250</v>
          </cell>
          <cell r="I43">
            <v>2500</v>
          </cell>
          <cell r="J43">
            <v>0</v>
          </cell>
          <cell r="K43">
            <v>0</v>
          </cell>
          <cell r="L43">
            <v>0</v>
          </cell>
          <cell r="M43">
            <v>0</v>
          </cell>
          <cell r="N43">
            <v>0</v>
          </cell>
          <cell r="O43">
            <v>0</v>
          </cell>
          <cell r="P43">
            <v>2500</v>
          </cell>
          <cell r="Q43">
            <v>108.68</v>
          </cell>
          <cell r="R43">
            <v>0</v>
          </cell>
          <cell r="S43">
            <v>0</v>
          </cell>
          <cell r="T43">
            <v>0</v>
          </cell>
          <cell r="U43">
            <v>0</v>
          </cell>
          <cell r="V43">
            <v>0</v>
          </cell>
          <cell r="W43">
            <v>99</v>
          </cell>
          <cell r="X43">
            <v>0</v>
          </cell>
          <cell r="Y43">
            <v>207.68</v>
          </cell>
          <cell r="Z43">
            <v>2292.3200000000002</v>
          </cell>
          <cell r="AA43">
            <v>2292.3200000000002</v>
          </cell>
          <cell r="AB43">
            <v>0</v>
          </cell>
        </row>
        <row r="44">
          <cell r="B44" t="str">
            <v>Curruchiche Aguilar Triana Maria</v>
          </cell>
          <cell r="C44" t="str">
            <v>Auxiliar de Control De Calidad</v>
          </cell>
          <cell r="D44">
            <v>1479.62</v>
          </cell>
          <cell r="E44">
            <v>15</v>
          </cell>
          <cell r="F44" t="str">
            <v>A.26.9.2022</v>
          </cell>
          <cell r="G44">
            <v>1479.62</v>
          </cell>
          <cell r="H44">
            <v>693.83</v>
          </cell>
          <cell r="I44">
            <v>2173.4499999999998</v>
          </cell>
          <cell r="J44">
            <v>0</v>
          </cell>
          <cell r="K44">
            <v>0</v>
          </cell>
          <cell r="L44">
            <v>0</v>
          </cell>
          <cell r="M44">
            <v>0</v>
          </cell>
          <cell r="N44">
            <v>0</v>
          </cell>
          <cell r="O44">
            <v>295.92</v>
          </cell>
          <cell r="P44">
            <v>2469.37</v>
          </cell>
          <cell r="Q44">
            <v>85.76</v>
          </cell>
          <cell r="R44">
            <v>0</v>
          </cell>
          <cell r="S44">
            <v>0</v>
          </cell>
          <cell r="T44">
            <v>0</v>
          </cell>
          <cell r="U44">
            <v>0</v>
          </cell>
          <cell r="V44">
            <v>0</v>
          </cell>
          <cell r="W44">
            <v>0</v>
          </cell>
          <cell r="X44">
            <v>120</v>
          </cell>
          <cell r="Y44">
            <v>205.76</v>
          </cell>
          <cell r="Z44">
            <v>2263.6099999999997</v>
          </cell>
          <cell r="AA44">
            <v>2263.6099999999997</v>
          </cell>
          <cell r="AB44">
            <v>0</v>
          </cell>
        </row>
        <row r="45">
          <cell r="B45" t="str">
            <v>Hernandez Brenes Juan Pablo Jose</v>
          </cell>
          <cell r="C45" t="str">
            <v>Asistente de Control de Calidad</v>
          </cell>
          <cell r="D45">
            <v>2000</v>
          </cell>
          <cell r="E45">
            <v>15</v>
          </cell>
          <cell r="F45" t="str">
            <v>A.26.9.2022</v>
          </cell>
          <cell r="G45">
            <v>2000</v>
          </cell>
          <cell r="H45">
            <v>666.67</v>
          </cell>
          <cell r="I45">
            <v>2666.67</v>
          </cell>
          <cell r="J45">
            <v>0</v>
          </cell>
          <cell r="K45">
            <v>0</v>
          </cell>
          <cell r="L45">
            <v>0</v>
          </cell>
          <cell r="M45">
            <v>0</v>
          </cell>
          <cell r="N45">
            <v>0</v>
          </cell>
          <cell r="O45">
            <v>266.67</v>
          </cell>
          <cell r="P45">
            <v>2933.34</v>
          </cell>
          <cell r="Q45">
            <v>109.48</v>
          </cell>
          <cell r="R45">
            <v>0</v>
          </cell>
          <cell r="S45">
            <v>0</v>
          </cell>
          <cell r="T45">
            <v>0</v>
          </cell>
          <cell r="U45">
            <v>0</v>
          </cell>
          <cell r="V45">
            <v>0</v>
          </cell>
          <cell r="W45">
            <v>0</v>
          </cell>
          <cell r="X45">
            <v>0</v>
          </cell>
          <cell r="Y45">
            <v>109.48</v>
          </cell>
          <cell r="Z45">
            <v>2823.86</v>
          </cell>
          <cell r="AA45">
            <v>2823.86</v>
          </cell>
          <cell r="AB45">
            <v>0</v>
          </cell>
        </row>
        <row r="46">
          <cell r="B46"/>
          <cell r="C46"/>
          <cell r="D46"/>
          <cell r="E46"/>
          <cell r="F46"/>
          <cell r="G46">
            <v>5729.62</v>
          </cell>
          <cell r="H46">
            <v>1610.5</v>
          </cell>
          <cell r="I46">
            <v>7340.12</v>
          </cell>
          <cell r="J46">
            <v>0</v>
          </cell>
          <cell r="K46">
            <v>0</v>
          </cell>
          <cell r="L46">
            <v>0</v>
          </cell>
          <cell r="M46">
            <v>0</v>
          </cell>
          <cell r="N46">
            <v>0</v>
          </cell>
          <cell r="O46">
            <v>562.59</v>
          </cell>
          <cell r="P46">
            <v>7902.71</v>
          </cell>
          <cell r="Q46">
            <v>303.92</v>
          </cell>
          <cell r="R46">
            <v>0</v>
          </cell>
          <cell r="S46">
            <v>0</v>
          </cell>
          <cell r="T46">
            <v>0</v>
          </cell>
          <cell r="U46">
            <v>0</v>
          </cell>
          <cell r="V46">
            <v>0</v>
          </cell>
          <cell r="W46">
            <v>99</v>
          </cell>
          <cell r="X46">
            <v>120</v>
          </cell>
          <cell r="Y46">
            <v>522.91999999999996</v>
          </cell>
          <cell r="Z46">
            <v>7379.7900000000009</v>
          </cell>
          <cell r="AA46">
            <v>7379.7900000000009</v>
          </cell>
          <cell r="AB46">
            <v>0</v>
          </cell>
        </row>
        <row r="47">
          <cell r="B47" t="str">
            <v>PRODUCCION</v>
          </cell>
          <cell r="C47"/>
          <cell r="D47"/>
          <cell r="E47"/>
          <cell r="F47"/>
          <cell r="G47"/>
          <cell r="H47"/>
          <cell r="I47"/>
          <cell r="J47"/>
          <cell r="K47"/>
          <cell r="L47"/>
          <cell r="M47"/>
          <cell r="N47"/>
          <cell r="O47"/>
          <cell r="P47"/>
          <cell r="Q47"/>
          <cell r="R47"/>
          <cell r="S47"/>
          <cell r="T47"/>
          <cell r="U47"/>
          <cell r="V47"/>
          <cell r="W47"/>
          <cell r="X47"/>
          <cell r="Y47"/>
          <cell r="Z47"/>
          <cell r="AA47"/>
          <cell r="AB47"/>
        </row>
        <row r="48">
          <cell r="B48" t="str">
            <v>Dirección</v>
          </cell>
          <cell r="C48"/>
          <cell r="D48"/>
          <cell r="E48"/>
          <cell r="F48"/>
          <cell r="G48"/>
          <cell r="H48"/>
          <cell r="I48"/>
          <cell r="J48"/>
          <cell r="K48"/>
          <cell r="L48"/>
          <cell r="M48"/>
          <cell r="N48"/>
          <cell r="O48"/>
          <cell r="P48"/>
          <cell r="Q48"/>
          <cell r="R48"/>
          <cell r="S48"/>
          <cell r="T48"/>
          <cell r="U48"/>
          <cell r="V48"/>
          <cell r="W48"/>
          <cell r="X48"/>
          <cell r="Y48"/>
          <cell r="Z48"/>
          <cell r="AA48"/>
          <cell r="AB48"/>
        </row>
        <row r="49">
          <cell r="B49" t="str">
            <v>Osoy Gonzalez Luis Antonio</v>
          </cell>
          <cell r="C49" t="str">
            <v>Supervisor</v>
          </cell>
          <cell r="D49">
            <v>1725</v>
          </cell>
          <cell r="E49">
            <v>15</v>
          </cell>
          <cell r="F49">
            <v>0</v>
          </cell>
          <cell r="G49">
            <v>1725</v>
          </cell>
          <cell r="H49">
            <v>600</v>
          </cell>
          <cell r="I49">
            <v>2325</v>
          </cell>
          <cell r="J49">
            <v>0</v>
          </cell>
          <cell r="K49">
            <v>0</v>
          </cell>
          <cell r="L49">
            <v>0</v>
          </cell>
          <cell r="M49">
            <v>0</v>
          </cell>
          <cell r="N49">
            <v>0</v>
          </cell>
          <cell r="O49">
            <v>0</v>
          </cell>
          <cell r="P49">
            <v>2325</v>
          </cell>
          <cell r="Q49">
            <v>83.32</v>
          </cell>
          <cell r="R49">
            <v>50.35</v>
          </cell>
          <cell r="S49">
            <v>0</v>
          </cell>
          <cell r="T49">
            <v>0</v>
          </cell>
          <cell r="U49">
            <v>0</v>
          </cell>
          <cell r="V49">
            <v>0</v>
          </cell>
          <cell r="W49">
            <v>238.5</v>
          </cell>
          <cell r="X49">
            <v>0</v>
          </cell>
          <cell r="Y49">
            <v>372.16999999999996</v>
          </cell>
          <cell r="Z49">
            <v>1952.83</v>
          </cell>
          <cell r="AA49">
            <v>1952.83</v>
          </cell>
          <cell r="AB49">
            <v>0</v>
          </cell>
        </row>
        <row r="50">
          <cell r="B50" t="str">
            <v>Maldonado Solval Karla Elizabeth</v>
          </cell>
          <cell r="C50" t="str">
            <v>Supervisor</v>
          </cell>
          <cell r="D50">
            <v>1725</v>
          </cell>
          <cell r="E50">
            <v>15</v>
          </cell>
          <cell r="F50">
            <v>0</v>
          </cell>
          <cell r="G50">
            <v>1725</v>
          </cell>
          <cell r="H50">
            <v>600</v>
          </cell>
          <cell r="I50">
            <v>2325</v>
          </cell>
          <cell r="J50">
            <v>0</v>
          </cell>
          <cell r="K50">
            <v>0</v>
          </cell>
          <cell r="L50">
            <v>0</v>
          </cell>
          <cell r="M50">
            <v>0</v>
          </cell>
          <cell r="N50">
            <v>0</v>
          </cell>
          <cell r="O50">
            <v>0</v>
          </cell>
          <cell r="P50">
            <v>2325</v>
          </cell>
          <cell r="Q50">
            <v>83.32</v>
          </cell>
          <cell r="R50">
            <v>10.76</v>
          </cell>
          <cell r="S50">
            <v>0</v>
          </cell>
          <cell r="T50">
            <v>0</v>
          </cell>
          <cell r="U50">
            <v>0</v>
          </cell>
          <cell r="V50">
            <v>0</v>
          </cell>
          <cell r="W50">
            <v>200</v>
          </cell>
          <cell r="X50">
            <v>0</v>
          </cell>
          <cell r="Y50">
            <v>294.08</v>
          </cell>
          <cell r="Z50">
            <v>2030.92</v>
          </cell>
          <cell r="AA50">
            <v>2030.92</v>
          </cell>
          <cell r="AB50">
            <v>0</v>
          </cell>
        </row>
        <row r="51">
          <cell r="B51"/>
          <cell r="C51" t="str">
            <v>TOTAL</v>
          </cell>
          <cell r="D51" t="str">
            <v>TOTAL</v>
          </cell>
          <cell r="E51"/>
          <cell r="F51"/>
          <cell r="G51">
            <v>3450</v>
          </cell>
          <cell r="H51">
            <v>1200</v>
          </cell>
          <cell r="I51">
            <v>4650</v>
          </cell>
          <cell r="J51">
            <v>0</v>
          </cell>
          <cell r="K51">
            <v>0</v>
          </cell>
          <cell r="L51">
            <v>0</v>
          </cell>
          <cell r="M51">
            <v>0</v>
          </cell>
          <cell r="N51">
            <v>0</v>
          </cell>
          <cell r="O51">
            <v>0</v>
          </cell>
          <cell r="P51">
            <v>4650</v>
          </cell>
          <cell r="Q51">
            <v>166.64</v>
          </cell>
          <cell r="R51">
            <v>61.11</v>
          </cell>
          <cell r="S51">
            <v>0</v>
          </cell>
          <cell r="T51">
            <v>0</v>
          </cell>
          <cell r="U51">
            <v>0</v>
          </cell>
          <cell r="V51">
            <v>0</v>
          </cell>
          <cell r="W51">
            <v>438.5</v>
          </cell>
          <cell r="X51">
            <v>0</v>
          </cell>
          <cell r="Y51">
            <v>666.25</v>
          </cell>
          <cell r="Z51">
            <v>3983.75</v>
          </cell>
          <cell r="AA51">
            <v>3983.75</v>
          </cell>
          <cell r="AB51">
            <v>0</v>
          </cell>
        </row>
        <row r="52">
          <cell r="B52"/>
          <cell r="C52"/>
          <cell r="D52"/>
          <cell r="E52"/>
          <cell r="F52"/>
          <cell r="G52"/>
          <cell r="H52"/>
          <cell r="I52"/>
          <cell r="J52"/>
          <cell r="K52"/>
          <cell r="L52"/>
          <cell r="M52"/>
          <cell r="N52"/>
          <cell r="O52"/>
          <cell r="P52"/>
          <cell r="Q52"/>
          <cell r="R52"/>
          <cell r="S52"/>
          <cell r="T52"/>
          <cell r="U52"/>
          <cell r="V52"/>
          <cell r="W52"/>
          <cell r="X52"/>
          <cell r="Y52"/>
          <cell r="Z52"/>
          <cell r="AA52"/>
          <cell r="AB52"/>
        </row>
        <row r="53">
          <cell r="B53" t="str">
            <v>Unhesa</v>
          </cell>
          <cell r="C53"/>
          <cell r="D53"/>
          <cell r="E53"/>
          <cell r="F53"/>
          <cell r="G53"/>
          <cell r="H53"/>
          <cell r="I53"/>
          <cell r="J53"/>
          <cell r="K53"/>
          <cell r="L53"/>
          <cell r="M53"/>
          <cell r="N53"/>
          <cell r="O53"/>
          <cell r="P53"/>
          <cell r="Q53"/>
          <cell r="R53"/>
          <cell r="S53"/>
          <cell r="T53"/>
          <cell r="U53"/>
          <cell r="V53"/>
          <cell r="W53"/>
          <cell r="X53"/>
          <cell r="Y53"/>
          <cell r="Z53"/>
          <cell r="AA53"/>
          <cell r="AB53"/>
        </row>
        <row r="54">
          <cell r="B54" t="str">
            <v>Boche Mendez Olga Veronica</v>
          </cell>
          <cell r="C54" t="str">
            <v>Empacadora de Sobres</v>
          </cell>
          <cell r="D54">
            <v>1479.62</v>
          </cell>
          <cell r="E54">
            <v>15</v>
          </cell>
          <cell r="F54">
            <v>0</v>
          </cell>
          <cell r="G54">
            <v>1479.62</v>
          </cell>
          <cell r="H54">
            <v>125</v>
          </cell>
          <cell r="I54">
            <v>1604.62</v>
          </cell>
          <cell r="J54">
            <v>0</v>
          </cell>
          <cell r="K54">
            <v>0</v>
          </cell>
          <cell r="L54">
            <v>0</v>
          </cell>
          <cell r="M54">
            <v>0</v>
          </cell>
          <cell r="N54">
            <v>0</v>
          </cell>
          <cell r="O54">
            <v>0</v>
          </cell>
          <cell r="P54">
            <v>1604.62</v>
          </cell>
          <cell r="Q54">
            <v>71.47</v>
          </cell>
          <cell r="R54">
            <v>0</v>
          </cell>
          <cell r="S54">
            <v>0</v>
          </cell>
          <cell r="T54">
            <v>0</v>
          </cell>
          <cell r="U54">
            <v>0</v>
          </cell>
          <cell r="V54">
            <v>0</v>
          </cell>
          <cell r="W54">
            <v>0</v>
          </cell>
          <cell r="X54">
            <v>125</v>
          </cell>
          <cell r="Y54">
            <v>196.47</v>
          </cell>
          <cell r="Z54">
            <v>1408.1499999999999</v>
          </cell>
          <cell r="AA54">
            <v>1408.1499999999999</v>
          </cell>
          <cell r="AB54">
            <v>0</v>
          </cell>
        </row>
        <row r="55">
          <cell r="B55" t="str">
            <v>Ramirez Ramos Brayan Neptaly</v>
          </cell>
          <cell r="C55" t="str">
            <v>Operario</v>
          </cell>
          <cell r="D55">
            <v>1479.62</v>
          </cell>
          <cell r="E55">
            <v>15</v>
          </cell>
          <cell r="F55">
            <v>0</v>
          </cell>
          <cell r="G55">
            <v>1479.62</v>
          </cell>
          <cell r="H55">
            <v>125</v>
          </cell>
          <cell r="I55">
            <v>1604.62</v>
          </cell>
          <cell r="J55">
            <v>0</v>
          </cell>
          <cell r="K55">
            <v>0</v>
          </cell>
          <cell r="L55">
            <v>0</v>
          </cell>
          <cell r="M55">
            <v>0</v>
          </cell>
          <cell r="N55">
            <v>0</v>
          </cell>
          <cell r="O55">
            <v>0</v>
          </cell>
          <cell r="P55">
            <v>1604.62</v>
          </cell>
          <cell r="Q55">
            <v>71.47</v>
          </cell>
          <cell r="R55">
            <v>0</v>
          </cell>
          <cell r="S55">
            <v>0</v>
          </cell>
          <cell r="T55">
            <v>0</v>
          </cell>
          <cell r="U55">
            <v>0</v>
          </cell>
          <cell r="V55">
            <v>0</v>
          </cell>
          <cell r="W55">
            <v>0</v>
          </cell>
          <cell r="X55">
            <v>0</v>
          </cell>
          <cell r="Y55">
            <v>71.47</v>
          </cell>
          <cell r="Z55">
            <v>1533.1499999999999</v>
          </cell>
          <cell r="AA55">
            <v>1533.1499999999999</v>
          </cell>
          <cell r="AB55">
            <v>0</v>
          </cell>
        </row>
        <row r="56">
          <cell r="B56" t="str">
            <v>Barrios Cifuentes Julia Aracely</v>
          </cell>
          <cell r="C56" t="str">
            <v>Empacadora</v>
          </cell>
          <cell r="D56">
            <v>1479.62</v>
          </cell>
          <cell r="E56">
            <v>15</v>
          </cell>
          <cell r="F56">
            <v>0</v>
          </cell>
          <cell r="G56">
            <v>1479.62</v>
          </cell>
          <cell r="H56">
            <v>125</v>
          </cell>
          <cell r="I56">
            <v>1604.62</v>
          </cell>
          <cell r="J56">
            <v>0</v>
          </cell>
          <cell r="K56">
            <v>0</v>
          </cell>
          <cell r="L56">
            <v>0</v>
          </cell>
          <cell r="M56">
            <v>0</v>
          </cell>
          <cell r="N56">
            <v>0</v>
          </cell>
          <cell r="O56">
            <v>0</v>
          </cell>
          <cell r="P56">
            <v>1604.62</v>
          </cell>
          <cell r="Q56">
            <v>71.47</v>
          </cell>
          <cell r="R56">
            <v>0</v>
          </cell>
          <cell r="S56">
            <v>0</v>
          </cell>
          <cell r="T56">
            <v>0</v>
          </cell>
          <cell r="U56">
            <v>0</v>
          </cell>
          <cell r="V56">
            <v>0</v>
          </cell>
          <cell r="W56">
            <v>0</v>
          </cell>
          <cell r="X56">
            <v>0</v>
          </cell>
          <cell r="Y56">
            <v>71.47</v>
          </cell>
          <cell r="Z56">
            <v>1533.1499999999999</v>
          </cell>
          <cell r="AA56">
            <v>1533.1499999999999</v>
          </cell>
          <cell r="AB56">
            <v>0</v>
          </cell>
        </row>
        <row r="57">
          <cell r="B57" t="str">
            <v>Contreras Vasquez Oscar Jose</v>
          </cell>
          <cell r="C57" t="str">
            <v>Operario</v>
          </cell>
          <cell r="D57">
            <v>1479.62</v>
          </cell>
          <cell r="E57">
            <v>15</v>
          </cell>
          <cell r="F57">
            <v>0</v>
          </cell>
          <cell r="G57">
            <v>1479.62</v>
          </cell>
          <cell r="H57">
            <v>125</v>
          </cell>
          <cell r="I57">
            <v>1604.62</v>
          </cell>
          <cell r="J57">
            <v>0</v>
          </cell>
          <cell r="K57">
            <v>0</v>
          </cell>
          <cell r="L57">
            <v>0</v>
          </cell>
          <cell r="M57">
            <v>0</v>
          </cell>
          <cell r="N57">
            <v>0</v>
          </cell>
          <cell r="O57">
            <v>0</v>
          </cell>
          <cell r="P57">
            <v>1604.62</v>
          </cell>
          <cell r="Q57">
            <v>71.47</v>
          </cell>
          <cell r="R57">
            <v>0.61</v>
          </cell>
          <cell r="S57">
            <v>0</v>
          </cell>
          <cell r="T57">
            <v>0</v>
          </cell>
          <cell r="U57">
            <v>0</v>
          </cell>
          <cell r="V57">
            <v>31.67</v>
          </cell>
          <cell r="W57">
            <v>0</v>
          </cell>
          <cell r="X57">
            <v>52.15</v>
          </cell>
          <cell r="Y57">
            <v>155.9</v>
          </cell>
          <cell r="Z57">
            <v>1448.7199999999998</v>
          </cell>
          <cell r="AA57">
            <v>1448.7199999999998</v>
          </cell>
          <cell r="AB57">
            <v>0</v>
          </cell>
        </row>
        <row r="58">
          <cell r="B58" t="str">
            <v>Gonzalez Vasquez Kevin Moises</v>
          </cell>
          <cell r="C58" t="str">
            <v>Operador</v>
          </cell>
          <cell r="D58">
            <v>1479.62</v>
          </cell>
          <cell r="E58">
            <v>15</v>
          </cell>
          <cell r="F58">
            <v>0</v>
          </cell>
          <cell r="G58">
            <v>1479.62</v>
          </cell>
          <cell r="H58">
            <v>125</v>
          </cell>
          <cell r="I58">
            <v>1604.62</v>
          </cell>
          <cell r="J58">
            <v>0</v>
          </cell>
          <cell r="K58">
            <v>0</v>
          </cell>
          <cell r="L58">
            <v>0</v>
          </cell>
          <cell r="M58">
            <v>0</v>
          </cell>
          <cell r="N58">
            <v>0</v>
          </cell>
          <cell r="O58">
            <v>0</v>
          </cell>
          <cell r="P58">
            <v>1604.62</v>
          </cell>
          <cell r="Q58">
            <v>71.47</v>
          </cell>
          <cell r="R58">
            <v>0</v>
          </cell>
          <cell r="S58">
            <v>0</v>
          </cell>
          <cell r="T58">
            <v>0</v>
          </cell>
          <cell r="U58">
            <v>0</v>
          </cell>
          <cell r="V58">
            <v>0</v>
          </cell>
          <cell r="W58">
            <v>223</v>
          </cell>
          <cell r="X58">
            <v>0</v>
          </cell>
          <cell r="Y58">
            <v>294.47000000000003</v>
          </cell>
          <cell r="Z58">
            <v>1310.1499999999999</v>
          </cell>
          <cell r="AA58">
            <v>1310.1499999999999</v>
          </cell>
          <cell r="AB58">
            <v>0</v>
          </cell>
        </row>
        <row r="59">
          <cell r="B59" t="str">
            <v>Revolorio Urías Erick Manolo</v>
          </cell>
          <cell r="C59" t="str">
            <v>Verificador</v>
          </cell>
          <cell r="D59">
            <v>1512.5</v>
          </cell>
          <cell r="E59">
            <v>15</v>
          </cell>
          <cell r="F59" t="str">
            <v xml:space="preserve"> </v>
          </cell>
          <cell r="G59">
            <v>1512.5</v>
          </cell>
          <cell r="H59">
            <v>425</v>
          </cell>
          <cell r="I59">
            <v>1937.5</v>
          </cell>
          <cell r="J59">
            <v>0</v>
          </cell>
          <cell r="K59">
            <v>0</v>
          </cell>
          <cell r="L59">
            <v>0</v>
          </cell>
          <cell r="M59">
            <v>0</v>
          </cell>
          <cell r="N59">
            <v>0</v>
          </cell>
          <cell r="O59">
            <v>0</v>
          </cell>
          <cell r="P59">
            <v>1937.5</v>
          </cell>
          <cell r="Q59">
            <v>73.05</v>
          </cell>
          <cell r="R59">
            <v>0</v>
          </cell>
          <cell r="S59">
            <v>650.79999999999995</v>
          </cell>
          <cell r="T59">
            <v>0</v>
          </cell>
          <cell r="U59">
            <v>0</v>
          </cell>
          <cell r="V59">
            <v>31.67</v>
          </cell>
          <cell r="W59">
            <v>280</v>
          </cell>
          <cell r="X59">
            <v>0</v>
          </cell>
          <cell r="Y59">
            <v>1035.52</v>
          </cell>
          <cell r="Z59">
            <v>901.98</v>
          </cell>
          <cell r="AA59">
            <v>901.98</v>
          </cell>
          <cell r="AB59">
            <v>0</v>
          </cell>
        </row>
        <row r="60">
          <cell r="B60" t="str">
            <v xml:space="preserve">Chávez Velásquez Wendy Lorena </v>
          </cell>
          <cell r="C60" t="str">
            <v>Empacadora Liquidos</v>
          </cell>
          <cell r="D60">
            <v>1479.62</v>
          </cell>
          <cell r="E60">
            <v>15</v>
          </cell>
          <cell r="F60">
            <v>0</v>
          </cell>
          <cell r="G60">
            <v>1479.62</v>
          </cell>
          <cell r="H60">
            <v>125</v>
          </cell>
          <cell r="I60">
            <v>1604.62</v>
          </cell>
          <cell r="J60">
            <v>0</v>
          </cell>
          <cell r="K60">
            <v>0</v>
          </cell>
          <cell r="L60">
            <v>0</v>
          </cell>
          <cell r="M60">
            <v>0</v>
          </cell>
          <cell r="N60">
            <v>0</v>
          </cell>
          <cell r="O60">
            <v>0</v>
          </cell>
          <cell r="P60">
            <v>1604.62</v>
          </cell>
          <cell r="Q60">
            <v>71.47</v>
          </cell>
          <cell r="R60">
            <v>0</v>
          </cell>
          <cell r="S60">
            <v>0</v>
          </cell>
          <cell r="T60">
            <v>0</v>
          </cell>
          <cell r="U60">
            <v>0</v>
          </cell>
          <cell r="V60">
            <v>0</v>
          </cell>
          <cell r="W60">
            <v>185</v>
          </cell>
          <cell r="X60">
            <v>561.61</v>
          </cell>
          <cell r="Y60">
            <v>818.08</v>
          </cell>
          <cell r="Z60">
            <v>786.53999999999985</v>
          </cell>
          <cell r="AA60">
            <v>786.53999999999985</v>
          </cell>
          <cell r="AB60">
            <v>0</v>
          </cell>
        </row>
        <row r="61">
          <cell r="B61" t="str">
            <v>Vasquez Bamaca Walter Leonidas</v>
          </cell>
          <cell r="C61" t="str">
            <v>Operario  Sobres</v>
          </cell>
          <cell r="D61">
            <v>1479.62</v>
          </cell>
          <cell r="E61">
            <v>15</v>
          </cell>
          <cell r="F61" t="str">
            <v xml:space="preserve"> </v>
          </cell>
          <cell r="G61">
            <v>1479.62</v>
          </cell>
          <cell r="H61">
            <v>125</v>
          </cell>
          <cell r="I61">
            <v>1604.62</v>
          </cell>
          <cell r="J61">
            <v>0</v>
          </cell>
          <cell r="K61">
            <v>0</v>
          </cell>
          <cell r="L61">
            <v>0</v>
          </cell>
          <cell r="M61">
            <v>0</v>
          </cell>
          <cell r="N61">
            <v>0</v>
          </cell>
          <cell r="O61">
            <v>0</v>
          </cell>
          <cell r="P61">
            <v>1604.62</v>
          </cell>
          <cell r="Q61">
            <v>71.47</v>
          </cell>
          <cell r="R61">
            <v>0</v>
          </cell>
          <cell r="S61">
            <v>272.31</v>
          </cell>
          <cell r="T61">
            <v>0</v>
          </cell>
          <cell r="U61">
            <v>0</v>
          </cell>
          <cell r="V61">
            <v>31.67</v>
          </cell>
          <cell r="W61">
            <v>0</v>
          </cell>
          <cell r="X61">
            <v>0</v>
          </cell>
          <cell r="Y61">
            <v>375.45</v>
          </cell>
          <cell r="Z61">
            <v>1229.1699999999998</v>
          </cell>
          <cell r="AA61">
            <v>1229.1699999999998</v>
          </cell>
          <cell r="AB61">
            <v>0</v>
          </cell>
        </row>
        <row r="62">
          <cell r="B62" t="str">
            <v>Hernandez Aquino Wendy Lizbeth</v>
          </cell>
          <cell r="C62" t="str">
            <v>Empacadora</v>
          </cell>
          <cell r="D62">
            <v>1479.62</v>
          </cell>
          <cell r="E62">
            <v>15</v>
          </cell>
          <cell r="F62" t="str">
            <v xml:space="preserve"> </v>
          </cell>
          <cell r="G62">
            <v>1479.62</v>
          </cell>
          <cell r="H62">
            <v>125</v>
          </cell>
          <cell r="I62">
            <v>1604.62</v>
          </cell>
          <cell r="J62">
            <v>0</v>
          </cell>
          <cell r="K62">
            <v>0</v>
          </cell>
          <cell r="L62">
            <v>0</v>
          </cell>
          <cell r="M62">
            <v>0</v>
          </cell>
          <cell r="N62">
            <v>0</v>
          </cell>
          <cell r="O62">
            <v>0</v>
          </cell>
          <cell r="P62">
            <v>1604.62</v>
          </cell>
          <cell r="Q62">
            <v>71.47</v>
          </cell>
          <cell r="R62">
            <v>0</v>
          </cell>
          <cell r="S62">
            <v>0</v>
          </cell>
          <cell r="T62">
            <v>0</v>
          </cell>
          <cell r="U62">
            <v>0</v>
          </cell>
          <cell r="V62">
            <v>31.67</v>
          </cell>
          <cell r="W62">
            <v>375.75</v>
          </cell>
          <cell r="X62">
            <v>0</v>
          </cell>
          <cell r="Y62">
            <v>478.89</v>
          </cell>
          <cell r="Z62">
            <v>1125.73</v>
          </cell>
          <cell r="AA62">
            <v>1125.73</v>
          </cell>
          <cell r="AB62">
            <v>0</v>
          </cell>
        </row>
        <row r="63">
          <cell r="B63"/>
          <cell r="C63" t="str">
            <v>TOTAL</v>
          </cell>
          <cell r="D63" t="str">
            <v>TOTAL</v>
          </cell>
          <cell r="E63"/>
          <cell r="F63"/>
          <cell r="G63">
            <v>13349.459999999995</v>
          </cell>
          <cell r="H63">
            <v>1425</v>
          </cell>
          <cell r="I63">
            <v>14774.459999999995</v>
          </cell>
          <cell r="J63">
            <v>0</v>
          </cell>
          <cell r="K63">
            <v>0</v>
          </cell>
          <cell r="L63">
            <v>0</v>
          </cell>
          <cell r="M63">
            <v>0</v>
          </cell>
          <cell r="N63">
            <v>0</v>
          </cell>
          <cell r="O63">
            <v>0</v>
          </cell>
          <cell r="P63">
            <v>14774.459999999995</v>
          </cell>
          <cell r="Q63">
            <v>644.81000000000006</v>
          </cell>
          <cell r="R63">
            <v>0.61</v>
          </cell>
          <cell r="S63">
            <v>923.1099999999999</v>
          </cell>
          <cell r="T63">
            <v>0</v>
          </cell>
          <cell r="U63">
            <v>0</v>
          </cell>
          <cell r="V63">
            <v>126.68</v>
          </cell>
          <cell r="W63">
            <v>1063.75</v>
          </cell>
          <cell r="X63">
            <v>738.76</v>
          </cell>
          <cell r="Y63">
            <v>3497.72</v>
          </cell>
          <cell r="Z63">
            <v>11276.739999999998</v>
          </cell>
          <cell r="AA63">
            <v>11276.739999999998</v>
          </cell>
          <cell r="AB63">
            <v>0</v>
          </cell>
        </row>
        <row r="64">
          <cell r="B64"/>
          <cell r="C64"/>
          <cell r="D64"/>
          <cell r="E64"/>
          <cell r="F64"/>
          <cell r="G64"/>
          <cell r="H64"/>
          <cell r="I64"/>
          <cell r="J64"/>
          <cell r="K64"/>
          <cell r="L64"/>
          <cell r="M64"/>
          <cell r="N64"/>
          <cell r="O64"/>
          <cell r="P64"/>
          <cell r="Q64"/>
          <cell r="R64"/>
          <cell r="S64"/>
          <cell r="T64"/>
          <cell r="U64"/>
          <cell r="V64"/>
          <cell r="W64"/>
          <cell r="X64"/>
          <cell r="Y64"/>
          <cell r="Z64"/>
          <cell r="AA64"/>
          <cell r="AB64"/>
        </row>
        <row r="65">
          <cell r="B65" t="str">
            <v>PRODUCCION LIMPIEZA</v>
          </cell>
          <cell r="C65"/>
          <cell r="D65"/>
          <cell r="E65"/>
          <cell r="F65"/>
          <cell r="G65"/>
          <cell r="H65"/>
          <cell r="I65"/>
          <cell r="J65"/>
          <cell r="K65"/>
          <cell r="L65"/>
          <cell r="M65"/>
          <cell r="N65"/>
          <cell r="O65"/>
          <cell r="P65"/>
          <cell r="Q65"/>
          <cell r="R65"/>
          <cell r="S65"/>
          <cell r="T65"/>
          <cell r="U65"/>
          <cell r="V65"/>
          <cell r="W65"/>
          <cell r="X65"/>
          <cell r="Y65"/>
          <cell r="Z65"/>
          <cell r="AA65"/>
          <cell r="AB65"/>
        </row>
        <row r="66">
          <cell r="B66" t="str">
            <v>Aragón Coronado Guillermo Giovanni</v>
          </cell>
          <cell r="C66" t="str">
            <v>Auxiliar de Limpieza</v>
          </cell>
          <cell r="D66">
            <v>1479.62</v>
          </cell>
          <cell r="E66">
            <v>15</v>
          </cell>
          <cell r="F66" t="str">
            <v xml:space="preserve"> </v>
          </cell>
          <cell r="G66">
            <v>1479.62</v>
          </cell>
          <cell r="H66">
            <v>125</v>
          </cell>
          <cell r="I66">
            <v>1604.62</v>
          </cell>
          <cell r="J66">
            <v>0</v>
          </cell>
          <cell r="K66">
            <v>0</v>
          </cell>
          <cell r="L66">
            <v>0</v>
          </cell>
          <cell r="M66">
            <v>0</v>
          </cell>
          <cell r="N66">
            <v>0</v>
          </cell>
          <cell r="O66">
            <v>0</v>
          </cell>
          <cell r="P66">
            <v>1604.62</v>
          </cell>
          <cell r="Q66">
            <v>71.47</v>
          </cell>
          <cell r="R66">
            <v>0</v>
          </cell>
          <cell r="S66">
            <v>0</v>
          </cell>
          <cell r="T66">
            <v>0</v>
          </cell>
          <cell r="U66">
            <v>0</v>
          </cell>
          <cell r="V66">
            <v>31.67</v>
          </cell>
          <cell r="W66">
            <v>48</v>
          </cell>
          <cell r="X66">
            <v>0</v>
          </cell>
          <cell r="Y66">
            <v>151.13999999999999</v>
          </cell>
          <cell r="Z66">
            <v>1453.48</v>
          </cell>
          <cell r="AA66">
            <v>1453.48</v>
          </cell>
          <cell r="AB66">
            <v>0</v>
          </cell>
        </row>
        <row r="67">
          <cell r="B67"/>
          <cell r="C67"/>
          <cell r="D67"/>
          <cell r="E67"/>
          <cell r="F67"/>
          <cell r="G67">
            <v>1479.62</v>
          </cell>
          <cell r="H67">
            <v>125</v>
          </cell>
          <cell r="I67">
            <v>1604.62</v>
          </cell>
          <cell r="J67">
            <v>0</v>
          </cell>
          <cell r="K67">
            <v>0</v>
          </cell>
          <cell r="L67">
            <v>0</v>
          </cell>
          <cell r="M67">
            <v>0</v>
          </cell>
          <cell r="N67">
            <v>0</v>
          </cell>
          <cell r="O67">
            <v>0</v>
          </cell>
          <cell r="P67">
            <v>1604.62</v>
          </cell>
          <cell r="Q67">
            <v>71.47</v>
          </cell>
          <cell r="R67">
            <v>0</v>
          </cell>
          <cell r="S67">
            <v>0</v>
          </cell>
          <cell r="T67">
            <v>0</v>
          </cell>
          <cell r="U67">
            <v>0</v>
          </cell>
          <cell r="V67">
            <v>31.67</v>
          </cell>
          <cell r="W67">
            <v>48</v>
          </cell>
          <cell r="X67">
            <v>0</v>
          </cell>
          <cell r="Y67">
            <v>151.13999999999999</v>
          </cell>
          <cell r="Z67">
            <v>1453.48</v>
          </cell>
          <cell r="AA67">
            <v>1453.48</v>
          </cell>
          <cell r="AB67">
            <v>0</v>
          </cell>
        </row>
        <row r="68">
          <cell r="B68"/>
          <cell r="C68"/>
          <cell r="D68"/>
          <cell r="E68"/>
          <cell r="F68"/>
          <cell r="G68"/>
          <cell r="H68"/>
          <cell r="I68"/>
          <cell r="J68"/>
          <cell r="K68"/>
          <cell r="L68"/>
          <cell r="M68"/>
          <cell r="N68"/>
          <cell r="O68"/>
          <cell r="P68"/>
          <cell r="Q68"/>
          <cell r="R68"/>
          <cell r="S68"/>
          <cell r="T68"/>
          <cell r="U68"/>
          <cell r="V68"/>
          <cell r="W68"/>
          <cell r="X68"/>
          <cell r="Y68"/>
          <cell r="Z68"/>
          <cell r="AA68"/>
          <cell r="AB68"/>
        </row>
        <row r="69">
          <cell r="B69"/>
          <cell r="C69"/>
          <cell r="D69" t="str">
            <v>TOTAL PRODUCCION</v>
          </cell>
          <cell r="E69"/>
          <cell r="F69"/>
          <cell r="G69">
            <v>18279.079999999994</v>
          </cell>
          <cell r="H69">
            <v>2750</v>
          </cell>
          <cell r="I69">
            <v>21029.079999999994</v>
          </cell>
          <cell r="J69">
            <v>0</v>
          </cell>
          <cell r="K69">
            <v>0</v>
          </cell>
          <cell r="L69">
            <v>0</v>
          </cell>
          <cell r="M69">
            <v>0</v>
          </cell>
          <cell r="N69">
            <v>0</v>
          </cell>
          <cell r="O69">
            <v>0</v>
          </cell>
          <cell r="P69">
            <v>21029.079999999994</v>
          </cell>
          <cell r="Q69">
            <v>882.92000000000007</v>
          </cell>
          <cell r="R69">
            <v>61.72</v>
          </cell>
          <cell r="S69">
            <v>923.1099999999999</v>
          </cell>
          <cell r="T69">
            <v>0</v>
          </cell>
          <cell r="U69">
            <v>0</v>
          </cell>
          <cell r="V69">
            <v>158.35000000000002</v>
          </cell>
          <cell r="W69">
            <v>1550.25</v>
          </cell>
          <cell r="X69">
            <v>738.76</v>
          </cell>
          <cell r="Y69">
            <v>4315.1099999999997</v>
          </cell>
          <cell r="Z69">
            <v>16713.969999999998</v>
          </cell>
          <cell r="AA69">
            <v>16713.969999999998</v>
          </cell>
          <cell r="AB69">
            <v>0</v>
          </cell>
        </row>
        <row r="70">
          <cell r="B70" t="str">
            <v>Logistica</v>
          </cell>
          <cell r="C70"/>
          <cell r="D70"/>
          <cell r="E70"/>
          <cell r="F70"/>
          <cell r="G70"/>
          <cell r="H70"/>
          <cell r="I70"/>
          <cell r="J70"/>
          <cell r="K70"/>
          <cell r="L70"/>
          <cell r="M70"/>
          <cell r="N70"/>
          <cell r="O70"/>
          <cell r="P70"/>
          <cell r="Q70"/>
          <cell r="R70"/>
          <cell r="S70"/>
          <cell r="T70"/>
          <cell r="U70"/>
          <cell r="V70"/>
          <cell r="W70"/>
          <cell r="X70"/>
          <cell r="Y70"/>
          <cell r="Z70"/>
          <cell r="AA70"/>
          <cell r="AB70"/>
        </row>
        <row r="71">
          <cell r="B71" t="str">
            <v>BODEGA DE PRODUCTO TERMINADO</v>
          </cell>
          <cell r="C71"/>
          <cell r="D71"/>
          <cell r="E71"/>
          <cell r="F71"/>
          <cell r="G71"/>
          <cell r="H71"/>
          <cell r="I71"/>
          <cell r="J71"/>
          <cell r="K71"/>
          <cell r="L71"/>
          <cell r="M71"/>
          <cell r="N71"/>
          <cell r="O71" t="str">
            <v xml:space="preserve"> </v>
          </cell>
          <cell r="P71"/>
          <cell r="Q71"/>
          <cell r="R71"/>
          <cell r="S71"/>
          <cell r="T71"/>
          <cell r="U71"/>
          <cell r="V71"/>
          <cell r="W71"/>
          <cell r="X71"/>
          <cell r="Y71"/>
          <cell r="Z71"/>
          <cell r="AA71"/>
          <cell r="AB71"/>
        </row>
        <row r="72">
          <cell r="B72" t="str">
            <v>Rodas Morales Rony Alfonso</v>
          </cell>
          <cell r="C72" t="str">
            <v>Coordinador bodegas</v>
          </cell>
          <cell r="D72">
            <v>3000</v>
          </cell>
          <cell r="E72">
            <v>15</v>
          </cell>
          <cell r="F72">
            <v>0</v>
          </cell>
          <cell r="G72">
            <v>3000</v>
          </cell>
          <cell r="H72">
            <v>4000</v>
          </cell>
          <cell r="I72">
            <v>7000</v>
          </cell>
          <cell r="J72">
            <v>0</v>
          </cell>
          <cell r="K72">
            <v>0</v>
          </cell>
          <cell r="L72">
            <v>0</v>
          </cell>
          <cell r="M72">
            <v>0</v>
          </cell>
          <cell r="N72">
            <v>0</v>
          </cell>
          <cell r="O72">
            <v>0</v>
          </cell>
          <cell r="P72">
            <v>7000</v>
          </cell>
          <cell r="Q72">
            <v>144.9</v>
          </cell>
          <cell r="R72">
            <v>99.4</v>
          </cell>
          <cell r="S72">
            <v>0</v>
          </cell>
          <cell r="T72">
            <v>0</v>
          </cell>
          <cell r="U72">
            <v>0</v>
          </cell>
          <cell r="V72">
            <v>0</v>
          </cell>
          <cell r="W72">
            <v>190</v>
          </cell>
          <cell r="X72">
            <v>430</v>
          </cell>
          <cell r="Y72">
            <v>864.3</v>
          </cell>
          <cell r="Z72">
            <v>6135.7</v>
          </cell>
          <cell r="AA72">
            <v>6135.7</v>
          </cell>
          <cell r="AB72">
            <v>0</v>
          </cell>
        </row>
        <row r="73">
          <cell r="B73" t="str">
            <v>Jimenez Ventura Angel Eduardo</v>
          </cell>
          <cell r="C73" t="str">
            <v>Asistente de Vta en Linea</v>
          </cell>
          <cell r="D73">
            <v>1479.62</v>
          </cell>
          <cell r="E73">
            <v>15</v>
          </cell>
          <cell r="F73">
            <v>0</v>
          </cell>
          <cell r="G73">
            <v>1479.62</v>
          </cell>
          <cell r="H73">
            <v>125</v>
          </cell>
          <cell r="I73">
            <v>1604.62</v>
          </cell>
          <cell r="J73">
            <v>0</v>
          </cell>
          <cell r="K73">
            <v>0</v>
          </cell>
          <cell r="L73">
            <v>0</v>
          </cell>
          <cell r="M73">
            <v>0</v>
          </cell>
          <cell r="N73">
            <v>0</v>
          </cell>
          <cell r="O73">
            <v>0</v>
          </cell>
          <cell r="P73">
            <v>1604.62</v>
          </cell>
          <cell r="Q73">
            <v>71.47</v>
          </cell>
          <cell r="R73">
            <v>0</v>
          </cell>
          <cell r="S73">
            <v>0</v>
          </cell>
          <cell r="T73">
            <v>0</v>
          </cell>
          <cell r="U73">
            <v>0</v>
          </cell>
          <cell r="V73">
            <v>0</v>
          </cell>
          <cell r="W73">
            <v>0</v>
          </cell>
          <cell r="X73">
            <v>0</v>
          </cell>
          <cell r="Y73">
            <v>71.47</v>
          </cell>
          <cell r="Z73">
            <v>1533.1499999999999</v>
          </cell>
          <cell r="AA73">
            <v>1533.1499999999999</v>
          </cell>
          <cell r="AB73">
            <v>0</v>
          </cell>
        </row>
        <row r="74">
          <cell r="B74" t="str">
            <v>Guzman Tian Fredy Alexander</v>
          </cell>
          <cell r="C74" t="str">
            <v>Auxiliar entrega Vta en linea</v>
          </cell>
          <cell r="D74">
            <v>1479.62</v>
          </cell>
          <cell r="E74">
            <v>15</v>
          </cell>
          <cell r="F74">
            <v>0</v>
          </cell>
          <cell r="G74">
            <v>1479.62</v>
          </cell>
          <cell r="H74">
            <v>125</v>
          </cell>
          <cell r="I74">
            <v>1604.62</v>
          </cell>
          <cell r="J74">
            <v>0</v>
          </cell>
          <cell r="K74">
            <v>0</v>
          </cell>
          <cell r="L74">
            <v>0</v>
          </cell>
          <cell r="M74">
            <v>0</v>
          </cell>
          <cell r="N74">
            <v>0</v>
          </cell>
          <cell r="O74">
            <v>0</v>
          </cell>
          <cell r="P74">
            <v>1604.62</v>
          </cell>
          <cell r="Q74">
            <v>71.47</v>
          </cell>
          <cell r="R74">
            <v>0</v>
          </cell>
          <cell r="S74">
            <v>0</v>
          </cell>
          <cell r="T74">
            <v>0</v>
          </cell>
          <cell r="U74">
            <v>0</v>
          </cell>
          <cell r="V74">
            <v>31.67</v>
          </cell>
          <cell r="W74">
            <v>106</v>
          </cell>
          <cell r="X74">
            <v>270</v>
          </cell>
          <cell r="Y74">
            <v>479.14</v>
          </cell>
          <cell r="Z74">
            <v>1125.48</v>
          </cell>
          <cell r="AA74">
            <v>1125.48</v>
          </cell>
          <cell r="AB74">
            <v>0</v>
          </cell>
        </row>
        <row r="75">
          <cell r="B75" t="str">
            <v>Cajbon Chacat Mario Adolfo</v>
          </cell>
          <cell r="C75" t="str">
            <v xml:space="preserve">Facturador </v>
          </cell>
          <cell r="D75">
            <v>1500</v>
          </cell>
          <cell r="E75">
            <v>15</v>
          </cell>
          <cell r="F75">
            <v>0</v>
          </cell>
          <cell r="G75">
            <v>1500</v>
          </cell>
          <cell r="H75">
            <v>125</v>
          </cell>
          <cell r="I75">
            <v>1625</v>
          </cell>
          <cell r="J75">
            <v>0</v>
          </cell>
          <cell r="K75">
            <v>0</v>
          </cell>
          <cell r="L75">
            <v>0</v>
          </cell>
          <cell r="M75">
            <v>0</v>
          </cell>
          <cell r="N75">
            <v>0</v>
          </cell>
          <cell r="O75">
            <v>0</v>
          </cell>
          <cell r="P75">
            <v>1625</v>
          </cell>
          <cell r="Q75">
            <v>72.45</v>
          </cell>
          <cell r="R75">
            <v>0</v>
          </cell>
          <cell r="S75">
            <v>0</v>
          </cell>
          <cell r="T75">
            <v>0</v>
          </cell>
          <cell r="U75">
            <v>0</v>
          </cell>
          <cell r="V75">
            <v>0</v>
          </cell>
          <cell r="W75">
            <v>0</v>
          </cell>
          <cell r="X75">
            <v>0</v>
          </cell>
          <cell r="Y75">
            <v>72.45</v>
          </cell>
          <cell r="Z75">
            <v>1552.55</v>
          </cell>
          <cell r="AA75">
            <v>1552.55</v>
          </cell>
          <cell r="AB75">
            <v>0</v>
          </cell>
        </row>
        <row r="76">
          <cell r="B76" t="str">
            <v>Solis Dominguez Angel Gabriel</v>
          </cell>
          <cell r="C76" t="str">
            <v xml:space="preserve">Facturador </v>
          </cell>
          <cell r="D76">
            <v>1500</v>
          </cell>
          <cell r="E76">
            <v>15</v>
          </cell>
          <cell r="F76">
            <v>0</v>
          </cell>
          <cell r="G76">
            <v>1500</v>
          </cell>
          <cell r="H76">
            <v>125</v>
          </cell>
          <cell r="I76">
            <v>1625</v>
          </cell>
          <cell r="J76">
            <v>0</v>
          </cell>
          <cell r="K76">
            <v>0</v>
          </cell>
          <cell r="L76">
            <v>0</v>
          </cell>
          <cell r="M76">
            <v>0</v>
          </cell>
          <cell r="N76">
            <v>0</v>
          </cell>
          <cell r="O76">
            <v>0</v>
          </cell>
          <cell r="P76">
            <v>1625</v>
          </cell>
          <cell r="Q76">
            <v>72.45</v>
          </cell>
          <cell r="R76">
            <v>0</v>
          </cell>
          <cell r="S76">
            <v>771.64</v>
          </cell>
          <cell r="T76">
            <v>0</v>
          </cell>
          <cell r="U76">
            <v>0</v>
          </cell>
          <cell r="V76">
            <v>0</v>
          </cell>
          <cell r="W76">
            <v>0</v>
          </cell>
          <cell r="X76">
            <v>220</v>
          </cell>
          <cell r="Y76">
            <v>1064.0900000000001</v>
          </cell>
          <cell r="Z76">
            <v>560.90999999999985</v>
          </cell>
          <cell r="AA76">
            <v>560.90999999999985</v>
          </cell>
          <cell r="AB76">
            <v>0</v>
          </cell>
        </row>
        <row r="77">
          <cell r="B77"/>
          <cell r="C77" t="str">
            <v>TOTAL</v>
          </cell>
          <cell r="D77"/>
          <cell r="E77"/>
          <cell r="F77"/>
          <cell r="G77">
            <v>8959.24</v>
          </cell>
          <cell r="H77">
            <v>4500</v>
          </cell>
          <cell r="I77">
            <v>13459.239999999998</v>
          </cell>
          <cell r="J77">
            <v>0</v>
          </cell>
          <cell r="K77">
            <v>0</v>
          </cell>
          <cell r="L77">
            <v>0</v>
          </cell>
          <cell r="M77">
            <v>0</v>
          </cell>
          <cell r="N77">
            <v>0</v>
          </cell>
          <cell r="O77">
            <v>0</v>
          </cell>
          <cell r="P77">
            <v>13459.239999999998</v>
          </cell>
          <cell r="Q77">
            <v>432.74</v>
          </cell>
          <cell r="R77">
            <v>99.4</v>
          </cell>
          <cell r="S77">
            <v>771.64</v>
          </cell>
          <cell r="T77">
            <v>0</v>
          </cell>
          <cell r="U77">
            <v>0</v>
          </cell>
          <cell r="V77">
            <v>31.67</v>
          </cell>
          <cell r="W77">
            <v>296</v>
          </cell>
          <cell r="X77">
            <v>920</v>
          </cell>
          <cell r="Y77">
            <v>2551.4499999999998</v>
          </cell>
          <cell r="Z77">
            <v>10907.789999999999</v>
          </cell>
          <cell r="AA77">
            <v>10907.789999999999</v>
          </cell>
          <cell r="AB77">
            <v>0</v>
          </cell>
        </row>
        <row r="78">
          <cell r="B78"/>
          <cell r="C78"/>
          <cell r="D78"/>
          <cell r="E78"/>
          <cell r="F78"/>
          <cell r="G78"/>
          <cell r="H78"/>
          <cell r="I78"/>
          <cell r="J78"/>
          <cell r="K78"/>
          <cell r="L78"/>
          <cell r="M78"/>
          <cell r="N78"/>
          <cell r="O78"/>
          <cell r="P78"/>
          <cell r="Q78"/>
          <cell r="R78"/>
          <cell r="S78"/>
          <cell r="T78"/>
          <cell r="U78"/>
          <cell r="V78"/>
          <cell r="W78"/>
          <cell r="X78"/>
          <cell r="Y78"/>
          <cell r="Z78"/>
          <cell r="AA78"/>
          <cell r="AB78"/>
        </row>
        <row r="79">
          <cell r="B79" t="str">
            <v>BODEGA MATERIA PRIMA</v>
          </cell>
          <cell r="C79"/>
          <cell r="D79"/>
          <cell r="E79"/>
          <cell r="F79"/>
          <cell r="G79"/>
          <cell r="H79"/>
          <cell r="I79"/>
          <cell r="J79"/>
          <cell r="K79"/>
          <cell r="L79"/>
          <cell r="M79"/>
          <cell r="N79"/>
          <cell r="O79"/>
          <cell r="P79"/>
          <cell r="Q79"/>
          <cell r="R79"/>
          <cell r="S79"/>
          <cell r="T79"/>
          <cell r="U79"/>
          <cell r="V79"/>
          <cell r="W79"/>
          <cell r="X79"/>
          <cell r="Y79"/>
          <cell r="Z79"/>
          <cell r="AA79"/>
          <cell r="AB79"/>
        </row>
        <row r="80">
          <cell r="B80" t="str">
            <v>Paz Pacheco Otoniel Adonias</v>
          </cell>
          <cell r="C80" t="str">
            <v>Auxiliar de Bodega</v>
          </cell>
          <cell r="D80">
            <v>1479.62</v>
          </cell>
          <cell r="E80">
            <v>15</v>
          </cell>
          <cell r="F80">
            <v>0</v>
          </cell>
          <cell r="G80">
            <v>1479.62</v>
          </cell>
          <cell r="H80">
            <v>200</v>
          </cell>
          <cell r="I80">
            <v>1679.62</v>
          </cell>
          <cell r="J80">
            <v>0</v>
          </cell>
          <cell r="K80">
            <v>0</v>
          </cell>
          <cell r="L80">
            <v>0</v>
          </cell>
          <cell r="M80">
            <v>0</v>
          </cell>
          <cell r="N80">
            <v>0</v>
          </cell>
          <cell r="O80">
            <v>0</v>
          </cell>
          <cell r="P80">
            <v>1679.62</v>
          </cell>
          <cell r="Q80">
            <v>71.47</v>
          </cell>
          <cell r="R80">
            <v>0</v>
          </cell>
          <cell r="S80">
            <v>0</v>
          </cell>
          <cell r="T80">
            <v>0</v>
          </cell>
          <cell r="U80">
            <v>0</v>
          </cell>
          <cell r="V80">
            <v>0</v>
          </cell>
          <cell r="W80">
            <v>0</v>
          </cell>
          <cell r="X80">
            <v>0</v>
          </cell>
          <cell r="Y80">
            <v>71.47</v>
          </cell>
          <cell r="Z80">
            <v>1608.1499999999999</v>
          </cell>
          <cell r="AA80">
            <v>1608.1499999999999</v>
          </cell>
          <cell r="AB80">
            <v>0</v>
          </cell>
        </row>
        <row r="81">
          <cell r="B81"/>
          <cell r="C81"/>
          <cell r="D81"/>
          <cell r="E81"/>
          <cell r="F81"/>
          <cell r="G81">
            <v>1479.62</v>
          </cell>
          <cell r="H81">
            <v>200</v>
          </cell>
          <cell r="I81">
            <v>1679.62</v>
          </cell>
          <cell r="J81">
            <v>0</v>
          </cell>
          <cell r="K81">
            <v>0</v>
          </cell>
          <cell r="L81">
            <v>0</v>
          </cell>
          <cell r="M81">
            <v>0</v>
          </cell>
          <cell r="N81">
            <v>0</v>
          </cell>
          <cell r="O81">
            <v>0</v>
          </cell>
          <cell r="P81">
            <v>1679.62</v>
          </cell>
          <cell r="Q81">
            <v>71.47</v>
          </cell>
          <cell r="R81">
            <v>0</v>
          </cell>
          <cell r="S81">
            <v>0</v>
          </cell>
          <cell r="T81">
            <v>0</v>
          </cell>
          <cell r="U81">
            <v>0</v>
          </cell>
          <cell r="V81">
            <v>0</v>
          </cell>
          <cell r="W81">
            <v>0</v>
          </cell>
          <cell r="X81">
            <v>0</v>
          </cell>
          <cell r="Y81">
            <v>71.47</v>
          </cell>
          <cell r="Z81">
            <v>1608.1499999999999</v>
          </cell>
          <cell r="AA81">
            <v>1608.1499999999999</v>
          </cell>
          <cell r="AB81">
            <v>0</v>
          </cell>
        </row>
        <row r="82">
          <cell r="B82"/>
          <cell r="C82"/>
          <cell r="D82"/>
          <cell r="E82"/>
          <cell r="F82"/>
          <cell r="G82"/>
          <cell r="H82"/>
          <cell r="I82"/>
          <cell r="J82"/>
          <cell r="K82"/>
          <cell r="L82"/>
          <cell r="M82"/>
          <cell r="N82"/>
          <cell r="O82"/>
          <cell r="P82"/>
          <cell r="Q82"/>
          <cell r="R82"/>
          <cell r="S82"/>
          <cell r="T82"/>
          <cell r="U82"/>
          <cell r="V82"/>
          <cell r="W82"/>
          <cell r="X82"/>
          <cell r="Y82"/>
          <cell r="Z82"/>
          <cell r="AA82"/>
          <cell r="AB82"/>
        </row>
        <row r="83">
          <cell r="B83"/>
          <cell r="C83"/>
          <cell r="D83" t="str">
            <v>TOTAL LOGISTICA</v>
          </cell>
          <cell r="E83"/>
          <cell r="F83"/>
          <cell r="G83">
            <v>10438.86</v>
          </cell>
          <cell r="H83">
            <v>4700</v>
          </cell>
          <cell r="I83">
            <v>15138.859999999997</v>
          </cell>
          <cell r="J83">
            <v>0</v>
          </cell>
          <cell r="K83">
            <v>0</v>
          </cell>
          <cell r="L83">
            <v>0</v>
          </cell>
          <cell r="M83">
            <v>0</v>
          </cell>
          <cell r="N83">
            <v>0</v>
          </cell>
          <cell r="O83">
            <v>0</v>
          </cell>
          <cell r="P83">
            <v>15138.859999999997</v>
          </cell>
          <cell r="Q83">
            <v>504.21000000000004</v>
          </cell>
          <cell r="R83">
            <v>99.4</v>
          </cell>
          <cell r="S83">
            <v>771.64</v>
          </cell>
          <cell r="T83">
            <v>0</v>
          </cell>
          <cell r="U83">
            <v>0</v>
          </cell>
          <cell r="V83">
            <v>31.67</v>
          </cell>
          <cell r="W83">
            <v>296</v>
          </cell>
          <cell r="X83">
            <v>920</v>
          </cell>
          <cell r="Y83">
            <v>2622.9199999999996</v>
          </cell>
          <cell r="Z83">
            <v>12515.939999999999</v>
          </cell>
          <cell r="AA83">
            <v>12515.939999999999</v>
          </cell>
          <cell r="AB83">
            <v>0</v>
          </cell>
        </row>
        <row r="84">
          <cell r="B84"/>
          <cell r="C84"/>
          <cell r="D84"/>
          <cell r="E84"/>
          <cell r="F84"/>
          <cell r="G84"/>
          <cell r="H84"/>
          <cell r="I84"/>
          <cell r="J84"/>
          <cell r="K84"/>
          <cell r="L84"/>
          <cell r="M84"/>
          <cell r="N84"/>
          <cell r="O84"/>
          <cell r="P84"/>
          <cell r="Q84"/>
          <cell r="R84"/>
          <cell r="S84"/>
          <cell r="T84"/>
          <cell r="U84"/>
          <cell r="V84"/>
          <cell r="W84"/>
          <cell r="X84"/>
          <cell r="Y84"/>
          <cell r="Z84"/>
          <cell r="AA84"/>
          <cell r="AB84"/>
        </row>
        <row r="85">
          <cell r="B85"/>
          <cell r="C85"/>
          <cell r="D85"/>
          <cell r="E85"/>
          <cell r="F85"/>
          <cell r="G85"/>
          <cell r="H85"/>
          <cell r="I85"/>
          <cell r="J85"/>
          <cell r="K85"/>
          <cell r="L85"/>
          <cell r="M85"/>
          <cell r="N85"/>
          <cell r="O85"/>
          <cell r="P85"/>
          <cell r="Q85"/>
          <cell r="R85"/>
          <cell r="S85"/>
          <cell r="T85"/>
          <cell r="U85"/>
          <cell r="V85"/>
          <cell r="W85"/>
          <cell r="X85"/>
          <cell r="Y85"/>
          <cell r="Z85"/>
          <cell r="AA85"/>
          <cell r="AB85"/>
        </row>
        <row r="86">
          <cell r="B86" t="str">
            <v>Mantenimiento</v>
          </cell>
          <cell r="C86"/>
          <cell r="D86"/>
          <cell r="E86"/>
          <cell r="F86"/>
          <cell r="G86"/>
          <cell r="H86"/>
          <cell r="I86"/>
          <cell r="J86"/>
          <cell r="K86"/>
          <cell r="L86"/>
          <cell r="M86"/>
          <cell r="N86"/>
          <cell r="O86"/>
          <cell r="P86"/>
          <cell r="Q86"/>
          <cell r="R86"/>
          <cell r="S86"/>
          <cell r="T86"/>
          <cell r="U86"/>
          <cell r="V86"/>
          <cell r="W86"/>
          <cell r="X86"/>
          <cell r="Y86"/>
          <cell r="Z86"/>
          <cell r="AA86"/>
          <cell r="AB86"/>
        </row>
        <row r="87">
          <cell r="B87" t="str">
            <v>Morales Hernandez Ausencio</v>
          </cell>
          <cell r="C87" t="str">
            <v>Auxiliar de Mantenimiento</v>
          </cell>
          <cell r="D87">
            <v>1479.62</v>
          </cell>
          <cell r="E87">
            <v>15</v>
          </cell>
          <cell r="F87">
            <v>0</v>
          </cell>
          <cell r="G87">
            <v>1479.62</v>
          </cell>
          <cell r="H87">
            <v>125</v>
          </cell>
          <cell r="I87">
            <v>1604.62</v>
          </cell>
          <cell r="J87">
            <v>0</v>
          </cell>
          <cell r="K87">
            <v>0</v>
          </cell>
          <cell r="L87">
            <v>0</v>
          </cell>
          <cell r="M87">
            <v>0</v>
          </cell>
          <cell r="N87">
            <v>0</v>
          </cell>
          <cell r="O87">
            <v>0</v>
          </cell>
          <cell r="P87">
            <v>1604.62</v>
          </cell>
          <cell r="Q87">
            <v>71.47</v>
          </cell>
          <cell r="R87">
            <v>98.9</v>
          </cell>
          <cell r="S87">
            <v>0</v>
          </cell>
          <cell r="T87">
            <v>0</v>
          </cell>
          <cell r="U87">
            <v>0</v>
          </cell>
          <cell r="V87">
            <v>0</v>
          </cell>
          <cell r="W87">
            <v>259.75</v>
          </cell>
          <cell r="X87">
            <v>0</v>
          </cell>
          <cell r="Y87">
            <v>430.12</v>
          </cell>
          <cell r="Z87">
            <v>1174.5</v>
          </cell>
          <cell r="AA87">
            <v>1174.5</v>
          </cell>
          <cell r="AB87">
            <v>0</v>
          </cell>
        </row>
        <row r="88">
          <cell r="B88"/>
          <cell r="C88" t="str">
            <v>TOTAL</v>
          </cell>
          <cell r="D88" t="str">
            <v>TOTAL</v>
          </cell>
          <cell r="E88"/>
          <cell r="F88"/>
          <cell r="G88">
            <v>1479.62</v>
          </cell>
          <cell r="H88">
            <v>125</v>
          </cell>
          <cell r="I88">
            <v>1604.62</v>
          </cell>
          <cell r="J88">
            <v>0</v>
          </cell>
          <cell r="K88">
            <v>0</v>
          </cell>
          <cell r="L88">
            <v>0</v>
          </cell>
          <cell r="M88">
            <v>0</v>
          </cell>
          <cell r="N88">
            <v>0</v>
          </cell>
          <cell r="O88">
            <v>0</v>
          </cell>
          <cell r="P88">
            <v>1604.62</v>
          </cell>
          <cell r="Q88">
            <v>71.47</v>
          </cell>
          <cell r="R88">
            <v>98.9</v>
          </cell>
          <cell r="S88">
            <v>0</v>
          </cell>
          <cell r="T88">
            <v>0</v>
          </cell>
          <cell r="U88">
            <v>0</v>
          </cell>
          <cell r="V88">
            <v>0</v>
          </cell>
          <cell r="W88">
            <v>259.75</v>
          </cell>
          <cell r="X88">
            <v>0</v>
          </cell>
          <cell r="Y88">
            <v>430.12</v>
          </cell>
          <cell r="Z88">
            <v>1174.5</v>
          </cell>
          <cell r="AA88">
            <v>1174.5</v>
          </cell>
          <cell r="AB88">
            <v>0</v>
          </cell>
        </row>
        <row r="89">
          <cell r="B89"/>
          <cell r="C89"/>
          <cell r="D89"/>
          <cell r="E89"/>
          <cell r="F89"/>
          <cell r="G89"/>
          <cell r="H89"/>
          <cell r="I89"/>
          <cell r="J89"/>
          <cell r="K89"/>
          <cell r="L89"/>
          <cell r="M89"/>
          <cell r="N89"/>
          <cell r="O89"/>
          <cell r="P89"/>
          <cell r="Q89"/>
          <cell r="R89"/>
          <cell r="S89"/>
          <cell r="T89"/>
          <cell r="U89"/>
          <cell r="V89"/>
          <cell r="W89"/>
          <cell r="X89"/>
          <cell r="Y89"/>
          <cell r="Z89"/>
          <cell r="AA89"/>
          <cell r="AB89"/>
        </row>
        <row r="90">
          <cell r="B90"/>
          <cell r="C90"/>
          <cell r="D90"/>
          <cell r="E90"/>
          <cell r="F90"/>
          <cell r="G90"/>
          <cell r="H90"/>
          <cell r="I90"/>
          <cell r="J90"/>
          <cell r="K90"/>
          <cell r="L90"/>
          <cell r="M90"/>
          <cell r="N90"/>
          <cell r="O90"/>
          <cell r="P90"/>
          <cell r="Q90"/>
          <cell r="R90"/>
          <cell r="S90"/>
          <cell r="T90"/>
          <cell r="U90"/>
          <cell r="V90"/>
          <cell r="W90"/>
          <cell r="X90"/>
          <cell r="Y90"/>
          <cell r="Z90"/>
          <cell r="AA90"/>
          <cell r="AB90"/>
        </row>
        <row r="91">
          <cell r="B91"/>
          <cell r="C91"/>
          <cell r="D91"/>
          <cell r="E91"/>
          <cell r="F91"/>
          <cell r="G91"/>
          <cell r="H91"/>
          <cell r="I91"/>
          <cell r="J91"/>
          <cell r="K91"/>
          <cell r="L91"/>
          <cell r="M91"/>
          <cell r="N91"/>
          <cell r="O91"/>
          <cell r="P91"/>
          <cell r="Q91"/>
          <cell r="R91"/>
          <cell r="S91"/>
          <cell r="T91"/>
          <cell r="U91"/>
          <cell r="V91"/>
          <cell r="W91"/>
          <cell r="X91"/>
          <cell r="Y91"/>
          <cell r="Z91"/>
          <cell r="AA91"/>
          <cell r="AB91"/>
        </row>
        <row r="92">
          <cell r="B92" t="str">
            <v>Ejecutado por : Alejandra Perez</v>
          </cell>
          <cell r="C92"/>
          <cell r="D92"/>
          <cell r="E92"/>
          <cell r="F92"/>
          <cell r="G92"/>
          <cell r="H92"/>
          <cell r="I92" t="str">
            <v>Revisado Por: Iris de Lemus</v>
          </cell>
          <cell r="J92"/>
          <cell r="K92"/>
          <cell r="L92"/>
          <cell r="M92"/>
          <cell r="N92"/>
          <cell r="O92"/>
          <cell r="P92"/>
          <cell r="Q92"/>
          <cell r="R92"/>
          <cell r="S92"/>
          <cell r="T92"/>
          <cell r="U92"/>
          <cell r="V92"/>
          <cell r="W92"/>
          <cell r="X92"/>
          <cell r="Y92"/>
          <cell r="Z92"/>
          <cell r="AA92"/>
          <cell r="AB92"/>
        </row>
        <row r="93">
          <cell r="B93"/>
          <cell r="C93"/>
          <cell r="D93"/>
          <cell r="E93"/>
          <cell r="F93"/>
          <cell r="G93"/>
          <cell r="H93"/>
          <cell r="I93"/>
          <cell r="J93"/>
          <cell r="K93"/>
          <cell r="L93"/>
          <cell r="M93"/>
          <cell r="N93"/>
          <cell r="O93"/>
          <cell r="P93"/>
          <cell r="Q93"/>
          <cell r="R93"/>
          <cell r="S93"/>
          <cell r="T93"/>
          <cell r="U93"/>
          <cell r="V93"/>
          <cell r="W93"/>
          <cell r="X93"/>
          <cell r="Y93"/>
          <cell r="Z93"/>
          <cell r="AA93"/>
          <cell r="AB93"/>
        </row>
        <row r="94">
          <cell r="B94"/>
          <cell r="C94"/>
          <cell r="D94"/>
          <cell r="E94"/>
          <cell r="F94"/>
          <cell r="G94"/>
          <cell r="H94"/>
          <cell r="I94"/>
          <cell r="J94"/>
          <cell r="K94"/>
          <cell r="L94"/>
          <cell r="M94"/>
          <cell r="N94"/>
          <cell r="O94"/>
          <cell r="P94"/>
          <cell r="Q94"/>
          <cell r="R94"/>
          <cell r="S94"/>
          <cell r="T94"/>
          <cell r="U94"/>
          <cell r="V94"/>
          <cell r="W94"/>
          <cell r="X94"/>
          <cell r="Y94"/>
          <cell r="Z94"/>
          <cell r="AA94"/>
          <cell r="AB94"/>
        </row>
        <row r="95">
          <cell r="B95"/>
          <cell r="C95"/>
          <cell r="D95"/>
          <cell r="E95"/>
          <cell r="F95"/>
          <cell r="G95"/>
          <cell r="H95"/>
          <cell r="I95"/>
          <cell r="J95"/>
          <cell r="K95"/>
          <cell r="L95"/>
          <cell r="M95"/>
          <cell r="N95"/>
          <cell r="O95"/>
          <cell r="P95"/>
          <cell r="Q95"/>
          <cell r="R95"/>
          <cell r="S95"/>
          <cell r="T95"/>
          <cell r="U95"/>
          <cell r="V95"/>
          <cell r="W95"/>
          <cell r="X95"/>
          <cell r="Y95"/>
          <cell r="Z95"/>
          <cell r="AA95"/>
          <cell r="AB95"/>
        </row>
        <row r="96">
          <cell r="B96"/>
          <cell r="C96"/>
          <cell r="D96"/>
          <cell r="E96"/>
          <cell r="F96"/>
          <cell r="G96"/>
          <cell r="H96"/>
          <cell r="I96"/>
          <cell r="J96"/>
          <cell r="K96"/>
          <cell r="L96"/>
          <cell r="M96"/>
          <cell r="N96"/>
          <cell r="O96"/>
          <cell r="P96"/>
          <cell r="Q96"/>
          <cell r="R96"/>
          <cell r="S96"/>
          <cell r="T96"/>
          <cell r="U96"/>
          <cell r="V96"/>
          <cell r="W96"/>
          <cell r="X96"/>
          <cell r="Y96"/>
          <cell r="Z96"/>
          <cell r="AA96"/>
          <cell r="AB96"/>
        </row>
        <row r="97">
          <cell r="B97" t="str">
            <v>Revisado Por. Walter Mendez</v>
          </cell>
          <cell r="C97"/>
          <cell r="D97"/>
          <cell r="E97"/>
          <cell r="F97"/>
          <cell r="G97"/>
          <cell r="H97"/>
          <cell r="I97" t="str">
            <v>Vo.Bo. Gerencia General</v>
          </cell>
          <cell r="J97"/>
          <cell r="K97"/>
          <cell r="L97"/>
          <cell r="M97"/>
          <cell r="N97"/>
          <cell r="O97"/>
          <cell r="P97"/>
          <cell r="Q97"/>
          <cell r="R97"/>
          <cell r="S97"/>
          <cell r="T97"/>
          <cell r="U97"/>
          <cell r="V97"/>
          <cell r="W97"/>
          <cell r="X97"/>
          <cell r="Y97"/>
          <cell r="Z97"/>
          <cell r="AA97"/>
          <cell r="AB97"/>
        </row>
        <row r="98">
          <cell r="B98"/>
          <cell r="C98"/>
          <cell r="D98"/>
          <cell r="E98"/>
          <cell r="F98"/>
          <cell r="G98"/>
          <cell r="H98"/>
          <cell r="I98"/>
          <cell r="J98"/>
          <cell r="K98"/>
          <cell r="L98"/>
          <cell r="M98"/>
          <cell r="N98"/>
          <cell r="O98"/>
          <cell r="P98"/>
          <cell r="Q98"/>
          <cell r="R98"/>
          <cell r="S98"/>
          <cell r="T98"/>
          <cell r="U98"/>
          <cell r="V98"/>
          <cell r="W98"/>
          <cell r="X98"/>
          <cell r="Y98"/>
          <cell r="Z98"/>
          <cell r="AA98"/>
          <cell r="AB98"/>
        </row>
        <row r="99">
          <cell r="B99"/>
          <cell r="C99"/>
          <cell r="D99"/>
          <cell r="E99"/>
          <cell r="F99"/>
          <cell r="G99"/>
          <cell r="H99"/>
          <cell r="I99"/>
          <cell r="J99"/>
          <cell r="K99"/>
          <cell r="L99"/>
          <cell r="M99"/>
          <cell r="N99"/>
          <cell r="O99"/>
          <cell r="P99"/>
          <cell r="Q99"/>
          <cell r="R99"/>
          <cell r="S99"/>
          <cell r="T99"/>
          <cell r="U99"/>
          <cell r="V99"/>
          <cell r="W99"/>
          <cell r="X99"/>
          <cell r="Y99"/>
          <cell r="Z99"/>
          <cell r="AA99"/>
          <cell r="AB99"/>
        </row>
        <row r="100">
          <cell r="B100"/>
          <cell r="C100"/>
          <cell r="D100"/>
          <cell r="E100"/>
          <cell r="F100"/>
          <cell r="G100"/>
          <cell r="H100"/>
          <cell r="I100"/>
          <cell r="J100"/>
          <cell r="K100"/>
          <cell r="L100"/>
          <cell r="M100"/>
          <cell r="N100"/>
          <cell r="O100"/>
          <cell r="P100"/>
          <cell r="Q100"/>
          <cell r="R100"/>
          <cell r="S100"/>
          <cell r="T100"/>
          <cell r="U100"/>
          <cell r="V100"/>
          <cell r="W100"/>
          <cell r="X100"/>
          <cell r="Y100"/>
          <cell r="Z100"/>
          <cell r="AA100"/>
          <cell r="AB100"/>
        </row>
        <row r="101">
          <cell r="B101"/>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row>
        <row r="102">
          <cell r="B102" t="str">
            <v>AREA DE COMERCIALIZACION</v>
          </cell>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row>
        <row r="103">
          <cell r="B103" t="str">
            <v>Ventas Unhesa</v>
          </cell>
          <cell r="C103"/>
          <cell r="D103"/>
          <cell r="E103"/>
          <cell r="F103"/>
          <cell r="G103"/>
          <cell r="H103"/>
          <cell r="I103"/>
          <cell r="J103"/>
          <cell r="K103"/>
          <cell r="L103"/>
          <cell r="M103"/>
          <cell r="N103"/>
          <cell r="O103"/>
          <cell r="P103"/>
          <cell r="Q103"/>
          <cell r="R103"/>
          <cell r="S103"/>
          <cell r="T103"/>
          <cell r="U103"/>
          <cell r="V103"/>
          <cell r="W103"/>
          <cell r="X103"/>
          <cell r="Y103"/>
          <cell r="Z103"/>
          <cell r="AA103"/>
          <cell r="AB103"/>
        </row>
        <row r="104">
          <cell r="B104" t="str">
            <v>DIVISION POLVOS</v>
          </cell>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row>
        <row r="105">
          <cell r="B105" t="str">
            <v>Jolon Carrascoza Erwin Antonio</v>
          </cell>
          <cell r="C105" t="str">
            <v>Gerente Comercial</v>
          </cell>
          <cell r="D105">
            <v>9730</v>
          </cell>
          <cell r="E105">
            <v>15</v>
          </cell>
          <cell r="F105" t="str">
            <v xml:space="preserve"> </v>
          </cell>
          <cell r="G105">
            <v>9730</v>
          </cell>
          <cell r="H105">
            <v>25767.51</v>
          </cell>
          <cell r="I105">
            <v>35497.509999999995</v>
          </cell>
          <cell r="J105">
            <v>0</v>
          </cell>
          <cell r="K105">
            <v>0</v>
          </cell>
          <cell r="L105">
            <v>0</v>
          </cell>
          <cell r="M105">
            <v>0</v>
          </cell>
          <cell r="N105">
            <v>0</v>
          </cell>
          <cell r="O105">
            <v>0</v>
          </cell>
          <cell r="P105">
            <v>35497.509999999995</v>
          </cell>
          <cell r="Q105">
            <v>469.96</v>
          </cell>
          <cell r="R105">
            <v>550.16999999999996</v>
          </cell>
          <cell r="S105">
            <v>2623.76</v>
          </cell>
          <cell r="T105">
            <v>0</v>
          </cell>
          <cell r="U105">
            <v>0</v>
          </cell>
          <cell r="V105">
            <v>0</v>
          </cell>
          <cell r="W105">
            <v>0</v>
          </cell>
          <cell r="X105">
            <v>0</v>
          </cell>
          <cell r="Y105">
            <v>3643.8900000000003</v>
          </cell>
          <cell r="Z105">
            <v>31853.619999999995</v>
          </cell>
          <cell r="AA105">
            <v>13211.109999999995</v>
          </cell>
          <cell r="AB105">
            <v>0</v>
          </cell>
        </row>
        <row r="106">
          <cell r="B106" t="str">
            <v>Reyes Salazar Lesly Alejandra</v>
          </cell>
          <cell r="C106" t="str">
            <v>Auxiliar de Telemarketing</v>
          </cell>
          <cell r="D106">
            <v>1479.62</v>
          </cell>
          <cell r="E106">
            <v>15</v>
          </cell>
          <cell r="F106">
            <v>0</v>
          </cell>
          <cell r="G106">
            <v>1479.62</v>
          </cell>
          <cell r="H106">
            <v>2886.55</v>
          </cell>
          <cell r="I106">
            <v>4366.17</v>
          </cell>
          <cell r="J106">
            <v>0</v>
          </cell>
          <cell r="K106">
            <v>0</v>
          </cell>
          <cell r="L106">
            <v>0</v>
          </cell>
          <cell r="M106">
            <v>0</v>
          </cell>
          <cell r="N106">
            <v>0</v>
          </cell>
          <cell r="O106">
            <v>0</v>
          </cell>
          <cell r="P106">
            <v>4366.17</v>
          </cell>
          <cell r="Q106">
            <v>71.47</v>
          </cell>
          <cell r="R106">
            <v>0</v>
          </cell>
          <cell r="S106">
            <v>0</v>
          </cell>
          <cell r="T106">
            <v>0</v>
          </cell>
          <cell r="U106">
            <v>0</v>
          </cell>
          <cell r="V106">
            <v>0</v>
          </cell>
          <cell r="W106">
            <v>0</v>
          </cell>
          <cell r="X106">
            <v>280</v>
          </cell>
          <cell r="Y106">
            <v>351.47</v>
          </cell>
          <cell r="Z106">
            <v>4014.7</v>
          </cell>
          <cell r="AA106">
            <v>2961.05</v>
          </cell>
          <cell r="AB106">
            <v>0</v>
          </cell>
        </row>
        <row r="107">
          <cell r="B107" t="str">
            <v>Ambrocio Sanchez Rolando</v>
          </cell>
          <cell r="C107" t="str">
            <v>Encargado Administrativo</v>
          </cell>
          <cell r="D107">
            <v>2075</v>
          </cell>
          <cell r="E107">
            <v>15</v>
          </cell>
          <cell r="F107">
            <v>0</v>
          </cell>
          <cell r="G107">
            <v>2075</v>
          </cell>
          <cell r="H107">
            <v>750</v>
          </cell>
          <cell r="I107">
            <v>2825</v>
          </cell>
          <cell r="J107">
            <v>0</v>
          </cell>
          <cell r="K107">
            <v>0</v>
          </cell>
          <cell r="L107">
            <v>0</v>
          </cell>
          <cell r="M107">
            <v>0</v>
          </cell>
          <cell r="N107">
            <v>0</v>
          </cell>
          <cell r="O107">
            <v>0</v>
          </cell>
          <cell r="P107">
            <v>2825</v>
          </cell>
          <cell r="Q107">
            <v>100.22</v>
          </cell>
          <cell r="R107">
            <v>15.83</v>
          </cell>
          <cell r="S107">
            <v>0</v>
          </cell>
          <cell r="T107">
            <v>0</v>
          </cell>
          <cell r="U107">
            <v>0</v>
          </cell>
          <cell r="V107">
            <v>0</v>
          </cell>
          <cell r="W107">
            <v>0</v>
          </cell>
          <cell r="X107">
            <v>227</v>
          </cell>
          <cell r="Y107">
            <v>343.05</v>
          </cell>
          <cell r="Z107">
            <v>2481.9499999999998</v>
          </cell>
          <cell r="AA107">
            <v>2481.9499999999998</v>
          </cell>
          <cell r="AB107">
            <v>0</v>
          </cell>
        </row>
        <row r="108">
          <cell r="B108"/>
          <cell r="C108" t="str">
            <v>TOTAL</v>
          </cell>
          <cell r="D108" t="str">
            <v>TOTAL</v>
          </cell>
          <cell r="E108"/>
          <cell r="F108"/>
          <cell r="G108">
            <v>13284.619999999999</v>
          </cell>
          <cell r="H108">
            <v>29404.059999999998</v>
          </cell>
          <cell r="I108">
            <v>42688.679999999993</v>
          </cell>
          <cell r="J108">
            <v>0</v>
          </cell>
          <cell r="K108">
            <v>0</v>
          </cell>
          <cell r="L108">
            <v>0</v>
          </cell>
          <cell r="M108">
            <v>0</v>
          </cell>
          <cell r="N108">
            <v>0</v>
          </cell>
          <cell r="O108">
            <v>0</v>
          </cell>
          <cell r="P108">
            <v>42688.679999999993</v>
          </cell>
          <cell r="Q108">
            <v>641.65</v>
          </cell>
          <cell r="R108">
            <v>566</v>
          </cell>
          <cell r="S108">
            <v>2623.76</v>
          </cell>
          <cell r="T108">
            <v>0</v>
          </cell>
          <cell r="U108">
            <v>0</v>
          </cell>
          <cell r="V108">
            <v>0</v>
          </cell>
          <cell r="W108">
            <v>0</v>
          </cell>
          <cell r="X108">
            <v>507</v>
          </cell>
          <cell r="Y108">
            <v>4338.4100000000008</v>
          </cell>
          <cell r="Z108">
            <v>38350.26999999999</v>
          </cell>
          <cell r="AA108">
            <v>18654.109999999997</v>
          </cell>
          <cell r="AB108">
            <v>0</v>
          </cell>
        </row>
        <row r="109">
          <cell r="B109"/>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row>
        <row r="110">
          <cell r="B110" t="str">
            <v>Ruta 2 Ventas (Promovendeodora Capital)</v>
          </cell>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row>
        <row r="111">
          <cell r="B111" t="str">
            <v>Borrayo  Martinez Barbara Ivon</v>
          </cell>
          <cell r="C111" t="str">
            <v>Vendedor</v>
          </cell>
          <cell r="D111">
            <v>1479.62</v>
          </cell>
          <cell r="E111">
            <v>15</v>
          </cell>
          <cell r="F111">
            <v>0</v>
          </cell>
          <cell r="G111">
            <v>1479.62</v>
          </cell>
          <cell r="H111">
            <v>1297.6099999999999</v>
          </cell>
          <cell r="I111">
            <v>2777.2299999999996</v>
          </cell>
          <cell r="J111">
            <v>0</v>
          </cell>
          <cell r="K111">
            <v>0</v>
          </cell>
          <cell r="L111">
            <v>0</v>
          </cell>
          <cell r="M111">
            <v>0</v>
          </cell>
          <cell r="N111">
            <v>0</v>
          </cell>
          <cell r="O111">
            <v>0</v>
          </cell>
          <cell r="P111">
            <v>2777.2299999999996</v>
          </cell>
          <cell r="Q111">
            <v>71.47</v>
          </cell>
          <cell r="R111">
            <v>0</v>
          </cell>
          <cell r="S111">
            <v>0</v>
          </cell>
          <cell r="T111">
            <v>0</v>
          </cell>
          <cell r="U111">
            <v>0</v>
          </cell>
          <cell r="V111">
            <v>0</v>
          </cell>
          <cell r="W111">
            <v>0</v>
          </cell>
          <cell r="X111">
            <v>0</v>
          </cell>
          <cell r="Y111">
            <v>71.47</v>
          </cell>
          <cell r="Z111">
            <v>2705.7599999999998</v>
          </cell>
          <cell r="AA111">
            <v>2705.7599999999998</v>
          </cell>
          <cell r="AB111">
            <v>0</v>
          </cell>
        </row>
        <row r="112">
          <cell r="B112"/>
          <cell r="C112"/>
          <cell r="D112" t="str">
            <v>TOTAL</v>
          </cell>
          <cell r="E112"/>
          <cell r="F112"/>
          <cell r="G112">
            <v>1479.62</v>
          </cell>
          <cell r="H112">
            <v>1297.6099999999999</v>
          </cell>
          <cell r="I112">
            <v>2777.2299999999996</v>
          </cell>
          <cell r="J112">
            <v>0</v>
          </cell>
          <cell r="K112">
            <v>0</v>
          </cell>
          <cell r="L112">
            <v>0</v>
          </cell>
          <cell r="M112">
            <v>0</v>
          </cell>
          <cell r="N112">
            <v>0</v>
          </cell>
          <cell r="O112">
            <v>0</v>
          </cell>
          <cell r="P112">
            <v>2777.2299999999996</v>
          </cell>
          <cell r="Q112">
            <v>71.47</v>
          </cell>
          <cell r="R112">
            <v>0</v>
          </cell>
          <cell r="S112">
            <v>0</v>
          </cell>
          <cell r="T112">
            <v>0</v>
          </cell>
          <cell r="U112">
            <v>0</v>
          </cell>
          <cell r="V112">
            <v>0</v>
          </cell>
          <cell r="W112">
            <v>0</v>
          </cell>
          <cell r="X112">
            <v>0</v>
          </cell>
          <cell r="Y112">
            <v>71.47</v>
          </cell>
          <cell r="Z112">
            <v>2705.7599999999998</v>
          </cell>
          <cell r="AA112">
            <v>2705.7599999999998</v>
          </cell>
          <cell r="AB112">
            <v>0</v>
          </cell>
        </row>
        <row r="113">
          <cell r="B113"/>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row>
        <row r="114">
          <cell r="B114" t="str">
            <v>Ruta 4 Ventas (Promovendeodora Costa Sur)</v>
          </cell>
          <cell r="C114"/>
          <cell r="D114"/>
          <cell r="E114"/>
          <cell r="F114"/>
          <cell r="G114"/>
          <cell r="H114"/>
          <cell r="I114"/>
          <cell r="J114"/>
          <cell r="K114"/>
          <cell r="L114"/>
          <cell r="M114"/>
          <cell r="N114"/>
          <cell r="O114"/>
          <cell r="P114"/>
          <cell r="Q114"/>
          <cell r="R114"/>
          <cell r="S114"/>
          <cell r="T114"/>
          <cell r="U114"/>
          <cell r="V114"/>
          <cell r="W114"/>
          <cell r="X114"/>
          <cell r="Y114"/>
          <cell r="Z114"/>
          <cell r="AA114"/>
          <cell r="AB114"/>
        </row>
        <row r="115">
          <cell r="B115"/>
          <cell r="C115"/>
          <cell r="D115" t="str">
            <v>TOTAL</v>
          </cell>
          <cell r="E115"/>
          <cell r="F115" t="str">
            <v xml:space="preserve"> </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row>
        <row r="116">
          <cell r="B116"/>
          <cell r="C116"/>
          <cell r="D116"/>
          <cell r="E116"/>
          <cell r="F116"/>
          <cell r="G116"/>
          <cell r="H116"/>
          <cell r="I116"/>
          <cell r="J116"/>
          <cell r="K116"/>
          <cell r="L116"/>
          <cell r="M116"/>
          <cell r="N116"/>
          <cell r="O116"/>
          <cell r="P116"/>
          <cell r="Q116"/>
          <cell r="R116"/>
          <cell r="S116"/>
          <cell r="T116"/>
          <cell r="U116"/>
          <cell r="V116"/>
          <cell r="W116"/>
          <cell r="X116"/>
          <cell r="Y116"/>
          <cell r="Z116"/>
          <cell r="AA116"/>
          <cell r="AB116"/>
        </row>
        <row r="117">
          <cell r="B117" t="str">
            <v>Ruta 3 Ventas (Promovendeodora Occidente)</v>
          </cell>
          <cell r="C117"/>
          <cell r="D117"/>
          <cell r="E117"/>
          <cell r="F117"/>
          <cell r="G117"/>
          <cell r="H117"/>
          <cell r="I117"/>
          <cell r="J117"/>
          <cell r="K117"/>
          <cell r="L117"/>
          <cell r="M117"/>
          <cell r="N117"/>
          <cell r="O117"/>
          <cell r="P117"/>
          <cell r="Q117"/>
          <cell r="R117"/>
          <cell r="S117"/>
          <cell r="T117"/>
          <cell r="U117"/>
          <cell r="V117"/>
          <cell r="W117"/>
          <cell r="X117"/>
          <cell r="Y117"/>
          <cell r="Z117"/>
          <cell r="AA117"/>
          <cell r="AB117"/>
        </row>
        <row r="118">
          <cell r="B118"/>
          <cell r="C118"/>
          <cell r="D118" t="str">
            <v>TOTAL</v>
          </cell>
          <cell r="E118"/>
          <cell r="F118" t="str">
            <v xml:space="preserve"> </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row>
        <row r="119">
          <cell r="B119"/>
          <cell r="C119"/>
          <cell r="D119"/>
          <cell r="E119"/>
          <cell r="F119"/>
          <cell r="G119"/>
          <cell r="H119"/>
          <cell r="I119"/>
          <cell r="J119"/>
          <cell r="K119"/>
          <cell r="L119"/>
          <cell r="M119"/>
          <cell r="N119"/>
          <cell r="O119"/>
          <cell r="P119"/>
          <cell r="Q119"/>
          <cell r="R119"/>
          <cell r="S119"/>
          <cell r="T119"/>
          <cell r="U119"/>
          <cell r="V119"/>
          <cell r="W119"/>
          <cell r="X119"/>
          <cell r="Y119"/>
          <cell r="Z119"/>
          <cell r="AA119"/>
          <cell r="AB119"/>
        </row>
        <row r="120">
          <cell r="B120" t="str">
            <v>Ruta 5 Ventas (Mayorista Capital)</v>
          </cell>
          <cell r="C120"/>
          <cell r="D120"/>
          <cell r="E120"/>
          <cell r="F120"/>
          <cell r="G120"/>
          <cell r="H120"/>
          <cell r="I120"/>
          <cell r="J120"/>
          <cell r="K120"/>
          <cell r="L120"/>
          <cell r="M120"/>
          <cell r="N120"/>
          <cell r="O120"/>
          <cell r="P120"/>
          <cell r="Q120"/>
          <cell r="R120"/>
          <cell r="S120"/>
          <cell r="T120"/>
          <cell r="U120"/>
          <cell r="V120"/>
          <cell r="W120"/>
          <cell r="X120"/>
          <cell r="Y120"/>
          <cell r="Z120"/>
          <cell r="AA120"/>
          <cell r="AB120"/>
        </row>
        <row r="121">
          <cell r="B121" t="str">
            <v>Soto Juarez Mario Antonio</v>
          </cell>
          <cell r="C121" t="str">
            <v>Vendedor Mayorista</v>
          </cell>
          <cell r="D121">
            <v>1500</v>
          </cell>
          <cell r="E121">
            <v>15</v>
          </cell>
          <cell r="F121">
            <v>0</v>
          </cell>
          <cell r="G121">
            <v>1500</v>
          </cell>
          <cell r="H121">
            <v>30057.29</v>
          </cell>
          <cell r="I121">
            <v>31557.29</v>
          </cell>
          <cell r="J121">
            <v>0</v>
          </cell>
          <cell r="K121">
            <v>0</v>
          </cell>
          <cell r="L121">
            <v>0</v>
          </cell>
          <cell r="M121">
            <v>0</v>
          </cell>
          <cell r="N121">
            <v>0</v>
          </cell>
          <cell r="O121">
            <v>0</v>
          </cell>
          <cell r="P121">
            <v>31557.29</v>
          </cell>
          <cell r="Q121">
            <v>72.45</v>
          </cell>
          <cell r="R121">
            <v>198.86</v>
          </cell>
          <cell r="S121">
            <v>0</v>
          </cell>
          <cell r="T121">
            <v>0</v>
          </cell>
          <cell r="U121">
            <v>0</v>
          </cell>
          <cell r="V121">
            <v>0</v>
          </cell>
          <cell r="W121">
            <v>0</v>
          </cell>
          <cell r="X121">
            <v>0</v>
          </cell>
          <cell r="Y121">
            <v>271.31</v>
          </cell>
          <cell r="Z121">
            <v>31285.98</v>
          </cell>
          <cell r="AA121">
            <v>8148.4400000000023</v>
          </cell>
          <cell r="AB121">
            <v>0</v>
          </cell>
        </row>
        <row r="122">
          <cell r="B122" t="str">
            <v>Argueta Hernandez Annika Lorena</v>
          </cell>
          <cell r="C122" t="str">
            <v xml:space="preserve">Vendedor   </v>
          </cell>
          <cell r="D122">
            <v>1479.62</v>
          </cell>
          <cell r="E122">
            <v>15</v>
          </cell>
          <cell r="F122">
            <v>0</v>
          </cell>
          <cell r="G122">
            <v>1479.62</v>
          </cell>
          <cell r="H122">
            <v>752.46</v>
          </cell>
          <cell r="I122">
            <v>2232.08</v>
          </cell>
          <cell r="J122">
            <v>0</v>
          </cell>
          <cell r="K122">
            <v>0</v>
          </cell>
          <cell r="L122">
            <v>0</v>
          </cell>
          <cell r="M122">
            <v>0</v>
          </cell>
          <cell r="N122">
            <v>0</v>
          </cell>
          <cell r="O122">
            <v>0</v>
          </cell>
          <cell r="P122">
            <v>2232.08</v>
          </cell>
          <cell r="Q122">
            <v>71.47</v>
          </cell>
          <cell r="R122">
            <v>0</v>
          </cell>
          <cell r="S122">
            <v>0</v>
          </cell>
          <cell r="T122">
            <v>0</v>
          </cell>
          <cell r="U122">
            <v>0</v>
          </cell>
          <cell r="V122">
            <v>0</v>
          </cell>
          <cell r="W122">
            <v>0</v>
          </cell>
          <cell r="X122">
            <v>0</v>
          </cell>
          <cell r="Y122">
            <v>71.47</v>
          </cell>
          <cell r="Z122">
            <v>2160.61</v>
          </cell>
          <cell r="AA122">
            <v>2160.61</v>
          </cell>
          <cell r="AB122">
            <v>0</v>
          </cell>
        </row>
        <row r="123">
          <cell r="B123"/>
          <cell r="C123" t="str">
            <v>TOTAL</v>
          </cell>
          <cell r="D123" t="str">
            <v>TOTAL Ruta 5</v>
          </cell>
          <cell r="E123"/>
          <cell r="F123"/>
          <cell r="G123">
            <v>2979.62</v>
          </cell>
          <cell r="H123">
            <v>30809.75</v>
          </cell>
          <cell r="I123">
            <v>33789.370000000003</v>
          </cell>
          <cell r="J123">
            <v>0</v>
          </cell>
          <cell r="K123">
            <v>0</v>
          </cell>
          <cell r="L123">
            <v>0</v>
          </cell>
          <cell r="M123">
            <v>0</v>
          </cell>
          <cell r="N123">
            <v>0</v>
          </cell>
          <cell r="O123">
            <v>0</v>
          </cell>
          <cell r="P123">
            <v>33789.370000000003</v>
          </cell>
          <cell r="Q123">
            <v>143.92000000000002</v>
          </cell>
          <cell r="R123">
            <v>198.86</v>
          </cell>
          <cell r="S123">
            <v>0</v>
          </cell>
          <cell r="T123">
            <v>0</v>
          </cell>
          <cell r="U123">
            <v>0</v>
          </cell>
          <cell r="V123">
            <v>0</v>
          </cell>
          <cell r="W123">
            <v>0</v>
          </cell>
          <cell r="X123">
            <v>0</v>
          </cell>
          <cell r="Y123">
            <v>342.78</v>
          </cell>
          <cell r="Z123">
            <v>33446.589999999997</v>
          </cell>
          <cell r="AA123">
            <v>10309.050000000003</v>
          </cell>
          <cell r="AB123">
            <v>0</v>
          </cell>
        </row>
        <row r="124">
          <cell r="B124"/>
          <cell r="C124"/>
          <cell r="D124"/>
          <cell r="E124"/>
          <cell r="F124"/>
          <cell r="G124"/>
          <cell r="H124"/>
          <cell r="I124"/>
          <cell r="J124"/>
          <cell r="K124"/>
          <cell r="L124"/>
          <cell r="M124"/>
          <cell r="N124"/>
          <cell r="O124"/>
          <cell r="P124"/>
          <cell r="Q124"/>
          <cell r="R124"/>
          <cell r="S124"/>
          <cell r="T124"/>
          <cell r="U124"/>
          <cell r="V124"/>
          <cell r="W124"/>
          <cell r="X124"/>
          <cell r="Y124"/>
          <cell r="Z124"/>
          <cell r="AA124"/>
          <cell r="AB124"/>
        </row>
        <row r="125">
          <cell r="B125" t="str">
            <v>Ruta 6 Ventas (Mayorista Sur-Occidente)</v>
          </cell>
          <cell r="C125"/>
          <cell r="D125"/>
          <cell r="E125"/>
          <cell r="F125"/>
          <cell r="G125"/>
          <cell r="H125"/>
          <cell r="I125"/>
          <cell r="J125"/>
          <cell r="K125"/>
          <cell r="L125"/>
          <cell r="M125"/>
          <cell r="N125"/>
          <cell r="O125"/>
          <cell r="P125"/>
          <cell r="Q125"/>
          <cell r="R125"/>
          <cell r="S125"/>
          <cell r="T125"/>
          <cell r="U125"/>
          <cell r="V125"/>
          <cell r="W125"/>
          <cell r="X125"/>
          <cell r="Y125"/>
          <cell r="Z125"/>
          <cell r="AA125"/>
          <cell r="AB125"/>
        </row>
        <row r="126">
          <cell r="B126" t="str">
            <v>Recinos Martinez Dany Gudiel</v>
          </cell>
          <cell r="C126" t="str">
            <v>Vendedor Mayorista</v>
          </cell>
          <cell r="D126">
            <v>1500</v>
          </cell>
          <cell r="E126">
            <v>15</v>
          </cell>
          <cell r="F126">
            <v>0</v>
          </cell>
          <cell r="G126">
            <v>1500</v>
          </cell>
          <cell r="H126">
            <v>125</v>
          </cell>
          <cell r="I126">
            <v>1625</v>
          </cell>
          <cell r="J126">
            <v>0</v>
          </cell>
          <cell r="K126">
            <v>0</v>
          </cell>
          <cell r="L126">
            <v>0</v>
          </cell>
          <cell r="M126">
            <v>0</v>
          </cell>
          <cell r="N126">
            <v>0</v>
          </cell>
          <cell r="O126">
            <v>0</v>
          </cell>
          <cell r="P126">
            <v>1625</v>
          </cell>
          <cell r="Q126">
            <v>72.45</v>
          </cell>
          <cell r="R126">
            <v>0</v>
          </cell>
          <cell r="S126">
            <v>0</v>
          </cell>
          <cell r="T126">
            <v>0</v>
          </cell>
          <cell r="U126">
            <v>67.5</v>
          </cell>
          <cell r="V126">
            <v>0</v>
          </cell>
          <cell r="W126">
            <v>0</v>
          </cell>
          <cell r="X126">
            <v>0</v>
          </cell>
          <cell r="Y126">
            <v>139.94999999999999</v>
          </cell>
          <cell r="Z126">
            <v>1485.05</v>
          </cell>
          <cell r="AA126">
            <v>1485.05</v>
          </cell>
          <cell r="AB126">
            <v>0</v>
          </cell>
        </row>
        <row r="127">
          <cell r="B127"/>
          <cell r="C127"/>
          <cell r="D127"/>
          <cell r="E127"/>
          <cell r="F127"/>
          <cell r="G127"/>
          <cell r="H127"/>
          <cell r="I127"/>
          <cell r="J127"/>
          <cell r="K127"/>
          <cell r="L127"/>
          <cell r="M127"/>
          <cell r="N127"/>
          <cell r="O127"/>
          <cell r="P127"/>
          <cell r="Q127"/>
          <cell r="R127"/>
          <cell r="S127"/>
          <cell r="T127"/>
          <cell r="U127"/>
          <cell r="V127"/>
          <cell r="W127"/>
          <cell r="X127"/>
          <cell r="Y127"/>
          <cell r="Z127"/>
          <cell r="AA127"/>
          <cell r="AB127"/>
        </row>
        <row r="128">
          <cell r="B128"/>
          <cell r="C128" t="str">
            <v>TOTAL</v>
          </cell>
          <cell r="D128" t="str">
            <v>TOTAL Ruta 6</v>
          </cell>
          <cell r="E128"/>
          <cell r="F128"/>
          <cell r="G128">
            <v>1500</v>
          </cell>
          <cell r="H128">
            <v>125</v>
          </cell>
          <cell r="I128">
            <v>1625</v>
          </cell>
          <cell r="J128">
            <v>0</v>
          </cell>
          <cell r="K128">
            <v>0</v>
          </cell>
          <cell r="L128">
            <v>0</v>
          </cell>
          <cell r="M128">
            <v>0</v>
          </cell>
          <cell r="N128">
            <v>0</v>
          </cell>
          <cell r="O128">
            <v>0</v>
          </cell>
          <cell r="P128">
            <v>1625</v>
          </cell>
          <cell r="Q128">
            <v>72.45</v>
          </cell>
          <cell r="R128">
            <v>0</v>
          </cell>
          <cell r="S128">
            <v>0</v>
          </cell>
          <cell r="T128">
            <v>0</v>
          </cell>
          <cell r="U128">
            <v>67.5</v>
          </cell>
          <cell r="V128">
            <v>0</v>
          </cell>
          <cell r="W128">
            <v>0</v>
          </cell>
          <cell r="X128">
            <v>0</v>
          </cell>
          <cell r="Y128">
            <v>139.94999999999999</v>
          </cell>
          <cell r="Z128">
            <v>1485.05</v>
          </cell>
          <cell r="AA128">
            <v>1485.05</v>
          </cell>
          <cell r="AB128">
            <v>0</v>
          </cell>
        </row>
        <row r="129">
          <cell r="B129"/>
          <cell r="C129"/>
          <cell r="D129"/>
          <cell r="E129"/>
          <cell r="F129"/>
          <cell r="G129"/>
          <cell r="H129"/>
          <cell r="I129"/>
          <cell r="J129"/>
          <cell r="K129"/>
          <cell r="L129"/>
          <cell r="M129"/>
          <cell r="N129"/>
          <cell r="O129"/>
          <cell r="P129"/>
          <cell r="Q129"/>
          <cell r="R129"/>
          <cell r="S129"/>
          <cell r="T129"/>
          <cell r="U129"/>
          <cell r="V129"/>
          <cell r="W129"/>
          <cell r="X129"/>
          <cell r="Y129"/>
          <cell r="Z129"/>
          <cell r="AA129"/>
          <cell r="AB129"/>
        </row>
        <row r="130">
          <cell r="B130" t="str">
            <v>Ruta 7 Ventas (Mayorista Nor-Oriente)</v>
          </cell>
          <cell r="C130"/>
          <cell r="D130"/>
          <cell r="E130"/>
          <cell r="F130"/>
          <cell r="G130"/>
          <cell r="H130"/>
          <cell r="I130"/>
          <cell r="J130"/>
          <cell r="K130"/>
          <cell r="L130"/>
          <cell r="M130"/>
          <cell r="N130"/>
          <cell r="O130"/>
          <cell r="P130"/>
          <cell r="Q130"/>
          <cell r="R130"/>
          <cell r="S130"/>
          <cell r="T130"/>
          <cell r="U130"/>
          <cell r="V130"/>
          <cell r="W130"/>
          <cell r="X130"/>
          <cell r="Y130"/>
          <cell r="Z130"/>
          <cell r="AA130"/>
          <cell r="AB130"/>
        </row>
        <row r="131">
          <cell r="B131"/>
          <cell r="C131"/>
          <cell r="D131"/>
          <cell r="E131"/>
          <cell r="F131"/>
          <cell r="G131"/>
          <cell r="H131"/>
          <cell r="I131"/>
          <cell r="J131"/>
          <cell r="K131"/>
          <cell r="L131"/>
          <cell r="M131"/>
          <cell r="N131"/>
          <cell r="O131"/>
          <cell r="P131"/>
          <cell r="Q131"/>
          <cell r="R131"/>
          <cell r="S131"/>
          <cell r="T131"/>
          <cell r="U131"/>
          <cell r="V131"/>
          <cell r="W131"/>
          <cell r="X131"/>
          <cell r="Y131"/>
          <cell r="Z131"/>
          <cell r="AA131"/>
          <cell r="AB131"/>
        </row>
        <row r="132">
          <cell r="B132"/>
          <cell r="C132" t="str">
            <v>TOTAL</v>
          </cell>
          <cell r="D132" t="str">
            <v>TOTAL Ruta 7</v>
          </cell>
          <cell r="E132"/>
          <cell r="F132"/>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row>
        <row r="133">
          <cell r="B133"/>
          <cell r="C133"/>
          <cell r="D133"/>
          <cell r="E133"/>
          <cell r="F133"/>
          <cell r="G133"/>
          <cell r="H133"/>
          <cell r="I133"/>
          <cell r="J133"/>
          <cell r="K133"/>
          <cell r="L133"/>
          <cell r="M133"/>
          <cell r="N133"/>
          <cell r="O133"/>
          <cell r="P133"/>
          <cell r="Q133"/>
          <cell r="R133"/>
          <cell r="S133"/>
          <cell r="T133"/>
          <cell r="U133"/>
          <cell r="V133"/>
          <cell r="W133"/>
          <cell r="X133"/>
          <cell r="Y133"/>
          <cell r="Z133"/>
          <cell r="AA133"/>
          <cell r="AB133"/>
        </row>
        <row r="134">
          <cell r="B134"/>
          <cell r="C134"/>
          <cell r="D134" t="str">
            <v>TOTAL SUELDOS VENTAS</v>
          </cell>
          <cell r="E134"/>
          <cell r="F134"/>
          <cell r="G134">
            <v>19243.859999999997</v>
          </cell>
          <cell r="H134">
            <v>61636.42</v>
          </cell>
          <cell r="I134">
            <v>80880.279999999984</v>
          </cell>
          <cell r="J134">
            <v>0</v>
          </cell>
          <cell r="K134">
            <v>0</v>
          </cell>
          <cell r="L134">
            <v>0</v>
          </cell>
          <cell r="M134">
            <v>0</v>
          </cell>
          <cell r="N134">
            <v>0</v>
          </cell>
          <cell r="O134">
            <v>0</v>
          </cell>
          <cell r="P134">
            <v>80880.279999999984</v>
          </cell>
          <cell r="Q134">
            <v>929.49</v>
          </cell>
          <cell r="R134">
            <v>764.86</v>
          </cell>
          <cell r="S134">
            <v>2623.76</v>
          </cell>
          <cell r="T134">
            <v>0</v>
          </cell>
          <cell r="U134">
            <v>67.5</v>
          </cell>
          <cell r="V134">
            <v>0</v>
          </cell>
          <cell r="W134">
            <v>0</v>
          </cell>
          <cell r="X134">
            <v>507</v>
          </cell>
          <cell r="Y134">
            <v>4892.6100000000006</v>
          </cell>
          <cell r="Z134">
            <v>75987.669999999984</v>
          </cell>
          <cell r="AA134">
            <v>33153.97</v>
          </cell>
          <cell r="AB134">
            <v>0</v>
          </cell>
        </row>
        <row r="135">
          <cell r="B135" t="str">
            <v>MERCADEO</v>
          </cell>
          <cell r="C135"/>
          <cell r="D135"/>
          <cell r="E135"/>
          <cell r="F135"/>
          <cell r="G135"/>
          <cell r="H135"/>
          <cell r="I135"/>
          <cell r="J135"/>
          <cell r="K135"/>
          <cell r="L135"/>
          <cell r="M135"/>
          <cell r="N135"/>
          <cell r="O135"/>
          <cell r="P135"/>
          <cell r="Q135"/>
          <cell r="R135"/>
          <cell r="S135"/>
          <cell r="T135"/>
          <cell r="U135"/>
          <cell r="V135"/>
          <cell r="W135"/>
          <cell r="X135"/>
          <cell r="Y135"/>
          <cell r="Z135"/>
          <cell r="AA135"/>
          <cell r="AB135"/>
        </row>
        <row r="136">
          <cell r="B136" t="str">
            <v>Mercadeo Ruta 1</v>
          </cell>
          <cell r="C136"/>
          <cell r="D136"/>
          <cell r="E136"/>
          <cell r="F136"/>
          <cell r="G136"/>
          <cell r="H136"/>
          <cell r="I136"/>
          <cell r="J136"/>
          <cell r="K136"/>
          <cell r="L136"/>
          <cell r="M136"/>
          <cell r="N136"/>
          <cell r="O136"/>
          <cell r="P136"/>
          <cell r="Q136"/>
          <cell r="R136"/>
          <cell r="S136"/>
          <cell r="T136"/>
          <cell r="U136"/>
          <cell r="V136"/>
          <cell r="W136"/>
          <cell r="X136"/>
          <cell r="Y136"/>
          <cell r="Z136"/>
          <cell r="AA136"/>
          <cell r="AB136"/>
        </row>
        <row r="137">
          <cell r="B137" t="str">
            <v>Enriquez Donis Alvaro Cristian</v>
          </cell>
          <cell r="C137" t="str">
            <v>Communitry Manager</v>
          </cell>
          <cell r="D137">
            <v>2375</v>
          </cell>
          <cell r="E137">
            <v>15</v>
          </cell>
          <cell r="F137">
            <v>0</v>
          </cell>
          <cell r="G137">
            <v>2375</v>
          </cell>
          <cell r="H137">
            <v>2738.91</v>
          </cell>
          <cell r="I137">
            <v>5113.91</v>
          </cell>
          <cell r="J137">
            <v>0</v>
          </cell>
          <cell r="K137">
            <v>0</v>
          </cell>
          <cell r="L137">
            <v>0</v>
          </cell>
          <cell r="M137">
            <v>0</v>
          </cell>
          <cell r="N137">
            <v>0</v>
          </cell>
          <cell r="O137">
            <v>0</v>
          </cell>
          <cell r="P137">
            <v>5113.91</v>
          </cell>
          <cell r="Q137">
            <v>114.71</v>
          </cell>
          <cell r="R137">
            <v>49.52</v>
          </cell>
          <cell r="S137">
            <v>0</v>
          </cell>
          <cell r="T137">
            <v>0</v>
          </cell>
          <cell r="U137">
            <v>0</v>
          </cell>
          <cell r="V137">
            <v>0</v>
          </cell>
          <cell r="W137">
            <v>0</v>
          </cell>
          <cell r="X137">
            <v>0</v>
          </cell>
          <cell r="Y137">
            <v>164.23</v>
          </cell>
          <cell r="Z137">
            <v>4949.68</v>
          </cell>
          <cell r="AA137">
            <v>4100.41</v>
          </cell>
          <cell r="AB137">
            <v>0</v>
          </cell>
        </row>
        <row r="138">
          <cell r="B138" t="str">
            <v>Maldonado Robles Diego</v>
          </cell>
          <cell r="C138" t="str">
            <v>Gerente de Mercadeo</v>
          </cell>
          <cell r="D138">
            <v>10375</v>
          </cell>
          <cell r="E138">
            <v>15</v>
          </cell>
          <cell r="F138">
            <v>0</v>
          </cell>
          <cell r="G138">
            <v>10375</v>
          </cell>
          <cell r="H138">
            <v>1625</v>
          </cell>
          <cell r="I138">
            <v>12000</v>
          </cell>
          <cell r="J138">
            <v>0</v>
          </cell>
          <cell r="K138">
            <v>0</v>
          </cell>
          <cell r="L138">
            <v>0</v>
          </cell>
          <cell r="M138">
            <v>0</v>
          </cell>
          <cell r="N138">
            <v>0</v>
          </cell>
          <cell r="O138">
            <v>0</v>
          </cell>
          <cell r="P138">
            <v>12000</v>
          </cell>
          <cell r="Q138">
            <v>501.11</v>
          </cell>
          <cell r="R138">
            <v>500.18</v>
          </cell>
          <cell r="S138">
            <v>0</v>
          </cell>
          <cell r="T138">
            <v>0</v>
          </cell>
          <cell r="U138">
            <v>0</v>
          </cell>
          <cell r="V138">
            <v>0</v>
          </cell>
          <cell r="W138">
            <v>0</v>
          </cell>
          <cell r="X138">
            <v>0</v>
          </cell>
          <cell r="Y138">
            <v>1001.29</v>
          </cell>
          <cell r="Z138">
            <v>10998.71</v>
          </cell>
          <cell r="AA138">
            <v>10998.71</v>
          </cell>
          <cell r="AB138">
            <v>0</v>
          </cell>
        </row>
        <row r="139">
          <cell r="B139"/>
          <cell r="C139" t="str">
            <v>TOTAL</v>
          </cell>
          <cell r="D139"/>
          <cell r="E139"/>
          <cell r="F139"/>
          <cell r="G139">
            <v>12750</v>
          </cell>
          <cell r="H139">
            <v>4363.91</v>
          </cell>
          <cell r="I139">
            <v>17113.91</v>
          </cell>
          <cell r="J139">
            <v>0</v>
          </cell>
          <cell r="K139">
            <v>0</v>
          </cell>
          <cell r="L139">
            <v>0</v>
          </cell>
          <cell r="M139">
            <v>0</v>
          </cell>
          <cell r="N139">
            <v>0</v>
          </cell>
          <cell r="O139">
            <v>0</v>
          </cell>
          <cell r="P139">
            <v>17113.91</v>
          </cell>
          <cell r="Q139">
            <v>615.82000000000005</v>
          </cell>
          <cell r="R139">
            <v>549.70000000000005</v>
          </cell>
          <cell r="S139">
            <v>0</v>
          </cell>
          <cell r="T139">
            <v>0</v>
          </cell>
          <cell r="U139">
            <v>0</v>
          </cell>
          <cell r="V139">
            <v>0</v>
          </cell>
          <cell r="W139">
            <v>0</v>
          </cell>
          <cell r="X139">
            <v>0</v>
          </cell>
          <cell r="Y139">
            <v>1165.52</v>
          </cell>
          <cell r="Z139">
            <v>15948.39</v>
          </cell>
          <cell r="AA139">
            <v>15099.119999999999</v>
          </cell>
          <cell r="AB139">
            <v>0</v>
          </cell>
        </row>
        <row r="140">
          <cell r="B140"/>
          <cell r="C140"/>
          <cell r="D140"/>
          <cell r="E140"/>
          <cell r="F140"/>
          <cell r="G140"/>
          <cell r="H140"/>
          <cell r="I140"/>
          <cell r="J140"/>
          <cell r="K140"/>
          <cell r="L140"/>
          <cell r="M140"/>
          <cell r="N140"/>
          <cell r="O140"/>
          <cell r="P140"/>
          <cell r="Q140"/>
          <cell r="R140"/>
          <cell r="S140"/>
          <cell r="T140"/>
          <cell r="U140"/>
          <cell r="V140"/>
          <cell r="W140"/>
          <cell r="X140"/>
          <cell r="Y140"/>
          <cell r="Z140"/>
          <cell r="AA140"/>
          <cell r="AB140"/>
        </row>
        <row r="141">
          <cell r="B141" t="str">
            <v>BLOQUE LIQUIDOS</v>
          </cell>
          <cell r="C141"/>
          <cell r="D141"/>
          <cell r="E141"/>
          <cell r="F141"/>
          <cell r="G141"/>
          <cell r="H141"/>
          <cell r="I141"/>
          <cell r="J141"/>
          <cell r="K141"/>
          <cell r="L141"/>
          <cell r="M141"/>
          <cell r="N141"/>
          <cell r="O141"/>
          <cell r="P141"/>
          <cell r="Q141"/>
          <cell r="R141"/>
          <cell r="S141"/>
          <cell r="T141"/>
          <cell r="U141"/>
          <cell r="V141"/>
          <cell r="W141"/>
          <cell r="X141"/>
          <cell r="Y141"/>
          <cell r="Z141"/>
          <cell r="AA141"/>
          <cell r="AB141"/>
        </row>
        <row r="142">
          <cell r="B142" t="str">
            <v>Garrido Aguilar Maria Elena</v>
          </cell>
          <cell r="C142" t="str">
            <v>Empacadora de Sobres</v>
          </cell>
          <cell r="D142">
            <v>1479.62</v>
          </cell>
          <cell r="E142">
            <v>15</v>
          </cell>
          <cell r="F142" t="str">
            <v xml:space="preserve"> </v>
          </cell>
          <cell r="G142">
            <v>1479.62</v>
          </cell>
          <cell r="H142">
            <v>125</v>
          </cell>
          <cell r="I142">
            <v>1604.62</v>
          </cell>
          <cell r="J142">
            <v>0</v>
          </cell>
          <cell r="K142">
            <v>0</v>
          </cell>
          <cell r="L142">
            <v>0</v>
          </cell>
          <cell r="M142">
            <v>0</v>
          </cell>
          <cell r="N142">
            <v>0</v>
          </cell>
          <cell r="O142">
            <v>0</v>
          </cell>
          <cell r="P142">
            <v>1604.62</v>
          </cell>
          <cell r="Q142">
            <v>71.47</v>
          </cell>
          <cell r="R142">
            <v>0</v>
          </cell>
          <cell r="S142">
            <v>0</v>
          </cell>
          <cell r="T142">
            <v>0</v>
          </cell>
          <cell r="U142">
            <v>0</v>
          </cell>
          <cell r="V142">
            <v>0</v>
          </cell>
          <cell r="W142">
            <v>240.75</v>
          </cell>
          <cell r="X142">
            <v>0</v>
          </cell>
          <cell r="Y142">
            <v>312.22000000000003</v>
          </cell>
          <cell r="Z142">
            <v>1292.3999999999999</v>
          </cell>
          <cell r="AA142">
            <v>1292.3999999999999</v>
          </cell>
          <cell r="AB142">
            <v>0</v>
          </cell>
        </row>
        <row r="143">
          <cell r="B143" t="str">
            <v>Boror López Mayra Guadalupe</v>
          </cell>
          <cell r="C143" t="str">
            <v>Empacadora</v>
          </cell>
          <cell r="D143">
            <v>1479.62</v>
          </cell>
          <cell r="E143">
            <v>15</v>
          </cell>
          <cell r="F143">
            <v>0</v>
          </cell>
          <cell r="G143">
            <v>1479.62</v>
          </cell>
          <cell r="H143">
            <v>125</v>
          </cell>
          <cell r="I143">
            <v>1604.62</v>
          </cell>
          <cell r="J143">
            <v>0</v>
          </cell>
          <cell r="K143">
            <v>0</v>
          </cell>
          <cell r="L143">
            <v>0</v>
          </cell>
          <cell r="M143">
            <v>0</v>
          </cell>
          <cell r="N143">
            <v>0</v>
          </cell>
          <cell r="O143">
            <v>0</v>
          </cell>
          <cell r="P143">
            <v>1604.62</v>
          </cell>
          <cell r="Q143">
            <v>71.47</v>
          </cell>
          <cell r="R143">
            <v>0</v>
          </cell>
          <cell r="S143">
            <v>539.85</v>
          </cell>
          <cell r="T143">
            <v>0</v>
          </cell>
          <cell r="U143">
            <v>0</v>
          </cell>
          <cell r="V143">
            <v>0</v>
          </cell>
          <cell r="W143">
            <v>200</v>
          </cell>
          <cell r="X143">
            <v>0</v>
          </cell>
          <cell r="Y143">
            <v>811.32</v>
          </cell>
          <cell r="Z143">
            <v>793.29999999999984</v>
          </cell>
          <cell r="AA143">
            <v>793.29999999999984</v>
          </cell>
          <cell r="AB143">
            <v>0</v>
          </cell>
        </row>
        <row r="144">
          <cell r="B144" t="str">
            <v>Gomez Martinez Sandor Felipe</v>
          </cell>
          <cell r="C144" t="str">
            <v>Operador</v>
          </cell>
          <cell r="D144">
            <v>1479.62</v>
          </cell>
          <cell r="E144">
            <v>15</v>
          </cell>
          <cell r="F144">
            <v>0</v>
          </cell>
          <cell r="G144">
            <v>1479.62</v>
          </cell>
          <cell r="H144">
            <v>125</v>
          </cell>
          <cell r="I144">
            <v>1604.62</v>
          </cell>
          <cell r="J144">
            <v>0</v>
          </cell>
          <cell r="K144">
            <v>0</v>
          </cell>
          <cell r="L144">
            <v>0</v>
          </cell>
          <cell r="M144">
            <v>0</v>
          </cell>
          <cell r="N144">
            <v>0</v>
          </cell>
          <cell r="O144">
            <v>0</v>
          </cell>
          <cell r="P144">
            <v>1604.62</v>
          </cell>
          <cell r="Q144">
            <v>71.47</v>
          </cell>
          <cell r="R144">
            <v>0</v>
          </cell>
          <cell r="S144">
            <v>671.07</v>
          </cell>
          <cell r="T144">
            <v>0</v>
          </cell>
          <cell r="U144">
            <v>0</v>
          </cell>
          <cell r="V144">
            <v>31.67</v>
          </cell>
          <cell r="W144">
            <v>366</v>
          </cell>
          <cell r="X144">
            <v>0</v>
          </cell>
          <cell r="Y144">
            <v>1140.21</v>
          </cell>
          <cell r="Z144">
            <v>464.40999999999985</v>
          </cell>
          <cell r="AA144">
            <v>464.40999999999985</v>
          </cell>
          <cell r="AB144">
            <v>0</v>
          </cell>
        </row>
        <row r="145">
          <cell r="B145" t="str">
            <v>Salvatierra de Leon Jakeline Marisela</v>
          </cell>
          <cell r="C145" t="str">
            <v>Empacadora</v>
          </cell>
          <cell r="D145">
            <v>1479.62</v>
          </cell>
          <cell r="E145">
            <v>15</v>
          </cell>
          <cell r="F145">
            <v>0</v>
          </cell>
          <cell r="G145">
            <v>1479.62</v>
          </cell>
          <cell r="H145">
            <v>125</v>
          </cell>
          <cell r="I145">
            <v>1604.62</v>
          </cell>
          <cell r="J145">
            <v>0</v>
          </cell>
          <cell r="K145">
            <v>0</v>
          </cell>
          <cell r="L145">
            <v>0</v>
          </cell>
          <cell r="M145">
            <v>0</v>
          </cell>
          <cell r="N145">
            <v>0</v>
          </cell>
          <cell r="O145">
            <v>0</v>
          </cell>
          <cell r="P145">
            <v>1604.62</v>
          </cell>
          <cell r="Q145">
            <v>71.47</v>
          </cell>
          <cell r="R145">
            <v>0</v>
          </cell>
          <cell r="S145">
            <v>0</v>
          </cell>
          <cell r="T145">
            <v>0</v>
          </cell>
          <cell r="U145">
            <v>0</v>
          </cell>
          <cell r="V145">
            <v>0</v>
          </cell>
          <cell r="W145">
            <v>325.5</v>
          </cell>
          <cell r="X145">
            <v>0</v>
          </cell>
          <cell r="Y145">
            <v>396.97</v>
          </cell>
          <cell r="Z145">
            <v>1207.6499999999999</v>
          </cell>
          <cell r="AA145">
            <v>1207.6499999999999</v>
          </cell>
          <cell r="AB145">
            <v>0</v>
          </cell>
        </row>
        <row r="146">
          <cell r="B146" t="str">
            <v>Tot Paau David Antonio</v>
          </cell>
          <cell r="C146" t="str">
            <v>Operario Liquidos</v>
          </cell>
          <cell r="D146">
            <v>1499.81</v>
          </cell>
          <cell r="E146">
            <v>15</v>
          </cell>
          <cell r="F146">
            <v>0</v>
          </cell>
          <cell r="G146">
            <v>1499.81</v>
          </cell>
          <cell r="H146">
            <v>225</v>
          </cell>
          <cell r="I146">
            <v>1724.81</v>
          </cell>
          <cell r="J146">
            <v>0</v>
          </cell>
          <cell r="K146">
            <v>0</v>
          </cell>
          <cell r="L146">
            <v>0</v>
          </cell>
          <cell r="M146">
            <v>0</v>
          </cell>
          <cell r="N146">
            <v>0</v>
          </cell>
          <cell r="O146">
            <v>0</v>
          </cell>
          <cell r="P146">
            <v>1724.81</v>
          </cell>
          <cell r="Q146">
            <v>72.44</v>
          </cell>
          <cell r="R146">
            <v>0</v>
          </cell>
          <cell r="S146">
            <v>374.46</v>
          </cell>
          <cell r="T146">
            <v>0</v>
          </cell>
          <cell r="U146">
            <v>0</v>
          </cell>
          <cell r="V146">
            <v>0</v>
          </cell>
          <cell r="W146">
            <v>0</v>
          </cell>
          <cell r="X146">
            <v>0</v>
          </cell>
          <cell r="Y146">
            <v>446.9</v>
          </cell>
          <cell r="Z146">
            <v>1277.9099999999999</v>
          </cell>
          <cell r="AA146">
            <v>1277.9099999999999</v>
          </cell>
          <cell r="AB146">
            <v>0</v>
          </cell>
        </row>
        <row r="147">
          <cell r="B147" t="str">
            <v>Ramirez Vasquez Audelio</v>
          </cell>
          <cell r="C147" t="str">
            <v xml:space="preserve">Operario  </v>
          </cell>
          <cell r="D147">
            <v>1479.62</v>
          </cell>
          <cell r="E147">
            <v>15</v>
          </cell>
          <cell r="F147">
            <v>0</v>
          </cell>
          <cell r="G147">
            <v>1479.62</v>
          </cell>
          <cell r="H147">
            <v>125</v>
          </cell>
          <cell r="I147">
            <v>1604.62</v>
          </cell>
          <cell r="J147">
            <v>0</v>
          </cell>
          <cell r="K147">
            <v>0</v>
          </cell>
          <cell r="L147">
            <v>0</v>
          </cell>
          <cell r="M147">
            <v>0</v>
          </cell>
          <cell r="N147">
            <v>0</v>
          </cell>
          <cell r="O147">
            <v>0</v>
          </cell>
          <cell r="P147">
            <v>1604.62</v>
          </cell>
          <cell r="Q147">
            <v>71.47</v>
          </cell>
          <cell r="R147">
            <v>0</v>
          </cell>
          <cell r="S147">
            <v>0</v>
          </cell>
          <cell r="T147">
            <v>0</v>
          </cell>
          <cell r="U147">
            <v>0</v>
          </cell>
          <cell r="V147">
            <v>31.67</v>
          </cell>
          <cell r="W147">
            <v>225</v>
          </cell>
          <cell r="X147">
            <v>106.75</v>
          </cell>
          <cell r="Y147">
            <v>434.89</v>
          </cell>
          <cell r="Z147">
            <v>1169.73</v>
          </cell>
          <cell r="AA147">
            <v>1169.73</v>
          </cell>
          <cell r="AB147">
            <v>0</v>
          </cell>
        </row>
        <row r="148">
          <cell r="B148" t="str">
            <v>Cisneros Lopez Marvin Daniel</v>
          </cell>
          <cell r="C148" t="str">
            <v>Operario  Sobres</v>
          </cell>
          <cell r="D148">
            <v>0</v>
          </cell>
          <cell r="E148">
            <v>0</v>
          </cell>
          <cell r="F148" t="str">
            <v>Suspendido del 26 de agosto al 27 de sep debe 2 dias aun  SUSP DEL 1 DE 10 AL 18/10 ALTA EL 19/10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row>
        <row r="149">
          <cell r="B149" t="str">
            <v>Xol Botzoc Hermelindo</v>
          </cell>
          <cell r="C149" t="str">
            <v>Operario Liquidos</v>
          </cell>
          <cell r="D149">
            <v>1479.62</v>
          </cell>
          <cell r="E149">
            <v>15</v>
          </cell>
          <cell r="F149">
            <v>0</v>
          </cell>
          <cell r="G149">
            <v>1479.62</v>
          </cell>
          <cell r="H149">
            <v>125</v>
          </cell>
          <cell r="I149">
            <v>1604.62</v>
          </cell>
          <cell r="J149">
            <v>0</v>
          </cell>
          <cell r="K149">
            <v>0</v>
          </cell>
          <cell r="L149">
            <v>0</v>
          </cell>
          <cell r="M149">
            <v>0</v>
          </cell>
          <cell r="N149">
            <v>0</v>
          </cell>
          <cell r="O149">
            <v>0</v>
          </cell>
          <cell r="P149">
            <v>1604.62</v>
          </cell>
          <cell r="Q149">
            <v>71.47</v>
          </cell>
          <cell r="R149">
            <v>0</v>
          </cell>
          <cell r="S149">
            <v>0</v>
          </cell>
          <cell r="T149">
            <v>0</v>
          </cell>
          <cell r="U149">
            <v>0</v>
          </cell>
          <cell r="V149">
            <v>31.67</v>
          </cell>
          <cell r="W149">
            <v>125</v>
          </cell>
          <cell r="X149">
            <v>106.75</v>
          </cell>
          <cell r="Y149">
            <v>334.89</v>
          </cell>
          <cell r="Z149">
            <v>1269.73</v>
          </cell>
          <cell r="AA149">
            <v>1269.73</v>
          </cell>
          <cell r="AB149">
            <v>0</v>
          </cell>
        </row>
        <row r="150">
          <cell r="B150" t="str">
            <v>Gregorio Rodríguez Sulma Maribel</v>
          </cell>
          <cell r="C150" t="str">
            <v>Empacadora Liquidos</v>
          </cell>
          <cell r="D150">
            <v>1479.62</v>
          </cell>
          <cell r="E150">
            <v>15</v>
          </cell>
          <cell r="F150">
            <v>0</v>
          </cell>
          <cell r="G150">
            <v>1479.62</v>
          </cell>
          <cell r="H150">
            <v>125</v>
          </cell>
          <cell r="I150">
            <v>1604.62</v>
          </cell>
          <cell r="J150">
            <v>0</v>
          </cell>
          <cell r="K150">
            <v>0</v>
          </cell>
          <cell r="L150">
            <v>0</v>
          </cell>
          <cell r="M150">
            <v>0</v>
          </cell>
          <cell r="N150">
            <v>0</v>
          </cell>
          <cell r="O150">
            <v>0</v>
          </cell>
          <cell r="P150">
            <v>1604.62</v>
          </cell>
          <cell r="Q150">
            <v>71.47</v>
          </cell>
          <cell r="R150">
            <v>0</v>
          </cell>
          <cell r="S150">
            <v>0</v>
          </cell>
          <cell r="T150">
            <v>0</v>
          </cell>
          <cell r="U150">
            <v>0</v>
          </cell>
          <cell r="V150">
            <v>0</v>
          </cell>
          <cell r="W150">
            <v>0</v>
          </cell>
          <cell r="X150">
            <v>0</v>
          </cell>
          <cell r="Y150">
            <v>71.47</v>
          </cell>
          <cell r="Z150">
            <v>1533.1499999999999</v>
          </cell>
          <cell r="AA150">
            <v>1533.1499999999999</v>
          </cell>
          <cell r="AB150">
            <v>0</v>
          </cell>
        </row>
        <row r="151">
          <cell r="B151" t="str">
            <v>Velásquez  López Claudia Carolina</v>
          </cell>
          <cell r="C151" t="str">
            <v>Empacadora Liquidos</v>
          </cell>
          <cell r="D151">
            <v>1479.62</v>
          </cell>
          <cell r="E151">
            <v>15</v>
          </cell>
          <cell r="F151">
            <v>0</v>
          </cell>
          <cell r="G151">
            <v>1479.62</v>
          </cell>
          <cell r="H151">
            <v>125</v>
          </cell>
          <cell r="I151">
            <v>1604.62</v>
          </cell>
          <cell r="J151">
            <v>0</v>
          </cell>
          <cell r="K151">
            <v>0</v>
          </cell>
          <cell r="L151">
            <v>0</v>
          </cell>
          <cell r="M151">
            <v>0</v>
          </cell>
          <cell r="N151">
            <v>0</v>
          </cell>
          <cell r="O151">
            <v>0</v>
          </cell>
          <cell r="P151">
            <v>1604.62</v>
          </cell>
          <cell r="Q151">
            <v>71.47</v>
          </cell>
          <cell r="R151">
            <v>0</v>
          </cell>
          <cell r="S151">
            <v>0</v>
          </cell>
          <cell r="T151">
            <v>0</v>
          </cell>
          <cell r="U151">
            <v>0</v>
          </cell>
          <cell r="V151">
            <v>0</v>
          </cell>
          <cell r="W151">
            <v>275.5</v>
          </cell>
          <cell r="X151">
            <v>0</v>
          </cell>
          <cell r="Y151">
            <v>346.97</v>
          </cell>
          <cell r="Z151">
            <v>1257.6499999999999</v>
          </cell>
          <cell r="AA151">
            <v>1257.6499999999999</v>
          </cell>
          <cell r="AB151">
            <v>0</v>
          </cell>
        </row>
        <row r="152">
          <cell r="B152" t="str">
            <v>Ixcoy de Quevedo Blanca Francisca</v>
          </cell>
          <cell r="C152" t="str">
            <v>Empacadora Liquidos</v>
          </cell>
          <cell r="D152">
            <v>1479.62</v>
          </cell>
          <cell r="E152">
            <v>15</v>
          </cell>
          <cell r="F152" t="str">
            <v xml:space="preserve"> </v>
          </cell>
          <cell r="G152">
            <v>1479.62</v>
          </cell>
          <cell r="H152">
            <v>125</v>
          </cell>
          <cell r="I152">
            <v>1604.62</v>
          </cell>
          <cell r="J152">
            <v>0</v>
          </cell>
          <cell r="K152">
            <v>0</v>
          </cell>
          <cell r="L152">
            <v>0</v>
          </cell>
          <cell r="M152">
            <v>0</v>
          </cell>
          <cell r="N152">
            <v>0</v>
          </cell>
          <cell r="O152">
            <v>0</v>
          </cell>
          <cell r="P152">
            <v>1604.62</v>
          </cell>
          <cell r="Q152">
            <v>71.47</v>
          </cell>
          <cell r="R152">
            <v>0</v>
          </cell>
          <cell r="S152">
            <v>0</v>
          </cell>
          <cell r="T152">
            <v>0</v>
          </cell>
          <cell r="U152">
            <v>0</v>
          </cell>
          <cell r="V152">
            <v>0</v>
          </cell>
          <cell r="W152">
            <v>0</v>
          </cell>
          <cell r="X152">
            <v>0</v>
          </cell>
          <cell r="Y152">
            <v>71.47</v>
          </cell>
          <cell r="Z152">
            <v>1533.1499999999999</v>
          </cell>
          <cell r="AA152">
            <v>1533.1499999999999</v>
          </cell>
          <cell r="AB152">
            <v>0</v>
          </cell>
        </row>
        <row r="153">
          <cell r="B153" t="str">
            <v>Toz Putul Martin</v>
          </cell>
          <cell r="C153" t="str">
            <v>Operario  Liquidos</v>
          </cell>
          <cell r="D153">
            <v>1479.62</v>
          </cell>
          <cell r="E153">
            <v>15</v>
          </cell>
          <cell r="F153">
            <v>0</v>
          </cell>
          <cell r="G153">
            <v>1479.62</v>
          </cell>
          <cell r="H153">
            <v>125</v>
          </cell>
          <cell r="I153">
            <v>1604.62</v>
          </cell>
          <cell r="J153">
            <v>0</v>
          </cell>
          <cell r="K153">
            <v>0</v>
          </cell>
          <cell r="L153">
            <v>0</v>
          </cell>
          <cell r="M153">
            <v>0</v>
          </cell>
          <cell r="N153">
            <v>0</v>
          </cell>
          <cell r="O153">
            <v>0</v>
          </cell>
          <cell r="P153">
            <v>1604.62</v>
          </cell>
          <cell r="Q153">
            <v>71.47</v>
          </cell>
          <cell r="R153">
            <v>0</v>
          </cell>
          <cell r="S153">
            <v>311.7</v>
          </cell>
          <cell r="T153">
            <v>0</v>
          </cell>
          <cell r="U153">
            <v>0</v>
          </cell>
          <cell r="V153">
            <v>31.67</v>
          </cell>
          <cell r="W153">
            <v>0</v>
          </cell>
          <cell r="X153">
            <v>106.75</v>
          </cell>
          <cell r="Y153">
            <v>521.58999999999992</v>
          </cell>
          <cell r="Z153">
            <v>1083.03</v>
          </cell>
          <cell r="AA153">
            <v>1083.03</v>
          </cell>
          <cell r="AB153">
            <v>0</v>
          </cell>
        </row>
        <row r="154">
          <cell r="B154"/>
          <cell r="C154" t="str">
            <v>TOTAL</v>
          </cell>
          <cell r="D154" t="str">
            <v>TOTAL</v>
          </cell>
          <cell r="E154"/>
          <cell r="F154"/>
          <cell r="G154">
            <v>16296.009999999995</v>
          </cell>
          <cell r="H154">
            <v>1475</v>
          </cell>
          <cell r="I154">
            <v>17771.009999999995</v>
          </cell>
          <cell r="J154">
            <v>0</v>
          </cell>
          <cell r="K154">
            <v>0</v>
          </cell>
          <cell r="L154">
            <v>0</v>
          </cell>
          <cell r="M154">
            <v>0</v>
          </cell>
          <cell r="N154">
            <v>0</v>
          </cell>
          <cell r="O154">
            <v>0</v>
          </cell>
          <cell r="P154">
            <v>17771.009999999995</v>
          </cell>
          <cell r="Q154">
            <v>787.1400000000001</v>
          </cell>
          <cell r="R154">
            <v>0</v>
          </cell>
          <cell r="S154">
            <v>1897.0800000000002</v>
          </cell>
          <cell r="T154">
            <v>0</v>
          </cell>
          <cell r="U154">
            <v>0</v>
          </cell>
          <cell r="V154">
            <v>126.68</v>
          </cell>
          <cell r="W154">
            <v>1757.75</v>
          </cell>
          <cell r="X154">
            <v>320.25</v>
          </cell>
          <cell r="Y154">
            <v>4888.9000000000005</v>
          </cell>
          <cell r="Z154">
            <v>12882.109999999999</v>
          </cell>
          <cell r="AA154">
            <v>12882.109999999999</v>
          </cell>
          <cell r="AB154">
            <v>0</v>
          </cell>
        </row>
        <row r="155">
          <cell r="B155"/>
          <cell r="C155"/>
          <cell r="D155"/>
          <cell r="E155"/>
          <cell r="F155"/>
          <cell r="G155"/>
          <cell r="H155"/>
          <cell r="I155"/>
          <cell r="J155"/>
          <cell r="K155"/>
          <cell r="L155"/>
          <cell r="M155"/>
          <cell r="N155"/>
          <cell r="O155"/>
          <cell r="P155"/>
          <cell r="Q155"/>
          <cell r="R155"/>
          <cell r="S155"/>
          <cell r="T155"/>
          <cell r="U155"/>
          <cell r="V155"/>
          <cell r="W155"/>
          <cell r="X155"/>
          <cell r="Y155"/>
          <cell r="Z155"/>
          <cell r="AA155"/>
          <cell r="AB155"/>
        </row>
        <row r="156">
          <cell r="B156" t="str">
            <v>LIQUIDOS MERCADEO</v>
          </cell>
          <cell r="C156"/>
          <cell r="D156"/>
          <cell r="E156"/>
          <cell r="F156"/>
          <cell r="G156"/>
          <cell r="H156"/>
          <cell r="I156"/>
          <cell r="J156"/>
          <cell r="K156"/>
          <cell r="L156"/>
          <cell r="M156"/>
          <cell r="N156"/>
          <cell r="O156"/>
          <cell r="P156"/>
          <cell r="Q156"/>
          <cell r="R156"/>
          <cell r="S156"/>
          <cell r="T156"/>
          <cell r="U156"/>
          <cell r="V156"/>
          <cell r="W156"/>
          <cell r="X156"/>
          <cell r="Y156"/>
          <cell r="Z156"/>
          <cell r="AA156"/>
          <cell r="AB156"/>
        </row>
        <row r="157">
          <cell r="B157"/>
          <cell r="C157" t="str">
            <v xml:space="preserve"> </v>
          </cell>
          <cell r="D157"/>
          <cell r="E157"/>
          <cell r="F157" t="str">
            <v xml:space="preserve"> </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row>
        <row r="158">
          <cell r="B158"/>
          <cell r="C158" t="str">
            <v>TOTAL</v>
          </cell>
          <cell r="D158" t="str">
            <v>TOTAL</v>
          </cell>
          <cell r="E158"/>
          <cell r="F158"/>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row>
        <row r="159">
          <cell r="B159" t="str">
            <v>LIQUIDOS VENTAS</v>
          </cell>
          <cell r="C159"/>
          <cell r="D159"/>
          <cell r="E159"/>
          <cell r="F159"/>
          <cell r="G159"/>
          <cell r="H159"/>
          <cell r="I159"/>
          <cell r="J159"/>
          <cell r="K159"/>
          <cell r="L159"/>
          <cell r="M159"/>
          <cell r="N159"/>
          <cell r="O159"/>
          <cell r="P159"/>
          <cell r="Q159"/>
          <cell r="R159"/>
          <cell r="S159"/>
          <cell r="T159"/>
          <cell r="U159"/>
          <cell r="V159"/>
          <cell r="W159"/>
          <cell r="X159"/>
          <cell r="Y159"/>
          <cell r="Z159"/>
          <cell r="AA159"/>
          <cell r="AB159"/>
        </row>
        <row r="160">
          <cell r="B160" t="str">
            <v>Huertas Valenzuela Sergio Antonio</v>
          </cell>
          <cell r="C160" t="str">
            <v>Desarrollador de Vta consumidor</v>
          </cell>
          <cell r="D160">
            <v>1500</v>
          </cell>
          <cell r="E160">
            <v>15</v>
          </cell>
          <cell r="F160">
            <v>0</v>
          </cell>
          <cell r="G160">
            <v>1500</v>
          </cell>
          <cell r="H160">
            <v>12723.93</v>
          </cell>
          <cell r="I160">
            <v>14223.93</v>
          </cell>
          <cell r="J160">
            <v>0</v>
          </cell>
          <cell r="K160">
            <v>0</v>
          </cell>
          <cell r="L160">
            <v>0</v>
          </cell>
          <cell r="M160">
            <v>0</v>
          </cell>
          <cell r="N160">
            <v>0</v>
          </cell>
          <cell r="O160">
            <v>0</v>
          </cell>
          <cell r="P160">
            <v>14223.93</v>
          </cell>
          <cell r="Q160">
            <v>72.45</v>
          </cell>
          <cell r="R160">
            <v>50.09</v>
          </cell>
          <cell r="S160">
            <v>0</v>
          </cell>
          <cell r="T160">
            <v>0</v>
          </cell>
          <cell r="U160">
            <v>0</v>
          </cell>
          <cell r="V160">
            <v>0</v>
          </cell>
          <cell r="W160">
            <v>0</v>
          </cell>
          <cell r="X160">
            <v>62.5</v>
          </cell>
          <cell r="Y160">
            <v>185.04000000000002</v>
          </cell>
          <cell r="Z160">
            <v>14038.89</v>
          </cell>
          <cell r="AA160">
            <v>5953.2100000000009</v>
          </cell>
          <cell r="AB160">
            <v>0</v>
          </cell>
        </row>
        <row r="161">
          <cell r="B161" t="str">
            <v>España Arana Ruth Emilia</v>
          </cell>
          <cell r="C161" t="str">
            <v>Desarrollador de Vta consumidor</v>
          </cell>
          <cell r="D161">
            <v>1500</v>
          </cell>
          <cell r="E161">
            <v>15</v>
          </cell>
          <cell r="F161">
            <v>0</v>
          </cell>
          <cell r="G161">
            <v>1500</v>
          </cell>
          <cell r="H161">
            <v>3916.55</v>
          </cell>
          <cell r="I161">
            <v>5416.55</v>
          </cell>
          <cell r="J161">
            <v>0</v>
          </cell>
          <cell r="K161">
            <v>0</v>
          </cell>
          <cell r="L161">
            <v>0</v>
          </cell>
          <cell r="M161">
            <v>0</v>
          </cell>
          <cell r="N161">
            <v>0</v>
          </cell>
          <cell r="O161">
            <v>0</v>
          </cell>
          <cell r="P161">
            <v>5416.55</v>
          </cell>
          <cell r="Q161">
            <v>72.45</v>
          </cell>
          <cell r="R161">
            <v>0</v>
          </cell>
          <cell r="S161">
            <v>0</v>
          </cell>
          <cell r="T161">
            <v>0</v>
          </cell>
          <cell r="U161">
            <v>0</v>
          </cell>
          <cell r="V161">
            <v>0</v>
          </cell>
          <cell r="W161">
            <v>0</v>
          </cell>
          <cell r="X161">
            <v>550</v>
          </cell>
          <cell r="Y161">
            <v>622.45000000000005</v>
          </cell>
          <cell r="Z161">
            <v>4794.1000000000004</v>
          </cell>
          <cell r="AA161">
            <v>3090.0600000000004</v>
          </cell>
          <cell r="AB161">
            <v>0</v>
          </cell>
        </row>
        <row r="162">
          <cell r="B162"/>
          <cell r="C162" t="str">
            <v>TOTAL</v>
          </cell>
          <cell r="D162" t="str">
            <v>TOTAL</v>
          </cell>
          <cell r="E162"/>
          <cell r="F162"/>
          <cell r="G162">
            <v>3000</v>
          </cell>
          <cell r="H162">
            <v>16640.48</v>
          </cell>
          <cell r="I162">
            <v>19640.48</v>
          </cell>
          <cell r="J162">
            <v>0</v>
          </cell>
          <cell r="K162">
            <v>0</v>
          </cell>
          <cell r="L162">
            <v>0</v>
          </cell>
          <cell r="M162">
            <v>0</v>
          </cell>
          <cell r="N162">
            <v>0</v>
          </cell>
          <cell r="O162">
            <v>0</v>
          </cell>
          <cell r="P162">
            <v>19640.48</v>
          </cell>
          <cell r="Q162">
            <v>144.9</v>
          </cell>
          <cell r="R162">
            <v>50.09</v>
          </cell>
          <cell r="S162">
            <v>0</v>
          </cell>
          <cell r="T162">
            <v>0</v>
          </cell>
          <cell r="U162">
            <v>0</v>
          </cell>
          <cell r="V162">
            <v>0</v>
          </cell>
          <cell r="W162">
            <v>0</v>
          </cell>
          <cell r="X162">
            <v>612.5</v>
          </cell>
          <cell r="Y162">
            <v>807.49</v>
          </cell>
          <cell r="Z162">
            <v>18832.989999999998</v>
          </cell>
          <cell r="AA162">
            <v>9043.27</v>
          </cell>
          <cell r="AB162">
            <v>0</v>
          </cell>
        </row>
        <row r="163">
          <cell r="B163"/>
          <cell r="C163"/>
          <cell r="D163"/>
          <cell r="E163"/>
          <cell r="F163"/>
          <cell r="G163"/>
          <cell r="H163"/>
          <cell r="I163"/>
          <cell r="J163"/>
          <cell r="K163"/>
          <cell r="L163"/>
          <cell r="M163"/>
          <cell r="N163"/>
          <cell r="O163"/>
          <cell r="P163"/>
          <cell r="Q163"/>
          <cell r="R163"/>
          <cell r="S163"/>
          <cell r="T163"/>
          <cell r="U163"/>
          <cell r="V163"/>
          <cell r="W163"/>
          <cell r="X163"/>
          <cell r="Y163"/>
          <cell r="Z163"/>
          <cell r="AA163"/>
          <cell r="AB163"/>
        </row>
        <row r="164">
          <cell r="B164"/>
          <cell r="C164" t="str">
            <v>TOTAL LIQUIDOS</v>
          </cell>
          <cell r="D164">
            <v>122524.17999999996</v>
          </cell>
          <cell r="E164"/>
          <cell r="F164"/>
          <cell r="G164">
            <v>19296.009999999995</v>
          </cell>
          <cell r="H164">
            <v>18115.48</v>
          </cell>
          <cell r="I164">
            <v>37411.489999999991</v>
          </cell>
          <cell r="J164">
            <v>0</v>
          </cell>
          <cell r="K164">
            <v>0</v>
          </cell>
          <cell r="L164">
            <v>0</v>
          </cell>
          <cell r="M164">
            <v>0</v>
          </cell>
          <cell r="N164">
            <v>0</v>
          </cell>
          <cell r="O164">
            <v>0</v>
          </cell>
          <cell r="P164">
            <v>37411.489999999991</v>
          </cell>
          <cell r="Q164">
            <v>932.04000000000008</v>
          </cell>
          <cell r="R164">
            <v>50.09</v>
          </cell>
          <cell r="S164">
            <v>1897.0800000000002</v>
          </cell>
          <cell r="T164">
            <v>0</v>
          </cell>
          <cell r="U164">
            <v>0</v>
          </cell>
          <cell r="V164">
            <v>126.68</v>
          </cell>
          <cell r="W164">
            <v>1757.75</v>
          </cell>
          <cell r="X164">
            <v>932.75</v>
          </cell>
          <cell r="Y164">
            <v>5696.39</v>
          </cell>
          <cell r="Z164">
            <v>31715.1</v>
          </cell>
          <cell r="AA164">
            <v>21925.379999999997</v>
          </cell>
          <cell r="AB164">
            <v>0</v>
          </cell>
        </row>
        <row r="165">
          <cell r="B165"/>
          <cell r="C165"/>
          <cell r="D165"/>
          <cell r="E165"/>
          <cell r="F165"/>
          <cell r="G165"/>
          <cell r="H165"/>
          <cell r="I165"/>
          <cell r="J165"/>
          <cell r="K165"/>
          <cell r="L165"/>
          <cell r="M165"/>
          <cell r="N165"/>
          <cell r="O165"/>
          <cell r="P165"/>
          <cell r="Q165"/>
          <cell r="R165"/>
          <cell r="S165"/>
          <cell r="T165"/>
          <cell r="U165"/>
          <cell r="V165"/>
          <cell r="W165"/>
          <cell r="X165"/>
          <cell r="Y165"/>
          <cell r="Z165"/>
          <cell r="AA165"/>
          <cell r="AB165"/>
        </row>
        <row r="166">
          <cell r="B166"/>
          <cell r="C166"/>
          <cell r="D166"/>
          <cell r="E166"/>
          <cell r="F166"/>
          <cell r="G166"/>
          <cell r="H166"/>
          <cell r="I166"/>
          <cell r="J166"/>
          <cell r="K166"/>
          <cell r="L166"/>
          <cell r="M166"/>
          <cell r="N166"/>
          <cell r="O166"/>
          <cell r="P166"/>
          <cell r="Q166"/>
          <cell r="R166"/>
          <cell r="S166"/>
          <cell r="T166"/>
          <cell r="U166"/>
          <cell r="V166"/>
          <cell r="W166"/>
          <cell r="X166"/>
          <cell r="Y166"/>
          <cell r="Z166"/>
          <cell r="AA166"/>
          <cell r="AB166"/>
        </row>
        <row r="167">
          <cell r="B167"/>
          <cell r="C167"/>
          <cell r="D167" t="str">
            <v xml:space="preserve"> </v>
          </cell>
          <cell r="E167"/>
          <cell r="F167"/>
          <cell r="G167">
            <v>139733.41999999998</v>
          </cell>
          <cell r="H167">
            <v>106100.54</v>
          </cell>
          <cell r="I167">
            <v>245833.95999999996</v>
          </cell>
          <cell r="J167">
            <v>0</v>
          </cell>
          <cell r="K167">
            <v>0</v>
          </cell>
          <cell r="L167">
            <v>0</v>
          </cell>
          <cell r="M167">
            <v>0</v>
          </cell>
          <cell r="N167">
            <v>0</v>
          </cell>
          <cell r="O167">
            <v>562.59</v>
          </cell>
          <cell r="P167">
            <v>246396.54999999996</v>
          </cell>
          <cell r="Q167">
            <v>6299.47</v>
          </cell>
          <cell r="R167">
            <v>2994.3800000000006</v>
          </cell>
          <cell r="S167">
            <v>7633.76</v>
          </cell>
          <cell r="T167">
            <v>0</v>
          </cell>
          <cell r="U167">
            <v>67.5</v>
          </cell>
          <cell r="V167">
            <v>348.37000000000006</v>
          </cell>
          <cell r="W167">
            <v>5167.5</v>
          </cell>
          <cell r="X167">
            <v>3338.51</v>
          </cell>
          <cell r="Y167">
            <v>25849.489999999998</v>
          </cell>
          <cell r="Z167">
            <v>220547.05999999997</v>
          </cell>
          <cell r="AA167">
            <v>167074.37</v>
          </cell>
          <cell r="AB167">
            <v>0</v>
          </cell>
        </row>
      </sheetData>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indexed="57"/>
  </sheetPr>
  <dimension ref="A1:JA562"/>
  <sheetViews>
    <sheetView showGridLines="0" tabSelected="1" zoomScale="80" zoomScaleNormal="80" workbookViewId="0">
      <pane xSplit="3" ySplit="7" topLeftCell="D28" activePane="bottomRight" state="frozen"/>
      <selection activeCell="H25" sqref="H25"/>
      <selection pane="topRight" activeCell="H25" sqref="H25"/>
      <selection pane="bottomLeft" activeCell="H25" sqref="H25"/>
      <selection pane="bottomRight" activeCell="O38" sqref="O38"/>
    </sheetView>
  </sheetViews>
  <sheetFormatPr baseColWidth="10" defaultColWidth="11.42578125" defaultRowHeight="11.25" outlineLevelRow="1" outlineLevelCol="2"/>
  <cols>
    <col min="1" max="1" width="7.140625" style="1324" customWidth="1"/>
    <col min="2" max="2" width="34.85546875" style="1342" customWidth="1"/>
    <col min="3" max="3" width="32.5703125" style="1324" customWidth="1"/>
    <col min="4" max="4" width="13.85546875" style="1331" customWidth="1"/>
    <col min="5" max="5" width="11.28515625" style="1343" customWidth="1" outlineLevel="1"/>
    <col min="6" max="6" width="13.42578125" style="1343" customWidth="1" outlineLevel="1"/>
    <col min="7" max="7" width="10.7109375" style="1343" customWidth="1" outlineLevel="1"/>
    <col min="8" max="8" width="9.7109375" style="1343" customWidth="1" outlineLevel="1"/>
    <col min="9" max="11" width="11.140625" style="1344" customWidth="1" outlineLevel="1"/>
    <col min="12" max="12" width="12.28515625" style="1344" customWidth="1" outlineLevel="2"/>
    <col min="13" max="13" width="13.28515625" style="1344" customWidth="1" outlineLevel="2"/>
    <col min="14" max="14" width="11.28515625" style="1344" customWidth="1" outlineLevel="1"/>
    <col min="15" max="15" width="24.140625" style="1343" customWidth="1" outlineLevel="1"/>
    <col min="16" max="16" width="11.85546875" style="1343" customWidth="1" outlineLevel="1"/>
    <col min="17" max="27" width="10" style="1343" customWidth="1" outlineLevel="1"/>
    <col min="28" max="31" width="10" style="1343" customWidth="1" outlineLevel="2"/>
    <col min="32" max="35" width="10" style="1433" customWidth="1" outlineLevel="2"/>
    <col min="36" max="36" width="9.28515625" style="1343" customWidth="1" outlineLevel="2"/>
    <col min="37" max="37" width="12.5703125" style="1343" customWidth="1" outlineLevel="2"/>
    <col min="38" max="38" width="7.7109375" style="1343" customWidth="1" outlineLevel="2"/>
    <col min="39" max="39" width="7.140625" style="1343" customWidth="1" outlineLevel="2"/>
    <col min="40" max="40" width="7.7109375" style="1343" customWidth="1" outlineLevel="2"/>
    <col min="41" max="41" width="9.28515625" style="1343" customWidth="1" outlineLevel="2"/>
    <col min="42" max="42" width="9" style="1343" customWidth="1" outlineLevel="2"/>
    <col min="43" max="43" width="7.7109375" style="1343" customWidth="1" outlineLevel="2"/>
    <col min="44" max="44" width="12.140625" style="1343" customWidth="1" outlineLevel="2"/>
    <col min="45" max="45" width="8.5703125" style="1343" customWidth="1" outlineLevel="2"/>
    <col min="46" max="46" width="8.140625" style="1343" customWidth="1" outlineLevel="2"/>
    <col min="47" max="47" width="10.140625" style="1331" customWidth="1" outlineLevel="2"/>
    <col min="48" max="48" width="12" style="1343" customWidth="1" outlineLevel="1"/>
    <col min="49" max="49" width="14.5703125" style="1343" customWidth="1" outlineLevel="1"/>
    <col min="50" max="53" width="12" style="1343" customWidth="1" outlineLevel="1"/>
    <col min="54" max="54" width="13.85546875" style="1343" customWidth="1" outlineLevel="1"/>
    <col min="55" max="55" width="12" style="1343" customWidth="1" outlineLevel="1"/>
    <col min="56" max="56" width="10.5703125" style="1343" customWidth="1" outlineLevel="1"/>
    <col min="57" max="58" width="12" style="1343" customWidth="1" outlineLevel="1"/>
    <col min="59" max="59" width="16" style="1343" customWidth="1" outlineLevel="1"/>
    <col min="60" max="74" width="12" style="1343" customWidth="1" outlineLevel="1"/>
    <col min="75" max="92" width="12" style="1343" customWidth="1" outlineLevel="2"/>
    <col min="93" max="93" width="2.140625" style="1338" customWidth="1" outlineLevel="1"/>
    <col min="94" max="94" width="11.42578125" style="1331" customWidth="1" outlineLevel="1"/>
    <col min="95" max="95" width="11.28515625" style="1343" customWidth="1" outlineLevel="1"/>
    <col min="96" max="97" width="10.7109375" style="1343" customWidth="1" outlineLevel="1"/>
    <col min="98" max="98" width="14.140625" style="1343" customWidth="1" outlineLevel="1"/>
    <col min="99" max="99" width="12.5703125" style="1343" customWidth="1" outlineLevel="1"/>
    <col min="100" max="101" width="10.5703125" style="1343" customWidth="1" outlineLevel="1"/>
    <col min="102" max="102" width="9.85546875" style="1343" customWidth="1" outlineLevel="1"/>
    <col min="103" max="103" width="12.7109375" style="1343" customWidth="1" outlineLevel="1"/>
    <col min="104" max="104" width="10.28515625" style="1343" customWidth="1" outlineLevel="1"/>
    <col min="105" max="110" width="11" style="1343" customWidth="1" outlineLevel="1"/>
    <col min="111" max="111" width="10" style="1343" customWidth="1" outlineLevel="1"/>
    <col min="112" max="112" width="11.28515625" style="1343" customWidth="1" outlineLevel="1"/>
    <col min="113" max="113" width="10.140625" style="1343" customWidth="1" outlineLevel="1"/>
    <col min="114" max="114" width="9.28515625" style="1343" customWidth="1" outlineLevel="1"/>
    <col min="115" max="115" width="9.85546875" style="1343" customWidth="1" outlineLevel="1"/>
    <col min="116" max="116" width="11.42578125" style="1343" customWidth="1" outlineLevel="1"/>
    <col min="117" max="117" width="10.7109375" style="1343" customWidth="1" outlineLevel="1"/>
    <col min="118" max="118" width="8.85546875" style="1343" customWidth="1" outlineLevel="1"/>
    <col min="119" max="119" width="9.7109375" style="1343" customWidth="1" outlineLevel="1"/>
    <col min="120" max="120" width="13.42578125" style="1343" customWidth="1" outlineLevel="1"/>
    <col min="121" max="121" width="10" style="1343" customWidth="1" outlineLevel="1"/>
    <col min="122" max="122" width="11.140625" style="1343" customWidth="1" outlineLevel="2"/>
    <col min="123" max="129" width="8.85546875" style="1343" customWidth="1" outlineLevel="2"/>
    <col min="130" max="139" width="11.28515625" style="1343" customWidth="1" outlineLevel="2"/>
    <col min="140" max="140" width="8.140625" style="1338" customWidth="1" outlineLevel="1"/>
    <col min="141" max="141" width="13.7109375" style="1324" customWidth="1"/>
    <col min="142" max="142" width="13.85546875" style="1331" customWidth="1"/>
    <col min="143" max="143" width="12.85546875" style="1331" customWidth="1"/>
    <col min="144" max="144" width="12.140625" style="1331" customWidth="1"/>
    <col min="145" max="145" width="13.42578125" style="1331" customWidth="1"/>
    <col min="146" max="146" width="13.5703125" style="1331" customWidth="1"/>
    <col min="147" max="149" width="12.28515625" style="1331" customWidth="1"/>
    <col min="150" max="150" width="14.42578125" style="1331" customWidth="1"/>
    <col min="151" max="151" width="13" style="1331" customWidth="1"/>
    <col min="152" max="160" width="11.42578125" style="1331" customWidth="1"/>
    <col min="161" max="161" width="17.28515625" style="1331" customWidth="1"/>
    <col min="162" max="166" width="11.42578125" style="1331" hidden="1" customWidth="1"/>
    <col min="167" max="167" width="16.85546875" style="1331" hidden="1" customWidth="1"/>
    <col min="168" max="168" width="11.42578125" style="1331" customWidth="1"/>
    <col min="169" max="16384" width="11.42578125" style="1331"/>
  </cols>
  <sheetData>
    <row r="1" spans="1:172" ht="15.75">
      <c r="B1" s="1325">
        <v>1</v>
      </c>
      <c r="C1" s="1326">
        <v>2</v>
      </c>
      <c r="D1" s="1327">
        <v>3</v>
      </c>
      <c r="E1" s="1328">
        <v>4</v>
      </c>
      <c r="F1" s="1327">
        <v>5</v>
      </c>
      <c r="G1" s="1328">
        <v>6</v>
      </c>
      <c r="H1" s="1327">
        <v>7</v>
      </c>
      <c r="I1" s="1328">
        <v>8</v>
      </c>
      <c r="J1" s="1327">
        <v>9</v>
      </c>
      <c r="K1" s="1328">
        <v>10</v>
      </c>
      <c r="L1" s="1327">
        <v>11</v>
      </c>
      <c r="M1" s="1328">
        <v>12</v>
      </c>
      <c r="N1" s="1327">
        <v>13</v>
      </c>
      <c r="O1" s="1328">
        <v>14</v>
      </c>
      <c r="P1" s="1327">
        <v>15</v>
      </c>
      <c r="Q1" s="1328">
        <v>16</v>
      </c>
      <c r="R1" s="1327">
        <v>17</v>
      </c>
      <c r="S1" s="1328">
        <v>18</v>
      </c>
      <c r="T1" s="1327">
        <v>19</v>
      </c>
      <c r="U1" s="1328">
        <v>20</v>
      </c>
      <c r="V1" s="1327">
        <v>21</v>
      </c>
      <c r="W1" s="1328">
        <v>22</v>
      </c>
      <c r="X1" s="1327">
        <v>23</v>
      </c>
      <c r="Y1" s="1328">
        <v>24</v>
      </c>
      <c r="Z1" s="1327">
        <v>25</v>
      </c>
      <c r="AA1" s="1328">
        <v>26</v>
      </c>
      <c r="AB1" s="1327">
        <v>27</v>
      </c>
      <c r="AC1" s="1328">
        <v>28</v>
      </c>
      <c r="AD1" s="1327">
        <v>29</v>
      </c>
      <c r="AE1" s="1328">
        <v>30</v>
      </c>
      <c r="AF1" s="1327">
        <v>31</v>
      </c>
      <c r="AG1" s="1328">
        <v>32</v>
      </c>
      <c r="AH1" s="1327">
        <v>33</v>
      </c>
      <c r="AI1" s="1328">
        <v>34</v>
      </c>
      <c r="AJ1" s="1327">
        <v>35</v>
      </c>
      <c r="AK1" s="1328">
        <v>36</v>
      </c>
      <c r="AL1" s="1327">
        <v>37</v>
      </c>
      <c r="AM1" s="1328">
        <v>38</v>
      </c>
      <c r="AN1" s="1327">
        <v>39</v>
      </c>
      <c r="AO1" s="1328">
        <v>40</v>
      </c>
      <c r="AP1" s="1327">
        <v>41</v>
      </c>
      <c r="AQ1" s="1328">
        <v>42</v>
      </c>
      <c r="AR1" s="1327">
        <v>43</v>
      </c>
      <c r="AS1" s="1328">
        <v>44</v>
      </c>
      <c r="AT1" s="1327">
        <v>45</v>
      </c>
      <c r="AU1" s="1328">
        <v>46</v>
      </c>
      <c r="AV1" s="1327">
        <v>47</v>
      </c>
      <c r="AW1" s="1328">
        <v>48</v>
      </c>
      <c r="AX1" s="1327">
        <v>49</v>
      </c>
      <c r="AY1" s="1328">
        <v>50</v>
      </c>
      <c r="AZ1" s="1327">
        <v>51</v>
      </c>
      <c r="BA1" s="1328">
        <v>52</v>
      </c>
      <c r="BB1" s="1327">
        <v>53</v>
      </c>
      <c r="BC1" s="1328">
        <v>54</v>
      </c>
      <c r="BD1" s="1327">
        <v>55</v>
      </c>
      <c r="BE1" s="1328">
        <v>56</v>
      </c>
      <c r="BF1" s="1327">
        <v>57</v>
      </c>
      <c r="BG1" s="1328">
        <v>58</v>
      </c>
      <c r="BH1" s="1327">
        <v>59</v>
      </c>
      <c r="BI1" s="1328">
        <v>60</v>
      </c>
      <c r="BJ1" s="1327">
        <v>61</v>
      </c>
      <c r="BK1" s="1328">
        <v>62</v>
      </c>
      <c r="BL1" s="1327">
        <v>63</v>
      </c>
      <c r="BM1" s="1328">
        <v>64</v>
      </c>
      <c r="BN1" s="1327">
        <v>65</v>
      </c>
      <c r="BO1" s="1328">
        <v>66</v>
      </c>
      <c r="BP1" s="1327">
        <v>67</v>
      </c>
      <c r="BQ1" s="1328">
        <v>68</v>
      </c>
      <c r="BR1" s="1327">
        <v>69</v>
      </c>
      <c r="BS1" s="1328">
        <v>70</v>
      </c>
      <c r="BT1" s="1327">
        <v>71</v>
      </c>
      <c r="BU1" s="1328">
        <v>72</v>
      </c>
      <c r="BV1" s="1327">
        <v>73</v>
      </c>
      <c r="BW1" s="1328">
        <v>74</v>
      </c>
      <c r="BX1" s="1327">
        <v>75</v>
      </c>
      <c r="BY1" s="1328">
        <v>76</v>
      </c>
      <c r="BZ1" s="1327">
        <v>77</v>
      </c>
      <c r="CA1" s="1328">
        <v>78</v>
      </c>
      <c r="CB1" s="1327">
        <v>79</v>
      </c>
      <c r="CC1" s="1328">
        <v>80</v>
      </c>
      <c r="CD1" s="1327">
        <v>81</v>
      </c>
      <c r="CE1" s="1328">
        <v>82</v>
      </c>
      <c r="CF1" s="1327">
        <v>83</v>
      </c>
      <c r="CG1" s="1328">
        <v>84</v>
      </c>
      <c r="CH1" s="1327">
        <v>85</v>
      </c>
      <c r="CI1" s="1328">
        <v>86</v>
      </c>
      <c r="CJ1" s="1327">
        <v>87</v>
      </c>
      <c r="CK1" s="1328">
        <v>88</v>
      </c>
      <c r="CL1" s="1327">
        <v>89</v>
      </c>
      <c r="CM1" s="1328">
        <v>90</v>
      </c>
      <c r="CN1" s="1327">
        <v>91</v>
      </c>
      <c r="CO1" s="1329">
        <v>92</v>
      </c>
      <c r="CP1" s="1327">
        <v>93</v>
      </c>
      <c r="CQ1" s="1328">
        <v>94</v>
      </c>
      <c r="CR1" s="1327">
        <v>95</v>
      </c>
      <c r="CS1" s="1328">
        <v>96</v>
      </c>
      <c r="CT1" s="1327">
        <v>97</v>
      </c>
      <c r="CU1" s="1328">
        <v>98</v>
      </c>
      <c r="CV1" s="1327">
        <v>99</v>
      </c>
      <c r="CW1" s="1328">
        <v>100</v>
      </c>
      <c r="CX1" s="1327">
        <v>101</v>
      </c>
      <c r="CY1" s="1328">
        <v>102</v>
      </c>
      <c r="CZ1" s="1327">
        <v>103</v>
      </c>
      <c r="DA1" s="1328">
        <v>104</v>
      </c>
      <c r="DB1" s="1327">
        <v>105</v>
      </c>
      <c r="DC1" s="1328">
        <v>106</v>
      </c>
      <c r="DD1" s="1327">
        <v>107</v>
      </c>
      <c r="DE1" s="1328">
        <v>108</v>
      </c>
      <c r="DF1" s="1327">
        <v>109</v>
      </c>
      <c r="DG1" s="1328">
        <v>110</v>
      </c>
      <c r="DH1" s="1327">
        <v>111</v>
      </c>
      <c r="DI1" s="1328">
        <v>112</v>
      </c>
      <c r="DJ1" s="1327">
        <v>113</v>
      </c>
      <c r="DK1" s="1328">
        <v>114</v>
      </c>
      <c r="DL1" s="1327">
        <v>115</v>
      </c>
      <c r="DM1" s="1328">
        <v>116</v>
      </c>
      <c r="DN1" s="1327">
        <v>117</v>
      </c>
      <c r="DO1" s="1328">
        <v>118</v>
      </c>
      <c r="DP1" s="1327">
        <v>119</v>
      </c>
      <c r="DQ1" s="1328">
        <v>120</v>
      </c>
      <c r="DR1" s="1327">
        <v>121</v>
      </c>
      <c r="DS1" s="1328">
        <v>122</v>
      </c>
      <c r="DT1" s="1327">
        <v>123</v>
      </c>
      <c r="DU1" s="1328">
        <v>124</v>
      </c>
      <c r="DV1" s="1327">
        <v>125</v>
      </c>
      <c r="DW1" s="1328">
        <v>126</v>
      </c>
      <c r="DX1" s="1327">
        <v>127</v>
      </c>
      <c r="DY1" s="1328">
        <v>128</v>
      </c>
      <c r="DZ1" s="1327">
        <v>129</v>
      </c>
      <c r="EA1" s="1328">
        <v>130</v>
      </c>
      <c r="EB1" s="1327">
        <v>131</v>
      </c>
      <c r="EC1" s="1328">
        <v>132</v>
      </c>
      <c r="ED1" s="1327">
        <v>133</v>
      </c>
      <c r="EE1" s="1328">
        <v>134</v>
      </c>
      <c r="EF1" s="1327">
        <v>135</v>
      </c>
      <c r="EG1" s="1328">
        <v>136</v>
      </c>
      <c r="EH1" s="1327">
        <v>137</v>
      </c>
      <c r="EI1" s="1328">
        <v>138</v>
      </c>
      <c r="EJ1" s="1330">
        <v>139</v>
      </c>
      <c r="EK1" s="1328">
        <v>140</v>
      </c>
      <c r="EL1" s="1327">
        <v>141</v>
      </c>
      <c r="EM1" s="1328">
        <v>142</v>
      </c>
      <c r="EN1" s="1328">
        <v>143</v>
      </c>
      <c r="EO1" s="1328">
        <v>144</v>
      </c>
      <c r="EP1" s="1328">
        <v>145</v>
      </c>
      <c r="EQ1" s="1328">
        <v>146</v>
      </c>
      <c r="ER1" s="1328">
        <v>147</v>
      </c>
      <c r="ES1" s="1327">
        <v>148</v>
      </c>
      <c r="ET1" s="1327">
        <v>149</v>
      </c>
      <c r="EU1" s="1328">
        <v>150</v>
      </c>
      <c r="EV1" s="1327">
        <v>151</v>
      </c>
      <c r="EW1" s="1328">
        <v>152</v>
      </c>
      <c r="EX1" s="1327">
        <v>153</v>
      </c>
      <c r="EY1" s="1327">
        <v>154</v>
      </c>
      <c r="EZ1" s="1327">
        <v>155</v>
      </c>
      <c r="FA1" s="1327">
        <v>156</v>
      </c>
      <c r="FB1" s="1327">
        <v>157</v>
      </c>
      <c r="FC1" s="1327">
        <v>158</v>
      </c>
      <c r="FD1" s="1327">
        <v>159</v>
      </c>
      <c r="FE1" s="1328">
        <v>160</v>
      </c>
    </row>
    <row r="2" spans="1:172" s="1336" customFormat="1" ht="15.75">
      <c r="A2" s="1332"/>
      <c r="B2" s="1333" t="s">
        <v>0</v>
      </c>
      <c r="C2" s="1334"/>
      <c r="D2" s="1335"/>
      <c r="I2" s="1337"/>
      <c r="J2" s="1337"/>
      <c r="K2" s="1337"/>
      <c r="L2" s="1337"/>
      <c r="M2" s="1337"/>
      <c r="N2" s="1337"/>
      <c r="AU2" s="1331"/>
      <c r="CO2" s="1338"/>
      <c r="CP2" s="1331"/>
      <c r="EJ2" s="1338"/>
      <c r="EK2" s="1324"/>
      <c r="EL2" s="1331"/>
      <c r="EM2" s="1331"/>
      <c r="EN2" s="1339"/>
      <c r="EO2" s="1339"/>
      <c r="EP2" s="1339"/>
      <c r="EQ2" s="1339"/>
      <c r="ER2" s="1339"/>
      <c r="ES2" s="1331"/>
      <c r="ET2" s="1331"/>
      <c r="EU2" s="1331"/>
      <c r="EV2" s="1331"/>
      <c r="EW2" s="1331"/>
      <c r="EX2" s="1331"/>
      <c r="EY2" s="1331"/>
      <c r="EZ2" s="1331"/>
      <c r="FA2" s="1331"/>
      <c r="FB2" s="1331"/>
      <c r="FC2" s="1331"/>
      <c r="FD2" s="1331"/>
      <c r="FE2" s="1331"/>
      <c r="FF2" s="1331"/>
      <c r="FG2" s="1331"/>
      <c r="FH2" s="1331"/>
      <c r="FI2" s="1331"/>
      <c r="FJ2" s="1331"/>
      <c r="FK2" s="1331"/>
      <c r="FL2" s="1331"/>
      <c r="FM2" s="1331"/>
      <c r="FN2" s="1331"/>
      <c r="FO2" s="1331"/>
      <c r="FP2" s="1331"/>
    </row>
    <row r="3" spans="1:172" ht="18">
      <c r="B3" s="1340" t="s">
        <v>857</v>
      </c>
      <c r="C3" s="1341"/>
      <c r="E3" s="1331"/>
      <c r="F3" s="1331"/>
      <c r="G3" s="1331"/>
      <c r="H3" s="1331"/>
      <c r="I3" s="1331"/>
      <c r="J3" s="1331"/>
      <c r="K3" s="1331"/>
      <c r="L3" s="1331"/>
      <c r="M3" s="1331" t="s">
        <v>375</v>
      </c>
      <c r="N3" s="1331"/>
      <c r="O3" s="1331"/>
      <c r="P3" s="1331"/>
      <c r="Q3" s="1331"/>
      <c r="R3" s="1331"/>
      <c r="S3" s="1331"/>
      <c r="T3" s="1331"/>
      <c r="U3" s="1331"/>
      <c r="V3" s="1331"/>
      <c r="W3" s="1331"/>
      <c r="X3" s="1331"/>
      <c r="Y3" s="1331"/>
      <c r="Z3" s="1331"/>
      <c r="AA3" s="1331"/>
      <c r="AB3" s="1331"/>
      <c r="AC3" s="1331"/>
      <c r="AD3" s="1331"/>
      <c r="AE3" s="1331"/>
      <c r="AF3" s="1331"/>
      <c r="AG3" s="1331"/>
      <c r="AH3" s="1331"/>
      <c r="AI3" s="1331"/>
      <c r="AJ3" s="1331"/>
      <c r="AK3" s="1331"/>
      <c r="AL3" s="1331"/>
      <c r="AM3" s="1331"/>
      <c r="AN3" s="1331"/>
      <c r="AO3" s="1331"/>
      <c r="AP3" s="1331"/>
      <c r="AQ3" s="1331"/>
      <c r="AR3" s="1331"/>
      <c r="AS3" s="1331"/>
      <c r="AT3" s="1331"/>
      <c r="AV3" s="1331"/>
      <c r="AW3" s="1331"/>
      <c r="AX3" s="1331"/>
      <c r="AY3" s="1331"/>
      <c r="AZ3" s="1331"/>
      <c r="BA3" s="1331"/>
      <c r="BB3" s="1331"/>
      <c r="BC3" s="1331"/>
      <c r="BD3" s="1331"/>
      <c r="BE3" s="1331"/>
      <c r="BF3" s="1331"/>
      <c r="BG3" s="1331"/>
      <c r="BH3" s="1331"/>
      <c r="BI3" s="1331"/>
      <c r="BJ3" s="1331"/>
      <c r="BK3" s="1331"/>
      <c r="BL3" s="1331"/>
      <c r="BM3" s="1331"/>
      <c r="BN3" s="1331"/>
      <c r="BO3" s="1331"/>
      <c r="BP3" s="1331"/>
      <c r="BQ3" s="1331"/>
      <c r="BR3" s="1331"/>
      <c r="BS3" s="1331"/>
      <c r="BT3" s="1331"/>
      <c r="BU3" s="1331"/>
      <c r="BV3" s="1331"/>
      <c r="BW3" s="1331"/>
      <c r="BX3" s="1331"/>
      <c r="BY3" s="1331"/>
      <c r="BZ3" s="1331"/>
      <c r="CA3" s="1331"/>
      <c r="CB3" s="1331"/>
      <c r="CC3" s="1331"/>
      <c r="CD3" s="1331"/>
      <c r="CE3" s="1331"/>
      <c r="CF3" s="1331"/>
      <c r="CG3" s="1331"/>
      <c r="CH3" s="1331"/>
      <c r="CI3" s="1331"/>
      <c r="CJ3" s="1331"/>
      <c r="CK3" s="1331"/>
      <c r="CL3" s="1331"/>
      <c r="CM3" s="1331"/>
      <c r="CN3" s="1331"/>
      <c r="CQ3" s="1331"/>
      <c r="CR3" s="1331"/>
      <c r="CS3" s="1331"/>
      <c r="CT3" s="1331"/>
      <c r="CU3" s="1331"/>
      <c r="CV3" s="1331"/>
      <c r="CW3" s="1331"/>
      <c r="CX3" s="1331"/>
      <c r="CY3" s="1331"/>
      <c r="CZ3" s="1331"/>
      <c r="DA3" s="1331"/>
      <c r="DB3" s="1331"/>
      <c r="DC3" s="1331"/>
      <c r="DD3" s="1331"/>
      <c r="DE3" s="1331"/>
      <c r="DF3" s="1331"/>
      <c r="DG3" s="1331"/>
      <c r="DH3" s="1331"/>
      <c r="DI3" s="1331"/>
      <c r="DJ3" s="1331"/>
      <c r="DK3" s="1331"/>
      <c r="DL3" s="1331"/>
      <c r="DM3" s="1331"/>
      <c r="DN3" s="1331"/>
      <c r="DO3" s="1331"/>
      <c r="DP3" s="1331"/>
      <c r="DQ3" s="1331"/>
      <c r="DR3" s="1331"/>
      <c r="DS3" s="1331"/>
      <c r="DT3" s="1331"/>
      <c r="DU3" s="1331"/>
      <c r="DV3" s="1331"/>
      <c r="DW3" s="1331"/>
      <c r="DX3" s="1331"/>
      <c r="DY3" s="1331"/>
      <c r="DZ3" s="1331"/>
      <c r="EA3" s="1331"/>
      <c r="EB3" s="1331"/>
      <c r="EC3" s="1331"/>
      <c r="ED3" s="1331"/>
      <c r="EE3" s="1331"/>
      <c r="EF3" s="1331"/>
      <c r="EG3" s="1331"/>
      <c r="EH3" s="1331"/>
      <c r="EI3" s="1331"/>
      <c r="EL3" s="1917"/>
    </row>
    <row r="4" spans="1:172" ht="12.75" customHeight="1" thickBot="1">
      <c r="C4" s="1334"/>
      <c r="O4" s="1345"/>
      <c r="P4" s="1345"/>
      <c r="Q4" s="1345"/>
      <c r="R4" s="1345"/>
      <c r="S4" s="1345"/>
      <c r="T4" s="1345"/>
      <c r="U4" s="1345"/>
      <c r="V4" s="1345"/>
      <c r="W4" s="1345"/>
      <c r="X4" s="1345"/>
      <c r="Y4" s="1345"/>
      <c r="Z4" s="1345"/>
      <c r="AA4" s="1345"/>
      <c r="AB4" s="1345"/>
      <c r="AC4" s="1345"/>
      <c r="AD4" s="1345"/>
      <c r="AE4" s="1345"/>
      <c r="AF4" s="1345"/>
      <c r="AG4" s="1345"/>
      <c r="AH4" s="1345"/>
      <c r="AI4" s="1345"/>
      <c r="AJ4" s="1345"/>
      <c r="AK4" s="1345"/>
      <c r="AL4" s="1345"/>
      <c r="AM4" s="1345"/>
      <c r="AN4" s="1345"/>
      <c r="AO4" s="1345"/>
      <c r="AP4" s="1345"/>
      <c r="AQ4" s="1345"/>
      <c r="AR4" s="1345"/>
      <c r="AS4" s="1345"/>
      <c r="AT4" s="1345"/>
      <c r="AU4" s="1345"/>
      <c r="AV4" s="2239" t="s">
        <v>2</v>
      </c>
      <c r="AW4" s="2239"/>
      <c r="AX4" s="2239"/>
      <c r="AY4" s="2239"/>
      <c r="AZ4" s="2239"/>
      <c r="BA4" s="2239"/>
      <c r="BB4" s="2239"/>
      <c r="BC4" s="2239"/>
      <c r="BD4" s="2239"/>
      <c r="BE4" s="2239"/>
      <c r="BF4" s="2239"/>
      <c r="BG4" s="2239"/>
      <c r="BH4" s="2239"/>
      <c r="BI4" s="2239"/>
      <c r="BJ4" s="2239"/>
      <c r="BK4" s="2239"/>
      <c r="BL4" s="2239"/>
      <c r="BM4" s="2239"/>
      <c r="BN4" s="2239"/>
      <c r="BO4" s="2239"/>
      <c r="BP4" s="2239"/>
      <c r="BQ4" s="2239"/>
      <c r="BR4" s="2239"/>
      <c r="BS4" s="2239"/>
      <c r="BT4" s="2239"/>
      <c r="BU4" s="2239"/>
      <c r="BV4" s="2239"/>
      <c r="BW4" s="2239"/>
      <c r="BX4" s="2239"/>
      <c r="BY4" s="2239"/>
      <c r="BZ4" s="2239"/>
      <c r="CA4" s="2239"/>
      <c r="CB4" s="2239"/>
      <c r="CC4" s="2239"/>
      <c r="CD4" s="2239"/>
      <c r="CE4" s="2239"/>
      <c r="CF4" s="2239"/>
      <c r="CG4" s="2239"/>
      <c r="CH4" s="2239"/>
      <c r="CI4" s="2239"/>
      <c r="CJ4" s="2239"/>
      <c r="CK4" s="2239"/>
      <c r="CL4" s="2239"/>
      <c r="CM4" s="2239"/>
      <c r="CN4" s="2239"/>
      <c r="CO4" s="1346"/>
      <c r="CP4" s="1346"/>
      <c r="CQ4" s="2240" t="s">
        <v>3</v>
      </c>
      <c r="CR4" s="2240"/>
      <c r="CS4" s="2240"/>
      <c r="CT4" s="2240"/>
      <c r="CU4" s="2240"/>
      <c r="CV4" s="2240"/>
      <c r="CW4" s="2240"/>
      <c r="CX4" s="2240"/>
      <c r="CY4" s="2240"/>
      <c r="CZ4" s="2240"/>
      <c r="DA4" s="2240"/>
      <c r="DB4" s="2240"/>
      <c r="DC4" s="2240"/>
      <c r="DD4" s="2240"/>
      <c r="DE4" s="2240"/>
      <c r="DF4" s="2240"/>
      <c r="DG4" s="2240"/>
      <c r="DH4" s="2240"/>
      <c r="DI4" s="2240"/>
      <c r="DJ4" s="2240"/>
      <c r="DK4" s="2240"/>
      <c r="DL4" s="2240"/>
      <c r="DM4" s="2240"/>
      <c r="DN4" s="2240"/>
      <c r="DO4" s="2240"/>
      <c r="DP4" s="2240"/>
      <c r="DQ4" s="2240"/>
      <c r="DR4" s="2240"/>
      <c r="DS4" s="2240"/>
      <c r="DT4" s="2240"/>
      <c r="DU4" s="2240"/>
      <c r="DV4" s="2240"/>
      <c r="DW4" s="2240"/>
      <c r="DX4" s="2240"/>
      <c r="DY4" s="2240"/>
      <c r="DZ4" s="2240"/>
      <c r="EA4" s="2240"/>
      <c r="EB4" s="2240"/>
      <c r="EC4" s="2240"/>
      <c r="ED4" s="2240"/>
      <c r="EE4" s="2240"/>
      <c r="EF4" s="2240"/>
      <c r="EG4" s="2240"/>
      <c r="EH4" s="2240"/>
      <c r="EI4" s="2240"/>
    </row>
    <row r="5" spans="1:172" ht="15" customHeight="1" thickBot="1">
      <c r="C5" s="1324" t="s">
        <v>54</v>
      </c>
      <c r="E5" s="1331">
        <v>5</v>
      </c>
      <c r="F5" s="1331">
        <v>6</v>
      </c>
      <c r="G5" s="1331"/>
      <c r="H5" s="1331"/>
      <c r="O5" s="1331"/>
      <c r="P5" s="2241" t="s">
        <v>4</v>
      </c>
      <c r="Q5" s="2241"/>
      <c r="R5" s="2241"/>
      <c r="S5" s="2241"/>
      <c r="T5" s="2242" t="s">
        <v>5</v>
      </c>
      <c r="U5" s="2242"/>
      <c r="V5" s="2242"/>
      <c r="W5" s="2242"/>
      <c r="X5" s="2241" t="s">
        <v>6</v>
      </c>
      <c r="Y5" s="2241"/>
      <c r="Z5" s="2241"/>
      <c r="AA5" s="2241"/>
      <c r="AB5" s="2243" t="s">
        <v>7</v>
      </c>
      <c r="AC5" s="2243"/>
      <c r="AD5" s="2243"/>
      <c r="AE5" s="2243"/>
      <c r="AF5" s="2244" t="s">
        <v>8</v>
      </c>
      <c r="AG5" s="2244"/>
      <c r="AH5" s="2244"/>
      <c r="AI5" s="2244"/>
      <c r="AJ5" s="2234" t="s">
        <v>442</v>
      </c>
      <c r="AK5" s="2235"/>
      <c r="AL5" s="2235"/>
      <c r="AM5" s="2235"/>
      <c r="AN5" s="2236"/>
      <c r="AO5" s="2245" t="s">
        <v>316</v>
      </c>
      <c r="AP5" s="2245"/>
      <c r="AQ5" s="2245"/>
      <c r="AR5" s="2245"/>
      <c r="AS5" s="2245"/>
      <c r="AT5" s="1331"/>
      <c r="AU5" s="1338"/>
      <c r="AV5" s="2246" t="s">
        <v>10</v>
      </c>
      <c r="AW5" s="2246"/>
      <c r="AX5" s="2246"/>
      <c r="AY5" s="2246"/>
      <c r="AZ5" s="2246"/>
      <c r="BA5" s="2246"/>
      <c r="BB5" s="2246"/>
      <c r="BC5" s="2246"/>
      <c r="BD5" s="2246"/>
      <c r="BE5" s="2226" t="s">
        <v>11</v>
      </c>
      <c r="BF5" s="2226"/>
      <c r="BG5" s="2226"/>
      <c r="BH5" s="2226"/>
      <c r="BI5" s="2226"/>
      <c r="BJ5" s="2226"/>
      <c r="BK5" s="2226"/>
      <c r="BL5" s="2226"/>
      <c r="BM5" s="2226"/>
      <c r="BN5" s="2247" t="s">
        <v>12</v>
      </c>
      <c r="BO5" s="2247"/>
      <c r="BP5" s="2247"/>
      <c r="BQ5" s="2247"/>
      <c r="BR5" s="2247"/>
      <c r="BS5" s="2247"/>
      <c r="BT5" s="2247"/>
      <c r="BU5" s="2247"/>
      <c r="BV5" s="2247"/>
      <c r="BW5" s="2248" t="s">
        <v>13</v>
      </c>
      <c r="BX5" s="2248"/>
      <c r="BY5" s="2248"/>
      <c r="BZ5" s="2248"/>
      <c r="CA5" s="2248"/>
      <c r="CB5" s="2248"/>
      <c r="CC5" s="2248"/>
      <c r="CD5" s="2248"/>
      <c r="CE5" s="2248"/>
      <c r="CF5" s="2249" t="s">
        <v>381</v>
      </c>
      <c r="CG5" s="2249"/>
      <c r="CH5" s="2249"/>
      <c r="CI5" s="2249"/>
      <c r="CJ5" s="2249"/>
      <c r="CK5" s="2249"/>
      <c r="CL5" s="2249"/>
      <c r="CM5" s="2249"/>
      <c r="CN5" s="2249"/>
      <c r="CQ5" s="2237" t="s">
        <v>10</v>
      </c>
      <c r="CR5" s="2237"/>
      <c r="CS5" s="2237"/>
      <c r="CT5" s="2237"/>
      <c r="CU5" s="2237"/>
      <c r="CV5" s="2237"/>
      <c r="CW5" s="2237"/>
      <c r="CX5" s="2237"/>
      <c r="CY5" s="2237"/>
      <c r="CZ5" s="2226" t="s">
        <v>11</v>
      </c>
      <c r="DA5" s="2226"/>
      <c r="DB5" s="2226"/>
      <c r="DC5" s="2226"/>
      <c r="DD5" s="2226"/>
      <c r="DE5" s="2226"/>
      <c r="DF5" s="2226"/>
      <c r="DG5" s="2226"/>
      <c r="DH5" s="2226"/>
      <c r="DI5" s="2227" t="s">
        <v>12</v>
      </c>
      <c r="DJ5" s="2227"/>
      <c r="DK5" s="2227"/>
      <c r="DL5" s="2227"/>
      <c r="DM5" s="2227"/>
      <c r="DN5" s="2227"/>
      <c r="DO5" s="2227"/>
      <c r="DP5" s="2227"/>
      <c r="DQ5" s="2227"/>
      <c r="DR5" s="2228" t="s">
        <v>13</v>
      </c>
      <c r="DS5" s="2228"/>
      <c r="DT5" s="2228"/>
      <c r="DU5" s="2228"/>
      <c r="DV5" s="2228"/>
      <c r="DW5" s="2228"/>
      <c r="DX5" s="2228"/>
      <c r="DY5" s="2228"/>
      <c r="DZ5" s="2228"/>
      <c r="EA5" s="2229" t="s">
        <v>381</v>
      </c>
      <c r="EB5" s="2229"/>
      <c r="EC5" s="2229"/>
      <c r="ED5" s="2229"/>
      <c r="EE5" s="2229"/>
      <c r="EF5" s="2229"/>
      <c r="EG5" s="2229"/>
      <c r="EH5" s="2229"/>
      <c r="EI5" s="2229"/>
      <c r="EK5" s="1331"/>
      <c r="FF5" s="2225" t="s">
        <v>16</v>
      </c>
      <c r="FG5" s="2225"/>
      <c r="FH5" s="2225"/>
      <c r="FI5" s="2225"/>
      <c r="FJ5" s="2225"/>
      <c r="FK5" s="2225"/>
    </row>
    <row r="6" spans="1:172" s="1372" customFormat="1" ht="25.5" customHeight="1" thickBot="1">
      <c r="A6" s="1347"/>
      <c r="B6" s="1348"/>
      <c r="C6" s="1349"/>
      <c r="D6" s="2238" t="s">
        <v>1</v>
      </c>
      <c r="E6" s="2238"/>
      <c r="F6" s="2238"/>
      <c r="G6" s="2238"/>
      <c r="H6" s="2238"/>
      <c r="I6" s="2238"/>
      <c r="J6" s="2238"/>
      <c r="K6" s="2238"/>
      <c r="L6" s="2238"/>
      <c r="M6" s="2238"/>
      <c r="N6" s="2238"/>
      <c r="O6" s="1350" t="s">
        <v>54</v>
      </c>
      <c r="P6" s="1351" t="s">
        <v>23</v>
      </c>
      <c r="Q6" s="1352" t="s">
        <v>23</v>
      </c>
      <c r="R6" s="1353" t="s">
        <v>24</v>
      </c>
      <c r="S6" s="1353" t="s">
        <v>24</v>
      </c>
      <c r="T6" s="1354" t="s">
        <v>23</v>
      </c>
      <c r="U6" s="1354" t="s">
        <v>23</v>
      </c>
      <c r="V6" s="1354" t="s">
        <v>24</v>
      </c>
      <c r="W6" s="1354" t="s">
        <v>24</v>
      </c>
      <c r="X6" s="1353" t="s">
        <v>23</v>
      </c>
      <c r="Y6" s="1353" t="s">
        <v>23</v>
      </c>
      <c r="Z6" s="1353" t="s">
        <v>24</v>
      </c>
      <c r="AA6" s="1353" t="s">
        <v>24</v>
      </c>
      <c r="AB6" s="1355" t="s">
        <v>23</v>
      </c>
      <c r="AC6" s="1355" t="s">
        <v>23</v>
      </c>
      <c r="AD6" s="1355" t="s">
        <v>24</v>
      </c>
      <c r="AE6" s="1355" t="s">
        <v>24</v>
      </c>
      <c r="AF6" s="1356" t="s">
        <v>23</v>
      </c>
      <c r="AG6" s="1356" t="s">
        <v>23</v>
      </c>
      <c r="AH6" s="1356" t="s">
        <v>24</v>
      </c>
      <c r="AI6" s="1356" t="s">
        <v>24</v>
      </c>
      <c r="AJ6" s="2222" t="s">
        <v>41</v>
      </c>
      <c r="AK6" s="2222" t="s">
        <v>42</v>
      </c>
      <c r="AL6" s="2222" t="s">
        <v>51</v>
      </c>
      <c r="AM6" s="2222" t="s">
        <v>43</v>
      </c>
      <c r="AN6" s="2222" t="s">
        <v>52</v>
      </c>
      <c r="AO6" s="2222" t="s">
        <v>41</v>
      </c>
      <c r="AP6" s="2222" t="s">
        <v>42</v>
      </c>
      <c r="AQ6" s="2222" t="s">
        <v>51</v>
      </c>
      <c r="AR6" s="2222" t="s">
        <v>43</v>
      </c>
      <c r="AS6" s="2222" t="s">
        <v>52</v>
      </c>
      <c r="AT6" s="1357" t="s">
        <v>25</v>
      </c>
      <c r="AU6" s="1358">
        <v>0</v>
      </c>
      <c r="AV6" s="1359" t="s">
        <v>17</v>
      </c>
      <c r="AW6" s="1360" t="s">
        <v>18</v>
      </c>
      <c r="AX6" s="1361" t="s">
        <v>26</v>
      </c>
      <c r="AY6" s="1362" t="s">
        <v>27</v>
      </c>
      <c r="AZ6" s="1362" t="s">
        <v>26</v>
      </c>
      <c r="BA6" s="1362" t="s">
        <v>27</v>
      </c>
      <c r="BB6" s="1363" t="s">
        <v>28</v>
      </c>
      <c r="BC6" s="1363" t="s">
        <v>29</v>
      </c>
      <c r="BD6" s="1364" t="s">
        <v>19</v>
      </c>
      <c r="BE6" s="1359" t="s">
        <v>17</v>
      </c>
      <c r="BF6" s="1361" t="s">
        <v>18</v>
      </c>
      <c r="BG6" s="1361" t="s">
        <v>26</v>
      </c>
      <c r="BH6" s="1362" t="s">
        <v>27</v>
      </c>
      <c r="BI6" s="1362" t="s">
        <v>26</v>
      </c>
      <c r="BJ6" s="1362" t="s">
        <v>27</v>
      </c>
      <c r="BK6" s="1363" t="s">
        <v>28</v>
      </c>
      <c r="BL6" s="1363" t="s">
        <v>29</v>
      </c>
      <c r="BM6" s="1364" t="s">
        <v>19</v>
      </c>
      <c r="BN6" s="1359" t="s">
        <v>17</v>
      </c>
      <c r="BO6" s="1361" t="s">
        <v>18</v>
      </c>
      <c r="BP6" s="1361" t="s">
        <v>26</v>
      </c>
      <c r="BQ6" s="1362" t="s">
        <v>27</v>
      </c>
      <c r="BR6" s="1362" t="s">
        <v>26</v>
      </c>
      <c r="BS6" s="1362" t="s">
        <v>27</v>
      </c>
      <c r="BT6" s="1363" t="s">
        <v>28</v>
      </c>
      <c r="BU6" s="1363" t="s">
        <v>29</v>
      </c>
      <c r="BV6" s="1364" t="s">
        <v>19</v>
      </c>
      <c r="BW6" s="1359" t="s">
        <v>17</v>
      </c>
      <c r="BX6" s="1361" t="s">
        <v>18</v>
      </c>
      <c r="BY6" s="1361" t="s">
        <v>26</v>
      </c>
      <c r="BZ6" s="1362" t="s">
        <v>27</v>
      </c>
      <c r="CA6" s="1362" t="s">
        <v>26</v>
      </c>
      <c r="CB6" s="1362" t="s">
        <v>27</v>
      </c>
      <c r="CC6" s="1363" t="s">
        <v>28</v>
      </c>
      <c r="CD6" s="1363" t="s">
        <v>29</v>
      </c>
      <c r="CE6" s="1364" t="s">
        <v>19</v>
      </c>
      <c r="CF6" s="1359" t="s">
        <v>17</v>
      </c>
      <c r="CG6" s="1361" t="s">
        <v>18</v>
      </c>
      <c r="CH6" s="1361" t="s">
        <v>26</v>
      </c>
      <c r="CI6" s="1362" t="s">
        <v>27</v>
      </c>
      <c r="CJ6" s="1362" t="s">
        <v>26</v>
      </c>
      <c r="CK6" s="1362" t="s">
        <v>27</v>
      </c>
      <c r="CL6" s="1363" t="s">
        <v>28</v>
      </c>
      <c r="CM6" s="1363" t="s">
        <v>29</v>
      </c>
      <c r="CN6" s="1365" t="s">
        <v>19</v>
      </c>
      <c r="CO6" s="1366"/>
      <c r="CP6" s="1367" t="s">
        <v>30</v>
      </c>
      <c r="CQ6" s="1368" t="s">
        <v>17</v>
      </c>
      <c r="CR6" s="1361" t="s">
        <v>18</v>
      </c>
      <c r="CS6" s="1361" t="s">
        <v>26</v>
      </c>
      <c r="CT6" s="1362" t="s">
        <v>27</v>
      </c>
      <c r="CU6" s="1362" t="s">
        <v>26</v>
      </c>
      <c r="CV6" s="1362" t="s">
        <v>27</v>
      </c>
      <c r="CW6" s="1363" t="s">
        <v>28</v>
      </c>
      <c r="CX6" s="1363" t="s">
        <v>29</v>
      </c>
      <c r="CY6" s="1364" t="s">
        <v>19</v>
      </c>
      <c r="CZ6" s="1359" t="s">
        <v>17</v>
      </c>
      <c r="DA6" s="1361" t="s">
        <v>18</v>
      </c>
      <c r="DB6" s="1361" t="s">
        <v>26</v>
      </c>
      <c r="DC6" s="1362" t="s">
        <v>27</v>
      </c>
      <c r="DD6" s="1362" t="s">
        <v>26</v>
      </c>
      <c r="DE6" s="1362" t="s">
        <v>27</v>
      </c>
      <c r="DF6" s="1363" t="s">
        <v>28</v>
      </c>
      <c r="DG6" s="1363" t="s">
        <v>29</v>
      </c>
      <c r="DH6" s="1364" t="s">
        <v>19</v>
      </c>
      <c r="DI6" s="1359" t="s">
        <v>17</v>
      </c>
      <c r="DJ6" s="1361" t="s">
        <v>18</v>
      </c>
      <c r="DK6" s="1361" t="s">
        <v>26</v>
      </c>
      <c r="DL6" s="1362" t="s">
        <v>27</v>
      </c>
      <c r="DM6" s="1362" t="s">
        <v>26</v>
      </c>
      <c r="DN6" s="1362" t="s">
        <v>27</v>
      </c>
      <c r="DO6" s="1363" t="s">
        <v>28</v>
      </c>
      <c r="DP6" s="1363" t="s">
        <v>29</v>
      </c>
      <c r="DQ6" s="1364" t="s">
        <v>19</v>
      </c>
      <c r="DR6" s="1359" t="s">
        <v>17</v>
      </c>
      <c r="DS6" s="1361" t="s">
        <v>18</v>
      </c>
      <c r="DT6" s="1361" t="s">
        <v>26</v>
      </c>
      <c r="DU6" s="1362" t="s">
        <v>27</v>
      </c>
      <c r="DV6" s="1362" t="s">
        <v>26</v>
      </c>
      <c r="DW6" s="1362" t="s">
        <v>27</v>
      </c>
      <c r="DX6" s="1363" t="s">
        <v>28</v>
      </c>
      <c r="DY6" s="1363" t="s">
        <v>29</v>
      </c>
      <c r="DZ6" s="1364" t="s">
        <v>19</v>
      </c>
      <c r="EA6" s="1359" t="s">
        <v>17</v>
      </c>
      <c r="EB6" s="1361" t="s">
        <v>18</v>
      </c>
      <c r="EC6" s="1361" t="s">
        <v>26</v>
      </c>
      <c r="ED6" s="1362" t="s">
        <v>27</v>
      </c>
      <c r="EE6" s="1362" t="s">
        <v>26</v>
      </c>
      <c r="EF6" s="1362" t="s">
        <v>27</v>
      </c>
      <c r="EG6" s="1363" t="s">
        <v>28</v>
      </c>
      <c r="EH6" s="1363" t="s">
        <v>29</v>
      </c>
      <c r="EI6" s="1365" t="s">
        <v>19</v>
      </c>
      <c r="EJ6" s="1366"/>
      <c r="EK6" s="2230" t="s">
        <v>14</v>
      </c>
      <c r="EL6" s="2230"/>
      <c r="EM6" s="2230"/>
      <c r="EN6" s="2230"/>
      <c r="EO6" s="2230"/>
      <c r="EP6" s="2230"/>
      <c r="EQ6" s="2230"/>
      <c r="ER6" s="2230"/>
      <c r="ES6" s="2230"/>
      <c r="ET6" s="1331"/>
      <c r="EU6" s="1331"/>
      <c r="EV6" s="2231" t="s">
        <v>15</v>
      </c>
      <c r="EW6" s="2232"/>
      <c r="EX6" s="2232"/>
      <c r="EY6" s="2232"/>
      <c r="EZ6" s="2232"/>
      <c r="FA6" s="2232"/>
      <c r="FB6" s="2232"/>
      <c r="FC6" s="2232"/>
      <c r="FD6" s="2232"/>
      <c r="FE6" s="2233"/>
      <c r="FF6" s="1369" t="s">
        <v>20</v>
      </c>
      <c r="FG6" s="1370" t="s">
        <v>20</v>
      </c>
      <c r="FH6" s="1370" t="s">
        <v>20</v>
      </c>
      <c r="FI6" s="1370" t="s">
        <v>20</v>
      </c>
      <c r="FJ6" s="1370" t="s">
        <v>20</v>
      </c>
      <c r="FK6" s="1371" t="s">
        <v>20</v>
      </c>
    </row>
    <row r="7" spans="1:172" ht="45.75" thickBot="1">
      <c r="B7" s="1373" t="s">
        <v>37</v>
      </c>
      <c r="C7" s="1374" t="s">
        <v>38</v>
      </c>
      <c r="D7" s="1375" t="s">
        <v>444</v>
      </c>
      <c r="E7" s="1375" t="s">
        <v>443</v>
      </c>
      <c r="F7" s="1375" t="s">
        <v>445</v>
      </c>
      <c r="G7" s="1375" t="s">
        <v>19</v>
      </c>
      <c r="H7" s="1375" t="s">
        <v>446</v>
      </c>
      <c r="I7" s="1375" t="s">
        <v>447</v>
      </c>
      <c r="J7" s="1375" t="s">
        <v>21</v>
      </c>
      <c r="K7" s="1375" t="s">
        <v>448</v>
      </c>
      <c r="L7" s="1375" t="s">
        <v>449</v>
      </c>
      <c r="M7" s="1375" t="s">
        <v>450</v>
      </c>
      <c r="N7" s="1375" t="s">
        <v>451</v>
      </c>
      <c r="O7" s="1376" t="s">
        <v>22</v>
      </c>
      <c r="P7" s="1377" t="s">
        <v>44</v>
      </c>
      <c r="Q7" s="1378" t="s">
        <v>45</v>
      </c>
      <c r="R7" s="1378" t="s">
        <v>44</v>
      </c>
      <c r="S7" s="1378" t="s">
        <v>45</v>
      </c>
      <c r="T7" s="1379" t="s">
        <v>44</v>
      </c>
      <c r="U7" s="1379" t="s">
        <v>45</v>
      </c>
      <c r="V7" s="1379" t="s">
        <v>44</v>
      </c>
      <c r="W7" s="1379" t="s">
        <v>45</v>
      </c>
      <c r="X7" s="1378" t="s">
        <v>44</v>
      </c>
      <c r="Y7" s="1378" t="s">
        <v>45</v>
      </c>
      <c r="Z7" s="1378" t="s">
        <v>44</v>
      </c>
      <c r="AA7" s="1378" t="s">
        <v>45</v>
      </c>
      <c r="AB7" s="1380" t="s">
        <v>44</v>
      </c>
      <c r="AC7" s="1380" t="s">
        <v>45</v>
      </c>
      <c r="AD7" s="1380" t="s">
        <v>44</v>
      </c>
      <c r="AE7" s="1380" t="s">
        <v>45</v>
      </c>
      <c r="AF7" s="1381" t="s">
        <v>44</v>
      </c>
      <c r="AG7" s="1381" t="s">
        <v>45</v>
      </c>
      <c r="AH7" s="1381" t="s">
        <v>44</v>
      </c>
      <c r="AI7" s="1381" t="s">
        <v>45</v>
      </c>
      <c r="AJ7" s="2223"/>
      <c r="AK7" s="2223"/>
      <c r="AL7" s="2223"/>
      <c r="AM7" s="2223"/>
      <c r="AN7" s="2223"/>
      <c r="AO7" s="2223"/>
      <c r="AP7" s="2223"/>
      <c r="AQ7" s="2223"/>
      <c r="AR7" s="2223"/>
      <c r="AS7" s="2223"/>
      <c r="AT7" s="1382"/>
      <c r="AU7" s="1338"/>
      <c r="AV7" s="1383" t="s">
        <v>39</v>
      </c>
      <c r="AW7" s="1384" t="s">
        <v>40</v>
      </c>
      <c r="AX7" s="1385" t="s">
        <v>46</v>
      </c>
      <c r="AY7" s="1385" t="s">
        <v>46</v>
      </c>
      <c r="AZ7" s="1385" t="s">
        <v>47</v>
      </c>
      <c r="BA7" s="1385" t="s">
        <v>47</v>
      </c>
      <c r="BB7" s="1386" t="s">
        <v>48</v>
      </c>
      <c r="BC7" s="1386" t="s">
        <v>49</v>
      </c>
      <c r="BD7" s="1387"/>
      <c r="BE7" s="1383" t="s">
        <v>39</v>
      </c>
      <c r="BF7" s="1385" t="s">
        <v>40</v>
      </c>
      <c r="BG7" s="1385" t="s">
        <v>46</v>
      </c>
      <c r="BH7" s="1385" t="s">
        <v>46</v>
      </c>
      <c r="BI7" s="1385" t="s">
        <v>47</v>
      </c>
      <c r="BJ7" s="1385" t="s">
        <v>47</v>
      </c>
      <c r="BK7" s="1386" t="s">
        <v>48</v>
      </c>
      <c r="BL7" s="1386" t="s">
        <v>49</v>
      </c>
      <c r="BM7" s="1387"/>
      <c r="BN7" s="1383" t="s">
        <v>39</v>
      </c>
      <c r="BO7" s="1385" t="s">
        <v>40</v>
      </c>
      <c r="BP7" s="1385" t="s">
        <v>46</v>
      </c>
      <c r="BQ7" s="1385" t="s">
        <v>46</v>
      </c>
      <c r="BR7" s="1385" t="s">
        <v>47</v>
      </c>
      <c r="BS7" s="1385" t="s">
        <v>47</v>
      </c>
      <c r="BT7" s="1386" t="s">
        <v>48</v>
      </c>
      <c r="BU7" s="1386" t="s">
        <v>49</v>
      </c>
      <c r="BV7" s="1387"/>
      <c r="BW7" s="1383" t="s">
        <v>39</v>
      </c>
      <c r="BX7" s="1385" t="s">
        <v>40</v>
      </c>
      <c r="BY7" s="1385" t="s">
        <v>46</v>
      </c>
      <c r="BZ7" s="1385" t="s">
        <v>46</v>
      </c>
      <c r="CA7" s="1385" t="s">
        <v>47</v>
      </c>
      <c r="CB7" s="1385" t="s">
        <v>47</v>
      </c>
      <c r="CC7" s="1386" t="s">
        <v>48</v>
      </c>
      <c r="CD7" s="1386" t="s">
        <v>49</v>
      </c>
      <c r="CE7" s="1387"/>
      <c r="CF7" s="1383" t="s">
        <v>39</v>
      </c>
      <c r="CG7" s="1385" t="s">
        <v>40</v>
      </c>
      <c r="CH7" s="1385" t="s">
        <v>46</v>
      </c>
      <c r="CI7" s="1385" t="s">
        <v>46</v>
      </c>
      <c r="CJ7" s="1385" t="s">
        <v>47</v>
      </c>
      <c r="CK7" s="1385" t="s">
        <v>47</v>
      </c>
      <c r="CL7" s="1386" t="s">
        <v>48</v>
      </c>
      <c r="CM7" s="1386" t="s">
        <v>49</v>
      </c>
      <c r="CN7" s="1388"/>
      <c r="CP7" s="1389" t="s">
        <v>50</v>
      </c>
      <c r="CQ7" s="1390" t="s">
        <v>39</v>
      </c>
      <c r="CR7" s="1385" t="s">
        <v>40</v>
      </c>
      <c r="CS7" s="1385" t="s">
        <v>46</v>
      </c>
      <c r="CT7" s="1385" t="s">
        <v>46</v>
      </c>
      <c r="CU7" s="1385" t="s">
        <v>47</v>
      </c>
      <c r="CV7" s="1385" t="s">
        <v>47</v>
      </c>
      <c r="CW7" s="1386" t="s">
        <v>48</v>
      </c>
      <c r="CX7" s="1386" t="s">
        <v>49</v>
      </c>
      <c r="CY7" s="1387"/>
      <c r="CZ7" s="1383" t="s">
        <v>39</v>
      </c>
      <c r="DA7" s="1385" t="s">
        <v>40</v>
      </c>
      <c r="DB7" s="1385" t="s">
        <v>46</v>
      </c>
      <c r="DC7" s="1385" t="s">
        <v>46</v>
      </c>
      <c r="DD7" s="1385" t="s">
        <v>47</v>
      </c>
      <c r="DE7" s="1385" t="s">
        <v>47</v>
      </c>
      <c r="DF7" s="1386" t="s">
        <v>48</v>
      </c>
      <c r="DG7" s="1386" t="s">
        <v>49</v>
      </c>
      <c r="DH7" s="1387"/>
      <c r="DI7" s="1383" t="s">
        <v>39</v>
      </c>
      <c r="DJ7" s="1385" t="s">
        <v>40</v>
      </c>
      <c r="DK7" s="1385" t="s">
        <v>46</v>
      </c>
      <c r="DL7" s="1385" t="s">
        <v>46</v>
      </c>
      <c r="DM7" s="1385" t="s">
        <v>47</v>
      </c>
      <c r="DN7" s="1385" t="s">
        <v>47</v>
      </c>
      <c r="DO7" s="1386" t="s">
        <v>48</v>
      </c>
      <c r="DP7" s="1386" t="s">
        <v>49</v>
      </c>
      <c r="DQ7" s="1387"/>
      <c r="DR7" s="1383" t="s">
        <v>39</v>
      </c>
      <c r="DS7" s="1385" t="s">
        <v>40</v>
      </c>
      <c r="DT7" s="1385" t="s">
        <v>46</v>
      </c>
      <c r="DU7" s="1385" t="s">
        <v>46</v>
      </c>
      <c r="DV7" s="1385" t="s">
        <v>47</v>
      </c>
      <c r="DW7" s="1385" t="s">
        <v>47</v>
      </c>
      <c r="DX7" s="1386" t="s">
        <v>48</v>
      </c>
      <c r="DY7" s="1386" t="s">
        <v>49</v>
      </c>
      <c r="DZ7" s="1387"/>
      <c r="EA7" s="1383" t="s">
        <v>39</v>
      </c>
      <c r="EB7" s="1385" t="s">
        <v>40</v>
      </c>
      <c r="EC7" s="1385" t="s">
        <v>46</v>
      </c>
      <c r="ED7" s="1385" t="s">
        <v>46</v>
      </c>
      <c r="EE7" s="1385" t="s">
        <v>47</v>
      </c>
      <c r="EF7" s="1385" t="s">
        <v>47</v>
      </c>
      <c r="EG7" s="1386" t="s">
        <v>48</v>
      </c>
      <c r="EH7" s="1386" t="s">
        <v>49</v>
      </c>
      <c r="EI7" s="1388"/>
      <c r="EK7" s="1391" t="s">
        <v>31</v>
      </c>
      <c r="EL7" s="1392" t="s">
        <v>650</v>
      </c>
      <c r="EM7" s="1393" t="s">
        <v>32</v>
      </c>
      <c r="EN7" s="1394" t="s">
        <v>33</v>
      </c>
      <c r="EO7" s="1395" t="s">
        <v>626</v>
      </c>
      <c r="EP7" s="1395" t="s">
        <v>878</v>
      </c>
      <c r="EQ7" s="1395" t="s">
        <v>482</v>
      </c>
      <c r="ER7" s="1393" t="s">
        <v>34</v>
      </c>
      <c r="ES7" s="1393" t="s">
        <v>35</v>
      </c>
      <c r="ET7" s="1396" t="s">
        <v>564</v>
      </c>
      <c r="EU7" s="1338"/>
      <c r="EV7" s="1397" t="s">
        <v>31</v>
      </c>
      <c r="EW7" s="1398" t="s">
        <v>650</v>
      </c>
      <c r="EX7" s="1398" t="s">
        <v>32</v>
      </c>
      <c r="EY7" s="1398" t="s">
        <v>33</v>
      </c>
      <c r="EZ7" s="1399" t="s">
        <v>642</v>
      </c>
      <c r="FA7" s="1399" t="s">
        <v>481</v>
      </c>
      <c r="FB7" s="1399" t="s">
        <v>482</v>
      </c>
      <c r="FC7" s="1398" t="s">
        <v>34</v>
      </c>
      <c r="FD7" s="1398" t="s">
        <v>35</v>
      </c>
      <c r="FE7" s="1398" t="s">
        <v>36</v>
      </c>
      <c r="FF7" s="1400" t="s">
        <v>447</v>
      </c>
      <c r="FG7" s="1401" t="s">
        <v>21</v>
      </c>
      <c r="FH7" s="1401" t="s">
        <v>448</v>
      </c>
      <c r="FI7" s="1401" t="s">
        <v>449</v>
      </c>
      <c r="FJ7" s="1401" t="s">
        <v>450</v>
      </c>
      <c r="FK7" s="1402" t="s">
        <v>451</v>
      </c>
    </row>
    <row r="8" spans="1:172" s="1414" customFormat="1" ht="15.75" customHeight="1">
      <c r="A8" s="1403"/>
      <c r="B8" s="1404" t="s">
        <v>53</v>
      </c>
      <c r="C8" s="1405"/>
      <c r="D8" s="1406"/>
      <c r="E8" s="1407"/>
      <c r="F8" s="1407"/>
      <c r="G8" s="1408"/>
      <c r="H8" s="1407"/>
      <c r="I8" s="1409"/>
      <c r="J8" s="1409"/>
      <c r="K8" s="1409"/>
      <c r="L8" s="1409" t="s">
        <v>54</v>
      </c>
      <c r="M8" s="1409"/>
      <c r="N8" s="1409"/>
      <c r="O8" s="1410"/>
      <c r="P8" s="1411"/>
      <c r="Q8" s="1411"/>
      <c r="R8" s="1411"/>
      <c r="S8" s="1411"/>
      <c r="T8" s="1411"/>
      <c r="U8" s="1411"/>
      <c r="V8" s="1411"/>
      <c r="W8" s="1411"/>
      <c r="X8" s="1411"/>
      <c r="Y8" s="1411"/>
      <c r="Z8" s="1411"/>
      <c r="AA8" s="1411"/>
      <c r="AB8" s="1411"/>
      <c r="AC8" s="1411"/>
      <c r="AD8" s="1411"/>
      <c r="AE8" s="1411"/>
      <c r="AF8" s="1411"/>
      <c r="AG8" s="1411"/>
      <c r="AH8" s="1411"/>
      <c r="AI8" s="1411"/>
      <c r="AJ8" s="1412"/>
      <c r="AK8" s="1412"/>
      <c r="AL8" s="1412"/>
      <c r="AM8" s="1412"/>
      <c r="AN8" s="1412"/>
      <c r="AO8" s="1412"/>
      <c r="AP8" s="1412"/>
      <c r="AQ8" s="1412"/>
      <c r="AR8" s="1412"/>
      <c r="AS8" s="1412"/>
      <c r="AT8" s="1413"/>
      <c r="AV8" s="1411"/>
      <c r="AW8" s="1411"/>
      <c r="AX8" s="1411"/>
      <c r="AY8" s="1411"/>
      <c r="AZ8" s="1411"/>
      <c r="BA8" s="1411"/>
      <c r="BB8" s="1411"/>
      <c r="BC8" s="1411"/>
      <c r="BD8" s="1413"/>
      <c r="BE8" s="1411"/>
      <c r="BF8" s="1411"/>
      <c r="BG8" s="1411"/>
      <c r="BH8" s="1411"/>
      <c r="BI8" s="1411"/>
      <c r="BJ8" s="1411"/>
      <c r="BK8" s="1411"/>
      <c r="BL8" s="1411"/>
      <c r="BM8" s="1413"/>
      <c r="BN8" s="1411"/>
      <c r="BO8" s="1411"/>
      <c r="BP8" s="1411"/>
      <c r="BQ8" s="1411"/>
      <c r="BR8" s="1411"/>
      <c r="BS8" s="1411"/>
      <c r="BT8" s="1411"/>
      <c r="BU8" s="1411"/>
      <c r="BV8" s="1413"/>
      <c r="BW8" s="1411"/>
      <c r="BX8" s="1411"/>
      <c r="BY8" s="1411"/>
      <c r="BZ8" s="1411"/>
      <c r="CA8" s="1411"/>
      <c r="CB8" s="1411"/>
      <c r="CC8" s="1411"/>
      <c r="CD8" s="1411"/>
      <c r="CE8" s="1413"/>
      <c r="CF8" s="1411"/>
      <c r="CG8" s="1411"/>
      <c r="CH8" s="1411"/>
      <c r="CI8" s="1411"/>
      <c r="CJ8" s="1411"/>
      <c r="CK8" s="1411"/>
      <c r="CL8" s="1411"/>
      <c r="CM8" s="1411"/>
      <c r="CN8" s="1413"/>
      <c r="CP8" s="1415"/>
      <c r="CQ8" s="1411"/>
      <c r="CR8" s="1411"/>
      <c r="CS8" s="1411"/>
      <c r="CT8" s="1411"/>
      <c r="CU8" s="1411"/>
      <c r="CV8" s="1411"/>
      <c r="CW8" s="1411"/>
      <c r="CX8" s="1411"/>
      <c r="CY8" s="1413"/>
      <c r="CZ8" s="1411"/>
      <c r="DA8" s="1411"/>
      <c r="DB8" s="1411"/>
      <c r="DC8" s="1411"/>
      <c r="DD8" s="1411"/>
      <c r="DE8" s="1411"/>
      <c r="DF8" s="1411"/>
      <c r="DG8" s="1411"/>
      <c r="DH8" s="1413"/>
      <c r="DI8" s="1411"/>
      <c r="DJ8" s="1411"/>
      <c r="DK8" s="1411"/>
      <c r="DL8" s="1411"/>
      <c r="DM8" s="1411"/>
      <c r="DN8" s="1411"/>
      <c r="DO8" s="1411"/>
      <c r="DP8" s="1411"/>
      <c r="DQ8" s="1413"/>
      <c r="DR8" s="1411"/>
      <c r="DS8" s="1411"/>
      <c r="DT8" s="1411"/>
      <c r="DU8" s="1411"/>
      <c r="DV8" s="1411"/>
      <c r="DW8" s="1411"/>
      <c r="DX8" s="1411"/>
      <c r="DY8" s="1411"/>
      <c r="DZ8" s="1413"/>
      <c r="EA8" s="1411"/>
      <c r="EB8" s="1411"/>
      <c r="EC8" s="1411"/>
      <c r="ED8" s="1411"/>
      <c r="EE8" s="1411"/>
      <c r="EF8" s="1411"/>
      <c r="EG8" s="1411"/>
      <c r="EH8" s="1411"/>
      <c r="EI8" s="1413"/>
      <c r="EK8" s="1403"/>
      <c r="FF8" s="1409"/>
      <c r="FG8" s="1409"/>
      <c r="FH8" s="1409"/>
      <c r="FI8" s="1409" t="s">
        <v>55</v>
      </c>
      <c r="FJ8" s="1409"/>
      <c r="FK8" s="1409"/>
    </row>
    <row r="9" spans="1:172" s="1414" customFormat="1" ht="15" customHeight="1">
      <c r="A9" s="1403"/>
      <c r="B9" s="1416" t="s">
        <v>56</v>
      </c>
      <c r="C9" s="1405"/>
      <c r="D9" s="1415"/>
      <c r="E9" s="1415"/>
      <c r="F9" s="1411"/>
      <c r="G9" s="1413" t="s">
        <v>405</v>
      </c>
      <c r="H9" s="1411"/>
      <c r="I9" s="1411"/>
      <c r="J9" s="1410"/>
      <c r="K9" s="1410"/>
      <c r="L9" s="1410"/>
      <c r="M9" s="1410"/>
      <c r="N9" s="1410"/>
      <c r="O9" s="1417"/>
      <c r="P9" s="1411"/>
      <c r="Q9" s="1411"/>
      <c r="R9" s="1411"/>
      <c r="S9" s="1411"/>
      <c r="T9" s="1411"/>
      <c r="U9" s="1411"/>
      <c r="V9" s="1411"/>
      <c r="W9" s="1411"/>
      <c r="X9" s="1411"/>
      <c r="Y9" s="1411"/>
      <c r="Z9" s="1411"/>
      <c r="AA9" s="1411"/>
      <c r="AB9" s="1411"/>
      <c r="AC9" s="1411"/>
      <c r="AD9" s="1411"/>
      <c r="AE9" s="1411"/>
      <c r="AF9" s="1411"/>
      <c r="AG9" s="1411"/>
      <c r="AH9" s="1411"/>
      <c r="AI9" s="1411"/>
      <c r="AJ9" s="1411"/>
      <c r="AK9" s="1411"/>
      <c r="AL9" s="1411"/>
      <c r="AM9" s="1411"/>
      <c r="AN9" s="1411"/>
      <c r="AO9" s="1411"/>
      <c r="AP9" s="1411"/>
      <c r="AQ9" s="1411"/>
      <c r="AR9" s="1411"/>
      <c r="AS9" s="1411"/>
      <c r="AT9" s="1411"/>
      <c r="AV9" s="1411"/>
      <c r="AW9" s="1411"/>
      <c r="AX9" s="1411"/>
      <c r="AY9" s="1411"/>
      <c r="AZ9" s="1411"/>
      <c r="BA9" s="1411"/>
      <c r="BB9" s="1411"/>
      <c r="BC9" s="1411"/>
      <c r="BD9" s="1413"/>
      <c r="BE9" s="1411"/>
      <c r="BF9" s="1411"/>
      <c r="BG9" s="1411"/>
      <c r="BH9" s="1411"/>
      <c r="BI9" s="1411"/>
      <c r="BJ9" s="1411"/>
      <c r="BK9" s="1411"/>
      <c r="BL9" s="1411"/>
      <c r="BM9" s="1413"/>
      <c r="BN9" s="1411"/>
      <c r="BO9" s="1411"/>
      <c r="BP9" s="1411"/>
      <c r="BQ9" s="1411"/>
      <c r="BR9" s="1411"/>
      <c r="BS9" s="1411"/>
      <c r="BT9" s="1411"/>
      <c r="BU9" s="1411"/>
      <c r="BV9" s="1413"/>
      <c r="BW9" s="1413"/>
      <c r="BX9" s="1413"/>
      <c r="BY9" s="1413"/>
      <c r="BZ9" s="1413"/>
      <c r="CA9" s="1413"/>
      <c r="CB9" s="1413"/>
      <c r="CC9" s="1413"/>
      <c r="CD9" s="1413"/>
      <c r="CE9" s="1413"/>
      <c r="CF9" s="1413"/>
      <c r="CG9" s="1413"/>
      <c r="CH9" s="1413"/>
      <c r="CI9" s="1413"/>
      <c r="CJ9" s="1413"/>
      <c r="CK9" s="1413"/>
      <c r="CL9" s="1413"/>
      <c r="CM9" s="1413"/>
      <c r="CN9" s="1413"/>
      <c r="CP9" s="1415"/>
      <c r="CQ9" s="1411"/>
      <c r="CR9" s="1411"/>
      <c r="CS9" s="1411"/>
      <c r="CT9" s="1411"/>
      <c r="CU9" s="1411"/>
      <c r="CV9" s="1411"/>
      <c r="CW9" s="1411"/>
      <c r="CX9" s="1411"/>
      <c r="CY9" s="1413"/>
      <c r="CZ9" s="1411"/>
      <c r="DA9" s="1411"/>
      <c r="DB9" s="1411"/>
      <c r="DC9" s="1411"/>
      <c r="DD9" s="1411"/>
      <c r="DE9" s="1411"/>
      <c r="DF9" s="1411"/>
      <c r="DG9" s="1411"/>
      <c r="DH9" s="1413"/>
      <c r="DI9" s="1411"/>
      <c r="DJ9" s="1411"/>
      <c r="DK9" s="1411"/>
      <c r="DL9" s="1411"/>
      <c r="DM9" s="1411"/>
      <c r="DN9" s="1411"/>
      <c r="DO9" s="1411"/>
      <c r="DP9" s="1411"/>
      <c r="DQ9" s="1413"/>
      <c r="DR9" s="1413"/>
      <c r="DS9" s="1413"/>
      <c r="DT9" s="1413"/>
      <c r="DU9" s="1413"/>
      <c r="DV9" s="1413"/>
      <c r="DW9" s="1413"/>
      <c r="DX9" s="1413"/>
      <c r="DY9" s="1413"/>
      <c r="DZ9" s="1413"/>
      <c r="EA9" s="1413"/>
      <c r="EB9" s="1413"/>
      <c r="EC9" s="1413"/>
      <c r="ED9" s="1413"/>
      <c r="EE9" s="1413"/>
      <c r="EF9" s="1413"/>
      <c r="EG9" s="1413"/>
      <c r="EH9" s="1413"/>
      <c r="EI9" s="1413"/>
      <c r="EK9" s="1418"/>
      <c r="FF9" s="1411"/>
      <c r="FG9" s="1410"/>
      <c r="FH9" s="1410"/>
      <c r="FI9" s="1410"/>
      <c r="FJ9" s="1410"/>
      <c r="FK9" s="1410"/>
    </row>
    <row r="10" spans="1:172" s="331" customFormat="1" ht="15" customHeight="1" outlineLevel="1">
      <c r="A10" s="415">
        <v>1</v>
      </c>
      <c r="B10" s="311" t="s">
        <v>536</v>
      </c>
      <c r="C10" s="312" t="s">
        <v>57</v>
      </c>
      <c r="D10" s="313" t="s">
        <v>11</v>
      </c>
      <c r="E10" s="315">
        <v>19750</v>
      </c>
      <c r="F10" s="315">
        <v>250</v>
      </c>
      <c r="G10" s="1970">
        <f t="shared" ref="G10:G18" si="0">+E10+F10</f>
        <v>20000</v>
      </c>
      <c r="H10" s="315">
        <v>30</v>
      </c>
      <c r="I10" s="318">
        <v>0</v>
      </c>
      <c r="J10" s="318">
        <v>1</v>
      </c>
      <c r="K10" s="318">
        <v>0</v>
      </c>
      <c r="L10" s="318">
        <v>0</v>
      </c>
      <c r="M10" s="318">
        <v>0</v>
      </c>
      <c r="N10" s="318">
        <f t="shared" ref="N10:N17" si="1">SUM(I10:M10)</f>
        <v>1</v>
      </c>
      <c r="O10" s="319"/>
      <c r="P10" s="321"/>
      <c r="Q10" s="315">
        <f t="shared" ref="Q10:Q18" si="2">($E10/30/8*1.5)*P10</f>
        <v>0</v>
      </c>
      <c r="R10" s="321"/>
      <c r="S10" s="1419">
        <v>0</v>
      </c>
      <c r="T10" s="321"/>
      <c r="U10" s="315">
        <f t="shared" ref="U10:U18" si="3">($E10/30/8*1.5)*T10</f>
        <v>0</v>
      </c>
      <c r="V10" s="321"/>
      <c r="W10" s="315">
        <f t="shared" ref="W10:W18" si="4">($E10/30/8*2)*V10</f>
        <v>0</v>
      </c>
      <c r="X10" s="321"/>
      <c r="Y10" s="315">
        <f t="shared" ref="Y10:Y18" si="5">(($E10/30/8)*1.5)*X10</f>
        <v>0</v>
      </c>
      <c r="Z10" s="322"/>
      <c r="AA10" s="315">
        <f t="shared" ref="AA10:AA18" si="6">(($E10/30/8)*2)*Z10</f>
        <v>0</v>
      </c>
      <c r="AB10" s="322"/>
      <c r="AC10" s="315">
        <f>(($E10/30/8)*1.5)*AB10</f>
        <v>0</v>
      </c>
      <c r="AD10" s="322"/>
      <c r="AE10" s="315">
        <f>(($E10/30/8)*2)*AD10</f>
        <v>0</v>
      </c>
      <c r="AF10" s="315"/>
      <c r="AG10" s="315">
        <f>(($E10/30/8)*1.5)*AF10</f>
        <v>0</v>
      </c>
      <c r="AH10" s="322"/>
      <c r="AI10" s="315">
        <f>(($E10/30/8)*2)*AH10</f>
        <v>0</v>
      </c>
      <c r="AJ10" s="315"/>
      <c r="AK10" s="315"/>
      <c r="AL10" s="315"/>
      <c r="AM10" s="315"/>
      <c r="AN10" s="315"/>
      <c r="AO10" s="315"/>
      <c r="AP10" s="315"/>
      <c r="AQ10" s="315"/>
      <c r="AR10" s="315"/>
      <c r="AS10" s="315"/>
      <c r="AT10" s="315"/>
      <c r="AU10" s="313"/>
      <c r="AV10" s="315">
        <f t="shared" ref="AV10:AV13" si="7">(($E10/30)*$H10)*$I10</f>
        <v>0</v>
      </c>
      <c r="AW10" s="315">
        <f>(($F10/30)*$H10)*$I10</f>
        <v>0</v>
      </c>
      <c r="AX10" s="315">
        <f t="shared" ref="AX10:BA18" si="8">P10</f>
        <v>0</v>
      </c>
      <c r="AY10" s="315">
        <f t="shared" si="8"/>
        <v>0</v>
      </c>
      <c r="AZ10" s="315">
        <f t="shared" si="8"/>
        <v>0</v>
      </c>
      <c r="BA10" s="315">
        <f t="shared" si="8"/>
        <v>0</v>
      </c>
      <c r="BB10" s="315">
        <f t="shared" ref="BB10:BB18" si="9">AJ10+AO10</f>
        <v>0</v>
      </c>
      <c r="BC10" s="315">
        <f t="shared" ref="BC10:BC18" si="10">(AV10+AY10+BA10)*0.1267</f>
        <v>0</v>
      </c>
      <c r="BD10" s="315">
        <f t="shared" ref="BD10:BD18" si="11">SUM(AV10:BC10)-AX10-AZ10</f>
        <v>0</v>
      </c>
      <c r="BE10" s="315">
        <f t="shared" ref="BE10:BE18" si="12">(($E10/30)*$H10)*$J10</f>
        <v>19750</v>
      </c>
      <c r="BF10" s="315">
        <f>(($F10/30)*$H10)*$J10</f>
        <v>250.00000000000003</v>
      </c>
      <c r="BG10" s="315">
        <f t="shared" ref="BG10:BJ18" si="13">T10</f>
        <v>0</v>
      </c>
      <c r="BH10" s="315">
        <f t="shared" si="13"/>
        <v>0</v>
      </c>
      <c r="BI10" s="315">
        <f t="shared" si="13"/>
        <v>0</v>
      </c>
      <c r="BJ10" s="315">
        <f t="shared" si="13"/>
        <v>0</v>
      </c>
      <c r="BK10" s="315">
        <f t="shared" ref="BK10:BK18" si="14">AK10+AP10</f>
        <v>0</v>
      </c>
      <c r="BL10" s="315">
        <v>0</v>
      </c>
      <c r="BM10" s="314">
        <f t="shared" ref="BM10:BM17" si="15">SUM(BE10:BL10)-BG10-BI10</f>
        <v>20000</v>
      </c>
      <c r="BN10" s="315">
        <f t="shared" ref="BN10:BN18" si="16">(($E10/30)*$H10)*$K10</f>
        <v>0</v>
      </c>
      <c r="BO10" s="315">
        <f>(($F10/30)*$H10)*$K10</f>
        <v>0</v>
      </c>
      <c r="BP10" s="315">
        <f t="shared" ref="BP10:BR18" si="17">X10</f>
        <v>0</v>
      </c>
      <c r="BQ10" s="315">
        <f t="shared" si="17"/>
        <v>0</v>
      </c>
      <c r="BR10" s="315">
        <f t="shared" si="17"/>
        <v>0</v>
      </c>
      <c r="BS10" s="315">
        <f t="shared" ref="BS10:BS18" si="18">AA10</f>
        <v>0</v>
      </c>
      <c r="BT10" s="315">
        <f t="shared" ref="BT10:BT18" si="19">AL10+AQ10</f>
        <v>0</v>
      </c>
      <c r="BU10" s="315">
        <v>0</v>
      </c>
      <c r="BV10" s="315">
        <f t="shared" ref="BV10:BV17" si="20">SUM(BN10:BU10)-BP10-BR10</f>
        <v>0</v>
      </c>
      <c r="BW10" s="1420">
        <f>(($E10/30)*$H10)*$L10</f>
        <v>0</v>
      </c>
      <c r="BX10" s="1421">
        <f>(($F10/30)*$H10)*$L10</f>
        <v>0</v>
      </c>
      <c r="BY10" s="1421">
        <f t="shared" ref="BY10:CB11" si="21">AB10</f>
        <v>0</v>
      </c>
      <c r="BZ10" s="1421">
        <f t="shared" si="21"/>
        <v>0</v>
      </c>
      <c r="CA10" s="1421">
        <f t="shared" si="21"/>
        <v>0</v>
      </c>
      <c r="CB10" s="1421">
        <f t="shared" si="21"/>
        <v>0</v>
      </c>
      <c r="CC10" s="1421">
        <f>AM10+AR10</f>
        <v>0</v>
      </c>
      <c r="CD10" s="1422">
        <f>(BW10+BZ10+CB10)*0.1267</f>
        <v>0</v>
      </c>
      <c r="CE10" s="1423">
        <f>SUM(BW10:CD10)-BY10-CA10</f>
        <v>0</v>
      </c>
      <c r="CF10" s="1424">
        <f>(($E10/30)*$H10)*M10</f>
        <v>0</v>
      </c>
      <c r="CG10" s="1421">
        <f>(($F10/30)*$H10)*$M10</f>
        <v>0</v>
      </c>
      <c r="CH10" s="1421">
        <f>+AF10</f>
        <v>0</v>
      </c>
      <c r="CI10" s="1421">
        <f t="shared" ref="CI10:CK10" si="22">AG10</f>
        <v>0</v>
      </c>
      <c r="CJ10" s="1421">
        <f t="shared" si="22"/>
        <v>0</v>
      </c>
      <c r="CK10" s="1421">
        <f t="shared" si="22"/>
        <v>0</v>
      </c>
      <c r="CL10" s="1421">
        <f>AN10+AS10</f>
        <v>0</v>
      </c>
      <c r="CM10" s="1422">
        <f>(CF10+CI10+CK10)*0.1267</f>
        <v>0</v>
      </c>
      <c r="CN10" s="1422">
        <f>SUM(CF10:CM10)-CH10-CJ10</f>
        <v>0</v>
      </c>
      <c r="CO10" s="330"/>
      <c r="CP10" s="313" t="s">
        <v>11</v>
      </c>
      <c r="CQ10" s="315">
        <f t="shared" ref="CQ10:CQ18" si="23">IF($CP10="PROQUIMA",$AV10+$BE10+$BN10+$BW10+$CF10,0)</f>
        <v>0</v>
      </c>
      <c r="CR10" s="315">
        <f t="shared" ref="CR10:CR18" si="24">IF($CP10="PROQUIMA",$AW10+$BF10+$BO10+$BX10+$CG10,0)</f>
        <v>0</v>
      </c>
      <c r="CS10" s="315">
        <f t="shared" ref="CS10:CS18" si="25">IF($CP10="PROQUIMA",$AX10+$BG10+$BP10+$BY10+$CH10,0)</f>
        <v>0</v>
      </c>
      <c r="CT10" s="315">
        <f t="shared" ref="CT10:CT18" si="26">IF($CP10="PROQUIMA",$AY10+$BH10+$BQ10+$BZ10+$CI10,0)</f>
        <v>0</v>
      </c>
      <c r="CU10" s="315">
        <f t="shared" ref="CU10:CU18" si="27">IF($CP10="PROQUIMA",$AZ10+$BI10+$BR10+$CA10+$CJ10,0)</f>
        <v>0</v>
      </c>
      <c r="CV10" s="315">
        <f t="shared" ref="CV10:CV18" si="28">IF($CP10="PROQUIMA",$BA10+$BJ10+$BS10+$CB10+$CK10,0)</f>
        <v>0</v>
      </c>
      <c r="CW10" s="315">
        <f t="shared" ref="CW10:CW18" si="29">IF($CP10="PROQUIMA",$BB10+$BK10+$BT10+$CC10+$CL10,0)</f>
        <v>0</v>
      </c>
      <c r="CX10" s="315">
        <f t="shared" ref="CX10:CX18" si="30">IF($CP10="PROQUIMA",$BC10+$BL10+$BU10+$CD10+CM10,0)</f>
        <v>0</v>
      </c>
      <c r="CY10" s="315">
        <f t="shared" ref="CY10:CY18" si="31">SUM(CQ10:CX10)-CS10-CU10</f>
        <v>0</v>
      </c>
      <c r="CZ10" s="315">
        <f t="shared" ref="CZ10:CZ18" si="32">IF($CP10="UNHESA",$AV10+$BE10+$BN10+$BW10+$CF10,0)</f>
        <v>19750</v>
      </c>
      <c r="DA10" s="315">
        <f t="shared" ref="DA10:DA18" si="33">IF($CP10="UNHESA",$AW10+$BF10+$BO10+$BX10+$CG10,0)</f>
        <v>250.00000000000003</v>
      </c>
      <c r="DB10" s="315">
        <f t="shared" ref="DB10:DB18" si="34">IF($CP10="UNHESA",$AX10+$BG10+$BP10+$BY10+$CH10,0)</f>
        <v>0</v>
      </c>
      <c r="DC10" s="315">
        <f t="shared" ref="DC10:DC18" si="35">IF($CP10="UNHESA",$AY10+$BH10+$BQ10+$BZ10+$CI10,0)</f>
        <v>0</v>
      </c>
      <c r="DD10" s="315">
        <f t="shared" ref="DD10:DD18" si="36">IF($CP10="UNHESA",$AZ10+$BI10+$BR10+$CA10+$CJ10,0)</f>
        <v>0</v>
      </c>
      <c r="DE10" s="315">
        <f t="shared" ref="DE10:DE18" si="37">IF($CP10="UNHESA",$BA10+$BJ10+$BS10+$CB10+$CK10,0)</f>
        <v>0</v>
      </c>
      <c r="DF10" s="315">
        <f t="shared" ref="DF10:DF18" si="38">IF($CP10="UNHESA",$BB10+$BK10+$BT10+$CC10+$CL10,0)</f>
        <v>0</v>
      </c>
      <c r="DG10" s="315">
        <f t="shared" ref="DG10:DG18" si="39">IF($CP10="UNHESA",$BC10+$BL10+$BU10+$CD10+$CM10,0)</f>
        <v>0</v>
      </c>
      <c r="DH10" s="315">
        <f t="shared" ref="DH10:DH17" si="40">SUM(CZ10:DG10)-DB10-DD10</f>
        <v>20000</v>
      </c>
      <c r="DI10" s="315">
        <f>IF($CP10="UNHESA LIQUIDOS",$AV10+$BE10+$BN10+$BW10+$CF10,0)</f>
        <v>0</v>
      </c>
      <c r="DJ10" s="315">
        <f>IF($CP10="CALIDUL",$AW10+$BF10+$BO10+$BX10+$CG10,0)</f>
        <v>0</v>
      </c>
      <c r="DK10" s="315">
        <f>IF($CP10="CALIDUL",$AX10+$BG10+$BP10+$BY10+$CH10,0)</f>
        <v>0</v>
      </c>
      <c r="DL10" s="315">
        <f>IF($CP10="CALIDUL",$AY10+$BH10+$BQ10+$BZ10+$CI10,0)</f>
        <v>0</v>
      </c>
      <c r="DM10" s="315">
        <f>IF($CP10="CALIDUL",$AZ10+$BI10+$BR10+$CA10+$CJ10,0)</f>
        <v>0</v>
      </c>
      <c r="DN10" s="315">
        <f>IF($CP10="CALIDUL",$BA10+$BJ10+$BS10+$CB10+$CK10,0)</f>
        <v>0</v>
      </c>
      <c r="DO10" s="315">
        <f>IF($CP10="CALIDUL",$BB10+$BK10+$BT10+$CC10+$CL10,0)</f>
        <v>0</v>
      </c>
      <c r="DP10" s="315">
        <f>IF($CP10="CALIDUL",$BC10+$BL10+$BU10+$CD10+$CM10,0)</f>
        <v>0</v>
      </c>
      <c r="DQ10" s="315">
        <f>SUM(DI10:DP10)-DK10-DM10</f>
        <v>0</v>
      </c>
      <c r="DR10" s="1420">
        <f>IF($CP10="ECONACIONAL",$AV10+$BE10+$BN10+$BW10+$CF10,0)</f>
        <v>0</v>
      </c>
      <c r="DS10" s="1421">
        <f>IF($CP10="ECONACIONAL",$AW10+$BF10+$BO10+$BX10+$CG10,0)</f>
        <v>0</v>
      </c>
      <c r="DT10" s="1421">
        <f>IF($CP10="ECONACIONAL",$AX10+$BG10+$BP10+$BY10+$CH10,0)</f>
        <v>0</v>
      </c>
      <c r="DU10" s="1421">
        <f>IF($CP10="ECONACIONAL",$AY10+$BH10+$BQ10+$BZ10+$CI10,0)</f>
        <v>0</v>
      </c>
      <c r="DV10" s="1421">
        <f>IF($CP10="ECONACIONAL",$AZ10+$BI10+$BR10+$CA10+$CJ10,0)</f>
        <v>0</v>
      </c>
      <c r="DW10" s="1421">
        <f>IF($CP10="ECONACIONAL",$BA10+$BJ10+$BS10+$CB10+$CK10,0)</f>
        <v>0</v>
      </c>
      <c r="DX10" s="1422">
        <f>IF($CP10="ECONACIONAL",$BB10+$BK10+$BT10+$CC10+$CL10,0)</f>
        <v>0</v>
      </c>
      <c r="DY10" s="1422">
        <f>IF($CP10="ECONACIONAL",$BC10+$BL10+$BU10+$CD10+$CM10,0)</f>
        <v>0</v>
      </c>
      <c r="DZ10" s="1423">
        <f>SUM(DR10:DY10)-DT10-DV10</f>
        <v>0</v>
      </c>
      <c r="EA10" s="1420">
        <f>IF($CP10="CLEARTEC",$AV10+$BE10+$BN10+$BW10+$CF10,0)</f>
        <v>0</v>
      </c>
      <c r="EB10" s="1421">
        <f>IF($CP10="CLEARTEC",$AW10+$BF10+$BO10+$BX10+$CG10,0)</f>
        <v>0</v>
      </c>
      <c r="EC10" s="1421">
        <f>IF($CP10="CLEARTEC",$AX10+$BG10+$BP10+$BY10+$CH10,0)</f>
        <v>0</v>
      </c>
      <c r="ED10" s="1421">
        <f>IF($CP10="CLEARTEC",$AY10+$BH10+$BQ10+$BZ10+$CI10,0)</f>
        <v>0</v>
      </c>
      <c r="EE10" s="1421">
        <f>IF($CP10="CLEARTEC",$AZ10+$BI10+$BR10+$CA10+$CJ10,0)</f>
        <v>0</v>
      </c>
      <c r="EF10" s="1421">
        <f>IF($CP10="CLEARTEC",$BA10+$BJ10+$BS10+$CB10+$CK10,0)</f>
        <v>0</v>
      </c>
      <c r="EG10" s="1422">
        <f>IF($CP10="CLEARTEC",$BB10+$BK10+$BT10+$CC10+$CL10,0)</f>
        <v>0</v>
      </c>
      <c r="EH10" s="1422">
        <f>IF($CP10="CLEARTEC",$BC10+$BL10+$BU10+$CD10+$CM10,0)</f>
        <v>0</v>
      </c>
      <c r="EI10" s="1422">
        <f>SUM(EA10:EH10)-EC10-EE10</f>
        <v>0</v>
      </c>
      <c r="EJ10" s="330"/>
      <c r="EK10" s="312"/>
      <c r="EL10" s="313"/>
      <c r="EM10" s="1425"/>
      <c r="EN10" s="313"/>
      <c r="EO10" s="313"/>
      <c r="EP10" s="313"/>
      <c r="EQ10" s="313"/>
      <c r="ER10" s="313"/>
      <c r="ES10" s="313"/>
      <c r="ET10" s="313">
        <f t="shared" ref="ET10:ET12" si="41">+EO10+EP10+EQ10</f>
        <v>0</v>
      </c>
      <c r="EV10" s="321">
        <f t="shared" ref="EV10:EV18" si="42">IF($H10&lt;=15,EK10/2,EK10)</f>
        <v>0</v>
      </c>
      <c r="EW10" s="321">
        <f t="shared" ref="EW10:FE11" si="43">IF($H10&lt;=15,EL10/2,EL10)</f>
        <v>0</v>
      </c>
      <c r="EX10" s="321">
        <f t="shared" si="43"/>
        <v>0</v>
      </c>
      <c r="EY10" s="321">
        <f t="shared" si="43"/>
        <v>0</v>
      </c>
      <c r="EZ10" s="321">
        <f t="shared" si="43"/>
        <v>0</v>
      </c>
      <c r="FA10" s="321">
        <f t="shared" si="43"/>
        <v>0</v>
      </c>
      <c r="FB10" s="321">
        <f t="shared" ref="FB10:FB18" si="44">IF($H10&lt;=15,EQ10/2,EQ10)</f>
        <v>0</v>
      </c>
      <c r="FC10" s="321">
        <f t="shared" si="43"/>
        <v>0</v>
      </c>
      <c r="FD10" s="321">
        <f t="shared" si="43"/>
        <v>0</v>
      </c>
      <c r="FE10" s="321">
        <f t="shared" si="43"/>
        <v>0</v>
      </c>
      <c r="FF10" s="332">
        <v>0</v>
      </c>
      <c r="FG10" s="332">
        <v>1</v>
      </c>
      <c r="FH10" s="332">
        <v>0</v>
      </c>
      <c r="FI10" s="332">
        <v>0</v>
      </c>
      <c r="FJ10" s="332">
        <v>0</v>
      </c>
      <c r="FK10" s="332">
        <v>1</v>
      </c>
      <c r="FL10" s="331">
        <f>+EP10-FA10</f>
        <v>0</v>
      </c>
    </row>
    <row r="11" spans="1:172" s="1944" customFormat="1" ht="15" customHeight="1" outlineLevel="1">
      <c r="A11" s="1966">
        <f>+A10+1</f>
        <v>2</v>
      </c>
      <c r="B11" s="1965" t="s">
        <v>751</v>
      </c>
      <c r="C11" s="1964" t="s">
        <v>752</v>
      </c>
      <c r="D11" s="1989" t="s">
        <v>10</v>
      </c>
      <c r="E11" s="1963">
        <v>61000</v>
      </c>
      <c r="F11" s="1963">
        <v>250</v>
      </c>
      <c r="G11" s="1962">
        <f>+E11+F11</f>
        <v>61250</v>
      </c>
      <c r="H11" s="1963">
        <v>30</v>
      </c>
      <c r="I11" s="1961">
        <v>1</v>
      </c>
      <c r="J11" s="1961">
        <v>0</v>
      </c>
      <c r="K11" s="1961">
        <v>0</v>
      </c>
      <c r="L11" s="1961">
        <v>0</v>
      </c>
      <c r="M11" s="1961">
        <v>0</v>
      </c>
      <c r="N11" s="1961">
        <f>SUM(I11:M11)</f>
        <v>1</v>
      </c>
      <c r="O11" s="1960"/>
      <c r="P11" s="1959"/>
      <c r="Q11" s="1963">
        <f t="shared" ref="Q11" si="45">($E11/30/8*1.5)*P11</f>
        <v>0</v>
      </c>
      <c r="R11" s="1959"/>
      <c r="S11" s="1963">
        <f t="shared" ref="S11" si="46">($E11/30/8*2)*R11</f>
        <v>0</v>
      </c>
      <c r="T11" s="1959"/>
      <c r="U11" s="1963">
        <f t="shared" ref="U11" si="47">($E11/30/8*1.5)*T11</f>
        <v>0</v>
      </c>
      <c r="V11" s="1959"/>
      <c r="W11" s="1963">
        <f t="shared" ref="W11" si="48">($E11/30/8*2)*V11</f>
        <v>0</v>
      </c>
      <c r="X11" s="1959"/>
      <c r="Y11" s="1963">
        <f t="shared" ref="Y11" si="49">(($E11/30/8)*1.5)*X11</f>
        <v>0</v>
      </c>
      <c r="Z11" s="1958"/>
      <c r="AA11" s="1963">
        <f t="shared" ref="AA11" si="50">(($E11/30/8)*2)*Z11</f>
        <v>0</v>
      </c>
      <c r="AB11" s="1957"/>
      <c r="AC11" s="1963">
        <f t="shared" ref="AC11" si="51">(($E11/30/8)*1.5)*AB11</f>
        <v>0</v>
      </c>
      <c r="AD11" s="1957"/>
      <c r="AE11" s="1963">
        <f t="shared" ref="AE11" si="52">(($E11/30/8)*2)*AD11</f>
        <v>0</v>
      </c>
      <c r="AF11" s="1956"/>
      <c r="AG11" s="1963">
        <f t="shared" ref="AG11" si="53">(($E11/30/8)*1.5)*AF11</f>
        <v>0</v>
      </c>
      <c r="AH11" s="1957"/>
      <c r="AI11" s="1963">
        <f t="shared" ref="AI11" si="54">(($E11/30/8)*2)*AH11</f>
        <v>0</v>
      </c>
      <c r="AJ11" s="1956"/>
      <c r="AK11" s="1956"/>
      <c r="AL11" s="1956"/>
      <c r="AM11" s="1956"/>
      <c r="AN11" s="1956"/>
      <c r="AO11" s="1956"/>
      <c r="AP11" s="1956"/>
      <c r="AQ11" s="1956"/>
      <c r="AR11" s="1956"/>
      <c r="AS11" s="1956"/>
      <c r="AT11" s="1963"/>
      <c r="AU11" s="1989"/>
      <c r="AV11" s="1963">
        <f>(($E11/30)*$H11)*$I11</f>
        <v>61000</v>
      </c>
      <c r="AW11" s="1955">
        <f>(($F11/30)*$H11)*$I11</f>
        <v>250.00000000000003</v>
      </c>
      <c r="AX11" s="1963">
        <f t="shared" si="8"/>
        <v>0</v>
      </c>
      <c r="AY11" s="1963">
        <f t="shared" si="8"/>
        <v>0</v>
      </c>
      <c r="AZ11" s="1963">
        <f t="shared" si="8"/>
        <v>0</v>
      </c>
      <c r="BA11" s="1963">
        <f t="shared" si="8"/>
        <v>0</v>
      </c>
      <c r="BB11" s="1963">
        <f>AJ11+AO11</f>
        <v>0</v>
      </c>
      <c r="BC11" s="1963">
        <f>(AV11+AY11+BA11)*0.1267</f>
        <v>7728.7000000000007</v>
      </c>
      <c r="BD11" s="1963">
        <f>SUM(AV11:BC11)-AX11-AZ11</f>
        <v>68978.7</v>
      </c>
      <c r="BE11" s="1963">
        <f t="shared" si="12"/>
        <v>0</v>
      </c>
      <c r="BF11" s="1963">
        <f t="shared" ref="BF11:BF13" si="55">(($F11/30)*$H11)*$J11</f>
        <v>0</v>
      </c>
      <c r="BG11" s="1963">
        <f t="shared" si="13"/>
        <v>0</v>
      </c>
      <c r="BH11" s="1963">
        <f t="shared" si="13"/>
        <v>0</v>
      </c>
      <c r="BI11" s="1963">
        <f t="shared" si="13"/>
        <v>0</v>
      </c>
      <c r="BJ11" s="1963">
        <f t="shared" si="13"/>
        <v>0</v>
      </c>
      <c r="BK11" s="1963">
        <f>AK11+AP11</f>
        <v>0</v>
      </c>
      <c r="BL11" s="1963">
        <v>0</v>
      </c>
      <c r="BM11" s="1962">
        <f>SUM(BE11:BL11)-BG11-BI11</f>
        <v>0</v>
      </c>
      <c r="BN11" s="1963">
        <f t="shared" si="16"/>
        <v>0</v>
      </c>
      <c r="BO11" s="1963">
        <f t="shared" ref="BO11:BO18" si="56">(($F11/30)*$H11)*$K11</f>
        <v>0</v>
      </c>
      <c r="BP11" s="1963">
        <f t="shared" si="17"/>
        <v>0</v>
      </c>
      <c r="BQ11" s="1963">
        <f t="shared" si="17"/>
        <v>0</v>
      </c>
      <c r="BR11" s="1963">
        <f t="shared" si="17"/>
        <v>0</v>
      </c>
      <c r="BS11" s="1963">
        <f t="shared" ref="BS11" si="57">AA11</f>
        <v>0</v>
      </c>
      <c r="BT11" s="1963">
        <f>AL11+AQ11</f>
        <v>0</v>
      </c>
      <c r="BU11" s="1963">
        <v>0</v>
      </c>
      <c r="BV11" s="1963">
        <f>SUM(BN11:BU11)-BP11-BR11</f>
        <v>0</v>
      </c>
      <c r="BW11" s="1954">
        <f t="shared" ref="BW11:BW13" si="58">(($E11/30)*$H11)*$L11</f>
        <v>0</v>
      </c>
      <c r="BX11" s="1953">
        <f t="shared" ref="BX11:BX13" si="59">(($F11/30)*$H11)*$L11</f>
        <v>0</v>
      </c>
      <c r="BY11" s="1953">
        <f t="shared" si="21"/>
        <v>0</v>
      </c>
      <c r="BZ11" s="1953">
        <f t="shared" si="21"/>
        <v>0</v>
      </c>
      <c r="CA11" s="1953">
        <f t="shared" si="21"/>
        <v>0</v>
      </c>
      <c r="CB11" s="1953">
        <f t="shared" si="21"/>
        <v>0</v>
      </c>
      <c r="CC11" s="1953">
        <f t="shared" ref="CC11" si="60">AM11+AR11</f>
        <v>0</v>
      </c>
      <c r="CD11" s="1952">
        <f t="shared" ref="CD11" si="61">(BW11+BZ11+CB11)*0.1267</f>
        <v>0</v>
      </c>
      <c r="CE11" s="1951">
        <f t="shared" ref="CE11" si="62">SUM(BW11:CD11)-BY11-CA11</f>
        <v>0</v>
      </c>
      <c r="CF11" s="1950">
        <f t="shared" ref="CF11:CF12" si="63">(($E11/30)*$H11)*M11</f>
        <v>0</v>
      </c>
      <c r="CG11" s="1953">
        <f t="shared" ref="CG11:CG14" si="64">(($F11/30)*$H11)*$M11</f>
        <v>0</v>
      </c>
      <c r="CH11" s="1953">
        <f t="shared" ref="CH11:CH12" si="65">+AF11</f>
        <v>0</v>
      </c>
      <c r="CI11" s="1953">
        <f t="shared" ref="CI11:CI15" si="66">AG11</f>
        <v>0</v>
      </c>
      <c r="CJ11" s="1953">
        <f t="shared" ref="CJ11:CJ15" si="67">AH11</f>
        <v>0</v>
      </c>
      <c r="CK11" s="1953">
        <f t="shared" ref="CK11:CK15" si="68">AI11</f>
        <v>0</v>
      </c>
      <c r="CL11" s="1953">
        <f t="shared" ref="CL11:CL12" si="69">AN11+AS11</f>
        <v>0</v>
      </c>
      <c r="CM11" s="1952">
        <f t="shared" ref="CM11:CM12" si="70">(CF11+CI11+CK11)*0.1267</f>
        <v>0</v>
      </c>
      <c r="CN11" s="1952">
        <f t="shared" ref="CN11:CN12" si="71">SUM(CF11:CM11)-CH11-CJ11</f>
        <v>0</v>
      </c>
      <c r="CO11" s="1949"/>
      <c r="CP11" s="1989" t="s">
        <v>10</v>
      </c>
      <c r="CQ11" s="1963">
        <f t="shared" si="23"/>
        <v>61000</v>
      </c>
      <c r="CR11" s="1963">
        <f t="shared" si="24"/>
        <v>250.00000000000003</v>
      </c>
      <c r="CS11" s="1963">
        <f t="shared" si="25"/>
        <v>0</v>
      </c>
      <c r="CT11" s="1963">
        <f t="shared" si="26"/>
        <v>0</v>
      </c>
      <c r="CU11" s="1963">
        <f t="shared" si="27"/>
        <v>0</v>
      </c>
      <c r="CV11" s="1963">
        <f t="shared" si="28"/>
        <v>0</v>
      </c>
      <c r="CW11" s="1963">
        <f t="shared" si="29"/>
        <v>0</v>
      </c>
      <c r="CX11" s="1963">
        <f>IF($CP11="PROQUIMA",$BC11+$BL11+$BU11+$CD11+CM11,0)</f>
        <v>7728.7000000000007</v>
      </c>
      <c r="CY11" s="1963">
        <f>SUM(CQ11:CX11)-CS11-CU11</f>
        <v>68978.7</v>
      </c>
      <c r="CZ11" s="1963">
        <f t="shared" si="32"/>
        <v>0</v>
      </c>
      <c r="DA11" s="1963">
        <f t="shared" si="33"/>
        <v>0</v>
      </c>
      <c r="DB11" s="1963">
        <f t="shared" si="34"/>
        <v>0</v>
      </c>
      <c r="DC11" s="1963">
        <f t="shared" si="35"/>
        <v>0</v>
      </c>
      <c r="DD11" s="1963">
        <f t="shared" si="36"/>
        <v>0</v>
      </c>
      <c r="DE11" s="1963">
        <f t="shared" si="37"/>
        <v>0</v>
      </c>
      <c r="DF11" s="1963">
        <f t="shared" si="38"/>
        <v>0</v>
      </c>
      <c r="DG11" s="1963">
        <f t="shared" si="39"/>
        <v>0</v>
      </c>
      <c r="DH11" s="1963">
        <f>SUM(CZ11:DG11)-DB11-DD11</f>
        <v>0</v>
      </c>
      <c r="DI11" s="1956"/>
      <c r="DJ11" s="1956"/>
      <c r="DK11" s="1956"/>
      <c r="DL11" s="1956"/>
      <c r="DM11" s="1956"/>
      <c r="DN11" s="1956"/>
      <c r="DO11" s="1956"/>
      <c r="DP11" s="1956"/>
      <c r="DQ11" s="1956"/>
      <c r="DR11" s="1948"/>
      <c r="DS11" s="1947"/>
      <c r="DT11" s="1947"/>
      <c r="DU11" s="1947"/>
      <c r="DV11" s="1947"/>
      <c r="DW11" s="1947"/>
      <c r="DX11" s="1946"/>
      <c r="DY11" s="1946"/>
      <c r="DZ11" s="1945"/>
      <c r="EA11" s="1948"/>
      <c r="EB11" s="1947"/>
      <c r="EC11" s="1947"/>
      <c r="ED11" s="1947"/>
      <c r="EE11" s="1947"/>
      <c r="EF11" s="1947"/>
      <c r="EG11" s="1946"/>
      <c r="EH11" s="1946"/>
      <c r="EI11" s="1946"/>
      <c r="EJ11" s="1949"/>
      <c r="EK11" s="2200">
        <v>3507.5</v>
      </c>
      <c r="EL11" s="1989"/>
      <c r="EM11" s="1964"/>
      <c r="EN11" s="1989"/>
      <c r="EO11" s="1989"/>
      <c r="EP11" s="1989"/>
      <c r="EQ11" s="1989"/>
      <c r="ER11" s="1989"/>
      <c r="ES11" s="1989"/>
      <c r="ET11" s="1989">
        <f t="shared" ref="ET11" si="72">+EO11+EP11+EQ11</f>
        <v>0</v>
      </c>
      <c r="EV11" s="1959">
        <f t="shared" ref="EV11" si="73">IF($H11&lt;=15,EK11/2,EK11)</f>
        <v>3507.5</v>
      </c>
      <c r="EW11" s="1959">
        <f t="shared" si="43"/>
        <v>0</v>
      </c>
      <c r="EX11" s="1959">
        <f t="shared" si="43"/>
        <v>0</v>
      </c>
      <c r="EY11" s="1959">
        <f t="shared" si="43"/>
        <v>0</v>
      </c>
      <c r="EZ11" s="1959">
        <f t="shared" si="43"/>
        <v>0</v>
      </c>
      <c r="FA11" s="1959">
        <f t="shared" si="43"/>
        <v>0</v>
      </c>
      <c r="FB11" s="1959">
        <f t="shared" ref="FB11" si="74">IF($H11&lt;=15,EQ11/2,EQ11)</f>
        <v>0</v>
      </c>
      <c r="FC11" s="1959">
        <f t="shared" si="43"/>
        <v>0</v>
      </c>
      <c r="FD11" s="1959">
        <f t="shared" si="43"/>
        <v>0</v>
      </c>
      <c r="FE11" s="1959">
        <f t="shared" si="43"/>
        <v>0</v>
      </c>
      <c r="FF11" s="1943"/>
      <c r="FG11" s="1943"/>
      <c r="FH11" s="1943"/>
      <c r="FI11" s="1943"/>
      <c r="FJ11" s="1943"/>
      <c r="FK11" s="1943"/>
    </row>
    <row r="12" spans="1:172" s="331" customFormat="1" ht="15" customHeight="1" outlineLevel="1">
      <c r="A12" s="415">
        <f t="shared" ref="A12:A18" si="75">+A11+1</f>
        <v>3</v>
      </c>
      <c r="B12" s="311" t="s">
        <v>673</v>
      </c>
      <c r="C12" s="312" t="s">
        <v>414</v>
      </c>
      <c r="D12" s="313" t="s">
        <v>10</v>
      </c>
      <c r="E12" s="315">
        <v>15000</v>
      </c>
      <c r="F12" s="315">
        <v>155000</v>
      </c>
      <c r="G12" s="314">
        <f>+E12+F12</f>
        <v>170000</v>
      </c>
      <c r="H12" s="315">
        <v>30</v>
      </c>
      <c r="I12" s="318">
        <v>1</v>
      </c>
      <c r="J12" s="318">
        <v>0</v>
      </c>
      <c r="K12" s="318">
        <v>0</v>
      </c>
      <c r="L12" s="1961">
        <v>0</v>
      </c>
      <c r="M12" s="318">
        <v>0</v>
      </c>
      <c r="N12" s="318">
        <f>SUM(I12:M12)</f>
        <v>1</v>
      </c>
      <c r="O12" s="319"/>
      <c r="P12" s="321"/>
      <c r="Q12" s="315">
        <f t="shared" si="2"/>
        <v>0</v>
      </c>
      <c r="R12" s="321"/>
      <c r="S12" s="315">
        <f t="shared" ref="S12:S18" si="76">($E12/30/8*2)*R12</f>
        <v>0</v>
      </c>
      <c r="T12" s="321"/>
      <c r="U12" s="315">
        <f t="shared" si="3"/>
        <v>0</v>
      </c>
      <c r="V12" s="321"/>
      <c r="W12" s="315">
        <f t="shared" si="4"/>
        <v>0</v>
      </c>
      <c r="X12" s="321"/>
      <c r="Y12" s="315">
        <f t="shared" si="5"/>
        <v>0</v>
      </c>
      <c r="Z12" s="322"/>
      <c r="AA12" s="315">
        <f t="shared" si="6"/>
        <v>0</v>
      </c>
      <c r="AB12" s="323"/>
      <c r="AC12" s="315">
        <f t="shared" ref="AC12:AC18" si="77">(($E12/30/8)*1.5)*AB12</f>
        <v>0</v>
      </c>
      <c r="AD12" s="323"/>
      <c r="AE12" s="315">
        <f t="shared" ref="AE12:AE18" si="78">(($E12/30/8)*2)*AD12</f>
        <v>0</v>
      </c>
      <c r="AF12" s="324"/>
      <c r="AG12" s="315">
        <f t="shared" ref="AG12:AG18" si="79">(($E12/30/8)*1.5)*AF12</f>
        <v>0</v>
      </c>
      <c r="AH12" s="323"/>
      <c r="AI12" s="315">
        <f t="shared" ref="AI12:AI18" si="80">(($E12/30/8)*2)*AH12</f>
        <v>0</v>
      </c>
      <c r="AJ12" s="324"/>
      <c r="AK12" s="324"/>
      <c r="AL12" s="324"/>
      <c r="AM12" s="324"/>
      <c r="AN12" s="324"/>
      <c r="AO12" s="324"/>
      <c r="AP12" s="324"/>
      <c r="AQ12" s="324"/>
      <c r="AR12" s="324"/>
      <c r="AS12" s="324"/>
      <c r="AT12" s="315"/>
      <c r="AU12" s="313"/>
      <c r="AV12" s="315">
        <f t="shared" si="7"/>
        <v>15000</v>
      </c>
      <c r="AW12" s="1426">
        <f>(($F12/30)*$H12)*$I12+10923.87+3645</f>
        <v>169568.87</v>
      </c>
      <c r="AX12" s="315">
        <f t="shared" ref="AX12:BA15" si="81">P12</f>
        <v>0</v>
      </c>
      <c r="AY12" s="315">
        <f t="shared" si="81"/>
        <v>0</v>
      </c>
      <c r="AZ12" s="315">
        <f t="shared" si="81"/>
        <v>0</v>
      </c>
      <c r="BA12" s="315">
        <f t="shared" si="81"/>
        <v>0</v>
      </c>
      <c r="BB12" s="315">
        <f>AJ12+AO12</f>
        <v>0</v>
      </c>
      <c r="BC12" s="315">
        <f>(AV12+AY12+BA12)*0.1267</f>
        <v>1900.5</v>
      </c>
      <c r="BD12" s="315">
        <f>SUM(AV12:BC12)-AX12-AZ12</f>
        <v>186469.37</v>
      </c>
      <c r="BE12" s="315">
        <f t="shared" si="12"/>
        <v>0</v>
      </c>
      <c r="BF12" s="315">
        <f t="shared" si="55"/>
        <v>0</v>
      </c>
      <c r="BG12" s="315">
        <f t="shared" ref="BG12:BJ15" si="82">T12</f>
        <v>0</v>
      </c>
      <c r="BH12" s="315">
        <f t="shared" si="82"/>
        <v>0</v>
      </c>
      <c r="BI12" s="315">
        <f t="shared" si="82"/>
        <v>0</v>
      </c>
      <c r="BJ12" s="315">
        <f t="shared" si="82"/>
        <v>0</v>
      </c>
      <c r="BK12" s="315">
        <f>AK12+AP12</f>
        <v>0</v>
      </c>
      <c r="BL12" s="315">
        <v>0</v>
      </c>
      <c r="BM12" s="314">
        <f>SUM(BE12:BL12)-BG12-BI12</f>
        <v>0</v>
      </c>
      <c r="BN12" s="315">
        <f t="shared" si="16"/>
        <v>0</v>
      </c>
      <c r="BO12" s="315">
        <f t="shared" si="56"/>
        <v>0</v>
      </c>
      <c r="BP12" s="315">
        <f t="shared" ref="BP12:BR15" si="83">X12</f>
        <v>0</v>
      </c>
      <c r="BQ12" s="315">
        <f t="shared" si="83"/>
        <v>0</v>
      </c>
      <c r="BR12" s="315">
        <f t="shared" si="83"/>
        <v>0</v>
      </c>
      <c r="BS12" s="315">
        <f t="shared" si="18"/>
        <v>0</v>
      </c>
      <c r="BT12" s="315">
        <f>AL12+AQ12</f>
        <v>0</v>
      </c>
      <c r="BU12" s="315">
        <v>0</v>
      </c>
      <c r="BV12" s="315">
        <f>SUM(BN12:BU12)-BP12-BR12</f>
        <v>0</v>
      </c>
      <c r="BW12" s="1420">
        <f t="shared" si="58"/>
        <v>0</v>
      </c>
      <c r="BX12" s="1421">
        <f t="shared" si="59"/>
        <v>0</v>
      </c>
      <c r="BY12" s="1421">
        <f t="shared" ref="BY12" si="84">AB12</f>
        <v>0</v>
      </c>
      <c r="BZ12" s="1421">
        <f t="shared" ref="BZ12" si="85">AC12</f>
        <v>0</v>
      </c>
      <c r="CA12" s="1421">
        <f t="shared" ref="CA12" si="86">AD12</f>
        <v>0</v>
      </c>
      <c r="CB12" s="1421">
        <f t="shared" ref="CB12" si="87">AE12</f>
        <v>0</v>
      </c>
      <c r="CC12" s="1421">
        <f t="shared" ref="CC12" si="88">AM12+AR12</f>
        <v>0</v>
      </c>
      <c r="CD12" s="1422">
        <f t="shared" ref="CD12" si="89">(BW12+BZ12+CB12)*0.1267</f>
        <v>0</v>
      </c>
      <c r="CE12" s="1423">
        <f t="shared" ref="CE12" si="90">SUM(BW12:CD12)-BY12-CA12</f>
        <v>0</v>
      </c>
      <c r="CF12" s="1424">
        <f t="shared" si="63"/>
        <v>0</v>
      </c>
      <c r="CG12" s="1421">
        <f t="shared" si="64"/>
        <v>0</v>
      </c>
      <c r="CH12" s="1421">
        <f t="shared" si="65"/>
        <v>0</v>
      </c>
      <c r="CI12" s="1421">
        <f t="shared" si="66"/>
        <v>0</v>
      </c>
      <c r="CJ12" s="1421">
        <f t="shared" si="67"/>
        <v>0</v>
      </c>
      <c r="CK12" s="1421">
        <f t="shared" si="68"/>
        <v>0</v>
      </c>
      <c r="CL12" s="1421">
        <f t="shared" si="69"/>
        <v>0</v>
      </c>
      <c r="CM12" s="1422">
        <f t="shared" si="70"/>
        <v>0</v>
      </c>
      <c r="CN12" s="1422">
        <f t="shared" si="71"/>
        <v>0</v>
      </c>
      <c r="CO12" s="330"/>
      <c r="CP12" s="313" t="s">
        <v>10</v>
      </c>
      <c r="CQ12" s="315">
        <f t="shared" si="23"/>
        <v>15000</v>
      </c>
      <c r="CR12" s="315">
        <f t="shared" si="24"/>
        <v>169568.87</v>
      </c>
      <c r="CS12" s="315">
        <f t="shared" si="25"/>
        <v>0</v>
      </c>
      <c r="CT12" s="315">
        <f t="shared" si="26"/>
        <v>0</v>
      </c>
      <c r="CU12" s="315">
        <f t="shared" si="27"/>
        <v>0</v>
      </c>
      <c r="CV12" s="315">
        <f t="shared" si="28"/>
        <v>0</v>
      </c>
      <c r="CW12" s="315">
        <f t="shared" si="29"/>
        <v>0</v>
      </c>
      <c r="CX12" s="315">
        <f>IF($CP12="PROQUIMA",$BC12+$BL12+$BU12+$CD12+CM12,0)</f>
        <v>1900.5</v>
      </c>
      <c r="CY12" s="315">
        <f>SUM(CQ12:CX12)-CS12-CU12</f>
        <v>186469.37</v>
      </c>
      <c r="CZ12" s="315">
        <f t="shared" si="32"/>
        <v>0</v>
      </c>
      <c r="DA12" s="315">
        <f t="shared" si="33"/>
        <v>0</v>
      </c>
      <c r="DB12" s="315">
        <f t="shared" si="34"/>
        <v>0</v>
      </c>
      <c r="DC12" s="315">
        <f t="shared" si="35"/>
        <v>0</v>
      </c>
      <c r="DD12" s="315">
        <f t="shared" si="36"/>
        <v>0</v>
      </c>
      <c r="DE12" s="315">
        <f t="shared" si="37"/>
        <v>0</v>
      </c>
      <c r="DF12" s="315">
        <f t="shared" si="38"/>
        <v>0</v>
      </c>
      <c r="DG12" s="315">
        <f t="shared" si="39"/>
        <v>0</v>
      </c>
      <c r="DH12" s="315">
        <f>SUM(CZ12:DG12)-DB12-DD12</f>
        <v>0</v>
      </c>
      <c r="DI12" s="324"/>
      <c r="DJ12" s="324"/>
      <c r="DK12" s="324"/>
      <c r="DL12" s="324"/>
      <c r="DM12" s="324"/>
      <c r="DN12" s="324"/>
      <c r="DO12" s="324"/>
      <c r="DP12" s="324"/>
      <c r="DQ12" s="324"/>
      <c r="DR12" s="1429"/>
      <c r="DS12" s="1427"/>
      <c r="DT12" s="1427"/>
      <c r="DU12" s="1427"/>
      <c r="DV12" s="1427"/>
      <c r="DW12" s="1427"/>
      <c r="DX12" s="1428"/>
      <c r="DY12" s="1428"/>
      <c r="DZ12" s="1430"/>
      <c r="EA12" s="1429"/>
      <c r="EB12" s="1427"/>
      <c r="EC12" s="1427"/>
      <c r="ED12" s="1427"/>
      <c r="EE12" s="1427"/>
      <c r="EF12" s="1427"/>
      <c r="EG12" s="1428"/>
      <c r="EH12" s="1428"/>
      <c r="EI12" s="1428"/>
      <c r="EJ12" s="330"/>
      <c r="EK12" s="2203">
        <v>15719.44</v>
      </c>
      <c r="EL12" s="313"/>
      <c r="EM12" s="312"/>
      <c r="EN12" s="313"/>
      <c r="EO12" s="313"/>
      <c r="EP12" s="313"/>
      <c r="EQ12" s="313"/>
      <c r="ER12" s="313"/>
      <c r="ES12" s="313"/>
      <c r="ET12" s="313">
        <f t="shared" si="41"/>
        <v>0</v>
      </c>
      <c r="EV12" s="321">
        <f t="shared" si="42"/>
        <v>15719.44</v>
      </c>
      <c r="EW12" s="321">
        <f t="shared" ref="EW12:FA18" si="91">IF($H12&lt;=15,EL12/2,EL12)</f>
        <v>0</v>
      </c>
      <c r="EX12" s="321">
        <f t="shared" si="91"/>
        <v>0</v>
      </c>
      <c r="EY12" s="321">
        <f t="shared" si="91"/>
        <v>0</v>
      </c>
      <c r="EZ12" s="321">
        <f t="shared" si="91"/>
        <v>0</v>
      </c>
      <c r="FA12" s="321">
        <f t="shared" si="91"/>
        <v>0</v>
      </c>
      <c r="FB12" s="321">
        <f t="shared" si="44"/>
        <v>0</v>
      </c>
      <c r="FC12" s="321">
        <f t="shared" ref="FC12:FE18" si="92">IF($H12&lt;=15,ER12/2,ER12)</f>
        <v>0</v>
      </c>
      <c r="FD12" s="321">
        <f t="shared" si="92"/>
        <v>0</v>
      </c>
      <c r="FE12" s="321">
        <f t="shared" si="92"/>
        <v>0</v>
      </c>
      <c r="FF12" s="332"/>
      <c r="FG12" s="332"/>
      <c r="FH12" s="332"/>
      <c r="FI12" s="332"/>
      <c r="FJ12" s="332"/>
      <c r="FK12" s="333"/>
    </row>
    <row r="13" spans="1:172" s="331" customFormat="1" ht="15" customHeight="1" outlineLevel="1">
      <c r="A13" s="1984">
        <f t="shared" si="75"/>
        <v>4</v>
      </c>
      <c r="B13" s="311" t="s">
        <v>819</v>
      </c>
      <c r="C13" s="312" t="s">
        <v>736</v>
      </c>
      <c r="D13" s="1969" t="s">
        <v>10</v>
      </c>
      <c r="E13" s="315">
        <v>3500</v>
      </c>
      <c r="F13" s="315">
        <v>1500</v>
      </c>
      <c r="G13" s="314">
        <f>+E13+F13</f>
        <v>5000</v>
      </c>
      <c r="H13" s="315">
        <v>30</v>
      </c>
      <c r="I13" s="318">
        <v>0.5</v>
      </c>
      <c r="J13" s="318">
        <v>0.5</v>
      </c>
      <c r="K13" s="318">
        <v>0</v>
      </c>
      <c r="L13" s="318">
        <v>0</v>
      </c>
      <c r="M13" s="318">
        <v>0</v>
      </c>
      <c r="N13" s="318">
        <f>SUM(I13:M13)</f>
        <v>1</v>
      </c>
      <c r="O13" s="319"/>
      <c r="P13" s="321"/>
      <c r="Q13" s="315">
        <f t="shared" ref="Q13" si="93">($E13/30/8*1.5)*P13</f>
        <v>0</v>
      </c>
      <c r="R13" s="321"/>
      <c r="S13" s="315">
        <f t="shared" ref="S13" si="94">($E13/30/8*2)*R13</f>
        <v>0</v>
      </c>
      <c r="T13" s="321"/>
      <c r="U13" s="315">
        <f t="shared" ref="U13" si="95">($E13/30/8*1.5)*T13</f>
        <v>0</v>
      </c>
      <c r="V13" s="321"/>
      <c r="W13" s="315">
        <f t="shared" ref="W13" si="96">($E13/30/8*2)*V13</f>
        <v>0</v>
      </c>
      <c r="X13" s="321"/>
      <c r="Y13" s="315">
        <f t="shared" ref="Y13" si="97">(($E13/30/8)*1.5)*X13</f>
        <v>0</v>
      </c>
      <c r="Z13" s="322"/>
      <c r="AA13" s="315">
        <f t="shared" ref="AA13" si="98">(($E13/30/8)*2)*Z13</f>
        <v>0</v>
      </c>
      <c r="AB13" s="323"/>
      <c r="AC13" s="315">
        <f t="shared" ref="AC13" si="99">(($E13/30/8)*1.5)*AB13</f>
        <v>0</v>
      </c>
      <c r="AD13" s="323">
        <v>0</v>
      </c>
      <c r="AE13" s="315">
        <f>(($E13/30/8)*2)*AD13</f>
        <v>0</v>
      </c>
      <c r="AF13" s="324"/>
      <c r="AG13" s="315">
        <f t="shared" ref="AG13" si="100">(($E13/30/8)*1.5)*AF13</f>
        <v>0</v>
      </c>
      <c r="AH13" s="323"/>
      <c r="AI13" s="315">
        <f t="shared" ref="AI13" si="101">(($E13/30/8)*2)*AH13</f>
        <v>0</v>
      </c>
      <c r="AJ13" s="324"/>
      <c r="AK13" s="324"/>
      <c r="AL13" s="324"/>
      <c r="AM13" s="324"/>
      <c r="AN13" s="324"/>
      <c r="AO13" s="324"/>
      <c r="AP13" s="324"/>
      <c r="AQ13" s="324"/>
      <c r="AR13" s="324"/>
      <c r="AS13" s="324"/>
      <c r="AT13" s="315"/>
      <c r="AU13" s="313"/>
      <c r="AV13" s="315">
        <f t="shared" si="7"/>
        <v>1750</v>
      </c>
      <c r="AW13" s="1426">
        <f>(($F13/30)*$H13)*$I13</f>
        <v>750</v>
      </c>
      <c r="AX13" s="315">
        <f t="shared" ref="AX13" si="102">P13</f>
        <v>0</v>
      </c>
      <c r="AY13" s="315">
        <f t="shared" ref="AY13" si="103">Q13</f>
        <v>0</v>
      </c>
      <c r="AZ13" s="315">
        <f t="shared" ref="AZ13" si="104">R13</f>
        <v>0</v>
      </c>
      <c r="BA13" s="315">
        <f t="shared" ref="BA13" si="105">S13</f>
        <v>0</v>
      </c>
      <c r="BB13" s="315">
        <f>AJ13+AO13</f>
        <v>0</v>
      </c>
      <c r="BC13" s="315">
        <f>(AV13+AY13+BA13)*0.1267</f>
        <v>221.72500000000002</v>
      </c>
      <c r="BD13" s="315">
        <f>SUM(AV13:BC13)-AX13-AZ13</f>
        <v>2721.7249999999999</v>
      </c>
      <c r="BE13" s="315">
        <f t="shared" si="12"/>
        <v>1750</v>
      </c>
      <c r="BF13" s="315">
        <f t="shared" si="55"/>
        <v>750</v>
      </c>
      <c r="BG13" s="315">
        <f t="shared" ref="BG13" si="106">T13</f>
        <v>0</v>
      </c>
      <c r="BH13" s="315">
        <f t="shared" ref="BH13" si="107">U13</f>
        <v>0</v>
      </c>
      <c r="BI13" s="315">
        <f t="shared" ref="BI13" si="108">V13</f>
        <v>0</v>
      </c>
      <c r="BJ13" s="315">
        <f t="shared" ref="BJ13" si="109">W13</f>
        <v>0</v>
      </c>
      <c r="BK13" s="315">
        <f>AK13+AP13</f>
        <v>0</v>
      </c>
      <c r="BL13" s="315">
        <v>0</v>
      </c>
      <c r="BM13" s="314">
        <f>SUM(BE13:BL13)-BG13-BI13</f>
        <v>2500</v>
      </c>
      <c r="BN13" s="315">
        <f t="shared" si="16"/>
        <v>0</v>
      </c>
      <c r="BO13" s="315">
        <f t="shared" si="56"/>
        <v>0</v>
      </c>
      <c r="BP13" s="315">
        <f t="shared" ref="BP13" si="110">X13</f>
        <v>0</v>
      </c>
      <c r="BQ13" s="315">
        <f t="shared" ref="BQ13" si="111">Y13</f>
        <v>0</v>
      </c>
      <c r="BR13" s="315">
        <f t="shared" ref="BR13" si="112">Z13</f>
        <v>0</v>
      </c>
      <c r="BS13" s="315">
        <f t="shared" ref="BS13" si="113">AA13</f>
        <v>0</v>
      </c>
      <c r="BT13" s="315">
        <f>AL13+AQ13</f>
        <v>0</v>
      </c>
      <c r="BU13" s="315">
        <v>0</v>
      </c>
      <c r="BV13" s="315">
        <f>SUM(BN13:BU13)-BP13-BR13</f>
        <v>0</v>
      </c>
      <c r="BW13" s="1420">
        <f t="shared" si="58"/>
        <v>0</v>
      </c>
      <c r="BX13" s="1421">
        <f t="shared" si="59"/>
        <v>0</v>
      </c>
      <c r="BY13" s="1421">
        <f t="shared" ref="BY13" si="114">AB13</f>
        <v>0</v>
      </c>
      <c r="BZ13" s="1421">
        <f t="shared" ref="BZ13" si="115">AC13</f>
        <v>0</v>
      </c>
      <c r="CA13" s="1421">
        <f t="shared" ref="CA13" si="116">AD13</f>
        <v>0</v>
      </c>
      <c r="CB13" s="1421">
        <f t="shared" ref="CB13" si="117">AE13</f>
        <v>0</v>
      </c>
      <c r="CC13" s="1421">
        <f t="shared" ref="CC13" si="118">AM13+AR13</f>
        <v>0</v>
      </c>
      <c r="CD13" s="1422">
        <f t="shared" ref="CD13" si="119">(BW13+BZ13+CB13)*0.1267</f>
        <v>0</v>
      </c>
      <c r="CE13" s="1423">
        <f t="shared" ref="CE13" si="120">SUM(BW13:CD13)-BY13-CA13</f>
        <v>0</v>
      </c>
      <c r="CF13" s="1424">
        <f t="shared" ref="CF13" si="121">(($E13/30)*$H13)*M13</f>
        <v>0</v>
      </c>
      <c r="CG13" s="1421">
        <f t="shared" si="64"/>
        <v>0</v>
      </c>
      <c r="CH13" s="1421">
        <f t="shared" ref="CH13" si="122">+AF13</f>
        <v>0</v>
      </c>
      <c r="CI13" s="1421">
        <f t="shared" ref="CI13" si="123">AG13</f>
        <v>0</v>
      </c>
      <c r="CJ13" s="1421">
        <f t="shared" ref="CJ13" si="124">AH13</f>
        <v>0</v>
      </c>
      <c r="CK13" s="1421">
        <f t="shared" ref="CK13" si="125">AI13</f>
        <v>0</v>
      </c>
      <c r="CL13" s="1421">
        <f t="shared" ref="CL13" si="126">AN13+AS13</f>
        <v>0</v>
      </c>
      <c r="CM13" s="1422">
        <f t="shared" ref="CM13" si="127">(CF13+CI13+CK13)*0.1267</f>
        <v>0</v>
      </c>
      <c r="CN13" s="1422">
        <f t="shared" ref="CN13" si="128">SUM(CF13:CM13)-CH13-CJ13</f>
        <v>0</v>
      </c>
      <c r="CO13" s="330"/>
      <c r="CP13" s="1969" t="s">
        <v>10</v>
      </c>
      <c r="CQ13" s="315">
        <f t="shared" si="23"/>
        <v>3500</v>
      </c>
      <c r="CR13" s="315">
        <f t="shared" si="24"/>
        <v>1500</v>
      </c>
      <c r="CS13" s="315">
        <f t="shared" si="25"/>
        <v>0</v>
      </c>
      <c r="CT13" s="315">
        <f t="shared" si="26"/>
        <v>0</v>
      </c>
      <c r="CU13" s="315">
        <f t="shared" si="27"/>
        <v>0</v>
      </c>
      <c r="CV13" s="315">
        <f t="shared" si="28"/>
        <v>0</v>
      </c>
      <c r="CW13" s="315">
        <f t="shared" si="29"/>
        <v>0</v>
      </c>
      <c r="CX13" s="315">
        <f>IF($CP13="PROQUIMA",$BC13+$BL13+$BU13+$CD13+CM13,0)</f>
        <v>221.72500000000002</v>
      </c>
      <c r="CY13" s="315">
        <f>SUM(CQ13:CX13)-CS13-CU13</f>
        <v>5221.7250000000004</v>
      </c>
      <c r="CZ13" s="315">
        <f t="shared" si="32"/>
        <v>0</v>
      </c>
      <c r="DA13" s="315">
        <f t="shared" si="33"/>
        <v>0</v>
      </c>
      <c r="DB13" s="315">
        <f t="shared" si="34"/>
        <v>0</v>
      </c>
      <c r="DC13" s="315">
        <f t="shared" si="35"/>
        <v>0</v>
      </c>
      <c r="DD13" s="315">
        <f>IF($CP13="UNHESA",$AZ13+$BI13+$BR13+$CA13+$CJ13,0)</f>
        <v>0</v>
      </c>
      <c r="DE13" s="315">
        <f t="shared" si="37"/>
        <v>0</v>
      </c>
      <c r="DF13" s="315">
        <f t="shared" si="38"/>
        <v>0</v>
      </c>
      <c r="DG13" s="315">
        <f t="shared" si="39"/>
        <v>0</v>
      </c>
      <c r="DH13" s="315">
        <f>SUM(CZ13:DG13)-DB13-DD13</f>
        <v>0</v>
      </c>
      <c r="DI13" s="324"/>
      <c r="DJ13" s="324"/>
      <c r="DK13" s="324"/>
      <c r="DL13" s="324"/>
      <c r="DM13" s="324"/>
      <c r="DN13" s="324"/>
      <c r="DO13" s="324"/>
      <c r="DP13" s="324"/>
      <c r="DQ13" s="324"/>
      <c r="DR13" s="1429"/>
      <c r="DS13" s="1427"/>
      <c r="DT13" s="1427"/>
      <c r="DU13" s="1427"/>
      <c r="DV13" s="1427"/>
      <c r="DW13" s="1427"/>
      <c r="DX13" s="1428"/>
      <c r="DY13" s="1428"/>
      <c r="DZ13" s="1430"/>
      <c r="EA13" s="1429"/>
      <c r="EB13" s="1427"/>
      <c r="EC13" s="1427"/>
      <c r="ED13" s="1427"/>
      <c r="EE13" s="1427"/>
      <c r="EF13" s="1427"/>
      <c r="EG13" s="1428"/>
      <c r="EH13" s="1428"/>
      <c r="EI13" s="1428"/>
      <c r="EJ13" s="330"/>
      <c r="EK13" s="2200">
        <v>41.55</v>
      </c>
      <c r="EL13" s="313"/>
      <c r="EM13" s="312"/>
      <c r="EN13" s="313">
        <v>17</v>
      </c>
      <c r="EO13" s="313">
        <v>165</v>
      </c>
      <c r="EP13" s="313">
        <v>50</v>
      </c>
      <c r="EQ13" s="1969"/>
      <c r="ER13" s="313"/>
      <c r="ES13" s="313"/>
      <c r="ET13" s="313">
        <f t="shared" ref="ET13:ET18" si="129">+EO13+EP13+EQ13</f>
        <v>215</v>
      </c>
      <c r="EV13" s="321">
        <f t="shared" ref="EV13" si="130">IF($H13&lt;=15,EK13/2,EK13)</f>
        <v>41.55</v>
      </c>
      <c r="EW13" s="321">
        <f t="shared" ref="EW13" si="131">IF($H13&lt;=15,EL13/2,EL13)</f>
        <v>0</v>
      </c>
      <c r="EX13" s="321">
        <f t="shared" ref="EX13" si="132">IF($H13&lt;=15,EM13/2,EM13)</f>
        <v>0</v>
      </c>
      <c r="EY13" s="321">
        <f t="shared" ref="EY13" si="133">IF($H13&lt;=15,EN13/2,EN13)</f>
        <v>17</v>
      </c>
      <c r="EZ13" s="321">
        <f t="shared" ref="EZ13" si="134">IF($H13&lt;=15,EO13/2,EO13)</f>
        <v>165</v>
      </c>
      <c r="FA13" s="321">
        <f t="shared" ref="FA13" si="135">IF($H13&lt;=15,EP13/2,EP13)</f>
        <v>50</v>
      </c>
      <c r="FB13" s="321">
        <f t="shared" ref="FB13" si="136">IF($H13&lt;=15,EQ13/2,EQ13)</f>
        <v>0</v>
      </c>
      <c r="FC13" s="321">
        <f t="shared" ref="FC13" si="137">IF($H13&lt;=15,ER13/2,ER13)</f>
        <v>0</v>
      </c>
      <c r="FD13" s="321">
        <f t="shared" ref="FD13" si="138">IF($H13&lt;=15,ES13/2,ES13)</f>
        <v>0</v>
      </c>
      <c r="FE13" s="321">
        <f t="shared" ref="FE13" si="139">IF($H13&lt;=15,ET13/2,ET13)</f>
        <v>215</v>
      </c>
      <c r="FF13" s="332"/>
      <c r="FG13" s="332"/>
      <c r="FH13" s="332"/>
      <c r="FI13" s="332"/>
      <c r="FJ13" s="332"/>
      <c r="FK13" s="333"/>
    </row>
    <row r="14" spans="1:172" s="331" customFormat="1" ht="15" customHeight="1" outlineLevel="1">
      <c r="A14" s="1984">
        <f t="shared" si="75"/>
        <v>5</v>
      </c>
      <c r="B14" s="311" t="s">
        <v>759</v>
      </c>
      <c r="C14" s="312" t="s">
        <v>54</v>
      </c>
      <c r="D14" s="313" t="s">
        <v>11</v>
      </c>
      <c r="E14" s="315">
        <v>5000</v>
      </c>
      <c r="F14" s="315">
        <v>4000</v>
      </c>
      <c r="G14" s="1970">
        <f>+E14+F14</f>
        <v>9000</v>
      </c>
      <c r="H14" s="315">
        <v>30</v>
      </c>
      <c r="I14" s="318">
        <v>0.35</v>
      </c>
      <c r="J14" s="318">
        <v>0.35</v>
      </c>
      <c r="K14" s="318">
        <v>0</v>
      </c>
      <c r="L14" s="318">
        <v>0.3</v>
      </c>
      <c r="M14" s="318">
        <v>0</v>
      </c>
      <c r="N14" s="318">
        <f>SUM(I14:M14)</f>
        <v>1</v>
      </c>
      <c r="O14" s="319"/>
      <c r="P14" s="321"/>
      <c r="Q14" s="315">
        <f t="shared" ref="Q14" si="140">($E14/30/8*1.5)*P14</f>
        <v>0</v>
      </c>
      <c r="R14" s="321"/>
      <c r="S14" s="315">
        <f t="shared" ref="S14" si="141">($E14/30/8*2)*R14</f>
        <v>0</v>
      </c>
      <c r="T14" s="321"/>
      <c r="U14" s="315">
        <f t="shared" ref="U14" si="142">($E14/30/8*1.5)*T14</f>
        <v>0</v>
      </c>
      <c r="V14" s="321"/>
      <c r="W14" s="315">
        <f t="shared" ref="W14" si="143">($E14/30/8*2)*V14</f>
        <v>0</v>
      </c>
      <c r="X14" s="321"/>
      <c r="Y14" s="315">
        <f t="shared" ref="Y14" si="144">(($E14/30/8)*1.5)*X14</f>
        <v>0</v>
      </c>
      <c r="Z14" s="322"/>
      <c r="AA14" s="315">
        <f t="shared" ref="AA14" si="145">(($E14/30/8)*2)*Z14</f>
        <v>0</v>
      </c>
      <c r="AB14" s="323"/>
      <c r="AC14" s="315">
        <f t="shared" ref="AC14" si="146">(($E14/30/8)*1.5)*AB14</f>
        <v>0</v>
      </c>
      <c r="AD14" s="323">
        <v>0</v>
      </c>
      <c r="AE14" s="315">
        <f>(($E14/30/8)*2)*AD14</f>
        <v>0</v>
      </c>
      <c r="AF14" s="324"/>
      <c r="AG14" s="315">
        <f t="shared" ref="AG14" si="147">(($E14/30/8)*1.5)*AF14</f>
        <v>0</v>
      </c>
      <c r="AH14" s="323"/>
      <c r="AI14" s="315">
        <f t="shared" ref="AI14" si="148">(($E14/30/8)*2)*AH14</f>
        <v>0</v>
      </c>
      <c r="AJ14" s="324"/>
      <c r="AK14" s="324"/>
      <c r="AL14" s="324"/>
      <c r="AM14" s="324"/>
      <c r="AN14" s="324"/>
      <c r="AO14" s="324"/>
      <c r="AP14" s="324"/>
      <c r="AQ14" s="324"/>
      <c r="AR14" s="324"/>
      <c r="AS14" s="324"/>
      <c r="AT14" s="315"/>
      <c r="AU14" s="313"/>
      <c r="AV14" s="315">
        <f>(($E14/30)*$H14)*$I14</f>
        <v>1750</v>
      </c>
      <c r="AW14" s="1426">
        <f>(($F14/30)*$H14)*$I14</f>
        <v>1400</v>
      </c>
      <c r="AX14" s="315">
        <f t="shared" ref="AX14" si="149">P14</f>
        <v>0</v>
      </c>
      <c r="AY14" s="315">
        <f t="shared" ref="AY14" si="150">Q14</f>
        <v>0</v>
      </c>
      <c r="AZ14" s="315">
        <f t="shared" ref="AZ14" si="151">R14</f>
        <v>0</v>
      </c>
      <c r="BA14" s="315">
        <f t="shared" ref="BA14" si="152">S14</f>
        <v>0</v>
      </c>
      <c r="BB14" s="315">
        <f>AJ14+AO14</f>
        <v>0</v>
      </c>
      <c r="BC14" s="315">
        <f>(AV14+AY14+BA14)*0.1267</f>
        <v>221.72500000000002</v>
      </c>
      <c r="BD14" s="315">
        <f>SUM(AV14:BC14)-AX14-AZ14</f>
        <v>3371.7249999999999</v>
      </c>
      <c r="BE14" s="315">
        <f>(($E14/30)*$H14)*$J14</f>
        <v>1750</v>
      </c>
      <c r="BF14" s="315">
        <f>(($F14/30)*$H14)*$J14</f>
        <v>1400</v>
      </c>
      <c r="BG14" s="315">
        <f t="shared" ref="BG14" si="153">T14</f>
        <v>0</v>
      </c>
      <c r="BH14" s="315">
        <f t="shared" ref="BH14" si="154">U14</f>
        <v>0</v>
      </c>
      <c r="BI14" s="315">
        <f t="shared" ref="BI14" si="155">V14</f>
        <v>0</v>
      </c>
      <c r="BJ14" s="315">
        <f t="shared" ref="BJ14" si="156">W14</f>
        <v>0</v>
      </c>
      <c r="BK14" s="315">
        <f>AK14+AP14</f>
        <v>0</v>
      </c>
      <c r="BL14" s="315">
        <v>0</v>
      </c>
      <c r="BM14" s="314">
        <f>SUM(BE14:BL14)-BG14-BI14</f>
        <v>3150</v>
      </c>
      <c r="BN14" s="315">
        <f t="shared" si="16"/>
        <v>0</v>
      </c>
      <c r="BO14" s="315">
        <f t="shared" si="56"/>
        <v>0</v>
      </c>
      <c r="BP14" s="315">
        <f t="shared" ref="BP14" si="157">X14</f>
        <v>0</v>
      </c>
      <c r="BQ14" s="315">
        <f t="shared" ref="BQ14" si="158">Y14</f>
        <v>0</v>
      </c>
      <c r="BR14" s="315">
        <f t="shared" ref="BR14" si="159">Z14</f>
        <v>0</v>
      </c>
      <c r="BS14" s="315">
        <f t="shared" ref="BS14" si="160">AA14</f>
        <v>0</v>
      </c>
      <c r="BT14" s="315">
        <f>AL14+AQ14</f>
        <v>0</v>
      </c>
      <c r="BU14" s="315">
        <v>0</v>
      </c>
      <c r="BV14" s="315">
        <f>SUM(BN14:BU14)-BP14-BR14</f>
        <v>0</v>
      </c>
      <c r="BW14" s="1420">
        <f>(($E14/30)*$H14)*$L14</f>
        <v>1500</v>
      </c>
      <c r="BX14" s="1421">
        <f>(($F14/30)*$H14)*$L14</f>
        <v>1200</v>
      </c>
      <c r="BY14" s="1421">
        <f t="shared" ref="BY14" si="161">AB14</f>
        <v>0</v>
      </c>
      <c r="BZ14" s="1421">
        <f t="shared" ref="BZ14" si="162">AC14</f>
        <v>0</v>
      </c>
      <c r="CA14" s="1421">
        <f t="shared" ref="CA14" si="163">AD14</f>
        <v>0</v>
      </c>
      <c r="CB14" s="1421">
        <f t="shared" ref="CB14" si="164">AE14</f>
        <v>0</v>
      </c>
      <c r="CC14" s="1421">
        <f t="shared" ref="CC14" si="165">AM14+AR14</f>
        <v>0</v>
      </c>
      <c r="CD14" s="1422">
        <f t="shared" ref="CD14" si="166">(BW14+BZ14+CB14)*0.1267</f>
        <v>190.05</v>
      </c>
      <c r="CE14" s="1423">
        <f t="shared" ref="CE14" si="167">SUM(BW14:CD14)-BY14-CA14</f>
        <v>2890.05</v>
      </c>
      <c r="CF14" s="1424">
        <f t="shared" ref="CF14" si="168">(($E14/30)*$H14)*M14</f>
        <v>0</v>
      </c>
      <c r="CG14" s="1421">
        <f t="shared" si="64"/>
        <v>0</v>
      </c>
      <c r="CH14" s="1421">
        <f t="shared" ref="CH14" si="169">+AF14</f>
        <v>0</v>
      </c>
      <c r="CI14" s="1421">
        <f t="shared" ref="CI14" si="170">AG14</f>
        <v>0</v>
      </c>
      <c r="CJ14" s="1421">
        <f t="shared" ref="CJ14" si="171">AH14</f>
        <v>0</v>
      </c>
      <c r="CK14" s="1421">
        <f t="shared" ref="CK14" si="172">AI14</f>
        <v>0</v>
      </c>
      <c r="CL14" s="1421">
        <f t="shared" ref="CL14" si="173">AN14+AS14</f>
        <v>0</v>
      </c>
      <c r="CM14" s="1422">
        <f t="shared" ref="CM14" si="174">(CF14+CI14+CK14)*0.1267</f>
        <v>0</v>
      </c>
      <c r="CN14" s="1422">
        <f t="shared" ref="CN14" si="175">SUM(CF14:CM14)-CH14-CJ14</f>
        <v>0</v>
      </c>
      <c r="CO14" s="330"/>
      <c r="CP14" s="313" t="s">
        <v>11</v>
      </c>
      <c r="CQ14" s="315">
        <f t="shared" si="23"/>
        <v>0</v>
      </c>
      <c r="CR14" s="315">
        <f t="shared" si="24"/>
        <v>0</v>
      </c>
      <c r="CS14" s="315">
        <f t="shared" si="25"/>
        <v>0</v>
      </c>
      <c r="CT14" s="315">
        <f t="shared" si="26"/>
        <v>0</v>
      </c>
      <c r="CU14" s="315">
        <f t="shared" si="27"/>
        <v>0</v>
      </c>
      <c r="CV14" s="315">
        <f t="shared" si="28"/>
        <v>0</v>
      </c>
      <c r="CW14" s="315">
        <f t="shared" si="29"/>
        <v>0</v>
      </c>
      <c r="CX14" s="315">
        <f>IF($CP14="PROQUIMA",$BC14+$BL14+$BU14+$CD14+CM14,0)</f>
        <v>0</v>
      </c>
      <c r="CY14" s="315">
        <f>SUM(CQ14:CX14)-CS14-CU14</f>
        <v>0</v>
      </c>
      <c r="CZ14" s="315">
        <f t="shared" si="32"/>
        <v>5000</v>
      </c>
      <c r="DA14" s="315">
        <f t="shared" si="33"/>
        <v>4000</v>
      </c>
      <c r="DB14" s="315">
        <f t="shared" si="34"/>
        <v>0</v>
      </c>
      <c r="DC14" s="315">
        <f t="shared" si="35"/>
        <v>0</v>
      </c>
      <c r="DD14" s="315">
        <f>IF($CP14="UNHESA",$AZ14+$BI14+$BR14+$CA14+$CJ14,0)</f>
        <v>0</v>
      </c>
      <c r="DE14" s="315">
        <f t="shared" si="37"/>
        <v>0</v>
      </c>
      <c r="DF14" s="315">
        <f t="shared" si="38"/>
        <v>0</v>
      </c>
      <c r="DG14" s="315">
        <f t="shared" si="39"/>
        <v>411.77500000000003</v>
      </c>
      <c r="DH14" s="315">
        <f>SUM(CZ14:DG14)-DB14-DD14</f>
        <v>9411.7749999999996</v>
      </c>
      <c r="DI14" s="324"/>
      <c r="DJ14" s="324"/>
      <c r="DK14" s="324"/>
      <c r="DL14" s="324"/>
      <c r="DM14" s="324"/>
      <c r="DN14" s="324"/>
      <c r="DO14" s="324"/>
      <c r="DP14" s="324"/>
      <c r="DQ14" s="324"/>
      <c r="DR14" s="1429"/>
      <c r="DS14" s="1427"/>
      <c r="DT14" s="1427"/>
      <c r="DU14" s="1427"/>
      <c r="DV14" s="1427"/>
      <c r="DW14" s="1427"/>
      <c r="DX14" s="1428"/>
      <c r="DY14" s="1428"/>
      <c r="DZ14" s="1430"/>
      <c r="EA14" s="1429"/>
      <c r="EB14" s="1427"/>
      <c r="EC14" s="1427"/>
      <c r="ED14" s="1427"/>
      <c r="EE14" s="1427"/>
      <c r="EF14" s="1427"/>
      <c r="EG14" s="1428"/>
      <c r="EH14" s="1428"/>
      <c r="EI14" s="1428"/>
      <c r="EJ14" s="330"/>
      <c r="EK14" s="312">
        <v>237.93</v>
      </c>
      <c r="EL14" s="313"/>
      <c r="EM14" s="312"/>
      <c r="EN14" s="1968">
        <f>27+53</f>
        <v>80</v>
      </c>
      <c r="EO14" s="313"/>
      <c r="EP14" s="313">
        <v>75</v>
      </c>
      <c r="EQ14" s="1969">
        <f>240</f>
        <v>240</v>
      </c>
      <c r="ER14" s="1969"/>
      <c r="ES14" s="313"/>
      <c r="ET14" s="1597">
        <f t="shared" si="129"/>
        <v>315</v>
      </c>
      <c r="EU14" s="1920"/>
      <c r="EV14" s="1640">
        <f>IF($H14&lt;=15,EK14/2,EK14)</f>
        <v>237.93</v>
      </c>
      <c r="EW14" s="1640">
        <f t="shared" ref="EW14" si="176">IF($H14&lt;=15,EL14/2,EL14)</f>
        <v>0</v>
      </c>
      <c r="EX14" s="1640">
        <f t="shared" ref="EX14" si="177">IF($H14&lt;=15,EM14/2,EM14)</f>
        <v>0</v>
      </c>
      <c r="EY14" s="1640">
        <f>IF($H14&lt;=15,EN14/2,EN14)</f>
        <v>80</v>
      </c>
      <c r="EZ14" s="1640">
        <f t="shared" ref="EZ14" si="178">IF($H14&lt;=15,EO14/2,EO14)</f>
        <v>0</v>
      </c>
      <c r="FA14" s="1640">
        <f t="shared" ref="FA14" si="179">IF($H14&lt;=15,EP14/2,EP14)</f>
        <v>75</v>
      </c>
      <c r="FB14" s="1640">
        <f>IF($H14&lt;=15,EQ14/2,EQ14)</f>
        <v>240</v>
      </c>
      <c r="FC14" s="1640">
        <f>IF($H14&lt;=15,ER14/2,ER14)</f>
        <v>0</v>
      </c>
      <c r="FD14" s="1640">
        <f t="shared" ref="FD14" si="180">IF($H14&lt;=15,ES14/2,ES14)</f>
        <v>0</v>
      </c>
      <c r="FE14" s="1640">
        <f t="shared" ref="FE14" si="181">IF($H14&lt;=15,ET14/2,ET14)</f>
        <v>315</v>
      </c>
      <c r="FF14" s="332"/>
      <c r="FG14" s="332"/>
      <c r="FH14" s="332"/>
      <c r="FI14" s="332"/>
      <c r="FJ14" s="332"/>
      <c r="FK14" s="333"/>
    </row>
    <row r="15" spans="1:172" s="331" customFormat="1" ht="15" customHeight="1" outlineLevel="1">
      <c r="A15" s="1984">
        <f t="shared" si="75"/>
        <v>6</v>
      </c>
      <c r="B15" s="311" t="s">
        <v>753</v>
      </c>
      <c r="C15" s="312" t="s">
        <v>64</v>
      </c>
      <c r="D15" s="313" t="s">
        <v>11</v>
      </c>
      <c r="E15" s="315">
        <v>3166.38</v>
      </c>
      <c r="F15" s="355">
        <v>250</v>
      </c>
      <c r="G15" s="1970">
        <f t="shared" ref="G15" si="182">+E15+F15</f>
        <v>3416.38</v>
      </c>
      <c r="H15" s="355">
        <v>30</v>
      </c>
      <c r="I15" s="1432">
        <v>0</v>
      </c>
      <c r="J15" s="1432">
        <v>1</v>
      </c>
      <c r="K15" s="1432">
        <v>0</v>
      </c>
      <c r="L15" s="318">
        <v>0</v>
      </c>
      <c r="M15" s="318">
        <v>0</v>
      </c>
      <c r="N15" s="1432">
        <f t="shared" ref="N15" si="183">SUM(I15:M15)</f>
        <v>1</v>
      </c>
      <c r="O15" s="1433"/>
      <c r="P15" s="366"/>
      <c r="Q15" s="355">
        <f t="shared" ref="Q15" si="184">($E15/30/8*1.5)*P15</f>
        <v>0</v>
      </c>
      <c r="R15" s="366"/>
      <c r="S15" s="355">
        <f t="shared" ref="S15" si="185">($E15/30/8*2)*R15</f>
        <v>0</v>
      </c>
      <c r="T15" s="366"/>
      <c r="U15" s="355">
        <f t="shared" ref="U15" si="186">($E15/30/8*1.5)*T15</f>
        <v>0</v>
      </c>
      <c r="V15" s="366"/>
      <c r="W15" s="355">
        <f t="shared" ref="W15" si="187">($E15/30/8*2)*V15</f>
        <v>0</v>
      </c>
      <c r="X15" s="366"/>
      <c r="Y15" s="355">
        <f t="shared" ref="Y15" si="188">(($E15/30/8)*1.5)*X15</f>
        <v>0</v>
      </c>
      <c r="Z15" s="1434"/>
      <c r="AA15" s="355">
        <f t="shared" ref="AA15" si="189">(($E15/30/8)*2)*Z15</f>
        <v>0</v>
      </c>
      <c r="AB15" s="1434"/>
      <c r="AC15" s="315">
        <f t="shared" ref="AC15" si="190">(($E15/30/8)*1.5)*AB15</f>
        <v>0</v>
      </c>
      <c r="AD15" s="1434"/>
      <c r="AE15" s="315">
        <f t="shared" ref="AE15" si="191">(($E15/30/8)*2)*AD15</f>
        <v>0</v>
      </c>
      <c r="AF15" s="355"/>
      <c r="AG15" s="315">
        <f t="shared" ref="AG15" si="192">(($E15/30/8)*1.5)*AF15</f>
        <v>0</v>
      </c>
      <c r="AH15" s="1434"/>
      <c r="AI15" s="315">
        <f t="shared" ref="AI15" si="193">(($E15/30/8)*2)*AH15</f>
        <v>0</v>
      </c>
      <c r="AJ15" s="355"/>
      <c r="AK15" s="355"/>
      <c r="AL15" s="355"/>
      <c r="AM15" s="355"/>
      <c r="AN15" s="355"/>
      <c r="AO15" s="355"/>
      <c r="AP15" s="355"/>
      <c r="AQ15" s="355"/>
      <c r="AR15" s="355"/>
      <c r="AS15" s="355"/>
      <c r="AT15" s="355"/>
      <c r="AU15" s="363"/>
      <c r="AV15" s="355">
        <f>((E15/30)*H15)*$I15</f>
        <v>0</v>
      </c>
      <c r="AW15" s="355">
        <f>((F15/30)*H15)*$I15</f>
        <v>0</v>
      </c>
      <c r="AX15" s="355">
        <f t="shared" si="81"/>
        <v>0</v>
      </c>
      <c r="AY15" s="355">
        <f t="shared" si="81"/>
        <v>0</v>
      </c>
      <c r="AZ15" s="355">
        <f t="shared" si="81"/>
        <v>0</v>
      </c>
      <c r="BA15" s="355">
        <f t="shared" si="81"/>
        <v>0</v>
      </c>
      <c r="BB15" s="355">
        <f t="shared" ref="BB15" si="194">AJ15+AO15</f>
        <v>0</v>
      </c>
      <c r="BC15" s="355">
        <f t="shared" ref="BC15" si="195">(AV15+AY15+BA15)*0.1267</f>
        <v>0</v>
      </c>
      <c r="BD15" s="355">
        <f t="shared" ref="BD15" si="196">SUM(AV15:BC15)-AX15-AZ15</f>
        <v>0</v>
      </c>
      <c r="BE15" s="355">
        <f t="shared" si="12"/>
        <v>3166.38</v>
      </c>
      <c r="BF15" s="1618">
        <f>(($F15/30)*$H15)*$J15</f>
        <v>250.00000000000003</v>
      </c>
      <c r="BG15" s="355">
        <f t="shared" si="82"/>
        <v>0</v>
      </c>
      <c r="BH15" s="355">
        <f t="shared" si="82"/>
        <v>0</v>
      </c>
      <c r="BI15" s="355">
        <f t="shared" si="82"/>
        <v>0</v>
      </c>
      <c r="BJ15" s="355">
        <f t="shared" si="82"/>
        <v>0</v>
      </c>
      <c r="BK15" s="355">
        <f t="shared" ref="BK15" si="197">AK15+AP15</f>
        <v>0</v>
      </c>
      <c r="BL15" s="355">
        <f>(+BE15+BH15+BJ15+BK15)*0.1267</f>
        <v>401.18034600000004</v>
      </c>
      <c r="BM15" s="1431">
        <f t="shared" ref="BM15" si="198">SUM(BE15:BL15)-BG15-BI15</f>
        <v>3817.5603460000002</v>
      </c>
      <c r="BN15" s="355">
        <f t="shared" si="16"/>
        <v>0</v>
      </c>
      <c r="BO15" s="355">
        <f t="shared" si="56"/>
        <v>0</v>
      </c>
      <c r="BP15" s="355">
        <f t="shared" si="83"/>
        <v>0</v>
      </c>
      <c r="BQ15" s="355">
        <f t="shared" si="83"/>
        <v>0</v>
      </c>
      <c r="BR15" s="355">
        <f t="shared" si="83"/>
        <v>0</v>
      </c>
      <c r="BS15" s="355">
        <f t="shared" ref="BS15" si="199">AA15</f>
        <v>0</v>
      </c>
      <c r="BT15" s="355">
        <f t="shared" ref="BT15" si="200">AL15+AQ15</f>
        <v>0</v>
      </c>
      <c r="BU15" s="355">
        <f>(BN15+BQ15+BS15)*0.1267</f>
        <v>0</v>
      </c>
      <c r="BV15" s="355">
        <f t="shared" ref="BV15" si="201">SUM(BN15:BU15)-BP15-BR15</f>
        <v>0</v>
      </c>
      <c r="BW15" s="1435">
        <f>(($E15/30)*$H15)*$L15</f>
        <v>0</v>
      </c>
      <c r="BX15" s="1436">
        <f>(($F15/30)*$H15)*$L15</f>
        <v>0</v>
      </c>
      <c r="BY15" s="1436">
        <f t="shared" ref="BY15" si="202">AB15</f>
        <v>0</v>
      </c>
      <c r="BZ15" s="1436">
        <f t="shared" ref="BZ15" si="203">AC15</f>
        <v>0</v>
      </c>
      <c r="CA15" s="1436">
        <f t="shared" ref="CA15" si="204">AD15</f>
        <v>0</v>
      </c>
      <c r="CB15" s="1436">
        <f t="shared" ref="CB15" si="205">AE15</f>
        <v>0</v>
      </c>
      <c r="CC15" s="1436">
        <f>AM15+AR15</f>
        <v>0</v>
      </c>
      <c r="CD15" s="1437">
        <f>(BW15+BZ15+CB15)*0.1267</f>
        <v>0</v>
      </c>
      <c r="CE15" s="1438">
        <f>SUM(BW15:CD15)-BY15-CA15</f>
        <v>0</v>
      </c>
      <c r="CF15" s="1439">
        <f>(($E15/30)*$H15)*M15</f>
        <v>0</v>
      </c>
      <c r="CG15" s="1436">
        <f>(($F15/30)*$H15)*$M15</f>
        <v>0</v>
      </c>
      <c r="CH15" s="1436">
        <f>+AF15</f>
        <v>0</v>
      </c>
      <c r="CI15" s="1436">
        <f t="shared" si="66"/>
        <v>0</v>
      </c>
      <c r="CJ15" s="1436">
        <f t="shared" si="67"/>
        <v>0</v>
      </c>
      <c r="CK15" s="1436">
        <f t="shared" si="68"/>
        <v>0</v>
      </c>
      <c r="CL15" s="1436">
        <f>AN15+AS15</f>
        <v>0</v>
      </c>
      <c r="CM15" s="1437">
        <f>(CF15+CI15+CK15)*0.1267</f>
        <v>0</v>
      </c>
      <c r="CN15" s="1437">
        <f>SUM(CF15:CM15)-CH15-CJ15</f>
        <v>0</v>
      </c>
      <c r="CO15" s="1414"/>
      <c r="CP15" s="363" t="s">
        <v>11</v>
      </c>
      <c r="CQ15" s="355">
        <f t="shared" si="23"/>
        <v>0</v>
      </c>
      <c r="CR15" s="355">
        <f t="shared" si="24"/>
        <v>0</v>
      </c>
      <c r="CS15" s="355">
        <f t="shared" si="25"/>
        <v>0</v>
      </c>
      <c r="CT15" s="355">
        <f t="shared" si="26"/>
        <v>0</v>
      </c>
      <c r="CU15" s="355">
        <f t="shared" si="27"/>
        <v>0</v>
      </c>
      <c r="CV15" s="355">
        <f t="shared" si="28"/>
        <v>0</v>
      </c>
      <c r="CW15" s="355">
        <f t="shared" si="29"/>
        <v>0</v>
      </c>
      <c r="CX15" s="355">
        <f t="shared" ref="CX15" si="206">IF($CP15="PROQUIMA",$BC15+$BL15+$BU15+$CD15+CM15,0)</f>
        <v>0</v>
      </c>
      <c r="CY15" s="355">
        <f t="shared" ref="CY15" si="207">SUM(CQ15:CX15)-CS15-CU15</f>
        <v>0</v>
      </c>
      <c r="CZ15" s="355">
        <f t="shared" si="32"/>
        <v>3166.38</v>
      </c>
      <c r="DA15" s="315">
        <f t="shared" si="33"/>
        <v>250.00000000000003</v>
      </c>
      <c r="DB15" s="355">
        <f t="shared" si="34"/>
        <v>0</v>
      </c>
      <c r="DC15" s="355">
        <f t="shared" si="35"/>
        <v>0</v>
      </c>
      <c r="DD15" s="355">
        <f t="shared" si="36"/>
        <v>0</v>
      </c>
      <c r="DE15" s="355">
        <f t="shared" si="37"/>
        <v>0</v>
      </c>
      <c r="DF15" s="355">
        <f t="shared" si="38"/>
        <v>0</v>
      </c>
      <c r="DG15" s="355">
        <f t="shared" si="39"/>
        <v>401.18034600000004</v>
      </c>
      <c r="DH15" s="355">
        <f t="shared" ref="DH15" si="208">SUM(CZ15:DG15)-DB15-DD15</f>
        <v>3817.5603460000002</v>
      </c>
      <c r="DI15" s="355">
        <f>IF($CP15="UNHESA LIQUIDOS",$AV15+$BE15+$BN15+$BW15+$CF15,0)</f>
        <v>0</v>
      </c>
      <c r="DJ15" s="355">
        <f>IF($CP15="CALIDUL",$AW15+$BF15+$BO15+$BX15+$CG15,0)</f>
        <v>0</v>
      </c>
      <c r="DK15" s="355">
        <f>IF($CP15="CALIDUL",$AX15+$BG15+$BP15+$BY15+$CH15,0)</f>
        <v>0</v>
      </c>
      <c r="DL15" s="355">
        <f>IF($CP15="CALIDUL",$AY15+$BH15+$BQ15+$BZ15+$CI15,0)</f>
        <v>0</v>
      </c>
      <c r="DM15" s="355">
        <f>IF($CP15="CALIDUL",$AZ15+$BI15+$BR15+$CA15+$CJ15,0)</f>
        <v>0</v>
      </c>
      <c r="DN15" s="355">
        <f>IF($CP15="CALIDUL",$BA15+$BJ15+$BS15+$CB15+$CK15,0)</f>
        <v>0</v>
      </c>
      <c r="DO15" s="355">
        <f>IF($CP15="CALIDUL",$BB15+$BK15+$BT15+$CC15+$CL15,0)</f>
        <v>0</v>
      </c>
      <c r="DP15" s="355">
        <f>IF($CP15="CALIDUL",$BC15+$BL15+$BU15+$CD15+$CM15,0)</f>
        <v>0</v>
      </c>
      <c r="DQ15" s="355">
        <f>SUM(DI15:DP15)-DK15-DM15</f>
        <v>0</v>
      </c>
      <c r="DR15" s="1435">
        <f>IF($CP15="ECONACIONAL",$AV15+$BE15+$BN15+$BW15+$CF15,0)</f>
        <v>0</v>
      </c>
      <c r="DS15" s="1436">
        <f>IF($CP15="ECONACIONAL",$AW15+$BF15+$BO15+$BX15+$CG15,0)</f>
        <v>0</v>
      </c>
      <c r="DT15" s="1436">
        <f>IF($CP15="ECONACIONAL",$AX15+$BG15+$BP15+$BY15+$CH15,0)</f>
        <v>0</v>
      </c>
      <c r="DU15" s="1436">
        <f>IF($CP15="ECONACIONAL",$AY15+$BH15+$BQ15+$BZ15+$CI15,0)</f>
        <v>0</v>
      </c>
      <c r="DV15" s="1436">
        <f>IF($CP15="ECONACIONAL",$AZ15+$BI15+$BR15+$CA15+$CJ15,0)</f>
        <v>0</v>
      </c>
      <c r="DW15" s="1436">
        <f>IF($CP15="ECONACIONAL",$BA15+$BJ15+$BS15+$CB15+$CK15,0)</f>
        <v>0</v>
      </c>
      <c r="DX15" s="1437">
        <f>IF($CP15="ECONACIONAL",$BB15+$BK15+$BT15+$CC15+$CL15,0)</f>
        <v>0</v>
      </c>
      <c r="DY15" s="1437">
        <f>IF($CP15="ECONACIONAL",$BC15+$BL15+$BU15+$CD15+$CM15,0)</f>
        <v>0</v>
      </c>
      <c r="DZ15" s="1438">
        <f>SUM(DR15:DY15)-DT15-DV15</f>
        <v>0</v>
      </c>
      <c r="EA15" s="1435">
        <f>IF($CP15="CLEARTEC",$AV15+$BE15+$BN15+$BW15+$CF15,0)</f>
        <v>0</v>
      </c>
      <c r="EB15" s="1436">
        <f>IF($CP15="CLEARTEC",$AW15+$BF15+$BO15+$BX15+$CG15,0)</f>
        <v>0</v>
      </c>
      <c r="EC15" s="1436">
        <f>IF($CP15="CLEARTEC",$AX15+$BG15+$BP15+$BY15+$CH15,0)</f>
        <v>0</v>
      </c>
      <c r="ED15" s="1436">
        <f>IF($CP15="CLEARTEC",$AY15+$BH15+$BQ15+$BZ15+$CI15,0)</f>
        <v>0</v>
      </c>
      <c r="EE15" s="1436">
        <f>IF($CP15="CLEARTEC",$AZ15+$BI15+$BR15+$CA15+$CJ15,0)</f>
        <v>0</v>
      </c>
      <c r="EF15" s="1436">
        <f>IF($CP15="CLEARTEC",$BA15+$BJ15+$BS15+$CB15+$CK15,0)</f>
        <v>0</v>
      </c>
      <c r="EG15" s="1437">
        <f>IF($CP15="CLEARTEC",$BB15+$BK15+$BT15+$CC15+$CL15,0)</f>
        <v>0</v>
      </c>
      <c r="EH15" s="1437">
        <f>IF($CP15="CLEARTEC",$BC15+$BL15+$BU15+$CD15+$CM15,0)</f>
        <v>0</v>
      </c>
      <c r="EI15" s="1437">
        <f>SUM(EA15:EH15)-EC15-EE15</f>
        <v>0</v>
      </c>
      <c r="EJ15" s="1414"/>
      <c r="EK15" s="365"/>
      <c r="EL15" s="1440"/>
      <c r="EM15" s="363"/>
      <c r="EN15" s="363"/>
      <c r="EO15" s="363"/>
      <c r="EP15" s="363">
        <v>50</v>
      </c>
      <c r="EQ15" s="363"/>
      <c r="ER15" s="363"/>
      <c r="ES15" s="363"/>
      <c r="ET15" s="363">
        <f t="shared" si="129"/>
        <v>50</v>
      </c>
      <c r="EU15" s="1441"/>
      <c r="EV15" s="366">
        <f t="shared" ref="EV15" si="209">IF($H15&lt;=15,EK15/2,EK15)</f>
        <v>0</v>
      </c>
      <c r="EW15" s="366">
        <f t="shared" ref="EW15" si="210">IF($H15&lt;=15,EL15/2,EL15)</f>
        <v>0</v>
      </c>
      <c r="EX15" s="366">
        <f t="shared" ref="EX15" si="211">IF($H15&lt;=15,EM15/2,EM15)</f>
        <v>0</v>
      </c>
      <c r="EY15" s="366">
        <f t="shared" ref="EY15" si="212">IF($H15&lt;=15,EN15/2,EN15)</f>
        <v>0</v>
      </c>
      <c r="EZ15" s="366">
        <f t="shared" ref="EZ15" si="213">IF($H15&lt;=15,EO15/2,EO15)</f>
        <v>0</v>
      </c>
      <c r="FA15" s="366">
        <f t="shared" ref="FA15" si="214">IF($H15&lt;=15,EP15/2,EP15)</f>
        <v>50</v>
      </c>
      <c r="FB15" s="366">
        <f t="shared" ref="FB15" si="215">IF($H15&lt;=15,EQ15/2,EQ15)</f>
        <v>0</v>
      </c>
      <c r="FC15" s="366">
        <f t="shared" ref="FC15" si="216">IF($H15&lt;=15,ER15/2,ER15)</f>
        <v>0</v>
      </c>
      <c r="FD15" s="366">
        <f t="shared" ref="FD15" si="217">IF($H15&lt;=15,ES15/2,ES15)</f>
        <v>0</v>
      </c>
      <c r="FE15" s="366">
        <f t="shared" ref="FE15" si="218">IF($H15&lt;=15,ET15/2,ET15)</f>
        <v>50</v>
      </c>
      <c r="FF15" s="332"/>
      <c r="FG15" s="332"/>
      <c r="FH15" s="332"/>
      <c r="FI15" s="332"/>
      <c r="FJ15" s="332"/>
      <c r="FK15" s="333"/>
    </row>
    <row r="16" spans="1:172" s="331" customFormat="1" ht="15" customHeight="1" outlineLevel="1">
      <c r="A16" s="1984">
        <f t="shared" si="75"/>
        <v>7</v>
      </c>
      <c r="B16" s="311" t="s">
        <v>757</v>
      </c>
      <c r="C16" s="312" t="s">
        <v>64</v>
      </c>
      <c r="D16" s="313" t="s">
        <v>11</v>
      </c>
      <c r="E16" s="1971">
        <v>3166.38</v>
      </c>
      <c r="F16" s="355">
        <v>250</v>
      </c>
      <c r="G16" s="1970">
        <f t="shared" ref="G16" si="219">+E16+F16</f>
        <v>3416.38</v>
      </c>
      <c r="H16" s="355">
        <v>30</v>
      </c>
      <c r="I16" s="1432">
        <v>0</v>
      </c>
      <c r="J16" s="1432">
        <v>1</v>
      </c>
      <c r="K16" s="1432">
        <v>0</v>
      </c>
      <c r="L16" s="1432">
        <v>0</v>
      </c>
      <c r="M16" s="318">
        <v>0</v>
      </c>
      <c r="N16" s="1432">
        <f t="shared" ref="N16" si="220">SUM(I16:M16)</f>
        <v>1</v>
      </c>
      <c r="O16" s="1433"/>
      <c r="P16" s="366"/>
      <c r="Q16" s="355">
        <f t="shared" ref="Q16" si="221">($E16/30/8*1.5)*P16</f>
        <v>0</v>
      </c>
      <c r="R16" s="366"/>
      <c r="S16" s="355">
        <f t="shared" ref="S16" si="222">($E16/30/8*2)*R16</f>
        <v>0</v>
      </c>
      <c r="T16" s="366"/>
      <c r="U16" s="355">
        <f t="shared" ref="U16" si="223">($E16/30/8*1.5)*T16</f>
        <v>0</v>
      </c>
      <c r="V16" s="366"/>
      <c r="W16" s="355">
        <f t="shared" ref="W16" si="224">($E16/30/8*2)*V16</f>
        <v>0</v>
      </c>
      <c r="X16" s="366"/>
      <c r="Y16" s="355">
        <f t="shared" ref="Y16" si="225">(($E16/30/8)*1.5)*X16</f>
        <v>0</v>
      </c>
      <c r="Z16" s="1434"/>
      <c r="AA16" s="355">
        <f t="shared" ref="AA16" si="226">(($E16/30/8)*2)*Z16</f>
        <v>0</v>
      </c>
      <c r="AB16" s="1434"/>
      <c r="AC16" s="315">
        <f t="shared" ref="AC16" si="227">(($E16/30/8)*1.5)*AB16</f>
        <v>0</v>
      </c>
      <c r="AD16" s="1434"/>
      <c r="AE16" s="315">
        <f t="shared" ref="AE16" si="228">(($E16/30/8)*2)*AD16</f>
        <v>0</v>
      </c>
      <c r="AF16" s="355"/>
      <c r="AG16" s="315">
        <f t="shared" ref="AG16" si="229">(($E16/30/8)*1.5)*AF16</f>
        <v>0</v>
      </c>
      <c r="AH16" s="1434"/>
      <c r="AI16" s="315">
        <f t="shared" ref="AI16" si="230">(($E16/30/8)*2)*AH16</f>
        <v>0</v>
      </c>
      <c r="AJ16" s="355"/>
      <c r="AK16" s="355"/>
      <c r="AL16" s="355"/>
      <c r="AM16" s="355"/>
      <c r="AN16" s="355"/>
      <c r="AO16" s="355"/>
      <c r="AP16" s="355"/>
      <c r="AQ16" s="355"/>
      <c r="AR16" s="355"/>
      <c r="AS16" s="355"/>
      <c r="AT16" s="355"/>
      <c r="AU16" s="363"/>
      <c r="AV16" s="355">
        <f>((E16/30)*H16)*$I16</f>
        <v>0</v>
      </c>
      <c r="AW16" s="355">
        <f>((F16/30)*H16)*$I16</f>
        <v>0</v>
      </c>
      <c r="AX16" s="355">
        <f t="shared" ref="AX16" si="231">P16</f>
        <v>0</v>
      </c>
      <c r="AY16" s="355">
        <f t="shared" ref="AY16" si="232">Q16</f>
        <v>0</v>
      </c>
      <c r="AZ16" s="355">
        <f t="shared" ref="AZ16" si="233">R16</f>
        <v>0</v>
      </c>
      <c r="BA16" s="355">
        <f t="shared" ref="BA16" si="234">S16</f>
        <v>0</v>
      </c>
      <c r="BB16" s="355">
        <f t="shared" ref="BB16" si="235">AJ16+AO16</f>
        <v>0</v>
      </c>
      <c r="BC16" s="355">
        <f t="shared" ref="BC16" si="236">(AV16+AY16+BA16)*0.1267</f>
        <v>0</v>
      </c>
      <c r="BD16" s="355">
        <f t="shared" ref="BD16" si="237">SUM(AV16:BC16)-AX16-AZ16</f>
        <v>0</v>
      </c>
      <c r="BE16" s="355">
        <f t="shared" si="12"/>
        <v>3166.38</v>
      </c>
      <c r="BF16" s="1426">
        <f>(($F16/30)*$H16)*$J16</f>
        <v>250.00000000000003</v>
      </c>
      <c r="BG16" s="355">
        <f t="shared" ref="BG16" si="238">T16</f>
        <v>0</v>
      </c>
      <c r="BH16" s="355">
        <f t="shared" ref="BH16" si="239">U16</f>
        <v>0</v>
      </c>
      <c r="BI16" s="355">
        <f t="shared" ref="BI16" si="240">V16</f>
        <v>0</v>
      </c>
      <c r="BJ16" s="355">
        <f t="shared" ref="BJ16" si="241">W16</f>
        <v>0</v>
      </c>
      <c r="BK16" s="355">
        <f t="shared" ref="BK16" si="242">AK16+AP16</f>
        <v>0</v>
      </c>
      <c r="BL16" s="355">
        <f>(+BE16+BH16+BJ16+BK16)*0.1267</f>
        <v>401.18034600000004</v>
      </c>
      <c r="BM16" s="1431">
        <f t="shared" ref="BM16" si="243">SUM(BE16:BL16)-BG16-BI16</f>
        <v>3817.5603460000002</v>
      </c>
      <c r="BN16" s="355">
        <f t="shared" si="16"/>
        <v>0</v>
      </c>
      <c r="BO16" s="355">
        <f t="shared" si="56"/>
        <v>0</v>
      </c>
      <c r="BP16" s="355">
        <f t="shared" ref="BP16" si="244">X16</f>
        <v>0</v>
      </c>
      <c r="BQ16" s="355">
        <f t="shared" ref="BQ16" si="245">Y16</f>
        <v>0</v>
      </c>
      <c r="BR16" s="355">
        <f t="shared" ref="BR16" si="246">Z16</f>
        <v>0</v>
      </c>
      <c r="BS16" s="355">
        <f t="shared" ref="BS16" si="247">AA16</f>
        <v>0</v>
      </c>
      <c r="BT16" s="355">
        <f t="shared" ref="BT16" si="248">AL16+AQ16</f>
        <v>0</v>
      </c>
      <c r="BU16" s="355">
        <f>(BN16+BQ16+BS16)*0.1267</f>
        <v>0</v>
      </c>
      <c r="BV16" s="355">
        <f t="shared" ref="BV16" si="249">SUM(BN16:BU16)-BP16-BR16</f>
        <v>0</v>
      </c>
      <c r="BW16" s="1435">
        <f>(($E16/30)*$H16)*$L16</f>
        <v>0</v>
      </c>
      <c r="BX16" s="1436">
        <f>(($F16/30)*$H16)*$L16</f>
        <v>0</v>
      </c>
      <c r="BY16" s="1436">
        <f t="shared" ref="BY16" si="250">AB16</f>
        <v>0</v>
      </c>
      <c r="BZ16" s="1436">
        <f t="shared" ref="BZ16" si="251">AC16</f>
        <v>0</v>
      </c>
      <c r="CA16" s="1436">
        <f t="shared" ref="CA16" si="252">AD16</f>
        <v>0</v>
      </c>
      <c r="CB16" s="1436">
        <f t="shared" ref="CB16" si="253">AE16</f>
        <v>0</v>
      </c>
      <c r="CC16" s="1436">
        <f>AM16+AR16</f>
        <v>0</v>
      </c>
      <c r="CD16" s="1437">
        <f>(BW16+BZ16+CB16)*0.1267</f>
        <v>0</v>
      </c>
      <c r="CE16" s="1438">
        <f>SUM(BW16:CD16)-BY16-CA16</f>
        <v>0</v>
      </c>
      <c r="CF16" s="1439">
        <f>(($E16/30)*$H16)*M16</f>
        <v>0</v>
      </c>
      <c r="CG16" s="1436">
        <f>(($F16/30)*$H16)*$M16</f>
        <v>0</v>
      </c>
      <c r="CH16" s="1436">
        <f>+AF16</f>
        <v>0</v>
      </c>
      <c r="CI16" s="1436">
        <f t="shared" ref="CI16" si="254">AG16</f>
        <v>0</v>
      </c>
      <c r="CJ16" s="1436">
        <f t="shared" ref="CJ16" si="255">AH16</f>
        <v>0</v>
      </c>
      <c r="CK16" s="1436">
        <f t="shared" ref="CK16" si="256">AI16</f>
        <v>0</v>
      </c>
      <c r="CL16" s="1436">
        <f>AN16+AS16</f>
        <v>0</v>
      </c>
      <c r="CM16" s="1437">
        <f>(CF16+CI16+CK16)*0.1267</f>
        <v>0</v>
      </c>
      <c r="CN16" s="1437">
        <f>SUM(CF16:CM16)-CH16-CJ16</f>
        <v>0</v>
      </c>
      <c r="CO16" s="1414"/>
      <c r="CP16" s="363" t="s">
        <v>11</v>
      </c>
      <c r="CQ16" s="355">
        <f t="shared" si="23"/>
        <v>0</v>
      </c>
      <c r="CR16" s="355">
        <f t="shared" si="24"/>
        <v>0</v>
      </c>
      <c r="CS16" s="355">
        <f t="shared" si="25"/>
        <v>0</v>
      </c>
      <c r="CT16" s="355">
        <f t="shared" si="26"/>
        <v>0</v>
      </c>
      <c r="CU16" s="355">
        <f t="shared" si="27"/>
        <v>0</v>
      </c>
      <c r="CV16" s="355">
        <f t="shared" si="28"/>
        <v>0</v>
      </c>
      <c r="CW16" s="355">
        <f t="shared" si="29"/>
        <v>0</v>
      </c>
      <c r="CX16" s="355">
        <f t="shared" ref="CX16" si="257">IF($CP16="PROQUIMA",$BC16+$BL16+$BU16+$CD16+CM16,0)</f>
        <v>0</v>
      </c>
      <c r="CY16" s="355">
        <f t="shared" ref="CY16" si="258">SUM(CQ16:CX16)-CS16-CU16</f>
        <v>0</v>
      </c>
      <c r="CZ16" s="355">
        <f t="shared" si="32"/>
        <v>3166.38</v>
      </c>
      <c r="DA16" s="315">
        <f t="shared" si="33"/>
        <v>250.00000000000003</v>
      </c>
      <c r="DB16" s="355">
        <f t="shared" si="34"/>
        <v>0</v>
      </c>
      <c r="DC16" s="355">
        <f t="shared" si="35"/>
        <v>0</v>
      </c>
      <c r="DD16" s="355">
        <f t="shared" si="36"/>
        <v>0</v>
      </c>
      <c r="DE16" s="355">
        <f t="shared" si="37"/>
        <v>0</v>
      </c>
      <c r="DF16" s="355">
        <f t="shared" si="38"/>
        <v>0</v>
      </c>
      <c r="DG16" s="355">
        <f t="shared" si="39"/>
        <v>401.18034600000004</v>
      </c>
      <c r="DH16" s="355">
        <f t="shared" ref="DH16" si="259">SUM(CZ16:DG16)-DB16-DD16</f>
        <v>3817.5603460000002</v>
      </c>
      <c r="DI16" s="355">
        <f>IF($CP16="UNHESA LIQUIDOS",$AV16+$BE16+$BN16+$BW16+$CF16,0)</f>
        <v>0</v>
      </c>
      <c r="DJ16" s="355">
        <f>IF($CP16="CALIDUL",$AW16+$BF16+$BO16+$BX16+$CG16,0)</f>
        <v>0</v>
      </c>
      <c r="DK16" s="355">
        <f>IF($CP16="CALIDUL",$AX16+$BG16+$BP16+$BY16+$CH16,0)</f>
        <v>0</v>
      </c>
      <c r="DL16" s="355">
        <f>IF($CP16="CALIDUL",$AY16+$BH16+$BQ16+$BZ16+$CI16,0)</f>
        <v>0</v>
      </c>
      <c r="DM16" s="355">
        <f>IF($CP16="CALIDUL",$AZ16+$BI16+$BR16+$CA16+$CJ16,0)</f>
        <v>0</v>
      </c>
      <c r="DN16" s="355">
        <f>IF($CP16="CALIDUL",$BA16+$BJ16+$BS16+$CB16+$CK16,0)</f>
        <v>0</v>
      </c>
      <c r="DO16" s="355">
        <f>IF($CP16="CALIDUL",$BB16+$BK16+$BT16+$CC16+$CL16,0)</f>
        <v>0</v>
      </c>
      <c r="DP16" s="355">
        <f>IF($CP16="CALIDUL",$BC16+$BL16+$BU16+$CD16+$CM16,0)</f>
        <v>0</v>
      </c>
      <c r="DQ16" s="355">
        <f>SUM(DI16:DP16)-DK16-DM16</f>
        <v>0</v>
      </c>
      <c r="DR16" s="1435">
        <f>IF($CP16="ECONACIONAL",$AV16+$BE16+$BN16+$BW16+$CF16,0)</f>
        <v>0</v>
      </c>
      <c r="DS16" s="1436">
        <f>IF($CP16="ECONACIONAL",$AW16+$BF16+$BO16+$BX16+$CG16,0)</f>
        <v>0</v>
      </c>
      <c r="DT16" s="1436">
        <f>IF($CP16="ECONACIONAL",$AX16+$BG16+$BP16+$BY16+$CH16,0)</f>
        <v>0</v>
      </c>
      <c r="DU16" s="1436">
        <f>IF($CP16="ECONACIONAL",$AY16+$BH16+$BQ16+$BZ16+$CI16,0)</f>
        <v>0</v>
      </c>
      <c r="DV16" s="1436">
        <f>IF($CP16="ECONACIONAL",$AZ16+$BI16+$BR16+$CA16+$CJ16,0)</f>
        <v>0</v>
      </c>
      <c r="DW16" s="1436">
        <f>IF($CP16="ECONACIONAL",$BA16+$BJ16+$BS16+$CB16+$CK16,0)</f>
        <v>0</v>
      </c>
      <c r="DX16" s="1437">
        <f>IF($CP16="ECONACIONAL",$BB16+$BK16+$BT16+$CC16+$CL16,0)</f>
        <v>0</v>
      </c>
      <c r="DY16" s="1437">
        <f>IF($CP16="ECONACIONAL",$BC16+$BL16+$BU16+$CD16+$CM16,0)</f>
        <v>0</v>
      </c>
      <c r="DZ16" s="1438">
        <f>SUM(DR16:DY16)-DT16-DV16</f>
        <v>0</v>
      </c>
      <c r="EA16" s="1435">
        <f>IF($CP16="CLEARTEC",$AV16+$BE16+$BN16+$BW16+$CF16,0)</f>
        <v>0</v>
      </c>
      <c r="EB16" s="1436">
        <f>IF($CP16="CLEARTEC",$AW16+$BF16+$BO16+$BX16+$CG16,0)</f>
        <v>0</v>
      </c>
      <c r="EC16" s="1436">
        <f>IF($CP16="CLEARTEC",$AX16+$BG16+$BP16+$BY16+$CH16,0)</f>
        <v>0</v>
      </c>
      <c r="ED16" s="1436">
        <f>IF($CP16="CLEARTEC",$AY16+$BH16+$BQ16+$BZ16+$CI16,0)</f>
        <v>0</v>
      </c>
      <c r="EE16" s="1436">
        <f>IF($CP16="CLEARTEC",$AZ16+$BI16+$BR16+$CA16+$CJ16,0)</f>
        <v>0</v>
      </c>
      <c r="EF16" s="1436">
        <f>IF($CP16="CLEARTEC",$BA16+$BJ16+$BS16+$CB16+$CK16,0)</f>
        <v>0</v>
      </c>
      <c r="EG16" s="1437">
        <f>IF($CP16="CLEARTEC",$BB16+$BK16+$BT16+$CC16+$CL16,0)</f>
        <v>0</v>
      </c>
      <c r="EH16" s="1437">
        <f>IF($CP16="CLEARTEC",$BC16+$BL16+$BU16+$CD16+$CM16,0)</f>
        <v>0</v>
      </c>
      <c r="EI16" s="1437">
        <f>SUM(EA16:EH16)-EC16-EE16</f>
        <v>0</v>
      </c>
      <c r="EJ16" s="1414"/>
      <c r="EK16" s="365"/>
      <c r="EL16" s="1440"/>
      <c r="EM16" s="363"/>
      <c r="EN16" s="363"/>
      <c r="EO16" s="363"/>
      <c r="EP16" s="363">
        <v>50</v>
      </c>
      <c r="EQ16" s="363"/>
      <c r="ER16" s="363"/>
      <c r="ES16" s="363"/>
      <c r="ET16" s="363">
        <f t="shared" si="129"/>
        <v>50</v>
      </c>
      <c r="EU16" s="1441"/>
      <c r="EV16" s="366">
        <f t="shared" ref="EV16" si="260">IF($H16&lt;=15,EK16/2,EK16)</f>
        <v>0</v>
      </c>
      <c r="EW16" s="366">
        <f t="shared" ref="EW16" si="261">IF($H16&lt;=15,EL16/2,EL16)</f>
        <v>0</v>
      </c>
      <c r="EX16" s="366">
        <f t="shared" ref="EX16" si="262">IF($H16&lt;=15,EM16/2,EM16)</f>
        <v>0</v>
      </c>
      <c r="EY16" s="366">
        <f t="shared" ref="EY16" si="263">IF($H16&lt;=15,EN16/2,EN16)</f>
        <v>0</v>
      </c>
      <c r="EZ16" s="366">
        <f t="shared" ref="EZ16" si="264">IF($H16&lt;=15,EO16/2,EO16)</f>
        <v>0</v>
      </c>
      <c r="FA16" s="366">
        <f t="shared" ref="FA16" si="265">IF($H16&lt;=15,EP16/2,EP16)</f>
        <v>50</v>
      </c>
      <c r="FB16" s="366">
        <f t="shared" ref="FB16" si="266">IF($H16&lt;=15,EQ16/2,EQ16)</f>
        <v>0</v>
      </c>
      <c r="FC16" s="366">
        <f t="shared" ref="FC16" si="267">IF($H16&lt;=15,ER16/2,ER16)</f>
        <v>0</v>
      </c>
      <c r="FD16" s="366">
        <f t="shared" ref="FD16" si="268">IF($H16&lt;=15,ES16/2,ES16)</f>
        <v>0</v>
      </c>
      <c r="FE16" s="366">
        <f t="shared" ref="FE16" si="269">IF($H16&lt;=15,ET16/2,ET16)</f>
        <v>50</v>
      </c>
      <c r="FF16" s="332"/>
      <c r="FG16" s="332"/>
      <c r="FH16" s="332"/>
      <c r="FI16" s="332"/>
      <c r="FJ16" s="332"/>
      <c r="FK16" s="333"/>
    </row>
    <row r="17" spans="1:172" s="1441" customFormat="1" ht="15" customHeight="1" outlineLevel="1">
      <c r="A17" s="1984">
        <f t="shared" si="75"/>
        <v>8</v>
      </c>
      <c r="B17" s="213" t="s">
        <v>557</v>
      </c>
      <c r="C17" s="365" t="s">
        <v>58</v>
      </c>
      <c r="D17" s="363" t="s">
        <v>11</v>
      </c>
      <c r="E17" s="1971">
        <v>3166.38</v>
      </c>
      <c r="F17" s="355">
        <v>250</v>
      </c>
      <c r="G17" s="1970">
        <f t="shared" si="0"/>
        <v>3416.38</v>
      </c>
      <c r="H17" s="355">
        <v>30</v>
      </c>
      <c r="I17" s="1432">
        <v>0</v>
      </c>
      <c r="J17" s="1432">
        <v>1</v>
      </c>
      <c r="K17" s="1432">
        <v>0</v>
      </c>
      <c r="L17" s="1432">
        <v>0</v>
      </c>
      <c r="M17" s="1432">
        <v>0</v>
      </c>
      <c r="N17" s="1432">
        <f t="shared" si="1"/>
        <v>1</v>
      </c>
      <c r="O17" s="1433"/>
      <c r="P17" s="366"/>
      <c r="Q17" s="355">
        <f t="shared" si="2"/>
        <v>0</v>
      </c>
      <c r="R17" s="366"/>
      <c r="S17" s="355">
        <f t="shared" si="76"/>
        <v>0</v>
      </c>
      <c r="T17" s="366"/>
      <c r="U17" s="355">
        <f t="shared" si="3"/>
        <v>0</v>
      </c>
      <c r="V17" s="366"/>
      <c r="W17" s="355">
        <f t="shared" si="4"/>
        <v>0</v>
      </c>
      <c r="X17" s="366"/>
      <c r="Y17" s="355">
        <f t="shared" si="5"/>
        <v>0</v>
      </c>
      <c r="Z17" s="1434"/>
      <c r="AA17" s="355">
        <f t="shared" si="6"/>
        <v>0</v>
      </c>
      <c r="AB17" s="1434"/>
      <c r="AC17" s="315">
        <f t="shared" si="77"/>
        <v>0</v>
      </c>
      <c r="AD17" s="1434"/>
      <c r="AE17" s="315">
        <f t="shared" si="78"/>
        <v>0</v>
      </c>
      <c r="AF17" s="355"/>
      <c r="AG17" s="315">
        <f t="shared" si="79"/>
        <v>0</v>
      </c>
      <c r="AH17" s="1434"/>
      <c r="AI17" s="315">
        <f t="shared" si="80"/>
        <v>0</v>
      </c>
      <c r="AJ17" s="355"/>
      <c r="AK17" s="355"/>
      <c r="AL17" s="355"/>
      <c r="AM17" s="355"/>
      <c r="AN17" s="355"/>
      <c r="AO17" s="355"/>
      <c r="AP17" s="355"/>
      <c r="AQ17" s="355"/>
      <c r="AR17" s="355"/>
      <c r="AS17" s="355"/>
      <c r="AT17" s="355"/>
      <c r="AU17" s="363"/>
      <c r="AV17" s="355">
        <f>((E17/30)*H17)*$I17</f>
        <v>0</v>
      </c>
      <c r="AW17" s="355">
        <f>((F17/30)*H17)*$I17</f>
        <v>0</v>
      </c>
      <c r="AX17" s="355">
        <f t="shared" si="8"/>
        <v>0</v>
      </c>
      <c r="AY17" s="355">
        <f t="shared" si="8"/>
        <v>0</v>
      </c>
      <c r="AZ17" s="355">
        <f t="shared" si="8"/>
        <v>0</v>
      </c>
      <c r="BA17" s="355">
        <f t="shared" si="8"/>
        <v>0</v>
      </c>
      <c r="BB17" s="355">
        <f t="shared" si="9"/>
        <v>0</v>
      </c>
      <c r="BC17" s="355">
        <f t="shared" si="10"/>
        <v>0</v>
      </c>
      <c r="BD17" s="355">
        <f t="shared" si="11"/>
        <v>0</v>
      </c>
      <c r="BE17" s="355">
        <f t="shared" si="12"/>
        <v>3166.38</v>
      </c>
      <c r="BF17" s="1426">
        <f>(($F17/30)*$H17)*$J17</f>
        <v>250.00000000000003</v>
      </c>
      <c r="BG17" s="355">
        <f t="shared" si="13"/>
        <v>0</v>
      </c>
      <c r="BH17" s="355">
        <f t="shared" si="13"/>
        <v>0</v>
      </c>
      <c r="BI17" s="355">
        <f t="shared" si="13"/>
        <v>0</v>
      </c>
      <c r="BJ17" s="355">
        <f t="shared" si="13"/>
        <v>0</v>
      </c>
      <c r="BK17" s="355">
        <f t="shared" si="14"/>
        <v>0</v>
      </c>
      <c r="BL17" s="355">
        <f>(+BE17+BH17+BJ17+BK17)*0.1267</f>
        <v>401.18034600000004</v>
      </c>
      <c r="BM17" s="1431">
        <f t="shared" si="15"/>
        <v>3817.5603460000002</v>
      </c>
      <c r="BN17" s="355">
        <f t="shared" si="16"/>
        <v>0</v>
      </c>
      <c r="BO17" s="355">
        <f t="shared" si="56"/>
        <v>0</v>
      </c>
      <c r="BP17" s="355">
        <f t="shared" si="17"/>
        <v>0</v>
      </c>
      <c r="BQ17" s="355">
        <f t="shared" si="17"/>
        <v>0</v>
      </c>
      <c r="BR17" s="355">
        <f t="shared" si="17"/>
        <v>0</v>
      </c>
      <c r="BS17" s="355">
        <f t="shared" si="18"/>
        <v>0</v>
      </c>
      <c r="BT17" s="355">
        <f t="shared" si="19"/>
        <v>0</v>
      </c>
      <c r="BU17" s="355">
        <f>(BN17+BQ17+BS17)*0.1267</f>
        <v>0</v>
      </c>
      <c r="BV17" s="355">
        <f t="shared" si="20"/>
        <v>0</v>
      </c>
      <c r="BW17" s="1435">
        <f>(($E17/30)*$H17)*$L17</f>
        <v>0</v>
      </c>
      <c r="BX17" s="1436">
        <f>(($F17/30)*$H17)*$L17</f>
        <v>0</v>
      </c>
      <c r="BY17" s="1436">
        <f t="shared" ref="BY17:CB18" si="270">AB17</f>
        <v>0</v>
      </c>
      <c r="BZ17" s="1436">
        <f t="shared" si="270"/>
        <v>0</v>
      </c>
      <c r="CA17" s="1436">
        <f t="shared" si="270"/>
        <v>0</v>
      </c>
      <c r="CB17" s="1436">
        <f t="shared" si="270"/>
        <v>0</v>
      </c>
      <c r="CC17" s="1436">
        <f>AM17+AR17</f>
        <v>0</v>
      </c>
      <c r="CD17" s="1437">
        <f>(BW17+BZ17+CB17)*0.1267</f>
        <v>0</v>
      </c>
      <c r="CE17" s="1438">
        <f>SUM(BW17:CD17)-BY17-CA17</f>
        <v>0</v>
      </c>
      <c r="CF17" s="1439">
        <f>(($E17/30)*$H17)*M17</f>
        <v>0</v>
      </c>
      <c r="CG17" s="1436">
        <f>(($F17/30)*$H17)*$M17</f>
        <v>0</v>
      </c>
      <c r="CH17" s="1436">
        <f>+AF17</f>
        <v>0</v>
      </c>
      <c r="CI17" s="1436">
        <f t="shared" ref="CI17:CK18" si="271">AG17</f>
        <v>0</v>
      </c>
      <c r="CJ17" s="1436">
        <f t="shared" si="271"/>
        <v>0</v>
      </c>
      <c r="CK17" s="1436">
        <f t="shared" si="271"/>
        <v>0</v>
      </c>
      <c r="CL17" s="1436">
        <f>AN17+AS17</f>
        <v>0</v>
      </c>
      <c r="CM17" s="1437">
        <f>(CF17+CI17+CK17)*0.1267</f>
        <v>0</v>
      </c>
      <c r="CN17" s="1437">
        <f>SUM(CF17:CM17)-CH17-CJ17</f>
        <v>0</v>
      </c>
      <c r="CO17" s="1414"/>
      <c r="CP17" s="363" t="s">
        <v>11</v>
      </c>
      <c r="CQ17" s="355">
        <f t="shared" si="23"/>
        <v>0</v>
      </c>
      <c r="CR17" s="355">
        <f t="shared" si="24"/>
        <v>0</v>
      </c>
      <c r="CS17" s="355">
        <f t="shared" si="25"/>
        <v>0</v>
      </c>
      <c r="CT17" s="355">
        <f t="shared" si="26"/>
        <v>0</v>
      </c>
      <c r="CU17" s="355">
        <f t="shared" si="27"/>
        <v>0</v>
      </c>
      <c r="CV17" s="355">
        <f t="shared" si="28"/>
        <v>0</v>
      </c>
      <c r="CW17" s="355">
        <f t="shared" si="29"/>
        <v>0</v>
      </c>
      <c r="CX17" s="355">
        <f t="shared" si="30"/>
        <v>0</v>
      </c>
      <c r="CY17" s="355">
        <f t="shared" si="31"/>
        <v>0</v>
      </c>
      <c r="CZ17" s="355">
        <f t="shared" si="32"/>
        <v>3166.38</v>
      </c>
      <c r="DA17" s="315">
        <f t="shared" si="33"/>
        <v>250.00000000000003</v>
      </c>
      <c r="DB17" s="355">
        <f t="shared" si="34"/>
        <v>0</v>
      </c>
      <c r="DC17" s="355">
        <f t="shared" si="35"/>
        <v>0</v>
      </c>
      <c r="DD17" s="355">
        <f t="shared" si="36"/>
        <v>0</v>
      </c>
      <c r="DE17" s="355">
        <f t="shared" si="37"/>
        <v>0</v>
      </c>
      <c r="DF17" s="355">
        <f t="shared" si="38"/>
        <v>0</v>
      </c>
      <c r="DG17" s="355">
        <f t="shared" si="39"/>
        <v>401.18034600000004</v>
      </c>
      <c r="DH17" s="355">
        <f t="shared" si="40"/>
        <v>3817.5603460000002</v>
      </c>
      <c r="DI17" s="355">
        <f>IF($CP17="UNHESA LIQUIDOS",$AV17+$BE17+$BN17+$BW17+$CF17,0)</f>
        <v>0</v>
      </c>
      <c r="DJ17" s="355">
        <f>IF($CP17="CALIDUL",$AW17+$BF17+$BO17+$BX17+$CG17,0)</f>
        <v>0</v>
      </c>
      <c r="DK17" s="355">
        <f>IF($CP17="CALIDUL",$AX17+$BG17+$BP17+$BY17+$CH17,0)</f>
        <v>0</v>
      </c>
      <c r="DL17" s="355">
        <f>IF($CP17="CALIDUL",$AY17+$BH17+$BQ17+$BZ17+$CI17,0)</f>
        <v>0</v>
      </c>
      <c r="DM17" s="355">
        <f>IF($CP17="CALIDUL",$AZ17+$BI17+$BR17+$CA17+$CJ17,0)</f>
        <v>0</v>
      </c>
      <c r="DN17" s="355">
        <f>IF($CP17="CALIDUL",$BA17+$BJ17+$BS17+$CB17+$CK17,0)</f>
        <v>0</v>
      </c>
      <c r="DO17" s="355">
        <f>IF($CP17="CALIDUL",$BB17+$BK17+$BT17+$CC17+$CL17,0)</f>
        <v>0</v>
      </c>
      <c r="DP17" s="355">
        <f>IF($CP17="CALIDUL",$BC17+$BL17+$BU17+$CD17+$CM17,0)</f>
        <v>0</v>
      </c>
      <c r="DQ17" s="355">
        <f>SUM(DI17:DP17)-DK17-DM17</f>
        <v>0</v>
      </c>
      <c r="DR17" s="1435">
        <f>IF($CP17="ECONACIONAL",$AV17+$BE17+$BN17+$BW17+$CF17,0)</f>
        <v>0</v>
      </c>
      <c r="DS17" s="1436">
        <f>IF($CP17="ECONACIONAL",$AW17+$BF17+$BO17+$BX17+$CG17,0)</f>
        <v>0</v>
      </c>
      <c r="DT17" s="1436">
        <f>IF($CP17="ECONACIONAL",$AX17+$BG17+$BP17+$BY17+$CH17,0)</f>
        <v>0</v>
      </c>
      <c r="DU17" s="1436">
        <f>IF($CP17="ECONACIONAL",$AY17+$BH17+$BQ17+$BZ17+$CI17,0)</f>
        <v>0</v>
      </c>
      <c r="DV17" s="1436">
        <f>IF($CP17="ECONACIONAL",$AZ17+$BI17+$BR17+$CA17+$CJ17,0)</f>
        <v>0</v>
      </c>
      <c r="DW17" s="1436">
        <f>IF($CP17="ECONACIONAL",$BA17+$BJ17+$BS17+$CB17+$CK17,0)</f>
        <v>0</v>
      </c>
      <c r="DX17" s="1437">
        <f>IF($CP17="ECONACIONAL",$BB17+$BK17+$BT17+$CC17+$CL17,0)</f>
        <v>0</v>
      </c>
      <c r="DY17" s="1437">
        <f>IF($CP17="ECONACIONAL",$BC17+$BL17+$BU17+$CD17+$CM17,0)</f>
        <v>0</v>
      </c>
      <c r="DZ17" s="1438">
        <f>SUM(DR17:DY17)-DT17-DV17</f>
        <v>0</v>
      </c>
      <c r="EA17" s="1435">
        <f>IF($CP17="CLEARTEC",$AV17+$BE17+$BN17+$BW17+$CF17,0)</f>
        <v>0</v>
      </c>
      <c r="EB17" s="1436">
        <f>IF($CP17="CLEARTEC",$AW17+$BF17+$BO17+$BX17+$CG17,0)</f>
        <v>0</v>
      </c>
      <c r="EC17" s="1436">
        <f>IF($CP17="CLEARTEC",$AX17+$BG17+$BP17+$BY17+$CH17,0)</f>
        <v>0</v>
      </c>
      <c r="ED17" s="1436">
        <f>IF($CP17="CLEARTEC",$AY17+$BH17+$BQ17+$BZ17+$CI17,0)</f>
        <v>0</v>
      </c>
      <c r="EE17" s="1436">
        <f>IF($CP17="CLEARTEC",$AZ17+$BI17+$BR17+$CA17+$CJ17,0)</f>
        <v>0</v>
      </c>
      <c r="EF17" s="1436">
        <f>IF($CP17="CLEARTEC",$BA17+$BJ17+$BS17+$CB17+$CK17,0)</f>
        <v>0</v>
      </c>
      <c r="EG17" s="1437">
        <f>IF($CP17="CLEARTEC",$BB17+$BK17+$BT17+$CC17+$CL17,0)</f>
        <v>0</v>
      </c>
      <c r="EH17" s="1437">
        <f>IF($CP17="CLEARTEC",$BC17+$BL17+$BU17+$CD17+$CM17,0)</f>
        <v>0</v>
      </c>
      <c r="EI17" s="1437">
        <f>SUM(EA17:EH17)-EC17-EE17</f>
        <v>0</v>
      </c>
      <c r="EJ17" s="1414"/>
      <c r="EK17" s="365"/>
      <c r="EL17" s="1440"/>
      <c r="EM17" s="363"/>
      <c r="EN17" s="363"/>
      <c r="EO17" s="363"/>
      <c r="EP17" s="363">
        <v>50</v>
      </c>
      <c r="EQ17" s="363"/>
      <c r="ER17" s="363"/>
      <c r="ES17" s="363"/>
      <c r="ET17" s="363">
        <f t="shared" si="129"/>
        <v>50</v>
      </c>
      <c r="EV17" s="366">
        <f t="shared" si="42"/>
        <v>0</v>
      </c>
      <c r="EW17" s="366">
        <f t="shared" si="91"/>
        <v>0</v>
      </c>
      <c r="EX17" s="366">
        <f t="shared" si="91"/>
        <v>0</v>
      </c>
      <c r="EY17" s="366">
        <f t="shared" si="91"/>
        <v>0</v>
      </c>
      <c r="EZ17" s="366">
        <f t="shared" si="91"/>
        <v>0</v>
      </c>
      <c r="FA17" s="366">
        <f t="shared" si="91"/>
        <v>50</v>
      </c>
      <c r="FB17" s="366">
        <f t="shared" si="44"/>
        <v>0</v>
      </c>
      <c r="FC17" s="366">
        <f t="shared" si="92"/>
        <v>0</v>
      </c>
      <c r="FD17" s="366">
        <f t="shared" si="92"/>
        <v>0</v>
      </c>
      <c r="FE17" s="366">
        <f t="shared" si="92"/>
        <v>50</v>
      </c>
      <c r="FF17" s="364">
        <v>0</v>
      </c>
      <c r="FG17" s="364">
        <v>1</v>
      </c>
      <c r="FH17" s="364">
        <v>0</v>
      </c>
      <c r="FI17" s="364">
        <v>0</v>
      </c>
      <c r="FJ17" s="364">
        <v>0</v>
      </c>
      <c r="FK17" s="364">
        <v>1</v>
      </c>
      <c r="FL17" s="1441">
        <f t="shared" ref="FL17:FL83" si="272">+EP17-FA17</f>
        <v>0</v>
      </c>
    </row>
    <row r="18" spans="1:172" s="1977" customFormat="1" ht="15" customHeight="1" outlineLevel="1">
      <c r="A18" s="1984">
        <f t="shared" si="75"/>
        <v>9</v>
      </c>
      <c r="B18" s="1967" t="s">
        <v>758</v>
      </c>
      <c r="C18" s="1968" t="s">
        <v>58</v>
      </c>
      <c r="D18" s="1969" t="s">
        <v>10</v>
      </c>
      <c r="E18" s="1971">
        <v>3166.38</v>
      </c>
      <c r="F18" s="1971">
        <v>1540.76</v>
      </c>
      <c r="G18" s="1970">
        <f t="shared" si="0"/>
        <v>4707.1400000000003</v>
      </c>
      <c r="H18" s="1971">
        <v>9</v>
      </c>
      <c r="I18" s="1972">
        <v>1</v>
      </c>
      <c r="J18" s="1972">
        <v>0</v>
      </c>
      <c r="K18" s="1972">
        <v>0</v>
      </c>
      <c r="L18" s="1972">
        <v>0</v>
      </c>
      <c r="M18" s="1972">
        <v>0</v>
      </c>
      <c r="N18" s="1972">
        <f t="shared" ref="N18" si="273">SUM(I18:M18)</f>
        <v>1</v>
      </c>
      <c r="O18" s="319" t="s">
        <v>865</v>
      </c>
      <c r="P18" s="1974"/>
      <c r="Q18" s="1971">
        <f t="shared" si="2"/>
        <v>0</v>
      </c>
      <c r="R18" s="1974"/>
      <c r="S18" s="1971">
        <f t="shared" si="76"/>
        <v>0</v>
      </c>
      <c r="T18" s="1974"/>
      <c r="U18" s="1971">
        <f t="shared" si="3"/>
        <v>0</v>
      </c>
      <c r="V18" s="1974"/>
      <c r="W18" s="1971">
        <f t="shared" si="4"/>
        <v>0</v>
      </c>
      <c r="X18" s="1974"/>
      <c r="Y18" s="1971">
        <f t="shared" si="5"/>
        <v>0</v>
      </c>
      <c r="Z18" s="1975"/>
      <c r="AA18" s="1971">
        <f t="shared" si="6"/>
        <v>0</v>
      </c>
      <c r="AB18" s="1975"/>
      <c r="AC18" s="1971">
        <f t="shared" si="77"/>
        <v>0</v>
      </c>
      <c r="AD18" s="1975"/>
      <c r="AE18" s="1971">
        <f t="shared" si="78"/>
        <v>0</v>
      </c>
      <c r="AF18" s="1971"/>
      <c r="AG18" s="1971">
        <f t="shared" si="79"/>
        <v>0</v>
      </c>
      <c r="AH18" s="1975"/>
      <c r="AI18" s="1971">
        <f t="shared" si="80"/>
        <v>0</v>
      </c>
      <c r="AJ18" s="1971"/>
      <c r="AK18" s="1971"/>
      <c r="AL18" s="1971"/>
      <c r="AM18" s="1971"/>
      <c r="AN18" s="1971"/>
      <c r="AO18" s="1971"/>
      <c r="AP18" s="1971"/>
      <c r="AQ18" s="1971"/>
      <c r="AR18" s="1971"/>
      <c r="AS18" s="1971"/>
      <c r="AT18" s="1971"/>
      <c r="AU18" s="1969"/>
      <c r="AV18" s="1971">
        <f>((E18/30)*H18)*$I18</f>
        <v>949.9140000000001</v>
      </c>
      <c r="AW18" s="1971">
        <f>((F18/30)*H18)*$I18</f>
        <v>462.22799999999995</v>
      </c>
      <c r="AX18" s="1971">
        <f t="shared" si="8"/>
        <v>0</v>
      </c>
      <c r="AY18" s="1971">
        <f t="shared" si="8"/>
        <v>0</v>
      </c>
      <c r="AZ18" s="1971">
        <f t="shared" si="8"/>
        <v>0</v>
      </c>
      <c r="BA18" s="1971">
        <f t="shared" si="8"/>
        <v>0</v>
      </c>
      <c r="BB18" s="1971">
        <f t="shared" si="9"/>
        <v>0</v>
      </c>
      <c r="BC18" s="1971">
        <f t="shared" si="10"/>
        <v>120.35410380000002</v>
      </c>
      <c r="BD18" s="1971">
        <f t="shared" si="11"/>
        <v>1532.4961038000001</v>
      </c>
      <c r="BE18" s="1971">
        <f t="shared" si="12"/>
        <v>0</v>
      </c>
      <c r="BF18" s="1426">
        <f>(($F18/30)*$H18)*$J18</f>
        <v>0</v>
      </c>
      <c r="BG18" s="1971">
        <f t="shared" si="13"/>
        <v>0</v>
      </c>
      <c r="BH18" s="1971">
        <f t="shared" si="13"/>
        <v>0</v>
      </c>
      <c r="BI18" s="1971">
        <f t="shared" si="13"/>
        <v>0</v>
      </c>
      <c r="BJ18" s="1971">
        <f t="shared" si="13"/>
        <v>0</v>
      </c>
      <c r="BK18" s="1971">
        <f t="shared" si="14"/>
        <v>0</v>
      </c>
      <c r="BL18" s="1971">
        <f>(+BE18+BH18+BJ18+BK18)*0.1267</f>
        <v>0</v>
      </c>
      <c r="BM18" s="1970">
        <f t="shared" ref="BM18" si="274">SUM(BE18:BL18)-BG18-BI18</f>
        <v>0</v>
      </c>
      <c r="BN18" s="1971">
        <f t="shared" si="16"/>
        <v>0</v>
      </c>
      <c r="BO18" s="1971">
        <f t="shared" si="56"/>
        <v>0</v>
      </c>
      <c r="BP18" s="1971">
        <f t="shared" si="17"/>
        <v>0</v>
      </c>
      <c r="BQ18" s="1971">
        <f t="shared" si="17"/>
        <v>0</v>
      </c>
      <c r="BR18" s="1971">
        <f t="shared" si="17"/>
        <v>0</v>
      </c>
      <c r="BS18" s="1971">
        <f t="shared" si="18"/>
        <v>0</v>
      </c>
      <c r="BT18" s="1971">
        <f t="shared" si="19"/>
        <v>0</v>
      </c>
      <c r="BU18" s="1971">
        <f>(BN18+BQ18+BS18)*0.1267</f>
        <v>0</v>
      </c>
      <c r="BV18" s="1971">
        <f t="shared" ref="BV18" si="275">SUM(BN18:BU18)-BP18-BR18</f>
        <v>0</v>
      </c>
      <c r="BW18" s="1123">
        <f>(($E18/30)*$H18)*$L18</f>
        <v>0</v>
      </c>
      <c r="BX18" s="1124">
        <f>(($F18/30)*$H18)*$L18</f>
        <v>0</v>
      </c>
      <c r="BY18" s="1124">
        <f t="shared" si="270"/>
        <v>0</v>
      </c>
      <c r="BZ18" s="1124">
        <f t="shared" si="270"/>
        <v>0</v>
      </c>
      <c r="CA18" s="1124">
        <f t="shared" si="270"/>
        <v>0</v>
      </c>
      <c r="CB18" s="1124">
        <f t="shared" si="270"/>
        <v>0</v>
      </c>
      <c r="CC18" s="1124">
        <f>AM18+AR18</f>
        <v>0</v>
      </c>
      <c r="CD18" s="1125">
        <f>(BW18+BZ18+CB18)*0.1267</f>
        <v>0</v>
      </c>
      <c r="CE18" s="1126">
        <f>SUM(BW18:CD18)-BY18-CA18</f>
        <v>0</v>
      </c>
      <c r="CF18" s="1127">
        <f>(($E18/30)*$H18)*M18</f>
        <v>0</v>
      </c>
      <c r="CG18" s="1124">
        <f>(($F18/30)*$H18)*$M18</f>
        <v>0</v>
      </c>
      <c r="CH18" s="1124">
        <f>+AF18</f>
        <v>0</v>
      </c>
      <c r="CI18" s="1124">
        <f t="shared" si="271"/>
        <v>0</v>
      </c>
      <c r="CJ18" s="1124">
        <f t="shared" si="271"/>
        <v>0</v>
      </c>
      <c r="CK18" s="1124">
        <f t="shared" si="271"/>
        <v>0</v>
      </c>
      <c r="CL18" s="1124">
        <f>AN18+AS18</f>
        <v>0</v>
      </c>
      <c r="CM18" s="1125">
        <f>(CF18+CI18+CK18)*0.1267</f>
        <v>0</v>
      </c>
      <c r="CN18" s="1125">
        <f>SUM(CF18:CM18)-CH18-CJ18</f>
        <v>0</v>
      </c>
      <c r="CO18" s="1976"/>
      <c r="CP18" s="1969" t="s">
        <v>10</v>
      </c>
      <c r="CQ18" s="1971">
        <f t="shared" si="23"/>
        <v>949.9140000000001</v>
      </c>
      <c r="CR18" s="1971">
        <f t="shared" si="24"/>
        <v>462.22799999999995</v>
      </c>
      <c r="CS18" s="1971">
        <f t="shared" si="25"/>
        <v>0</v>
      </c>
      <c r="CT18" s="1971">
        <f t="shared" si="26"/>
        <v>0</v>
      </c>
      <c r="CU18" s="1971">
        <f t="shared" si="27"/>
        <v>0</v>
      </c>
      <c r="CV18" s="1971">
        <f t="shared" si="28"/>
        <v>0</v>
      </c>
      <c r="CW18" s="1971">
        <f t="shared" si="29"/>
        <v>0</v>
      </c>
      <c r="CX18" s="1971">
        <f t="shared" si="30"/>
        <v>120.35410380000002</v>
      </c>
      <c r="CY18" s="1971">
        <f t="shared" si="31"/>
        <v>1532.4961038000001</v>
      </c>
      <c r="CZ18" s="1971">
        <f t="shared" si="32"/>
        <v>0</v>
      </c>
      <c r="DA18" s="1971">
        <f t="shared" si="33"/>
        <v>0</v>
      </c>
      <c r="DB18" s="1971">
        <f t="shared" si="34"/>
        <v>0</v>
      </c>
      <c r="DC18" s="1971">
        <f t="shared" si="35"/>
        <v>0</v>
      </c>
      <c r="DD18" s="1971">
        <f t="shared" si="36"/>
        <v>0</v>
      </c>
      <c r="DE18" s="1971">
        <f t="shared" si="37"/>
        <v>0</v>
      </c>
      <c r="DF18" s="1971">
        <f t="shared" si="38"/>
        <v>0</v>
      </c>
      <c r="DG18" s="1971">
        <f t="shared" si="39"/>
        <v>0</v>
      </c>
      <c r="DH18" s="1971">
        <f t="shared" ref="DH18" si="276">SUM(CZ18:DG18)-DB18-DD18</f>
        <v>0</v>
      </c>
      <c r="DI18" s="1971">
        <f>IF($CP18="UNHESA LIQUIDOS",$AV18+$BE18+$BN18+$BW18+$CF18,0)</f>
        <v>0</v>
      </c>
      <c r="DJ18" s="1971">
        <f>IF($CP18="CALIDUL",$AW18+$BF18+$BO18+$BX18+$CG18,0)</f>
        <v>0</v>
      </c>
      <c r="DK18" s="1971">
        <f>IF($CP18="CALIDUL",$AX18+$BG18+$BP18+$BY18+$CH18,0)</f>
        <v>0</v>
      </c>
      <c r="DL18" s="1971">
        <f>IF($CP18="CALIDUL",$AY18+$BH18+$BQ18+$BZ18+$CI18,0)</f>
        <v>0</v>
      </c>
      <c r="DM18" s="1971">
        <f>IF($CP18="CALIDUL",$AZ18+$BI18+$BR18+$CA18+$CJ18,0)</f>
        <v>0</v>
      </c>
      <c r="DN18" s="1971">
        <f>IF($CP18="CALIDUL",$BA18+$BJ18+$BS18+$CB18+$CK18,0)</f>
        <v>0</v>
      </c>
      <c r="DO18" s="1971">
        <f>IF($CP18="CALIDUL",$BB18+$BK18+$BT18+$CC18+$CL18,0)</f>
        <v>0</v>
      </c>
      <c r="DP18" s="1971">
        <f>IF($CP18="CALIDUL",$BC18+$BL18+$BU18+$CD18+$CM18,0)</f>
        <v>0</v>
      </c>
      <c r="DQ18" s="1971">
        <f>SUM(DI18:DP18)-DK18-DM18</f>
        <v>0</v>
      </c>
      <c r="DR18" s="1123">
        <f>IF($CP18="ECONACIONAL",$AV18+$BE18+$BN18+$BW18+$CF18,0)</f>
        <v>0</v>
      </c>
      <c r="DS18" s="1124">
        <f>IF($CP18="ECONACIONAL",$AW18+$BF18+$BO18+$BX18+$CG18,0)</f>
        <v>0</v>
      </c>
      <c r="DT18" s="1124">
        <f>IF($CP18="ECONACIONAL",$AX18+$BG18+$BP18+$BY18+$CH18,0)</f>
        <v>0</v>
      </c>
      <c r="DU18" s="1124">
        <f>IF($CP18="ECONACIONAL",$AY18+$BH18+$BQ18+$BZ18+$CI18,0)</f>
        <v>0</v>
      </c>
      <c r="DV18" s="1124">
        <f>IF($CP18="ECONACIONAL",$AZ18+$BI18+$BR18+$CA18+$CJ18,0)</f>
        <v>0</v>
      </c>
      <c r="DW18" s="1124">
        <f>IF($CP18="ECONACIONAL",$BA18+$BJ18+$BS18+$CB18+$CK18,0)</f>
        <v>0</v>
      </c>
      <c r="DX18" s="1125">
        <f>IF($CP18="ECONACIONAL",$BB18+$BK18+$BT18+$CC18+$CL18,0)</f>
        <v>0</v>
      </c>
      <c r="DY18" s="1125">
        <f>IF($CP18="ECONACIONAL",$BC18+$BL18+$BU18+$CD18+$CM18,0)</f>
        <v>0</v>
      </c>
      <c r="DZ18" s="1126">
        <f>SUM(DR18:DY18)-DT18-DV18</f>
        <v>0</v>
      </c>
      <c r="EA18" s="1123">
        <f>IF($CP18="CLEARTEC",$AV18+$BE18+$BN18+$BW18+$CF18,0)</f>
        <v>0</v>
      </c>
      <c r="EB18" s="1124">
        <f>IF($CP18="CLEARTEC",$AW18+$BF18+$BO18+$BX18+$CG18,0)</f>
        <v>0</v>
      </c>
      <c r="EC18" s="1124">
        <f>IF($CP18="CLEARTEC",$AX18+$BG18+$BP18+$BY18+$CH18,0)</f>
        <v>0</v>
      </c>
      <c r="ED18" s="1124">
        <f>IF($CP18="CLEARTEC",$AY18+$BH18+$BQ18+$BZ18+$CI18,0)</f>
        <v>0</v>
      </c>
      <c r="EE18" s="1124">
        <f>IF($CP18="CLEARTEC",$AZ18+$BI18+$BR18+$CA18+$CJ18,0)</f>
        <v>0</v>
      </c>
      <c r="EF18" s="1124">
        <f>IF($CP18="CLEARTEC",$BA18+$BJ18+$BS18+$CB18+$CK18,0)</f>
        <v>0</v>
      </c>
      <c r="EG18" s="1125">
        <f>IF($CP18="CLEARTEC",$BB18+$BK18+$BT18+$CC18+$CL18,0)</f>
        <v>0</v>
      </c>
      <c r="EH18" s="1125">
        <f>IF($CP18="CLEARTEC",$BC18+$BL18+$BU18+$CD18+$CM18,0)</f>
        <v>0</v>
      </c>
      <c r="EI18" s="1125">
        <f>SUM(EA18:EH18)-EC18-EE18</f>
        <v>0</v>
      </c>
      <c r="EJ18" s="1976"/>
      <c r="EK18" s="1968"/>
      <c r="EL18" s="1425"/>
      <c r="EM18" s="1969"/>
      <c r="EN18" s="1969"/>
      <c r="EO18" s="1969"/>
      <c r="EP18" s="1969"/>
      <c r="EQ18" s="1969"/>
      <c r="ER18" s="1969"/>
      <c r="ES18" s="1969"/>
      <c r="ET18" s="1969">
        <f t="shared" si="129"/>
        <v>0</v>
      </c>
      <c r="EV18" s="1974">
        <f t="shared" si="42"/>
        <v>0</v>
      </c>
      <c r="EW18" s="1974">
        <f t="shared" si="91"/>
        <v>0</v>
      </c>
      <c r="EX18" s="1974">
        <f t="shared" si="91"/>
        <v>0</v>
      </c>
      <c r="EY18" s="1974">
        <f t="shared" si="91"/>
        <v>0</v>
      </c>
      <c r="EZ18" s="1974">
        <f t="shared" si="91"/>
        <v>0</v>
      </c>
      <c r="FA18" s="1974">
        <f t="shared" si="91"/>
        <v>0</v>
      </c>
      <c r="FB18" s="1974">
        <f t="shared" si="44"/>
        <v>0</v>
      </c>
      <c r="FC18" s="1974">
        <f t="shared" si="92"/>
        <v>0</v>
      </c>
      <c r="FD18" s="1974">
        <f t="shared" si="92"/>
        <v>0</v>
      </c>
      <c r="FE18" s="1974">
        <f t="shared" si="92"/>
        <v>0</v>
      </c>
      <c r="FF18" s="1978"/>
      <c r="FG18" s="1978"/>
      <c r="FH18" s="1978"/>
      <c r="FI18" s="1978"/>
      <c r="FJ18" s="1978"/>
      <c r="FK18" s="1978"/>
    </row>
    <row r="19" spans="1:172" s="1414" customFormat="1" ht="15.75" customHeight="1" outlineLevel="1" thickBot="1">
      <c r="A19" s="1403"/>
      <c r="B19" s="1442"/>
      <c r="C19" s="1339" t="s">
        <v>61</v>
      </c>
      <c r="E19" s="1443">
        <f>SUM(E10:E18)</f>
        <v>116915.52000000002</v>
      </c>
      <c r="F19" s="1443">
        <f>SUM(F10:F18)</f>
        <v>163290.76</v>
      </c>
      <c r="G19" s="1443">
        <f>SUM(G10:G18)</f>
        <v>280206.28000000003</v>
      </c>
      <c r="H19" s="1444"/>
      <c r="I19" s="1445"/>
      <c r="K19" s="1445"/>
      <c r="L19" s="1445"/>
      <c r="M19" s="1445"/>
      <c r="N19" s="1445"/>
      <c r="O19" s="1417"/>
      <c r="P19" s="1446">
        <f t="shared" ref="P19:AA19" si="277">SUM(P10:P18)</f>
        <v>0</v>
      </c>
      <c r="Q19" s="1446">
        <f t="shared" si="277"/>
        <v>0</v>
      </c>
      <c r="R19" s="1446">
        <f t="shared" si="277"/>
        <v>0</v>
      </c>
      <c r="S19" s="1446">
        <f t="shared" si="277"/>
        <v>0</v>
      </c>
      <c r="T19" s="1446">
        <f t="shared" si="277"/>
        <v>0</v>
      </c>
      <c r="U19" s="1446">
        <f t="shared" si="277"/>
        <v>0</v>
      </c>
      <c r="V19" s="1446">
        <f t="shared" si="277"/>
        <v>0</v>
      </c>
      <c r="W19" s="1446">
        <f t="shared" si="277"/>
        <v>0</v>
      </c>
      <c r="X19" s="1446">
        <f t="shared" si="277"/>
        <v>0</v>
      </c>
      <c r="Y19" s="1446">
        <f t="shared" si="277"/>
        <v>0</v>
      </c>
      <c r="Z19" s="1446">
        <f t="shared" si="277"/>
        <v>0</v>
      </c>
      <c r="AA19" s="1446">
        <f t="shared" si="277"/>
        <v>0</v>
      </c>
      <c r="AB19" s="1446">
        <f t="shared" ref="AB19:AT19" si="278">SUM(AB10:AB17)</f>
        <v>0</v>
      </c>
      <c r="AC19" s="1446">
        <f t="shared" si="278"/>
        <v>0</v>
      </c>
      <c r="AD19" s="1446">
        <f t="shared" si="278"/>
        <v>0</v>
      </c>
      <c r="AE19" s="1446">
        <f t="shared" si="278"/>
        <v>0</v>
      </c>
      <c r="AF19" s="1446">
        <f t="shared" si="278"/>
        <v>0</v>
      </c>
      <c r="AG19" s="1446">
        <f t="shared" si="278"/>
        <v>0</v>
      </c>
      <c r="AH19" s="1446">
        <f t="shared" si="278"/>
        <v>0</v>
      </c>
      <c r="AI19" s="1446">
        <f t="shared" si="278"/>
        <v>0</v>
      </c>
      <c r="AJ19" s="1446">
        <f t="shared" si="278"/>
        <v>0</v>
      </c>
      <c r="AK19" s="1446">
        <f t="shared" si="278"/>
        <v>0</v>
      </c>
      <c r="AL19" s="1446">
        <f t="shared" si="278"/>
        <v>0</v>
      </c>
      <c r="AM19" s="1446">
        <f t="shared" si="278"/>
        <v>0</v>
      </c>
      <c r="AN19" s="1446">
        <f t="shared" si="278"/>
        <v>0</v>
      </c>
      <c r="AO19" s="1446">
        <f t="shared" si="278"/>
        <v>0</v>
      </c>
      <c r="AP19" s="1446">
        <f t="shared" si="278"/>
        <v>0</v>
      </c>
      <c r="AQ19" s="1446">
        <f t="shared" si="278"/>
        <v>0</v>
      </c>
      <c r="AR19" s="1446">
        <f t="shared" si="278"/>
        <v>0</v>
      </c>
      <c r="AS19" s="1446">
        <f t="shared" si="278"/>
        <v>0</v>
      </c>
      <c r="AT19" s="1446">
        <f t="shared" si="278"/>
        <v>0</v>
      </c>
      <c r="AV19" s="1446">
        <f t="shared" ref="AV19:BV19" si="279">SUM(AV10:AV18)</f>
        <v>80449.914000000004</v>
      </c>
      <c r="AW19" s="1446">
        <f t="shared" si="279"/>
        <v>172431.098</v>
      </c>
      <c r="AX19" s="1446">
        <f t="shared" si="279"/>
        <v>0</v>
      </c>
      <c r="AY19" s="1446">
        <f t="shared" si="279"/>
        <v>0</v>
      </c>
      <c r="AZ19" s="1446">
        <f t="shared" si="279"/>
        <v>0</v>
      </c>
      <c r="BA19" s="1446">
        <f t="shared" si="279"/>
        <v>0</v>
      </c>
      <c r="BB19" s="1446">
        <f t="shared" si="279"/>
        <v>0</v>
      </c>
      <c r="BC19" s="1446">
        <f t="shared" si="279"/>
        <v>10193.004103800002</v>
      </c>
      <c r="BD19" s="1446">
        <f t="shared" si="279"/>
        <v>263074.01610380004</v>
      </c>
      <c r="BE19" s="1446">
        <f t="shared" si="279"/>
        <v>32749.140000000003</v>
      </c>
      <c r="BF19" s="1446">
        <f t="shared" si="279"/>
        <v>3150</v>
      </c>
      <c r="BG19" s="1446">
        <f t="shared" si="279"/>
        <v>0</v>
      </c>
      <c r="BH19" s="1446">
        <f t="shared" si="279"/>
        <v>0</v>
      </c>
      <c r="BI19" s="1446">
        <f t="shared" si="279"/>
        <v>0</v>
      </c>
      <c r="BJ19" s="1446">
        <f t="shared" si="279"/>
        <v>0</v>
      </c>
      <c r="BK19" s="1446">
        <f t="shared" si="279"/>
        <v>0</v>
      </c>
      <c r="BL19" s="1446">
        <f t="shared" si="279"/>
        <v>1203.5410380000001</v>
      </c>
      <c r="BM19" s="1446">
        <f t="shared" si="279"/>
        <v>37102.681037999995</v>
      </c>
      <c r="BN19" s="1446">
        <f t="shared" si="279"/>
        <v>0</v>
      </c>
      <c r="BO19" s="1446">
        <f t="shared" si="279"/>
        <v>0</v>
      </c>
      <c r="BP19" s="1446">
        <f t="shared" si="279"/>
        <v>0</v>
      </c>
      <c r="BQ19" s="1446">
        <f t="shared" si="279"/>
        <v>0</v>
      </c>
      <c r="BR19" s="1446">
        <f t="shared" si="279"/>
        <v>0</v>
      </c>
      <c r="BS19" s="1446">
        <f t="shared" si="279"/>
        <v>0</v>
      </c>
      <c r="BT19" s="1446">
        <f t="shared" si="279"/>
        <v>0</v>
      </c>
      <c r="BU19" s="1446">
        <f t="shared" si="279"/>
        <v>0</v>
      </c>
      <c r="BV19" s="1446">
        <f t="shared" si="279"/>
        <v>0</v>
      </c>
      <c r="BW19" s="1447">
        <f t="shared" ref="BW19:CN19" si="280">SUM(BW10:BW17)</f>
        <v>1500</v>
      </c>
      <c r="BX19" s="1447">
        <f t="shared" si="280"/>
        <v>1200</v>
      </c>
      <c r="BY19" s="1447">
        <f t="shared" si="280"/>
        <v>0</v>
      </c>
      <c r="BZ19" s="1447">
        <f t="shared" si="280"/>
        <v>0</v>
      </c>
      <c r="CA19" s="1447">
        <f t="shared" si="280"/>
        <v>0</v>
      </c>
      <c r="CB19" s="1447">
        <f t="shared" si="280"/>
        <v>0</v>
      </c>
      <c r="CC19" s="1447">
        <f t="shared" si="280"/>
        <v>0</v>
      </c>
      <c r="CD19" s="1447">
        <f>SUM(CD10:CD18)</f>
        <v>190.05</v>
      </c>
      <c r="CE19" s="1447">
        <f>SUM(CE10:CE18)</f>
        <v>2890.05</v>
      </c>
      <c r="CF19" s="1447">
        <f t="shared" si="280"/>
        <v>0</v>
      </c>
      <c r="CG19" s="1447">
        <f t="shared" si="280"/>
        <v>0</v>
      </c>
      <c r="CH19" s="1447">
        <f t="shared" si="280"/>
        <v>0</v>
      </c>
      <c r="CI19" s="1447">
        <f t="shared" si="280"/>
        <v>0</v>
      </c>
      <c r="CJ19" s="1447">
        <f t="shared" si="280"/>
        <v>0</v>
      </c>
      <c r="CK19" s="1447">
        <f t="shared" si="280"/>
        <v>0</v>
      </c>
      <c r="CL19" s="1447">
        <f t="shared" si="280"/>
        <v>0</v>
      </c>
      <c r="CM19" s="1447">
        <f t="shared" si="280"/>
        <v>0</v>
      </c>
      <c r="CN19" s="1447">
        <f t="shared" si="280"/>
        <v>0</v>
      </c>
      <c r="CP19" s="1444"/>
      <c r="CQ19" s="1446">
        <f t="shared" ref="CQ19:DQ19" si="281">SUM(CQ10:CQ18)</f>
        <v>80449.914000000004</v>
      </c>
      <c r="CR19" s="1446">
        <f t="shared" si="281"/>
        <v>171781.098</v>
      </c>
      <c r="CS19" s="1446">
        <f t="shared" si="281"/>
        <v>0</v>
      </c>
      <c r="CT19" s="1446">
        <f t="shared" si="281"/>
        <v>0</v>
      </c>
      <c r="CU19" s="1446">
        <f t="shared" si="281"/>
        <v>0</v>
      </c>
      <c r="CV19" s="1446">
        <f t="shared" si="281"/>
        <v>0</v>
      </c>
      <c r="CW19" s="1446">
        <f t="shared" si="281"/>
        <v>0</v>
      </c>
      <c r="CX19" s="1446">
        <f t="shared" si="281"/>
        <v>9971.2791038000014</v>
      </c>
      <c r="CY19" s="1446">
        <f t="shared" si="281"/>
        <v>262202.2911038</v>
      </c>
      <c r="CZ19" s="1446">
        <f t="shared" si="281"/>
        <v>34249.14</v>
      </c>
      <c r="DA19" s="1446">
        <f t="shared" si="281"/>
        <v>5000</v>
      </c>
      <c r="DB19" s="1446">
        <f t="shared" si="281"/>
        <v>0</v>
      </c>
      <c r="DC19" s="1446">
        <f t="shared" si="281"/>
        <v>0</v>
      </c>
      <c r="DD19" s="1446">
        <f t="shared" si="281"/>
        <v>0</v>
      </c>
      <c r="DE19" s="1446">
        <f t="shared" si="281"/>
        <v>0</v>
      </c>
      <c r="DF19" s="1446">
        <f t="shared" si="281"/>
        <v>0</v>
      </c>
      <c r="DG19" s="1446">
        <f t="shared" si="281"/>
        <v>1615.3160380000002</v>
      </c>
      <c r="DH19" s="1446">
        <f t="shared" si="281"/>
        <v>40864.456037999997</v>
      </c>
      <c r="DI19" s="1446">
        <f t="shared" si="281"/>
        <v>0</v>
      </c>
      <c r="DJ19" s="1446">
        <f t="shared" si="281"/>
        <v>0</v>
      </c>
      <c r="DK19" s="1446">
        <f t="shared" si="281"/>
        <v>0</v>
      </c>
      <c r="DL19" s="1446">
        <f t="shared" si="281"/>
        <v>0</v>
      </c>
      <c r="DM19" s="1446">
        <f t="shared" si="281"/>
        <v>0</v>
      </c>
      <c r="DN19" s="1446">
        <f t="shared" si="281"/>
        <v>0</v>
      </c>
      <c r="DO19" s="1446">
        <f t="shared" si="281"/>
        <v>0</v>
      </c>
      <c r="DP19" s="1446">
        <f t="shared" si="281"/>
        <v>0</v>
      </c>
      <c r="DQ19" s="1446">
        <f t="shared" si="281"/>
        <v>0</v>
      </c>
      <c r="DR19" s="1447">
        <f t="shared" ref="DR19:EI19" si="282">SUM(DR10:DR17)</f>
        <v>0</v>
      </c>
      <c r="DS19" s="1447">
        <f t="shared" si="282"/>
        <v>0</v>
      </c>
      <c r="DT19" s="1447">
        <f t="shared" si="282"/>
        <v>0</v>
      </c>
      <c r="DU19" s="1447">
        <f t="shared" si="282"/>
        <v>0</v>
      </c>
      <c r="DV19" s="1447">
        <f t="shared" si="282"/>
        <v>0</v>
      </c>
      <c r="DW19" s="1447">
        <f t="shared" si="282"/>
        <v>0</v>
      </c>
      <c r="DX19" s="1447">
        <f t="shared" si="282"/>
        <v>0</v>
      </c>
      <c r="DY19" s="1447">
        <f t="shared" si="282"/>
        <v>0</v>
      </c>
      <c r="DZ19" s="1447">
        <f t="shared" si="282"/>
        <v>0</v>
      </c>
      <c r="EA19" s="1447">
        <f t="shared" si="282"/>
        <v>0</v>
      </c>
      <c r="EB19" s="1447">
        <f t="shared" si="282"/>
        <v>0</v>
      </c>
      <c r="EC19" s="1447">
        <f t="shared" si="282"/>
        <v>0</v>
      </c>
      <c r="ED19" s="1447">
        <f t="shared" si="282"/>
        <v>0</v>
      </c>
      <c r="EE19" s="1447">
        <f t="shared" si="282"/>
        <v>0</v>
      </c>
      <c r="EF19" s="1447">
        <f t="shared" si="282"/>
        <v>0</v>
      </c>
      <c r="EG19" s="1447">
        <f t="shared" si="282"/>
        <v>0</v>
      </c>
      <c r="EH19" s="1447">
        <f t="shared" si="282"/>
        <v>0</v>
      </c>
      <c r="EI19" s="1447">
        <f t="shared" si="282"/>
        <v>0</v>
      </c>
      <c r="EK19" s="1446">
        <f t="shared" ref="EK19:ET19" si="283">SUM(EK10:EK18)</f>
        <v>19506.420000000002</v>
      </c>
      <c r="EL19" s="1446">
        <f t="shared" si="283"/>
        <v>0</v>
      </c>
      <c r="EM19" s="1446">
        <f t="shared" si="283"/>
        <v>0</v>
      </c>
      <c r="EN19" s="1446">
        <f t="shared" si="283"/>
        <v>97</v>
      </c>
      <c r="EO19" s="1446">
        <f t="shared" si="283"/>
        <v>165</v>
      </c>
      <c r="EP19" s="1446">
        <f t="shared" si="283"/>
        <v>275</v>
      </c>
      <c r="EQ19" s="1446">
        <f t="shared" si="283"/>
        <v>240</v>
      </c>
      <c r="ER19" s="1446">
        <f t="shared" si="283"/>
        <v>0</v>
      </c>
      <c r="ES19" s="1446">
        <f t="shared" si="283"/>
        <v>0</v>
      </c>
      <c r="ET19" s="1446">
        <f t="shared" si="283"/>
        <v>680</v>
      </c>
      <c r="EU19" s="1446"/>
      <c r="EV19" s="1446">
        <f t="shared" ref="EV19:FE19" si="284">SUM(EV10:EV18)</f>
        <v>19506.420000000002</v>
      </c>
      <c r="EW19" s="1446">
        <f t="shared" si="284"/>
        <v>0</v>
      </c>
      <c r="EX19" s="1446">
        <f t="shared" si="284"/>
        <v>0</v>
      </c>
      <c r="EY19" s="1446">
        <f t="shared" si="284"/>
        <v>97</v>
      </c>
      <c r="EZ19" s="1446">
        <f t="shared" si="284"/>
        <v>165</v>
      </c>
      <c r="FA19" s="1446">
        <f t="shared" si="284"/>
        <v>275</v>
      </c>
      <c r="FB19" s="1446">
        <f t="shared" si="284"/>
        <v>240</v>
      </c>
      <c r="FC19" s="1446">
        <f t="shared" si="284"/>
        <v>0</v>
      </c>
      <c r="FD19" s="1446">
        <f t="shared" si="284"/>
        <v>0</v>
      </c>
      <c r="FE19" s="1446">
        <f t="shared" si="284"/>
        <v>680</v>
      </c>
      <c r="FF19" s="1448"/>
      <c r="FG19" s="1448"/>
      <c r="FH19" s="1448"/>
      <c r="FI19" s="1448"/>
      <c r="FJ19" s="1448"/>
      <c r="FK19" s="1448"/>
      <c r="FL19" s="1441">
        <f t="shared" si="272"/>
        <v>0</v>
      </c>
    </row>
    <row r="20" spans="1:172" s="1444" customFormat="1" ht="15.75" customHeight="1" outlineLevel="1" thickTop="1">
      <c r="A20" s="1449"/>
      <c r="B20" s="1442"/>
      <c r="C20" s="1403"/>
      <c r="D20" s="1414"/>
      <c r="E20" s="1450"/>
      <c r="G20" s="1451"/>
      <c r="I20" s="1445"/>
      <c r="J20" s="1414"/>
      <c r="K20" s="1445"/>
      <c r="L20" s="1445"/>
      <c r="M20" s="1445"/>
      <c r="N20" s="1445"/>
      <c r="O20" s="1417"/>
      <c r="P20" s="1452"/>
      <c r="R20" s="1452"/>
      <c r="T20" s="1452"/>
      <c r="V20" s="1452"/>
      <c r="X20" s="1452"/>
      <c r="Z20" s="1453"/>
      <c r="AB20" s="1453"/>
      <c r="AD20" s="1453"/>
      <c r="AH20" s="1453"/>
      <c r="AU20" s="1414"/>
      <c r="BM20" s="1451"/>
      <c r="CO20" s="1414"/>
      <c r="CP20" s="1414"/>
      <c r="EJ20" s="1414"/>
      <c r="EK20" s="1403"/>
      <c r="EL20" s="1414"/>
      <c r="EM20" s="1414"/>
      <c r="EN20" s="1414"/>
      <c r="EO20" s="1414"/>
      <c r="EP20" s="1414"/>
      <c r="EQ20" s="1414"/>
      <c r="ER20" s="1414"/>
      <c r="ES20" s="1414"/>
      <c r="ET20" s="1414"/>
      <c r="EU20" s="1414"/>
      <c r="EV20" s="1414"/>
      <c r="EW20" s="1414"/>
      <c r="EX20" s="1414"/>
      <c r="EY20" s="1414"/>
      <c r="EZ20" s="1414"/>
      <c r="FA20" s="1414"/>
      <c r="FB20" s="1414"/>
      <c r="FC20" s="1414"/>
      <c r="FD20" s="1414"/>
      <c r="FE20" s="1414"/>
      <c r="FF20" s="1448"/>
      <c r="FG20" s="1448"/>
      <c r="FH20" s="1448"/>
      <c r="FI20" s="1448"/>
      <c r="FJ20" s="1448"/>
      <c r="FK20" s="1448"/>
      <c r="FL20" s="1441">
        <f t="shared" si="272"/>
        <v>0</v>
      </c>
      <c r="FM20" s="1414"/>
      <c r="FN20" s="1414"/>
      <c r="FO20" s="1414"/>
      <c r="FP20" s="1414"/>
    </row>
    <row r="21" spans="1:172" s="1414" customFormat="1" ht="15" customHeight="1" outlineLevel="1">
      <c r="A21" s="1403"/>
      <c r="B21" s="1416" t="s">
        <v>62</v>
      </c>
      <c r="C21" s="1403"/>
      <c r="D21" s="1403"/>
      <c r="E21" s="1450"/>
      <c r="F21" s="1444"/>
      <c r="G21" s="1444"/>
      <c r="H21" s="1444"/>
      <c r="O21" s="1417"/>
      <c r="P21" s="1452"/>
      <c r="Q21" s="1444"/>
      <c r="R21" s="1452"/>
      <c r="S21" s="1444"/>
      <c r="T21" s="1452"/>
      <c r="U21" s="1444"/>
      <c r="V21" s="1452"/>
      <c r="W21" s="1444"/>
      <c r="X21" s="1452"/>
      <c r="Y21" s="1444"/>
      <c r="Z21" s="1453"/>
      <c r="AA21" s="1444"/>
      <c r="AB21" s="1453"/>
      <c r="AC21" s="1444"/>
      <c r="AD21" s="1453"/>
      <c r="AE21" s="1444"/>
      <c r="AF21" s="1444"/>
      <c r="AG21" s="1444"/>
      <c r="AH21" s="1453"/>
      <c r="AI21" s="1444"/>
      <c r="AJ21" s="1444"/>
      <c r="AK21" s="1444"/>
      <c r="AL21" s="1444"/>
      <c r="AM21" s="1444"/>
      <c r="AN21" s="1444"/>
      <c r="AO21" s="1444"/>
      <c r="AP21" s="1444"/>
      <c r="AQ21" s="1444"/>
      <c r="AR21" s="1444"/>
      <c r="AS21" s="1444"/>
      <c r="AT21" s="1444"/>
      <c r="AV21" s="1444"/>
      <c r="AW21" s="1444"/>
      <c r="AX21" s="1444"/>
      <c r="AY21" s="1444"/>
      <c r="AZ21" s="1444"/>
      <c r="BA21" s="1444"/>
      <c r="BB21" s="1444"/>
      <c r="BC21" s="1444"/>
      <c r="BD21" s="1444"/>
      <c r="BE21" s="1444"/>
      <c r="BF21" s="1444"/>
      <c r="BG21" s="1444"/>
      <c r="BH21" s="1444"/>
      <c r="BI21" s="1444"/>
      <c r="BJ21" s="1444"/>
      <c r="BK21" s="1444"/>
      <c r="BL21" s="1444"/>
      <c r="BM21" s="1451"/>
      <c r="BN21" s="1444"/>
      <c r="BO21" s="1444"/>
      <c r="BP21" s="1444"/>
      <c r="BQ21" s="1444"/>
      <c r="BR21" s="1444"/>
      <c r="BS21" s="1444"/>
      <c r="BT21" s="1444"/>
      <c r="BU21" s="1444"/>
      <c r="BV21" s="1444"/>
      <c r="BW21" s="1444"/>
      <c r="BX21" s="1444"/>
      <c r="BY21" s="1444"/>
      <c r="BZ21" s="1444"/>
      <c r="CA21" s="1444"/>
      <c r="CB21" s="1444"/>
      <c r="CC21" s="1444"/>
      <c r="CD21" s="1444"/>
      <c r="CE21" s="1444"/>
      <c r="CF21" s="1444"/>
      <c r="CG21" s="1444"/>
      <c r="CH21" s="1444"/>
      <c r="CI21" s="1444"/>
      <c r="CJ21" s="1444"/>
      <c r="CK21" s="1444"/>
      <c r="CL21" s="1444"/>
      <c r="CM21" s="1444"/>
      <c r="CN21" s="1444"/>
      <c r="CQ21" s="1444"/>
      <c r="CR21" s="1444"/>
      <c r="CS21" s="1444"/>
      <c r="CT21" s="1444"/>
      <c r="CU21" s="1444"/>
      <c r="CV21" s="1444"/>
      <c r="CW21" s="1444"/>
      <c r="CX21" s="1444"/>
      <c r="CY21" s="1444"/>
      <c r="CZ21" s="1444"/>
      <c r="DA21" s="1444"/>
      <c r="DB21" s="1444"/>
      <c r="DC21" s="1444"/>
      <c r="DD21" s="1444"/>
      <c r="DE21" s="1444"/>
      <c r="DF21" s="1444"/>
      <c r="DG21" s="1444"/>
      <c r="DH21" s="1444"/>
      <c r="DI21" s="1444"/>
      <c r="DJ21" s="1444"/>
      <c r="DK21" s="1444"/>
      <c r="DL21" s="1444"/>
      <c r="DM21" s="1444"/>
      <c r="DN21" s="1444"/>
      <c r="DO21" s="1444"/>
      <c r="DP21" s="1444"/>
      <c r="DQ21" s="1444"/>
      <c r="DR21" s="1444"/>
      <c r="DS21" s="1444"/>
      <c r="DT21" s="1444"/>
      <c r="DU21" s="1444"/>
      <c r="DV21" s="1444"/>
      <c r="DW21" s="1444"/>
      <c r="DX21" s="1444"/>
      <c r="DY21" s="1444"/>
      <c r="DZ21" s="1444"/>
      <c r="EA21" s="1444"/>
      <c r="EB21" s="1444"/>
      <c r="EC21" s="1444"/>
      <c r="ED21" s="1444"/>
      <c r="EE21" s="1444"/>
      <c r="EF21" s="1444"/>
      <c r="EG21" s="1444"/>
      <c r="EH21" s="1444"/>
      <c r="EI21" s="1444"/>
      <c r="EK21" s="1403"/>
      <c r="FF21" s="1448"/>
      <c r="FG21" s="1448"/>
      <c r="FH21" s="1448"/>
      <c r="FI21" s="1448"/>
      <c r="FJ21" s="1448"/>
      <c r="FK21" s="1448"/>
      <c r="FL21" s="1441">
        <f t="shared" si="272"/>
        <v>0</v>
      </c>
    </row>
    <row r="22" spans="1:172" s="1441" customFormat="1" ht="15" customHeight="1" outlineLevel="1">
      <c r="A22" s="1454">
        <v>10</v>
      </c>
      <c r="B22" s="213" t="s">
        <v>506</v>
      </c>
      <c r="C22" s="365" t="s">
        <v>63</v>
      </c>
      <c r="D22" s="363" t="s">
        <v>10</v>
      </c>
      <c r="E22" s="315">
        <v>3262.5</v>
      </c>
      <c r="F22" s="355">
        <v>2250</v>
      </c>
      <c r="G22" s="1431">
        <f t="shared" ref="G22:G27" si="285">+E22+F22</f>
        <v>5512.5</v>
      </c>
      <c r="H22" s="355">
        <v>30</v>
      </c>
      <c r="I22" s="1432">
        <v>1</v>
      </c>
      <c r="J22" s="1432">
        <v>0</v>
      </c>
      <c r="K22" s="1432">
        <v>0</v>
      </c>
      <c r="L22" s="1432">
        <v>0</v>
      </c>
      <c r="M22" s="1432">
        <v>0</v>
      </c>
      <c r="N22" s="1432">
        <f t="shared" ref="N22:N27" si="286">SUM(I22:M22)</f>
        <v>1</v>
      </c>
      <c r="O22" s="1433"/>
      <c r="P22" s="366"/>
      <c r="Q22" s="355">
        <f t="shared" ref="Q22:Q27" si="287">($E22/30/8*1.5)*P22</f>
        <v>0</v>
      </c>
      <c r="R22" s="366"/>
      <c r="S22" s="355">
        <f t="shared" ref="S22:S27" si="288">($E22/30/8*2)*R22</f>
        <v>0</v>
      </c>
      <c r="T22" s="366"/>
      <c r="U22" s="355">
        <f t="shared" ref="U22:U27" si="289">($E22/30/8*1.5)*T22</f>
        <v>0</v>
      </c>
      <c r="V22" s="366"/>
      <c r="W22" s="355">
        <f t="shared" ref="W22:W27" si="290">($E22/30/8*2)*V22</f>
        <v>0</v>
      </c>
      <c r="X22" s="366"/>
      <c r="Y22" s="355">
        <f t="shared" ref="Y22:Y27" si="291">(($E22/30/8)*1.5)*X22</f>
        <v>0</v>
      </c>
      <c r="Z22" s="1434"/>
      <c r="AA22" s="355">
        <f t="shared" ref="AA22:AA27" si="292">(($E22/30/8)*2)*Z22</f>
        <v>0</v>
      </c>
      <c r="AB22" s="1434"/>
      <c r="AC22" s="355">
        <f t="shared" ref="AC22:AC27" si="293">(($E22/30/8)*1.5)*AB22</f>
        <v>0</v>
      </c>
      <c r="AD22" s="1434"/>
      <c r="AE22" s="355">
        <f t="shared" ref="AE22:AE27" si="294">(($E22/30/8)*2)*AD22</f>
        <v>0</v>
      </c>
      <c r="AF22" s="355"/>
      <c r="AG22" s="355">
        <f t="shared" ref="AG22:AG27" si="295">(($E22/30/8)*1.5)*AF22</f>
        <v>0</v>
      </c>
      <c r="AH22" s="1434"/>
      <c r="AI22" s="355">
        <f t="shared" ref="AI22:AI27" si="296">(($E22/30/8)*2)*AH22</f>
        <v>0</v>
      </c>
      <c r="AJ22" s="355"/>
      <c r="AK22" s="355"/>
      <c r="AL22" s="355"/>
      <c r="AM22" s="355"/>
      <c r="AN22" s="355"/>
      <c r="AO22" s="355"/>
      <c r="AP22" s="355"/>
      <c r="AQ22" s="355"/>
      <c r="AR22" s="355"/>
      <c r="AS22" s="355"/>
      <c r="AT22" s="355"/>
      <c r="AU22" s="363"/>
      <c r="AV22" s="355">
        <f t="shared" ref="AV22:AV27" si="297">((E22/30)*H22)*$I22</f>
        <v>3262.5</v>
      </c>
      <c r="AW22" s="355">
        <f t="shared" ref="AW22:AW27" si="298">((F22/30)*H22)*$I22</f>
        <v>2250</v>
      </c>
      <c r="AX22" s="355">
        <f t="shared" ref="AX22:BA27" si="299">P22</f>
        <v>0</v>
      </c>
      <c r="AY22" s="355">
        <f t="shared" si="299"/>
        <v>0</v>
      </c>
      <c r="AZ22" s="355">
        <f t="shared" si="299"/>
        <v>0</v>
      </c>
      <c r="BA22" s="355">
        <f t="shared" si="299"/>
        <v>0</v>
      </c>
      <c r="BB22" s="355">
        <f t="shared" ref="BB22:BB27" si="300">AJ22+AO22</f>
        <v>0</v>
      </c>
      <c r="BC22" s="355">
        <f t="shared" ref="BC22:BC27" si="301">(AV22+AY22+BA22)*0.1267</f>
        <v>413.35875000000004</v>
      </c>
      <c r="BD22" s="355">
        <f t="shared" ref="BD22:BD27" si="302">SUM(AV22:BC22)-AX22-AZ22</f>
        <v>5925.8587500000003</v>
      </c>
      <c r="BE22" s="355">
        <f t="shared" ref="BE22:BE27" si="303">(($E22/30)*$H22)*$J22</f>
        <v>0</v>
      </c>
      <c r="BF22" s="355">
        <f t="shared" ref="BF22:BF27" si="304">(($F22/30)*$H22)*$J22</f>
        <v>0</v>
      </c>
      <c r="BG22" s="355">
        <f t="shared" ref="BG22:BJ27" si="305">T22</f>
        <v>0</v>
      </c>
      <c r="BH22" s="355">
        <f t="shared" si="305"/>
        <v>0</v>
      </c>
      <c r="BI22" s="355">
        <f t="shared" si="305"/>
        <v>0</v>
      </c>
      <c r="BJ22" s="355">
        <f t="shared" si="305"/>
        <v>0</v>
      </c>
      <c r="BK22" s="355">
        <f t="shared" ref="BK22:BK27" si="306">AK22+AP22</f>
        <v>0</v>
      </c>
      <c r="BL22" s="355">
        <f t="shared" ref="BL22:BL27" si="307">(+BE22+BH22+BJ22+BK22)*0.1267</f>
        <v>0</v>
      </c>
      <c r="BM22" s="1431">
        <f t="shared" ref="BM22:BM27" si="308">SUM(BE22:BL22)-BG22-BI22</f>
        <v>0</v>
      </c>
      <c r="BN22" s="355">
        <f t="shared" ref="BN22:BN27" si="309">(($E22/30)*$H22)*$K22</f>
        <v>0</v>
      </c>
      <c r="BO22" s="355">
        <f t="shared" ref="BO22:BO27" si="310">(($F22/30)*$H22)*$K22</f>
        <v>0</v>
      </c>
      <c r="BP22" s="355">
        <f t="shared" ref="BP22:BR27" si="311">X22</f>
        <v>0</v>
      </c>
      <c r="BQ22" s="355">
        <f t="shared" si="311"/>
        <v>0</v>
      </c>
      <c r="BR22" s="355">
        <f t="shared" si="311"/>
        <v>0</v>
      </c>
      <c r="BS22" s="355">
        <f t="shared" ref="BS22:BS27" si="312">AA22</f>
        <v>0</v>
      </c>
      <c r="BT22" s="355">
        <f t="shared" ref="BT22:BT27" si="313">AL22+AQ22</f>
        <v>0</v>
      </c>
      <c r="BU22" s="355">
        <f>(BN22+BQ22+BS22)*0.1267</f>
        <v>0</v>
      </c>
      <c r="BV22" s="355">
        <f t="shared" ref="BV22:BV27" si="314">SUM(BN22:BU22)-BP22-BR22</f>
        <v>0</v>
      </c>
      <c r="BW22" s="1455">
        <f t="shared" ref="BW22:BW27" si="315">(($E22/30)*$H22)*$L22</f>
        <v>0</v>
      </c>
      <c r="BX22" s="1456">
        <f t="shared" ref="BX22:BX27" si="316">(($F22/30)*$H22)*$L22</f>
        <v>0</v>
      </c>
      <c r="BY22" s="1456">
        <f t="shared" ref="BY22:CB24" si="317">AB22</f>
        <v>0</v>
      </c>
      <c r="BZ22" s="1456">
        <f t="shared" si="317"/>
        <v>0</v>
      </c>
      <c r="CA22" s="1456">
        <f t="shared" si="317"/>
        <v>0</v>
      </c>
      <c r="CB22" s="1456">
        <f t="shared" si="317"/>
        <v>0</v>
      </c>
      <c r="CC22" s="1456">
        <f t="shared" ref="CC22:CC27" si="318">AM22+AR22</f>
        <v>0</v>
      </c>
      <c r="CD22" s="1457">
        <f>(BW22+BZ22+CB22)*0.1267</f>
        <v>0</v>
      </c>
      <c r="CE22" s="1458">
        <f t="shared" ref="CE22:CE27" si="319">SUM(BW22:CD22)-BY22-CA22</f>
        <v>0</v>
      </c>
      <c r="CF22" s="1459">
        <f>(($E22/30)*$H22)*M22</f>
        <v>0</v>
      </c>
      <c r="CG22" s="1456">
        <f t="shared" ref="CG22:CG27" si="320">(($F22/30)*$H22)*$M22</f>
        <v>0</v>
      </c>
      <c r="CH22" s="1456">
        <f t="shared" ref="CH22:CH27" si="321">+AF22</f>
        <v>0</v>
      </c>
      <c r="CI22" s="1456">
        <f t="shared" ref="CI22:CK24" si="322">AG22</f>
        <v>0</v>
      </c>
      <c r="CJ22" s="1456">
        <f t="shared" si="322"/>
        <v>0</v>
      </c>
      <c r="CK22" s="1456">
        <f t="shared" si="322"/>
        <v>0</v>
      </c>
      <c r="CL22" s="1456">
        <f t="shared" ref="CL22:CL27" si="323">AN22+AS22</f>
        <v>0</v>
      </c>
      <c r="CM22" s="1457">
        <f>(CF22+CI22+CK22)*0.1267</f>
        <v>0</v>
      </c>
      <c r="CN22" s="1457">
        <f t="shared" ref="CN22:CN27" si="324">SUM(CF22:CM22)-CH22-CJ22</f>
        <v>0</v>
      </c>
      <c r="CO22" s="1414"/>
      <c r="CP22" s="363" t="s">
        <v>10</v>
      </c>
      <c r="CQ22" s="355">
        <f t="shared" ref="CQ22:CQ27" si="325">IF($CP22="PROQUIMA",$AV22+$BE22+$BN22+$BW22+$CF22,0)</f>
        <v>3262.5</v>
      </c>
      <c r="CR22" s="355">
        <f t="shared" ref="CR22:CR27" si="326">IF($CP22="PROQUIMA",$AW22+$BF22+$BO22+$BX22+$CG22,0)</f>
        <v>2250</v>
      </c>
      <c r="CS22" s="355">
        <f t="shared" ref="CS22:CS27" si="327">IF($CP22="PROQUIMA",$AX22+$BG22+$BP22+$BY22+$CH22,0)</f>
        <v>0</v>
      </c>
      <c r="CT22" s="355">
        <f t="shared" ref="CT22:CT27" si="328">IF($CP22="PROQUIMA",$AY22+$BH22+$BQ22+$BZ22+$CI22,0)</f>
        <v>0</v>
      </c>
      <c r="CU22" s="355">
        <f t="shared" ref="CU22:CU27" si="329">IF($CP22="PROQUIMA",$AZ22+$BI22+$BR22+$CA22+$CJ22,0)</f>
        <v>0</v>
      </c>
      <c r="CV22" s="355">
        <f t="shared" ref="CV22:CV27" si="330">IF($CP22="PROQUIMA",$BA22+$BJ22+$BS22+$CB22+$CK22,0)</f>
        <v>0</v>
      </c>
      <c r="CW22" s="355">
        <f t="shared" ref="CW22:CW27" si="331">IF($CP22="PROQUIMA",$BB22+$BK22+$BT22+$CC22+$CL22,0)</f>
        <v>0</v>
      </c>
      <c r="CX22" s="355">
        <f t="shared" ref="CX22:CX27" si="332">IF($CP22="PROQUIMA",$BC22+$BL22+$BU22+$CD22+CM22,0)</f>
        <v>413.35875000000004</v>
      </c>
      <c r="CY22" s="355">
        <f t="shared" ref="CY22:CY27" si="333">SUM(CQ22:CX22)-CS22-CU22</f>
        <v>5925.8587500000003</v>
      </c>
      <c r="CZ22" s="355">
        <f t="shared" ref="CZ22:CZ27" si="334">IF($CP22="UNHESA",$AV22+$BE22+$BN22+$BW22+$CF22,0)</f>
        <v>0</v>
      </c>
      <c r="DA22" s="355">
        <f t="shared" ref="DA22:DA27" si="335">IF($CP22="UNHESA",$AW22+$BF22+$BO22+$BX22+$CG22,0)</f>
        <v>0</v>
      </c>
      <c r="DB22" s="355">
        <f t="shared" ref="DB22:DB27" si="336">IF($CP22="UNHESA",$AX22+$BG22+$BP22+$BY22+$CH22,0)</f>
        <v>0</v>
      </c>
      <c r="DC22" s="355">
        <f t="shared" ref="DC22:DC27" si="337">IF($CP22="UNHESA",$AY22+$BH22+$BQ22+$BZ22+$CI22,0)</f>
        <v>0</v>
      </c>
      <c r="DD22" s="355">
        <f t="shared" ref="DD22:DD27" si="338">IF($CP22="UNHESA",$AZ22+$BI22+$BR22+$CA22+$CJ22,0)</f>
        <v>0</v>
      </c>
      <c r="DE22" s="355">
        <f t="shared" ref="DE22:DE27" si="339">IF($CP22="UNHESA",$BA22+$BJ22+$BS22+$CB22+$CK22,0)</f>
        <v>0</v>
      </c>
      <c r="DF22" s="355">
        <f t="shared" ref="DF22:DF27" si="340">IF($CP22="UNHESA",$BB22+$BK22+$BT22+$CC22+$CL22,0)</f>
        <v>0</v>
      </c>
      <c r="DG22" s="355">
        <f t="shared" ref="DG22:DG27" si="341">IF($CP22="UNHESA",$BC22+$BL22+$BU22+$CD22+$CM22,0)</f>
        <v>0</v>
      </c>
      <c r="DH22" s="355">
        <f t="shared" ref="DH22:DH27" si="342">SUM(CZ22:DG22)-DB22-DD22</f>
        <v>0</v>
      </c>
      <c r="DI22" s="355">
        <f t="shared" ref="DI22:DI27" si="343">IF($CP22="UNHESA LIQUIDOS",$AV22+$BE22+$BN22+$BW22+$CF22,0)</f>
        <v>0</v>
      </c>
      <c r="DJ22" s="355">
        <f t="shared" ref="DJ22:DJ27" si="344">IF($CP22="CALIDUL",$AW22+$BF22+$BO22+$BX22+$CG22,0)</f>
        <v>0</v>
      </c>
      <c r="DK22" s="355">
        <f t="shared" ref="DK22:DK27" si="345">IF($CP22="CALIDUL",$AX22+$BG22+$BP22+$BY22+$CH22,0)</f>
        <v>0</v>
      </c>
      <c r="DL22" s="355">
        <f t="shared" ref="DL22:DL27" si="346">IF($CP22="CALIDUL",$AY22+$BH22+$BQ22+$BZ22+$CI22,0)</f>
        <v>0</v>
      </c>
      <c r="DM22" s="355">
        <f t="shared" ref="DM22:DM27" si="347">IF($CP22="CALIDUL",$AZ22+$BI22+$BR22+$CA22+$CJ22,0)</f>
        <v>0</v>
      </c>
      <c r="DN22" s="355">
        <f t="shared" ref="DN22:DN27" si="348">IF($CP22="CALIDUL",$BA22+$BJ22+$BS22+$CB22+$CK22,0)</f>
        <v>0</v>
      </c>
      <c r="DO22" s="355">
        <f t="shared" ref="DO22:DO27" si="349">IF($CP22="CALIDUL",$BB22+$BK22+$BT22+$CC22+$CL22,0)</f>
        <v>0</v>
      </c>
      <c r="DP22" s="355">
        <f t="shared" ref="DP22:DP27" si="350">IF($CP22="CALIDUL",$BC22+$BL22+$BU22+$CD22+$CM22,0)</f>
        <v>0</v>
      </c>
      <c r="DQ22" s="355">
        <f t="shared" ref="DQ22:DQ27" si="351">SUM(DI22:DP22)-DK22-DM22</f>
        <v>0</v>
      </c>
      <c r="DR22" s="1455">
        <f t="shared" ref="DR22:DR27" si="352">IF($CP22="ECONACIONAL",$AV22+$BE22+$BN22+$BW22+$CF22,0)</f>
        <v>0</v>
      </c>
      <c r="DS22" s="1456">
        <f t="shared" ref="DS22:DS27" si="353">IF($CP22="ECONACIONAL",$AW22+$BF22+$BO22+$BX22+$CG22,0)</f>
        <v>0</v>
      </c>
      <c r="DT22" s="1456">
        <f t="shared" ref="DT22:DT27" si="354">IF($CP22="ECONACIONAL",$AX22+$BG22+$BP22+$BY22+$CH22,0)</f>
        <v>0</v>
      </c>
      <c r="DU22" s="1456">
        <f t="shared" ref="DU22:DU27" si="355">IF($CP22="ECONACIONAL",$AY22+$BH22+$BQ22+$BZ22+$CI22,0)</f>
        <v>0</v>
      </c>
      <c r="DV22" s="1456">
        <f t="shared" ref="DV22:DV27" si="356">IF($CP22="ECONACIONAL",$AZ22+$BI22+$BR22+$CA22+$CJ22,0)</f>
        <v>0</v>
      </c>
      <c r="DW22" s="1456">
        <f t="shared" ref="DW22:DW27" si="357">IF($CP22="ECONACIONAL",$BA22+$BJ22+$BS22+$CB22+$CK22,0)</f>
        <v>0</v>
      </c>
      <c r="DX22" s="1457">
        <f t="shared" ref="DX22:DX27" si="358">IF($CP22="ECONACIONAL",$BB22+$BK22+$BT22+$CC22+$CL22,0)</f>
        <v>0</v>
      </c>
      <c r="DY22" s="1457">
        <f t="shared" ref="DY22:DY27" si="359">IF($CP22="ECONACIONAL",$BC22+$BL22+$BU22+$CD22+$CM22,0)</f>
        <v>0</v>
      </c>
      <c r="DZ22" s="1458">
        <f t="shared" ref="DZ22:DZ27" si="360">SUM(DR22:DY22)-DT22-DV22</f>
        <v>0</v>
      </c>
      <c r="EA22" s="1455">
        <f t="shared" ref="EA22:EA27" si="361">IF($CP22="CLEARTEC",$AV22+$BE22+$BN22+$BW22+$CF22,0)</f>
        <v>0</v>
      </c>
      <c r="EB22" s="1456">
        <f t="shared" ref="EB22:EB27" si="362">IF($CP22="CLEARTEC",$AW22+$BF22+$BO22+$BX22+$CG22,0)</f>
        <v>0</v>
      </c>
      <c r="EC22" s="1456">
        <f t="shared" ref="EC22:EC27" si="363">IF($CP22="CLEARTEC",$AX22+$BG22+$BP22+$BY22+$CH22,0)</f>
        <v>0</v>
      </c>
      <c r="ED22" s="1456">
        <f t="shared" ref="ED22:ED27" si="364">IF($CP22="CLEARTEC",$AY22+$BH22+$BQ22+$BZ22+$CI22,0)</f>
        <v>0</v>
      </c>
      <c r="EE22" s="1456">
        <f t="shared" ref="EE22:EE27" si="365">IF($CP22="CLEARTEC",$AZ22+$BI22+$BR22+$CA22+$CJ22,0)</f>
        <v>0</v>
      </c>
      <c r="EF22" s="1456">
        <f t="shared" ref="EF22:EF27" si="366">IF($CP22="CLEARTEC",$BA22+$BJ22+$BS22+$CB22+$CK22,0)</f>
        <v>0</v>
      </c>
      <c r="EG22" s="1457">
        <f t="shared" ref="EG22:EG27" si="367">IF($CP22="CLEARTEC",$BB22+$BK22+$BT22+$CC22+$CL22,0)</f>
        <v>0</v>
      </c>
      <c r="EH22" s="1457">
        <f t="shared" ref="EH22:EH27" si="368">IF($CP22="CLEARTEC",$BC22+$BL22+$BU22+$CD22+$CM22,0)</f>
        <v>0</v>
      </c>
      <c r="EI22" s="1457">
        <f t="shared" ref="EI22:EI27" si="369">SUM(EA22:EH22)-EC22-EE22</f>
        <v>0</v>
      </c>
      <c r="EJ22" s="1414"/>
      <c r="EK22" s="2204">
        <v>67.75</v>
      </c>
      <c r="EL22" s="363"/>
      <c r="EM22" s="363"/>
      <c r="EN22" s="363"/>
      <c r="EO22" s="363"/>
      <c r="EP22" s="363">
        <v>50</v>
      </c>
      <c r="EQ22" s="363"/>
      <c r="ER22" s="363"/>
      <c r="ES22" s="1440"/>
      <c r="ET22" s="363">
        <f t="shared" ref="ET22:ET27" si="370">+EO22+EP22+EQ22</f>
        <v>50</v>
      </c>
      <c r="EV22" s="366">
        <f t="shared" ref="EV22:EV27" si="371">IF($H22&lt;=15,EK22/2,EK22)</f>
        <v>67.75</v>
      </c>
      <c r="EW22" s="366">
        <f t="shared" ref="EW22:EW27" si="372">IF($H22&lt;=15,EL22/2,EL22)</f>
        <v>0</v>
      </c>
      <c r="EX22" s="366">
        <f t="shared" ref="EX22:EX27" si="373">IF($H22&lt;=15,EM22/2,EM22)</f>
        <v>0</v>
      </c>
      <c r="EY22" s="366">
        <f t="shared" ref="EY22:EY27" si="374">IF($H22&lt;=15,EN22/2,EN22)</f>
        <v>0</v>
      </c>
      <c r="EZ22" s="366">
        <f t="shared" ref="EZ22:EZ27" si="375">IF($H22&lt;=15,EO22/2,EO22)</f>
        <v>0</v>
      </c>
      <c r="FA22" s="366">
        <f t="shared" ref="FA22:FA27" si="376">IF($H22&lt;=15,EP22/2,EP22)</f>
        <v>50</v>
      </c>
      <c r="FB22" s="366">
        <f t="shared" ref="FB22:FB27" si="377">IF($H22&lt;=15,EQ22/2,EQ22)</f>
        <v>0</v>
      </c>
      <c r="FC22" s="366">
        <f t="shared" ref="FC22:FC27" si="378">IF($H22&lt;=15,ER22/2,ER22)</f>
        <v>0</v>
      </c>
      <c r="FD22" s="366">
        <f t="shared" ref="FD22:FD27" si="379">IF($H22&lt;=15,ES22/2,ES22)</f>
        <v>0</v>
      </c>
      <c r="FE22" s="366">
        <f t="shared" ref="FE22:FE27" si="380">IF($H22&lt;=15,ET22/2,ET22)</f>
        <v>50</v>
      </c>
      <c r="FF22" s="364">
        <v>1</v>
      </c>
      <c r="FG22" s="364">
        <v>0</v>
      </c>
      <c r="FH22" s="364">
        <v>0</v>
      </c>
      <c r="FI22" s="364">
        <v>0</v>
      </c>
      <c r="FJ22" s="364">
        <v>0</v>
      </c>
      <c r="FK22" s="364">
        <v>1</v>
      </c>
      <c r="FL22" s="1441">
        <f t="shared" si="272"/>
        <v>0</v>
      </c>
    </row>
    <row r="23" spans="1:172" s="1441" customFormat="1" ht="15" customHeight="1" outlineLevel="1">
      <c r="A23" s="1454">
        <f>+A22+1</f>
        <v>11</v>
      </c>
      <c r="B23" s="213" t="s">
        <v>814</v>
      </c>
      <c r="C23" s="365" t="s">
        <v>578</v>
      </c>
      <c r="D23" s="363" t="s">
        <v>10</v>
      </c>
      <c r="E23" s="315">
        <v>3166.38</v>
      </c>
      <c r="F23" s="355">
        <v>250</v>
      </c>
      <c r="G23" s="1431">
        <f>+E23+F23</f>
        <v>3416.38</v>
      </c>
      <c r="H23" s="355">
        <v>30</v>
      </c>
      <c r="I23" s="1432">
        <v>0.5</v>
      </c>
      <c r="J23" s="1432">
        <v>0.5</v>
      </c>
      <c r="K23" s="1432">
        <v>0</v>
      </c>
      <c r="L23" s="1432">
        <v>0</v>
      </c>
      <c r="M23" s="1432">
        <v>0</v>
      </c>
      <c r="N23" s="1432">
        <f t="shared" ref="N23" si="381">SUM(I23:M23)</f>
        <v>1</v>
      </c>
      <c r="O23" s="1460"/>
      <c r="P23" s="366"/>
      <c r="Q23" s="355">
        <f>($E23/30/8*1.5)*P23</f>
        <v>0</v>
      </c>
      <c r="R23" s="366"/>
      <c r="S23" s="355">
        <f>($E23/30/8*2)*R23</f>
        <v>0</v>
      </c>
      <c r="T23" s="366"/>
      <c r="U23" s="355">
        <f>($E23/30/8*1.5)*T23</f>
        <v>0</v>
      </c>
      <c r="V23" s="366"/>
      <c r="W23" s="355">
        <f>($E23/30/8*2)*V23</f>
        <v>0</v>
      </c>
      <c r="X23" s="366"/>
      <c r="Y23" s="355">
        <f>(($E23/30/8)*1.5)*X23</f>
        <v>0</v>
      </c>
      <c r="Z23" s="1434"/>
      <c r="AA23" s="355">
        <f t="shared" ref="AA23" si="382">(($E23/30/8)*2)*Z23</f>
        <v>0</v>
      </c>
      <c r="AB23" s="1434"/>
      <c r="AC23" s="355">
        <f t="shared" ref="AC23" si="383">(($E23/30/8)*1.5)*AB23</f>
        <v>0</v>
      </c>
      <c r="AD23" s="1434"/>
      <c r="AE23" s="355">
        <f t="shared" ref="AE23" si="384">(($E23/30/8)*2)*AD23</f>
        <v>0</v>
      </c>
      <c r="AF23" s="355"/>
      <c r="AG23" s="355"/>
      <c r="AH23" s="1434"/>
      <c r="AI23" s="355"/>
      <c r="AJ23" s="355"/>
      <c r="AK23" s="355"/>
      <c r="AL23" s="355"/>
      <c r="AM23" s="355"/>
      <c r="AN23" s="355"/>
      <c r="AO23" s="355"/>
      <c r="AP23" s="355"/>
      <c r="AQ23" s="355"/>
      <c r="AR23" s="355"/>
      <c r="AS23" s="355"/>
      <c r="AT23" s="355"/>
      <c r="AU23" s="363"/>
      <c r="AV23" s="355">
        <f t="shared" ref="AV23" si="385">((E23/30)*H23)*$I23</f>
        <v>1583.19</v>
      </c>
      <c r="AW23" s="315">
        <f t="shared" si="298"/>
        <v>125.00000000000001</v>
      </c>
      <c r="AX23" s="355">
        <f t="shared" ref="AX23" si="386">P23</f>
        <v>0</v>
      </c>
      <c r="AY23" s="355">
        <f t="shared" ref="AY23" si="387">Q23</f>
        <v>0</v>
      </c>
      <c r="AZ23" s="355">
        <f t="shared" ref="AZ23" si="388">R23</f>
        <v>0</v>
      </c>
      <c r="BA23" s="355">
        <f t="shared" ref="BA23" si="389">S23</f>
        <v>0</v>
      </c>
      <c r="BB23" s="355">
        <f>AJ23+AO23</f>
        <v>0</v>
      </c>
      <c r="BC23" s="355">
        <f>(AV23+AY23+BA23)*0.1267</f>
        <v>200.59017300000002</v>
      </c>
      <c r="BD23" s="355">
        <f>SUM(AV23:BC23)-AX23-AZ23</f>
        <v>1908.7801730000001</v>
      </c>
      <c r="BE23" s="355">
        <f>(($E23/30)*$H23)*$J23</f>
        <v>1583.19</v>
      </c>
      <c r="BF23" s="315">
        <f>(($F23/30)*$H23)*$J23</f>
        <v>125.00000000000001</v>
      </c>
      <c r="BG23" s="355">
        <f t="shared" ref="BG23" si="390">T23</f>
        <v>0</v>
      </c>
      <c r="BH23" s="355">
        <f t="shared" ref="BH23" si="391">U23</f>
        <v>0</v>
      </c>
      <c r="BI23" s="355">
        <f t="shared" ref="BI23" si="392">V23</f>
        <v>0</v>
      </c>
      <c r="BJ23" s="355">
        <f t="shared" ref="BJ23" si="393">W23</f>
        <v>0</v>
      </c>
      <c r="BK23" s="355">
        <f>AK23+AP23</f>
        <v>0</v>
      </c>
      <c r="BL23" s="355">
        <f>(+BE23+BH23+BJ23+BK23)*0.1267</f>
        <v>200.59017300000002</v>
      </c>
      <c r="BM23" s="1431">
        <f>SUM(BE23:BL23)-BG23-BI23</f>
        <v>1908.7801730000001</v>
      </c>
      <c r="BN23" s="355">
        <f t="shared" si="309"/>
        <v>0</v>
      </c>
      <c r="BO23" s="355">
        <f t="shared" si="310"/>
        <v>0</v>
      </c>
      <c r="BP23" s="355">
        <f t="shared" ref="BP23" si="394">X23</f>
        <v>0</v>
      </c>
      <c r="BQ23" s="355">
        <f t="shared" ref="BQ23" si="395">Y23</f>
        <v>0</v>
      </c>
      <c r="BR23" s="355">
        <f t="shared" ref="BR23" si="396">Z23</f>
        <v>0</v>
      </c>
      <c r="BS23" s="355">
        <f t="shared" ref="BS23" si="397">AA23</f>
        <v>0</v>
      </c>
      <c r="BT23" s="355">
        <f>AL23+AQ23</f>
        <v>0</v>
      </c>
      <c r="BU23" s="355">
        <f>(BN23+BQ23+BS23)*0.1267</f>
        <v>0</v>
      </c>
      <c r="BV23" s="355">
        <f>SUM(BN23:BU23)-BP23-BR23</f>
        <v>0</v>
      </c>
      <c r="BW23" s="1455">
        <f t="shared" si="315"/>
        <v>0</v>
      </c>
      <c r="BX23" s="1456">
        <f t="shared" si="316"/>
        <v>0</v>
      </c>
      <c r="BY23" s="1456">
        <f t="shared" ref="BY23" si="398">AB23</f>
        <v>0</v>
      </c>
      <c r="BZ23" s="1456">
        <f t="shared" ref="BZ23" si="399">AC23</f>
        <v>0</v>
      </c>
      <c r="CA23" s="1456">
        <f t="shared" ref="CA23" si="400">AD23</f>
        <v>0</v>
      </c>
      <c r="CB23" s="1456">
        <f t="shared" ref="CB23" si="401">AE23</f>
        <v>0</v>
      </c>
      <c r="CC23" s="1456">
        <f t="shared" ref="CC23" si="402">AM23+AR23</f>
        <v>0</v>
      </c>
      <c r="CD23" s="1457">
        <f>(BW23+BZ23+CB23)*0.1267</f>
        <v>0</v>
      </c>
      <c r="CE23" s="1458">
        <f t="shared" ref="CE23" si="403">SUM(BW23:CD23)-BY23-CA23</f>
        <v>0</v>
      </c>
      <c r="CF23" s="1459"/>
      <c r="CG23" s="1456"/>
      <c r="CH23" s="1456"/>
      <c r="CI23" s="1456"/>
      <c r="CJ23" s="1456"/>
      <c r="CK23" s="1456"/>
      <c r="CL23" s="1456"/>
      <c r="CM23" s="1457"/>
      <c r="CN23" s="1457"/>
      <c r="CO23" s="1414"/>
      <c r="CP23" s="363" t="s">
        <v>10</v>
      </c>
      <c r="CQ23" s="355">
        <f t="shared" si="325"/>
        <v>3166.38</v>
      </c>
      <c r="CR23" s="355">
        <f t="shared" si="326"/>
        <v>250.00000000000003</v>
      </c>
      <c r="CS23" s="355">
        <f t="shared" si="327"/>
        <v>0</v>
      </c>
      <c r="CT23" s="355">
        <f t="shared" si="328"/>
        <v>0</v>
      </c>
      <c r="CU23" s="355">
        <f t="shared" si="329"/>
        <v>0</v>
      </c>
      <c r="CV23" s="355">
        <f t="shared" si="330"/>
        <v>0</v>
      </c>
      <c r="CW23" s="355">
        <f t="shared" si="331"/>
        <v>0</v>
      </c>
      <c r="CX23" s="355">
        <f>IF($CP23="PROQUIMA",$BC23+$BL23+$BU23+$CD23+CM23,0)</f>
        <v>401.18034600000004</v>
      </c>
      <c r="CY23" s="355">
        <f>SUM(CQ23:CX23)-CS23-CU23</f>
        <v>3817.5603460000002</v>
      </c>
      <c r="CZ23" s="355">
        <f t="shared" si="334"/>
        <v>0</v>
      </c>
      <c r="DA23" s="355">
        <f t="shared" si="335"/>
        <v>0</v>
      </c>
      <c r="DB23" s="355">
        <f t="shared" si="336"/>
        <v>0</v>
      </c>
      <c r="DC23" s="355">
        <f t="shared" si="337"/>
        <v>0</v>
      </c>
      <c r="DD23" s="355">
        <f t="shared" si="338"/>
        <v>0</v>
      </c>
      <c r="DE23" s="355">
        <f t="shared" si="339"/>
        <v>0</v>
      </c>
      <c r="DF23" s="355">
        <f t="shared" si="340"/>
        <v>0</v>
      </c>
      <c r="DG23" s="355">
        <f t="shared" si="341"/>
        <v>0</v>
      </c>
      <c r="DH23" s="355">
        <f>SUM(CZ23:DG23)-DB23-DD23</f>
        <v>0</v>
      </c>
      <c r="DI23" s="355">
        <f t="shared" si="343"/>
        <v>0</v>
      </c>
      <c r="DJ23" s="355">
        <f t="shared" si="344"/>
        <v>0</v>
      </c>
      <c r="DK23" s="355">
        <f t="shared" si="345"/>
        <v>0</v>
      </c>
      <c r="DL23" s="355">
        <f t="shared" si="346"/>
        <v>0</v>
      </c>
      <c r="DM23" s="355">
        <f t="shared" si="347"/>
        <v>0</v>
      </c>
      <c r="DN23" s="355">
        <f t="shared" si="348"/>
        <v>0</v>
      </c>
      <c r="DO23" s="355">
        <f t="shared" si="349"/>
        <v>0</v>
      </c>
      <c r="DP23" s="355">
        <f t="shared" si="350"/>
        <v>0</v>
      </c>
      <c r="DQ23" s="355">
        <f>SUM(DI23:DP23)-DK23-DM23</f>
        <v>0</v>
      </c>
      <c r="DR23" s="1455"/>
      <c r="DS23" s="1456"/>
      <c r="DT23" s="1456"/>
      <c r="DU23" s="1456"/>
      <c r="DV23" s="1456"/>
      <c r="DW23" s="1456"/>
      <c r="DX23" s="1457"/>
      <c r="DY23" s="1457"/>
      <c r="DZ23" s="1458"/>
      <c r="EA23" s="1455"/>
      <c r="EB23" s="1456"/>
      <c r="EC23" s="1456"/>
      <c r="ED23" s="1456"/>
      <c r="EE23" s="1456"/>
      <c r="EF23" s="1456"/>
      <c r="EG23" s="1457"/>
      <c r="EH23" s="1457"/>
      <c r="EI23" s="1457"/>
      <c r="EJ23" s="1414"/>
      <c r="EK23" s="363"/>
      <c r="EL23" s="363"/>
      <c r="EM23" s="363"/>
      <c r="EN23" s="363"/>
      <c r="EO23" s="363"/>
      <c r="EP23" s="363">
        <v>50</v>
      </c>
      <c r="EQ23" s="363"/>
      <c r="ER23" s="363"/>
      <c r="ES23" s="363"/>
      <c r="ET23" s="363">
        <f>+EO23+EP23+EQ23</f>
        <v>50</v>
      </c>
      <c r="EV23" s="366">
        <f t="shared" ref="EV23" si="404">IF($H23&lt;=15,EK23/2,EK23)</f>
        <v>0</v>
      </c>
      <c r="EW23" s="366">
        <f t="shared" ref="EW23" si="405">IF($H23&lt;=15,EL23/2,EL23)</f>
        <v>0</v>
      </c>
      <c r="EX23" s="366">
        <f t="shared" ref="EX23" si="406">IF($H23&lt;=15,EM23/2,EM23)</f>
        <v>0</v>
      </c>
      <c r="EY23" s="366">
        <f t="shared" ref="EY23" si="407">IF($H23&lt;=15,EN23/2,EN23)</f>
        <v>0</v>
      </c>
      <c r="EZ23" s="366">
        <f t="shared" ref="EZ23" si="408">IF($H23&lt;=15,EO23/2,EO23)</f>
        <v>0</v>
      </c>
      <c r="FA23" s="366">
        <f t="shared" ref="FA23" si="409">IF($H23&lt;=15,EP23/2,EP23)</f>
        <v>50</v>
      </c>
      <c r="FB23" s="366">
        <f t="shared" ref="FB23" si="410">IF($H23&lt;=15,EQ23/2,EQ23)</f>
        <v>0</v>
      </c>
      <c r="FC23" s="366">
        <f t="shared" ref="FC23" si="411">IF($H23&lt;=15,ER23/2,ER23)</f>
        <v>0</v>
      </c>
      <c r="FD23" s="366">
        <f t="shared" ref="FD23" si="412">IF($H23&lt;=15,ES23/2,ES23)</f>
        <v>0</v>
      </c>
      <c r="FE23" s="366">
        <f t="shared" ref="FE23" si="413">IF($H23&lt;=15,ET23/2,ET23)</f>
        <v>50</v>
      </c>
      <c r="FF23" s="364"/>
      <c r="FG23" s="364"/>
      <c r="FH23" s="364"/>
      <c r="FI23" s="364"/>
      <c r="FJ23" s="364"/>
      <c r="FK23" s="364"/>
    </row>
    <row r="24" spans="1:172" s="1464" customFormat="1" ht="15" customHeight="1" outlineLevel="1">
      <c r="A24" s="1454">
        <f t="shared" ref="A24:A27" si="414">+A23+1</f>
        <v>12</v>
      </c>
      <c r="B24" s="213" t="s">
        <v>514</v>
      </c>
      <c r="C24" s="365" t="s">
        <v>64</v>
      </c>
      <c r="D24" s="365" t="s">
        <v>10</v>
      </c>
      <c r="E24" s="1971">
        <v>3166.38</v>
      </c>
      <c r="F24" s="1461">
        <v>250</v>
      </c>
      <c r="G24" s="1462">
        <f t="shared" si="285"/>
        <v>3416.38</v>
      </c>
      <c r="H24" s="355">
        <v>30</v>
      </c>
      <c r="I24" s="1463">
        <v>0.5</v>
      </c>
      <c r="J24" s="1463">
        <v>0.5</v>
      </c>
      <c r="K24" s="1463">
        <v>0</v>
      </c>
      <c r="L24" s="1463">
        <v>0</v>
      </c>
      <c r="M24" s="1463">
        <v>0</v>
      </c>
      <c r="N24" s="1463">
        <f t="shared" si="286"/>
        <v>1</v>
      </c>
      <c r="P24" s="1465"/>
      <c r="Q24" s="1466">
        <f t="shared" si="287"/>
        <v>0</v>
      </c>
      <c r="R24" s="1465"/>
      <c r="S24" s="1466">
        <f t="shared" si="288"/>
        <v>0</v>
      </c>
      <c r="T24" s="1465"/>
      <c r="U24" s="1466">
        <f t="shared" si="289"/>
        <v>0</v>
      </c>
      <c r="V24" s="1465"/>
      <c r="W24" s="1466">
        <f t="shared" si="290"/>
        <v>0</v>
      </c>
      <c r="X24" s="1465"/>
      <c r="Y24" s="1466">
        <f t="shared" si="291"/>
        <v>0</v>
      </c>
      <c r="Z24" s="1467"/>
      <c r="AA24" s="1466">
        <f t="shared" si="292"/>
        <v>0</v>
      </c>
      <c r="AB24" s="1467"/>
      <c r="AC24" s="1466">
        <f t="shared" si="293"/>
        <v>0</v>
      </c>
      <c r="AD24" s="1467"/>
      <c r="AE24" s="1466">
        <f t="shared" si="294"/>
        <v>0</v>
      </c>
      <c r="AF24" s="1466"/>
      <c r="AG24" s="1466">
        <f t="shared" si="295"/>
        <v>0</v>
      </c>
      <c r="AH24" s="1467"/>
      <c r="AI24" s="1466">
        <f t="shared" si="296"/>
        <v>0</v>
      </c>
      <c r="AJ24" s="1466"/>
      <c r="AK24" s="1466"/>
      <c r="AL24" s="1466"/>
      <c r="AM24" s="1466"/>
      <c r="AN24" s="1466"/>
      <c r="AO24" s="1466"/>
      <c r="AP24" s="1466"/>
      <c r="AQ24" s="1466"/>
      <c r="AR24" s="1466"/>
      <c r="AS24" s="1466"/>
      <c r="AT24" s="1466"/>
      <c r="AU24" s="1468"/>
      <c r="AV24" s="1466">
        <f t="shared" si="297"/>
        <v>1583.19</v>
      </c>
      <c r="AW24" s="1466">
        <f t="shared" si="298"/>
        <v>125.00000000000001</v>
      </c>
      <c r="AX24" s="1466">
        <f t="shared" si="299"/>
        <v>0</v>
      </c>
      <c r="AY24" s="1466">
        <f t="shared" si="299"/>
        <v>0</v>
      </c>
      <c r="AZ24" s="1466">
        <f t="shared" si="299"/>
        <v>0</v>
      </c>
      <c r="BA24" s="1466">
        <f t="shared" si="299"/>
        <v>0</v>
      </c>
      <c r="BB24" s="1466">
        <f t="shared" si="300"/>
        <v>0</v>
      </c>
      <c r="BC24" s="1466">
        <f t="shared" si="301"/>
        <v>200.59017300000002</v>
      </c>
      <c r="BD24" s="1466">
        <f t="shared" si="302"/>
        <v>1908.7801730000001</v>
      </c>
      <c r="BE24" s="1466">
        <f t="shared" si="303"/>
        <v>1583.19</v>
      </c>
      <c r="BF24" s="1466">
        <f t="shared" si="304"/>
        <v>125.00000000000001</v>
      </c>
      <c r="BG24" s="1466">
        <f t="shared" si="305"/>
        <v>0</v>
      </c>
      <c r="BH24" s="1466">
        <f t="shared" si="305"/>
        <v>0</v>
      </c>
      <c r="BI24" s="1466">
        <f t="shared" si="305"/>
        <v>0</v>
      </c>
      <c r="BJ24" s="1466">
        <f t="shared" si="305"/>
        <v>0</v>
      </c>
      <c r="BK24" s="1466">
        <f t="shared" si="306"/>
        <v>0</v>
      </c>
      <c r="BL24" s="1466">
        <f t="shared" si="307"/>
        <v>200.59017300000002</v>
      </c>
      <c r="BM24" s="1462">
        <f t="shared" si="308"/>
        <v>1908.7801730000001</v>
      </c>
      <c r="BN24" s="1466">
        <f t="shared" si="309"/>
        <v>0</v>
      </c>
      <c r="BO24" s="1466">
        <f t="shared" si="310"/>
        <v>0</v>
      </c>
      <c r="BP24" s="1466">
        <f t="shared" si="311"/>
        <v>0</v>
      </c>
      <c r="BQ24" s="1466">
        <f t="shared" si="311"/>
        <v>0</v>
      </c>
      <c r="BR24" s="1466">
        <f t="shared" si="311"/>
        <v>0</v>
      </c>
      <c r="BS24" s="1466">
        <f t="shared" si="312"/>
        <v>0</v>
      </c>
      <c r="BT24" s="1466">
        <f t="shared" si="313"/>
        <v>0</v>
      </c>
      <c r="BU24" s="1466">
        <f>(BN24+BQ24+BS24)*0.09</f>
        <v>0</v>
      </c>
      <c r="BV24" s="1466">
        <f t="shared" si="314"/>
        <v>0</v>
      </c>
      <c r="BW24" s="1469">
        <f t="shared" si="315"/>
        <v>0</v>
      </c>
      <c r="BX24" s="1470">
        <f t="shared" si="316"/>
        <v>0</v>
      </c>
      <c r="BY24" s="1470">
        <f t="shared" si="317"/>
        <v>0</v>
      </c>
      <c r="BZ24" s="1470">
        <f t="shared" si="317"/>
        <v>0</v>
      </c>
      <c r="CA24" s="1470">
        <f t="shared" si="317"/>
        <v>0</v>
      </c>
      <c r="CB24" s="1470">
        <f t="shared" si="317"/>
        <v>0</v>
      </c>
      <c r="CC24" s="1470">
        <f t="shared" si="318"/>
        <v>0</v>
      </c>
      <c r="CD24" s="1471">
        <f>(BW24+BZ24+CB24)*0.09</f>
        <v>0</v>
      </c>
      <c r="CE24" s="1472">
        <f t="shared" si="319"/>
        <v>0</v>
      </c>
      <c r="CF24" s="1473">
        <f>(($E24/30)*$H24)*M24</f>
        <v>0</v>
      </c>
      <c r="CG24" s="1470">
        <f t="shared" si="320"/>
        <v>0</v>
      </c>
      <c r="CH24" s="1470">
        <f t="shared" si="321"/>
        <v>0</v>
      </c>
      <c r="CI24" s="1470">
        <f t="shared" si="322"/>
        <v>0</v>
      </c>
      <c r="CJ24" s="1470">
        <f t="shared" si="322"/>
        <v>0</v>
      </c>
      <c r="CK24" s="1470">
        <f t="shared" si="322"/>
        <v>0</v>
      </c>
      <c r="CL24" s="1470">
        <f t="shared" si="323"/>
        <v>0</v>
      </c>
      <c r="CM24" s="1471">
        <f>(CF24+CI24+CK24)*0.09</f>
        <v>0</v>
      </c>
      <c r="CN24" s="1471">
        <f t="shared" si="324"/>
        <v>0</v>
      </c>
      <c r="CO24" s="1474"/>
      <c r="CP24" s="1475" t="s">
        <v>10</v>
      </c>
      <c r="CQ24" s="1466">
        <f t="shared" si="325"/>
        <v>3166.38</v>
      </c>
      <c r="CR24" s="1466">
        <f t="shared" si="326"/>
        <v>250.00000000000003</v>
      </c>
      <c r="CS24" s="1466">
        <f t="shared" si="327"/>
        <v>0</v>
      </c>
      <c r="CT24" s="1466">
        <f t="shared" si="328"/>
        <v>0</v>
      </c>
      <c r="CU24" s="1466">
        <f t="shared" si="329"/>
        <v>0</v>
      </c>
      <c r="CV24" s="1466">
        <f t="shared" si="330"/>
        <v>0</v>
      </c>
      <c r="CW24" s="1466">
        <f t="shared" si="331"/>
        <v>0</v>
      </c>
      <c r="CX24" s="1466">
        <f t="shared" si="332"/>
        <v>401.18034600000004</v>
      </c>
      <c r="CY24" s="1466">
        <f t="shared" si="333"/>
        <v>3817.5603460000002</v>
      </c>
      <c r="CZ24" s="1466">
        <f t="shared" si="334"/>
        <v>0</v>
      </c>
      <c r="DA24" s="1466">
        <f t="shared" si="335"/>
        <v>0</v>
      </c>
      <c r="DB24" s="1466">
        <f t="shared" si="336"/>
        <v>0</v>
      </c>
      <c r="DC24" s="1466">
        <f t="shared" si="337"/>
        <v>0</v>
      </c>
      <c r="DD24" s="1466">
        <f t="shared" si="338"/>
        <v>0</v>
      </c>
      <c r="DE24" s="1466">
        <f t="shared" si="339"/>
        <v>0</v>
      </c>
      <c r="DF24" s="1466">
        <f t="shared" si="340"/>
        <v>0</v>
      </c>
      <c r="DG24" s="1466">
        <f t="shared" si="341"/>
        <v>0</v>
      </c>
      <c r="DH24" s="1466">
        <f t="shared" si="342"/>
        <v>0</v>
      </c>
      <c r="DI24" s="1466">
        <f t="shared" si="343"/>
        <v>0</v>
      </c>
      <c r="DJ24" s="1466">
        <f t="shared" si="344"/>
        <v>0</v>
      </c>
      <c r="DK24" s="1466">
        <f t="shared" si="345"/>
        <v>0</v>
      </c>
      <c r="DL24" s="1466">
        <f t="shared" si="346"/>
        <v>0</v>
      </c>
      <c r="DM24" s="1466">
        <f t="shared" si="347"/>
        <v>0</v>
      </c>
      <c r="DN24" s="1466">
        <f t="shared" si="348"/>
        <v>0</v>
      </c>
      <c r="DO24" s="1466">
        <f t="shared" si="349"/>
        <v>0</v>
      </c>
      <c r="DP24" s="1466">
        <f t="shared" si="350"/>
        <v>0</v>
      </c>
      <c r="DQ24" s="1466">
        <f t="shared" si="351"/>
        <v>0</v>
      </c>
      <c r="DR24" s="1469">
        <f t="shared" si="352"/>
        <v>0</v>
      </c>
      <c r="DS24" s="1470">
        <f t="shared" si="353"/>
        <v>0</v>
      </c>
      <c r="DT24" s="1470">
        <f t="shared" si="354"/>
        <v>0</v>
      </c>
      <c r="DU24" s="1470">
        <f t="shared" si="355"/>
        <v>0</v>
      </c>
      <c r="DV24" s="1470">
        <f t="shared" si="356"/>
        <v>0</v>
      </c>
      <c r="DW24" s="1470">
        <f t="shared" si="357"/>
        <v>0</v>
      </c>
      <c r="DX24" s="1471">
        <f t="shared" si="358"/>
        <v>0</v>
      </c>
      <c r="DY24" s="1471">
        <f t="shared" si="359"/>
        <v>0</v>
      </c>
      <c r="DZ24" s="1472">
        <f t="shared" si="360"/>
        <v>0</v>
      </c>
      <c r="EA24" s="1469">
        <f t="shared" si="361"/>
        <v>0</v>
      </c>
      <c r="EB24" s="1470">
        <f t="shared" si="362"/>
        <v>0</v>
      </c>
      <c r="EC24" s="1470">
        <f t="shared" si="363"/>
        <v>0</v>
      </c>
      <c r="ED24" s="1470">
        <f t="shared" si="364"/>
        <v>0</v>
      </c>
      <c r="EE24" s="1470">
        <f t="shared" si="365"/>
        <v>0</v>
      </c>
      <c r="EF24" s="1470">
        <f t="shared" si="366"/>
        <v>0</v>
      </c>
      <c r="EG24" s="1471">
        <f t="shared" si="367"/>
        <v>0</v>
      </c>
      <c r="EH24" s="1471">
        <f t="shared" si="368"/>
        <v>0</v>
      </c>
      <c r="EI24" s="1471">
        <f t="shared" si="369"/>
        <v>0</v>
      </c>
      <c r="EJ24" s="1474"/>
      <c r="EK24" s="1440"/>
      <c r="EL24" s="1440"/>
      <c r="EM24" s="1475"/>
      <c r="EN24" s="1475"/>
      <c r="EO24" s="363">
        <v>82.5</v>
      </c>
      <c r="EP24" s="363">
        <v>50</v>
      </c>
      <c r="EQ24" s="363">
        <v>306.62</v>
      </c>
      <c r="ER24" s="1475"/>
      <c r="ES24" s="1475"/>
      <c r="ET24" s="1475">
        <f t="shared" si="370"/>
        <v>439.12</v>
      </c>
      <c r="EV24" s="1465">
        <f t="shared" si="371"/>
        <v>0</v>
      </c>
      <c r="EW24" s="1465">
        <f t="shared" si="372"/>
        <v>0</v>
      </c>
      <c r="EX24" s="1465">
        <f t="shared" si="373"/>
        <v>0</v>
      </c>
      <c r="EY24" s="1465">
        <f t="shared" si="374"/>
        <v>0</v>
      </c>
      <c r="EZ24" s="1465">
        <f t="shared" si="375"/>
        <v>82.5</v>
      </c>
      <c r="FA24" s="1465">
        <f t="shared" si="376"/>
        <v>50</v>
      </c>
      <c r="FB24" s="1465">
        <f t="shared" si="377"/>
        <v>306.62</v>
      </c>
      <c r="FC24" s="1465">
        <f t="shared" si="378"/>
        <v>0</v>
      </c>
      <c r="FD24" s="1465">
        <f t="shared" si="379"/>
        <v>0</v>
      </c>
      <c r="FE24" s="1465">
        <f t="shared" si="380"/>
        <v>439.12</v>
      </c>
      <c r="FF24" s="1476">
        <v>0.5</v>
      </c>
      <c r="FG24" s="1476">
        <v>0.5</v>
      </c>
      <c r="FH24" s="1476">
        <v>0</v>
      </c>
      <c r="FI24" s="1476">
        <v>0</v>
      </c>
      <c r="FJ24" s="1476">
        <v>0</v>
      </c>
      <c r="FK24" s="1476">
        <v>1</v>
      </c>
      <c r="FL24" s="1464">
        <f t="shared" si="272"/>
        <v>0</v>
      </c>
    </row>
    <row r="25" spans="1:172" s="331" customFormat="1" ht="15" customHeight="1" outlineLevel="1">
      <c r="A25" s="1454" t="e">
        <f>+#REF!+1</f>
        <v>#REF!</v>
      </c>
      <c r="B25" s="311" t="s">
        <v>542</v>
      </c>
      <c r="C25" s="312" t="s">
        <v>65</v>
      </c>
      <c r="D25" s="313" t="s">
        <v>11</v>
      </c>
      <c r="E25" s="1971">
        <v>3166.38</v>
      </c>
      <c r="F25" s="315">
        <v>250</v>
      </c>
      <c r="G25" s="1970">
        <f t="shared" si="285"/>
        <v>3416.38</v>
      </c>
      <c r="H25" s="355">
        <v>30</v>
      </c>
      <c r="I25" s="318">
        <v>0.5</v>
      </c>
      <c r="J25" s="318">
        <v>0.5</v>
      </c>
      <c r="K25" s="318">
        <v>0</v>
      </c>
      <c r="L25" s="318">
        <v>0</v>
      </c>
      <c r="M25" s="318">
        <v>0</v>
      </c>
      <c r="N25" s="318">
        <f t="shared" si="286"/>
        <v>1</v>
      </c>
      <c r="O25" s="1477" t="s">
        <v>54</v>
      </c>
      <c r="P25" s="321"/>
      <c r="Q25" s="315">
        <f>($E25/30/8*1.5)*P25</f>
        <v>0</v>
      </c>
      <c r="R25" s="321"/>
      <c r="S25" s="315">
        <f>($E25/30/8*2)*R25</f>
        <v>0</v>
      </c>
      <c r="T25" s="321"/>
      <c r="U25" s="315">
        <f>($E25/30/8*1.5)*T25</f>
        <v>0</v>
      </c>
      <c r="V25" s="321"/>
      <c r="W25" s="315">
        <f>($E25/30/8*2)*V25</f>
        <v>0</v>
      </c>
      <c r="X25" s="321"/>
      <c r="Y25" s="315">
        <f>(($E25/30/8)*1.5)*X25</f>
        <v>0</v>
      </c>
      <c r="Z25" s="322"/>
      <c r="AA25" s="315">
        <f t="shared" si="292"/>
        <v>0</v>
      </c>
      <c r="AB25" s="322"/>
      <c r="AC25" s="315">
        <f t="shared" si="293"/>
        <v>0</v>
      </c>
      <c r="AD25" s="322"/>
      <c r="AE25" s="315">
        <f t="shared" si="294"/>
        <v>0</v>
      </c>
      <c r="AF25" s="315"/>
      <c r="AG25" s="315">
        <f t="shared" si="295"/>
        <v>0</v>
      </c>
      <c r="AH25" s="322"/>
      <c r="AI25" s="315">
        <f t="shared" si="296"/>
        <v>0</v>
      </c>
      <c r="AJ25" s="315"/>
      <c r="AK25" s="315"/>
      <c r="AL25" s="315"/>
      <c r="AM25" s="315"/>
      <c r="AN25" s="315"/>
      <c r="AO25" s="315"/>
      <c r="AP25" s="315"/>
      <c r="AQ25" s="315"/>
      <c r="AR25" s="315"/>
      <c r="AS25" s="315"/>
      <c r="AT25" s="315"/>
      <c r="AU25" s="1478"/>
      <c r="AV25" s="315">
        <f t="shared" si="297"/>
        <v>1583.19</v>
      </c>
      <c r="AW25" s="315">
        <f t="shared" si="298"/>
        <v>125.00000000000001</v>
      </c>
      <c r="AX25" s="315">
        <f t="shared" si="299"/>
        <v>0</v>
      </c>
      <c r="AY25" s="315">
        <f t="shared" si="299"/>
        <v>0</v>
      </c>
      <c r="AZ25" s="315">
        <f t="shared" si="299"/>
        <v>0</v>
      </c>
      <c r="BA25" s="315">
        <f t="shared" si="299"/>
        <v>0</v>
      </c>
      <c r="BB25" s="315">
        <f t="shared" si="300"/>
        <v>0</v>
      </c>
      <c r="BC25" s="315">
        <f t="shared" si="301"/>
        <v>200.59017300000002</v>
      </c>
      <c r="BD25" s="315">
        <f t="shared" si="302"/>
        <v>1908.7801730000001</v>
      </c>
      <c r="BE25" s="315">
        <f t="shared" si="303"/>
        <v>1583.19</v>
      </c>
      <c r="BF25" s="315">
        <f t="shared" si="304"/>
        <v>125.00000000000001</v>
      </c>
      <c r="BG25" s="315">
        <f t="shared" si="305"/>
        <v>0</v>
      </c>
      <c r="BH25" s="315">
        <f t="shared" si="305"/>
        <v>0</v>
      </c>
      <c r="BI25" s="315">
        <f t="shared" si="305"/>
        <v>0</v>
      </c>
      <c r="BJ25" s="315">
        <f t="shared" si="305"/>
        <v>0</v>
      </c>
      <c r="BK25" s="315">
        <f t="shared" si="306"/>
        <v>0</v>
      </c>
      <c r="BL25" s="315">
        <f t="shared" si="307"/>
        <v>200.59017300000002</v>
      </c>
      <c r="BM25" s="314">
        <f t="shared" si="308"/>
        <v>1908.7801730000001</v>
      </c>
      <c r="BN25" s="315">
        <f t="shared" si="309"/>
        <v>0</v>
      </c>
      <c r="BO25" s="315">
        <f t="shared" si="310"/>
        <v>0</v>
      </c>
      <c r="BP25" s="315">
        <f t="shared" si="311"/>
        <v>0</v>
      </c>
      <c r="BQ25" s="315">
        <f t="shared" si="311"/>
        <v>0</v>
      </c>
      <c r="BR25" s="315">
        <f t="shared" si="311"/>
        <v>0</v>
      </c>
      <c r="BS25" s="315">
        <f t="shared" si="312"/>
        <v>0</v>
      </c>
      <c r="BT25" s="315">
        <f t="shared" si="313"/>
        <v>0</v>
      </c>
      <c r="BU25" s="315">
        <f>(BN25+BQ25+BS25)*0.09</f>
        <v>0</v>
      </c>
      <c r="BV25" s="315">
        <f t="shared" si="314"/>
        <v>0</v>
      </c>
      <c r="BW25" s="1123">
        <f t="shared" si="315"/>
        <v>0</v>
      </c>
      <c r="BX25" s="1124">
        <f t="shared" si="316"/>
        <v>0</v>
      </c>
      <c r="BY25" s="1124">
        <f t="shared" ref="BY25:CB27" si="415">AB25</f>
        <v>0</v>
      </c>
      <c r="BZ25" s="1124">
        <f t="shared" si="415"/>
        <v>0</v>
      </c>
      <c r="CA25" s="1124">
        <f t="shared" si="415"/>
        <v>0</v>
      </c>
      <c r="CB25" s="1124">
        <f t="shared" si="415"/>
        <v>0</v>
      </c>
      <c r="CC25" s="1124">
        <f t="shared" si="318"/>
        <v>0</v>
      </c>
      <c r="CD25" s="1125">
        <f>(BW25+BZ25+CB25)*0.09</f>
        <v>0</v>
      </c>
      <c r="CE25" s="1126">
        <f t="shared" si="319"/>
        <v>0</v>
      </c>
      <c r="CF25" s="1127">
        <f>(($E25/30)*$H25)*M25</f>
        <v>0</v>
      </c>
      <c r="CG25" s="1124">
        <f t="shared" si="320"/>
        <v>0</v>
      </c>
      <c r="CH25" s="1124">
        <f t="shared" si="321"/>
        <v>0</v>
      </c>
      <c r="CI25" s="1124">
        <f t="shared" ref="CI25:CK27" si="416">AG25</f>
        <v>0</v>
      </c>
      <c r="CJ25" s="1124">
        <f t="shared" si="416"/>
        <v>0</v>
      </c>
      <c r="CK25" s="1124">
        <f t="shared" si="416"/>
        <v>0</v>
      </c>
      <c r="CL25" s="1124">
        <f t="shared" si="323"/>
        <v>0</v>
      </c>
      <c r="CM25" s="1125">
        <f>(CF25+CI25+CK25)*0.09</f>
        <v>0</v>
      </c>
      <c r="CN25" s="1125">
        <f t="shared" si="324"/>
        <v>0</v>
      </c>
      <c r="CO25" s="330"/>
      <c r="CP25" s="313" t="s">
        <v>11</v>
      </c>
      <c r="CQ25" s="315">
        <f t="shared" si="325"/>
        <v>0</v>
      </c>
      <c r="CR25" s="315">
        <f t="shared" si="326"/>
        <v>0</v>
      </c>
      <c r="CS25" s="315">
        <f t="shared" si="327"/>
        <v>0</v>
      </c>
      <c r="CT25" s="315">
        <f t="shared" si="328"/>
        <v>0</v>
      </c>
      <c r="CU25" s="315">
        <f t="shared" si="329"/>
        <v>0</v>
      </c>
      <c r="CV25" s="315">
        <f t="shared" si="330"/>
        <v>0</v>
      </c>
      <c r="CW25" s="315">
        <f t="shared" si="331"/>
        <v>0</v>
      </c>
      <c r="CX25" s="315">
        <f t="shared" si="332"/>
        <v>0</v>
      </c>
      <c r="CY25" s="315">
        <f t="shared" si="333"/>
        <v>0</v>
      </c>
      <c r="CZ25" s="315">
        <f t="shared" si="334"/>
        <v>3166.38</v>
      </c>
      <c r="DA25" s="315">
        <f t="shared" si="335"/>
        <v>250.00000000000003</v>
      </c>
      <c r="DB25" s="315">
        <f t="shared" si="336"/>
        <v>0</v>
      </c>
      <c r="DC25" s="315">
        <f t="shared" si="337"/>
        <v>0</v>
      </c>
      <c r="DD25" s="315">
        <f t="shared" si="338"/>
        <v>0</v>
      </c>
      <c r="DE25" s="315">
        <f t="shared" si="339"/>
        <v>0</v>
      </c>
      <c r="DF25" s="315">
        <f t="shared" si="340"/>
        <v>0</v>
      </c>
      <c r="DG25" s="315">
        <f t="shared" si="341"/>
        <v>401.18034600000004</v>
      </c>
      <c r="DH25" s="315">
        <f t="shared" si="342"/>
        <v>3817.5603460000002</v>
      </c>
      <c r="DI25" s="315">
        <f t="shared" si="343"/>
        <v>0</v>
      </c>
      <c r="DJ25" s="315">
        <f t="shared" si="344"/>
        <v>0</v>
      </c>
      <c r="DK25" s="315">
        <f t="shared" si="345"/>
        <v>0</v>
      </c>
      <c r="DL25" s="315">
        <f t="shared" si="346"/>
        <v>0</v>
      </c>
      <c r="DM25" s="315">
        <f t="shared" si="347"/>
        <v>0</v>
      </c>
      <c r="DN25" s="315">
        <f t="shared" si="348"/>
        <v>0</v>
      </c>
      <c r="DO25" s="315">
        <f t="shared" si="349"/>
        <v>0</v>
      </c>
      <c r="DP25" s="315">
        <f t="shared" si="350"/>
        <v>0</v>
      </c>
      <c r="DQ25" s="315">
        <f t="shared" si="351"/>
        <v>0</v>
      </c>
      <c r="DR25" s="1123">
        <f t="shared" si="352"/>
        <v>0</v>
      </c>
      <c r="DS25" s="1124">
        <f t="shared" si="353"/>
        <v>0</v>
      </c>
      <c r="DT25" s="1124">
        <f t="shared" si="354"/>
        <v>0</v>
      </c>
      <c r="DU25" s="1124">
        <f t="shared" si="355"/>
        <v>0</v>
      </c>
      <c r="DV25" s="1124">
        <f t="shared" si="356"/>
        <v>0</v>
      </c>
      <c r="DW25" s="1124">
        <f t="shared" si="357"/>
        <v>0</v>
      </c>
      <c r="DX25" s="1125">
        <f t="shared" si="358"/>
        <v>0</v>
      </c>
      <c r="DY25" s="1125">
        <f t="shared" si="359"/>
        <v>0</v>
      </c>
      <c r="DZ25" s="1126">
        <f t="shared" si="360"/>
        <v>0</v>
      </c>
      <c r="EA25" s="1123">
        <f t="shared" si="361"/>
        <v>0</v>
      </c>
      <c r="EB25" s="1124">
        <f t="shared" si="362"/>
        <v>0</v>
      </c>
      <c r="EC25" s="1124">
        <f t="shared" si="363"/>
        <v>0</v>
      </c>
      <c r="ED25" s="1124">
        <f t="shared" si="364"/>
        <v>0</v>
      </c>
      <c r="EE25" s="1124">
        <f t="shared" si="365"/>
        <v>0</v>
      </c>
      <c r="EF25" s="1124">
        <f t="shared" si="366"/>
        <v>0</v>
      </c>
      <c r="EG25" s="1125">
        <f t="shared" si="367"/>
        <v>0</v>
      </c>
      <c r="EH25" s="1125">
        <f t="shared" si="368"/>
        <v>0</v>
      </c>
      <c r="EI25" s="1125">
        <f t="shared" si="369"/>
        <v>0</v>
      </c>
      <c r="EJ25" s="330"/>
      <c r="EK25" s="312"/>
      <c r="EL25" s="1425"/>
      <c r="EM25" s="313"/>
      <c r="EN25" s="1475"/>
      <c r="EO25" s="313">
        <v>120</v>
      </c>
      <c r="EP25" s="363">
        <v>50</v>
      </c>
      <c r="EQ25" s="363"/>
      <c r="ER25" s="313"/>
      <c r="ES25" s="1475"/>
      <c r="ET25" s="313">
        <f t="shared" si="370"/>
        <v>170</v>
      </c>
      <c r="EV25" s="321">
        <f t="shared" si="371"/>
        <v>0</v>
      </c>
      <c r="EW25" s="321">
        <f t="shared" si="372"/>
        <v>0</v>
      </c>
      <c r="EX25" s="321">
        <f t="shared" si="373"/>
        <v>0</v>
      </c>
      <c r="EY25" s="321">
        <f t="shared" si="374"/>
        <v>0</v>
      </c>
      <c r="EZ25" s="321">
        <f t="shared" si="375"/>
        <v>120</v>
      </c>
      <c r="FA25" s="321">
        <f t="shared" si="376"/>
        <v>50</v>
      </c>
      <c r="FB25" s="321">
        <f t="shared" si="377"/>
        <v>0</v>
      </c>
      <c r="FC25" s="321">
        <f t="shared" si="378"/>
        <v>0</v>
      </c>
      <c r="FD25" s="321">
        <f t="shared" si="379"/>
        <v>0</v>
      </c>
      <c r="FE25" s="321">
        <f t="shared" si="380"/>
        <v>170</v>
      </c>
      <c r="FF25" s="332">
        <v>0</v>
      </c>
      <c r="FG25" s="332">
        <v>1</v>
      </c>
      <c r="FH25" s="332">
        <v>0</v>
      </c>
      <c r="FI25" s="332">
        <v>0</v>
      </c>
      <c r="FJ25" s="332">
        <v>0</v>
      </c>
      <c r="FK25" s="332">
        <v>1</v>
      </c>
      <c r="FL25" s="331">
        <f t="shared" si="272"/>
        <v>0</v>
      </c>
    </row>
    <row r="26" spans="1:172" s="331" customFormat="1" ht="15" customHeight="1" outlineLevel="1">
      <c r="A26" s="1454" t="e">
        <f t="shared" si="414"/>
        <v>#REF!</v>
      </c>
      <c r="B26" s="311" t="s">
        <v>520</v>
      </c>
      <c r="C26" s="312" t="s">
        <v>66</v>
      </c>
      <c r="D26" s="313" t="s">
        <v>10</v>
      </c>
      <c r="E26" s="1971">
        <v>3166.38</v>
      </c>
      <c r="F26" s="315">
        <f>250+120</f>
        <v>370</v>
      </c>
      <c r="G26" s="314">
        <f t="shared" si="285"/>
        <v>3536.38</v>
      </c>
      <c r="H26" s="355">
        <v>30</v>
      </c>
      <c r="I26" s="318">
        <v>1</v>
      </c>
      <c r="J26" s="318">
        <v>0</v>
      </c>
      <c r="K26" s="318">
        <v>0</v>
      </c>
      <c r="L26" s="1479">
        <v>0</v>
      </c>
      <c r="M26" s="1479">
        <v>0</v>
      </c>
      <c r="N26" s="318">
        <f t="shared" si="286"/>
        <v>1</v>
      </c>
      <c r="O26" s="1480"/>
      <c r="P26" s="321"/>
      <c r="Q26" s="315">
        <f>($E26/30/8*1.5)*P26</f>
        <v>0</v>
      </c>
      <c r="R26" s="321"/>
      <c r="S26" s="315">
        <f>($E26/30/8*2)*R26</f>
        <v>0</v>
      </c>
      <c r="T26" s="321"/>
      <c r="U26" s="315">
        <f>($E26/30/8*1.5)*T26</f>
        <v>0</v>
      </c>
      <c r="V26" s="321"/>
      <c r="W26" s="315">
        <f>($E26/30/8*2)*V26</f>
        <v>0</v>
      </c>
      <c r="X26" s="321"/>
      <c r="Y26" s="315">
        <f>(($E26/30/8)*1.5)*X26</f>
        <v>0</v>
      </c>
      <c r="Z26" s="322"/>
      <c r="AA26" s="315">
        <f t="shared" si="292"/>
        <v>0</v>
      </c>
      <c r="AB26" s="1481"/>
      <c r="AC26" s="1482">
        <f>(($E26/30/8)*1.5)*AB26</f>
        <v>0</v>
      </c>
      <c r="AD26" s="1481"/>
      <c r="AE26" s="1482">
        <f>(($E26/30/8)*2)*AD26</f>
        <v>0</v>
      </c>
      <c r="AF26" s="1482"/>
      <c r="AG26" s="1482">
        <f>(($E26/30/8)*1.5)*AF26</f>
        <v>0</v>
      </c>
      <c r="AH26" s="1481"/>
      <c r="AI26" s="1482">
        <f>(($E26/30/8)*2)*AH26</f>
        <v>0</v>
      </c>
      <c r="AJ26" s="1482">
        <v>0</v>
      </c>
      <c r="AK26" s="1482"/>
      <c r="AL26" s="1482"/>
      <c r="AM26" s="1482"/>
      <c r="AN26" s="1482"/>
      <c r="AO26" s="1482"/>
      <c r="AP26" s="1482"/>
      <c r="AQ26" s="1482"/>
      <c r="AR26" s="1482"/>
      <c r="AS26" s="1482"/>
      <c r="AT26" s="315"/>
      <c r="AU26" s="1478"/>
      <c r="AV26" s="315">
        <f t="shared" si="297"/>
        <v>3166.38</v>
      </c>
      <c r="AW26" s="315">
        <f t="shared" si="298"/>
        <v>370</v>
      </c>
      <c r="AX26" s="315">
        <f t="shared" si="299"/>
        <v>0</v>
      </c>
      <c r="AY26" s="315">
        <f t="shared" si="299"/>
        <v>0</v>
      </c>
      <c r="AZ26" s="315">
        <f t="shared" si="299"/>
        <v>0</v>
      </c>
      <c r="BA26" s="315">
        <f t="shared" si="299"/>
        <v>0</v>
      </c>
      <c r="BB26" s="315">
        <f>AJ26+AO26</f>
        <v>0</v>
      </c>
      <c r="BC26" s="315">
        <f t="shared" si="301"/>
        <v>401.18034600000004</v>
      </c>
      <c r="BD26" s="315">
        <f>SUM(AV26:BC26)-AX26-AZ26</f>
        <v>3937.5603460000002</v>
      </c>
      <c r="BE26" s="315">
        <f t="shared" si="303"/>
        <v>0</v>
      </c>
      <c r="BF26" s="315">
        <f t="shared" si="304"/>
        <v>0</v>
      </c>
      <c r="BG26" s="315">
        <f t="shared" si="305"/>
        <v>0</v>
      </c>
      <c r="BH26" s="315">
        <f t="shared" si="305"/>
        <v>0</v>
      </c>
      <c r="BI26" s="315">
        <f t="shared" si="305"/>
        <v>0</v>
      </c>
      <c r="BJ26" s="315">
        <f t="shared" si="305"/>
        <v>0</v>
      </c>
      <c r="BK26" s="315">
        <f>AK26+AP26</f>
        <v>0</v>
      </c>
      <c r="BL26" s="315">
        <f t="shared" si="307"/>
        <v>0</v>
      </c>
      <c r="BM26" s="314">
        <f>SUM(BE26:BL26)-BG26-BI26</f>
        <v>0</v>
      </c>
      <c r="BN26" s="315">
        <f t="shared" si="309"/>
        <v>0</v>
      </c>
      <c r="BO26" s="315">
        <f t="shared" si="310"/>
        <v>0</v>
      </c>
      <c r="BP26" s="315">
        <f t="shared" si="311"/>
        <v>0</v>
      </c>
      <c r="BQ26" s="315">
        <f t="shared" si="311"/>
        <v>0</v>
      </c>
      <c r="BR26" s="315">
        <f t="shared" si="311"/>
        <v>0</v>
      </c>
      <c r="BS26" s="315">
        <f t="shared" si="312"/>
        <v>0</v>
      </c>
      <c r="BT26" s="315">
        <f>AL26+AQ26</f>
        <v>0</v>
      </c>
      <c r="BU26" s="315">
        <f>(BN26+BQ26+BS26)*0.09</f>
        <v>0</v>
      </c>
      <c r="BV26" s="315">
        <f>SUM(BN26:BU26)-BP26-BR26</f>
        <v>0</v>
      </c>
      <c r="BW26" s="1483">
        <f t="shared" si="315"/>
        <v>0</v>
      </c>
      <c r="BX26" s="1484">
        <f t="shared" si="316"/>
        <v>0</v>
      </c>
      <c r="BY26" s="1484">
        <f>AB26</f>
        <v>0</v>
      </c>
      <c r="BZ26" s="1484">
        <f>AC26</f>
        <v>0</v>
      </c>
      <c r="CA26" s="1484">
        <f>AD26</f>
        <v>0</v>
      </c>
      <c r="CB26" s="1484">
        <f>AE26</f>
        <v>0</v>
      </c>
      <c r="CC26" s="1484">
        <f>AM26+AR26</f>
        <v>0</v>
      </c>
      <c r="CD26" s="1485">
        <f>(BW26+BZ26+CB26)*0.09</f>
        <v>0</v>
      </c>
      <c r="CE26" s="1486">
        <f>SUM(BW26:CD26)-BY26-CA26</f>
        <v>0</v>
      </c>
      <c r="CF26" s="1487">
        <f>(($E26/30)*$H26)*M26</f>
        <v>0</v>
      </c>
      <c r="CG26" s="1484">
        <f t="shared" si="320"/>
        <v>0</v>
      </c>
      <c r="CH26" s="1484">
        <f>+AF26</f>
        <v>0</v>
      </c>
      <c r="CI26" s="1484">
        <f>AG26</f>
        <v>0</v>
      </c>
      <c r="CJ26" s="1484">
        <f>AH26</f>
        <v>0</v>
      </c>
      <c r="CK26" s="1484">
        <f>AI26</f>
        <v>0</v>
      </c>
      <c r="CL26" s="1484">
        <f>AN26+AS26</f>
        <v>0</v>
      </c>
      <c r="CM26" s="1485">
        <f>(CF26+CI26+CK26)*0.09</f>
        <v>0</v>
      </c>
      <c r="CN26" s="1485">
        <f>SUM(CF26:CM26)-CH26-CJ26</f>
        <v>0</v>
      </c>
      <c r="CO26" s="330"/>
      <c r="CP26" s="313" t="s">
        <v>10</v>
      </c>
      <c r="CQ26" s="315">
        <f t="shared" si="325"/>
        <v>3166.38</v>
      </c>
      <c r="CR26" s="315">
        <f t="shared" si="326"/>
        <v>370</v>
      </c>
      <c r="CS26" s="315">
        <f t="shared" si="327"/>
        <v>0</v>
      </c>
      <c r="CT26" s="315">
        <f t="shared" si="328"/>
        <v>0</v>
      </c>
      <c r="CU26" s="315">
        <f t="shared" si="329"/>
        <v>0</v>
      </c>
      <c r="CV26" s="315">
        <f t="shared" si="330"/>
        <v>0</v>
      </c>
      <c r="CW26" s="315">
        <f t="shared" si="331"/>
        <v>0</v>
      </c>
      <c r="CX26" s="315">
        <f>IF($CP26="PROQUIMA",$BC26+$BL26+$BU26+$CD26+CM26,0)</f>
        <v>401.18034600000004</v>
      </c>
      <c r="CY26" s="315">
        <f>SUM(CQ26:CX26)-CS26-CU26</f>
        <v>3937.5603460000002</v>
      </c>
      <c r="CZ26" s="315">
        <f t="shared" si="334"/>
        <v>0</v>
      </c>
      <c r="DA26" s="315">
        <f t="shared" si="335"/>
        <v>0</v>
      </c>
      <c r="DB26" s="315">
        <f t="shared" si="336"/>
        <v>0</v>
      </c>
      <c r="DC26" s="315">
        <f t="shared" si="337"/>
        <v>0</v>
      </c>
      <c r="DD26" s="315">
        <f t="shared" si="338"/>
        <v>0</v>
      </c>
      <c r="DE26" s="315">
        <f t="shared" si="339"/>
        <v>0</v>
      </c>
      <c r="DF26" s="315">
        <f t="shared" si="340"/>
        <v>0</v>
      </c>
      <c r="DG26" s="315">
        <f t="shared" si="341"/>
        <v>0</v>
      </c>
      <c r="DH26" s="315">
        <f>SUM(CZ26:DG26)-DB26-DD26</f>
        <v>0</v>
      </c>
      <c r="DI26" s="315">
        <f t="shared" si="343"/>
        <v>0</v>
      </c>
      <c r="DJ26" s="315">
        <f t="shared" si="344"/>
        <v>0</v>
      </c>
      <c r="DK26" s="315">
        <f t="shared" si="345"/>
        <v>0</v>
      </c>
      <c r="DL26" s="315">
        <f t="shared" si="346"/>
        <v>0</v>
      </c>
      <c r="DM26" s="315">
        <f t="shared" si="347"/>
        <v>0</v>
      </c>
      <c r="DN26" s="315">
        <f t="shared" si="348"/>
        <v>0</v>
      </c>
      <c r="DO26" s="315">
        <f t="shared" si="349"/>
        <v>0</v>
      </c>
      <c r="DP26" s="315">
        <f t="shared" si="350"/>
        <v>0</v>
      </c>
      <c r="DQ26" s="315">
        <f>SUM(DI26:DP26)-DK26-DM26</f>
        <v>0</v>
      </c>
      <c r="DR26" s="1123">
        <f t="shared" si="352"/>
        <v>0</v>
      </c>
      <c r="DS26" s="1124">
        <f t="shared" si="353"/>
        <v>0</v>
      </c>
      <c r="DT26" s="1124">
        <f t="shared" si="354"/>
        <v>0</v>
      </c>
      <c r="DU26" s="1124">
        <f t="shared" si="355"/>
        <v>0</v>
      </c>
      <c r="DV26" s="1124">
        <f t="shared" si="356"/>
        <v>0</v>
      </c>
      <c r="DW26" s="1124">
        <f t="shared" si="357"/>
        <v>0</v>
      </c>
      <c r="DX26" s="1125">
        <f t="shared" si="358"/>
        <v>0</v>
      </c>
      <c r="DY26" s="1125">
        <f t="shared" si="359"/>
        <v>0</v>
      </c>
      <c r="DZ26" s="1126">
        <f>SUM(DR26:DY26)-DT26-DV26</f>
        <v>0</v>
      </c>
      <c r="EA26" s="1123">
        <f t="shared" si="361"/>
        <v>0</v>
      </c>
      <c r="EB26" s="1124">
        <f t="shared" si="362"/>
        <v>0</v>
      </c>
      <c r="EC26" s="1124">
        <f t="shared" si="363"/>
        <v>0</v>
      </c>
      <c r="ED26" s="1124">
        <f t="shared" si="364"/>
        <v>0</v>
      </c>
      <c r="EE26" s="1124">
        <f t="shared" si="365"/>
        <v>0</v>
      </c>
      <c r="EF26" s="1124">
        <f t="shared" si="366"/>
        <v>0</v>
      </c>
      <c r="EG26" s="1125">
        <f t="shared" si="367"/>
        <v>0</v>
      </c>
      <c r="EH26" s="1125">
        <f t="shared" si="368"/>
        <v>0</v>
      </c>
      <c r="EI26" s="1125">
        <f>SUM(EA26:EH26)-EC26-EE26</f>
        <v>0</v>
      </c>
      <c r="EJ26" s="330"/>
      <c r="EK26" s="2199"/>
      <c r="EL26" s="312"/>
      <c r="EM26" s="313"/>
      <c r="EN26" s="313"/>
      <c r="EO26" s="313"/>
      <c r="EP26" s="363"/>
      <c r="EQ26" s="363"/>
      <c r="ER26" s="313"/>
      <c r="ES26" s="313"/>
      <c r="ET26" s="313">
        <f t="shared" si="370"/>
        <v>0</v>
      </c>
      <c r="EV26" s="321">
        <f t="shared" si="371"/>
        <v>0</v>
      </c>
      <c r="EW26" s="321">
        <f t="shared" si="372"/>
        <v>0</v>
      </c>
      <c r="EX26" s="321">
        <f t="shared" si="373"/>
        <v>0</v>
      </c>
      <c r="EY26" s="321">
        <f t="shared" si="374"/>
        <v>0</v>
      </c>
      <c r="EZ26" s="321">
        <f t="shared" si="375"/>
        <v>0</v>
      </c>
      <c r="FA26" s="321">
        <f t="shared" si="376"/>
        <v>0</v>
      </c>
      <c r="FB26" s="321">
        <f t="shared" si="377"/>
        <v>0</v>
      </c>
      <c r="FC26" s="321">
        <f t="shared" si="378"/>
        <v>0</v>
      </c>
      <c r="FD26" s="321">
        <f t="shared" si="379"/>
        <v>0</v>
      </c>
      <c r="FE26" s="321">
        <f t="shared" si="380"/>
        <v>0</v>
      </c>
      <c r="FF26" s="332">
        <v>1</v>
      </c>
      <c r="FG26" s="332"/>
      <c r="FH26" s="332"/>
      <c r="FI26" s="332"/>
      <c r="FJ26" s="332"/>
      <c r="FK26" s="332">
        <v>1</v>
      </c>
      <c r="FL26" s="331">
        <f t="shared" si="272"/>
        <v>0</v>
      </c>
    </row>
    <row r="27" spans="1:172" s="1441" customFormat="1" ht="15" customHeight="1" outlineLevel="1">
      <c r="A27" s="1454" t="e">
        <f t="shared" si="414"/>
        <v>#REF!</v>
      </c>
      <c r="B27" s="213" t="s">
        <v>515</v>
      </c>
      <c r="C27" s="365" t="s">
        <v>66</v>
      </c>
      <c r="D27" s="363" t="s">
        <v>10</v>
      </c>
      <c r="E27" s="1971">
        <v>3166.38</v>
      </c>
      <c r="F27" s="355">
        <v>370</v>
      </c>
      <c r="G27" s="1431">
        <f t="shared" si="285"/>
        <v>3536.38</v>
      </c>
      <c r="H27" s="355">
        <v>30</v>
      </c>
      <c r="I27" s="1432">
        <v>1</v>
      </c>
      <c r="J27" s="1432">
        <v>0</v>
      </c>
      <c r="K27" s="1432">
        <v>0</v>
      </c>
      <c r="L27" s="1432">
        <v>0</v>
      </c>
      <c r="M27" s="1432">
        <v>0</v>
      </c>
      <c r="N27" s="1432">
        <f t="shared" si="286"/>
        <v>1</v>
      </c>
      <c r="O27" s="1488"/>
      <c r="P27" s="366"/>
      <c r="Q27" s="355">
        <f t="shared" si="287"/>
        <v>0</v>
      </c>
      <c r="R27" s="366"/>
      <c r="S27" s="355">
        <f t="shared" si="288"/>
        <v>0</v>
      </c>
      <c r="T27" s="366"/>
      <c r="U27" s="355">
        <f t="shared" si="289"/>
        <v>0</v>
      </c>
      <c r="V27" s="366"/>
      <c r="W27" s="355">
        <f t="shared" si="290"/>
        <v>0</v>
      </c>
      <c r="X27" s="366"/>
      <c r="Y27" s="355">
        <f t="shared" si="291"/>
        <v>0</v>
      </c>
      <c r="Z27" s="1434"/>
      <c r="AA27" s="355">
        <f t="shared" si="292"/>
        <v>0</v>
      </c>
      <c r="AB27" s="1434"/>
      <c r="AC27" s="355">
        <f t="shared" si="293"/>
        <v>0</v>
      </c>
      <c r="AD27" s="1434"/>
      <c r="AE27" s="355">
        <f t="shared" si="294"/>
        <v>0</v>
      </c>
      <c r="AF27" s="355"/>
      <c r="AG27" s="355">
        <f t="shared" si="295"/>
        <v>0</v>
      </c>
      <c r="AH27" s="1434"/>
      <c r="AI27" s="355">
        <f t="shared" si="296"/>
        <v>0</v>
      </c>
      <c r="AJ27" s="355"/>
      <c r="AK27" s="355"/>
      <c r="AL27" s="355"/>
      <c r="AM27" s="355"/>
      <c r="AN27" s="355"/>
      <c r="AO27" s="355"/>
      <c r="AP27" s="355"/>
      <c r="AQ27" s="355"/>
      <c r="AR27" s="355"/>
      <c r="AS27" s="355"/>
      <c r="AT27" s="355"/>
      <c r="AU27" s="1489"/>
      <c r="AV27" s="355">
        <f t="shared" si="297"/>
        <v>3166.38</v>
      </c>
      <c r="AW27" s="355">
        <f t="shared" si="298"/>
        <v>370</v>
      </c>
      <c r="AX27" s="355">
        <f t="shared" si="299"/>
        <v>0</v>
      </c>
      <c r="AY27" s="355">
        <f t="shared" si="299"/>
        <v>0</v>
      </c>
      <c r="AZ27" s="355">
        <f t="shared" si="299"/>
        <v>0</v>
      </c>
      <c r="BA27" s="355">
        <f t="shared" si="299"/>
        <v>0</v>
      </c>
      <c r="BB27" s="355">
        <f t="shared" si="300"/>
        <v>0</v>
      </c>
      <c r="BC27" s="355">
        <f t="shared" si="301"/>
        <v>401.18034600000004</v>
      </c>
      <c r="BD27" s="355">
        <f t="shared" si="302"/>
        <v>3937.5603460000002</v>
      </c>
      <c r="BE27" s="355">
        <f t="shared" si="303"/>
        <v>0</v>
      </c>
      <c r="BF27" s="355">
        <f t="shared" si="304"/>
        <v>0</v>
      </c>
      <c r="BG27" s="355">
        <f t="shared" si="305"/>
        <v>0</v>
      </c>
      <c r="BH27" s="355">
        <f t="shared" si="305"/>
        <v>0</v>
      </c>
      <c r="BI27" s="355">
        <f t="shared" si="305"/>
        <v>0</v>
      </c>
      <c r="BJ27" s="355">
        <f t="shared" si="305"/>
        <v>0</v>
      </c>
      <c r="BK27" s="355">
        <f t="shared" si="306"/>
        <v>0</v>
      </c>
      <c r="BL27" s="355">
        <f t="shared" si="307"/>
        <v>0</v>
      </c>
      <c r="BM27" s="1431">
        <f t="shared" si="308"/>
        <v>0</v>
      </c>
      <c r="BN27" s="355">
        <f t="shared" si="309"/>
        <v>0</v>
      </c>
      <c r="BO27" s="355">
        <f t="shared" si="310"/>
        <v>0</v>
      </c>
      <c r="BP27" s="355">
        <f t="shared" si="311"/>
        <v>0</v>
      </c>
      <c r="BQ27" s="355">
        <f t="shared" si="311"/>
        <v>0</v>
      </c>
      <c r="BR27" s="355">
        <f t="shared" si="311"/>
        <v>0</v>
      </c>
      <c r="BS27" s="355">
        <f t="shared" si="312"/>
        <v>0</v>
      </c>
      <c r="BT27" s="355">
        <f t="shared" si="313"/>
        <v>0</v>
      </c>
      <c r="BU27" s="355">
        <f>(BN27+BQ27+BS27)*0.09</f>
        <v>0</v>
      </c>
      <c r="BV27" s="355">
        <f t="shared" si="314"/>
        <v>0</v>
      </c>
      <c r="BW27" s="1435">
        <f t="shared" si="315"/>
        <v>0</v>
      </c>
      <c r="BX27" s="1436">
        <f t="shared" si="316"/>
        <v>0</v>
      </c>
      <c r="BY27" s="1436">
        <f t="shared" si="415"/>
        <v>0</v>
      </c>
      <c r="BZ27" s="1436">
        <f t="shared" si="415"/>
        <v>0</v>
      </c>
      <c r="CA27" s="1436">
        <f t="shared" si="415"/>
        <v>0</v>
      </c>
      <c r="CB27" s="1436">
        <f t="shared" si="415"/>
        <v>0</v>
      </c>
      <c r="CC27" s="1436">
        <f t="shared" si="318"/>
        <v>0</v>
      </c>
      <c r="CD27" s="1437">
        <f>(BW27+BZ27+CB27)*0.09</f>
        <v>0</v>
      </c>
      <c r="CE27" s="1438">
        <f t="shared" si="319"/>
        <v>0</v>
      </c>
      <c r="CF27" s="1439">
        <f>(($E27/30)*$H27)*M27</f>
        <v>0</v>
      </c>
      <c r="CG27" s="1436">
        <f t="shared" si="320"/>
        <v>0</v>
      </c>
      <c r="CH27" s="1436">
        <f t="shared" si="321"/>
        <v>0</v>
      </c>
      <c r="CI27" s="1436">
        <f t="shared" si="416"/>
        <v>0</v>
      </c>
      <c r="CJ27" s="1436">
        <f t="shared" si="416"/>
        <v>0</v>
      </c>
      <c r="CK27" s="1436">
        <f t="shared" si="416"/>
        <v>0</v>
      </c>
      <c r="CL27" s="1436">
        <f t="shared" si="323"/>
        <v>0</v>
      </c>
      <c r="CM27" s="1437">
        <f>(CF27+CI27+CK27)*0.09</f>
        <v>0</v>
      </c>
      <c r="CN27" s="1437">
        <f t="shared" si="324"/>
        <v>0</v>
      </c>
      <c r="CO27" s="1414"/>
      <c r="CP27" s="363" t="s">
        <v>10</v>
      </c>
      <c r="CQ27" s="355">
        <f t="shared" si="325"/>
        <v>3166.38</v>
      </c>
      <c r="CR27" s="355">
        <f t="shared" si="326"/>
        <v>370</v>
      </c>
      <c r="CS27" s="355">
        <f t="shared" si="327"/>
        <v>0</v>
      </c>
      <c r="CT27" s="355">
        <f t="shared" si="328"/>
        <v>0</v>
      </c>
      <c r="CU27" s="355">
        <f t="shared" si="329"/>
        <v>0</v>
      </c>
      <c r="CV27" s="355">
        <f t="shared" si="330"/>
        <v>0</v>
      </c>
      <c r="CW27" s="355">
        <f t="shared" si="331"/>
        <v>0</v>
      </c>
      <c r="CX27" s="355">
        <f t="shared" si="332"/>
        <v>401.18034600000004</v>
      </c>
      <c r="CY27" s="355">
        <f t="shared" si="333"/>
        <v>3937.5603460000002</v>
      </c>
      <c r="CZ27" s="355">
        <f t="shared" si="334"/>
        <v>0</v>
      </c>
      <c r="DA27" s="355">
        <f t="shared" si="335"/>
        <v>0</v>
      </c>
      <c r="DB27" s="355">
        <f t="shared" si="336"/>
        <v>0</v>
      </c>
      <c r="DC27" s="355">
        <f t="shared" si="337"/>
        <v>0</v>
      </c>
      <c r="DD27" s="355">
        <f t="shared" si="338"/>
        <v>0</v>
      </c>
      <c r="DE27" s="355">
        <f t="shared" si="339"/>
        <v>0</v>
      </c>
      <c r="DF27" s="355">
        <f t="shared" si="340"/>
        <v>0</v>
      </c>
      <c r="DG27" s="355">
        <f t="shared" si="341"/>
        <v>0</v>
      </c>
      <c r="DH27" s="355">
        <f t="shared" si="342"/>
        <v>0</v>
      </c>
      <c r="DI27" s="355">
        <f t="shared" si="343"/>
        <v>0</v>
      </c>
      <c r="DJ27" s="355">
        <f t="shared" si="344"/>
        <v>0</v>
      </c>
      <c r="DK27" s="355">
        <f t="shared" si="345"/>
        <v>0</v>
      </c>
      <c r="DL27" s="355">
        <f t="shared" si="346"/>
        <v>0</v>
      </c>
      <c r="DM27" s="355">
        <f t="shared" si="347"/>
        <v>0</v>
      </c>
      <c r="DN27" s="355">
        <f t="shared" si="348"/>
        <v>0</v>
      </c>
      <c r="DO27" s="355">
        <f t="shared" si="349"/>
        <v>0</v>
      </c>
      <c r="DP27" s="355">
        <f t="shared" si="350"/>
        <v>0</v>
      </c>
      <c r="DQ27" s="355">
        <f t="shared" si="351"/>
        <v>0</v>
      </c>
      <c r="DR27" s="1435">
        <f t="shared" si="352"/>
        <v>0</v>
      </c>
      <c r="DS27" s="1436">
        <f t="shared" si="353"/>
        <v>0</v>
      </c>
      <c r="DT27" s="1436">
        <f t="shared" si="354"/>
        <v>0</v>
      </c>
      <c r="DU27" s="1436">
        <f t="shared" si="355"/>
        <v>0</v>
      </c>
      <c r="DV27" s="1436">
        <f t="shared" si="356"/>
        <v>0</v>
      </c>
      <c r="DW27" s="1436">
        <f t="shared" si="357"/>
        <v>0</v>
      </c>
      <c r="DX27" s="1437">
        <f t="shared" si="358"/>
        <v>0</v>
      </c>
      <c r="DY27" s="1437">
        <f t="shared" si="359"/>
        <v>0</v>
      </c>
      <c r="DZ27" s="1438">
        <f t="shared" si="360"/>
        <v>0</v>
      </c>
      <c r="EA27" s="1435">
        <f t="shared" si="361"/>
        <v>0</v>
      </c>
      <c r="EB27" s="1436">
        <f t="shared" si="362"/>
        <v>0</v>
      </c>
      <c r="EC27" s="1436">
        <f t="shared" si="363"/>
        <v>0</v>
      </c>
      <c r="ED27" s="1436">
        <f t="shared" si="364"/>
        <v>0</v>
      </c>
      <c r="EE27" s="1436">
        <f t="shared" si="365"/>
        <v>0</v>
      </c>
      <c r="EF27" s="1436">
        <f t="shared" si="366"/>
        <v>0</v>
      </c>
      <c r="EG27" s="1437">
        <f t="shared" si="367"/>
        <v>0</v>
      </c>
      <c r="EH27" s="1437">
        <f t="shared" si="368"/>
        <v>0</v>
      </c>
      <c r="EI27" s="1437">
        <f t="shared" si="369"/>
        <v>0</v>
      </c>
      <c r="EJ27" s="1414"/>
      <c r="EK27" s="2199"/>
      <c r="EL27" s="1440"/>
      <c r="EM27" s="363"/>
      <c r="EN27" s="313"/>
      <c r="EO27" s="363"/>
      <c r="EP27" s="363">
        <v>50</v>
      </c>
      <c r="EQ27" s="363">
        <v>400</v>
      </c>
      <c r="ER27" s="363"/>
      <c r="ES27" s="363"/>
      <c r="ET27" s="363">
        <f t="shared" si="370"/>
        <v>450</v>
      </c>
      <c r="EV27" s="366">
        <f t="shared" si="371"/>
        <v>0</v>
      </c>
      <c r="EW27" s="366">
        <f t="shared" si="372"/>
        <v>0</v>
      </c>
      <c r="EX27" s="366">
        <f t="shared" si="373"/>
        <v>0</v>
      </c>
      <c r="EY27" s="366">
        <f t="shared" si="374"/>
        <v>0</v>
      </c>
      <c r="EZ27" s="366">
        <f t="shared" si="375"/>
        <v>0</v>
      </c>
      <c r="FA27" s="366">
        <f t="shared" si="376"/>
        <v>50</v>
      </c>
      <c r="FB27" s="366">
        <f t="shared" si="377"/>
        <v>400</v>
      </c>
      <c r="FC27" s="366">
        <f t="shared" si="378"/>
        <v>0</v>
      </c>
      <c r="FD27" s="366">
        <f t="shared" si="379"/>
        <v>0</v>
      </c>
      <c r="FE27" s="366">
        <f t="shared" si="380"/>
        <v>450</v>
      </c>
      <c r="FF27" s="364">
        <v>1</v>
      </c>
      <c r="FG27" s="364">
        <v>0</v>
      </c>
      <c r="FH27" s="364">
        <v>0</v>
      </c>
      <c r="FI27" s="364">
        <v>0</v>
      </c>
      <c r="FJ27" s="364">
        <v>0</v>
      </c>
      <c r="FK27" s="364">
        <v>1</v>
      </c>
      <c r="FL27" s="1441">
        <f t="shared" si="272"/>
        <v>0</v>
      </c>
    </row>
    <row r="28" spans="1:172" s="1441" customFormat="1" ht="15.75" customHeight="1" outlineLevel="1" thickBot="1">
      <c r="A28" s="1490"/>
      <c r="B28" s="1442"/>
      <c r="C28" s="1339" t="s">
        <v>67</v>
      </c>
      <c r="D28" s="1414"/>
      <c r="E28" s="1443">
        <f>SUM(E22:E27)</f>
        <v>19094.400000000001</v>
      </c>
      <c r="F28" s="1446">
        <f>SUM(F22:F27)</f>
        <v>3740</v>
      </c>
      <c r="G28" s="1446">
        <f>SUM(G22:G27)</f>
        <v>22834.400000000005</v>
      </c>
      <c r="H28" s="1491"/>
      <c r="I28" s="1445"/>
      <c r="J28" s="1414"/>
      <c r="K28" s="1414"/>
      <c r="L28" s="1414"/>
      <c r="M28" s="1414"/>
      <c r="N28" s="1414"/>
      <c r="O28" s="1433"/>
      <c r="P28" s="1446">
        <f t="shared" ref="P28:AT28" si="417">SUM(P22:P27)</f>
        <v>0</v>
      </c>
      <c r="Q28" s="1446">
        <f t="shared" si="417"/>
        <v>0</v>
      </c>
      <c r="R28" s="1446">
        <f t="shared" si="417"/>
        <v>0</v>
      </c>
      <c r="S28" s="1446">
        <f t="shared" si="417"/>
        <v>0</v>
      </c>
      <c r="T28" s="1446">
        <f t="shared" si="417"/>
        <v>0</v>
      </c>
      <c r="U28" s="1446">
        <f t="shared" si="417"/>
        <v>0</v>
      </c>
      <c r="V28" s="1446">
        <f t="shared" si="417"/>
        <v>0</v>
      </c>
      <c r="W28" s="1446">
        <f t="shared" si="417"/>
        <v>0</v>
      </c>
      <c r="X28" s="1446">
        <f t="shared" si="417"/>
        <v>0</v>
      </c>
      <c r="Y28" s="1446">
        <f t="shared" si="417"/>
        <v>0</v>
      </c>
      <c r="Z28" s="1446">
        <f t="shared" si="417"/>
        <v>0</v>
      </c>
      <c r="AA28" s="1446">
        <f t="shared" si="417"/>
        <v>0</v>
      </c>
      <c r="AB28" s="1446">
        <f t="shared" si="417"/>
        <v>0</v>
      </c>
      <c r="AC28" s="1446">
        <f t="shared" si="417"/>
        <v>0</v>
      </c>
      <c r="AD28" s="1446">
        <f t="shared" si="417"/>
        <v>0</v>
      </c>
      <c r="AE28" s="1446">
        <f t="shared" si="417"/>
        <v>0</v>
      </c>
      <c r="AF28" s="1446">
        <f t="shared" si="417"/>
        <v>0</v>
      </c>
      <c r="AG28" s="1446">
        <f t="shared" si="417"/>
        <v>0</v>
      </c>
      <c r="AH28" s="1446">
        <f t="shared" si="417"/>
        <v>0</v>
      </c>
      <c r="AI28" s="1446">
        <f t="shared" si="417"/>
        <v>0</v>
      </c>
      <c r="AJ28" s="1446">
        <f t="shared" si="417"/>
        <v>0</v>
      </c>
      <c r="AK28" s="1446">
        <f t="shared" si="417"/>
        <v>0</v>
      </c>
      <c r="AL28" s="1446">
        <f t="shared" si="417"/>
        <v>0</v>
      </c>
      <c r="AM28" s="1446">
        <f t="shared" si="417"/>
        <v>0</v>
      </c>
      <c r="AN28" s="1446">
        <f t="shared" si="417"/>
        <v>0</v>
      </c>
      <c r="AO28" s="1446">
        <f t="shared" si="417"/>
        <v>0</v>
      </c>
      <c r="AP28" s="1446">
        <f t="shared" si="417"/>
        <v>0</v>
      </c>
      <c r="AQ28" s="1446">
        <f t="shared" si="417"/>
        <v>0</v>
      </c>
      <c r="AR28" s="1446">
        <f t="shared" si="417"/>
        <v>0</v>
      </c>
      <c r="AS28" s="1446">
        <f t="shared" si="417"/>
        <v>0</v>
      </c>
      <c r="AT28" s="1446">
        <f t="shared" si="417"/>
        <v>0</v>
      </c>
      <c r="AU28" s="1414"/>
      <c r="AV28" s="1446">
        <f t="shared" ref="AV28:CN28" si="418">SUM(AV22:AV27)</f>
        <v>14344.830000000002</v>
      </c>
      <c r="AW28" s="1446">
        <f t="shared" si="418"/>
        <v>3365</v>
      </c>
      <c r="AX28" s="1446">
        <f t="shared" si="418"/>
        <v>0</v>
      </c>
      <c r="AY28" s="1446">
        <f t="shared" si="418"/>
        <v>0</v>
      </c>
      <c r="AZ28" s="1446">
        <f t="shared" si="418"/>
        <v>0</v>
      </c>
      <c r="BA28" s="1446">
        <f t="shared" si="418"/>
        <v>0</v>
      </c>
      <c r="BB28" s="1446">
        <f t="shared" si="418"/>
        <v>0</v>
      </c>
      <c r="BC28" s="1446">
        <f t="shared" si="418"/>
        <v>1817.4899610000002</v>
      </c>
      <c r="BD28" s="1446">
        <f t="shared" si="418"/>
        <v>19527.319961000001</v>
      </c>
      <c r="BE28" s="1446">
        <f t="shared" si="418"/>
        <v>4749.57</v>
      </c>
      <c r="BF28" s="1446">
        <f t="shared" si="418"/>
        <v>375.00000000000006</v>
      </c>
      <c r="BG28" s="1446">
        <f t="shared" si="418"/>
        <v>0</v>
      </c>
      <c r="BH28" s="1446">
        <f t="shared" si="418"/>
        <v>0</v>
      </c>
      <c r="BI28" s="1446">
        <f t="shared" si="418"/>
        <v>0</v>
      </c>
      <c r="BJ28" s="1446">
        <f t="shared" si="418"/>
        <v>0</v>
      </c>
      <c r="BK28" s="1446">
        <f t="shared" si="418"/>
        <v>0</v>
      </c>
      <c r="BL28" s="1446">
        <f t="shared" si="418"/>
        <v>601.77051900000004</v>
      </c>
      <c r="BM28" s="1446">
        <f t="shared" si="418"/>
        <v>5726.3405190000003</v>
      </c>
      <c r="BN28" s="1446">
        <f t="shared" si="418"/>
        <v>0</v>
      </c>
      <c r="BO28" s="1446">
        <f t="shared" si="418"/>
        <v>0</v>
      </c>
      <c r="BP28" s="1446">
        <f t="shared" si="418"/>
        <v>0</v>
      </c>
      <c r="BQ28" s="1446">
        <f t="shared" si="418"/>
        <v>0</v>
      </c>
      <c r="BR28" s="1446">
        <f t="shared" si="418"/>
        <v>0</v>
      </c>
      <c r="BS28" s="1446">
        <f t="shared" si="418"/>
        <v>0</v>
      </c>
      <c r="BT28" s="1446">
        <f t="shared" si="418"/>
        <v>0</v>
      </c>
      <c r="BU28" s="1446">
        <f t="shared" si="418"/>
        <v>0</v>
      </c>
      <c r="BV28" s="1446">
        <f t="shared" si="418"/>
        <v>0</v>
      </c>
      <c r="BW28" s="1447">
        <f t="shared" si="418"/>
        <v>0</v>
      </c>
      <c r="BX28" s="1447">
        <f t="shared" si="418"/>
        <v>0</v>
      </c>
      <c r="BY28" s="1447">
        <f t="shared" si="418"/>
        <v>0</v>
      </c>
      <c r="BZ28" s="1447">
        <f t="shared" si="418"/>
        <v>0</v>
      </c>
      <c r="CA28" s="1447">
        <f t="shared" si="418"/>
        <v>0</v>
      </c>
      <c r="CB28" s="1447">
        <f t="shared" si="418"/>
        <v>0</v>
      </c>
      <c r="CC28" s="1447">
        <f t="shared" si="418"/>
        <v>0</v>
      </c>
      <c r="CD28" s="1447">
        <f t="shared" si="418"/>
        <v>0</v>
      </c>
      <c r="CE28" s="1447">
        <f t="shared" si="418"/>
        <v>0</v>
      </c>
      <c r="CF28" s="1447">
        <f t="shared" si="418"/>
        <v>0</v>
      </c>
      <c r="CG28" s="1447">
        <f t="shared" si="418"/>
        <v>0</v>
      </c>
      <c r="CH28" s="1447">
        <f t="shared" si="418"/>
        <v>0</v>
      </c>
      <c r="CI28" s="1447">
        <f t="shared" si="418"/>
        <v>0</v>
      </c>
      <c r="CJ28" s="1447">
        <f t="shared" si="418"/>
        <v>0</v>
      </c>
      <c r="CK28" s="1447">
        <f t="shared" si="418"/>
        <v>0</v>
      </c>
      <c r="CL28" s="1447">
        <f t="shared" si="418"/>
        <v>0</v>
      </c>
      <c r="CM28" s="1447">
        <f t="shared" si="418"/>
        <v>0</v>
      </c>
      <c r="CN28" s="1447">
        <f t="shared" si="418"/>
        <v>0</v>
      </c>
      <c r="CO28" s="1414"/>
      <c r="CP28" s="1492"/>
      <c r="CQ28" s="1446">
        <f t="shared" ref="CQ28:EI28" si="419">SUM(CQ22:CQ27)</f>
        <v>15928.02</v>
      </c>
      <c r="CR28" s="1446">
        <f t="shared" si="419"/>
        <v>3490</v>
      </c>
      <c r="CS28" s="1446">
        <f t="shared" si="419"/>
        <v>0</v>
      </c>
      <c r="CT28" s="1446">
        <f t="shared" si="419"/>
        <v>0</v>
      </c>
      <c r="CU28" s="1446">
        <f t="shared" si="419"/>
        <v>0</v>
      </c>
      <c r="CV28" s="1446">
        <f t="shared" si="419"/>
        <v>0</v>
      </c>
      <c r="CW28" s="1446">
        <f t="shared" si="419"/>
        <v>0</v>
      </c>
      <c r="CX28" s="1446">
        <f t="shared" si="419"/>
        <v>2018.0801340000003</v>
      </c>
      <c r="CY28" s="1446">
        <f t="shared" si="419"/>
        <v>21436.100134</v>
      </c>
      <c r="CZ28" s="1446">
        <f t="shared" si="419"/>
        <v>3166.38</v>
      </c>
      <c r="DA28" s="1446">
        <f t="shared" si="419"/>
        <v>250.00000000000003</v>
      </c>
      <c r="DB28" s="1446">
        <f t="shared" si="419"/>
        <v>0</v>
      </c>
      <c r="DC28" s="1446">
        <f t="shared" si="419"/>
        <v>0</v>
      </c>
      <c r="DD28" s="1446">
        <f t="shared" si="419"/>
        <v>0</v>
      </c>
      <c r="DE28" s="1446">
        <f t="shared" si="419"/>
        <v>0</v>
      </c>
      <c r="DF28" s="1446">
        <f t="shared" si="419"/>
        <v>0</v>
      </c>
      <c r="DG28" s="1446">
        <f t="shared" si="419"/>
        <v>401.18034600000004</v>
      </c>
      <c r="DH28" s="1446">
        <f t="shared" si="419"/>
        <v>3817.5603460000002</v>
      </c>
      <c r="DI28" s="1446">
        <f t="shared" si="419"/>
        <v>0</v>
      </c>
      <c r="DJ28" s="1446">
        <f t="shared" si="419"/>
        <v>0</v>
      </c>
      <c r="DK28" s="1446">
        <f t="shared" si="419"/>
        <v>0</v>
      </c>
      <c r="DL28" s="1446">
        <f t="shared" si="419"/>
        <v>0</v>
      </c>
      <c r="DM28" s="1446">
        <f t="shared" si="419"/>
        <v>0</v>
      </c>
      <c r="DN28" s="1446">
        <f t="shared" si="419"/>
        <v>0</v>
      </c>
      <c r="DO28" s="1446">
        <f t="shared" si="419"/>
        <v>0</v>
      </c>
      <c r="DP28" s="1446">
        <f t="shared" si="419"/>
        <v>0</v>
      </c>
      <c r="DQ28" s="1446">
        <f t="shared" si="419"/>
        <v>0</v>
      </c>
      <c r="DR28" s="1447">
        <f t="shared" si="419"/>
        <v>0</v>
      </c>
      <c r="DS28" s="1447">
        <f t="shared" si="419"/>
        <v>0</v>
      </c>
      <c r="DT28" s="1447">
        <f t="shared" si="419"/>
        <v>0</v>
      </c>
      <c r="DU28" s="1447">
        <f t="shared" si="419"/>
        <v>0</v>
      </c>
      <c r="DV28" s="1447">
        <f t="shared" si="419"/>
        <v>0</v>
      </c>
      <c r="DW28" s="1447">
        <f t="shared" si="419"/>
        <v>0</v>
      </c>
      <c r="DX28" s="1447">
        <f t="shared" si="419"/>
        <v>0</v>
      </c>
      <c r="DY28" s="1447">
        <f t="shared" si="419"/>
        <v>0</v>
      </c>
      <c r="DZ28" s="1447">
        <f t="shared" si="419"/>
        <v>0</v>
      </c>
      <c r="EA28" s="1447">
        <f t="shared" si="419"/>
        <v>0</v>
      </c>
      <c r="EB28" s="1447">
        <f t="shared" si="419"/>
        <v>0</v>
      </c>
      <c r="EC28" s="1447">
        <f t="shared" si="419"/>
        <v>0</v>
      </c>
      <c r="ED28" s="1447">
        <f t="shared" si="419"/>
        <v>0</v>
      </c>
      <c r="EE28" s="1447">
        <f t="shared" si="419"/>
        <v>0</v>
      </c>
      <c r="EF28" s="1447">
        <f t="shared" si="419"/>
        <v>0</v>
      </c>
      <c r="EG28" s="1447">
        <f t="shared" si="419"/>
        <v>0</v>
      </c>
      <c r="EH28" s="1447">
        <f t="shared" si="419"/>
        <v>0</v>
      </c>
      <c r="EI28" s="1447">
        <f t="shared" si="419"/>
        <v>0</v>
      </c>
      <c r="EJ28" s="1414"/>
      <c r="EK28" s="1446">
        <f t="shared" ref="EK28:EP28" si="420">SUM(EK22:EK27)</f>
        <v>67.75</v>
      </c>
      <c r="EL28" s="1446">
        <f t="shared" si="420"/>
        <v>0</v>
      </c>
      <c r="EM28" s="1446">
        <f t="shared" si="420"/>
        <v>0</v>
      </c>
      <c r="EN28" s="1443">
        <f t="shared" si="420"/>
        <v>0</v>
      </c>
      <c r="EO28" s="1446">
        <f t="shared" si="420"/>
        <v>202.5</v>
      </c>
      <c r="EP28" s="1446">
        <f t="shared" si="420"/>
        <v>250</v>
      </c>
      <c r="EQ28" s="1446"/>
      <c r="ER28" s="1446">
        <f>SUM(ER22:ER27)</f>
        <v>0</v>
      </c>
      <c r="ES28" s="1446">
        <f>SUM(ES22:ES27)</f>
        <v>0</v>
      </c>
      <c r="ET28" s="1446">
        <f>SUM(ET22:ET27)</f>
        <v>1159.1199999999999</v>
      </c>
      <c r="EU28" s="1490"/>
      <c r="EV28" s="1446">
        <f t="shared" ref="EV28:FE28" si="421">SUM(EV22:EV27)</f>
        <v>67.75</v>
      </c>
      <c r="EW28" s="1446">
        <f t="shared" si="421"/>
        <v>0</v>
      </c>
      <c r="EX28" s="1446">
        <f t="shared" si="421"/>
        <v>0</v>
      </c>
      <c r="EY28" s="1446">
        <f t="shared" si="421"/>
        <v>0</v>
      </c>
      <c r="EZ28" s="1446">
        <f t="shared" si="421"/>
        <v>202.5</v>
      </c>
      <c r="FA28" s="1446">
        <f t="shared" si="421"/>
        <v>250</v>
      </c>
      <c r="FB28" s="1446">
        <f t="shared" si="421"/>
        <v>706.62</v>
      </c>
      <c r="FC28" s="1446">
        <f t="shared" si="421"/>
        <v>0</v>
      </c>
      <c r="FD28" s="1446">
        <f t="shared" si="421"/>
        <v>0</v>
      </c>
      <c r="FE28" s="1446">
        <f t="shared" si="421"/>
        <v>1159.1199999999999</v>
      </c>
      <c r="FF28" s="1448"/>
      <c r="FG28" s="1448"/>
      <c r="FH28" s="1448"/>
      <c r="FI28" s="1448"/>
      <c r="FJ28" s="1448"/>
      <c r="FK28" s="1448"/>
      <c r="FL28" s="1441">
        <f t="shared" si="272"/>
        <v>0</v>
      </c>
    </row>
    <row r="29" spans="1:172" s="1444" customFormat="1" ht="15.75" customHeight="1" outlineLevel="1" thickTop="1">
      <c r="A29" s="1449"/>
      <c r="B29" s="1442"/>
      <c r="C29" s="1403"/>
      <c r="D29" s="1414"/>
      <c r="E29" s="1450"/>
      <c r="G29" s="1451"/>
      <c r="I29" s="1445"/>
      <c r="J29" s="1414"/>
      <c r="K29" s="1414"/>
      <c r="L29" s="1414"/>
      <c r="M29" s="1414"/>
      <c r="N29" s="1414"/>
      <c r="O29" s="1417"/>
      <c r="P29" s="1452"/>
      <c r="R29" s="1452"/>
      <c r="T29" s="1452"/>
      <c r="V29" s="1452"/>
      <c r="X29" s="1452"/>
      <c r="Z29" s="1453"/>
      <c r="AB29" s="1453"/>
      <c r="AD29" s="1453"/>
      <c r="AH29" s="1453"/>
      <c r="AU29" s="1414"/>
      <c r="BM29" s="1451"/>
      <c r="CO29" s="1414"/>
      <c r="CP29" s="1414"/>
      <c r="EJ29" s="1414"/>
      <c r="EK29" s="1403"/>
      <c r="EL29" s="1474"/>
      <c r="EM29" s="1414"/>
      <c r="EN29" s="330"/>
      <c r="EO29" s="1414"/>
      <c r="EP29" s="1414"/>
      <c r="EQ29" s="1414"/>
      <c r="ER29" s="1414"/>
      <c r="ES29" s="1474"/>
      <c r="ET29" s="1474"/>
      <c r="EU29" s="1414"/>
      <c r="EV29" s="1414"/>
      <c r="EW29" s="1414"/>
      <c r="EX29" s="1414"/>
      <c r="EY29" s="1414"/>
      <c r="EZ29" s="1414"/>
      <c r="FA29" s="1414"/>
      <c r="FB29" s="1414"/>
      <c r="FC29" s="1414"/>
      <c r="FD29" s="1414"/>
      <c r="FE29" s="1414"/>
      <c r="FF29" s="1448"/>
      <c r="FG29" s="1448"/>
      <c r="FH29" s="1448"/>
      <c r="FI29" s="1448"/>
      <c r="FJ29" s="1448"/>
      <c r="FK29" s="1448"/>
      <c r="FL29" s="1441">
        <f t="shared" si="272"/>
        <v>0</v>
      </c>
      <c r="FM29" s="1414"/>
      <c r="FN29" s="1414"/>
      <c r="FO29" s="1414"/>
      <c r="FP29" s="1414"/>
    </row>
    <row r="30" spans="1:172" s="1414" customFormat="1" ht="15" customHeight="1" outlineLevel="1">
      <c r="A30" s="1403"/>
      <c r="B30" s="1416" t="s">
        <v>68</v>
      </c>
      <c r="C30" s="1403"/>
      <c r="E30" s="1450"/>
      <c r="F30" s="1444"/>
      <c r="G30" s="1444"/>
      <c r="H30" s="1444"/>
      <c r="O30" s="1417"/>
      <c r="P30" s="1452"/>
      <c r="Q30" s="1444"/>
      <c r="R30" s="1452"/>
      <c r="S30" s="1444"/>
      <c r="T30" s="1452"/>
      <c r="U30" s="1444"/>
      <c r="V30" s="1452"/>
      <c r="W30" s="1444"/>
      <c r="X30" s="1452"/>
      <c r="Y30" s="1444"/>
      <c r="Z30" s="1453"/>
      <c r="AA30" s="1444"/>
      <c r="AB30" s="1453"/>
      <c r="AC30" s="1444"/>
      <c r="AD30" s="1453"/>
      <c r="AE30" s="1444"/>
      <c r="AF30" s="1444"/>
      <c r="AG30" s="1444"/>
      <c r="AH30" s="1453"/>
      <c r="AI30" s="1444"/>
      <c r="AJ30" s="1444"/>
      <c r="AK30" s="1444"/>
      <c r="AL30" s="1444"/>
      <c r="AM30" s="1444"/>
      <c r="AN30" s="1444"/>
      <c r="AO30" s="1444"/>
      <c r="AP30" s="1444"/>
      <c r="AQ30" s="1444"/>
      <c r="AR30" s="1444"/>
      <c r="AS30" s="1444"/>
      <c r="AT30" s="1444"/>
      <c r="AV30" s="1444"/>
      <c r="AW30" s="1444"/>
      <c r="AX30" s="1444"/>
      <c r="AY30" s="1444"/>
      <c r="AZ30" s="1444"/>
      <c r="BA30" s="1444"/>
      <c r="BB30" s="1444"/>
      <c r="BC30" s="1444"/>
      <c r="BD30" s="1444"/>
      <c r="BE30" s="1444"/>
      <c r="BF30" s="1444"/>
      <c r="BG30" s="1444"/>
      <c r="BH30" s="1444"/>
      <c r="BI30" s="1444"/>
      <c r="BJ30" s="1444"/>
      <c r="BK30" s="1444"/>
      <c r="BL30" s="1444"/>
      <c r="BM30" s="1451"/>
      <c r="BN30" s="1444"/>
      <c r="BO30" s="1444"/>
      <c r="BP30" s="1444"/>
      <c r="BQ30" s="1444"/>
      <c r="BR30" s="1444"/>
      <c r="BS30" s="1444"/>
      <c r="BT30" s="1444"/>
      <c r="BU30" s="1444"/>
      <c r="BV30" s="1444"/>
      <c r="BW30" s="1444"/>
      <c r="BX30" s="1444"/>
      <c r="BY30" s="1444"/>
      <c r="BZ30" s="1444"/>
      <c r="CA30" s="1444"/>
      <c r="CB30" s="1444"/>
      <c r="CC30" s="1444"/>
      <c r="CD30" s="1444"/>
      <c r="CE30" s="1444"/>
      <c r="CF30" s="1444"/>
      <c r="CG30" s="1444"/>
      <c r="CH30" s="1444"/>
      <c r="CI30" s="1444"/>
      <c r="CJ30" s="1444"/>
      <c r="CK30" s="1444"/>
      <c r="CL30" s="1444"/>
      <c r="CM30" s="1444"/>
      <c r="CN30" s="1444"/>
      <c r="CQ30" s="1444"/>
      <c r="CR30" s="1444"/>
      <c r="CS30" s="1444"/>
      <c r="CT30" s="1444"/>
      <c r="CU30" s="1444"/>
      <c r="CV30" s="1444"/>
      <c r="CW30" s="1444"/>
      <c r="CX30" s="1444"/>
      <c r="CY30" s="1444"/>
      <c r="CZ30" s="1444"/>
      <c r="DA30" s="1444"/>
      <c r="DB30" s="1444"/>
      <c r="DC30" s="1444"/>
      <c r="DD30" s="1444"/>
      <c r="DE30" s="1444"/>
      <c r="DF30" s="1444"/>
      <c r="DG30" s="1444"/>
      <c r="DH30" s="1444"/>
      <c r="DI30" s="1444"/>
      <c r="DJ30" s="1444"/>
      <c r="DK30" s="1444"/>
      <c r="DL30" s="1444"/>
      <c r="DM30" s="1444"/>
      <c r="DN30" s="1444"/>
      <c r="DO30" s="1444"/>
      <c r="DP30" s="1444"/>
      <c r="DQ30" s="1444"/>
      <c r="DR30" s="1444"/>
      <c r="DS30" s="1444"/>
      <c r="DT30" s="1444"/>
      <c r="DU30" s="1444"/>
      <c r="DV30" s="1444"/>
      <c r="DW30" s="1444"/>
      <c r="DX30" s="1444"/>
      <c r="DY30" s="1444"/>
      <c r="DZ30" s="1444"/>
      <c r="EA30" s="1444"/>
      <c r="EB30" s="1444"/>
      <c r="EC30" s="1444"/>
      <c r="ED30" s="1444"/>
      <c r="EE30" s="1444"/>
      <c r="EF30" s="1444"/>
      <c r="EG30" s="1444"/>
      <c r="EH30" s="1444"/>
      <c r="EI30" s="1444"/>
      <c r="EK30" s="1403"/>
      <c r="EN30" s="330"/>
      <c r="FF30" s="1448"/>
      <c r="FG30" s="1448"/>
      <c r="FH30" s="1448"/>
      <c r="FI30" s="1448"/>
      <c r="FJ30" s="1448"/>
      <c r="FK30" s="1448"/>
      <c r="FL30" s="1441">
        <f t="shared" si="272"/>
        <v>0</v>
      </c>
    </row>
    <row r="31" spans="1:172" s="1441" customFormat="1" ht="15" customHeight="1" outlineLevel="1">
      <c r="A31" s="1454" t="e">
        <f>A27+1</f>
        <v>#REF!</v>
      </c>
      <c r="B31" s="213" t="s">
        <v>545</v>
      </c>
      <c r="C31" s="365" t="s">
        <v>69</v>
      </c>
      <c r="D31" s="363" t="s">
        <v>11</v>
      </c>
      <c r="E31" s="315">
        <v>10036.540000000001</v>
      </c>
      <c r="F31" s="355">
        <v>657.7</v>
      </c>
      <c r="G31" s="1970">
        <f t="shared" ref="G31:G40" si="422">+E31+F31</f>
        <v>10694.240000000002</v>
      </c>
      <c r="H31" s="355">
        <v>30</v>
      </c>
      <c r="I31" s="1432">
        <v>0.45</v>
      </c>
      <c r="J31" s="1432">
        <v>0.45</v>
      </c>
      <c r="K31" s="1432">
        <v>0</v>
      </c>
      <c r="L31" s="1432">
        <v>0.1</v>
      </c>
      <c r="M31" s="1432">
        <v>0</v>
      </c>
      <c r="N31" s="1432">
        <f t="shared" ref="N31:N40" si="423">SUM(I31:M31)</f>
        <v>1</v>
      </c>
      <c r="O31" s="1433"/>
      <c r="P31" s="366"/>
      <c r="Q31" s="355">
        <f t="shared" ref="Q31:Q40" si="424">($E31/30/8*1.5)*P31</f>
        <v>0</v>
      </c>
      <c r="R31" s="366"/>
      <c r="S31" s="355">
        <f t="shared" ref="S31:S40" si="425">($E31/30/8*2)*R31</f>
        <v>0</v>
      </c>
      <c r="T31" s="366"/>
      <c r="U31" s="355">
        <f t="shared" ref="U31:U40" si="426">($E31/30/8*1.5)*T31</f>
        <v>0</v>
      </c>
      <c r="V31" s="366"/>
      <c r="W31" s="355">
        <f t="shared" ref="W31:W40" si="427">($E31/30/8*2)*V31</f>
        <v>0</v>
      </c>
      <c r="X31" s="366"/>
      <c r="Y31" s="355">
        <f t="shared" ref="Y31:Y40" si="428">(($E31/30/8)*1.5)*X31</f>
        <v>0</v>
      </c>
      <c r="Z31" s="1434"/>
      <c r="AA31" s="355">
        <f>(($E31/30/8)*2)*Z31</f>
        <v>0</v>
      </c>
      <c r="AB31" s="1434"/>
      <c r="AC31" s="355">
        <f t="shared" ref="AC31:AC40" si="429">(($E31/30/8)*1.5)*AB31</f>
        <v>0</v>
      </c>
      <c r="AD31" s="1434"/>
      <c r="AE31" s="355">
        <f t="shared" ref="AE31:AE40" si="430">(($E31/30/8)*2)*AD31</f>
        <v>0</v>
      </c>
      <c r="AF31" s="355"/>
      <c r="AG31" s="355">
        <f t="shared" ref="AG31:AG40" si="431">(($E31/30/8)*1.5)*AF31</f>
        <v>0</v>
      </c>
      <c r="AH31" s="1434"/>
      <c r="AI31" s="355">
        <f t="shared" ref="AI31:AI40" si="432">(($E31/30/8)*2)*AH31</f>
        <v>0</v>
      </c>
      <c r="AJ31" s="355"/>
      <c r="AK31" s="355"/>
      <c r="AL31" s="355"/>
      <c r="AM31" s="355"/>
      <c r="AN31" s="355"/>
      <c r="AO31" s="355"/>
      <c r="AP31" s="355"/>
      <c r="AQ31" s="355"/>
      <c r="AR31" s="355"/>
      <c r="AS31" s="355"/>
      <c r="AT31" s="355"/>
      <c r="AU31" s="1489"/>
      <c r="AV31" s="355">
        <f t="shared" ref="AV31:AV40" si="433">((E31/30)*H31)*$I31</f>
        <v>4516.4430000000002</v>
      </c>
      <c r="AW31" s="358">
        <f t="shared" ref="AW31" si="434">((F31/30)*H31)*$I31</f>
        <v>295.96500000000003</v>
      </c>
      <c r="AX31" s="355">
        <f t="shared" ref="AX31:AX40" si="435">P31</f>
        <v>0</v>
      </c>
      <c r="AY31" s="355">
        <f t="shared" ref="AY31:AY40" si="436">Q31</f>
        <v>0</v>
      </c>
      <c r="AZ31" s="355">
        <f t="shared" ref="AZ31:AZ40" si="437">R31</f>
        <v>0</v>
      </c>
      <c r="BA31" s="355">
        <f t="shared" ref="BA31:BA40" si="438">S31</f>
        <v>0</v>
      </c>
      <c r="BB31" s="355">
        <f t="shared" ref="BB31:BB40" si="439">AJ31+AO31</f>
        <v>0</v>
      </c>
      <c r="BC31" s="355">
        <f>(AV31+AY31+BA31)*0.1267</f>
        <v>572.23332810000011</v>
      </c>
      <c r="BD31" s="355">
        <f t="shared" ref="BD31:BD40" si="440">SUM(AV31:BC31)-AX31-AZ31</f>
        <v>5384.6413281000005</v>
      </c>
      <c r="BE31" s="355">
        <f t="shared" ref="BE31:BE41" si="441">(($E31/30)*$H31)*$J31</f>
        <v>4516.4430000000002</v>
      </c>
      <c r="BF31" s="355">
        <f t="shared" ref="BF31" si="442">(($F31/30)*$H31)*$J31</f>
        <v>295.96500000000003</v>
      </c>
      <c r="BG31" s="355">
        <f t="shared" ref="BG31:BG40" si="443">T31</f>
        <v>0</v>
      </c>
      <c r="BH31" s="355">
        <f t="shared" ref="BH31:BH40" si="444">U31</f>
        <v>0</v>
      </c>
      <c r="BI31" s="355">
        <f t="shared" ref="BI31:BI40" si="445">V31</f>
        <v>0</v>
      </c>
      <c r="BJ31" s="355">
        <f t="shared" ref="BJ31:BJ40" si="446">W31</f>
        <v>0</v>
      </c>
      <c r="BK31" s="355">
        <v>0</v>
      </c>
      <c r="BL31" s="355">
        <f t="shared" ref="BL31:BL40" si="447">(+BE31+BH31+BJ31+BK31)*0.1267</f>
        <v>572.23332810000011</v>
      </c>
      <c r="BM31" s="1431">
        <f t="shared" ref="BM31:BM40" si="448">SUM(BE31:BL31)-BG31-BI31</f>
        <v>5384.6413281000005</v>
      </c>
      <c r="BN31" s="355">
        <f t="shared" ref="BN31:BN41" si="449">(($E31/30)*$H31)*$K31</f>
        <v>0</v>
      </c>
      <c r="BO31" s="355">
        <f t="shared" ref="BO31:BO41" si="450">(($F31/30)*$H31)*$K31</f>
        <v>0</v>
      </c>
      <c r="BP31" s="355">
        <f t="shared" ref="BP31:BP40" si="451">X31</f>
        <v>0</v>
      </c>
      <c r="BQ31" s="355">
        <f t="shared" ref="BQ31:BQ40" si="452">Y31</f>
        <v>0</v>
      </c>
      <c r="BR31" s="355">
        <f t="shared" ref="BR31:BR40" si="453">Z31</f>
        <v>0</v>
      </c>
      <c r="BS31" s="355">
        <f t="shared" ref="BS31:BS40" si="454">AA31</f>
        <v>0</v>
      </c>
      <c r="BT31" s="355">
        <f t="shared" ref="BT31:BT40" si="455">AL31+AQ31</f>
        <v>0</v>
      </c>
      <c r="BU31" s="355">
        <f t="shared" ref="BU31:BU40" si="456">(BN31+BQ31+BS31)*0.1267</f>
        <v>0</v>
      </c>
      <c r="BV31" s="355">
        <f t="shared" ref="BV31:BV40" si="457">SUM(BN31:BU31)-BP31-BR31</f>
        <v>0</v>
      </c>
      <c r="BW31" s="1435">
        <f>(($E31/30)*$H31)*$L31</f>
        <v>1003.6540000000001</v>
      </c>
      <c r="BX31" s="1436">
        <f>(($F31/30)*$H31)*$L31</f>
        <v>65.77000000000001</v>
      </c>
      <c r="BY31" s="1436">
        <f t="shared" ref="BY31:CB31" si="458">AB31</f>
        <v>0</v>
      </c>
      <c r="BZ31" s="1436">
        <f t="shared" si="458"/>
        <v>0</v>
      </c>
      <c r="CA31" s="1436">
        <f t="shared" si="458"/>
        <v>0</v>
      </c>
      <c r="CB31" s="1436">
        <f t="shared" si="458"/>
        <v>0</v>
      </c>
      <c r="CC31" s="1436">
        <f>AM31+AR31</f>
        <v>0</v>
      </c>
      <c r="CD31" s="1437">
        <f>(BW31+BZ31+CB31)*0.1267</f>
        <v>127.16296180000002</v>
      </c>
      <c r="CE31" s="1438">
        <f>SUM(BW31:CD31)-BY31-CA31</f>
        <v>1196.5869618000002</v>
      </c>
      <c r="CF31" s="1439">
        <f>(($E31/30)*$H31)*M31</f>
        <v>0</v>
      </c>
      <c r="CG31" s="1436">
        <f t="shared" ref="CG31:CG41" si="459">(($F31/30)*$H31)*$M31</f>
        <v>0</v>
      </c>
      <c r="CH31" s="1436">
        <f t="shared" ref="CH31:CH40" si="460">+AF31</f>
        <v>0</v>
      </c>
      <c r="CI31" s="1436">
        <f t="shared" ref="CI31:CK35" si="461">AG31</f>
        <v>0</v>
      </c>
      <c r="CJ31" s="1436">
        <f t="shared" si="461"/>
        <v>0</v>
      </c>
      <c r="CK31" s="1436">
        <f t="shared" si="461"/>
        <v>0</v>
      </c>
      <c r="CL31" s="1436">
        <f t="shared" ref="CL31:CL40" si="462">AN31+AS31</f>
        <v>0</v>
      </c>
      <c r="CM31" s="1437">
        <f t="shared" ref="CM31:CM40" si="463">(CF31+CI31+CK31)*0.1267</f>
        <v>0</v>
      </c>
      <c r="CN31" s="1437">
        <f t="shared" ref="CN31:CN40" si="464">SUM(CF31:CM31)-CH31-CJ31</f>
        <v>0</v>
      </c>
      <c r="CO31" s="1414"/>
      <c r="CP31" s="363" t="s">
        <v>11</v>
      </c>
      <c r="CQ31" s="355">
        <f t="shared" ref="CQ31:CQ41" si="465">IF($CP31="PROQUIMA",$AV31+$BE31+$BN31+$BW31+$CF31,0)</f>
        <v>0</v>
      </c>
      <c r="CR31" s="355">
        <f t="shared" ref="CR31:CR41" si="466">IF($CP31="PROQUIMA",$AW31+$BF31+$BO31+$BX31+$CG31,0)</f>
        <v>0</v>
      </c>
      <c r="CS31" s="355">
        <f t="shared" ref="CS31:CS41" si="467">IF($CP31="PROQUIMA",$AX31+$BG31+$BP31+$BY31+$CH31,0)</f>
        <v>0</v>
      </c>
      <c r="CT31" s="355">
        <f t="shared" ref="CT31:CT41" si="468">IF($CP31="PROQUIMA",$AY31+$BH31+$BQ31+$BZ31+$CI31,0)</f>
        <v>0</v>
      </c>
      <c r="CU31" s="355">
        <f t="shared" ref="CU31:CU41" si="469">IF($CP31="PROQUIMA",$AZ31+$BI31+$BR31+$CA31+$CJ31,0)</f>
        <v>0</v>
      </c>
      <c r="CV31" s="355">
        <f t="shared" ref="CV31:CV41" si="470">IF($CP31="PROQUIMA",$BA31+$BJ31+$BS31+$CB31+$CK31,0)</f>
        <v>0</v>
      </c>
      <c r="CW31" s="355">
        <f t="shared" ref="CW31:CW41" si="471">IF($CP31="PROQUIMA",$BB31+$BK31+$BT31+$CC31+$CL31,0)</f>
        <v>0</v>
      </c>
      <c r="CX31" s="355">
        <f t="shared" ref="CX31:CX40" si="472">IF($CP31="PROQUIMA",$BC31+$BL31+$BU31+$CD31+CM31,0)</f>
        <v>0</v>
      </c>
      <c r="CY31" s="355">
        <f t="shared" ref="CY31:CY40" si="473">SUM(CQ31:CX31)-CS31-CU31</f>
        <v>0</v>
      </c>
      <c r="CZ31" s="355">
        <f t="shared" ref="CZ31:CZ41" si="474">IF($CP31="UNHESA",$AV31+$BE31+$BN31+$BW31+$CF31,0)</f>
        <v>10036.540000000001</v>
      </c>
      <c r="DA31" s="355">
        <f t="shared" ref="DA31:DA41" si="475">IF($CP31="UNHESA",$AW31+$BF31+$BO31+$BX31+$CG31,0)</f>
        <v>657.7</v>
      </c>
      <c r="DB31" s="355">
        <f t="shared" ref="DB31:DB41" si="476">IF($CP31="UNHESA",$AX31+$BG31+$BP31+$BY31+$CH31,0)</f>
        <v>0</v>
      </c>
      <c r="DC31" s="355">
        <f t="shared" ref="DC31:DC41" si="477">IF($CP31="UNHESA",$AY31+$BH31+$BQ31+$BZ31+$CI31,0)</f>
        <v>0</v>
      </c>
      <c r="DD31" s="355">
        <f t="shared" ref="DD31:DD41" si="478">IF($CP31="UNHESA",$AZ31+$BI31+$BR31+$CA31+$CJ31,0)</f>
        <v>0</v>
      </c>
      <c r="DE31" s="355">
        <f t="shared" ref="DE31:DE41" si="479">IF($CP31="UNHESA",$BA31+$BJ31+$BS31+$CB31+$CK31,0)</f>
        <v>0</v>
      </c>
      <c r="DF31" s="355">
        <v>0</v>
      </c>
      <c r="DG31" s="355">
        <f t="shared" ref="DG31:DG41" si="480">IF($CP31="UNHESA",$BC31+$BL31+$BU31+$CD31+$CM31,0)</f>
        <v>1271.6296180000002</v>
      </c>
      <c r="DH31" s="355">
        <f t="shared" ref="DH31:DH40" si="481">SUM(CZ31:DG31)-DB31-DD31</f>
        <v>11965.869618000002</v>
      </c>
      <c r="DI31" s="355">
        <f t="shared" ref="DI31:DI41" si="482">IF($CP31="UNHESA LIQUIDOS",$AV31+$BE31+$BN31+$BW31+$CF31,0)</f>
        <v>0</v>
      </c>
      <c r="DJ31" s="355">
        <f t="shared" ref="DJ31:DJ41" si="483">IF($CP31="CALIDUL",$AW31+$BF31+$BO31+$BX31+$CG31,0)</f>
        <v>0</v>
      </c>
      <c r="DK31" s="355">
        <f t="shared" ref="DK31:DK41" si="484">IF($CP31="CALIDUL",$AX31+$BG31+$BP31+$BY31+$CH31,0)</f>
        <v>0</v>
      </c>
      <c r="DL31" s="355">
        <f t="shared" ref="DL31:DL41" si="485">IF($CP31="CALIDUL",$AY31+$BH31+$BQ31+$BZ31+$CI31,0)</f>
        <v>0</v>
      </c>
      <c r="DM31" s="355">
        <f t="shared" ref="DM31:DM41" si="486">IF($CP31="CALIDUL",$AZ31+$BI31+$BR31+$CA31+$CJ31,0)</f>
        <v>0</v>
      </c>
      <c r="DN31" s="355">
        <f t="shared" ref="DN31:DN41" si="487">IF($CP31="CALIDUL",$BA31+$BJ31+$BS31+$CB31+$CK31,0)</f>
        <v>0</v>
      </c>
      <c r="DO31" s="355">
        <f t="shared" ref="DO31:DO41" si="488">IF($CP31="CALIDUL",$BB31+$BK31+$BT31+$CC31+$CL31,0)</f>
        <v>0</v>
      </c>
      <c r="DP31" s="355">
        <f t="shared" ref="DP31:DP41" si="489">IF($CP31="CALIDUL",$BC31+$BL31+$BU31+$CD31+$CM31,0)</f>
        <v>0</v>
      </c>
      <c r="DQ31" s="355">
        <f t="shared" ref="DQ31:DQ40" si="490">SUM(DI31:DP31)-DK31-DM31</f>
        <v>0</v>
      </c>
      <c r="DR31" s="1435">
        <f t="shared" ref="DR31:DR41" si="491">IF($CP31="ECONACIONAL",$AV31+$BE31+$BN31+$BW31+$CF31,0)</f>
        <v>0</v>
      </c>
      <c r="DS31" s="1436">
        <f t="shared" ref="DS31:DS41" si="492">IF($CP31="ECONACIONAL",$AW31+$BF31+$BO31+$BX31+$CG31,0)</f>
        <v>0</v>
      </c>
      <c r="DT31" s="1436">
        <f t="shared" ref="DT31:DT41" si="493">IF($CP31="ECONACIONAL",$AX31+$BG31+$BP31+$BY31+$CH31,0)</f>
        <v>0</v>
      </c>
      <c r="DU31" s="1436">
        <f t="shared" ref="DU31:DU41" si="494">IF($CP31="ECONACIONAL",$AY31+$BH31+$BQ31+$BZ31+$CI31,0)</f>
        <v>0</v>
      </c>
      <c r="DV31" s="1436">
        <f t="shared" ref="DV31:DV41" si="495">IF($CP31="ECONACIONAL",$AZ31+$BI31+$BR31+$CA31+$CJ31,0)</f>
        <v>0</v>
      </c>
      <c r="DW31" s="1436">
        <f t="shared" ref="DW31:DW41" si="496">IF($CP31="ECONACIONAL",$BA31+$BJ31+$BS31+$CB31+$CK31,0)</f>
        <v>0</v>
      </c>
      <c r="DX31" s="1437">
        <f t="shared" ref="DX31:DX41" si="497">IF($CP31="ECONACIONAL",$BB31+$BK31+$BT31+$CC31+$CL31,0)</f>
        <v>0</v>
      </c>
      <c r="DY31" s="1437">
        <f t="shared" ref="DY31:DY41" si="498">IF($CP31="ECONACIONAL",$BC31+$BL31+$BU31+$CD31+$CM31,0)</f>
        <v>0</v>
      </c>
      <c r="DZ31" s="1438">
        <f>SUM(DR31:DY31)-DT31-DV31</f>
        <v>0</v>
      </c>
      <c r="EA31" s="1435">
        <f t="shared" ref="EA31:EA41" si="499">IF($CP31="CLEARTEC",$AV31+$BE31+$BN31+$BW31+$CF31,0)</f>
        <v>0</v>
      </c>
      <c r="EB31" s="1436">
        <f t="shared" ref="EB31:EB41" si="500">IF($CP31="CLEARTEC",$AW31+$BF31+$BO31+$BX31+$CG31,0)</f>
        <v>0</v>
      </c>
      <c r="EC31" s="1436">
        <f t="shared" ref="EC31:EC41" si="501">IF($CP31="CLEARTEC",$AX31+$BG31+$BP31+$BY31+$CH31,0)</f>
        <v>0</v>
      </c>
      <c r="ED31" s="1436">
        <f t="shared" ref="ED31:ED41" si="502">IF($CP31="CLEARTEC",$AY31+$BH31+$BQ31+$BZ31+$CI31,0)</f>
        <v>0</v>
      </c>
      <c r="EE31" s="1436">
        <f t="shared" ref="EE31:EE41" si="503">IF($CP31="CLEARTEC",$AZ31+$BI31+$BR31+$CA31+$CJ31,0)</f>
        <v>0</v>
      </c>
      <c r="EF31" s="1436">
        <f t="shared" ref="EF31:EF41" si="504">IF($CP31="CLEARTEC",$BA31+$BJ31+$BS31+$CB31+$CK31,0)</f>
        <v>0</v>
      </c>
      <c r="EG31" s="1437">
        <f t="shared" ref="EG31:EG41" si="505">IF($CP31="CLEARTEC",$BB31+$BK31+$BT31+$CC31+$CL31,0)</f>
        <v>0</v>
      </c>
      <c r="EH31" s="1437">
        <f>IF($CP31="CLEARTEC",$BC31+$BL31+$BU31+$CD31+$CM31,0)</f>
        <v>0</v>
      </c>
      <c r="EI31" s="1437">
        <f t="shared" ref="EI31:EI40" si="506">SUM(EA31:EH31)-EC31-EE31</f>
        <v>0</v>
      </c>
      <c r="EJ31" s="1414"/>
      <c r="EK31" s="312">
        <v>310.47000000000003</v>
      </c>
      <c r="EL31" s="1493">
        <v>1484.26</v>
      </c>
      <c r="EM31" s="363">
        <f>199+199+199+199</f>
        <v>796</v>
      </c>
      <c r="EN31" s="313"/>
      <c r="EO31" s="313"/>
      <c r="EP31" s="363">
        <v>100</v>
      </c>
      <c r="EQ31" s="363"/>
      <c r="ER31" s="363"/>
      <c r="ES31" s="363"/>
      <c r="ET31" s="363">
        <f t="shared" ref="ET31:ET39" si="507">+EO31+EP31+EQ31</f>
        <v>100</v>
      </c>
      <c r="EV31" s="366">
        <f t="shared" ref="EV31:EV40" si="508">IF($H31&lt;=15,EK31/2,EK31)</f>
        <v>310.47000000000003</v>
      </c>
      <c r="EW31" s="366">
        <f t="shared" ref="EW31:EW40" si="509">IF($H31&lt;=15,EL31/2,EL31)</f>
        <v>1484.26</v>
      </c>
      <c r="EX31" s="366">
        <f t="shared" ref="EX31:EX40" si="510">IF($H31&lt;=15,EM31/2,EM31)</f>
        <v>796</v>
      </c>
      <c r="EY31" s="366">
        <f t="shared" ref="EY31:EY40" si="511">IF($H31&lt;=15,EN31/2,EN31)</f>
        <v>0</v>
      </c>
      <c r="EZ31" s="366">
        <f t="shared" ref="EZ31:EZ40" si="512">IF($H31&lt;=15,EO31/2,EO31)</f>
        <v>0</v>
      </c>
      <c r="FA31" s="366">
        <f t="shared" ref="FA31:FA40" si="513">IF($H31&lt;=15,EP31/2,EP31)</f>
        <v>100</v>
      </c>
      <c r="FB31" s="366">
        <f t="shared" ref="FB31:FB39" si="514">IF($H31&lt;=15,EQ31/2,EQ31)</f>
        <v>0</v>
      </c>
      <c r="FC31" s="366">
        <f t="shared" ref="FC31:FC40" si="515">IF($H31&lt;=15,ER31/2,ER31)</f>
        <v>0</v>
      </c>
      <c r="FD31" s="366">
        <f t="shared" ref="FD31:FD40" si="516">IF($H31&lt;=15,ES31/2,ES31)</f>
        <v>0</v>
      </c>
      <c r="FE31" s="366">
        <f t="shared" ref="FE31:FE40" si="517">IF($H31&lt;=15,ET31/2,ET31)</f>
        <v>100</v>
      </c>
      <c r="FF31" s="364">
        <v>0.65</v>
      </c>
      <c r="FG31" s="364">
        <v>0.35</v>
      </c>
      <c r="FH31" s="364"/>
      <c r="FI31" s="364">
        <v>0</v>
      </c>
      <c r="FJ31" s="364">
        <v>0</v>
      </c>
      <c r="FK31" s="364">
        <v>1</v>
      </c>
      <c r="FL31" s="1441">
        <f t="shared" si="272"/>
        <v>0</v>
      </c>
    </row>
    <row r="32" spans="1:172" s="1441" customFormat="1" ht="15" customHeight="1" outlineLevel="1">
      <c r="A32" s="1454" t="e">
        <f>+A31+1</f>
        <v>#REF!</v>
      </c>
      <c r="B32" s="213" t="s">
        <v>737</v>
      </c>
      <c r="C32" s="365" t="s">
        <v>376</v>
      </c>
      <c r="D32" s="363" t="s">
        <v>11</v>
      </c>
      <c r="E32" s="315">
        <v>18000</v>
      </c>
      <c r="F32" s="355">
        <v>5000</v>
      </c>
      <c r="G32" s="1970">
        <f t="shared" ref="G32:G33" si="518">+E32+F32</f>
        <v>23000</v>
      </c>
      <c r="H32" s="355">
        <v>30</v>
      </c>
      <c r="I32" s="1432">
        <v>0.6</v>
      </c>
      <c r="J32" s="1432">
        <v>0.3</v>
      </c>
      <c r="K32" s="1432">
        <v>0</v>
      </c>
      <c r="L32" s="1432">
        <v>0.1</v>
      </c>
      <c r="M32" s="1494">
        <v>0</v>
      </c>
      <c r="N32" s="1432">
        <f>SUM(I32:M32)</f>
        <v>0.99999999999999989</v>
      </c>
      <c r="O32" s="1433"/>
      <c r="P32" s="366"/>
      <c r="Q32" s="355">
        <f t="shared" ref="Q32:Q33" si="519">($E32/30/8*1.5)*P32</f>
        <v>0</v>
      </c>
      <c r="R32" s="366"/>
      <c r="S32" s="355">
        <f t="shared" ref="S32:S33" si="520">($E32/30/8*2)*R32</f>
        <v>0</v>
      </c>
      <c r="T32" s="366"/>
      <c r="U32" s="355">
        <f t="shared" ref="U32:U33" si="521">($E32/30/8*1.5)*T32</f>
        <v>0</v>
      </c>
      <c r="V32" s="366"/>
      <c r="W32" s="355">
        <f t="shared" ref="W32:W33" si="522">($E32/30/8*2)*V32</f>
        <v>0</v>
      </c>
      <c r="X32" s="366"/>
      <c r="Y32" s="355">
        <f t="shared" ref="Y32:Y33" si="523">(($E32/30/8)*1.5)*X32</f>
        <v>0</v>
      </c>
      <c r="Z32" s="1434"/>
      <c r="AA32" s="355">
        <f t="shared" ref="AA32:AA33" si="524">(($E32/30/8)*2)*Z32</f>
        <v>0</v>
      </c>
      <c r="AB32" s="1434"/>
      <c r="AC32" s="355">
        <f t="shared" ref="AC32:AC33" si="525">(($E32/30/8)*1.5)*AB32</f>
        <v>0</v>
      </c>
      <c r="AD32" s="1434"/>
      <c r="AE32" s="355">
        <f t="shared" ref="AE32:AE33" si="526">(($E32/30/8)*2)*AD32</f>
        <v>0</v>
      </c>
      <c r="AF32" s="355"/>
      <c r="AG32" s="355">
        <f t="shared" ref="AG32:AG33" si="527">(($E32/30/8)*1.5)*AF32</f>
        <v>0</v>
      </c>
      <c r="AH32" s="1434"/>
      <c r="AI32" s="355">
        <f t="shared" ref="AI32:AI33" si="528">(($E32/30/8)*2)*AH32</f>
        <v>0</v>
      </c>
      <c r="AJ32" s="355"/>
      <c r="AK32" s="355"/>
      <c r="AL32" s="355"/>
      <c r="AM32" s="355"/>
      <c r="AN32" s="355"/>
      <c r="AO32" s="355"/>
      <c r="AP32" s="355"/>
      <c r="AQ32" s="355"/>
      <c r="AR32" s="355"/>
      <c r="AS32" s="355"/>
      <c r="AT32" s="355"/>
      <c r="AU32" s="363"/>
      <c r="AV32" s="355">
        <f t="shared" ref="AV32:AV33" si="529">((E32/30)*H32)*$I32</f>
        <v>10800</v>
      </c>
      <c r="AW32" s="355">
        <f t="shared" ref="AW32" si="530">((F32/30)*H32)*$I32</f>
        <v>3000</v>
      </c>
      <c r="AX32" s="355">
        <f t="shared" ref="AX32:AX33" si="531">P32</f>
        <v>0</v>
      </c>
      <c r="AY32" s="355">
        <f t="shared" ref="AY32:AY33" si="532">Q32</f>
        <v>0</v>
      </c>
      <c r="AZ32" s="355">
        <f t="shared" ref="AZ32:AZ33" si="533">R32</f>
        <v>0</v>
      </c>
      <c r="BA32" s="355">
        <f t="shared" ref="BA32:BA33" si="534">S32</f>
        <v>0</v>
      </c>
      <c r="BB32" s="355">
        <f t="shared" ref="BB32:BB33" si="535">AJ32+AO32</f>
        <v>0</v>
      </c>
      <c r="BC32" s="355">
        <f t="shared" ref="BC32:BC33" si="536">(AV32+AY32+BA32)*0.1267</f>
        <v>1368.3600000000001</v>
      </c>
      <c r="BD32" s="355">
        <f t="shared" ref="BD32:BD33" si="537">SUM(AV32:BC32)-AX32-AZ32</f>
        <v>15168.36</v>
      </c>
      <c r="BE32" s="355">
        <f t="shared" si="441"/>
        <v>5400</v>
      </c>
      <c r="BF32" s="355">
        <f t="shared" ref="BF32:BF41" si="538">(($F32/30)*$H32)*$J32</f>
        <v>1500</v>
      </c>
      <c r="BG32" s="355">
        <f t="shared" ref="BG32:BG33" si="539">T32</f>
        <v>0</v>
      </c>
      <c r="BH32" s="355">
        <f t="shared" ref="BH32:BH33" si="540">U32</f>
        <v>0</v>
      </c>
      <c r="BI32" s="355">
        <f t="shared" ref="BI32:BI33" si="541">V32</f>
        <v>0</v>
      </c>
      <c r="BJ32" s="355">
        <f t="shared" ref="BJ32:BJ33" si="542">W32</f>
        <v>0</v>
      </c>
      <c r="BK32" s="355">
        <f t="shared" ref="BK32:BK33" si="543">AK32+AP32</f>
        <v>0</v>
      </c>
      <c r="BL32" s="355">
        <f t="shared" ref="BL32:BL33" si="544">(+BE32+BH32+BJ32+BK32)*0.1267</f>
        <v>684.18000000000006</v>
      </c>
      <c r="BM32" s="1431">
        <f t="shared" ref="BM32:BM33" si="545">SUM(BE32:BL32)-BG32-BI32</f>
        <v>7584.18</v>
      </c>
      <c r="BN32" s="355">
        <f t="shared" si="449"/>
        <v>0</v>
      </c>
      <c r="BO32" s="355">
        <f t="shared" si="450"/>
        <v>0</v>
      </c>
      <c r="BP32" s="355">
        <f t="shared" ref="BP32:BP33" si="546">X32</f>
        <v>0</v>
      </c>
      <c r="BQ32" s="355">
        <f t="shared" ref="BQ32:BQ33" si="547">Y32</f>
        <v>0</v>
      </c>
      <c r="BR32" s="355">
        <f t="shared" ref="BR32:BR33" si="548">Z32</f>
        <v>0</v>
      </c>
      <c r="BS32" s="355">
        <f t="shared" ref="BS32:BS33" si="549">AA32</f>
        <v>0</v>
      </c>
      <c r="BT32" s="355">
        <f t="shared" ref="BT32:BT33" si="550">AL32+AQ32</f>
        <v>0</v>
      </c>
      <c r="BU32" s="355">
        <f t="shared" ref="BU32:BU33" si="551">(BN32+BQ32+BS32)*0.1267</f>
        <v>0</v>
      </c>
      <c r="BV32" s="355">
        <f t="shared" ref="BV32:BV33" si="552">SUM(BN32:BU32)-BP32-BR32</f>
        <v>0</v>
      </c>
      <c r="BW32" s="1495">
        <f t="shared" ref="BW32:BW41" si="553">(($E32/30)*$H32)*$L32</f>
        <v>1800</v>
      </c>
      <c r="BX32" s="1496">
        <f t="shared" ref="BX32:BX41" si="554">(($F32/30)*$H32)*$L32</f>
        <v>500</v>
      </c>
      <c r="BY32" s="1496">
        <f t="shared" ref="BY32:BY33" si="555">AB32</f>
        <v>0</v>
      </c>
      <c r="BZ32" s="1496">
        <f t="shared" ref="BZ32:BZ33" si="556">AC32</f>
        <v>0</v>
      </c>
      <c r="CA32" s="1496">
        <f t="shared" ref="CA32:CA33" si="557">AD32</f>
        <v>0</v>
      </c>
      <c r="CB32" s="1496">
        <f t="shared" ref="CB32:CB33" si="558">AE32</f>
        <v>0</v>
      </c>
      <c r="CC32" s="1496">
        <f t="shared" ref="CC32:CC33" si="559">AM32+AR32</f>
        <v>0</v>
      </c>
      <c r="CD32" s="1496">
        <f t="shared" ref="CD32:CD33" si="560">(BW32+BZ32+CB32)*0.1267</f>
        <v>228.06</v>
      </c>
      <c r="CE32" s="1496">
        <f t="shared" ref="CE32:CE33" si="561">SUM(BW32:CD32)-BY32-CA32</f>
        <v>2528.06</v>
      </c>
      <c r="CF32" s="1496">
        <f t="shared" ref="CF32:CF33" si="562">(($E32/30)*$H32)*M32</f>
        <v>0</v>
      </c>
      <c r="CG32" s="1496">
        <f t="shared" si="459"/>
        <v>0</v>
      </c>
      <c r="CH32" s="1496">
        <f t="shared" ref="CH32:CH33" si="563">+AF32</f>
        <v>0</v>
      </c>
      <c r="CI32" s="1496">
        <f t="shared" ref="CI32:CI33" si="564">AG32</f>
        <v>0</v>
      </c>
      <c r="CJ32" s="1496">
        <f t="shared" ref="CJ32:CJ33" si="565">AH32</f>
        <v>0</v>
      </c>
      <c r="CK32" s="1496">
        <f t="shared" ref="CK32:CK33" si="566">AI32</f>
        <v>0</v>
      </c>
      <c r="CL32" s="1496">
        <f t="shared" ref="CL32:CL33" si="567">AN32+AS32</f>
        <v>0</v>
      </c>
      <c r="CM32" s="1496">
        <f t="shared" ref="CM32:CM33" si="568">(CF32+CI32+CK32)*0.1267</f>
        <v>0</v>
      </c>
      <c r="CN32" s="1497">
        <f t="shared" ref="CN32:CN33" si="569">SUM(CF32:CM32)-CH32-CJ32</f>
        <v>0</v>
      </c>
      <c r="CO32" s="1414"/>
      <c r="CP32" s="363" t="s">
        <v>11</v>
      </c>
      <c r="CQ32" s="355">
        <f t="shared" si="465"/>
        <v>0</v>
      </c>
      <c r="CR32" s="355">
        <f t="shared" si="466"/>
        <v>0</v>
      </c>
      <c r="CS32" s="355">
        <f t="shared" si="467"/>
        <v>0</v>
      </c>
      <c r="CT32" s="355">
        <f t="shared" si="468"/>
        <v>0</v>
      </c>
      <c r="CU32" s="355">
        <f t="shared" si="469"/>
        <v>0</v>
      </c>
      <c r="CV32" s="355">
        <f t="shared" si="470"/>
        <v>0</v>
      </c>
      <c r="CW32" s="355">
        <f t="shared" si="471"/>
        <v>0</v>
      </c>
      <c r="CX32" s="355">
        <f t="shared" ref="CX32:CX33" si="570">IF($CP32="PROQUIMA",$BC32+$BL32+$BU32+$CD32+CM32,0)</f>
        <v>0</v>
      </c>
      <c r="CY32" s="355">
        <f t="shared" ref="CY32:CY33" si="571">SUM(CQ32:CX32)-CS32-CU32</f>
        <v>0</v>
      </c>
      <c r="CZ32" s="355">
        <f t="shared" si="474"/>
        <v>18000</v>
      </c>
      <c r="DA32" s="355">
        <f t="shared" si="475"/>
        <v>5000</v>
      </c>
      <c r="DB32" s="355">
        <f t="shared" si="476"/>
        <v>0</v>
      </c>
      <c r="DC32" s="355">
        <f t="shared" si="477"/>
        <v>0</v>
      </c>
      <c r="DD32" s="355">
        <f t="shared" si="478"/>
        <v>0</v>
      </c>
      <c r="DE32" s="355">
        <f t="shared" si="479"/>
        <v>0</v>
      </c>
      <c r="DF32" s="355">
        <f t="shared" ref="DF32:DF41" si="572">IF($CP32="UNHESA",$BB32+$BK32+$BT32+$CC32+$CL32,0)</f>
        <v>0</v>
      </c>
      <c r="DG32" s="355">
        <f t="shared" si="480"/>
        <v>2280.6</v>
      </c>
      <c r="DH32" s="355">
        <f t="shared" ref="DH32" si="573">SUM(CZ32:DG32)-DB32-DD32</f>
        <v>25280.6</v>
      </c>
      <c r="DI32" s="355">
        <f t="shared" si="482"/>
        <v>0</v>
      </c>
      <c r="DJ32" s="355">
        <f t="shared" si="483"/>
        <v>0</v>
      </c>
      <c r="DK32" s="355">
        <f t="shared" si="484"/>
        <v>0</v>
      </c>
      <c r="DL32" s="355">
        <f t="shared" si="485"/>
        <v>0</v>
      </c>
      <c r="DM32" s="355">
        <f t="shared" si="486"/>
        <v>0</v>
      </c>
      <c r="DN32" s="355">
        <f t="shared" si="487"/>
        <v>0</v>
      </c>
      <c r="DO32" s="355">
        <f t="shared" si="488"/>
        <v>0</v>
      </c>
      <c r="DP32" s="355">
        <f t="shared" si="489"/>
        <v>0</v>
      </c>
      <c r="DQ32" s="355">
        <f t="shared" ref="DQ32" si="574">SUM(DI32:DP32)-DK32-DM32</f>
        <v>0</v>
      </c>
      <c r="DR32" s="1495">
        <f t="shared" si="491"/>
        <v>0</v>
      </c>
      <c r="DS32" s="1496">
        <f t="shared" si="492"/>
        <v>0</v>
      </c>
      <c r="DT32" s="1496">
        <f t="shared" si="493"/>
        <v>0</v>
      </c>
      <c r="DU32" s="1496">
        <f t="shared" si="494"/>
        <v>0</v>
      </c>
      <c r="DV32" s="1496">
        <f t="shared" si="495"/>
        <v>0</v>
      </c>
      <c r="DW32" s="1496">
        <f t="shared" si="496"/>
        <v>0</v>
      </c>
      <c r="DX32" s="1496">
        <f t="shared" si="497"/>
        <v>0</v>
      </c>
      <c r="DY32" s="1496">
        <f t="shared" si="498"/>
        <v>0</v>
      </c>
      <c r="DZ32" s="1496">
        <f t="shared" ref="DZ32:DZ33" si="575">SUM(DR32:DY32)-DT32-DV32</f>
        <v>0</v>
      </c>
      <c r="EA32" s="1496">
        <f t="shared" si="499"/>
        <v>0</v>
      </c>
      <c r="EB32" s="1496">
        <f t="shared" si="500"/>
        <v>0</v>
      </c>
      <c r="EC32" s="1496">
        <f t="shared" si="501"/>
        <v>0</v>
      </c>
      <c r="ED32" s="1496">
        <f t="shared" si="502"/>
        <v>0</v>
      </c>
      <c r="EE32" s="1496">
        <f t="shared" si="503"/>
        <v>0</v>
      </c>
      <c r="EF32" s="1496">
        <f t="shared" si="504"/>
        <v>0</v>
      </c>
      <c r="EG32" s="1496">
        <f t="shared" si="505"/>
        <v>0</v>
      </c>
      <c r="EH32" s="1496">
        <f t="shared" ref="EH32:EH41" si="576">IF($CP32="CLEARTEC",$BC32+$BL32+$BU32+$CD32+$CM32,0)</f>
        <v>0</v>
      </c>
      <c r="EI32" s="1497">
        <f t="shared" ref="EI32" si="577">SUM(EA32:EH32)-EC32-EE32</f>
        <v>0</v>
      </c>
      <c r="EJ32" s="1414"/>
      <c r="EK32" s="1597">
        <v>906.53</v>
      </c>
      <c r="EL32" s="363"/>
      <c r="EM32" s="363"/>
      <c r="EN32" s="313"/>
      <c r="EO32" s="363"/>
      <c r="EP32" s="363">
        <v>150</v>
      </c>
      <c r="EQ32" s="363"/>
      <c r="ER32" s="363"/>
      <c r="ES32" s="363"/>
      <c r="ET32" s="363">
        <f t="shared" ref="ET32:ET33" si="578">+EO32+EP32+EQ32</f>
        <v>150</v>
      </c>
      <c r="EV32" s="366">
        <f t="shared" ref="EV32:EV33" si="579">IF($H32&lt;=15,EK32/2,EK32)</f>
        <v>906.53</v>
      </c>
      <c r="EW32" s="366">
        <f t="shared" ref="EW32:EW33" si="580">IF($H32&lt;=15,EL32/2,EL32)</f>
        <v>0</v>
      </c>
      <c r="EX32" s="366">
        <f t="shared" ref="EX32:EX33" si="581">IF($H32&lt;=15,EM32/2,EM32)</f>
        <v>0</v>
      </c>
      <c r="EY32" s="366">
        <f t="shared" ref="EY32:EY33" si="582">IF($H32&lt;=15,EN32/2,EN32)</f>
        <v>0</v>
      </c>
      <c r="EZ32" s="366">
        <f t="shared" ref="EZ32:EZ33" si="583">IF($H32&lt;=15,EO32/2,EO32)</f>
        <v>0</v>
      </c>
      <c r="FA32" s="366">
        <f t="shared" ref="FA32:FA33" si="584">IF($H32&lt;=15,EP32/2,EP32)</f>
        <v>150</v>
      </c>
      <c r="FB32" s="366">
        <f t="shared" ref="FB32:FB33" si="585">IF($H32&lt;=15,EQ32/2,EQ32)</f>
        <v>0</v>
      </c>
      <c r="FC32" s="366">
        <f t="shared" ref="FC32:FC33" si="586">IF($H32&lt;=15,ER32/2,ER32)</f>
        <v>0</v>
      </c>
      <c r="FD32" s="366">
        <f t="shared" ref="FD32:FD33" si="587">IF($H32&lt;=15,ES32/2,ES32)</f>
        <v>0</v>
      </c>
      <c r="FE32" s="366">
        <f t="shared" ref="FE32:FE33" si="588">IF($H32&lt;=15,ET32/2,ET32)</f>
        <v>150</v>
      </c>
      <c r="FF32" s="364"/>
      <c r="FG32" s="364"/>
      <c r="FH32" s="364"/>
      <c r="FI32" s="364"/>
      <c r="FJ32" s="364"/>
      <c r="FK32" s="364"/>
    </row>
    <row r="33" spans="1:172" s="1441" customFormat="1" ht="15" customHeight="1" outlineLevel="1">
      <c r="A33" s="1454"/>
      <c r="B33" s="213" t="s">
        <v>870</v>
      </c>
      <c r="C33" s="365" t="s">
        <v>871</v>
      </c>
      <c r="D33" s="1969" t="s">
        <v>10</v>
      </c>
      <c r="E33" s="1971">
        <v>5000</v>
      </c>
      <c r="F33" s="1971">
        <v>2500</v>
      </c>
      <c r="G33" s="1902">
        <f t="shared" si="518"/>
        <v>7500</v>
      </c>
      <c r="H33" s="1971">
        <v>29</v>
      </c>
      <c r="I33" s="1972">
        <v>0.15</v>
      </c>
      <c r="J33" s="1972">
        <v>0.15</v>
      </c>
      <c r="K33" s="1972">
        <v>0</v>
      </c>
      <c r="L33" s="1972">
        <v>0.7</v>
      </c>
      <c r="M33" s="1498">
        <v>0</v>
      </c>
      <c r="N33" s="1972">
        <f>SUM(I33:M33)</f>
        <v>1</v>
      </c>
      <c r="O33" s="319" t="s">
        <v>872</v>
      </c>
      <c r="P33" s="1974"/>
      <c r="Q33" s="1971">
        <f t="shared" si="519"/>
        <v>0</v>
      </c>
      <c r="R33" s="1974"/>
      <c r="S33" s="1971">
        <f t="shared" si="520"/>
        <v>0</v>
      </c>
      <c r="T33" s="1974"/>
      <c r="U33" s="1971">
        <f t="shared" si="521"/>
        <v>0</v>
      </c>
      <c r="V33" s="1974"/>
      <c r="W33" s="1971">
        <f t="shared" si="522"/>
        <v>0</v>
      </c>
      <c r="X33" s="1974"/>
      <c r="Y33" s="1971">
        <f t="shared" si="523"/>
        <v>0</v>
      </c>
      <c r="Z33" s="1975"/>
      <c r="AA33" s="1971">
        <f t="shared" si="524"/>
        <v>0</v>
      </c>
      <c r="AB33" s="1975"/>
      <c r="AC33" s="1971">
        <f t="shared" si="525"/>
        <v>0</v>
      </c>
      <c r="AD33" s="1975"/>
      <c r="AE33" s="1971">
        <f t="shared" si="526"/>
        <v>0</v>
      </c>
      <c r="AF33" s="1971"/>
      <c r="AG33" s="1971">
        <f t="shared" si="527"/>
        <v>0</v>
      </c>
      <c r="AH33" s="1975"/>
      <c r="AI33" s="1971">
        <f t="shared" si="528"/>
        <v>0</v>
      </c>
      <c r="AJ33" s="1971"/>
      <c r="AK33" s="1971"/>
      <c r="AL33" s="1971"/>
      <c r="AM33" s="1971"/>
      <c r="AN33" s="1971"/>
      <c r="AO33" s="1971"/>
      <c r="AP33" s="1971"/>
      <c r="AQ33" s="1971"/>
      <c r="AR33" s="1971"/>
      <c r="AS33" s="1971"/>
      <c r="AT33" s="1971"/>
      <c r="AU33" s="1969"/>
      <c r="AV33" s="1971">
        <f t="shared" si="529"/>
        <v>724.99999999999989</v>
      </c>
      <c r="AW33" s="1971">
        <f>((F33/30)*H33)*$I33+150</f>
        <v>512.5</v>
      </c>
      <c r="AX33" s="1971">
        <f t="shared" si="531"/>
        <v>0</v>
      </c>
      <c r="AY33" s="1971">
        <f t="shared" si="532"/>
        <v>0</v>
      </c>
      <c r="AZ33" s="1971">
        <f t="shared" si="533"/>
        <v>0</v>
      </c>
      <c r="BA33" s="1971">
        <f t="shared" si="534"/>
        <v>0</v>
      </c>
      <c r="BB33" s="1971">
        <f t="shared" si="535"/>
        <v>0</v>
      </c>
      <c r="BC33" s="1971">
        <f t="shared" si="536"/>
        <v>91.857499999999987</v>
      </c>
      <c r="BD33" s="1971">
        <f t="shared" si="537"/>
        <v>1329.3575000000001</v>
      </c>
      <c r="BE33" s="1971">
        <f t="shared" si="441"/>
        <v>724.99999999999989</v>
      </c>
      <c r="BF33" s="1971">
        <f>(($F33/30)*$H33)*$J33+150</f>
        <v>512.5</v>
      </c>
      <c r="BG33" s="1971">
        <f t="shared" si="539"/>
        <v>0</v>
      </c>
      <c r="BH33" s="1971">
        <f t="shared" si="540"/>
        <v>0</v>
      </c>
      <c r="BI33" s="1971">
        <f t="shared" si="541"/>
        <v>0</v>
      </c>
      <c r="BJ33" s="1971">
        <f t="shared" si="542"/>
        <v>0</v>
      </c>
      <c r="BK33" s="1971">
        <f t="shared" si="543"/>
        <v>0</v>
      </c>
      <c r="BL33" s="1971">
        <f t="shared" si="544"/>
        <v>91.857499999999987</v>
      </c>
      <c r="BM33" s="1970">
        <f t="shared" si="545"/>
        <v>1329.3575000000001</v>
      </c>
      <c r="BN33" s="1971">
        <f t="shared" si="449"/>
        <v>0</v>
      </c>
      <c r="BO33" s="1971">
        <f t="shared" si="450"/>
        <v>0</v>
      </c>
      <c r="BP33" s="1971">
        <f t="shared" si="546"/>
        <v>0</v>
      </c>
      <c r="BQ33" s="1971">
        <f t="shared" si="547"/>
        <v>0</v>
      </c>
      <c r="BR33" s="1971">
        <f t="shared" si="548"/>
        <v>0</v>
      </c>
      <c r="BS33" s="1971">
        <f t="shared" si="549"/>
        <v>0</v>
      </c>
      <c r="BT33" s="1971">
        <f t="shared" si="550"/>
        <v>0</v>
      </c>
      <c r="BU33" s="1971">
        <f t="shared" si="551"/>
        <v>0</v>
      </c>
      <c r="BV33" s="1971">
        <f t="shared" si="552"/>
        <v>0</v>
      </c>
      <c r="BW33" s="1981">
        <f t="shared" si="553"/>
        <v>3383.333333333333</v>
      </c>
      <c r="BX33" s="1982">
        <f>(($F33/30)*$H33)*$L33+700</f>
        <v>2391.6666666666665</v>
      </c>
      <c r="BY33" s="1982">
        <f t="shared" si="555"/>
        <v>0</v>
      </c>
      <c r="BZ33" s="1982">
        <f t="shared" si="556"/>
        <v>0</v>
      </c>
      <c r="CA33" s="1982">
        <f t="shared" si="557"/>
        <v>0</v>
      </c>
      <c r="CB33" s="1982">
        <f t="shared" si="558"/>
        <v>0</v>
      </c>
      <c r="CC33" s="1982">
        <f t="shared" si="559"/>
        <v>0</v>
      </c>
      <c r="CD33" s="1982">
        <f t="shared" si="560"/>
        <v>428.66833333333329</v>
      </c>
      <c r="CE33" s="1982">
        <f t="shared" si="561"/>
        <v>6203.6683333333331</v>
      </c>
      <c r="CF33" s="1982">
        <f t="shared" si="562"/>
        <v>0</v>
      </c>
      <c r="CG33" s="1982">
        <f t="shared" si="459"/>
        <v>0</v>
      </c>
      <c r="CH33" s="1982">
        <f t="shared" si="563"/>
        <v>0</v>
      </c>
      <c r="CI33" s="1982">
        <f t="shared" si="564"/>
        <v>0</v>
      </c>
      <c r="CJ33" s="1982">
        <f t="shared" si="565"/>
        <v>0</v>
      </c>
      <c r="CK33" s="1982">
        <f t="shared" si="566"/>
        <v>0</v>
      </c>
      <c r="CL33" s="1982">
        <f t="shared" si="567"/>
        <v>0</v>
      </c>
      <c r="CM33" s="1982">
        <f t="shared" si="568"/>
        <v>0</v>
      </c>
      <c r="CN33" s="1983">
        <f t="shared" si="569"/>
        <v>0</v>
      </c>
      <c r="CO33" s="1976"/>
      <c r="CP33" s="1969" t="s">
        <v>10</v>
      </c>
      <c r="CQ33" s="1971">
        <f t="shared" si="465"/>
        <v>4833.333333333333</v>
      </c>
      <c r="CR33" s="1971">
        <f t="shared" si="466"/>
        <v>3416.6666666666665</v>
      </c>
      <c r="CS33" s="1971">
        <f t="shared" si="467"/>
        <v>0</v>
      </c>
      <c r="CT33" s="1971">
        <f t="shared" si="468"/>
        <v>0</v>
      </c>
      <c r="CU33" s="1971">
        <f t="shared" si="469"/>
        <v>0</v>
      </c>
      <c r="CV33" s="1971">
        <f t="shared" si="470"/>
        <v>0</v>
      </c>
      <c r="CW33" s="1971">
        <f t="shared" si="471"/>
        <v>0</v>
      </c>
      <c r="CX33" s="1971">
        <f t="shared" si="570"/>
        <v>612.38333333333321</v>
      </c>
      <c r="CY33" s="1971">
        <f t="shared" si="571"/>
        <v>8862.3833333333332</v>
      </c>
      <c r="CZ33" s="1971">
        <f t="shared" si="474"/>
        <v>0</v>
      </c>
      <c r="DA33" s="1971">
        <f t="shared" si="475"/>
        <v>0</v>
      </c>
      <c r="DB33" s="1971">
        <f t="shared" si="476"/>
        <v>0</v>
      </c>
      <c r="DC33" s="1971">
        <f t="shared" si="477"/>
        <v>0</v>
      </c>
      <c r="DD33" s="1971">
        <f t="shared" si="478"/>
        <v>0</v>
      </c>
      <c r="DE33" s="1971">
        <f t="shared" si="479"/>
        <v>0</v>
      </c>
      <c r="DF33" s="1971">
        <f t="shared" si="572"/>
        <v>0</v>
      </c>
      <c r="DG33" s="1971">
        <f t="shared" si="480"/>
        <v>0</v>
      </c>
      <c r="DH33" s="1971">
        <f t="shared" ref="DH33" si="589">SUM(CZ33:DG33)-DB33-DD33</f>
        <v>0</v>
      </c>
      <c r="DI33" s="1971">
        <f t="shared" si="482"/>
        <v>0</v>
      </c>
      <c r="DJ33" s="1971">
        <f t="shared" si="483"/>
        <v>0</v>
      </c>
      <c r="DK33" s="1971">
        <f t="shared" si="484"/>
        <v>0</v>
      </c>
      <c r="DL33" s="1971">
        <f t="shared" si="485"/>
        <v>0</v>
      </c>
      <c r="DM33" s="1971">
        <f t="shared" si="486"/>
        <v>0</v>
      </c>
      <c r="DN33" s="1971">
        <f t="shared" si="487"/>
        <v>0</v>
      </c>
      <c r="DO33" s="1971">
        <f t="shared" si="488"/>
        <v>0</v>
      </c>
      <c r="DP33" s="1971">
        <f t="shared" si="489"/>
        <v>0</v>
      </c>
      <c r="DQ33" s="1971">
        <f t="shared" ref="DQ33" si="590">SUM(DI33:DP33)-DK33-DM33</f>
        <v>0</v>
      </c>
      <c r="DR33" s="1981">
        <f t="shared" si="491"/>
        <v>0</v>
      </c>
      <c r="DS33" s="1982">
        <f t="shared" si="492"/>
        <v>0</v>
      </c>
      <c r="DT33" s="1982">
        <f t="shared" si="493"/>
        <v>0</v>
      </c>
      <c r="DU33" s="1982">
        <f t="shared" si="494"/>
        <v>0</v>
      </c>
      <c r="DV33" s="1982">
        <f t="shared" si="495"/>
        <v>0</v>
      </c>
      <c r="DW33" s="1982">
        <f t="shared" si="496"/>
        <v>0</v>
      </c>
      <c r="DX33" s="1982">
        <f t="shared" si="497"/>
        <v>0</v>
      </c>
      <c r="DY33" s="1982">
        <f t="shared" si="498"/>
        <v>0</v>
      </c>
      <c r="DZ33" s="1982">
        <f t="shared" si="575"/>
        <v>0</v>
      </c>
      <c r="EA33" s="1982">
        <f t="shared" si="499"/>
        <v>0</v>
      </c>
      <c r="EB33" s="1982">
        <f t="shared" si="500"/>
        <v>0</v>
      </c>
      <c r="EC33" s="1982">
        <f t="shared" si="501"/>
        <v>0</v>
      </c>
      <c r="ED33" s="1982">
        <f t="shared" si="502"/>
        <v>0</v>
      </c>
      <c r="EE33" s="1982">
        <f t="shared" si="503"/>
        <v>0</v>
      </c>
      <c r="EF33" s="1982">
        <f t="shared" si="504"/>
        <v>0</v>
      </c>
      <c r="EG33" s="1982">
        <f t="shared" si="505"/>
        <v>0</v>
      </c>
      <c r="EH33" s="1982">
        <f t="shared" si="576"/>
        <v>0</v>
      </c>
      <c r="EI33" s="1983">
        <f t="shared" ref="EI33" si="591">SUM(EA33:EH33)-EC33-EE33</f>
        <v>0</v>
      </c>
      <c r="EJ33" s="1976"/>
      <c r="EK33" s="2200">
        <v>162.93</v>
      </c>
      <c r="EL33" s="1969"/>
      <c r="EM33" s="1969"/>
      <c r="EN33" s="1969"/>
      <c r="EO33" s="1969"/>
      <c r="EP33" s="1969">
        <v>75</v>
      </c>
      <c r="EQ33" s="1968">
        <f>240</f>
        <v>240</v>
      </c>
      <c r="ER33" s="1969"/>
      <c r="ES33" s="1969">
        <v>135</v>
      </c>
      <c r="ET33" s="1969">
        <f t="shared" si="578"/>
        <v>315</v>
      </c>
      <c r="EU33" s="1977"/>
      <c r="EV33" s="1974">
        <f t="shared" si="579"/>
        <v>162.93</v>
      </c>
      <c r="EW33" s="1974">
        <f t="shared" si="580"/>
        <v>0</v>
      </c>
      <c r="EX33" s="1974">
        <f t="shared" si="581"/>
        <v>0</v>
      </c>
      <c r="EY33" s="1974">
        <f t="shared" si="582"/>
        <v>0</v>
      </c>
      <c r="EZ33" s="1974">
        <f t="shared" si="583"/>
        <v>0</v>
      </c>
      <c r="FA33" s="1974">
        <f t="shared" si="584"/>
        <v>75</v>
      </c>
      <c r="FB33" s="1974">
        <f t="shared" si="585"/>
        <v>240</v>
      </c>
      <c r="FC33" s="1974">
        <f t="shared" si="586"/>
        <v>0</v>
      </c>
      <c r="FD33" s="1974">
        <f t="shared" si="587"/>
        <v>135</v>
      </c>
      <c r="FE33" s="1974">
        <f t="shared" si="588"/>
        <v>315</v>
      </c>
      <c r="FF33" s="364"/>
      <c r="FG33" s="364"/>
      <c r="FH33" s="364"/>
      <c r="FI33" s="364"/>
      <c r="FJ33" s="364"/>
      <c r="FK33" s="364"/>
    </row>
    <row r="34" spans="1:172" s="331" customFormat="1" ht="15" customHeight="1" outlineLevel="1">
      <c r="A34" s="1454" t="e">
        <f>+A32+1</f>
        <v>#REF!</v>
      </c>
      <c r="B34" s="311" t="s">
        <v>729</v>
      </c>
      <c r="C34" s="312" t="s">
        <v>730</v>
      </c>
      <c r="D34" s="313" t="s">
        <v>10</v>
      </c>
      <c r="E34" s="315">
        <v>3500</v>
      </c>
      <c r="F34" s="315">
        <v>500</v>
      </c>
      <c r="G34" s="314">
        <f t="shared" ref="G34" si="592">+E34+F34</f>
        <v>4000</v>
      </c>
      <c r="H34" s="315">
        <v>30</v>
      </c>
      <c r="I34" s="318">
        <v>0.5</v>
      </c>
      <c r="J34" s="318">
        <v>0.5</v>
      </c>
      <c r="K34" s="318">
        <v>0</v>
      </c>
      <c r="L34" s="318">
        <v>0</v>
      </c>
      <c r="M34" s="1498">
        <v>0</v>
      </c>
      <c r="N34" s="318">
        <f>SUM(I34:M34)</f>
        <v>1</v>
      </c>
      <c r="O34" s="319"/>
      <c r="P34" s="321"/>
      <c r="Q34" s="315">
        <f t="shared" ref="Q34" si="593">($E34/30/8*1.5)*P34</f>
        <v>0</v>
      </c>
      <c r="R34" s="321"/>
      <c r="S34" s="315">
        <f t="shared" ref="S34" si="594">($E34/30/8*2)*R34</f>
        <v>0</v>
      </c>
      <c r="T34" s="321"/>
      <c r="U34" s="315">
        <f t="shared" ref="U34" si="595">($E34/30/8*1.5)*T34</f>
        <v>0</v>
      </c>
      <c r="V34" s="321"/>
      <c r="W34" s="315">
        <f t="shared" ref="W34" si="596">($E34/30/8*2)*V34</f>
        <v>0</v>
      </c>
      <c r="X34" s="321"/>
      <c r="Y34" s="315">
        <f t="shared" ref="Y34" si="597">(($E34/30/8)*1.5)*X34</f>
        <v>0</v>
      </c>
      <c r="Z34" s="322"/>
      <c r="AA34" s="315">
        <f t="shared" ref="AA34" si="598">(($E34/30/8)*2)*Z34</f>
        <v>0</v>
      </c>
      <c r="AB34" s="322"/>
      <c r="AC34" s="315">
        <f t="shared" ref="AC34" si="599">(($E34/30/8)*1.5)*AB34</f>
        <v>0</v>
      </c>
      <c r="AD34" s="322"/>
      <c r="AE34" s="315">
        <f t="shared" ref="AE34" si="600">(($E34/30/8)*2)*AD34</f>
        <v>0</v>
      </c>
      <c r="AF34" s="315"/>
      <c r="AG34" s="315">
        <f t="shared" ref="AG34" si="601">(($E34/30/8)*1.5)*AF34</f>
        <v>0</v>
      </c>
      <c r="AH34" s="322"/>
      <c r="AI34" s="315">
        <f t="shared" ref="AI34" si="602">(($E34/30/8)*2)*AH34</f>
        <v>0</v>
      </c>
      <c r="AJ34" s="315"/>
      <c r="AK34" s="315"/>
      <c r="AL34" s="315"/>
      <c r="AM34" s="315"/>
      <c r="AN34" s="315"/>
      <c r="AO34" s="315"/>
      <c r="AP34" s="315"/>
      <c r="AQ34" s="315"/>
      <c r="AR34" s="315"/>
      <c r="AS34" s="315"/>
      <c r="AT34" s="315"/>
      <c r="AU34" s="313"/>
      <c r="AV34" s="315">
        <f t="shared" ref="AV34" si="603">((E34/30)*H34)*$I34</f>
        <v>1750</v>
      </c>
      <c r="AW34" s="315">
        <f t="shared" ref="AW34:AW40" si="604">((F34/30)*H34)*$I34</f>
        <v>250.00000000000003</v>
      </c>
      <c r="AX34" s="315">
        <f t="shared" ref="AX34" si="605">P34</f>
        <v>0</v>
      </c>
      <c r="AY34" s="315">
        <f t="shared" ref="AY34" si="606">Q34</f>
        <v>0</v>
      </c>
      <c r="AZ34" s="315">
        <f t="shared" ref="AZ34" si="607">R34</f>
        <v>0</v>
      </c>
      <c r="BA34" s="315">
        <f t="shared" ref="BA34" si="608">S34</f>
        <v>0</v>
      </c>
      <c r="BB34" s="315">
        <f t="shared" ref="BB34" si="609">AJ34+AO34</f>
        <v>0</v>
      </c>
      <c r="BC34" s="315">
        <f t="shared" ref="BC34" si="610">(AV34+AY34+BA34)*0.1267</f>
        <v>221.72500000000002</v>
      </c>
      <c r="BD34" s="315">
        <f t="shared" ref="BD34" si="611">SUM(AV34:BC34)-AX34-AZ34</f>
        <v>2221.7249999999999</v>
      </c>
      <c r="BE34" s="315">
        <f t="shared" si="441"/>
        <v>1750</v>
      </c>
      <c r="BF34" s="315">
        <f t="shared" si="538"/>
        <v>250.00000000000003</v>
      </c>
      <c r="BG34" s="315">
        <f t="shared" ref="BG34" si="612">T34</f>
        <v>0</v>
      </c>
      <c r="BH34" s="315">
        <f t="shared" ref="BH34" si="613">U34</f>
        <v>0</v>
      </c>
      <c r="BI34" s="315">
        <f t="shared" ref="BI34" si="614">V34</f>
        <v>0</v>
      </c>
      <c r="BJ34" s="315">
        <f t="shared" ref="BJ34" si="615">W34</f>
        <v>0</v>
      </c>
      <c r="BK34" s="315">
        <f t="shared" ref="BK34" si="616">AK34+AP34</f>
        <v>0</v>
      </c>
      <c r="BL34" s="315">
        <f t="shared" ref="BL34" si="617">(+BE34+BH34+BJ34+BK34)*0.1267</f>
        <v>221.72500000000002</v>
      </c>
      <c r="BM34" s="314">
        <f t="shared" ref="BM34" si="618">SUM(BE34:BL34)-BG34-BI34</f>
        <v>2221.7249999999999</v>
      </c>
      <c r="BN34" s="315">
        <f t="shared" si="449"/>
        <v>0</v>
      </c>
      <c r="BO34" s="315">
        <f t="shared" si="450"/>
        <v>0</v>
      </c>
      <c r="BP34" s="315">
        <f t="shared" ref="BP34" si="619">X34</f>
        <v>0</v>
      </c>
      <c r="BQ34" s="315">
        <f t="shared" ref="BQ34" si="620">Y34</f>
        <v>0</v>
      </c>
      <c r="BR34" s="315">
        <f t="shared" ref="BR34" si="621">Z34</f>
        <v>0</v>
      </c>
      <c r="BS34" s="315">
        <f t="shared" ref="BS34" si="622">AA34</f>
        <v>0</v>
      </c>
      <c r="BT34" s="315">
        <f t="shared" ref="BT34" si="623">AL34+AQ34</f>
        <v>0</v>
      </c>
      <c r="BU34" s="315">
        <f t="shared" ref="BU34" si="624">(BN34+BQ34+BS34)*0.1267</f>
        <v>0</v>
      </c>
      <c r="BV34" s="315">
        <f t="shared" ref="BV34" si="625">SUM(BN34:BU34)-BP34-BR34</f>
        <v>0</v>
      </c>
      <c r="BW34" s="360">
        <f t="shared" si="553"/>
        <v>0</v>
      </c>
      <c r="BX34" s="361">
        <f t="shared" si="554"/>
        <v>0</v>
      </c>
      <c r="BY34" s="361">
        <f t="shared" ref="BY34" si="626">AB34</f>
        <v>0</v>
      </c>
      <c r="BZ34" s="361">
        <f t="shared" ref="BZ34" si="627">AC34</f>
        <v>0</v>
      </c>
      <c r="CA34" s="361">
        <f t="shared" ref="CA34" si="628">AD34</f>
        <v>0</v>
      </c>
      <c r="CB34" s="361">
        <f t="shared" ref="CB34" si="629">AE34</f>
        <v>0</v>
      </c>
      <c r="CC34" s="361">
        <f t="shared" ref="CC34" si="630">AM34+AR34</f>
        <v>0</v>
      </c>
      <c r="CD34" s="361">
        <f t="shared" ref="CD34" si="631">(BW34+BZ34+CB34)*0.1267</f>
        <v>0</v>
      </c>
      <c r="CE34" s="361">
        <f t="shared" ref="CE34" si="632">SUM(BW34:CD34)-BY34-CA34</f>
        <v>0</v>
      </c>
      <c r="CF34" s="361">
        <f t="shared" ref="CF34" si="633">(($E34/30)*$H34)*M34</f>
        <v>0</v>
      </c>
      <c r="CG34" s="361">
        <f t="shared" si="459"/>
        <v>0</v>
      </c>
      <c r="CH34" s="361">
        <f t="shared" ref="CH34" si="634">+AF34</f>
        <v>0</v>
      </c>
      <c r="CI34" s="361">
        <f t="shared" ref="CI34" si="635">AG34</f>
        <v>0</v>
      </c>
      <c r="CJ34" s="361">
        <f t="shared" ref="CJ34" si="636">AH34</f>
        <v>0</v>
      </c>
      <c r="CK34" s="361">
        <f t="shared" ref="CK34" si="637">AI34</f>
        <v>0</v>
      </c>
      <c r="CL34" s="361">
        <f t="shared" ref="CL34" si="638">AN34+AS34</f>
        <v>0</v>
      </c>
      <c r="CM34" s="361">
        <f t="shared" ref="CM34" si="639">(CF34+CI34+CK34)*0.1267</f>
        <v>0</v>
      </c>
      <c r="CN34" s="362">
        <f t="shared" ref="CN34" si="640">SUM(CF34:CM34)-CH34-CJ34</f>
        <v>0</v>
      </c>
      <c r="CO34" s="330"/>
      <c r="CP34" s="313" t="s">
        <v>10</v>
      </c>
      <c r="CQ34" s="315">
        <f t="shared" si="465"/>
        <v>3500</v>
      </c>
      <c r="CR34" s="315">
        <f t="shared" si="466"/>
        <v>500.00000000000006</v>
      </c>
      <c r="CS34" s="315">
        <f t="shared" si="467"/>
        <v>0</v>
      </c>
      <c r="CT34" s="315">
        <f t="shared" si="468"/>
        <v>0</v>
      </c>
      <c r="CU34" s="315">
        <f t="shared" si="469"/>
        <v>0</v>
      </c>
      <c r="CV34" s="315">
        <f t="shared" si="470"/>
        <v>0</v>
      </c>
      <c r="CW34" s="315">
        <f t="shared" si="471"/>
        <v>0</v>
      </c>
      <c r="CX34" s="315">
        <f t="shared" ref="CX34" si="641">IF($CP34="PROQUIMA",$BC34+$BL34+$BU34+$CD34+CM34,0)</f>
        <v>443.45000000000005</v>
      </c>
      <c r="CY34" s="315">
        <f t="shared" ref="CY34" si="642">SUM(CQ34:CX34)-CS34-CU34</f>
        <v>4443.45</v>
      </c>
      <c r="CZ34" s="315">
        <f t="shared" si="474"/>
        <v>0</v>
      </c>
      <c r="DA34" s="315">
        <f t="shared" si="475"/>
        <v>0</v>
      </c>
      <c r="DB34" s="315">
        <f t="shared" si="476"/>
        <v>0</v>
      </c>
      <c r="DC34" s="315">
        <f t="shared" si="477"/>
        <v>0</v>
      </c>
      <c r="DD34" s="315">
        <f t="shared" si="478"/>
        <v>0</v>
      </c>
      <c r="DE34" s="315">
        <f t="shared" si="479"/>
        <v>0</v>
      </c>
      <c r="DF34" s="315">
        <f t="shared" si="572"/>
        <v>0</v>
      </c>
      <c r="DG34" s="315">
        <f t="shared" si="480"/>
        <v>0</v>
      </c>
      <c r="DH34" s="315">
        <f t="shared" ref="DH34" si="643">SUM(CZ34:DG34)-DB34-DD34</f>
        <v>0</v>
      </c>
      <c r="DI34" s="315">
        <f t="shared" si="482"/>
        <v>0</v>
      </c>
      <c r="DJ34" s="315">
        <f t="shared" si="483"/>
        <v>0</v>
      </c>
      <c r="DK34" s="315">
        <f t="shared" si="484"/>
        <v>0</v>
      </c>
      <c r="DL34" s="315">
        <f t="shared" si="485"/>
        <v>0</v>
      </c>
      <c r="DM34" s="315">
        <f t="shared" si="486"/>
        <v>0</v>
      </c>
      <c r="DN34" s="315">
        <f t="shared" si="487"/>
        <v>0</v>
      </c>
      <c r="DO34" s="315">
        <f t="shared" si="488"/>
        <v>0</v>
      </c>
      <c r="DP34" s="315">
        <f t="shared" si="489"/>
        <v>0</v>
      </c>
      <c r="DQ34" s="315">
        <f t="shared" ref="DQ34" si="644">SUM(DI34:DP34)-DK34-DM34</f>
        <v>0</v>
      </c>
      <c r="DR34" s="360">
        <f t="shared" si="491"/>
        <v>0</v>
      </c>
      <c r="DS34" s="361">
        <f t="shared" si="492"/>
        <v>0</v>
      </c>
      <c r="DT34" s="361">
        <f t="shared" si="493"/>
        <v>0</v>
      </c>
      <c r="DU34" s="361">
        <f t="shared" si="494"/>
        <v>0</v>
      </c>
      <c r="DV34" s="361">
        <f t="shared" si="495"/>
        <v>0</v>
      </c>
      <c r="DW34" s="361">
        <f t="shared" si="496"/>
        <v>0</v>
      </c>
      <c r="DX34" s="361">
        <f t="shared" si="497"/>
        <v>0</v>
      </c>
      <c r="DY34" s="361">
        <f t="shared" si="498"/>
        <v>0</v>
      </c>
      <c r="DZ34" s="361">
        <f t="shared" ref="DZ34" si="645">SUM(DR34:DY34)-DT34-DV34</f>
        <v>0</v>
      </c>
      <c r="EA34" s="361">
        <f t="shared" si="499"/>
        <v>0</v>
      </c>
      <c r="EB34" s="361">
        <f t="shared" si="500"/>
        <v>0</v>
      </c>
      <c r="EC34" s="361">
        <f t="shared" si="501"/>
        <v>0</v>
      </c>
      <c r="ED34" s="361">
        <f t="shared" si="502"/>
        <v>0</v>
      </c>
      <c r="EE34" s="361">
        <f t="shared" si="503"/>
        <v>0</v>
      </c>
      <c r="EF34" s="361">
        <f t="shared" si="504"/>
        <v>0</v>
      </c>
      <c r="EG34" s="361">
        <f t="shared" si="505"/>
        <v>0</v>
      </c>
      <c r="EH34" s="361">
        <f t="shared" si="576"/>
        <v>0</v>
      </c>
      <c r="EI34" s="362">
        <f t="shared" ref="EI34" si="646">SUM(EA34:EH34)-EC34-EE34</f>
        <v>0</v>
      </c>
      <c r="EJ34" s="330"/>
      <c r="EK34" s="2200"/>
      <c r="EL34" s="313"/>
      <c r="EM34" s="313"/>
      <c r="EN34" s="313"/>
      <c r="EO34" s="313"/>
      <c r="EP34" s="313">
        <v>50</v>
      </c>
      <c r="EQ34" s="313"/>
      <c r="ER34" s="313"/>
      <c r="ES34" s="313"/>
      <c r="ET34" s="313">
        <f t="shared" ref="ET34" si="647">+EO34+EP34+EQ34</f>
        <v>50</v>
      </c>
      <c r="EV34" s="321">
        <f t="shared" ref="EV34" si="648">IF($H34&lt;=15,EK34/2,EK34)</f>
        <v>0</v>
      </c>
      <c r="EW34" s="321">
        <f t="shared" ref="EW34" si="649">IF($H34&lt;=15,EL34/2,EL34)</f>
        <v>0</v>
      </c>
      <c r="EX34" s="321">
        <f t="shared" ref="EX34" si="650">IF($H34&lt;=15,EM34/2,EM34)</f>
        <v>0</v>
      </c>
      <c r="EY34" s="321">
        <f t="shared" ref="EY34" si="651">IF($H34&lt;=15,EN34/2,EN34)</f>
        <v>0</v>
      </c>
      <c r="EZ34" s="321">
        <f t="shared" ref="EZ34" si="652">IF($H34&lt;=15,EO34/2,EO34)</f>
        <v>0</v>
      </c>
      <c r="FA34" s="321">
        <f t="shared" ref="FA34" si="653">IF($H34&lt;=15,EP34/2,EP34)</f>
        <v>50</v>
      </c>
      <c r="FB34" s="321">
        <f t="shared" ref="FB34" si="654">IF($H34&lt;=15,EQ34/2,EQ34)</f>
        <v>0</v>
      </c>
      <c r="FC34" s="321">
        <f t="shared" ref="FC34" si="655">IF($H34&lt;=15,ER34/2,ER34)</f>
        <v>0</v>
      </c>
      <c r="FD34" s="321">
        <f t="shared" ref="FD34" si="656">IF($H34&lt;=15,ES34/2,ES34)</f>
        <v>0</v>
      </c>
      <c r="FE34" s="321">
        <f t="shared" ref="FE34" si="657">IF($H34&lt;=15,ET34/2,ET34)</f>
        <v>50</v>
      </c>
      <c r="FF34" s="332"/>
      <c r="FG34" s="332"/>
      <c r="FH34" s="332"/>
      <c r="FI34" s="332"/>
      <c r="FJ34" s="332"/>
      <c r="FK34" s="332"/>
    </row>
    <row r="35" spans="1:172" s="331" customFormat="1" ht="15" customHeight="1" outlineLevel="1">
      <c r="A35" s="1454" t="e">
        <f t="shared" ref="A35:A41" si="658">+A34+1</f>
        <v>#REF!</v>
      </c>
      <c r="B35" s="213" t="s">
        <v>550</v>
      </c>
      <c r="C35" s="312" t="s">
        <v>478</v>
      </c>
      <c r="D35" s="313" t="s">
        <v>11</v>
      </c>
      <c r="E35" s="315">
        <v>3250</v>
      </c>
      <c r="F35" s="315">
        <v>1750</v>
      </c>
      <c r="G35" s="1970">
        <f t="shared" si="422"/>
        <v>5000</v>
      </c>
      <c r="H35" s="355">
        <v>30</v>
      </c>
      <c r="I35" s="318">
        <v>0.45</v>
      </c>
      <c r="J35" s="318">
        <v>0.45</v>
      </c>
      <c r="K35" s="318">
        <v>0</v>
      </c>
      <c r="L35" s="318">
        <v>0.1</v>
      </c>
      <c r="M35" s="1498">
        <v>0</v>
      </c>
      <c r="N35" s="318">
        <f>SUM(I35:M35)</f>
        <v>1</v>
      </c>
      <c r="O35" s="319"/>
      <c r="P35" s="321"/>
      <c r="Q35" s="315">
        <f>($E35/30/8*1.5)*P35</f>
        <v>0</v>
      </c>
      <c r="R35" s="321"/>
      <c r="S35" s="315">
        <f>($E35/30/8*2)*R35</f>
        <v>0</v>
      </c>
      <c r="T35" s="321"/>
      <c r="U35" s="315">
        <f>($E35/30/8*1.5)*T35</f>
        <v>0</v>
      </c>
      <c r="V35" s="321"/>
      <c r="W35" s="315">
        <f>($E35/30/8*2)*V35</f>
        <v>0</v>
      </c>
      <c r="X35" s="321"/>
      <c r="Y35" s="315">
        <f t="shared" si="428"/>
        <v>0</v>
      </c>
      <c r="Z35" s="322"/>
      <c r="AA35" s="315">
        <f t="shared" ref="AA35:AA40" si="659">(($E35/30/8)*2)*Z35</f>
        <v>0</v>
      </c>
      <c r="AB35" s="322"/>
      <c r="AC35" s="315">
        <f>(($E35/30/8)*1.5)*AB35</f>
        <v>0</v>
      </c>
      <c r="AD35" s="322"/>
      <c r="AE35" s="315">
        <f>(($E35/30/8)*2)*AD35</f>
        <v>0</v>
      </c>
      <c r="AF35" s="315"/>
      <c r="AG35" s="315">
        <f>(($E35/30/8)*1.5)*AF35</f>
        <v>0</v>
      </c>
      <c r="AH35" s="322"/>
      <c r="AI35" s="315">
        <f>(($E35/30/8)*2)*AH35</f>
        <v>0</v>
      </c>
      <c r="AJ35" s="315"/>
      <c r="AK35" s="315"/>
      <c r="AL35" s="315"/>
      <c r="AM35" s="315"/>
      <c r="AN35" s="315"/>
      <c r="AO35" s="315"/>
      <c r="AP35" s="315"/>
      <c r="AQ35" s="315"/>
      <c r="AR35" s="315"/>
      <c r="AS35" s="315"/>
      <c r="AT35" s="315"/>
      <c r="AU35" s="313"/>
      <c r="AV35" s="315">
        <f t="shared" si="433"/>
        <v>1462.5</v>
      </c>
      <c r="AW35" s="315">
        <f t="shared" si="604"/>
        <v>787.5</v>
      </c>
      <c r="AX35" s="315">
        <f t="shared" si="435"/>
        <v>0</v>
      </c>
      <c r="AY35" s="315">
        <f t="shared" si="436"/>
        <v>0</v>
      </c>
      <c r="AZ35" s="315">
        <f t="shared" si="437"/>
        <v>0</v>
      </c>
      <c r="BA35" s="315">
        <f t="shared" si="438"/>
        <v>0</v>
      </c>
      <c r="BB35" s="315">
        <f>AJ35+AO35</f>
        <v>0</v>
      </c>
      <c r="BC35" s="315">
        <f>(AV35+AY35+BA35)*0.1267</f>
        <v>185.29875000000001</v>
      </c>
      <c r="BD35" s="315">
        <f>SUM(AV35:BC35)-AX35-AZ35</f>
        <v>2435.2987499999999</v>
      </c>
      <c r="BE35" s="315">
        <f t="shared" si="441"/>
        <v>1462.5</v>
      </c>
      <c r="BF35" s="315">
        <f t="shared" si="538"/>
        <v>787.5</v>
      </c>
      <c r="BG35" s="315">
        <f t="shared" si="443"/>
        <v>0</v>
      </c>
      <c r="BH35" s="315">
        <f t="shared" si="444"/>
        <v>0</v>
      </c>
      <c r="BI35" s="315">
        <f t="shared" si="445"/>
        <v>0</v>
      </c>
      <c r="BJ35" s="315">
        <f t="shared" si="446"/>
        <v>0</v>
      </c>
      <c r="BK35" s="315">
        <f>AK35+AP35</f>
        <v>0</v>
      </c>
      <c r="BL35" s="315">
        <f>(+BE35+BH35+BJ35+BK35)*0.1267</f>
        <v>185.29875000000001</v>
      </c>
      <c r="BM35" s="314">
        <f>SUM(BE35:BL35)-BG35-BI35</f>
        <v>2435.2987499999999</v>
      </c>
      <c r="BN35" s="315">
        <f t="shared" si="449"/>
        <v>0</v>
      </c>
      <c r="BO35" s="315">
        <f t="shared" si="450"/>
        <v>0</v>
      </c>
      <c r="BP35" s="315">
        <f t="shared" si="451"/>
        <v>0</v>
      </c>
      <c r="BQ35" s="315">
        <f t="shared" si="452"/>
        <v>0</v>
      </c>
      <c r="BR35" s="315">
        <f t="shared" si="453"/>
        <v>0</v>
      </c>
      <c r="BS35" s="315">
        <f t="shared" si="454"/>
        <v>0</v>
      </c>
      <c r="BT35" s="315">
        <f>AL35+AQ35</f>
        <v>0</v>
      </c>
      <c r="BU35" s="315">
        <f>(BN35+BQ35+BS35)*0.1267</f>
        <v>0</v>
      </c>
      <c r="BV35" s="315">
        <f t="shared" si="457"/>
        <v>0</v>
      </c>
      <c r="BW35" s="360">
        <f>(($E35/30)*$H35)*$L35</f>
        <v>325</v>
      </c>
      <c r="BX35" s="361">
        <f>(($F35/30)*$H35)*$L35</f>
        <v>175</v>
      </c>
      <c r="BY35" s="361">
        <f>AB35</f>
        <v>0</v>
      </c>
      <c r="BZ35" s="361">
        <f>AC35</f>
        <v>0</v>
      </c>
      <c r="CA35" s="361">
        <f>AD35</f>
        <v>0</v>
      </c>
      <c r="CB35" s="361">
        <f>AE35</f>
        <v>0</v>
      </c>
      <c r="CC35" s="361">
        <f>AM35+AR35</f>
        <v>0</v>
      </c>
      <c r="CD35" s="361">
        <f>(BW35+BZ35+CB35)*0.1267</f>
        <v>41.177500000000002</v>
      </c>
      <c r="CE35" s="361">
        <f>SUM(BW35:CD35)-BY35-CA35</f>
        <v>541.17750000000001</v>
      </c>
      <c r="CF35" s="361">
        <f t="shared" ref="CF35:CF40" si="660">(($E35/30)*$H35)*M35</f>
        <v>0</v>
      </c>
      <c r="CG35" s="361">
        <f t="shared" si="459"/>
        <v>0</v>
      </c>
      <c r="CH35" s="361">
        <f>+AF35</f>
        <v>0</v>
      </c>
      <c r="CI35" s="361">
        <f t="shared" si="461"/>
        <v>0</v>
      </c>
      <c r="CJ35" s="361">
        <f t="shared" si="461"/>
        <v>0</v>
      </c>
      <c r="CK35" s="361">
        <f t="shared" si="461"/>
        <v>0</v>
      </c>
      <c r="CL35" s="361">
        <f>AN35+AS35</f>
        <v>0</v>
      </c>
      <c r="CM35" s="361">
        <f>(CF35+CI35+CK35)*0.1267</f>
        <v>0</v>
      </c>
      <c r="CN35" s="362">
        <f>SUM(CF35:CM35)-CH35-CJ35</f>
        <v>0</v>
      </c>
      <c r="CO35" s="330"/>
      <c r="CP35" s="313" t="s">
        <v>11</v>
      </c>
      <c r="CQ35" s="315">
        <f t="shared" si="465"/>
        <v>0</v>
      </c>
      <c r="CR35" s="315">
        <f t="shared" si="466"/>
        <v>0</v>
      </c>
      <c r="CS35" s="315">
        <f t="shared" si="467"/>
        <v>0</v>
      </c>
      <c r="CT35" s="315">
        <f t="shared" si="468"/>
        <v>0</v>
      </c>
      <c r="CU35" s="315">
        <f t="shared" si="469"/>
        <v>0</v>
      </c>
      <c r="CV35" s="315">
        <f t="shared" si="470"/>
        <v>0</v>
      </c>
      <c r="CW35" s="315">
        <f t="shared" si="471"/>
        <v>0</v>
      </c>
      <c r="CX35" s="315">
        <f>IF($CP35="PROQUIMA",$BC35+$BL35+$BU35+$CD35+CM35,0)</f>
        <v>0</v>
      </c>
      <c r="CY35" s="315">
        <f>SUM(CQ35:CX35)-CS35-CU35</f>
        <v>0</v>
      </c>
      <c r="CZ35" s="315">
        <f t="shared" si="474"/>
        <v>3250</v>
      </c>
      <c r="DA35" s="315">
        <f t="shared" si="475"/>
        <v>1750</v>
      </c>
      <c r="DB35" s="315">
        <f t="shared" si="476"/>
        <v>0</v>
      </c>
      <c r="DC35" s="315">
        <f t="shared" si="477"/>
        <v>0</v>
      </c>
      <c r="DD35" s="315">
        <f t="shared" si="478"/>
        <v>0</v>
      </c>
      <c r="DE35" s="315">
        <f t="shared" si="479"/>
        <v>0</v>
      </c>
      <c r="DF35" s="315">
        <f t="shared" si="572"/>
        <v>0</v>
      </c>
      <c r="DG35" s="315">
        <f t="shared" si="480"/>
        <v>411.77500000000003</v>
      </c>
      <c r="DH35" s="315">
        <f>SUM(CZ35:DG35)-DB35-DD35</f>
        <v>5411.7749999999996</v>
      </c>
      <c r="DI35" s="315">
        <f t="shared" si="482"/>
        <v>0</v>
      </c>
      <c r="DJ35" s="315">
        <f t="shared" si="483"/>
        <v>0</v>
      </c>
      <c r="DK35" s="315">
        <f t="shared" si="484"/>
        <v>0</v>
      </c>
      <c r="DL35" s="315">
        <f t="shared" si="485"/>
        <v>0</v>
      </c>
      <c r="DM35" s="315">
        <f t="shared" si="486"/>
        <v>0</v>
      </c>
      <c r="DN35" s="315">
        <f t="shared" si="487"/>
        <v>0</v>
      </c>
      <c r="DO35" s="315">
        <f t="shared" si="488"/>
        <v>0</v>
      </c>
      <c r="DP35" s="315">
        <f t="shared" si="489"/>
        <v>0</v>
      </c>
      <c r="DQ35" s="315">
        <f>SUM(DI35:DP35)-DK35-DM35</f>
        <v>0</v>
      </c>
      <c r="DR35" s="360">
        <f t="shared" si="491"/>
        <v>0</v>
      </c>
      <c r="DS35" s="361">
        <f t="shared" si="492"/>
        <v>0</v>
      </c>
      <c r="DT35" s="361">
        <f t="shared" si="493"/>
        <v>0</v>
      </c>
      <c r="DU35" s="361">
        <f t="shared" si="494"/>
        <v>0</v>
      </c>
      <c r="DV35" s="361">
        <f t="shared" si="495"/>
        <v>0</v>
      </c>
      <c r="DW35" s="361">
        <f t="shared" si="496"/>
        <v>0</v>
      </c>
      <c r="DX35" s="361">
        <f t="shared" si="497"/>
        <v>0</v>
      </c>
      <c r="DY35" s="361">
        <f t="shared" si="498"/>
        <v>0</v>
      </c>
      <c r="DZ35" s="361">
        <f>SUM(DR35:DY35)-DT35-DV35</f>
        <v>0</v>
      </c>
      <c r="EA35" s="361">
        <f t="shared" si="499"/>
        <v>0</v>
      </c>
      <c r="EB35" s="361">
        <f t="shared" si="500"/>
        <v>0</v>
      </c>
      <c r="EC35" s="361">
        <f t="shared" si="501"/>
        <v>0</v>
      </c>
      <c r="ED35" s="361">
        <f t="shared" si="502"/>
        <v>0</v>
      </c>
      <c r="EE35" s="361">
        <f t="shared" si="503"/>
        <v>0</v>
      </c>
      <c r="EF35" s="361">
        <f t="shared" si="504"/>
        <v>0</v>
      </c>
      <c r="EG35" s="361">
        <f t="shared" si="505"/>
        <v>0</v>
      </c>
      <c r="EH35" s="361">
        <f t="shared" si="576"/>
        <v>0</v>
      </c>
      <c r="EI35" s="362">
        <f>SUM(EA35:EH35)-EC35-EE35</f>
        <v>0</v>
      </c>
      <c r="EJ35" s="330"/>
      <c r="EK35" s="313">
        <v>42.15</v>
      </c>
      <c r="EL35" s="313">
        <v>538.59</v>
      </c>
      <c r="EM35" s="313"/>
      <c r="EN35" s="1969">
        <f>175.5+209.5</f>
        <v>385</v>
      </c>
      <c r="EO35" s="363"/>
      <c r="EP35" s="313">
        <v>50</v>
      </c>
      <c r="EQ35" s="365">
        <v>150</v>
      </c>
      <c r="ER35" s="363"/>
      <c r="ES35" s="363"/>
      <c r="ET35" s="363">
        <f t="shared" si="507"/>
        <v>200</v>
      </c>
      <c r="EV35" s="366">
        <f t="shared" si="508"/>
        <v>42.15</v>
      </c>
      <c r="EW35" s="366">
        <f t="shared" si="509"/>
        <v>538.59</v>
      </c>
      <c r="EX35" s="366">
        <f t="shared" si="510"/>
        <v>0</v>
      </c>
      <c r="EY35" s="366">
        <f t="shared" si="511"/>
        <v>385</v>
      </c>
      <c r="EZ35" s="366">
        <f t="shared" si="512"/>
        <v>0</v>
      </c>
      <c r="FA35" s="366">
        <f t="shared" si="513"/>
        <v>50</v>
      </c>
      <c r="FB35" s="366">
        <f t="shared" si="514"/>
        <v>150</v>
      </c>
      <c r="FC35" s="366">
        <f t="shared" si="515"/>
        <v>0</v>
      </c>
      <c r="FD35" s="366">
        <f t="shared" si="516"/>
        <v>0</v>
      </c>
      <c r="FE35" s="366">
        <f t="shared" si="517"/>
        <v>200</v>
      </c>
      <c r="FF35" s="364">
        <v>0.52</v>
      </c>
      <c r="FG35" s="364">
        <v>0.48</v>
      </c>
      <c r="FH35" s="364">
        <v>0</v>
      </c>
      <c r="FI35" s="364">
        <v>0</v>
      </c>
      <c r="FJ35" s="364">
        <v>0</v>
      </c>
      <c r="FK35" s="364">
        <v>1</v>
      </c>
      <c r="FL35" s="1441">
        <f t="shared" si="272"/>
        <v>0</v>
      </c>
    </row>
    <row r="36" spans="1:172" s="1441" customFormat="1" ht="15" customHeight="1" outlineLevel="1">
      <c r="A36" s="1454" t="e">
        <f t="shared" si="658"/>
        <v>#REF!</v>
      </c>
      <c r="B36" s="213" t="s">
        <v>509</v>
      </c>
      <c r="C36" s="365" t="s">
        <v>566</v>
      </c>
      <c r="D36" s="363" t="s">
        <v>10</v>
      </c>
      <c r="E36" s="315">
        <v>3720</v>
      </c>
      <c r="F36" s="355">
        <v>2480</v>
      </c>
      <c r="G36" s="1431">
        <f t="shared" si="422"/>
        <v>6200</v>
      </c>
      <c r="H36" s="355">
        <v>30</v>
      </c>
      <c r="I36" s="1432">
        <v>0.5</v>
      </c>
      <c r="J36" s="1432">
        <v>0.5</v>
      </c>
      <c r="K36" s="1432">
        <v>0</v>
      </c>
      <c r="L36" s="1432">
        <v>0</v>
      </c>
      <c r="M36" s="1494">
        <v>0</v>
      </c>
      <c r="N36" s="1432">
        <f t="shared" si="423"/>
        <v>1</v>
      </c>
      <c r="O36" s="1433"/>
      <c r="P36" s="366"/>
      <c r="Q36" s="355">
        <f t="shared" si="424"/>
        <v>0</v>
      </c>
      <c r="R36" s="1499"/>
      <c r="S36" s="355">
        <f t="shared" si="425"/>
        <v>0</v>
      </c>
      <c r="T36" s="366"/>
      <c r="U36" s="355">
        <f t="shared" si="426"/>
        <v>0</v>
      </c>
      <c r="V36" s="366"/>
      <c r="W36" s="355">
        <f t="shared" si="427"/>
        <v>0</v>
      </c>
      <c r="X36" s="366">
        <v>0</v>
      </c>
      <c r="Y36" s="355">
        <f t="shared" si="428"/>
        <v>0</v>
      </c>
      <c r="Z36" s="1434"/>
      <c r="AA36" s="355">
        <f t="shared" si="659"/>
        <v>0</v>
      </c>
      <c r="AB36" s="1434"/>
      <c r="AC36" s="355">
        <f t="shared" si="429"/>
        <v>0</v>
      </c>
      <c r="AD36" s="1434"/>
      <c r="AE36" s="355">
        <f t="shared" si="430"/>
        <v>0</v>
      </c>
      <c r="AF36" s="355"/>
      <c r="AG36" s="355">
        <f t="shared" si="431"/>
        <v>0</v>
      </c>
      <c r="AH36" s="1434"/>
      <c r="AI36" s="355">
        <f t="shared" si="432"/>
        <v>0</v>
      </c>
      <c r="AJ36" s="355"/>
      <c r="AK36" s="355"/>
      <c r="AL36" s="355"/>
      <c r="AM36" s="355"/>
      <c r="AN36" s="355"/>
      <c r="AO36" s="355"/>
      <c r="AP36" s="355"/>
      <c r="AQ36" s="355"/>
      <c r="AR36" s="355"/>
      <c r="AS36" s="355"/>
      <c r="AT36" s="355"/>
      <c r="AU36" s="363"/>
      <c r="AV36" s="355">
        <f t="shared" si="433"/>
        <v>1860</v>
      </c>
      <c r="AW36" s="355">
        <f t="shared" si="604"/>
        <v>1240</v>
      </c>
      <c r="AX36" s="355">
        <f t="shared" si="435"/>
        <v>0</v>
      </c>
      <c r="AY36" s="355">
        <f t="shared" si="436"/>
        <v>0</v>
      </c>
      <c r="AZ36" s="355">
        <f t="shared" si="437"/>
        <v>0</v>
      </c>
      <c r="BA36" s="355">
        <f t="shared" si="438"/>
        <v>0</v>
      </c>
      <c r="BB36" s="355">
        <f t="shared" si="439"/>
        <v>0</v>
      </c>
      <c r="BC36" s="355">
        <f>(AV36+AY36+BA36)*0.1267</f>
        <v>235.66200000000001</v>
      </c>
      <c r="BD36" s="355">
        <f t="shared" si="440"/>
        <v>3335.6619999999998</v>
      </c>
      <c r="BE36" s="355">
        <f t="shared" si="441"/>
        <v>1860</v>
      </c>
      <c r="BF36" s="355">
        <f t="shared" si="538"/>
        <v>1240</v>
      </c>
      <c r="BG36" s="355">
        <f t="shared" si="443"/>
        <v>0</v>
      </c>
      <c r="BH36" s="355">
        <f t="shared" si="444"/>
        <v>0</v>
      </c>
      <c r="BI36" s="355">
        <f t="shared" si="445"/>
        <v>0</v>
      </c>
      <c r="BJ36" s="355">
        <f t="shared" si="446"/>
        <v>0</v>
      </c>
      <c r="BK36" s="355">
        <f t="shared" ref="BK36:BK40" si="661">AK36+AP36</f>
        <v>0</v>
      </c>
      <c r="BL36" s="355">
        <f t="shared" si="447"/>
        <v>235.66200000000001</v>
      </c>
      <c r="BM36" s="1431">
        <f t="shared" si="448"/>
        <v>3335.6619999999998</v>
      </c>
      <c r="BN36" s="355">
        <f t="shared" si="449"/>
        <v>0</v>
      </c>
      <c r="BO36" s="355">
        <f t="shared" si="450"/>
        <v>0</v>
      </c>
      <c r="BP36" s="355">
        <f t="shared" si="451"/>
        <v>0</v>
      </c>
      <c r="BQ36" s="355">
        <f t="shared" si="452"/>
        <v>0</v>
      </c>
      <c r="BR36" s="355">
        <f t="shared" si="453"/>
        <v>0</v>
      </c>
      <c r="BS36" s="355">
        <f t="shared" si="454"/>
        <v>0</v>
      </c>
      <c r="BT36" s="355">
        <f t="shared" si="455"/>
        <v>0</v>
      </c>
      <c r="BU36" s="355">
        <f t="shared" si="456"/>
        <v>0</v>
      </c>
      <c r="BV36" s="355">
        <f t="shared" si="457"/>
        <v>0</v>
      </c>
      <c r="BW36" s="1495">
        <f t="shared" si="553"/>
        <v>0</v>
      </c>
      <c r="BX36" s="1496">
        <f t="shared" si="554"/>
        <v>0</v>
      </c>
      <c r="BY36" s="1496">
        <f t="shared" ref="BY36:CB36" si="662">AB36</f>
        <v>0</v>
      </c>
      <c r="BZ36" s="1496">
        <f t="shared" si="662"/>
        <v>0</v>
      </c>
      <c r="CA36" s="1496">
        <f t="shared" si="662"/>
        <v>0</v>
      </c>
      <c r="CB36" s="1496">
        <f t="shared" si="662"/>
        <v>0</v>
      </c>
      <c r="CC36" s="1496">
        <f t="shared" ref="CC36:CC40" si="663">AM36+AR36</f>
        <v>0</v>
      </c>
      <c r="CD36" s="1496">
        <f t="shared" ref="CD36:CD40" si="664">(BW36+BZ36+CB36)*0.1267</f>
        <v>0</v>
      </c>
      <c r="CE36" s="1496">
        <f>SUM(BW36:CD36)-BY36-CA36</f>
        <v>0</v>
      </c>
      <c r="CF36" s="1496">
        <f t="shared" si="660"/>
        <v>0</v>
      </c>
      <c r="CG36" s="1496">
        <f t="shared" si="459"/>
        <v>0</v>
      </c>
      <c r="CH36" s="1496">
        <f t="shared" si="460"/>
        <v>0</v>
      </c>
      <c r="CI36" s="1496">
        <f t="shared" ref="CI36:CK36" si="665">AG36</f>
        <v>0</v>
      </c>
      <c r="CJ36" s="1496">
        <f t="shared" si="665"/>
        <v>0</v>
      </c>
      <c r="CK36" s="1496">
        <f t="shared" si="665"/>
        <v>0</v>
      </c>
      <c r="CL36" s="1496">
        <f t="shared" si="462"/>
        <v>0</v>
      </c>
      <c r="CM36" s="1496">
        <f t="shared" si="463"/>
        <v>0</v>
      </c>
      <c r="CN36" s="1497">
        <f t="shared" si="464"/>
        <v>0</v>
      </c>
      <c r="CO36" s="1414"/>
      <c r="CP36" s="363" t="s">
        <v>10</v>
      </c>
      <c r="CQ36" s="355">
        <f t="shared" si="465"/>
        <v>3720</v>
      </c>
      <c r="CR36" s="355">
        <f t="shared" si="466"/>
        <v>2480</v>
      </c>
      <c r="CS36" s="355">
        <f t="shared" si="467"/>
        <v>0</v>
      </c>
      <c r="CT36" s="355">
        <f t="shared" si="468"/>
        <v>0</v>
      </c>
      <c r="CU36" s="355">
        <f t="shared" si="469"/>
        <v>0</v>
      </c>
      <c r="CV36" s="355">
        <f t="shared" si="470"/>
        <v>0</v>
      </c>
      <c r="CW36" s="355">
        <f t="shared" si="471"/>
        <v>0</v>
      </c>
      <c r="CX36" s="355">
        <f t="shared" si="472"/>
        <v>471.32400000000001</v>
      </c>
      <c r="CY36" s="355">
        <f t="shared" si="473"/>
        <v>6671.3239999999996</v>
      </c>
      <c r="CZ36" s="355">
        <f t="shared" si="474"/>
        <v>0</v>
      </c>
      <c r="DA36" s="355">
        <f t="shared" si="475"/>
        <v>0</v>
      </c>
      <c r="DB36" s="355">
        <f t="shared" si="476"/>
        <v>0</v>
      </c>
      <c r="DC36" s="355">
        <f t="shared" si="477"/>
        <v>0</v>
      </c>
      <c r="DD36" s="355">
        <f t="shared" si="478"/>
        <v>0</v>
      </c>
      <c r="DE36" s="355">
        <f t="shared" si="479"/>
        <v>0</v>
      </c>
      <c r="DF36" s="355">
        <f t="shared" si="572"/>
        <v>0</v>
      </c>
      <c r="DG36" s="355">
        <f t="shared" si="480"/>
        <v>0</v>
      </c>
      <c r="DH36" s="355">
        <f t="shared" si="481"/>
        <v>0</v>
      </c>
      <c r="DI36" s="355">
        <f t="shared" si="482"/>
        <v>0</v>
      </c>
      <c r="DJ36" s="355">
        <f t="shared" si="483"/>
        <v>0</v>
      </c>
      <c r="DK36" s="355">
        <f t="shared" si="484"/>
        <v>0</v>
      </c>
      <c r="DL36" s="355">
        <f t="shared" si="485"/>
        <v>0</v>
      </c>
      <c r="DM36" s="355">
        <f t="shared" si="486"/>
        <v>0</v>
      </c>
      <c r="DN36" s="355">
        <f t="shared" si="487"/>
        <v>0</v>
      </c>
      <c r="DO36" s="355">
        <f t="shared" si="488"/>
        <v>0</v>
      </c>
      <c r="DP36" s="355">
        <f t="shared" si="489"/>
        <v>0</v>
      </c>
      <c r="DQ36" s="355">
        <f t="shared" si="490"/>
        <v>0</v>
      </c>
      <c r="DR36" s="1495">
        <f t="shared" si="491"/>
        <v>0</v>
      </c>
      <c r="DS36" s="1496">
        <f t="shared" si="492"/>
        <v>0</v>
      </c>
      <c r="DT36" s="1496">
        <f t="shared" si="493"/>
        <v>0</v>
      </c>
      <c r="DU36" s="1496">
        <f t="shared" si="494"/>
        <v>0</v>
      </c>
      <c r="DV36" s="1496">
        <f t="shared" si="495"/>
        <v>0</v>
      </c>
      <c r="DW36" s="1496">
        <f t="shared" si="496"/>
        <v>0</v>
      </c>
      <c r="DX36" s="1496">
        <f t="shared" si="497"/>
        <v>0</v>
      </c>
      <c r="DY36" s="1496">
        <f t="shared" si="498"/>
        <v>0</v>
      </c>
      <c r="DZ36" s="1496">
        <f t="shared" ref="DZ36:DZ40" si="666">SUM(DR36:DY36)-DT36-DV36</f>
        <v>0</v>
      </c>
      <c r="EA36" s="1496">
        <f t="shared" si="499"/>
        <v>0</v>
      </c>
      <c r="EB36" s="1496">
        <f t="shared" si="500"/>
        <v>0</v>
      </c>
      <c r="EC36" s="1496">
        <f t="shared" si="501"/>
        <v>0</v>
      </c>
      <c r="ED36" s="1496">
        <f t="shared" si="502"/>
        <v>0</v>
      </c>
      <c r="EE36" s="1496">
        <f t="shared" si="503"/>
        <v>0</v>
      </c>
      <c r="EF36" s="1496">
        <f t="shared" si="504"/>
        <v>0</v>
      </c>
      <c r="EG36" s="1496">
        <f t="shared" si="505"/>
        <v>0</v>
      </c>
      <c r="EH36" s="1496">
        <f t="shared" si="576"/>
        <v>0</v>
      </c>
      <c r="EI36" s="1497">
        <f t="shared" si="506"/>
        <v>0</v>
      </c>
      <c r="EJ36" s="1414"/>
      <c r="EK36" s="2204">
        <v>101.02</v>
      </c>
      <c r="EL36" s="363"/>
      <c r="EM36" s="363"/>
      <c r="EN36" s="363">
        <f>34+17</f>
        <v>51</v>
      </c>
      <c r="EO36" s="363"/>
      <c r="EP36" s="363">
        <v>75</v>
      </c>
      <c r="EQ36" s="363"/>
      <c r="ER36" s="363"/>
      <c r="ES36" s="363"/>
      <c r="ET36" s="363">
        <f t="shared" si="507"/>
        <v>75</v>
      </c>
      <c r="EU36" s="1500"/>
      <c r="EV36" s="366">
        <f t="shared" si="508"/>
        <v>101.02</v>
      </c>
      <c r="EW36" s="366">
        <f t="shared" si="509"/>
        <v>0</v>
      </c>
      <c r="EX36" s="366">
        <f t="shared" si="510"/>
        <v>0</v>
      </c>
      <c r="EY36" s="366">
        <f t="shared" si="511"/>
        <v>51</v>
      </c>
      <c r="EZ36" s="366">
        <f t="shared" si="512"/>
        <v>0</v>
      </c>
      <c r="FA36" s="366">
        <f t="shared" si="513"/>
        <v>75</v>
      </c>
      <c r="FB36" s="366">
        <f t="shared" si="514"/>
        <v>0</v>
      </c>
      <c r="FC36" s="366">
        <f t="shared" si="515"/>
        <v>0</v>
      </c>
      <c r="FD36" s="366">
        <f t="shared" si="516"/>
        <v>0</v>
      </c>
      <c r="FE36" s="366">
        <f t="shared" si="517"/>
        <v>75</v>
      </c>
      <c r="FF36" s="364">
        <v>1</v>
      </c>
      <c r="FG36" s="364">
        <v>0</v>
      </c>
      <c r="FH36" s="364">
        <v>0</v>
      </c>
      <c r="FI36" s="364">
        <v>0</v>
      </c>
      <c r="FJ36" s="364">
        <v>0</v>
      </c>
      <c r="FK36" s="364">
        <v>1</v>
      </c>
      <c r="FL36" s="1441">
        <f t="shared" si="272"/>
        <v>0</v>
      </c>
    </row>
    <row r="37" spans="1:172" s="331" customFormat="1" ht="15" customHeight="1" outlineLevel="1">
      <c r="A37" s="1454" t="e">
        <f t="shared" si="658"/>
        <v>#REF!</v>
      </c>
      <c r="B37" s="311" t="s">
        <v>738</v>
      </c>
      <c r="C37" s="312" t="s">
        <v>70</v>
      </c>
      <c r="D37" s="313" t="s">
        <v>10</v>
      </c>
      <c r="E37" s="315">
        <v>3166.38</v>
      </c>
      <c r="F37" s="315">
        <v>1233.6199999999999</v>
      </c>
      <c r="G37" s="314">
        <f t="shared" ref="G37" si="667">+E37+F37</f>
        <v>4400</v>
      </c>
      <c r="H37" s="315">
        <v>30</v>
      </c>
      <c r="I37" s="318">
        <v>1</v>
      </c>
      <c r="J37" s="318">
        <v>0</v>
      </c>
      <c r="K37" s="318">
        <v>0</v>
      </c>
      <c r="L37" s="318">
        <v>0</v>
      </c>
      <c r="M37" s="1498">
        <v>0</v>
      </c>
      <c r="N37" s="318">
        <f t="shared" ref="N37" si="668">SUM(I37:M37)</f>
        <v>1</v>
      </c>
      <c r="O37" s="319"/>
      <c r="P37" s="321"/>
      <c r="Q37" s="315">
        <f t="shared" ref="Q37" si="669">($E37/30/8*1.5)*P37</f>
        <v>0</v>
      </c>
      <c r="R37" s="1579"/>
      <c r="S37" s="315">
        <f t="shared" ref="S37" si="670">($E37/30/8*2)*R37</f>
        <v>0</v>
      </c>
      <c r="T37" s="321"/>
      <c r="U37" s="315">
        <f t="shared" ref="U37" si="671">($E37/30/8*1.5)*T37</f>
        <v>0</v>
      </c>
      <c r="V37" s="321"/>
      <c r="W37" s="315">
        <f t="shared" ref="W37" si="672">($E37/30/8*2)*V37</f>
        <v>0</v>
      </c>
      <c r="X37" s="321">
        <v>0</v>
      </c>
      <c r="Y37" s="315">
        <f t="shared" ref="Y37" si="673">(($E37/30/8)*1.5)*X37</f>
        <v>0</v>
      </c>
      <c r="Z37" s="322"/>
      <c r="AA37" s="315">
        <f t="shared" ref="AA37" si="674">(($E37/30/8)*2)*Z37</f>
        <v>0</v>
      </c>
      <c r="AB37" s="322"/>
      <c r="AC37" s="315">
        <f t="shared" ref="AC37" si="675">(($E37/30/8)*1.5)*AB37</f>
        <v>0</v>
      </c>
      <c r="AD37" s="322"/>
      <c r="AE37" s="315">
        <f t="shared" ref="AE37" si="676">(($E37/30/8)*2)*AD37</f>
        <v>0</v>
      </c>
      <c r="AF37" s="315"/>
      <c r="AG37" s="315">
        <f t="shared" ref="AG37" si="677">(($E37/30/8)*1.5)*AF37</f>
        <v>0</v>
      </c>
      <c r="AH37" s="322"/>
      <c r="AI37" s="315">
        <f t="shared" ref="AI37" si="678">(($E37/30/8)*2)*AH37</f>
        <v>0</v>
      </c>
      <c r="AJ37" s="315"/>
      <c r="AK37" s="315"/>
      <c r="AL37" s="315"/>
      <c r="AM37" s="315"/>
      <c r="AN37" s="315"/>
      <c r="AO37" s="315"/>
      <c r="AP37" s="315"/>
      <c r="AQ37" s="315"/>
      <c r="AR37" s="315"/>
      <c r="AS37" s="315"/>
      <c r="AT37" s="315"/>
      <c r="AU37" s="313"/>
      <c r="AV37" s="315">
        <f t="shared" ref="AV37" si="679">((E37/30)*H37)*$I37</f>
        <v>3166.38</v>
      </c>
      <c r="AW37" s="315">
        <f t="shared" ref="AW37" si="680">((F37/30)*H37)*$I37</f>
        <v>1233.6199999999999</v>
      </c>
      <c r="AX37" s="315">
        <f t="shared" ref="AX37" si="681">P37</f>
        <v>0</v>
      </c>
      <c r="AY37" s="315">
        <f t="shared" ref="AY37" si="682">Q37</f>
        <v>0</v>
      </c>
      <c r="AZ37" s="315">
        <f t="shared" ref="AZ37" si="683">R37</f>
        <v>0</v>
      </c>
      <c r="BA37" s="315">
        <f t="shared" ref="BA37" si="684">S37</f>
        <v>0</v>
      </c>
      <c r="BB37" s="315">
        <f t="shared" ref="BB37" si="685">AJ37+AO37</f>
        <v>0</v>
      </c>
      <c r="BC37" s="315">
        <f t="shared" ref="BC37" si="686">(AV37+AY37+BA37)*0.1267</f>
        <v>401.18034600000004</v>
      </c>
      <c r="BD37" s="315">
        <f t="shared" ref="BD37" si="687">SUM(AV37:BC37)-AX37-AZ37</f>
        <v>4801.1803460000001</v>
      </c>
      <c r="BE37" s="315">
        <f t="shared" si="441"/>
        <v>0</v>
      </c>
      <c r="BF37" s="315">
        <f t="shared" si="538"/>
        <v>0</v>
      </c>
      <c r="BG37" s="315">
        <f t="shared" ref="BG37" si="688">T37</f>
        <v>0</v>
      </c>
      <c r="BH37" s="315">
        <f t="shared" ref="BH37" si="689">U37</f>
        <v>0</v>
      </c>
      <c r="BI37" s="315">
        <f t="shared" ref="BI37" si="690">V37</f>
        <v>0</v>
      </c>
      <c r="BJ37" s="315">
        <f t="shared" ref="BJ37" si="691">W37</f>
        <v>0</v>
      </c>
      <c r="BK37" s="315">
        <f t="shared" ref="BK37" si="692">AK37+AP37</f>
        <v>0</v>
      </c>
      <c r="BL37" s="315">
        <f t="shared" ref="BL37" si="693">(+BE37+BH37+BJ37+BK37)*0.1267</f>
        <v>0</v>
      </c>
      <c r="BM37" s="314">
        <f t="shared" ref="BM37" si="694">SUM(BE37:BL37)-BG37-BI37</f>
        <v>0</v>
      </c>
      <c r="BN37" s="315">
        <f t="shared" si="449"/>
        <v>0</v>
      </c>
      <c r="BO37" s="315">
        <f t="shared" si="450"/>
        <v>0</v>
      </c>
      <c r="BP37" s="315">
        <f t="shared" ref="BP37" si="695">X37</f>
        <v>0</v>
      </c>
      <c r="BQ37" s="315">
        <f t="shared" ref="BQ37" si="696">Y37</f>
        <v>0</v>
      </c>
      <c r="BR37" s="315">
        <f t="shared" ref="BR37" si="697">Z37</f>
        <v>0</v>
      </c>
      <c r="BS37" s="315">
        <f t="shared" ref="BS37" si="698">AA37</f>
        <v>0</v>
      </c>
      <c r="BT37" s="315">
        <f t="shared" ref="BT37" si="699">AL37+AQ37</f>
        <v>0</v>
      </c>
      <c r="BU37" s="315">
        <f t="shared" ref="BU37" si="700">(BN37+BQ37+BS37)*0.1267</f>
        <v>0</v>
      </c>
      <c r="BV37" s="315">
        <f t="shared" ref="BV37" si="701">SUM(BN37:BU37)-BP37-BR37</f>
        <v>0</v>
      </c>
      <c r="BW37" s="360">
        <f t="shared" si="553"/>
        <v>0</v>
      </c>
      <c r="BX37" s="361">
        <f t="shared" si="554"/>
        <v>0</v>
      </c>
      <c r="BY37" s="361">
        <f t="shared" ref="BY37" si="702">AB37</f>
        <v>0</v>
      </c>
      <c r="BZ37" s="361">
        <f t="shared" ref="BZ37" si="703">AC37</f>
        <v>0</v>
      </c>
      <c r="CA37" s="361">
        <f t="shared" ref="CA37" si="704">AD37</f>
        <v>0</v>
      </c>
      <c r="CB37" s="361">
        <f t="shared" ref="CB37" si="705">AE37</f>
        <v>0</v>
      </c>
      <c r="CC37" s="361">
        <f t="shared" ref="CC37" si="706">AM37+AR37</f>
        <v>0</v>
      </c>
      <c r="CD37" s="361">
        <f t="shared" ref="CD37" si="707">(BW37+BZ37+CB37)*0.1267</f>
        <v>0</v>
      </c>
      <c r="CE37" s="361">
        <f t="shared" ref="CE37" si="708">SUM(BW37:CD37)-BY37-CA37</f>
        <v>0</v>
      </c>
      <c r="CF37" s="361">
        <f t="shared" ref="CF37" si="709">(($E37/30)*$H37)*M37</f>
        <v>0</v>
      </c>
      <c r="CG37" s="361">
        <f t="shared" si="459"/>
        <v>0</v>
      </c>
      <c r="CH37" s="361">
        <f t="shared" ref="CH37" si="710">+AF37</f>
        <v>0</v>
      </c>
      <c r="CI37" s="361">
        <f t="shared" ref="CI37" si="711">AG37</f>
        <v>0</v>
      </c>
      <c r="CJ37" s="361">
        <f t="shared" ref="CJ37" si="712">AH37</f>
        <v>0</v>
      </c>
      <c r="CK37" s="361">
        <f t="shared" ref="CK37" si="713">AI37</f>
        <v>0</v>
      </c>
      <c r="CL37" s="361">
        <f t="shared" ref="CL37" si="714">AN37+AS37</f>
        <v>0</v>
      </c>
      <c r="CM37" s="361">
        <f t="shared" ref="CM37" si="715">(CF37+CI37+CK37)*0.1267</f>
        <v>0</v>
      </c>
      <c r="CN37" s="362">
        <f t="shared" ref="CN37" si="716">SUM(CF37:CM37)-CH37-CJ37</f>
        <v>0</v>
      </c>
      <c r="CO37" s="330"/>
      <c r="CP37" s="313" t="s">
        <v>10</v>
      </c>
      <c r="CQ37" s="315">
        <f t="shared" si="465"/>
        <v>3166.38</v>
      </c>
      <c r="CR37" s="315">
        <f t="shared" si="466"/>
        <v>1233.6199999999999</v>
      </c>
      <c r="CS37" s="315">
        <f t="shared" si="467"/>
        <v>0</v>
      </c>
      <c r="CT37" s="315">
        <f t="shared" si="468"/>
        <v>0</v>
      </c>
      <c r="CU37" s="315">
        <f t="shared" si="469"/>
        <v>0</v>
      </c>
      <c r="CV37" s="315">
        <f t="shared" si="470"/>
        <v>0</v>
      </c>
      <c r="CW37" s="315">
        <f t="shared" si="471"/>
        <v>0</v>
      </c>
      <c r="CX37" s="315">
        <f t="shared" ref="CX37" si="717">IF($CP37="PROQUIMA",$BC37+$BL37+$BU37+$CD37+CM37,0)</f>
        <v>401.18034600000004</v>
      </c>
      <c r="CY37" s="315">
        <f t="shared" ref="CY37" si="718">SUM(CQ37:CX37)-CS37-CU37</f>
        <v>4801.1803460000001</v>
      </c>
      <c r="CZ37" s="315">
        <f t="shared" si="474"/>
        <v>0</v>
      </c>
      <c r="DA37" s="315">
        <f t="shared" si="475"/>
        <v>0</v>
      </c>
      <c r="DB37" s="315">
        <f t="shared" si="476"/>
        <v>0</v>
      </c>
      <c r="DC37" s="315">
        <f t="shared" si="477"/>
        <v>0</v>
      </c>
      <c r="DD37" s="315">
        <f t="shared" si="478"/>
        <v>0</v>
      </c>
      <c r="DE37" s="315">
        <f t="shared" si="479"/>
        <v>0</v>
      </c>
      <c r="DF37" s="315">
        <f t="shared" si="572"/>
        <v>0</v>
      </c>
      <c r="DG37" s="315">
        <f t="shared" si="480"/>
        <v>0</v>
      </c>
      <c r="DH37" s="315">
        <f t="shared" ref="DH37" si="719">SUM(CZ37:DG37)-DB37-DD37</f>
        <v>0</v>
      </c>
      <c r="DI37" s="315">
        <f t="shared" si="482"/>
        <v>0</v>
      </c>
      <c r="DJ37" s="315">
        <f t="shared" si="483"/>
        <v>0</v>
      </c>
      <c r="DK37" s="315">
        <f t="shared" si="484"/>
        <v>0</v>
      </c>
      <c r="DL37" s="315">
        <f t="shared" si="485"/>
        <v>0</v>
      </c>
      <c r="DM37" s="315">
        <f t="shared" si="486"/>
        <v>0</v>
      </c>
      <c r="DN37" s="315">
        <f t="shared" si="487"/>
        <v>0</v>
      </c>
      <c r="DO37" s="315">
        <f t="shared" si="488"/>
        <v>0</v>
      </c>
      <c r="DP37" s="315">
        <f t="shared" si="489"/>
        <v>0</v>
      </c>
      <c r="DQ37" s="315">
        <f t="shared" ref="DQ37" si="720">SUM(DI37:DP37)-DK37-DM37</f>
        <v>0</v>
      </c>
      <c r="DR37" s="360">
        <f t="shared" si="491"/>
        <v>0</v>
      </c>
      <c r="DS37" s="361">
        <f t="shared" si="492"/>
        <v>0</v>
      </c>
      <c r="DT37" s="361">
        <f t="shared" si="493"/>
        <v>0</v>
      </c>
      <c r="DU37" s="361">
        <f t="shared" si="494"/>
        <v>0</v>
      </c>
      <c r="DV37" s="361">
        <f t="shared" si="495"/>
        <v>0</v>
      </c>
      <c r="DW37" s="361">
        <f t="shared" si="496"/>
        <v>0</v>
      </c>
      <c r="DX37" s="361">
        <f t="shared" si="497"/>
        <v>0</v>
      </c>
      <c r="DY37" s="361">
        <f t="shared" si="498"/>
        <v>0</v>
      </c>
      <c r="DZ37" s="361">
        <f t="shared" ref="DZ37" si="721">SUM(DR37:DY37)-DT37-DV37</f>
        <v>0</v>
      </c>
      <c r="EA37" s="361">
        <f t="shared" si="499"/>
        <v>0</v>
      </c>
      <c r="EB37" s="361">
        <f t="shared" si="500"/>
        <v>0</v>
      </c>
      <c r="EC37" s="361">
        <f t="shared" si="501"/>
        <v>0</v>
      </c>
      <c r="ED37" s="361">
        <f t="shared" si="502"/>
        <v>0</v>
      </c>
      <c r="EE37" s="361">
        <f t="shared" si="503"/>
        <v>0</v>
      </c>
      <c r="EF37" s="361">
        <f t="shared" si="504"/>
        <v>0</v>
      </c>
      <c r="EG37" s="361">
        <f t="shared" si="505"/>
        <v>0</v>
      </c>
      <c r="EH37" s="361">
        <f t="shared" si="576"/>
        <v>0</v>
      </c>
      <c r="EI37" s="362">
        <f t="shared" ref="EI37" si="722">SUM(EA37:EH37)-EC37-EE37</f>
        <v>0</v>
      </c>
      <c r="EJ37" s="330"/>
      <c r="EK37" s="2204">
        <v>12.35</v>
      </c>
      <c r="EL37" s="313"/>
      <c r="EM37" s="313"/>
      <c r="EN37" s="313"/>
      <c r="EO37" s="313"/>
      <c r="EP37" s="313">
        <v>50</v>
      </c>
      <c r="EQ37" s="313"/>
      <c r="ER37" s="313"/>
      <c r="ES37" s="313"/>
      <c r="ET37" s="313">
        <f>+EO37+EP37+EQ37</f>
        <v>50</v>
      </c>
      <c r="EU37" s="1501"/>
      <c r="EV37" s="321">
        <f t="shared" ref="EV37" si="723">IF($H37&lt;=15,EK37/2,EK37)</f>
        <v>12.35</v>
      </c>
      <c r="EW37" s="321">
        <f t="shared" ref="EW37" si="724">IF($H37&lt;=15,EL37/2,EL37)</f>
        <v>0</v>
      </c>
      <c r="EX37" s="321">
        <f t="shared" ref="EX37" si="725">IF($H37&lt;=15,EM37/2,EM37)</f>
        <v>0</v>
      </c>
      <c r="EY37" s="321">
        <f t="shared" ref="EY37" si="726">IF($H37&lt;=15,EN37/2,EN37)</f>
        <v>0</v>
      </c>
      <c r="EZ37" s="321">
        <f t="shared" ref="EZ37" si="727">IF($H37&lt;=15,EO37/2,EO37)</f>
        <v>0</v>
      </c>
      <c r="FA37" s="321">
        <f t="shared" ref="FA37" si="728">IF($H37&lt;=15,EP37/2,EP37)</f>
        <v>50</v>
      </c>
      <c r="FB37" s="321">
        <f t="shared" ref="FB37" si="729">IF($H37&lt;=15,EQ37/2,EQ37)</f>
        <v>0</v>
      </c>
      <c r="FC37" s="321">
        <f t="shared" ref="FC37" si="730">IF($H37&lt;=15,ER37/2,ER37)</f>
        <v>0</v>
      </c>
      <c r="FD37" s="321">
        <f t="shared" ref="FD37" si="731">IF($H37&lt;=15,ES37/2,ES37)</f>
        <v>0</v>
      </c>
      <c r="FE37" s="321">
        <f>IF($H37&lt;=15,ET37/2,ET37)</f>
        <v>50</v>
      </c>
      <c r="FF37" s="332"/>
      <c r="FG37" s="332"/>
      <c r="FH37" s="332"/>
      <c r="FI37" s="332"/>
      <c r="FJ37" s="332"/>
      <c r="FK37" s="332"/>
    </row>
    <row r="38" spans="1:172" s="2323" customFormat="1" ht="15" customHeight="1" outlineLevel="1">
      <c r="A38" s="2304" t="e">
        <f t="shared" si="658"/>
        <v>#REF!</v>
      </c>
      <c r="B38" s="2305" t="s">
        <v>823</v>
      </c>
      <c r="C38" s="2306" t="s">
        <v>70</v>
      </c>
      <c r="D38" s="2307" t="s">
        <v>11</v>
      </c>
      <c r="E38" s="2308">
        <v>3166.38</v>
      </c>
      <c r="F38" s="2308">
        <v>833.62</v>
      </c>
      <c r="G38" s="2309">
        <f t="shared" ref="G38" si="732">+E38+F38</f>
        <v>4000</v>
      </c>
      <c r="H38" s="2308">
        <v>30</v>
      </c>
      <c r="I38" s="2310">
        <v>0</v>
      </c>
      <c r="J38" s="2310">
        <v>1</v>
      </c>
      <c r="K38" s="2310">
        <v>0</v>
      </c>
      <c r="L38" s="2310">
        <v>0</v>
      </c>
      <c r="M38" s="2311">
        <v>0</v>
      </c>
      <c r="N38" s="2310">
        <f t="shared" ref="N38" si="733">SUM(I38:M38)</f>
        <v>1</v>
      </c>
      <c r="O38" s="2312" t="s">
        <v>883</v>
      </c>
      <c r="P38" s="2313"/>
      <c r="Q38" s="2308">
        <f t="shared" ref="Q38" si="734">($E38/30/8*1.5)*P38</f>
        <v>0</v>
      </c>
      <c r="R38" s="2314"/>
      <c r="S38" s="2308">
        <f t="shared" ref="S38" si="735">($E38/30/8*2)*R38</f>
        <v>0</v>
      </c>
      <c r="T38" s="2313"/>
      <c r="U38" s="2308">
        <f t="shared" ref="U38" si="736">($E38/30/8*1.5)*T38</f>
        <v>0</v>
      </c>
      <c r="V38" s="2313"/>
      <c r="W38" s="2308">
        <f t="shared" ref="W38" si="737">($E38/30/8*2)*V38</f>
        <v>0</v>
      </c>
      <c r="X38" s="2313">
        <v>0</v>
      </c>
      <c r="Y38" s="2308">
        <f t="shared" ref="Y38" si="738">(($E38/30/8)*1.5)*X38</f>
        <v>0</v>
      </c>
      <c r="Z38" s="2315"/>
      <c r="AA38" s="2308">
        <f t="shared" ref="AA38" si="739">(($E38/30/8)*2)*Z38</f>
        <v>0</v>
      </c>
      <c r="AB38" s="2315"/>
      <c r="AC38" s="2308">
        <f t="shared" ref="AC38" si="740">(($E38/30/8)*1.5)*AB38</f>
        <v>0</v>
      </c>
      <c r="AD38" s="2315"/>
      <c r="AE38" s="2308">
        <f t="shared" ref="AE38" si="741">(($E38/30/8)*2)*AD38</f>
        <v>0</v>
      </c>
      <c r="AF38" s="2308"/>
      <c r="AG38" s="2308">
        <f t="shared" ref="AG38" si="742">(($E38/30/8)*1.5)*AF38</f>
        <v>0</v>
      </c>
      <c r="AH38" s="2315"/>
      <c r="AI38" s="2308">
        <f t="shared" ref="AI38" si="743">(($E38/30/8)*2)*AH38</f>
        <v>0</v>
      </c>
      <c r="AJ38" s="2308"/>
      <c r="AK38" s="2308"/>
      <c r="AL38" s="2308"/>
      <c r="AM38" s="2308"/>
      <c r="AN38" s="2308"/>
      <c r="AO38" s="2308"/>
      <c r="AP38" s="2308"/>
      <c r="AQ38" s="2308"/>
      <c r="AR38" s="2308"/>
      <c r="AS38" s="2308"/>
      <c r="AT38" s="2308"/>
      <c r="AU38" s="2307"/>
      <c r="AV38" s="2308">
        <f t="shared" ref="AV38" si="744">((E38/30)*H38)*$I38</f>
        <v>0</v>
      </c>
      <c r="AW38" s="2308">
        <f t="shared" ref="AW38" si="745">((F38/30)*H38)*$I38</f>
        <v>0</v>
      </c>
      <c r="AX38" s="2308">
        <f t="shared" ref="AX38" si="746">P38</f>
        <v>0</v>
      </c>
      <c r="AY38" s="2308">
        <f t="shared" ref="AY38" si="747">Q38</f>
        <v>0</v>
      </c>
      <c r="AZ38" s="2308">
        <f t="shared" ref="AZ38" si="748">R38</f>
        <v>0</v>
      </c>
      <c r="BA38" s="2308">
        <f t="shared" ref="BA38" si="749">S38</f>
        <v>0</v>
      </c>
      <c r="BB38" s="2308">
        <f t="shared" ref="BB38" si="750">AJ38+AO38</f>
        <v>0</v>
      </c>
      <c r="BC38" s="2308">
        <f t="shared" ref="BC38" si="751">(AV38+AY38+BA38)*0.1267</f>
        <v>0</v>
      </c>
      <c r="BD38" s="2308">
        <f t="shared" ref="BD38" si="752">SUM(AV38:BC38)-AX38-AZ38</f>
        <v>0</v>
      </c>
      <c r="BE38" s="2308">
        <f t="shared" si="441"/>
        <v>3166.38</v>
      </c>
      <c r="BF38" s="2308">
        <f t="shared" si="538"/>
        <v>833.62</v>
      </c>
      <c r="BG38" s="2308">
        <f t="shared" ref="BG38" si="753">T38</f>
        <v>0</v>
      </c>
      <c r="BH38" s="2308">
        <f t="shared" ref="BH38" si="754">U38</f>
        <v>0</v>
      </c>
      <c r="BI38" s="2308">
        <f t="shared" ref="BI38" si="755">V38</f>
        <v>0</v>
      </c>
      <c r="BJ38" s="2308">
        <f t="shared" ref="BJ38" si="756">W38</f>
        <v>0</v>
      </c>
      <c r="BK38" s="2308">
        <f t="shared" ref="BK38" si="757">AK38+AP38</f>
        <v>0</v>
      </c>
      <c r="BL38" s="2308">
        <f t="shared" ref="BL38" si="758">(+BE38+BH38+BJ38+BK38)*0.1267</f>
        <v>401.18034600000004</v>
      </c>
      <c r="BM38" s="2309">
        <f t="shared" ref="BM38" si="759">SUM(BE38:BL38)-BG38-BI38</f>
        <v>4401.1803460000001</v>
      </c>
      <c r="BN38" s="2308">
        <f t="shared" si="449"/>
        <v>0</v>
      </c>
      <c r="BO38" s="2308">
        <f t="shared" si="450"/>
        <v>0</v>
      </c>
      <c r="BP38" s="2308">
        <f t="shared" ref="BP38" si="760">X38</f>
        <v>0</v>
      </c>
      <c r="BQ38" s="2308">
        <f t="shared" ref="BQ38" si="761">Y38</f>
        <v>0</v>
      </c>
      <c r="BR38" s="2308">
        <f t="shared" ref="BR38" si="762">Z38</f>
        <v>0</v>
      </c>
      <c r="BS38" s="2308">
        <f t="shared" ref="BS38" si="763">AA38</f>
        <v>0</v>
      </c>
      <c r="BT38" s="2308">
        <f t="shared" ref="BT38" si="764">AL38+AQ38</f>
        <v>0</v>
      </c>
      <c r="BU38" s="2308">
        <f t="shared" ref="BU38" si="765">(BN38+BQ38+BS38)*0.1267</f>
        <v>0</v>
      </c>
      <c r="BV38" s="2308">
        <f t="shared" ref="BV38" si="766">SUM(BN38:BU38)-BP38-BR38</f>
        <v>0</v>
      </c>
      <c r="BW38" s="2316">
        <f t="shared" si="553"/>
        <v>0</v>
      </c>
      <c r="BX38" s="2317">
        <f t="shared" si="554"/>
        <v>0</v>
      </c>
      <c r="BY38" s="2317">
        <f t="shared" ref="BY38" si="767">AB38</f>
        <v>0</v>
      </c>
      <c r="BZ38" s="2317">
        <f t="shared" ref="BZ38" si="768">AC38</f>
        <v>0</v>
      </c>
      <c r="CA38" s="2317">
        <f t="shared" ref="CA38" si="769">AD38</f>
        <v>0</v>
      </c>
      <c r="CB38" s="2317">
        <f t="shared" ref="CB38" si="770">AE38</f>
        <v>0</v>
      </c>
      <c r="CC38" s="2317">
        <f t="shared" ref="CC38" si="771">AM38+AR38</f>
        <v>0</v>
      </c>
      <c r="CD38" s="2317">
        <f t="shared" ref="CD38" si="772">(BW38+BZ38+CB38)*0.1267</f>
        <v>0</v>
      </c>
      <c r="CE38" s="2317">
        <f t="shared" ref="CE38" si="773">SUM(BW38:CD38)-BY38-CA38</f>
        <v>0</v>
      </c>
      <c r="CF38" s="2317">
        <f t="shared" ref="CF38" si="774">(($E38/30)*$H38)*M38</f>
        <v>0</v>
      </c>
      <c r="CG38" s="2317">
        <f t="shared" si="459"/>
        <v>0</v>
      </c>
      <c r="CH38" s="2317">
        <f t="shared" ref="CH38" si="775">+AF38</f>
        <v>0</v>
      </c>
      <c r="CI38" s="2317">
        <f t="shared" ref="CI38" si="776">AG38</f>
        <v>0</v>
      </c>
      <c r="CJ38" s="2317">
        <f t="shared" ref="CJ38" si="777">AH38</f>
        <v>0</v>
      </c>
      <c r="CK38" s="2317">
        <f t="shared" ref="CK38" si="778">AI38</f>
        <v>0</v>
      </c>
      <c r="CL38" s="2317">
        <f t="shared" ref="CL38" si="779">AN38+AS38</f>
        <v>0</v>
      </c>
      <c r="CM38" s="2317">
        <f t="shared" ref="CM38" si="780">(CF38+CI38+CK38)*0.1267</f>
        <v>0</v>
      </c>
      <c r="CN38" s="2318">
        <f t="shared" ref="CN38" si="781">SUM(CF38:CM38)-CH38-CJ38</f>
        <v>0</v>
      </c>
      <c r="CO38" s="2319"/>
      <c r="CP38" s="2307" t="s">
        <v>11</v>
      </c>
      <c r="CQ38" s="2308">
        <f t="shared" si="465"/>
        <v>0</v>
      </c>
      <c r="CR38" s="2308">
        <f t="shared" si="466"/>
        <v>0</v>
      </c>
      <c r="CS38" s="2308">
        <f t="shared" si="467"/>
        <v>0</v>
      </c>
      <c r="CT38" s="2308">
        <f t="shared" si="468"/>
        <v>0</v>
      </c>
      <c r="CU38" s="2308">
        <f t="shared" si="469"/>
        <v>0</v>
      </c>
      <c r="CV38" s="2308">
        <f t="shared" si="470"/>
        <v>0</v>
      </c>
      <c r="CW38" s="2308">
        <f t="shared" si="471"/>
        <v>0</v>
      </c>
      <c r="CX38" s="2308">
        <f t="shared" ref="CX38" si="782">IF($CP38="PROQUIMA",$BC38+$BL38+$BU38+$CD38+CM38,0)</f>
        <v>0</v>
      </c>
      <c r="CY38" s="2308">
        <f t="shared" ref="CY38" si="783">SUM(CQ38:CX38)-CS38-CU38</f>
        <v>0</v>
      </c>
      <c r="CZ38" s="2308">
        <f t="shared" si="474"/>
        <v>3166.38</v>
      </c>
      <c r="DA38" s="2308">
        <f t="shared" si="475"/>
        <v>833.62</v>
      </c>
      <c r="DB38" s="2308">
        <f t="shared" si="476"/>
        <v>0</v>
      </c>
      <c r="DC38" s="2308">
        <f t="shared" si="477"/>
        <v>0</v>
      </c>
      <c r="DD38" s="2308">
        <f t="shared" si="478"/>
        <v>0</v>
      </c>
      <c r="DE38" s="2308">
        <f t="shared" si="479"/>
        <v>0</v>
      </c>
      <c r="DF38" s="2308">
        <f t="shared" si="572"/>
        <v>0</v>
      </c>
      <c r="DG38" s="2308">
        <f t="shared" si="480"/>
        <v>401.18034600000004</v>
      </c>
      <c r="DH38" s="2308">
        <f t="shared" ref="DH38" si="784">SUM(CZ38:DG38)-DB38-DD38</f>
        <v>4401.1803460000001</v>
      </c>
      <c r="DI38" s="2308">
        <f t="shared" si="482"/>
        <v>0</v>
      </c>
      <c r="DJ38" s="2308">
        <f t="shared" si="483"/>
        <v>0</v>
      </c>
      <c r="DK38" s="2308">
        <f t="shared" si="484"/>
        <v>0</v>
      </c>
      <c r="DL38" s="2308">
        <f t="shared" si="485"/>
        <v>0</v>
      </c>
      <c r="DM38" s="2308">
        <f t="shared" si="486"/>
        <v>0</v>
      </c>
      <c r="DN38" s="2308">
        <f t="shared" si="487"/>
        <v>0</v>
      </c>
      <c r="DO38" s="2308">
        <f t="shared" si="488"/>
        <v>0</v>
      </c>
      <c r="DP38" s="2308">
        <f t="shared" si="489"/>
        <v>0</v>
      </c>
      <c r="DQ38" s="2308">
        <f t="shared" ref="DQ38" si="785">SUM(DI38:DP38)-DK38-DM38</f>
        <v>0</v>
      </c>
      <c r="DR38" s="2316">
        <f t="shared" si="491"/>
        <v>0</v>
      </c>
      <c r="DS38" s="2317">
        <f t="shared" si="492"/>
        <v>0</v>
      </c>
      <c r="DT38" s="2317">
        <f t="shared" si="493"/>
        <v>0</v>
      </c>
      <c r="DU38" s="2317">
        <f t="shared" si="494"/>
        <v>0</v>
      </c>
      <c r="DV38" s="2317">
        <f t="shared" si="495"/>
        <v>0</v>
      </c>
      <c r="DW38" s="2317">
        <f t="shared" si="496"/>
        <v>0</v>
      </c>
      <c r="DX38" s="2317">
        <f t="shared" si="497"/>
        <v>0</v>
      </c>
      <c r="DY38" s="2317">
        <f t="shared" si="498"/>
        <v>0</v>
      </c>
      <c r="DZ38" s="2317">
        <f t="shared" ref="DZ38" si="786">SUM(DR38:DY38)-DT38-DV38</f>
        <v>0</v>
      </c>
      <c r="EA38" s="2317">
        <f t="shared" si="499"/>
        <v>0</v>
      </c>
      <c r="EB38" s="2317">
        <f t="shared" si="500"/>
        <v>0</v>
      </c>
      <c r="EC38" s="2317">
        <f t="shared" si="501"/>
        <v>0</v>
      </c>
      <c r="ED38" s="2317">
        <f t="shared" si="502"/>
        <v>0</v>
      </c>
      <c r="EE38" s="2317">
        <f t="shared" si="503"/>
        <v>0</v>
      </c>
      <c r="EF38" s="2317">
        <f t="shared" si="504"/>
        <v>0</v>
      </c>
      <c r="EG38" s="2317">
        <f t="shared" si="505"/>
        <v>0</v>
      </c>
      <c r="EH38" s="2317">
        <f t="shared" si="576"/>
        <v>0</v>
      </c>
      <c r="EI38" s="2318">
        <f t="shared" ref="EI38" si="787">SUM(EA38:EH38)-EC38-EE38</f>
        <v>0</v>
      </c>
      <c r="EJ38" s="2319"/>
      <c r="EK38" s="2320"/>
      <c r="EL38" s="2307"/>
      <c r="EM38" s="2307"/>
      <c r="EN38" s="2307"/>
      <c r="EO38" s="2307"/>
      <c r="EP38" s="2307">
        <v>50</v>
      </c>
      <c r="EQ38" s="2307"/>
      <c r="ER38" s="2307"/>
      <c r="ES38" s="2307"/>
      <c r="ET38" s="2307">
        <f>+EO38+EP38+EQ38</f>
        <v>50</v>
      </c>
      <c r="EU38" s="2321"/>
      <c r="EV38" s="2313">
        <f t="shared" ref="EV38" si="788">IF($H38&lt;=15,EK38/2,EK38)</f>
        <v>0</v>
      </c>
      <c r="EW38" s="2313">
        <f t="shared" ref="EW38" si="789">IF($H38&lt;=15,EL38/2,EL38)</f>
        <v>0</v>
      </c>
      <c r="EX38" s="2313">
        <f t="shared" ref="EX38" si="790">IF($H38&lt;=15,EM38/2,EM38)</f>
        <v>0</v>
      </c>
      <c r="EY38" s="2313">
        <f t="shared" ref="EY38" si="791">IF($H38&lt;=15,EN38/2,EN38)</f>
        <v>0</v>
      </c>
      <c r="EZ38" s="2313">
        <f t="shared" ref="EZ38" si="792">IF($H38&lt;=15,EO38/2,EO38)</f>
        <v>0</v>
      </c>
      <c r="FA38" s="2313">
        <f t="shared" ref="FA38" si="793">IF($H38&lt;=15,EP38/2,EP38)</f>
        <v>50</v>
      </c>
      <c r="FB38" s="2313">
        <f t="shared" ref="FB38" si="794">IF($H38&lt;=15,EQ38/2,EQ38)</f>
        <v>0</v>
      </c>
      <c r="FC38" s="2313">
        <f t="shared" ref="FC38" si="795">IF($H38&lt;=15,ER38/2,ER38)</f>
        <v>0</v>
      </c>
      <c r="FD38" s="2313">
        <f>IF($H38&lt;=15,ES38/2,ES38)</f>
        <v>0</v>
      </c>
      <c r="FE38" s="2313">
        <f>IF($H38&lt;=15,ET38/2,ET38)</f>
        <v>50</v>
      </c>
      <c r="FF38" s="2322"/>
      <c r="FG38" s="2322"/>
      <c r="FH38" s="2322"/>
      <c r="FI38" s="2322"/>
      <c r="FJ38" s="2322"/>
      <c r="FK38" s="2322"/>
    </row>
    <row r="39" spans="1:172" s="1441" customFormat="1" ht="15" customHeight="1" outlineLevel="1">
      <c r="A39" s="1454" t="e">
        <f t="shared" si="658"/>
        <v>#REF!</v>
      </c>
      <c r="B39" s="213" t="s">
        <v>558</v>
      </c>
      <c r="C39" s="365" t="s">
        <v>70</v>
      </c>
      <c r="D39" s="363" t="s">
        <v>11</v>
      </c>
      <c r="E39" s="1971">
        <v>3166.38</v>
      </c>
      <c r="F39" s="355">
        <v>740.76</v>
      </c>
      <c r="G39" s="1970">
        <f t="shared" si="422"/>
        <v>3907.1400000000003</v>
      </c>
      <c r="H39" s="355">
        <v>30</v>
      </c>
      <c r="I39" s="1432">
        <v>0.5</v>
      </c>
      <c r="J39" s="1432">
        <v>0.5</v>
      </c>
      <c r="K39" s="1432">
        <v>0</v>
      </c>
      <c r="L39" s="1432">
        <v>0</v>
      </c>
      <c r="M39" s="1494">
        <v>0</v>
      </c>
      <c r="N39" s="1432">
        <f>SUM(I39:M39)</f>
        <v>1</v>
      </c>
      <c r="O39" s="1433"/>
      <c r="P39" s="366"/>
      <c r="Q39" s="355">
        <f>($E39/30/8*1.5)*P39</f>
        <v>0</v>
      </c>
      <c r="R39" s="366"/>
      <c r="S39" s="355">
        <f>($E39/30/8*2)*R39</f>
        <v>0</v>
      </c>
      <c r="T39" s="366"/>
      <c r="U39" s="355">
        <f>($E39/30/8*1.5)*T39</f>
        <v>0</v>
      </c>
      <c r="V39" s="366"/>
      <c r="W39" s="355">
        <f>($E39/30/8*2)*V39</f>
        <v>0</v>
      </c>
      <c r="X39" s="366">
        <v>0</v>
      </c>
      <c r="Y39" s="355">
        <f>(($E39/30/8)*1.5)*X39</f>
        <v>0</v>
      </c>
      <c r="Z39" s="1434"/>
      <c r="AA39" s="355">
        <f t="shared" si="659"/>
        <v>0</v>
      </c>
      <c r="AB39" s="1434"/>
      <c r="AC39" s="355">
        <f>(($E39/30/8)*1.5)*AB39</f>
        <v>0</v>
      </c>
      <c r="AD39" s="1434"/>
      <c r="AE39" s="355">
        <f>(($E39/30/8)*2)*AD39</f>
        <v>0</v>
      </c>
      <c r="AF39" s="355"/>
      <c r="AG39" s="355">
        <f>(($E39/30/8)*1.5)*AF39</f>
        <v>0</v>
      </c>
      <c r="AH39" s="1434"/>
      <c r="AI39" s="355">
        <f>(($E39/30/8)*2)*AH39</f>
        <v>0</v>
      </c>
      <c r="AJ39" s="355"/>
      <c r="AK39" s="355"/>
      <c r="AL39" s="355"/>
      <c r="AM39" s="355"/>
      <c r="AN39" s="355"/>
      <c r="AO39" s="355"/>
      <c r="AP39" s="355"/>
      <c r="AQ39" s="355"/>
      <c r="AR39" s="355"/>
      <c r="AS39" s="355"/>
      <c r="AT39" s="355"/>
      <c r="AU39" s="363"/>
      <c r="AV39" s="355">
        <f t="shared" si="433"/>
        <v>1583.19</v>
      </c>
      <c r="AW39" s="315">
        <f>((F39/30)*H39)*$I39</f>
        <v>370.38</v>
      </c>
      <c r="AX39" s="355">
        <f t="shared" si="435"/>
        <v>0</v>
      </c>
      <c r="AY39" s="355">
        <f t="shared" si="436"/>
        <v>0</v>
      </c>
      <c r="AZ39" s="355">
        <f t="shared" si="437"/>
        <v>0</v>
      </c>
      <c r="BA39" s="355">
        <f t="shared" si="438"/>
        <v>0</v>
      </c>
      <c r="BB39" s="355">
        <f>AJ39+AO39</f>
        <v>0</v>
      </c>
      <c r="BC39" s="355">
        <f>(AV39+AY39+BA39)*0.1267</f>
        <v>200.59017300000002</v>
      </c>
      <c r="BD39" s="355">
        <f>SUM(AV39:BC39)-AX39-AZ39</f>
        <v>2154.1601730000002</v>
      </c>
      <c r="BE39" s="355">
        <f t="shared" si="441"/>
        <v>1583.19</v>
      </c>
      <c r="BF39" s="315">
        <f>(($F39/30)*$H39)*$J39</f>
        <v>370.38</v>
      </c>
      <c r="BG39" s="355">
        <f t="shared" si="443"/>
        <v>0</v>
      </c>
      <c r="BH39" s="355">
        <f t="shared" si="444"/>
        <v>0</v>
      </c>
      <c r="BI39" s="355">
        <f t="shared" si="445"/>
        <v>0</v>
      </c>
      <c r="BJ39" s="355">
        <f t="shared" si="446"/>
        <v>0</v>
      </c>
      <c r="BK39" s="355">
        <f>AK39+AP39</f>
        <v>0</v>
      </c>
      <c r="BL39" s="355">
        <f>(+BE39+BH39+BJ39+BK39)*0.1267</f>
        <v>200.59017300000002</v>
      </c>
      <c r="BM39" s="1431">
        <f>SUM(BE39:BL39)-BG39-BI39</f>
        <v>2154.1601730000002</v>
      </c>
      <c r="BN39" s="355">
        <f t="shared" si="449"/>
        <v>0</v>
      </c>
      <c r="BO39" s="355">
        <f t="shared" si="450"/>
        <v>0</v>
      </c>
      <c r="BP39" s="355">
        <f t="shared" si="451"/>
        <v>0</v>
      </c>
      <c r="BQ39" s="355">
        <f t="shared" si="452"/>
        <v>0</v>
      </c>
      <c r="BR39" s="355">
        <f t="shared" si="453"/>
        <v>0</v>
      </c>
      <c r="BS39" s="355">
        <f t="shared" si="454"/>
        <v>0</v>
      </c>
      <c r="BT39" s="355">
        <f>AL39+AQ39</f>
        <v>0</v>
      </c>
      <c r="BU39" s="355">
        <f>(BN39+BQ39+BS39)*0.1267</f>
        <v>0</v>
      </c>
      <c r="BV39" s="355">
        <f>SUM(BN39:BU39)-BP39-BR39</f>
        <v>0</v>
      </c>
      <c r="BW39" s="1495">
        <f t="shared" si="553"/>
        <v>0</v>
      </c>
      <c r="BX39" s="1496">
        <f t="shared" si="554"/>
        <v>0</v>
      </c>
      <c r="BY39" s="1496">
        <f>AB39</f>
        <v>0</v>
      </c>
      <c r="BZ39" s="1496">
        <f>AC39</f>
        <v>0</v>
      </c>
      <c r="CA39" s="1496">
        <f>AD39</f>
        <v>0</v>
      </c>
      <c r="CB39" s="1496">
        <f>AE39</f>
        <v>0</v>
      </c>
      <c r="CC39" s="1496">
        <f>AM39+AR39</f>
        <v>0</v>
      </c>
      <c r="CD39" s="1496">
        <f>(BW39+BZ39+CB39)*0.1267</f>
        <v>0</v>
      </c>
      <c r="CE39" s="1496">
        <f>SUM(BW39:CD39)-BY39-CA39</f>
        <v>0</v>
      </c>
      <c r="CF39" s="1496">
        <f t="shared" si="660"/>
        <v>0</v>
      </c>
      <c r="CG39" s="1496">
        <f t="shared" si="459"/>
        <v>0</v>
      </c>
      <c r="CH39" s="1496">
        <f>+AF39</f>
        <v>0</v>
      </c>
      <c r="CI39" s="1496">
        <f>AG39</f>
        <v>0</v>
      </c>
      <c r="CJ39" s="1496">
        <f>AH39</f>
        <v>0</v>
      </c>
      <c r="CK39" s="1496">
        <f>AI39</f>
        <v>0</v>
      </c>
      <c r="CL39" s="1496">
        <f>AN39+AS39</f>
        <v>0</v>
      </c>
      <c r="CM39" s="1496">
        <f>(CF39+CI39+CK39)*0.1267</f>
        <v>0</v>
      </c>
      <c r="CN39" s="1497">
        <f>SUM(CF39:CM39)-CH39-CJ39</f>
        <v>0</v>
      </c>
      <c r="CO39" s="1414"/>
      <c r="CP39" s="363" t="s">
        <v>11</v>
      </c>
      <c r="CQ39" s="355">
        <f t="shared" si="465"/>
        <v>0</v>
      </c>
      <c r="CR39" s="355">
        <f t="shared" si="466"/>
        <v>0</v>
      </c>
      <c r="CS39" s="355">
        <f t="shared" si="467"/>
        <v>0</v>
      </c>
      <c r="CT39" s="355">
        <f t="shared" si="468"/>
        <v>0</v>
      </c>
      <c r="CU39" s="355">
        <f t="shared" si="469"/>
        <v>0</v>
      </c>
      <c r="CV39" s="355">
        <f t="shared" si="470"/>
        <v>0</v>
      </c>
      <c r="CW39" s="355">
        <f t="shared" si="471"/>
        <v>0</v>
      </c>
      <c r="CX39" s="355">
        <f>IF($CP39="PROQUIMA",$BC39+$BL39+$BU39+$CD39+CM39,0)</f>
        <v>0</v>
      </c>
      <c r="CY39" s="355">
        <f>SUM(CQ39:CX39)-CS39-CU39</f>
        <v>0</v>
      </c>
      <c r="CZ39" s="355">
        <f t="shared" si="474"/>
        <v>3166.38</v>
      </c>
      <c r="DA39" s="355">
        <f t="shared" si="475"/>
        <v>740.76</v>
      </c>
      <c r="DB39" s="355">
        <f t="shared" si="476"/>
        <v>0</v>
      </c>
      <c r="DC39" s="355">
        <f t="shared" si="477"/>
        <v>0</v>
      </c>
      <c r="DD39" s="355">
        <f t="shared" si="478"/>
        <v>0</v>
      </c>
      <c r="DE39" s="355">
        <f t="shared" si="479"/>
        <v>0</v>
      </c>
      <c r="DF39" s="355">
        <f t="shared" si="572"/>
        <v>0</v>
      </c>
      <c r="DG39" s="355">
        <f t="shared" si="480"/>
        <v>401.18034600000004</v>
      </c>
      <c r="DH39" s="355">
        <f>SUM(CZ39:DG39)-DB39-DD39</f>
        <v>4308.3203460000004</v>
      </c>
      <c r="DI39" s="355">
        <f t="shared" si="482"/>
        <v>0</v>
      </c>
      <c r="DJ39" s="355">
        <f t="shared" si="483"/>
        <v>0</v>
      </c>
      <c r="DK39" s="355">
        <f t="shared" si="484"/>
        <v>0</v>
      </c>
      <c r="DL39" s="355">
        <f t="shared" si="485"/>
        <v>0</v>
      </c>
      <c r="DM39" s="355">
        <f t="shared" si="486"/>
        <v>0</v>
      </c>
      <c r="DN39" s="355">
        <f t="shared" si="487"/>
        <v>0</v>
      </c>
      <c r="DO39" s="355">
        <f t="shared" si="488"/>
        <v>0</v>
      </c>
      <c r="DP39" s="355">
        <f t="shared" si="489"/>
        <v>0</v>
      </c>
      <c r="DQ39" s="355">
        <f>SUM(DI39:DP39)-DK39-DM39</f>
        <v>0</v>
      </c>
      <c r="DR39" s="1495">
        <f t="shared" si="491"/>
        <v>0</v>
      </c>
      <c r="DS39" s="1496">
        <f t="shared" si="492"/>
        <v>0</v>
      </c>
      <c r="DT39" s="1496">
        <f t="shared" si="493"/>
        <v>0</v>
      </c>
      <c r="DU39" s="1496">
        <f t="shared" si="494"/>
        <v>0</v>
      </c>
      <c r="DV39" s="1496">
        <f t="shared" si="495"/>
        <v>0</v>
      </c>
      <c r="DW39" s="1496">
        <f t="shared" si="496"/>
        <v>0</v>
      </c>
      <c r="DX39" s="1496">
        <f t="shared" si="497"/>
        <v>0</v>
      </c>
      <c r="DY39" s="1496">
        <f t="shared" si="498"/>
        <v>0</v>
      </c>
      <c r="DZ39" s="1496">
        <f>SUM(DR39:DY39)-DT39-DV39</f>
        <v>0</v>
      </c>
      <c r="EA39" s="1496">
        <f t="shared" si="499"/>
        <v>0</v>
      </c>
      <c r="EB39" s="1496">
        <f t="shared" si="500"/>
        <v>0</v>
      </c>
      <c r="EC39" s="1496">
        <f t="shared" si="501"/>
        <v>0</v>
      </c>
      <c r="ED39" s="1496">
        <f t="shared" si="502"/>
        <v>0</v>
      </c>
      <c r="EE39" s="1496">
        <f t="shared" si="503"/>
        <v>0</v>
      </c>
      <c r="EF39" s="1496">
        <f t="shared" si="504"/>
        <v>0</v>
      </c>
      <c r="EG39" s="1496">
        <f t="shared" si="505"/>
        <v>0</v>
      </c>
      <c r="EH39" s="1496">
        <f t="shared" si="576"/>
        <v>0</v>
      </c>
      <c r="EI39" s="1497">
        <f>SUM(EA39:EH39)-EC39-EE39</f>
        <v>0</v>
      </c>
      <c r="EJ39" s="1414"/>
      <c r="EK39" s="313"/>
      <c r="EL39" s="363"/>
      <c r="EM39" s="363"/>
      <c r="EN39" s="363">
        <f>172+266</f>
        <v>438</v>
      </c>
      <c r="EO39" s="363"/>
      <c r="EP39" s="363">
        <v>50</v>
      </c>
      <c r="EQ39" s="1543">
        <v>75</v>
      </c>
      <c r="ER39" s="363"/>
      <c r="ES39" s="363"/>
      <c r="ET39" s="363">
        <f t="shared" si="507"/>
        <v>125</v>
      </c>
      <c r="EU39" s="1500"/>
      <c r="EV39" s="366">
        <f t="shared" si="508"/>
        <v>0</v>
      </c>
      <c r="EW39" s="366">
        <f t="shared" si="509"/>
        <v>0</v>
      </c>
      <c r="EX39" s="366">
        <f t="shared" si="510"/>
        <v>0</v>
      </c>
      <c r="EY39" s="366">
        <f t="shared" si="511"/>
        <v>438</v>
      </c>
      <c r="EZ39" s="366">
        <f t="shared" si="512"/>
        <v>0</v>
      </c>
      <c r="FA39" s="366">
        <f t="shared" si="513"/>
        <v>50</v>
      </c>
      <c r="FB39" s="366">
        <f t="shared" si="514"/>
        <v>75</v>
      </c>
      <c r="FC39" s="366">
        <f t="shared" si="515"/>
        <v>0</v>
      </c>
      <c r="FD39" s="366">
        <f t="shared" si="516"/>
        <v>0</v>
      </c>
      <c r="FE39" s="366">
        <f t="shared" si="517"/>
        <v>125</v>
      </c>
      <c r="FF39" s="364">
        <v>0.5</v>
      </c>
      <c r="FG39" s="364">
        <v>0.5</v>
      </c>
      <c r="FH39" s="364">
        <v>0</v>
      </c>
      <c r="FI39" s="364">
        <v>0</v>
      </c>
      <c r="FJ39" s="364">
        <v>0</v>
      </c>
      <c r="FK39" s="364">
        <v>1</v>
      </c>
      <c r="FL39" s="1441">
        <f>+EP39-FA39</f>
        <v>0</v>
      </c>
    </row>
    <row r="40" spans="1:172" s="331" customFormat="1" ht="15" customHeight="1" outlineLevel="1">
      <c r="A40" s="1454" t="e">
        <f t="shared" si="658"/>
        <v>#REF!</v>
      </c>
      <c r="B40" s="311" t="s">
        <v>500</v>
      </c>
      <c r="C40" s="312" t="s">
        <v>71</v>
      </c>
      <c r="D40" s="313" t="s">
        <v>10</v>
      </c>
      <c r="E40" s="315">
        <v>6000</v>
      </c>
      <c r="F40" s="315">
        <v>4000</v>
      </c>
      <c r="G40" s="314">
        <f t="shared" si="422"/>
        <v>10000</v>
      </c>
      <c r="H40" s="315">
        <v>30</v>
      </c>
      <c r="I40" s="318">
        <v>0.65</v>
      </c>
      <c r="J40" s="318">
        <v>0.35</v>
      </c>
      <c r="K40" s="318">
        <v>0</v>
      </c>
      <c r="L40" s="318">
        <v>0</v>
      </c>
      <c r="M40" s="1498">
        <v>0</v>
      </c>
      <c r="N40" s="318">
        <f t="shared" si="423"/>
        <v>1</v>
      </c>
      <c r="O40" s="319" t="s">
        <v>54</v>
      </c>
      <c r="P40" s="321"/>
      <c r="Q40" s="315">
        <f t="shared" si="424"/>
        <v>0</v>
      </c>
      <c r="R40" s="321"/>
      <c r="S40" s="315">
        <f t="shared" si="425"/>
        <v>0</v>
      </c>
      <c r="T40" s="321"/>
      <c r="U40" s="315">
        <f t="shared" si="426"/>
        <v>0</v>
      </c>
      <c r="V40" s="321"/>
      <c r="W40" s="315">
        <f t="shared" si="427"/>
        <v>0</v>
      </c>
      <c r="X40" s="321"/>
      <c r="Y40" s="315">
        <f t="shared" si="428"/>
        <v>0</v>
      </c>
      <c r="Z40" s="322"/>
      <c r="AA40" s="315">
        <f t="shared" si="659"/>
        <v>0</v>
      </c>
      <c r="AB40" s="322"/>
      <c r="AC40" s="315">
        <f t="shared" si="429"/>
        <v>0</v>
      </c>
      <c r="AD40" s="322"/>
      <c r="AE40" s="315">
        <f t="shared" si="430"/>
        <v>0</v>
      </c>
      <c r="AF40" s="315"/>
      <c r="AG40" s="315">
        <f t="shared" si="431"/>
        <v>0</v>
      </c>
      <c r="AH40" s="322"/>
      <c r="AI40" s="315">
        <f t="shared" si="432"/>
        <v>0</v>
      </c>
      <c r="AJ40" s="315"/>
      <c r="AK40" s="315"/>
      <c r="AL40" s="315"/>
      <c r="AM40" s="315"/>
      <c r="AN40" s="315"/>
      <c r="AO40" s="315"/>
      <c r="AP40" s="315"/>
      <c r="AQ40" s="315"/>
      <c r="AR40" s="315"/>
      <c r="AS40" s="315"/>
      <c r="AT40" s="315"/>
      <c r="AU40" s="313"/>
      <c r="AV40" s="315">
        <f t="shared" si="433"/>
        <v>3900</v>
      </c>
      <c r="AW40" s="315">
        <f t="shared" si="604"/>
        <v>2600.0000000000005</v>
      </c>
      <c r="AX40" s="315">
        <f t="shared" si="435"/>
        <v>0</v>
      </c>
      <c r="AY40" s="315">
        <f t="shared" si="436"/>
        <v>0</v>
      </c>
      <c r="AZ40" s="315">
        <f t="shared" si="437"/>
        <v>0</v>
      </c>
      <c r="BA40" s="315">
        <f t="shared" si="438"/>
        <v>0</v>
      </c>
      <c r="BB40" s="315">
        <f t="shared" si="439"/>
        <v>0</v>
      </c>
      <c r="BC40" s="315">
        <f t="shared" ref="BC40" si="796">(AV40+AY40+BA40)*0.1267</f>
        <v>494.13000000000005</v>
      </c>
      <c r="BD40" s="315">
        <f t="shared" si="440"/>
        <v>6994.13</v>
      </c>
      <c r="BE40" s="315">
        <f t="shared" si="441"/>
        <v>2100</v>
      </c>
      <c r="BF40" s="315">
        <f t="shared" si="538"/>
        <v>1400</v>
      </c>
      <c r="BG40" s="315">
        <f t="shared" si="443"/>
        <v>0</v>
      </c>
      <c r="BH40" s="315">
        <f t="shared" si="444"/>
        <v>0</v>
      </c>
      <c r="BI40" s="315">
        <f t="shared" si="445"/>
        <v>0</v>
      </c>
      <c r="BJ40" s="315">
        <f t="shared" si="446"/>
        <v>0</v>
      </c>
      <c r="BK40" s="315">
        <f t="shared" si="661"/>
        <v>0</v>
      </c>
      <c r="BL40" s="315">
        <f t="shared" si="447"/>
        <v>266.07</v>
      </c>
      <c r="BM40" s="314">
        <f t="shared" si="448"/>
        <v>3766.07</v>
      </c>
      <c r="BN40" s="315">
        <f t="shared" si="449"/>
        <v>0</v>
      </c>
      <c r="BO40" s="315">
        <f t="shared" si="450"/>
        <v>0</v>
      </c>
      <c r="BP40" s="315">
        <f t="shared" si="451"/>
        <v>0</v>
      </c>
      <c r="BQ40" s="315">
        <f t="shared" si="452"/>
        <v>0</v>
      </c>
      <c r="BR40" s="315">
        <f t="shared" si="453"/>
        <v>0</v>
      </c>
      <c r="BS40" s="315">
        <f t="shared" si="454"/>
        <v>0</v>
      </c>
      <c r="BT40" s="315">
        <f t="shared" si="455"/>
        <v>0</v>
      </c>
      <c r="BU40" s="315">
        <f t="shared" si="456"/>
        <v>0</v>
      </c>
      <c r="BV40" s="315">
        <f t="shared" si="457"/>
        <v>0</v>
      </c>
      <c r="BW40" s="360">
        <f t="shared" si="553"/>
        <v>0</v>
      </c>
      <c r="BX40" s="361">
        <f t="shared" si="554"/>
        <v>0</v>
      </c>
      <c r="BY40" s="361">
        <f t="shared" ref="BY40:CB40" si="797">AB40</f>
        <v>0</v>
      </c>
      <c r="BZ40" s="361">
        <f t="shared" si="797"/>
        <v>0</v>
      </c>
      <c r="CA40" s="361">
        <f t="shared" si="797"/>
        <v>0</v>
      </c>
      <c r="CB40" s="361">
        <f t="shared" si="797"/>
        <v>0</v>
      </c>
      <c r="CC40" s="361">
        <f t="shared" si="663"/>
        <v>0</v>
      </c>
      <c r="CD40" s="361">
        <f t="shared" si="664"/>
        <v>0</v>
      </c>
      <c r="CE40" s="361">
        <f t="shared" ref="CE40" si="798">SUM(BW40:CD40)-BY40-CA40</f>
        <v>0</v>
      </c>
      <c r="CF40" s="361">
        <f t="shared" si="660"/>
        <v>0</v>
      </c>
      <c r="CG40" s="361">
        <f t="shared" si="459"/>
        <v>0</v>
      </c>
      <c r="CH40" s="361">
        <f t="shared" si="460"/>
        <v>0</v>
      </c>
      <c r="CI40" s="361">
        <f t="shared" ref="CI40:CK40" si="799">AG40</f>
        <v>0</v>
      </c>
      <c r="CJ40" s="361">
        <f t="shared" si="799"/>
        <v>0</v>
      </c>
      <c r="CK40" s="361">
        <f t="shared" si="799"/>
        <v>0</v>
      </c>
      <c r="CL40" s="361">
        <f t="shared" si="462"/>
        <v>0</v>
      </c>
      <c r="CM40" s="361">
        <f t="shared" si="463"/>
        <v>0</v>
      </c>
      <c r="CN40" s="362">
        <f t="shared" si="464"/>
        <v>0</v>
      </c>
      <c r="CO40" s="330"/>
      <c r="CP40" s="313" t="s">
        <v>10</v>
      </c>
      <c r="CQ40" s="315">
        <f t="shared" si="465"/>
        <v>6000</v>
      </c>
      <c r="CR40" s="315">
        <f t="shared" si="466"/>
        <v>4000.0000000000005</v>
      </c>
      <c r="CS40" s="315">
        <f t="shared" si="467"/>
        <v>0</v>
      </c>
      <c r="CT40" s="315">
        <f t="shared" si="468"/>
        <v>0</v>
      </c>
      <c r="CU40" s="315">
        <f t="shared" si="469"/>
        <v>0</v>
      </c>
      <c r="CV40" s="315">
        <f t="shared" si="470"/>
        <v>0</v>
      </c>
      <c r="CW40" s="315">
        <f t="shared" si="471"/>
        <v>0</v>
      </c>
      <c r="CX40" s="315">
        <f t="shared" si="472"/>
        <v>760.2</v>
      </c>
      <c r="CY40" s="315">
        <f t="shared" si="473"/>
        <v>10760.2</v>
      </c>
      <c r="CZ40" s="315">
        <f t="shared" si="474"/>
        <v>0</v>
      </c>
      <c r="DA40" s="315">
        <f t="shared" si="475"/>
        <v>0</v>
      </c>
      <c r="DB40" s="315">
        <f t="shared" si="476"/>
        <v>0</v>
      </c>
      <c r="DC40" s="315">
        <f t="shared" si="477"/>
        <v>0</v>
      </c>
      <c r="DD40" s="315">
        <f t="shared" si="478"/>
        <v>0</v>
      </c>
      <c r="DE40" s="315">
        <f t="shared" si="479"/>
        <v>0</v>
      </c>
      <c r="DF40" s="315">
        <f t="shared" si="572"/>
        <v>0</v>
      </c>
      <c r="DG40" s="315">
        <f t="shared" si="480"/>
        <v>0</v>
      </c>
      <c r="DH40" s="315">
        <f t="shared" si="481"/>
        <v>0</v>
      </c>
      <c r="DI40" s="315">
        <f t="shared" si="482"/>
        <v>0</v>
      </c>
      <c r="DJ40" s="315">
        <f t="shared" si="483"/>
        <v>0</v>
      </c>
      <c r="DK40" s="315">
        <f t="shared" si="484"/>
        <v>0</v>
      </c>
      <c r="DL40" s="315">
        <f t="shared" si="485"/>
        <v>0</v>
      </c>
      <c r="DM40" s="315">
        <f t="shared" si="486"/>
        <v>0</v>
      </c>
      <c r="DN40" s="315">
        <f t="shared" si="487"/>
        <v>0</v>
      </c>
      <c r="DO40" s="315">
        <f t="shared" si="488"/>
        <v>0</v>
      </c>
      <c r="DP40" s="315">
        <f t="shared" si="489"/>
        <v>0</v>
      </c>
      <c r="DQ40" s="315">
        <f t="shared" si="490"/>
        <v>0</v>
      </c>
      <c r="DR40" s="360">
        <f t="shared" si="491"/>
        <v>0</v>
      </c>
      <c r="DS40" s="361">
        <f t="shared" si="492"/>
        <v>0</v>
      </c>
      <c r="DT40" s="361">
        <f t="shared" si="493"/>
        <v>0</v>
      </c>
      <c r="DU40" s="361">
        <f t="shared" si="494"/>
        <v>0</v>
      </c>
      <c r="DV40" s="361">
        <f t="shared" si="495"/>
        <v>0</v>
      </c>
      <c r="DW40" s="361">
        <f t="shared" si="496"/>
        <v>0</v>
      </c>
      <c r="DX40" s="361">
        <f t="shared" si="497"/>
        <v>0</v>
      </c>
      <c r="DY40" s="361">
        <f t="shared" si="498"/>
        <v>0</v>
      </c>
      <c r="DZ40" s="361">
        <f t="shared" si="666"/>
        <v>0</v>
      </c>
      <c r="EA40" s="361">
        <f t="shared" si="499"/>
        <v>0</v>
      </c>
      <c r="EB40" s="361">
        <f t="shared" si="500"/>
        <v>0</v>
      </c>
      <c r="EC40" s="361">
        <f t="shared" si="501"/>
        <v>0</v>
      </c>
      <c r="ED40" s="361">
        <f t="shared" si="502"/>
        <v>0</v>
      </c>
      <c r="EE40" s="361">
        <f t="shared" si="503"/>
        <v>0</v>
      </c>
      <c r="EF40" s="361">
        <f t="shared" si="504"/>
        <v>0</v>
      </c>
      <c r="EG40" s="361">
        <f t="shared" si="505"/>
        <v>0</v>
      </c>
      <c r="EH40" s="361">
        <f t="shared" si="576"/>
        <v>0</v>
      </c>
      <c r="EI40" s="362">
        <f t="shared" si="506"/>
        <v>0</v>
      </c>
      <c r="EJ40" s="330"/>
      <c r="EK40" s="2204">
        <v>285.51</v>
      </c>
      <c r="EL40" s="313"/>
      <c r="EM40" s="313"/>
      <c r="EN40" s="313"/>
      <c r="EO40" s="313"/>
      <c r="EP40" s="313">
        <v>100</v>
      </c>
      <c r="EQ40" s="312">
        <f>240</f>
        <v>240</v>
      </c>
      <c r="ER40" s="313"/>
      <c r="ES40" s="313"/>
      <c r="ET40" s="313">
        <f>+EO40+EP40+EQ40</f>
        <v>340</v>
      </c>
      <c r="EU40" s="1501"/>
      <c r="EV40" s="321">
        <f t="shared" si="508"/>
        <v>285.51</v>
      </c>
      <c r="EW40" s="321">
        <f t="shared" si="509"/>
        <v>0</v>
      </c>
      <c r="EX40" s="321">
        <f t="shared" si="510"/>
        <v>0</v>
      </c>
      <c r="EY40" s="321">
        <f t="shared" si="511"/>
        <v>0</v>
      </c>
      <c r="EZ40" s="321">
        <f t="shared" si="512"/>
        <v>0</v>
      </c>
      <c r="FA40" s="321">
        <f t="shared" si="513"/>
        <v>100</v>
      </c>
      <c r="FB40" s="321">
        <f>IF($H40&lt;=15,EQ40/2,EQ40)</f>
        <v>240</v>
      </c>
      <c r="FC40" s="321">
        <f t="shared" si="515"/>
        <v>0</v>
      </c>
      <c r="FD40" s="321">
        <f t="shared" si="516"/>
        <v>0</v>
      </c>
      <c r="FE40" s="321">
        <f t="shared" si="517"/>
        <v>340</v>
      </c>
      <c r="FF40" s="332">
        <v>0.75</v>
      </c>
      <c r="FG40" s="332">
        <v>0.25</v>
      </c>
      <c r="FH40" s="332">
        <v>0</v>
      </c>
      <c r="FI40" s="332">
        <v>0</v>
      </c>
      <c r="FJ40" s="332">
        <v>0</v>
      </c>
      <c r="FK40" s="332">
        <v>1</v>
      </c>
      <c r="FL40" s="331">
        <f t="shared" si="272"/>
        <v>0</v>
      </c>
    </row>
    <row r="41" spans="1:172" s="331" customFormat="1" ht="15" customHeight="1" outlineLevel="1">
      <c r="A41" s="1454" t="e">
        <f t="shared" si="658"/>
        <v>#REF!</v>
      </c>
      <c r="B41" s="311" t="s">
        <v>742</v>
      </c>
      <c r="C41" s="312" t="s">
        <v>743</v>
      </c>
      <c r="D41" s="313" t="s">
        <v>11</v>
      </c>
      <c r="E41" s="315">
        <v>3750</v>
      </c>
      <c r="F41" s="315">
        <v>250</v>
      </c>
      <c r="G41" s="1970">
        <f t="shared" ref="G41" si="800">+E41+F41</f>
        <v>4000</v>
      </c>
      <c r="H41" s="315">
        <v>30</v>
      </c>
      <c r="I41" s="318">
        <v>0.4</v>
      </c>
      <c r="J41" s="318">
        <v>0.6</v>
      </c>
      <c r="K41" s="318">
        <v>0</v>
      </c>
      <c r="L41" s="318">
        <v>0</v>
      </c>
      <c r="M41" s="1498">
        <v>0</v>
      </c>
      <c r="N41" s="318">
        <f t="shared" ref="N41" si="801">SUM(I41:M41)</f>
        <v>1</v>
      </c>
      <c r="O41" s="319"/>
      <c r="P41" s="321"/>
      <c r="Q41" s="315">
        <f t="shared" ref="Q41" si="802">($E41/30/8*1.5)*P41</f>
        <v>0</v>
      </c>
      <c r="R41" s="321"/>
      <c r="S41" s="315">
        <f t="shared" ref="S41" si="803">($E41/30/8*2)*R41</f>
        <v>0</v>
      </c>
      <c r="T41" s="321"/>
      <c r="U41" s="315">
        <f t="shared" ref="U41" si="804">($E41/30/8*1.5)*T41</f>
        <v>0</v>
      </c>
      <c r="V41" s="321"/>
      <c r="W41" s="315">
        <f t="shared" ref="W41" si="805">($E41/30/8*2)*V41</f>
        <v>0</v>
      </c>
      <c r="X41" s="321"/>
      <c r="Y41" s="315">
        <f t="shared" ref="Y41" si="806">(($E41/30/8)*1.5)*X41</f>
        <v>0</v>
      </c>
      <c r="Z41" s="322"/>
      <c r="AA41" s="315">
        <f t="shared" ref="AA41" si="807">(($E41/30/8)*2)*Z41</f>
        <v>0</v>
      </c>
      <c r="AB41" s="322"/>
      <c r="AC41" s="315">
        <f t="shared" ref="AC41" si="808">(($E41/30/8)*1.5)*AB41</f>
        <v>0</v>
      </c>
      <c r="AD41" s="322"/>
      <c r="AE41" s="315">
        <f t="shared" ref="AE41" si="809">(($E41/30/8)*2)*AD41</f>
        <v>0</v>
      </c>
      <c r="AF41" s="315"/>
      <c r="AG41" s="315">
        <f t="shared" ref="AG41" si="810">(($E41/30/8)*1.5)*AF41</f>
        <v>0</v>
      </c>
      <c r="AH41" s="322"/>
      <c r="AI41" s="315">
        <f t="shared" ref="AI41" si="811">(($E41/30/8)*2)*AH41</f>
        <v>0</v>
      </c>
      <c r="AJ41" s="315"/>
      <c r="AK41" s="315"/>
      <c r="AL41" s="315"/>
      <c r="AM41" s="315"/>
      <c r="AN41" s="315"/>
      <c r="AO41" s="315"/>
      <c r="AP41" s="315"/>
      <c r="AQ41" s="315"/>
      <c r="AR41" s="315"/>
      <c r="AS41" s="315"/>
      <c r="AT41" s="315"/>
      <c r="AU41" s="313"/>
      <c r="AV41" s="315">
        <f t="shared" ref="AV41" si="812">((E41/30)*H41)*$I41</f>
        <v>1500</v>
      </c>
      <c r="AW41" s="315">
        <f t="shared" ref="AW41" si="813">((F41/30)*H41)*$I41</f>
        <v>100.00000000000001</v>
      </c>
      <c r="AX41" s="315">
        <f t="shared" ref="AX41" si="814">P41</f>
        <v>0</v>
      </c>
      <c r="AY41" s="315">
        <f t="shared" ref="AY41" si="815">Q41</f>
        <v>0</v>
      </c>
      <c r="AZ41" s="315">
        <f t="shared" ref="AZ41" si="816">R41</f>
        <v>0</v>
      </c>
      <c r="BA41" s="315">
        <f t="shared" ref="BA41" si="817">S41</f>
        <v>0</v>
      </c>
      <c r="BB41" s="315">
        <f t="shared" ref="BB41" si="818">AJ41+AO41</f>
        <v>0</v>
      </c>
      <c r="BC41" s="315">
        <f t="shared" ref="BC41" si="819">(AV41+AY41+BA41)*0.1267</f>
        <v>190.05</v>
      </c>
      <c r="BD41" s="315">
        <f t="shared" ref="BD41" si="820">SUM(AV41:BC41)-AX41-AZ41</f>
        <v>1790.05</v>
      </c>
      <c r="BE41" s="315">
        <f t="shared" si="441"/>
        <v>2250</v>
      </c>
      <c r="BF41" s="315">
        <f t="shared" si="538"/>
        <v>150</v>
      </c>
      <c r="BG41" s="315">
        <f t="shared" ref="BG41" si="821">T41</f>
        <v>0</v>
      </c>
      <c r="BH41" s="315">
        <f t="shared" ref="BH41" si="822">U41</f>
        <v>0</v>
      </c>
      <c r="BI41" s="315">
        <f t="shared" ref="BI41" si="823">V41</f>
        <v>0</v>
      </c>
      <c r="BJ41" s="315">
        <f t="shared" ref="BJ41" si="824">W41</f>
        <v>0</v>
      </c>
      <c r="BK41" s="315">
        <f t="shared" ref="BK41" si="825">AK41+AP41</f>
        <v>0</v>
      </c>
      <c r="BL41" s="315">
        <f t="shared" ref="BL41" si="826">(+BE41+BH41+BJ41+BK41)*0.1267</f>
        <v>285.07499999999999</v>
      </c>
      <c r="BM41" s="314">
        <f t="shared" ref="BM41" si="827">SUM(BE41:BL41)-BG41-BI41</f>
        <v>2685.0749999999998</v>
      </c>
      <c r="BN41" s="315">
        <f t="shared" si="449"/>
        <v>0</v>
      </c>
      <c r="BO41" s="315">
        <f t="shared" si="450"/>
        <v>0</v>
      </c>
      <c r="BP41" s="315">
        <f t="shared" ref="BP41" si="828">X41</f>
        <v>0</v>
      </c>
      <c r="BQ41" s="315">
        <f t="shared" ref="BQ41" si="829">Y41</f>
        <v>0</v>
      </c>
      <c r="BR41" s="315">
        <f t="shared" ref="BR41" si="830">Z41</f>
        <v>0</v>
      </c>
      <c r="BS41" s="315">
        <f t="shared" ref="BS41" si="831">AA41</f>
        <v>0</v>
      </c>
      <c r="BT41" s="315">
        <f t="shared" ref="BT41" si="832">AL41+AQ41</f>
        <v>0</v>
      </c>
      <c r="BU41" s="315">
        <f t="shared" ref="BU41" si="833">(BN41+BQ41+BS41)*0.1267</f>
        <v>0</v>
      </c>
      <c r="BV41" s="315">
        <f t="shared" ref="BV41" si="834">SUM(BN41:BU41)-BP41-BR41</f>
        <v>0</v>
      </c>
      <c r="BW41" s="360">
        <f t="shared" si="553"/>
        <v>0</v>
      </c>
      <c r="BX41" s="361">
        <f t="shared" si="554"/>
        <v>0</v>
      </c>
      <c r="BY41" s="361">
        <f t="shared" ref="BY41" si="835">AB41</f>
        <v>0</v>
      </c>
      <c r="BZ41" s="361">
        <f t="shared" ref="BZ41" si="836">AC41</f>
        <v>0</v>
      </c>
      <c r="CA41" s="361">
        <f t="shared" ref="CA41" si="837">AD41</f>
        <v>0</v>
      </c>
      <c r="CB41" s="361">
        <f t="shared" ref="CB41" si="838">AE41</f>
        <v>0</v>
      </c>
      <c r="CC41" s="361">
        <f t="shared" ref="CC41" si="839">AM41+AR41</f>
        <v>0</v>
      </c>
      <c r="CD41" s="361">
        <f t="shared" ref="CD41" si="840">(BW41+BZ41+CB41)*0.1267</f>
        <v>0</v>
      </c>
      <c r="CE41" s="361">
        <f t="shared" ref="CE41" si="841">SUM(BW41:CD41)-BY41-CA41</f>
        <v>0</v>
      </c>
      <c r="CF41" s="361">
        <f t="shared" ref="CF41" si="842">(($E41/30)*$H41)*M41</f>
        <v>0</v>
      </c>
      <c r="CG41" s="361">
        <f t="shared" si="459"/>
        <v>0</v>
      </c>
      <c r="CH41" s="361">
        <f t="shared" ref="CH41" si="843">+AF41</f>
        <v>0</v>
      </c>
      <c r="CI41" s="361">
        <f t="shared" ref="CI41" si="844">AG41</f>
        <v>0</v>
      </c>
      <c r="CJ41" s="361">
        <f t="shared" ref="CJ41" si="845">AH41</f>
        <v>0</v>
      </c>
      <c r="CK41" s="361">
        <f t="shared" ref="CK41" si="846">AI41</f>
        <v>0</v>
      </c>
      <c r="CL41" s="361">
        <f t="shared" ref="CL41" si="847">AN41+AS41</f>
        <v>0</v>
      </c>
      <c r="CM41" s="361">
        <f t="shared" ref="CM41" si="848">(CF41+CI41+CK41)*0.1267</f>
        <v>0</v>
      </c>
      <c r="CN41" s="362">
        <f t="shared" ref="CN41" si="849">SUM(CF41:CM41)-CH41-CJ41</f>
        <v>0</v>
      </c>
      <c r="CO41" s="330"/>
      <c r="CP41" s="313" t="s">
        <v>11</v>
      </c>
      <c r="CQ41" s="315">
        <f t="shared" si="465"/>
        <v>0</v>
      </c>
      <c r="CR41" s="315">
        <f t="shared" si="466"/>
        <v>0</v>
      </c>
      <c r="CS41" s="315">
        <f t="shared" si="467"/>
        <v>0</v>
      </c>
      <c r="CT41" s="315">
        <f t="shared" si="468"/>
        <v>0</v>
      </c>
      <c r="CU41" s="315">
        <f t="shared" si="469"/>
        <v>0</v>
      </c>
      <c r="CV41" s="315">
        <f t="shared" si="470"/>
        <v>0</v>
      </c>
      <c r="CW41" s="315">
        <f t="shared" si="471"/>
        <v>0</v>
      </c>
      <c r="CX41" s="315">
        <f t="shared" ref="CX41" si="850">IF($CP41="PROQUIMA",$BC41+$BL41+$BU41+$CD41+CM41,0)</f>
        <v>0</v>
      </c>
      <c r="CY41" s="315">
        <f t="shared" ref="CY41" si="851">SUM(CQ41:CX41)-CS41-CU41</f>
        <v>0</v>
      </c>
      <c r="CZ41" s="315">
        <f t="shared" si="474"/>
        <v>3750</v>
      </c>
      <c r="DA41" s="315">
        <f t="shared" si="475"/>
        <v>250</v>
      </c>
      <c r="DB41" s="315">
        <f t="shared" si="476"/>
        <v>0</v>
      </c>
      <c r="DC41" s="315">
        <f t="shared" si="477"/>
        <v>0</v>
      </c>
      <c r="DD41" s="315">
        <f t="shared" si="478"/>
        <v>0</v>
      </c>
      <c r="DE41" s="315">
        <f t="shared" si="479"/>
        <v>0</v>
      </c>
      <c r="DF41" s="315">
        <f t="shared" si="572"/>
        <v>0</v>
      </c>
      <c r="DG41" s="315">
        <f t="shared" si="480"/>
        <v>475.125</v>
      </c>
      <c r="DH41" s="315">
        <f t="shared" ref="DH41" si="852">SUM(CZ41:DG41)-DB41-DD41</f>
        <v>4475.125</v>
      </c>
      <c r="DI41" s="315">
        <f t="shared" si="482"/>
        <v>0</v>
      </c>
      <c r="DJ41" s="315">
        <f t="shared" si="483"/>
        <v>0</v>
      </c>
      <c r="DK41" s="315">
        <f t="shared" si="484"/>
        <v>0</v>
      </c>
      <c r="DL41" s="315">
        <f t="shared" si="485"/>
        <v>0</v>
      </c>
      <c r="DM41" s="315">
        <f t="shared" si="486"/>
        <v>0</v>
      </c>
      <c r="DN41" s="315">
        <f t="shared" si="487"/>
        <v>0</v>
      </c>
      <c r="DO41" s="315">
        <f t="shared" si="488"/>
        <v>0</v>
      </c>
      <c r="DP41" s="315">
        <f t="shared" si="489"/>
        <v>0</v>
      </c>
      <c r="DQ41" s="315">
        <f t="shared" ref="DQ41" si="853">SUM(DI41:DP41)-DK41-DM41</f>
        <v>0</v>
      </c>
      <c r="DR41" s="360">
        <f t="shared" si="491"/>
        <v>0</v>
      </c>
      <c r="DS41" s="361">
        <f t="shared" si="492"/>
        <v>0</v>
      </c>
      <c r="DT41" s="361">
        <f t="shared" si="493"/>
        <v>0</v>
      </c>
      <c r="DU41" s="361">
        <f t="shared" si="494"/>
        <v>0</v>
      </c>
      <c r="DV41" s="361">
        <f t="shared" si="495"/>
        <v>0</v>
      </c>
      <c r="DW41" s="361">
        <f t="shared" si="496"/>
        <v>0</v>
      </c>
      <c r="DX41" s="361">
        <f t="shared" si="497"/>
        <v>0</v>
      </c>
      <c r="DY41" s="361">
        <f t="shared" si="498"/>
        <v>0</v>
      </c>
      <c r="DZ41" s="361">
        <f t="shared" ref="DZ41" si="854">SUM(DR41:DY41)-DT41-DV41</f>
        <v>0</v>
      </c>
      <c r="EA41" s="361">
        <f t="shared" si="499"/>
        <v>0</v>
      </c>
      <c r="EB41" s="361">
        <f t="shared" si="500"/>
        <v>0</v>
      </c>
      <c r="EC41" s="361">
        <f t="shared" si="501"/>
        <v>0</v>
      </c>
      <c r="ED41" s="361">
        <f t="shared" si="502"/>
        <v>0</v>
      </c>
      <c r="EE41" s="361">
        <f t="shared" si="503"/>
        <v>0</v>
      </c>
      <c r="EF41" s="361">
        <f t="shared" si="504"/>
        <v>0</v>
      </c>
      <c r="EG41" s="361">
        <f t="shared" si="505"/>
        <v>0</v>
      </c>
      <c r="EH41" s="361">
        <f t="shared" si="576"/>
        <v>0</v>
      </c>
      <c r="EI41" s="362">
        <f t="shared" ref="EI41" si="855">SUM(EA41:EH41)-EC41-EE41</f>
        <v>0</v>
      </c>
      <c r="EJ41" s="330"/>
      <c r="EK41" s="313"/>
      <c r="EL41" s="313"/>
      <c r="EM41" s="313"/>
      <c r="EN41" s="313"/>
      <c r="EO41" s="313"/>
      <c r="EP41" s="313">
        <v>50</v>
      </c>
      <c r="EQ41" s="313"/>
      <c r="ER41" s="313"/>
      <c r="ES41" s="313"/>
      <c r="ET41" s="313">
        <f>+EO41+EP41+EQ41</f>
        <v>50</v>
      </c>
      <c r="EU41" s="1501"/>
      <c r="EV41" s="321">
        <f t="shared" ref="EV41" si="856">IF($H41&lt;=15,EK41/2,EK41)</f>
        <v>0</v>
      </c>
      <c r="EW41" s="321">
        <f t="shared" ref="EW41" si="857">IF($H41&lt;=15,EL41/2,EL41)</f>
        <v>0</v>
      </c>
      <c r="EX41" s="321">
        <f t="shared" ref="EX41" si="858">IF($H41&lt;=15,EM41/2,EM41)</f>
        <v>0</v>
      </c>
      <c r="EY41" s="321">
        <f t="shared" ref="EY41" si="859">IF($H41&lt;=15,EN41/2,EN41)</f>
        <v>0</v>
      </c>
      <c r="EZ41" s="321">
        <f t="shared" ref="EZ41" si="860">IF($H41&lt;=15,EO41/2,EO41)</f>
        <v>0</v>
      </c>
      <c r="FA41" s="321">
        <f t="shared" ref="FA41" si="861">IF($H41&lt;=15,EP41/2,EP41)</f>
        <v>50</v>
      </c>
      <c r="FB41" s="321">
        <f>IF($H41&lt;=15,EQ41/2,EQ41)</f>
        <v>0</v>
      </c>
      <c r="FC41" s="321">
        <f t="shared" ref="FC41" si="862">IF($H41&lt;=15,ER41/2,ER41)</f>
        <v>0</v>
      </c>
      <c r="FD41" s="321">
        <f t="shared" ref="FD41" si="863">IF($H41&lt;=15,ES41/2,ES41)</f>
        <v>0</v>
      </c>
      <c r="FE41" s="321">
        <f t="shared" ref="FE41" si="864">IF($H41&lt;=15,ET41/2,ET41)</f>
        <v>50</v>
      </c>
      <c r="FF41" s="332"/>
      <c r="FG41" s="332"/>
      <c r="FH41" s="332"/>
      <c r="FI41" s="332"/>
      <c r="FJ41" s="332"/>
      <c r="FK41" s="332"/>
    </row>
    <row r="42" spans="1:172" s="1441" customFormat="1" ht="15.75" customHeight="1" outlineLevel="1" thickBot="1">
      <c r="A42" s="1490"/>
      <c r="B42" s="1348"/>
      <c r="C42" s="1339" t="s">
        <v>72</v>
      </c>
      <c r="D42" s="1414"/>
      <c r="E42" s="1443">
        <f>SUM(E31:E41)</f>
        <v>62755.679999999993</v>
      </c>
      <c r="F42" s="1443">
        <f>SUM(F31:F41)</f>
        <v>19945.7</v>
      </c>
      <c r="G42" s="1443">
        <f>SUM(G31:G41)</f>
        <v>82701.38</v>
      </c>
      <c r="H42" s="1504"/>
      <c r="I42" s="1445"/>
      <c r="J42" s="1445"/>
      <c r="K42" s="1445"/>
      <c r="L42" s="1445"/>
      <c r="M42" s="1445"/>
      <c r="N42" s="1445"/>
      <c r="O42" s="1433"/>
      <c r="P42" s="1446">
        <f t="shared" ref="P42:AA42" si="865">SUM(P31:P41)</f>
        <v>0</v>
      </c>
      <c r="Q42" s="1446">
        <f t="shared" si="865"/>
        <v>0</v>
      </c>
      <c r="R42" s="1446">
        <f t="shared" si="865"/>
        <v>0</v>
      </c>
      <c r="S42" s="1446">
        <f t="shared" si="865"/>
        <v>0</v>
      </c>
      <c r="T42" s="1446">
        <f t="shared" si="865"/>
        <v>0</v>
      </c>
      <c r="U42" s="1446">
        <f t="shared" si="865"/>
        <v>0</v>
      </c>
      <c r="V42" s="1446">
        <f t="shared" si="865"/>
        <v>0</v>
      </c>
      <c r="W42" s="1446">
        <f t="shared" si="865"/>
        <v>0</v>
      </c>
      <c r="X42" s="1446">
        <f t="shared" si="865"/>
        <v>0</v>
      </c>
      <c r="Y42" s="1446">
        <f t="shared" si="865"/>
        <v>0</v>
      </c>
      <c r="Z42" s="1446">
        <f t="shared" si="865"/>
        <v>0</v>
      </c>
      <c r="AA42" s="1446">
        <f t="shared" si="865"/>
        <v>0</v>
      </c>
      <c r="AB42" s="1446">
        <f t="shared" ref="AB42:AT42" si="866">SUM(AB31:AB40)</f>
        <v>0</v>
      </c>
      <c r="AC42" s="1446">
        <f t="shared" si="866"/>
        <v>0</v>
      </c>
      <c r="AD42" s="1446">
        <f t="shared" si="866"/>
        <v>0</v>
      </c>
      <c r="AE42" s="1446">
        <f t="shared" si="866"/>
        <v>0</v>
      </c>
      <c r="AF42" s="1446">
        <f t="shared" si="866"/>
        <v>0</v>
      </c>
      <c r="AG42" s="1446">
        <f t="shared" si="866"/>
        <v>0</v>
      </c>
      <c r="AH42" s="1446">
        <f t="shared" si="866"/>
        <v>0</v>
      </c>
      <c r="AI42" s="1446">
        <f t="shared" si="866"/>
        <v>0</v>
      </c>
      <c r="AJ42" s="1446">
        <f t="shared" si="866"/>
        <v>0</v>
      </c>
      <c r="AK42" s="1446">
        <f t="shared" si="866"/>
        <v>0</v>
      </c>
      <c r="AL42" s="1446">
        <f t="shared" si="866"/>
        <v>0</v>
      </c>
      <c r="AM42" s="1446">
        <f t="shared" si="866"/>
        <v>0</v>
      </c>
      <c r="AN42" s="1446">
        <f t="shared" si="866"/>
        <v>0</v>
      </c>
      <c r="AO42" s="1446">
        <f t="shared" si="866"/>
        <v>0</v>
      </c>
      <c r="AP42" s="1446">
        <f t="shared" si="866"/>
        <v>0</v>
      </c>
      <c r="AQ42" s="1446">
        <f t="shared" si="866"/>
        <v>0</v>
      </c>
      <c r="AR42" s="1446">
        <f t="shared" si="866"/>
        <v>0</v>
      </c>
      <c r="AS42" s="1446">
        <f t="shared" si="866"/>
        <v>0</v>
      </c>
      <c r="AT42" s="1505">
        <f t="shared" si="866"/>
        <v>0</v>
      </c>
      <c r="AU42" s="1403"/>
      <c r="AV42" s="1446">
        <f t="shared" ref="AV42:CE42" si="867">SUM(AV31:AV41)</f>
        <v>31263.512999999999</v>
      </c>
      <c r="AW42" s="1446">
        <f t="shared" si="867"/>
        <v>10389.965</v>
      </c>
      <c r="AX42" s="1446">
        <f t="shared" si="867"/>
        <v>0</v>
      </c>
      <c r="AY42" s="1446">
        <f t="shared" si="867"/>
        <v>0</v>
      </c>
      <c r="AZ42" s="1446">
        <f t="shared" si="867"/>
        <v>0</v>
      </c>
      <c r="BA42" s="1446">
        <f t="shared" si="867"/>
        <v>0</v>
      </c>
      <c r="BB42" s="1446">
        <f t="shared" si="867"/>
        <v>0</v>
      </c>
      <c r="BC42" s="1446">
        <f t="shared" si="867"/>
        <v>3961.0870971000004</v>
      </c>
      <c r="BD42" s="1446">
        <f t="shared" si="867"/>
        <v>45614.565097099992</v>
      </c>
      <c r="BE42" s="1446">
        <f t="shared" si="867"/>
        <v>24813.512999999999</v>
      </c>
      <c r="BF42" s="1446">
        <f t="shared" si="867"/>
        <v>7339.9650000000001</v>
      </c>
      <c r="BG42" s="1446">
        <f t="shared" si="867"/>
        <v>0</v>
      </c>
      <c r="BH42" s="1446">
        <f t="shared" si="867"/>
        <v>0</v>
      </c>
      <c r="BI42" s="1446">
        <f t="shared" si="867"/>
        <v>0</v>
      </c>
      <c r="BJ42" s="1446">
        <f t="shared" si="867"/>
        <v>0</v>
      </c>
      <c r="BK42" s="1446">
        <f t="shared" si="867"/>
        <v>0</v>
      </c>
      <c r="BL42" s="1446">
        <f t="shared" si="867"/>
        <v>3143.8720971000002</v>
      </c>
      <c r="BM42" s="1446">
        <f t="shared" si="867"/>
        <v>35297.350097099996</v>
      </c>
      <c r="BN42" s="1446">
        <f t="shared" si="867"/>
        <v>0</v>
      </c>
      <c r="BO42" s="1446">
        <f t="shared" si="867"/>
        <v>0</v>
      </c>
      <c r="BP42" s="1446">
        <f t="shared" si="867"/>
        <v>0</v>
      </c>
      <c r="BQ42" s="1446">
        <f t="shared" si="867"/>
        <v>0</v>
      </c>
      <c r="BR42" s="1446">
        <f t="shared" si="867"/>
        <v>0</v>
      </c>
      <c r="BS42" s="1446">
        <f t="shared" si="867"/>
        <v>0</v>
      </c>
      <c r="BT42" s="1446">
        <f t="shared" si="867"/>
        <v>0</v>
      </c>
      <c r="BU42" s="1446">
        <f t="shared" si="867"/>
        <v>0</v>
      </c>
      <c r="BV42" s="1446">
        <f t="shared" si="867"/>
        <v>0</v>
      </c>
      <c r="BW42" s="1506">
        <f t="shared" si="867"/>
        <v>6511.9873333333326</v>
      </c>
      <c r="BX42" s="1506">
        <f t="shared" si="867"/>
        <v>3132.4366666666665</v>
      </c>
      <c r="BY42" s="1506">
        <f t="shared" si="867"/>
        <v>0</v>
      </c>
      <c r="BZ42" s="1506">
        <f t="shared" si="867"/>
        <v>0</v>
      </c>
      <c r="CA42" s="1506">
        <f t="shared" si="867"/>
        <v>0</v>
      </c>
      <c r="CB42" s="1506">
        <f t="shared" si="867"/>
        <v>0</v>
      </c>
      <c r="CC42" s="1506">
        <f t="shared" si="867"/>
        <v>0</v>
      </c>
      <c r="CD42" s="1506">
        <f t="shared" si="867"/>
        <v>825.06879513333331</v>
      </c>
      <c r="CE42" s="1506">
        <f t="shared" si="867"/>
        <v>10469.492795133332</v>
      </c>
      <c r="CF42" s="1506">
        <f t="shared" ref="CF42:CN42" si="868">SUM(CF31:CF40)</f>
        <v>0</v>
      </c>
      <c r="CG42" s="1506">
        <f t="shared" si="868"/>
        <v>0</v>
      </c>
      <c r="CH42" s="1506">
        <f t="shared" si="868"/>
        <v>0</v>
      </c>
      <c r="CI42" s="1506">
        <f t="shared" si="868"/>
        <v>0</v>
      </c>
      <c r="CJ42" s="1506">
        <f t="shared" si="868"/>
        <v>0</v>
      </c>
      <c r="CK42" s="1506">
        <f t="shared" si="868"/>
        <v>0</v>
      </c>
      <c r="CL42" s="1506">
        <f t="shared" si="868"/>
        <v>0</v>
      </c>
      <c r="CM42" s="1506">
        <f t="shared" si="868"/>
        <v>0</v>
      </c>
      <c r="CN42" s="1506">
        <f t="shared" si="868"/>
        <v>0</v>
      </c>
      <c r="CO42" s="1414"/>
      <c r="CP42" s="1492"/>
      <c r="CQ42" s="1446">
        <f t="shared" ref="CQ42:DR42" si="869">SUM(CQ31:CQ41)</f>
        <v>21219.713333333333</v>
      </c>
      <c r="CR42" s="1446">
        <f t="shared" si="869"/>
        <v>11630.286666666667</v>
      </c>
      <c r="CS42" s="1446">
        <f t="shared" si="869"/>
        <v>0</v>
      </c>
      <c r="CT42" s="1446">
        <f t="shared" si="869"/>
        <v>0</v>
      </c>
      <c r="CU42" s="1446">
        <f t="shared" si="869"/>
        <v>0</v>
      </c>
      <c r="CV42" s="1446">
        <f t="shared" si="869"/>
        <v>0</v>
      </c>
      <c r="CW42" s="1446">
        <f t="shared" si="869"/>
        <v>0</v>
      </c>
      <c r="CX42" s="1446">
        <f t="shared" si="869"/>
        <v>2688.5376793333335</v>
      </c>
      <c r="CY42" s="1446">
        <f t="shared" si="869"/>
        <v>35538.537679333334</v>
      </c>
      <c r="CZ42" s="1446">
        <f t="shared" si="869"/>
        <v>41369.299999999996</v>
      </c>
      <c r="DA42" s="1446">
        <f t="shared" si="869"/>
        <v>9232.08</v>
      </c>
      <c r="DB42" s="1446">
        <f t="shared" si="869"/>
        <v>0</v>
      </c>
      <c r="DC42" s="1446">
        <f t="shared" si="869"/>
        <v>0</v>
      </c>
      <c r="DD42" s="1446">
        <f t="shared" si="869"/>
        <v>0</v>
      </c>
      <c r="DE42" s="1446">
        <f t="shared" si="869"/>
        <v>0</v>
      </c>
      <c r="DF42" s="1446">
        <f t="shared" si="869"/>
        <v>0</v>
      </c>
      <c r="DG42" s="1446">
        <f t="shared" si="869"/>
        <v>5241.4903100000001</v>
      </c>
      <c r="DH42" s="1446">
        <f t="shared" si="869"/>
        <v>55842.870310000006</v>
      </c>
      <c r="DI42" s="1446">
        <f t="shared" si="869"/>
        <v>0</v>
      </c>
      <c r="DJ42" s="1446">
        <f t="shared" si="869"/>
        <v>0</v>
      </c>
      <c r="DK42" s="1446">
        <f t="shared" si="869"/>
        <v>0</v>
      </c>
      <c r="DL42" s="1446">
        <f t="shared" si="869"/>
        <v>0</v>
      </c>
      <c r="DM42" s="1446">
        <f t="shared" si="869"/>
        <v>0</v>
      </c>
      <c r="DN42" s="1446">
        <f t="shared" si="869"/>
        <v>0</v>
      </c>
      <c r="DO42" s="1446">
        <f t="shared" si="869"/>
        <v>0</v>
      </c>
      <c r="DP42" s="1446">
        <f t="shared" si="869"/>
        <v>0</v>
      </c>
      <c r="DQ42" s="1446">
        <f t="shared" si="869"/>
        <v>0</v>
      </c>
      <c r="DR42" s="1506">
        <f t="shared" si="869"/>
        <v>0</v>
      </c>
      <c r="DS42" s="1506">
        <f t="shared" ref="DS42:EI42" si="870">SUM(DS31:DS40)</f>
        <v>0</v>
      </c>
      <c r="DT42" s="1506">
        <f t="shared" si="870"/>
        <v>0</v>
      </c>
      <c r="DU42" s="1506">
        <f t="shared" si="870"/>
        <v>0</v>
      </c>
      <c r="DV42" s="1506">
        <f t="shared" si="870"/>
        <v>0</v>
      </c>
      <c r="DW42" s="1506">
        <f t="shared" si="870"/>
        <v>0</v>
      </c>
      <c r="DX42" s="1506">
        <f t="shared" si="870"/>
        <v>0</v>
      </c>
      <c r="DY42" s="1506">
        <f t="shared" si="870"/>
        <v>0</v>
      </c>
      <c r="DZ42" s="1506">
        <f t="shared" si="870"/>
        <v>0</v>
      </c>
      <c r="EA42" s="1506">
        <f t="shared" si="870"/>
        <v>0</v>
      </c>
      <c r="EB42" s="1506">
        <f t="shared" si="870"/>
        <v>0</v>
      </c>
      <c r="EC42" s="1506">
        <f t="shared" si="870"/>
        <v>0</v>
      </c>
      <c r="ED42" s="1506">
        <f t="shared" si="870"/>
        <v>0</v>
      </c>
      <c r="EE42" s="1506">
        <f t="shared" si="870"/>
        <v>0</v>
      </c>
      <c r="EF42" s="1506">
        <f t="shared" si="870"/>
        <v>0</v>
      </c>
      <c r="EG42" s="1506">
        <f t="shared" si="870"/>
        <v>0</v>
      </c>
      <c r="EH42" s="1506">
        <f t="shared" si="870"/>
        <v>0</v>
      </c>
      <c r="EI42" s="1506">
        <f t="shared" si="870"/>
        <v>0</v>
      </c>
      <c r="EJ42" s="1414"/>
      <c r="EK42" s="1446">
        <f t="shared" ref="EK42:ET42" si="871">SUM(EK31:EK41)</f>
        <v>1820.96</v>
      </c>
      <c r="EL42" s="1446">
        <f t="shared" si="871"/>
        <v>2022.85</v>
      </c>
      <c r="EM42" s="1446">
        <f t="shared" si="871"/>
        <v>796</v>
      </c>
      <c r="EN42" s="1446">
        <f t="shared" si="871"/>
        <v>874</v>
      </c>
      <c r="EO42" s="1446">
        <f t="shared" si="871"/>
        <v>0</v>
      </c>
      <c r="EP42" s="1446">
        <f t="shared" si="871"/>
        <v>800</v>
      </c>
      <c r="EQ42" s="1446">
        <f t="shared" si="871"/>
        <v>705</v>
      </c>
      <c r="ER42" s="1446">
        <f t="shared" si="871"/>
        <v>0</v>
      </c>
      <c r="ES42" s="1446">
        <f t="shared" si="871"/>
        <v>135</v>
      </c>
      <c r="ET42" s="1446">
        <f t="shared" si="871"/>
        <v>1505</v>
      </c>
      <c r="EU42" s="1500"/>
      <c r="EV42" s="1507">
        <f t="shared" ref="EV42:FE42" si="872">SUM(EV31:EV41)</f>
        <v>1820.96</v>
      </c>
      <c r="EW42" s="1507">
        <f t="shared" si="872"/>
        <v>2022.85</v>
      </c>
      <c r="EX42" s="1507">
        <f t="shared" si="872"/>
        <v>796</v>
      </c>
      <c r="EY42" s="1507">
        <f t="shared" si="872"/>
        <v>874</v>
      </c>
      <c r="EZ42" s="1507">
        <f t="shared" si="872"/>
        <v>0</v>
      </c>
      <c r="FA42" s="1507">
        <f t="shared" si="872"/>
        <v>800</v>
      </c>
      <c r="FB42" s="1507">
        <f t="shared" si="872"/>
        <v>705</v>
      </c>
      <c r="FC42" s="1507">
        <f t="shared" si="872"/>
        <v>0</v>
      </c>
      <c r="FD42" s="1507">
        <f t="shared" si="872"/>
        <v>135</v>
      </c>
      <c r="FE42" s="1507">
        <f t="shared" si="872"/>
        <v>1505</v>
      </c>
      <c r="FF42" s="1448"/>
      <c r="FG42" s="1448"/>
      <c r="FH42" s="1448"/>
      <c r="FI42" s="1448"/>
      <c r="FJ42" s="1448"/>
      <c r="FK42" s="1448"/>
      <c r="FL42" s="1441">
        <f t="shared" si="272"/>
        <v>0</v>
      </c>
    </row>
    <row r="43" spans="1:172" s="1441" customFormat="1" ht="15.75" customHeight="1" outlineLevel="1" thickTop="1">
      <c r="A43" s="1490"/>
      <c r="B43" s="1348"/>
      <c r="C43" s="1403"/>
      <c r="D43" s="1414"/>
      <c r="E43" s="1508"/>
      <c r="F43" s="1504"/>
      <c r="G43" s="1504"/>
      <c r="H43" s="1504"/>
      <c r="I43" s="1445"/>
      <c r="J43" s="1445"/>
      <c r="K43" s="1445"/>
      <c r="L43" s="1445"/>
      <c r="M43" s="1445"/>
      <c r="N43" s="1445"/>
      <c r="O43" s="1417"/>
      <c r="P43" s="1509"/>
      <c r="Q43" s="1504"/>
      <c r="R43" s="1509"/>
      <c r="S43" s="1504"/>
      <c r="T43" s="1509"/>
      <c r="U43" s="1504"/>
      <c r="V43" s="1509"/>
      <c r="W43" s="1504"/>
      <c r="X43" s="1509"/>
      <c r="Y43" s="1504"/>
      <c r="Z43" s="1510"/>
      <c r="AA43" s="1504"/>
      <c r="AB43" s="1510"/>
      <c r="AC43" s="1504"/>
      <c r="AD43" s="1510"/>
      <c r="AE43" s="1504"/>
      <c r="AF43" s="1504"/>
      <c r="AG43" s="1504"/>
      <c r="AH43" s="1510"/>
      <c r="AI43" s="1504"/>
      <c r="AJ43" s="1504"/>
      <c r="AK43" s="1504"/>
      <c r="AL43" s="1504"/>
      <c r="AM43" s="1504"/>
      <c r="AN43" s="1504"/>
      <c r="AO43" s="1504"/>
      <c r="AP43" s="1504"/>
      <c r="AQ43" s="1504"/>
      <c r="AR43" s="1504"/>
      <c r="AS43" s="1504"/>
      <c r="AT43" s="1444"/>
      <c r="AU43" s="1414"/>
      <c r="AV43" s="1504"/>
      <c r="AW43" s="1504"/>
      <c r="AX43" s="1504"/>
      <c r="AY43" s="1504"/>
      <c r="AZ43" s="1504"/>
      <c r="BA43" s="1504"/>
      <c r="BB43" s="1504"/>
      <c r="BC43" s="1504"/>
      <c r="BD43" s="1504"/>
      <c r="BE43" s="1504"/>
      <c r="BF43" s="1504"/>
      <c r="BG43" s="1504"/>
      <c r="BH43" s="1504"/>
      <c r="BI43" s="1504"/>
      <c r="BJ43" s="1504"/>
      <c r="BK43" s="1504"/>
      <c r="BL43" s="1504"/>
      <c r="BM43" s="1504"/>
      <c r="BN43" s="1504"/>
      <c r="BO43" s="1504"/>
      <c r="BP43" s="1504"/>
      <c r="BQ43" s="1504"/>
      <c r="BR43" s="1504"/>
      <c r="BS43" s="1504"/>
      <c r="BT43" s="1504"/>
      <c r="BU43" s="1504"/>
      <c r="BV43" s="1504"/>
      <c r="BW43" s="1504"/>
      <c r="BX43" s="1504"/>
      <c r="BY43" s="1504"/>
      <c r="BZ43" s="1504"/>
      <c r="CA43" s="1504"/>
      <c r="CB43" s="1504"/>
      <c r="CC43" s="1504"/>
      <c r="CD43" s="1504"/>
      <c r="CE43" s="1504"/>
      <c r="CF43" s="1504"/>
      <c r="CG43" s="1504"/>
      <c r="CH43" s="1504"/>
      <c r="CI43" s="1504"/>
      <c r="CJ43" s="1504"/>
      <c r="CK43" s="1504"/>
      <c r="CL43" s="1504"/>
      <c r="CM43" s="1504"/>
      <c r="CN43" s="1504"/>
      <c r="CO43" s="1414"/>
      <c r="CP43" s="1414"/>
      <c r="CQ43" s="1451"/>
      <c r="CR43" s="1451"/>
      <c r="CS43" s="1451"/>
      <c r="CT43" s="1451"/>
      <c r="CU43" s="1451"/>
      <c r="CV43" s="1451"/>
      <c r="CW43" s="1451"/>
      <c r="CX43" s="1451"/>
      <c r="CY43" s="1451"/>
      <c r="CZ43" s="1451"/>
      <c r="DA43" s="1451"/>
      <c r="DB43" s="1451"/>
      <c r="DC43" s="1451"/>
      <c r="DD43" s="1451"/>
      <c r="DE43" s="1451"/>
      <c r="DF43" s="1451"/>
      <c r="DG43" s="1451"/>
      <c r="DH43" s="1444"/>
      <c r="DI43" s="1451"/>
      <c r="DJ43" s="1451"/>
      <c r="DK43" s="1451"/>
      <c r="DL43" s="1451"/>
      <c r="DM43" s="1451"/>
      <c r="DN43" s="1451"/>
      <c r="DO43" s="1451"/>
      <c r="DP43" s="1451"/>
      <c r="DQ43" s="1451"/>
      <c r="DR43" s="1451"/>
      <c r="DS43" s="1451"/>
      <c r="DT43" s="1451"/>
      <c r="DU43" s="1451"/>
      <c r="DV43" s="1451"/>
      <c r="DW43" s="1451"/>
      <c r="DX43" s="1451"/>
      <c r="DY43" s="1451"/>
      <c r="DZ43" s="1451"/>
      <c r="EA43" s="1451"/>
      <c r="EB43" s="1451"/>
      <c r="EC43" s="1451"/>
      <c r="ED43" s="1451"/>
      <c r="EE43" s="1451"/>
      <c r="EF43" s="1451"/>
      <c r="EG43" s="1451"/>
      <c r="EH43" s="1451"/>
      <c r="EI43" s="1451"/>
      <c r="EJ43" s="1414"/>
      <c r="EK43" s="1403"/>
      <c r="EL43" s="1414"/>
      <c r="EM43" s="1414"/>
      <c r="EN43" s="330"/>
      <c r="EO43" s="1414"/>
      <c r="EP43" s="1414"/>
      <c r="EQ43" s="1414"/>
      <c r="ER43" s="1414"/>
      <c r="ES43" s="1414"/>
      <c r="ET43" s="1414"/>
      <c r="EU43" s="1500"/>
      <c r="EV43" s="1414"/>
      <c r="EW43" s="1414"/>
      <c r="EX43" s="1414"/>
      <c r="EY43" s="1414"/>
      <c r="EZ43" s="1414"/>
      <c r="FA43" s="1414"/>
      <c r="FB43" s="1414"/>
      <c r="FC43" s="1414"/>
      <c r="FD43" s="1414"/>
      <c r="FE43" s="1414"/>
      <c r="FF43" s="1448"/>
      <c r="FG43" s="1448"/>
      <c r="FH43" s="1448"/>
      <c r="FI43" s="1448"/>
      <c r="FJ43" s="1448"/>
      <c r="FK43" s="1448"/>
      <c r="FL43" s="1441">
        <f t="shared" si="272"/>
        <v>0</v>
      </c>
    </row>
    <row r="44" spans="1:172" s="1513" customFormat="1" ht="15" customHeight="1" outlineLevel="1">
      <c r="A44" s="1511"/>
      <c r="B44" s="1416" t="s">
        <v>73</v>
      </c>
      <c r="C44" s="1403"/>
      <c r="D44" s="1414"/>
      <c r="E44" s="1512"/>
      <c r="I44" s="1514"/>
      <c r="J44" s="1514"/>
      <c r="K44" s="1514"/>
      <c r="L44" s="1514"/>
      <c r="M44" s="1514"/>
      <c r="N44" s="1514"/>
      <c r="O44" s="1417"/>
      <c r="P44" s="1515"/>
      <c r="R44" s="1515"/>
      <c r="T44" s="1515"/>
      <c r="V44" s="1515"/>
      <c r="X44" s="1515"/>
      <c r="Z44" s="1516"/>
      <c r="AB44" s="1516"/>
      <c r="AD44" s="1516"/>
      <c r="AH44" s="1516"/>
      <c r="AU44" s="1517"/>
      <c r="CO44" s="1414"/>
      <c r="CP44" s="1414"/>
      <c r="EJ44" s="1414"/>
      <c r="EK44" s="1403"/>
      <c r="EL44" s="1414"/>
      <c r="EM44" s="1414"/>
      <c r="EN44" s="330"/>
      <c r="EO44" s="1414"/>
      <c r="EP44" s="1414"/>
      <c r="EQ44" s="1414"/>
      <c r="ER44" s="1414"/>
      <c r="ES44" s="1414"/>
      <c r="ET44" s="1414"/>
      <c r="EU44" s="1500"/>
      <c r="EV44" s="1414"/>
      <c r="EW44" s="1414"/>
      <c r="EX44" s="1414"/>
      <c r="EY44" s="1414"/>
      <c r="EZ44" s="1414"/>
      <c r="FA44" s="1414"/>
      <c r="FB44" s="1414"/>
      <c r="FC44" s="1414"/>
      <c r="FD44" s="1414"/>
      <c r="FE44" s="1414"/>
      <c r="FF44" s="1448"/>
      <c r="FG44" s="1448"/>
      <c r="FH44" s="1448"/>
      <c r="FI44" s="1448"/>
      <c r="FJ44" s="1448"/>
      <c r="FK44" s="1448"/>
      <c r="FL44" s="1441">
        <f t="shared" si="272"/>
        <v>0</v>
      </c>
      <c r="FM44" s="1441"/>
      <c r="FN44" s="1441"/>
      <c r="FO44" s="1441"/>
      <c r="FP44" s="1441"/>
    </row>
    <row r="45" spans="1:172" s="331" customFormat="1" ht="15" customHeight="1" outlineLevel="1">
      <c r="A45" s="415">
        <v>27</v>
      </c>
      <c r="B45" s="213" t="s">
        <v>610</v>
      </c>
      <c r="C45" s="312" t="s">
        <v>562</v>
      </c>
      <c r="D45" s="313" t="s">
        <v>10</v>
      </c>
      <c r="E45" s="314">
        <v>8000</v>
      </c>
      <c r="F45" s="314">
        <v>3000</v>
      </c>
      <c r="G45" s="314">
        <f>+E45+F45</f>
        <v>11000</v>
      </c>
      <c r="H45" s="355">
        <v>30</v>
      </c>
      <c r="I45" s="356">
        <v>1</v>
      </c>
      <c r="J45" s="318">
        <v>0</v>
      </c>
      <c r="K45" s="318">
        <v>0</v>
      </c>
      <c r="L45" s="318">
        <v>0</v>
      </c>
      <c r="M45" s="318">
        <v>0</v>
      </c>
      <c r="N45" s="318">
        <f>SUM(I45:M45)</f>
        <v>1</v>
      </c>
      <c r="O45" s="319"/>
      <c r="P45" s="357"/>
      <c r="Q45" s="315">
        <f>($E45/30/8*1.5)*P45</f>
        <v>0</v>
      </c>
      <c r="R45" s="321"/>
      <c r="S45" s="315">
        <f>($E45/30/8*2)*R45</f>
        <v>0</v>
      </c>
      <c r="T45" s="321"/>
      <c r="U45" s="358">
        <f>($E45/30/8*1.5)*T45</f>
        <v>0</v>
      </c>
      <c r="V45" s="321"/>
      <c r="W45" s="315">
        <f>($E45/30/8*2)*V45</f>
        <v>0</v>
      </c>
      <c r="X45" s="321"/>
      <c r="Y45" s="315">
        <f>(($E45/30/8)*1.5)*X45</f>
        <v>0</v>
      </c>
      <c r="Z45" s="322"/>
      <c r="AA45" s="315">
        <f>(($E45/30/8)*2)*Z45</f>
        <v>0</v>
      </c>
      <c r="AB45" s="322"/>
      <c r="AC45" s="315">
        <f>(($E45/30/8)*1.5)*AB45</f>
        <v>0</v>
      </c>
      <c r="AD45" s="322"/>
      <c r="AE45" s="315">
        <f>(($E45/30/8)*2)*AD45</f>
        <v>0</v>
      </c>
      <c r="AF45" s="315"/>
      <c r="AG45" s="315">
        <f>(($E45/30/8)*1.5)*AF45</f>
        <v>0</v>
      </c>
      <c r="AH45" s="322"/>
      <c r="AI45" s="315">
        <f>(($E45/30/8)*2)*AH45</f>
        <v>0</v>
      </c>
      <c r="AJ45" s="314"/>
      <c r="AK45" s="314"/>
      <c r="AL45" s="314"/>
      <c r="AM45" s="314"/>
      <c r="AN45" s="314"/>
      <c r="AO45" s="314"/>
      <c r="AP45" s="314"/>
      <c r="AQ45" s="314"/>
      <c r="AR45" s="314"/>
      <c r="AS45" s="314"/>
      <c r="AT45" s="314"/>
      <c r="AU45" s="359"/>
      <c r="AV45" s="315">
        <f>((E45/30)*H45)*$I45</f>
        <v>8000.0000000000009</v>
      </c>
      <c r="AW45" s="315">
        <f>((F45/30)*H45)*$I45</f>
        <v>3000</v>
      </c>
      <c r="AX45" s="315">
        <f t="shared" ref="AX45:BA49" si="873">P45</f>
        <v>0</v>
      </c>
      <c r="AY45" s="315">
        <f t="shared" si="873"/>
        <v>0</v>
      </c>
      <c r="AZ45" s="315">
        <f t="shared" si="873"/>
        <v>0</v>
      </c>
      <c r="BA45" s="315">
        <f t="shared" si="873"/>
        <v>0</v>
      </c>
      <c r="BB45" s="315">
        <f>AJ45+AO45</f>
        <v>0</v>
      </c>
      <c r="BC45" s="315">
        <f>(AV45+AY45+BA45)*0.1267</f>
        <v>1013.6000000000001</v>
      </c>
      <c r="BD45" s="315">
        <f>SUM(AV45:BC45)-AX45-AZ45</f>
        <v>12013.6</v>
      </c>
      <c r="BE45" s="315">
        <f>(($E45/30)*$H45)*$J45</f>
        <v>0</v>
      </c>
      <c r="BF45" s="315">
        <f>(($F45/30)*$H45)*$J45</f>
        <v>0</v>
      </c>
      <c r="BG45" s="315">
        <f t="shared" ref="BG45:BJ49" si="874">T45</f>
        <v>0</v>
      </c>
      <c r="BH45" s="315">
        <f t="shared" si="874"/>
        <v>0</v>
      </c>
      <c r="BI45" s="315">
        <f t="shared" si="874"/>
        <v>0</v>
      </c>
      <c r="BJ45" s="315">
        <f t="shared" si="874"/>
        <v>0</v>
      </c>
      <c r="BK45" s="315">
        <f>AK45+AP45</f>
        <v>0</v>
      </c>
      <c r="BL45" s="315">
        <f>(+BE45+BH45+BJ45+BK45)*0.1267</f>
        <v>0</v>
      </c>
      <c r="BM45" s="314">
        <f>SUM(BE45:BL45)-BG45-BI45</f>
        <v>0</v>
      </c>
      <c r="BN45" s="315">
        <f>(($E45/30)*$H45)*$K45</f>
        <v>0</v>
      </c>
      <c r="BO45" s="315">
        <f>(($F45/30)*$H45)*$K45</f>
        <v>0</v>
      </c>
      <c r="BP45" s="315">
        <f t="shared" ref="BP45:BR49" si="875">X45</f>
        <v>0</v>
      </c>
      <c r="BQ45" s="315">
        <f t="shared" si="875"/>
        <v>0</v>
      </c>
      <c r="BR45" s="315">
        <f t="shared" si="875"/>
        <v>0</v>
      </c>
      <c r="BS45" s="315">
        <f>AA45</f>
        <v>0</v>
      </c>
      <c r="BT45" s="315">
        <f>AL45+AQ45</f>
        <v>0</v>
      </c>
      <c r="BU45" s="315">
        <f>(BN45+BQ45+BS45)*0.1267</f>
        <v>0</v>
      </c>
      <c r="BV45" s="315">
        <f>SUM(BN45:BU45)-BP45-BR45</f>
        <v>0</v>
      </c>
      <c r="BW45" s="360">
        <f>(($E45/30)*$H45)*$L45</f>
        <v>0</v>
      </c>
      <c r="BX45" s="361">
        <f>(($F45/30)*$H45)*$L45</f>
        <v>0</v>
      </c>
      <c r="BY45" s="361">
        <f t="shared" ref="BY45:CB46" si="876">AB45</f>
        <v>0</v>
      </c>
      <c r="BZ45" s="361">
        <f t="shared" si="876"/>
        <v>0</v>
      </c>
      <c r="CA45" s="361">
        <f t="shared" si="876"/>
        <v>0</v>
      </c>
      <c r="CB45" s="361">
        <f t="shared" si="876"/>
        <v>0</v>
      </c>
      <c r="CC45" s="361">
        <f>AM45+AR45</f>
        <v>0</v>
      </c>
      <c r="CD45" s="361">
        <f>(BW45+BZ45+CB45)*0.1267</f>
        <v>0</v>
      </c>
      <c r="CE45" s="361">
        <f>SUM(BW45:CD45)-BY45-CA45</f>
        <v>0</v>
      </c>
      <c r="CF45" s="361">
        <f>(($E45/30)*$H45)*M45</f>
        <v>0</v>
      </c>
      <c r="CG45" s="361">
        <f>(($F45/30)*$H45)*$M45</f>
        <v>0</v>
      </c>
      <c r="CH45" s="361">
        <f>+AF45</f>
        <v>0</v>
      </c>
      <c r="CI45" s="361">
        <f t="shared" ref="CI45:CK46" si="877">AG45</f>
        <v>0</v>
      </c>
      <c r="CJ45" s="361">
        <f t="shared" si="877"/>
        <v>0</v>
      </c>
      <c r="CK45" s="361">
        <f t="shared" si="877"/>
        <v>0</v>
      </c>
      <c r="CL45" s="361">
        <f>AN45+AS45</f>
        <v>0</v>
      </c>
      <c r="CM45" s="361">
        <f>(CF45+CI45+CK45)*0.1267</f>
        <v>0</v>
      </c>
      <c r="CN45" s="362">
        <f>SUM(CF45:CM45)-CH45-CJ45</f>
        <v>0</v>
      </c>
      <c r="CO45" s="330"/>
      <c r="CP45" s="313" t="s">
        <v>10</v>
      </c>
      <c r="CQ45" s="315">
        <f>IF($CP45="PROQUIMA",$AV45+$BE45+$BN45+$BW45+$CF45,0)</f>
        <v>8000.0000000000009</v>
      </c>
      <c r="CR45" s="315">
        <f>IF($CP45="PROQUIMA",$AW45+$BF45+$BO45+$BX45+$CG45,0)</f>
        <v>3000</v>
      </c>
      <c r="CS45" s="315">
        <f>IF($CP45="PROQUIMA",$AX45+$BG45+$BP45+$BY45+$CH45,0)</f>
        <v>0</v>
      </c>
      <c r="CT45" s="315">
        <f>IF($CP45="PROQUIMA",$AY45+$BH45+$BQ45+$BZ45+$CI45,0)</f>
        <v>0</v>
      </c>
      <c r="CU45" s="315">
        <f>IF($CP45="PROQUIMA",$AZ45+$BI45+$BR45+$CA45+$CJ45,0)</f>
        <v>0</v>
      </c>
      <c r="CV45" s="315">
        <f>IF($CP45="PROQUIMA",$BA45+$BJ45+$BS45+$CB45+$CK45,0)</f>
        <v>0</v>
      </c>
      <c r="CW45" s="315">
        <f>IF($CP45="PROQUIMA",$BB45+$BK45+$BT45+$CC45+$CL45,0)</f>
        <v>0</v>
      </c>
      <c r="CX45" s="315">
        <f>IF($CP45="PROQUIMA",$BC45+$BL45+$BU45+$CD45+CM45,0)</f>
        <v>1013.6000000000001</v>
      </c>
      <c r="CY45" s="315">
        <f>SUM(CQ45:CX45)-CS45-CU45</f>
        <v>12013.6</v>
      </c>
      <c r="CZ45" s="315">
        <f>IF($CP45="UNHESA",$AV45+$BE45+$BN45+$BW45+$CF45,0)</f>
        <v>0</v>
      </c>
      <c r="DA45" s="315">
        <f>IF($CP45="UNHESA",$AW45+$BF45+$BO45+$BX45+$CG45,0)</f>
        <v>0</v>
      </c>
      <c r="DB45" s="315">
        <f>IF($CP45="UNHESA",$AX45+$BG45+$BP45+$BY45+$CH45,0)</f>
        <v>0</v>
      </c>
      <c r="DC45" s="315">
        <f>IF($CP45="UNHESA",$AY45+$BH45+$BQ45+$BZ45+$CI45,0)</f>
        <v>0</v>
      </c>
      <c r="DD45" s="315">
        <f>IF($CP45="UNHESA",$AZ45+$BI45+$BR45+$CA45+$CJ45,0)</f>
        <v>0</v>
      </c>
      <c r="DE45" s="315">
        <f>IF($CP45="UNHESA",$BA45+$BJ45+$BS45+$CB45+$CK45,0)</f>
        <v>0</v>
      </c>
      <c r="DF45" s="315">
        <f>IF($CP45="UNHESA",$BB45+$BK45+$BT45+$CC45+$CL45,0)</f>
        <v>0</v>
      </c>
      <c r="DG45" s="315">
        <f>IF($CP45="UNHESA",$BC45+$BL45+$BU45+$CD45+$CM45,0)</f>
        <v>0</v>
      </c>
      <c r="DH45" s="315">
        <f>SUM(CZ45:DG45)-DB45-DD45</f>
        <v>0</v>
      </c>
      <c r="DI45" s="315">
        <f>IF($CP45="UNHESA LIQUIDOS",$AV45+$BE45+$BN45+$BW45+$CF45,0)</f>
        <v>0</v>
      </c>
      <c r="DJ45" s="315">
        <f>IF($CP45="CALIDUL",$AW45+$BF45+$BO45+$BX45+$CG45,0)</f>
        <v>0</v>
      </c>
      <c r="DK45" s="315">
        <f>IF($CP45="CALIDUL",$AX45+$BG45+$BP45+$BY45+$CH45,0)</f>
        <v>0</v>
      </c>
      <c r="DL45" s="315">
        <f>IF($CP45="CALIDUL",$AY45+$BH45+$BQ45+$BZ45+$CI45,0)</f>
        <v>0</v>
      </c>
      <c r="DM45" s="315">
        <f>IF($CP45="CALIDUL",$AZ45+$BI45+$BR45+$CA45+$CJ45,0)</f>
        <v>0</v>
      </c>
      <c r="DN45" s="315">
        <f>IF($CP45="CALIDUL",$BA45+$BJ45+$BS45+$CB45+$CK45,0)</f>
        <v>0</v>
      </c>
      <c r="DO45" s="315">
        <f>IF($CP45="CALIDUL",$BB45+$BK45+$BT45+$CC45+$CL45,0)</f>
        <v>0</v>
      </c>
      <c r="DP45" s="315">
        <f>IF($CP45="CALIDUL",$BC45+$BL45+$BU45+$CD45+$CM45,0)</f>
        <v>0</v>
      </c>
      <c r="DQ45" s="315">
        <f>SUM(DI45:DP45)-DK45-DM45</f>
        <v>0</v>
      </c>
      <c r="DR45" s="360">
        <f>IF($CP45="ECONACIONAL",$AV45+$BE45+$BN45+$BW45+$CF45,0)</f>
        <v>0</v>
      </c>
      <c r="DS45" s="361">
        <f>IF($CP45="ECONACIONAL",$AW45+$BF45+$BO45+$BX45+$CG45,0)</f>
        <v>0</v>
      </c>
      <c r="DT45" s="361">
        <f>IF($CP45="ECONACIONAL",$AX45+$BG45+$BP45+$BY45+$CH45,0)</f>
        <v>0</v>
      </c>
      <c r="DU45" s="361">
        <f>IF($CP45="ECONACIONAL",$AY45+$BH45+$BQ45+$BZ45+$CI45,0)</f>
        <v>0</v>
      </c>
      <c r="DV45" s="361">
        <f>IF($CP45="ECONACIONAL",$AZ45+$BI45+$BR45+$CA45+$CJ45,0)</f>
        <v>0</v>
      </c>
      <c r="DW45" s="361">
        <f>IF($CP45="ECONACIONAL",$BA45+$BJ45+$BS45+$CB45+$CK45,0)</f>
        <v>0</v>
      </c>
      <c r="DX45" s="361">
        <f>IF($CP45="ECONACIONAL",$BB45+$BK45+$BT45+$CC45+$CL45,0)</f>
        <v>0</v>
      </c>
      <c r="DY45" s="361">
        <f>IF($CP45="ECONACIONAL",$BC45+$BL45+$BU45+$CD45+$CM45,0)</f>
        <v>0</v>
      </c>
      <c r="DZ45" s="361">
        <f>SUM(DR45:DY45)-DT45-DV45</f>
        <v>0</v>
      </c>
      <c r="EA45" s="361">
        <f>IF($CP45="CLEARTEC",$AV45+$BE45+$BN45+$BW45+$CF45,0)</f>
        <v>0</v>
      </c>
      <c r="EB45" s="361">
        <f>IF($CP45="CLEARTEC",$AW45+$BF45+$BO45+$BX45+$CG45,0)</f>
        <v>0</v>
      </c>
      <c r="EC45" s="361">
        <f>IF($CP45="CLEARTEC",$AX45+$BG45+$BP45+$BY45+$CH45,0)</f>
        <v>0</v>
      </c>
      <c r="ED45" s="361">
        <f>IF($CP45="CLEARTEC",$AY45+$BH45+$BQ45+$BZ45+$CI45,0)</f>
        <v>0</v>
      </c>
      <c r="EE45" s="361">
        <f>IF($CP45="CLEARTEC",$AZ45+$BI45+$BR45+$CA45+$CJ45,0)</f>
        <v>0</v>
      </c>
      <c r="EF45" s="361">
        <f>IF($CP45="CLEARTEC",$BA45+$BJ45+$BS45+$CB45+$CK45,0)</f>
        <v>0</v>
      </c>
      <c r="EG45" s="361">
        <f>IF($CP45="CLEARTEC",$BB45+$BK45+$BT45+$CC45+$CL45,0)</f>
        <v>0</v>
      </c>
      <c r="EH45" s="361">
        <f>IF($CP45="CLEARTEC",$BC45+$BL45+$BU45+$CD45+$CM45,0)</f>
        <v>0</v>
      </c>
      <c r="EI45" s="362">
        <f>SUM(EA45:EH45)-EC45-EE45</f>
        <v>0</v>
      </c>
      <c r="EJ45" s="330"/>
      <c r="EK45" s="2200">
        <v>330.68</v>
      </c>
      <c r="EL45" s="313"/>
      <c r="EM45" s="313"/>
      <c r="EN45" s="1969">
        <f>30</f>
        <v>30</v>
      </c>
      <c r="EO45" s="313"/>
      <c r="EP45" s="313">
        <v>100</v>
      </c>
      <c r="EQ45" s="1968">
        <f>240</f>
        <v>240</v>
      </c>
      <c r="ER45" s="313"/>
      <c r="ES45" s="313"/>
      <c r="ET45" s="363">
        <f>+EO45+EP45+EQ45</f>
        <v>340</v>
      </c>
      <c r="EU45" s="354"/>
      <c r="EV45" s="366">
        <f t="shared" ref="EV45:FE49" si="878">IF($H45&lt;=15,EK45/2,EK45)</f>
        <v>330.68</v>
      </c>
      <c r="EW45" s="366">
        <f t="shared" si="878"/>
        <v>0</v>
      </c>
      <c r="EX45" s="366">
        <f t="shared" si="878"/>
        <v>0</v>
      </c>
      <c r="EY45" s="366">
        <f t="shared" si="878"/>
        <v>30</v>
      </c>
      <c r="EZ45" s="366">
        <f t="shared" si="878"/>
        <v>0</v>
      </c>
      <c r="FA45" s="366">
        <f t="shared" si="878"/>
        <v>100</v>
      </c>
      <c r="FB45" s="366">
        <f t="shared" si="878"/>
        <v>240</v>
      </c>
      <c r="FC45" s="366">
        <f t="shared" si="878"/>
        <v>0</v>
      </c>
      <c r="FD45" s="366">
        <f t="shared" si="878"/>
        <v>0</v>
      </c>
      <c r="FE45" s="366">
        <f t="shared" si="878"/>
        <v>340</v>
      </c>
      <c r="FF45" s="364">
        <v>0.78</v>
      </c>
      <c r="FG45" s="364">
        <v>0.22</v>
      </c>
      <c r="FH45" s="364">
        <v>0</v>
      </c>
      <c r="FI45" s="364">
        <v>0</v>
      </c>
      <c r="FJ45" s="364">
        <v>0</v>
      </c>
      <c r="FK45" s="364">
        <v>1</v>
      </c>
      <c r="FL45" s="331">
        <f>+EP45-FA45</f>
        <v>0</v>
      </c>
    </row>
    <row r="46" spans="1:172" s="331" customFormat="1" ht="15" customHeight="1" outlineLevel="1">
      <c r="A46" s="415">
        <f>+A45+1</f>
        <v>28</v>
      </c>
      <c r="B46" s="213" t="s">
        <v>654</v>
      </c>
      <c r="C46" s="312" t="s">
        <v>821</v>
      </c>
      <c r="D46" s="313" t="s">
        <v>10</v>
      </c>
      <c r="E46" s="315">
        <v>4000</v>
      </c>
      <c r="F46" s="314">
        <v>1000</v>
      </c>
      <c r="G46" s="314">
        <f>+E46+F46</f>
        <v>5000</v>
      </c>
      <c r="H46" s="355">
        <v>30</v>
      </c>
      <c r="I46" s="356">
        <v>1</v>
      </c>
      <c r="J46" s="318">
        <v>0</v>
      </c>
      <c r="K46" s="318">
        <v>0</v>
      </c>
      <c r="L46" s="318">
        <v>0</v>
      </c>
      <c r="M46" s="318">
        <v>0</v>
      </c>
      <c r="N46" s="318">
        <f>SUM(I46:M46)</f>
        <v>1</v>
      </c>
      <c r="O46" s="319"/>
      <c r="P46" s="357"/>
      <c r="Q46" s="315">
        <f>($E46/30/8*1.5)*P46</f>
        <v>0</v>
      </c>
      <c r="R46" s="321"/>
      <c r="S46" s="315">
        <f>($E46/30/8*2)*R46</f>
        <v>0</v>
      </c>
      <c r="T46" s="321"/>
      <c r="U46" s="358">
        <f>($E46/30/8*1.5)*T46</f>
        <v>0</v>
      </c>
      <c r="V46" s="321"/>
      <c r="W46" s="315">
        <f>($E46/30/8*2)*V46</f>
        <v>0</v>
      </c>
      <c r="X46" s="321"/>
      <c r="Y46" s="315">
        <f>(($E46/30/8)*1.5)*X46</f>
        <v>0</v>
      </c>
      <c r="Z46" s="322"/>
      <c r="AA46" s="315">
        <f>(($E46/30/8)*2)*Z46</f>
        <v>0</v>
      </c>
      <c r="AB46" s="322"/>
      <c r="AC46" s="315">
        <f>(($E46/30/8)*1.5)*AB46</f>
        <v>0</v>
      </c>
      <c r="AD46" s="322"/>
      <c r="AE46" s="315">
        <f>(($E46/30/8)*2)*AD46</f>
        <v>0</v>
      </c>
      <c r="AF46" s="315"/>
      <c r="AG46" s="315">
        <f>(($E46/30/8)*1.5)*AF46</f>
        <v>0</v>
      </c>
      <c r="AH46" s="322"/>
      <c r="AI46" s="315">
        <f>(($E46/30/8)*2)*AH46</f>
        <v>0</v>
      </c>
      <c r="AJ46" s="314"/>
      <c r="AK46" s="314"/>
      <c r="AL46" s="314"/>
      <c r="AM46" s="314"/>
      <c r="AN46" s="314"/>
      <c r="AO46" s="314"/>
      <c r="AP46" s="314"/>
      <c r="AQ46" s="314"/>
      <c r="AR46" s="314"/>
      <c r="AS46" s="314"/>
      <c r="AT46" s="314"/>
      <c r="AU46" s="359"/>
      <c r="AV46" s="315">
        <f>((E46/30)*H46)*$I46</f>
        <v>4000.0000000000005</v>
      </c>
      <c r="AW46" s="315">
        <f>((F46/30)*H46)*$I46</f>
        <v>1000.0000000000001</v>
      </c>
      <c r="AX46" s="315">
        <f t="shared" ref="AX46:BA46" si="879">P46</f>
        <v>0</v>
      </c>
      <c r="AY46" s="315">
        <f t="shared" si="879"/>
        <v>0</v>
      </c>
      <c r="AZ46" s="315">
        <f t="shared" si="879"/>
        <v>0</v>
      </c>
      <c r="BA46" s="315">
        <f t="shared" si="879"/>
        <v>0</v>
      </c>
      <c r="BB46" s="315">
        <f>AJ46+AO46</f>
        <v>0</v>
      </c>
      <c r="BC46" s="315">
        <f>(AV46+AY46+BA46)*0.1267</f>
        <v>506.80000000000007</v>
      </c>
      <c r="BD46" s="315">
        <f>SUM(AV46:BC46)-AX46-AZ46</f>
        <v>5506.8000000000011</v>
      </c>
      <c r="BE46" s="315">
        <f>(($E46/30)*$H46)*$J46</f>
        <v>0</v>
      </c>
      <c r="BF46" s="315">
        <f>(($F46/30)*$H46)*$J46</f>
        <v>0</v>
      </c>
      <c r="BG46" s="315">
        <f t="shared" ref="BG46:BJ46" si="880">T46</f>
        <v>0</v>
      </c>
      <c r="BH46" s="315">
        <f t="shared" si="880"/>
        <v>0</v>
      </c>
      <c r="BI46" s="315">
        <f t="shared" si="880"/>
        <v>0</v>
      </c>
      <c r="BJ46" s="315">
        <f t="shared" si="880"/>
        <v>0</v>
      </c>
      <c r="BK46" s="315">
        <f>AK46+AP46</f>
        <v>0</v>
      </c>
      <c r="BL46" s="315">
        <f>(+BE46+BH46+BJ46+BK46)*0.1267</f>
        <v>0</v>
      </c>
      <c r="BM46" s="314">
        <f>SUM(BE46:BL46)-BG46-BI46</f>
        <v>0</v>
      </c>
      <c r="BN46" s="315">
        <f>(($E46/30)*$H46)*$K46</f>
        <v>0</v>
      </c>
      <c r="BO46" s="315">
        <f>(($F46/30)*$H46)*$K46</f>
        <v>0</v>
      </c>
      <c r="BP46" s="315">
        <f t="shared" ref="BP46:BR46" si="881">X46</f>
        <v>0</v>
      </c>
      <c r="BQ46" s="315">
        <f t="shared" si="881"/>
        <v>0</v>
      </c>
      <c r="BR46" s="315">
        <f t="shared" si="881"/>
        <v>0</v>
      </c>
      <c r="BS46" s="315">
        <f>AA46</f>
        <v>0</v>
      </c>
      <c r="BT46" s="315">
        <f>AL46+AQ46</f>
        <v>0</v>
      </c>
      <c r="BU46" s="315">
        <f>(BN46+BQ46+BS46)*0.1267</f>
        <v>0</v>
      </c>
      <c r="BV46" s="315">
        <f>SUM(BN46:BU46)-BP46-BR46</f>
        <v>0</v>
      </c>
      <c r="BW46" s="360">
        <f>(($E46/30)*$H46)*$L46</f>
        <v>0</v>
      </c>
      <c r="BX46" s="361">
        <f>(($F46/30)*$H46)*$L46</f>
        <v>0</v>
      </c>
      <c r="BY46" s="361">
        <f t="shared" si="876"/>
        <v>0</v>
      </c>
      <c r="BZ46" s="361">
        <f t="shared" si="876"/>
        <v>0</v>
      </c>
      <c r="CA46" s="361">
        <f t="shared" si="876"/>
        <v>0</v>
      </c>
      <c r="CB46" s="361">
        <f t="shared" si="876"/>
        <v>0</v>
      </c>
      <c r="CC46" s="361">
        <f>AM46+AR46</f>
        <v>0</v>
      </c>
      <c r="CD46" s="361">
        <f>(BW46+BZ46+CB46)*0.1267</f>
        <v>0</v>
      </c>
      <c r="CE46" s="361">
        <f>SUM(BW46:CD46)-BY46-CA46</f>
        <v>0</v>
      </c>
      <c r="CF46" s="361">
        <f>(($E46/30)*$H46)*M46</f>
        <v>0</v>
      </c>
      <c r="CG46" s="361">
        <f>(($F46/30)*$H46)*$M46</f>
        <v>0</v>
      </c>
      <c r="CH46" s="361">
        <f>+AF46</f>
        <v>0</v>
      </c>
      <c r="CI46" s="361">
        <f t="shared" si="877"/>
        <v>0</v>
      </c>
      <c r="CJ46" s="361">
        <f t="shared" si="877"/>
        <v>0</v>
      </c>
      <c r="CK46" s="361">
        <f t="shared" si="877"/>
        <v>0</v>
      </c>
      <c r="CL46" s="361">
        <f>AN46+AS46</f>
        <v>0</v>
      </c>
      <c r="CM46" s="361">
        <f>(CF46+CI46+CK46)*0.1267</f>
        <v>0</v>
      </c>
      <c r="CN46" s="362">
        <f>SUM(CF46:CM46)-CH46-CJ46</f>
        <v>0</v>
      </c>
      <c r="CO46" s="330"/>
      <c r="CP46" s="313" t="s">
        <v>10</v>
      </c>
      <c r="CQ46" s="315">
        <f>IF($CP46="PROQUIMA",$AV46+$BE46+$BN46+$BW46+$CF46,0)</f>
        <v>4000.0000000000005</v>
      </c>
      <c r="CR46" s="315">
        <f>IF($CP46="PROQUIMA",$AW46+$BF46+$BO46+$BX46+$CG46,0)</f>
        <v>1000.0000000000001</v>
      </c>
      <c r="CS46" s="315">
        <f>IF($CP46="PROQUIMA",$AX46+$BG46+$BP46+$BY46+$CH46,0)</f>
        <v>0</v>
      </c>
      <c r="CT46" s="315">
        <f>IF($CP46="PROQUIMA",$AY46+$BH46+$BQ46+$BZ46+$CI46,0)</f>
        <v>0</v>
      </c>
      <c r="CU46" s="315">
        <f>IF($CP46="PROQUIMA",$AZ46+$BI46+$BR46+$CA46+$CJ46,0)</f>
        <v>0</v>
      </c>
      <c r="CV46" s="315">
        <f>IF($CP46="PROQUIMA",$BA46+$BJ46+$BS46+$CB46+$CK46,0)</f>
        <v>0</v>
      </c>
      <c r="CW46" s="315">
        <f>IF($CP46="PROQUIMA",$BB46+$BK46+$BT46+$CC46+$CL46,0)</f>
        <v>0</v>
      </c>
      <c r="CX46" s="315">
        <f>IF($CP46="PROQUIMA",$BC46+$BL46+$BU46+$CD46+CM46,0)</f>
        <v>506.80000000000007</v>
      </c>
      <c r="CY46" s="315">
        <f>SUM(CQ46:CX46)-CS46-CU46</f>
        <v>5506.8000000000011</v>
      </c>
      <c r="CZ46" s="315">
        <f>IF($CP46="UNHESA",$AV46+$BE46+$BN46+$BW46+$CF46,0)</f>
        <v>0</v>
      </c>
      <c r="DA46" s="315">
        <f>IF($CP46="UNHESA",$AW46+$BF46+$BO46+$BX46+$CG46,0)</f>
        <v>0</v>
      </c>
      <c r="DB46" s="315">
        <f>IF($CP46="UNHESA",$AX46+$BG46+$BP46+$BY46+$CH46,0)</f>
        <v>0</v>
      </c>
      <c r="DC46" s="315">
        <f>IF($CP46="UNHESA",$AY46+$BH46+$BQ46+$BZ46+$CI46,0)</f>
        <v>0</v>
      </c>
      <c r="DD46" s="315">
        <f>IF($CP46="UNHESA",$AZ46+$BI46+$BR46+$CA46+$CJ46,0)</f>
        <v>0</v>
      </c>
      <c r="DE46" s="315">
        <f>IF($CP46="UNHESA",$BA46+$BJ46+$BS46+$CB46+$CK46,0)</f>
        <v>0</v>
      </c>
      <c r="DF46" s="315">
        <f>IF($CP46="UNHESA",$BB46+$BK46+$BT46+$CC46+$CL46,0)</f>
        <v>0</v>
      </c>
      <c r="DG46" s="315">
        <f>IF($CP46="UNHESA",$BC46+$BL46+$BU46+$CD46+$CM46,0)</f>
        <v>0</v>
      </c>
      <c r="DH46" s="315">
        <f>SUM(CZ46:DG46)-DB46-DD46</f>
        <v>0</v>
      </c>
      <c r="DI46" s="315">
        <f>IF($CP46="UNHESA LIQUIDOS",$AV46+$BE46+$BN46+$BW46+$CF46,0)</f>
        <v>0</v>
      </c>
      <c r="DJ46" s="315">
        <f>IF($CP46="CALIDUL",$AW46+$BF46+$BO46+$BX46+$CG46,0)</f>
        <v>0</v>
      </c>
      <c r="DK46" s="315">
        <f>IF($CP46="CALIDUL",$AX46+$BG46+$BP46+$BY46+$CH46,0)</f>
        <v>0</v>
      </c>
      <c r="DL46" s="315">
        <f>IF($CP46="CALIDUL",$AY46+$BH46+$BQ46+$BZ46+$CI46,0)</f>
        <v>0</v>
      </c>
      <c r="DM46" s="315">
        <f>IF($CP46="CALIDUL",$AZ46+$BI46+$BR46+$CA46+$CJ46,0)</f>
        <v>0</v>
      </c>
      <c r="DN46" s="315">
        <f>IF($CP46="CALIDUL",$BA46+$BJ46+$BS46+$CB46+$CK46,0)</f>
        <v>0</v>
      </c>
      <c r="DO46" s="315">
        <f>IF($CP46="CALIDUL",$BB46+$BK46+$BT46+$CC46+$CL46,0)</f>
        <v>0</v>
      </c>
      <c r="DP46" s="315">
        <f>IF($CP46="CALIDUL",$BC46+$BL46+$BU46+$CD46+$CM46,0)</f>
        <v>0</v>
      </c>
      <c r="DQ46" s="315">
        <f>SUM(DI46:DP46)-DK46-DM46</f>
        <v>0</v>
      </c>
      <c r="DR46" s="360">
        <f>IF($CP46="ECONACIONAL",$AV46+$BE46+$BN46+$BW46+$CF46,0)</f>
        <v>0</v>
      </c>
      <c r="DS46" s="361">
        <f>IF($CP46="ECONACIONAL",$AW46+$BF46+$BO46+$BX46+$CG46,0)</f>
        <v>0</v>
      </c>
      <c r="DT46" s="361">
        <f>IF($CP46="ECONACIONAL",$AX46+$BG46+$BP46+$BY46+$CH46,0)</f>
        <v>0</v>
      </c>
      <c r="DU46" s="361">
        <f>IF($CP46="ECONACIONAL",$AY46+$BH46+$BQ46+$BZ46+$CI46,0)</f>
        <v>0</v>
      </c>
      <c r="DV46" s="361">
        <f>IF($CP46="ECONACIONAL",$AZ46+$BI46+$BR46+$CA46+$CJ46,0)</f>
        <v>0</v>
      </c>
      <c r="DW46" s="361">
        <f>IF($CP46="ECONACIONAL",$BA46+$BJ46+$BS46+$CB46+$CK46,0)</f>
        <v>0</v>
      </c>
      <c r="DX46" s="361">
        <f>IF($CP46="ECONACIONAL",$BB46+$BK46+$BT46+$CC46+$CL46,0)</f>
        <v>0</v>
      </c>
      <c r="DY46" s="361">
        <f>IF($CP46="ECONACIONAL",$BC46+$BL46+$BU46+$CD46+$CM46,0)</f>
        <v>0</v>
      </c>
      <c r="DZ46" s="361">
        <f>SUM(DR46:DY46)-DT46-DV46</f>
        <v>0</v>
      </c>
      <c r="EA46" s="361">
        <f>IF($CP46="CLEARTEC",$AV46+$BE46+$BN46+$BW46+$CF46,0)</f>
        <v>0</v>
      </c>
      <c r="EB46" s="361">
        <f>IF($CP46="CLEARTEC",$AW46+$BF46+$BO46+$BX46+$CG46,0)</f>
        <v>0</v>
      </c>
      <c r="EC46" s="361">
        <f>IF($CP46="CLEARTEC",$AX46+$BG46+$BP46+$BY46+$CH46,0)</f>
        <v>0</v>
      </c>
      <c r="ED46" s="361">
        <f>IF($CP46="CLEARTEC",$AY46+$BH46+$BQ46+$BZ46+$CI46,0)</f>
        <v>0</v>
      </c>
      <c r="EE46" s="361">
        <f>IF($CP46="CLEARTEC",$AZ46+$BI46+$BR46+$CA46+$CJ46,0)</f>
        <v>0</v>
      </c>
      <c r="EF46" s="361">
        <f>IF($CP46="CLEARTEC",$BA46+$BJ46+$BS46+$CB46+$CK46,0)</f>
        <v>0</v>
      </c>
      <c r="EG46" s="361">
        <f>IF($CP46="CLEARTEC",$BB46+$BK46+$BT46+$CC46+$CL46,0)</f>
        <v>0</v>
      </c>
      <c r="EH46" s="361">
        <f>IF($CP46="CLEARTEC",$BC46+$BL46+$BU46+$CD46+$CM46,0)</f>
        <v>0</v>
      </c>
      <c r="EI46" s="362">
        <f>SUM(EA46:EH46)-EC46-EE46</f>
        <v>0</v>
      </c>
      <c r="EJ46" s="330"/>
      <c r="EK46" s="2200">
        <v>40.340000000000003</v>
      </c>
      <c r="EL46" s="313"/>
      <c r="EM46" s="313"/>
      <c r="EN46" s="313"/>
      <c r="EO46" s="313"/>
      <c r="EP46" s="313">
        <v>50</v>
      </c>
      <c r="EQ46" s="1968">
        <f>240</f>
        <v>240</v>
      </c>
      <c r="ER46" s="313"/>
      <c r="ES46" s="313"/>
      <c r="ET46" s="363">
        <f>+EO46+EP46+EQ46</f>
        <v>290</v>
      </c>
      <c r="EU46" s="354"/>
      <c r="EV46" s="366">
        <f t="shared" si="878"/>
        <v>40.340000000000003</v>
      </c>
      <c r="EW46" s="366">
        <f t="shared" si="878"/>
        <v>0</v>
      </c>
      <c r="EX46" s="366">
        <f t="shared" si="878"/>
        <v>0</v>
      </c>
      <c r="EY46" s="366">
        <f t="shared" si="878"/>
        <v>0</v>
      </c>
      <c r="EZ46" s="366">
        <f t="shared" si="878"/>
        <v>0</v>
      </c>
      <c r="FA46" s="366">
        <f t="shared" si="878"/>
        <v>50</v>
      </c>
      <c r="FB46" s="366">
        <f t="shared" si="878"/>
        <v>240</v>
      </c>
      <c r="FC46" s="366">
        <f t="shared" si="878"/>
        <v>0</v>
      </c>
      <c r="FD46" s="366">
        <f t="shared" si="878"/>
        <v>0</v>
      </c>
      <c r="FE46" s="366">
        <f t="shared" si="878"/>
        <v>290</v>
      </c>
      <c r="FF46" s="364"/>
      <c r="FG46" s="364"/>
      <c r="FH46" s="364"/>
      <c r="FI46" s="364"/>
      <c r="FJ46" s="364"/>
      <c r="FK46" s="364"/>
    </row>
    <row r="47" spans="1:172" s="1977" customFormat="1" ht="15" customHeight="1" outlineLevel="1">
      <c r="A47" s="1984">
        <f t="shared" ref="A47:A49" si="882">+A46+1</f>
        <v>29</v>
      </c>
      <c r="B47" s="213" t="s">
        <v>827</v>
      </c>
      <c r="C47" s="1968" t="s">
        <v>659</v>
      </c>
      <c r="D47" s="1969" t="s">
        <v>10</v>
      </c>
      <c r="E47" s="1971">
        <v>3250</v>
      </c>
      <c r="F47" s="1970">
        <v>250</v>
      </c>
      <c r="G47" s="1970">
        <f>+E47+F47</f>
        <v>3500</v>
      </c>
      <c r="H47" s="355">
        <v>30</v>
      </c>
      <c r="I47" s="356">
        <v>1</v>
      </c>
      <c r="J47" s="1972">
        <v>0</v>
      </c>
      <c r="K47" s="1972">
        <v>0</v>
      </c>
      <c r="L47" s="1972">
        <v>0</v>
      </c>
      <c r="M47" s="1972">
        <v>0</v>
      </c>
      <c r="N47" s="1972">
        <f>SUM(I47:M47)</f>
        <v>1</v>
      </c>
      <c r="O47" s="319"/>
      <c r="P47" s="357"/>
      <c r="Q47" s="1971">
        <f>($E47/30/8*1.5)*P47</f>
        <v>0</v>
      </c>
      <c r="R47" s="1974"/>
      <c r="S47" s="1971">
        <f>($E47/30/8*2)*R47</f>
        <v>0</v>
      </c>
      <c r="T47" s="1974"/>
      <c r="U47" s="1979">
        <f>($E47/30/8*1.5)*T47</f>
        <v>0</v>
      </c>
      <c r="V47" s="1974"/>
      <c r="W47" s="1971">
        <f>($E47/30/8*2)*V47</f>
        <v>0</v>
      </c>
      <c r="X47" s="1974"/>
      <c r="Y47" s="1971">
        <f>(($E47/30/8)*1.5)*X47</f>
        <v>0</v>
      </c>
      <c r="Z47" s="1975"/>
      <c r="AA47" s="1971">
        <f>(($E47/30/8)*2)*Z47</f>
        <v>0</v>
      </c>
      <c r="AB47" s="1975"/>
      <c r="AC47" s="1971">
        <f>(($E47/30/8)*1.5)*AB47</f>
        <v>0</v>
      </c>
      <c r="AD47" s="1975"/>
      <c r="AE47" s="1971">
        <f>(($E47/30/8)*2)*AD47</f>
        <v>0</v>
      </c>
      <c r="AF47" s="1971"/>
      <c r="AG47" s="1971">
        <f>(($E47/30/8)*1.5)*AF47</f>
        <v>0</v>
      </c>
      <c r="AH47" s="1975"/>
      <c r="AI47" s="1971">
        <f>(($E47/30/8)*2)*AH47</f>
        <v>0</v>
      </c>
      <c r="AJ47" s="1970"/>
      <c r="AK47" s="1970"/>
      <c r="AL47" s="1970"/>
      <c r="AM47" s="1970"/>
      <c r="AN47" s="1970"/>
      <c r="AO47" s="1970"/>
      <c r="AP47" s="1970"/>
      <c r="AQ47" s="1970"/>
      <c r="AR47" s="1970"/>
      <c r="AS47" s="1970"/>
      <c r="AT47" s="1970"/>
      <c r="AU47" s="1980"/>
      <c r="AV47" s="1971">
        <f>((E47/30)*H47)*$I47</f>
        <v>3250</v>
      </c>
      <c r="AW47" s="1971">
        <f>((F47/30)*H47)*$I47</f>
        <v>250.00000000000003</v>
      </c>
      <c r="AX47" s="1971">
        <f t="shared" ref="AX47" si="883">P47</f>
        <v>0</v>
      </c>
      <c r="AY47" s="1971">
        <f t="shared" ref="AY47" si="884">Q47</f>
        <v>0</v>
      </c>
      <c r="AZ47" s="1971">
        <f t="shared" ref="AZ47" si="885">R47</f>
        <v>0</v>
      </c>
      <c r="BA47" s="1971">
        <f t="shared" ref="BA47" si="886">S47</f>
        <v>0</v>
      </c>
      <c r="BB47" s="1971">
        <f>AJ47+AO47</f>
        <v>0</v>
      </c>
      <c r="BC47" s="1971">
        <f>(AV47+AY47+BA47)*0.1267</f>
        <v>411.77500000000003</v>
      </c>
      <c r="BD47" s="1971">
        <f>SUM(AV47:BC47)-AX47-AZ47</f>
        <v>3911.7750000000001</v>
      </c>
      <c r="BE47" s="1971">
        <f>(($E47/30)*$H47)*$J47</f>
        <v>0</v>
      </c>
      <c r="BF47" s="1971">
        <f>(($F47/30)*$H47)*$J47</f>
        <v>0</v>
      </c>
      <c r="BG47" s="1971">
        <f t="shared" ref="BG47" si="887">T47</f>
        <v>0</v>
      </c>
      <c r="BH47" s="1971">
        <f t="shared" ref="BH47" si="888">U47</f>
        <v>0</v>
      </c>
      <c r="BI47" s="1971">
        <f t="shared" ref="BI47" si="889">V47</f>
        <v>0</v>
      </c>
      <c r="BJ47" s="1971">
        <f t="shared" ref="BJ47" si="890">W47</f>
        <v>0</v>
      </c>
      <c r="BK47" s="1971">
        <f>AK47+AP47</f>
        <v>0</v>
      </c>
      <c r="BL47" s="1971">
        <f>(+BE47+BH47+BJ47+BK47)*0.1267</f>
        <v>0</v>
      </c>
      <c r="BM47" s="1970">
        <f>SUM(BE47:BL47)-BG47-BI47</f>
        <v>0</v>
      </c>
      <c r="BN47" s="1971">
        <f>(($E47/30)*$H47)*$K47</f>
        <v>0</v>
      </c>
      <c r="BO47" s="1971">
        <f>(($F47/30)*$H47)*$K47</f>
        <v>0</v>
      </c>
      <c r="BP47" s="1971">
        <f t="shared" ref="BP47" si="891">X47</f>
        <v>0</v>
      </c>
      <c r="BQ47" s="1971">
        <f t="shared" ref="BQ47" si="892">Y47</f>
        <v>0</v>
      </c>
      <c r="BR47" s="1971">
        <f t="shared" ref="BR47" si="893">Z47</f>
        <v>0</v>
      </c>
      <c r="BS47" s="1971">
        <f>AA47</f>
        <v>0</v>
      </c>
      <c r="BT47" s="1971">
        <f>AL47+AQ47</f>
        <v>0</v>
      </c>
      <c r="BU47" s="1971">
        <f>(BN47+BQ47+BS47)*0.1267</f>
        <v>0</v>
      </c>
      <c r="BV47" s="1971">
        <f>SUM(BN47:BU47)-BP47-BR47</f>
        <v>0</v>
      </c>
      <c r="BW47" s="1981">
        <f>(($E47/30)*$H47)*$L47</f>
        <v>0</v>
      </c>
      <c r="BX47" s="1982">
        <f>(($F47/30)*$H47)*$L47</f>
        <v>0</v>
      </c>
      <c r="BY47" s="1982">
        <f t="shared" ref="BY47" si="894">AB47</f>
        <v>0</v>
      </c>
      <c r="BZ47" s="1982">
        <f t="shared" ref="BZ47" si="895">AC47</f>
        <v>0</v>
      </c>
      <c r="CA47" s="1982">
        <f t="shared" ref="CA47" si="896">AD47</f>
        <v>0</v>
      </c>
      <c r="CB47" s="1982">
        <f t="shared" ref="CB47" si="897">AE47</f>
        <v>0</v>
      </c>
      <c r="CC47" s="1982">
        <f>AM47+AR47</f>
        <v>0</v>
      </c>
      <c r="CD47" s="1982">
        <f>(BW47+BZ47+CB47)*0.1267</f>
        <v>0</v>
      </c>
      <c r="CE47" s="1982">
        <f>SUM(BW47:CD47)-BY47-CA47</f>
        <v>0</v>
      </c>
      <c r="CF47" s="1982">
        <f>(($E47/30)*$H47)*M47</f>
        <v>0</v>
      </c>
      <c r="CG47" s="1982">
        <f>(($F47/30)*$H47)*$M47</f>
        <v>0</v>
      </c>
      <c r="CH47" s="1982">
        <f>+AF47</f>
        <v>0</v>
      </c>
      <c r="CI47" s="1982">
        <f t="shared" ref="CI47" si="898">AG47</f>
        <v>0</v>
      </c>
      <c r="CJ47" s="1982">
        <f t="shared" ref="CJ47" si="899">AH47</f>
        <v>0</v>
      </c>
      <c r="CK47" s="1982">
        <f t="shared" ref="CK47" si="900">AI47</f>
        <v>0</v>
      </c>
      <c r="CL47" s="1982">
        <f>AN47+AS47</f>
        <v>0</v>
      </c>
      <c r="CM47" s="1982">
        <f>(CF47+CI47+CK47)*0.1267</f>
        <v>0</v>
      </c>
      <c r="CN47" s="1983">
        <f>SUM(CF47:CM47)-CH47-CJ47</f>
        <v>0</v>
      </c>
      <c r="CO47" s="1976"/>
      <c r="CP47" s="1969" t="s">
        <v>10</v>
      </c>
      <c r="CQ47" s="1971">
        <f>IF($CP47="PROQUIMA",$AV47+$BE47+$BN47+$BW47+$CF47,0)</f>
        <v>3250</v>
      </c>
      <c r="CR47" s="1971">
        <f>IF($CP47="PROQUIMA",$AW47+$BF47+$BO47+$BX47+$CG47,0)</f>
        <v>250.00000000000003</v>
      </c>
      <c r="CS47" s="1971">
        <f>IF($CP47="PROQUIMA",$AX47+$BG47+$BP47+$BY47+$CH47,0)</f>
        <v>0</v>
      </c>
      <c r="CT47" s="1971">
        <f>IF($CP47="PROQUIMA",$AY47+$BH47+$BQ47+$BZ47+$CI47,0)</f>
        <v>0</v>
      </c>
      <c r="CU47" s="1971">
        <f>IF($CP47="PROQUIMA",$AZ47+$BI47+$BR47+$CA47+$CJ47,0)</f>
        <v>0</v>
      </c>
      <c r="CV47" s="1971">
        <f>IF($CP47="PROQUIMA",$BA47+$BJ47+$BS47+$CB47+$CK47,0)</f>
        <v>0</v>
      </c>
      <c r="CW47" s="1971">
        <f>IF($CP47="PROQUIMA",$BB47+$BK47+$BT47+$CC47+$CL47,0)</f>
        <v>0</v>
      </c>
      <c r="CX47" s="1971">
        <f>IF($CP47="PROQUIMA",$BC47+$BL47+$BU47+$CD47+CM47,0)</f>
        <v>411.77500000000003</v>
      </c>
      <c r="CY47" s="1971">
        <f>SUM(CQ47:CX47)-CS47-CU47</f>
        <v>3911.7750000000001</v>
      </c>
      <c r="CZ47" s="1971">
        <f>IF($CP47="UNHESA",$AV47+$BE47+$BN47+$BW47+$CF47,0)</f>
        <v>0</v>
      </c>
      <c r="DA47" s="1971">
        <f>IF($CP47="UNHESA",$AW47+$BF47+$BO47+$BX47+$CG47,0)</f>
        <v>0</v>
      </c>
      <c r="DB47" s="1971">
        <f>IF($CP47="UNHESA",$AX47+$BG47+$BP47+$BY47+$CH47,0)</f>
        <v>0</v>
      </c>
      <c r="DC47" s="1971">
        <f>IF($CP47="UNHESA",$AY47+$BH47+$BQ47+$BZ47+$CI47,0)</f>
        <v>0</v>
      </c>
      <c r="DD47" s="1971">
        <f>IF($CP47="UNHESA",$AZ47+$BI47+$BR47+$CA47+$CJ47,0)</f>
        <v>0</v>
      </c>
      <c r="DE47" s="1971">
        <f>IF($CP47="UNHESA",$BA47+$BJ47+$BS47+$CB47+$CK47,0)</f>
        <v>0</v>
      </c>
      <c r="DF47" s="1971">
        <f>IF($CP47="UNHESA",$BB47+$BK47+$BT47+$CC47+$CL47,0)</f>
        <v>0</v>
      </c>
      <c r="DG47" s="1971">
        <f>IF($CP47="UNHESA",$BC47+$BL47+$BU47+$CD47+$CM47,0)</f>
        <v>0</v>
      </c>
      <c r="DH47" s="1971">
        <f>SUM(CZ47:DG47)-DB47-DD47</f>
        <v>0</v>
      </c>
      <c r="DI47" s="1971">
        <f>IF($CP47="UNHESA LIQUIDOS",$AV47+$BE47+$BN47+$BW47+$CF47,0)</f>
        <v>0</v>
      </c>
      <c r="DJ47" s="1971">
        <f>IF($CP47="CALIDUL",$AW47+$BF47+$BO47+$BX47+$CG47,0)</f>
        <v>0</v>
      </c>
      <c r="DK47" s="1971">
        <f>IF($CP47="CALIDUL",$AX47+$BG47+$BP47+$BY47+$CH47,0)</f>
        <v>0</v>
      </c>
      <c r="DL47" s="1971">
        <f>IF($CP47="CALIDUL",$AY47+$BH47+$BQ47+$BZ47+$CI47,0)</f>
        <v>0</v>
      </c>
      <c r="DM47" s="1971">
        <f>IF($CP47="CALIDUL",$AZ47+$BI47+$BR47+$CA47+$CJ47,0)</f>
        <v>0</v>
      </c>
      <c r="DN47" s="1971">
        <f>IF($CP47="CALIDUL",$BA47+$BJ47+$BS47+$CB47+$CK47,0)</f>
        <v>0</v>
      </c>
      <c r="DO47" s="1971">
        <f>IF($CP47="CALIDUL",$BB47+$BK47+$BT47+$CC47+$CL47,0)</f>
        <v>0</v>
      </c>
      <c r="DP47" s="1971">
        <f>IF($CP47="CALIDUL",$BC47+$BL47+$BU47+$CD47+$CM47,0)</f>
        <v>0</v>
      </c>
      <c r="DQ47" s="1971">
        <f>SUM(DI47:DP47)-DK47-DM47</f>
        <v>0</v>
      </c>
      <c r="DR47" s="1981">
        <f>IF($CP47="ECONACIONAL",$AV47+$BE47+$BN47+$BW47+$CF47,0)</f>
        <v>0</v>
      </c>
      <c r="DS47" s="1982">
        <f>IF($CP47="ECONACIONAL",$AW47+$BF47+$BO47+$BX47+$CG47,0)</f>
        <v>0</v>
      </c>
      <c r="DT47" s="1982">
        <f>IF($CP47="ECONACIONAL",$AX47+$BG47+$BP47+$BY47+$CH47,0)</f>
        <v>0</v>
      </c>
      <c r="DU47" s="1982">
        <f>IF($CP47="ECONACIONAL",$AY47+$BH47+$BQ47+$BZ47+$CI47,0)</f>
        <v>0</v>
      </c>
      <c r="DV47" s="1982">
        <f>IF($CP47="ECONACIONAL",$AZ47+$BI47+$BR47+$CA47+$CJ47,0)</f>
        <v>0</v>
      </c>
      <c r="DW47" s="1982">
        <f>IF($CP47="ECONACIONAL",$BA47+$BJ47+$BS47+$CB47+$CK47,0)</f>
        <v>0</v>
      </c>
      <c r="DX47" s="1982">
        <f>IF($CP47="ECONACIONAL",$BB47+$BK47+$BT47+$CC47+$CL47,0)</f>
        <v>0</v>
      </c>
      <c r="DY47" s="1982">
        <f>IF($CP47="ECONACIONAL",$BC47+$BL47+$BU47+$CD47+$CM47,0)</f>
        <v>0</v>
      </c>
      <c r="DZ47" s="1982">
        <f>SUM(DR47:DY47)-DT47-DV47</f>
        <v>0</v>
      </c>
      <c r="EA47" s="1982">
        <f>IF($CP47="CLEARTEC",$AV47+$BE47+$BN47+$BW47+$CF47,0)</f>
        <v>0</v>
      </c>
      <c r="EB47" s="1982">
        <f>IF($CP47="CLEARTEC",$AW47+$BF47+$BO47+$BX47+$CG47,0)</f>
        <v>0</v>
      </c>
      <c r="EC47" s="1982">
        <f>IF($CP47="CLEARTEC",$AX47+$BG47+$BP47+$BY47+$CH47,0)</f>
        <v>0</v>
      </c>
      <c r="ED47" s="1982">
        <f>IF($CP47="CLEARTEC",$AY47+$BH47+$BQ47+$BZ47+$CI47,0)</f>
        <v>0</v>
      </c>
      <c r="EE47" s="1982">
        <f>IF($CP47="CLEARTEC",$AZ47+$BI47+$BR47+$CA47+$CJ47,0)</f>
        <v>0</v>
      </c>
      <c r="EF47" s="1982">
        <f>IF($CP47="CLEARTEC",$BA47+$BJ47+$BS47+$CB47+$CK47,0)</f>
        <v>0</v>
      </c>
      <c r="EG47" s="1982">
        <f>IF($CP47="CLEARTEC",$BB47+$BK47+$BT47+$CC47+$CL47,0)</f>
        <v>0</v>
      </c>
      <c r="EH47" s="1982">
        <f>IF($CP47="CLEARTEC",$BC47+$BL47+$BU47+$CD47+$CM47,0)</f>
        <v>0</v>
      </c>
      <c r="EI47" s="1983">
        <f>SUM(EA47:EH47)-EC47-EE47</f>
        <v>0</v>
      </c>
      <c r="EJ47" s="1976"/>
      <c r="EK47" s="1969"/>
      <c r="EL47" s="1969"/>
      <c r="EM47" s="1969"/>
      <c r="EN47" s="1969"/>
      <c r="EO47" s="1969"/>
      <c r="EP47" s="1969">
        <v>50</v>
      </c>
      <c r="EQ47" s="1969"/>
      <c r="ER47" s="1969"/>
      <c r="ES47" s="1969"/>
      <c r="ET47" s="363">
        <f>+EO47+EP47+EQ47</f>
        <v>50</v>
      </c>
      <c r="EU47" s="354"/>
      <c r="EV47" s="366">
        <f t="shared" ref="EV47" si="901">IF($H47&lt;=15,EK47/2,EK47)</f>
        <v>0</v>
      </c>
      <c r="EW47" s="366">
        <f t="shared" ref="EW47" si="902">IF($H47&lt;=15,EL47/2,EL47)</f>
        <v>0</v>
      </c>
      <c r="EX47" s="366">
        <f t="shared" ref="EX47" si="903">IF($H47&lt;=15,EM47/2,EM47)</f>
        <v>0</v>
      </c>
      <c r="EY47" s="366">
        <f t="shared" ref="EY47" si="904">IF($H47&lt;=15,EN47/2,EN47)</f>
        <v>0</v>
      </c>
      <c r="EZ47" s="366">
        <f t="shared" ref="EZ47" si="905">IF($H47&lt;=15,EO47/2,EO47)</f>
        <v>0</v>
      </c>
      <c r="FA47" s="366">
        <f t="shared" ref="FA47" si="906">IF($H47&lt;=15,EP47/2,EP47)</f>
        <v>50</v>
      </c>
      <c r="FB47" s="366">
        <f t="shared" ref="FB47" si="907">IF($H47&lt;=15,EQ47/2,EQ47)</f>
        <v>0</v>
      </c>
      <c r="FC47" s="366">
        <f t="shared" ref="FC47" si="908">IF($H47&lt;=15,ER47/2,ER47)</f>
        <v>0</v>
      </c>
      <c r="FD47" s="366">
        <f>IF($H47&lt;=15,ES47/2,ES47)</f>
        <v>0</v>
      </c>
      <c r="FE47" s="366">
        <f t="shared" ref="FE47" si="909">IF($H47&lt;=15,ET47/2,ET47)</f>
        <v>50</v>
      </c>
      <c r="FF47" s="364"/>
      <c r="FG47" s="364"/>
      <c r="FH47" s="364"/>
      <c r="FI47" s="364"/>
      <c r="FJ47" s="364"/>
      <c r="FK47" s="364"/>
    </row>
    <row r="48" spans="1:172" s="1977" customFormat="1" ht="15" customHeight="1" outlineLevel="1">
      <c r="A48" s="1984">
        <f t="shared" si="882"/>
        <v>30</v>
      </c>
      <c r="B48" s="213" t="s">
        <v>824</v>
      </c>
      <c r="C48" s="1968" t="s">
        <v>825</v>
      </c>
      <c r="D48" s="1969" t="s">
        <v>10</v>
      </c>
      <c r="E48" s="1971">
        <v>3750</v>
      </c>
      <c r="F48" s="1970">
        <v>250</v>
      </c>
      <c r="G48" s="1970">
        <f>+E48+F48</f>
        <v>4000</v>
      </c>
      <c r="H48" s="355">
        <v>30</v>
      </c>
      <c r="I48" s="356">
        <v>1</v>
      </c>
      <c r="J48" s="1972">
        <v>0</v>
      </c>
      <c r="K48" s="1972">
        <v>0</v>
      </c>
      <c r="L48" s="1972">
        <v>0</v>
      </c>
      <c r="M48" s="1972">
        <v>0</v>
      </c>
      <c r="N48" s="1972">
        <f>SUM(I48:M48)</f>
        <v>1</v>
      </c>
      <c r="O48" s="319"/>
      <c r="P48" s="357"/>
      <c r="Q48" s="1971">
        <f>($E48/30/8*1.5)*P48</f>
        <v>0</v>
      </c>
      <c r="R48" s="1974"/>
      <c r="S48" s="1971">
        <f>($E48/30/8*2)*R48</f>
        <v>0</v>
      </c>
      <c r="T48" s="1974"/>
      <c r="U48" s="1979">
        <f>($E48/30/8*1.5)*T48</f>
        <v>0</v>
      </c>
      <c r="V48" s="1974"/>
      <c r="W48" s="1971">
        <f>($E48/30/8*2)*V48</f>
        <v>0</v>
      </c>
      <c r="X48" s="1974"/>
      <c r="Y48" s="1971">
        <f>(($E48/30/8)*1.5)*X48</f>
        <v>0</v>
      </c>
      <c r="Z48" s="1975"/>
      <c r="AA48" s="1971">
        <f>(($E48/30/8)*2)*Z48</f>
        <v>0</v>
      </c>
      <c r="AB48" s="1975"/>
      <c r="AC48" s="1971">
        <f>(($E48/30/8)*1.5)*AB48</f>
        <v>0</v>
      </c>
      <c r="AD48" s="1975"/>
      <c r="AE48" s="1971">
        <f>(($E48/30/8)*2)*AD48</f>
        <v>0</v>
      </c>
      <c r="AF48" s="1971"/>
      <c r="AG48" s="1971">
        <f>(($E48/30/8)*1.5)*AF48</f>
        <v>0</v>
      </c>
      <c r="AH48" s="1975"/>
      <c r="AI48" s="1971">
        <f>(($E48/30/8)*2)*AH48</f>
        <v>0</v>
      </c>
      <c r="AJ48" s="1970"/>
      <c r="AK48" s="1970"/>
      <c r="AL48" s="1970"/>
      <c r="AM48" s="1970"/>
      <c r="AN48" s="1970"/>
      <c r="AO48" s="1970"/>
      <c r="AP48" s="1970"/>
      <c r="AQ48" s="1970"/>
      <c r="AR48" s="1970"/>
      <c r="AS48" s="1970"/>
      <c r="AT48" s="1970"/>
      <c r="AU48" s="1980"/>
      <c r="AV48" s="1971">
        <f>((E48/30)*H48)*$I48</f>
        <v>3750</v>
      </c>
      <c r="AW48" s="1971">
        <f>((F48/30)*H48)*$I48</f>
        <v>250.00000000000003</v>
      </c>
      <c r="AX48" s="1971">
        <f t="shared" ref="AX48" si="910">P48</f>
        <v>0</v>
      </c>
      <c r="AY48" s="1971">
        <f t="shared" ref="AY48" si="911">Q48</f>
        <v>0</v>
      </c>
      <c r="AZ48" s="1971">
        <f t="shared" ref="AZ48" si="912">R48</f>
        <v>0</v>
      </c>
      <c r="BA48" s="1971">
        <f t="shared" ref="BA48" si="913">S48</f>
        <v>0</v>
      </c>
      <c r="BB48" s="1971">
        <f>AJ48+AO48</f>
        <v>0</v>
      </c>
      <c r="BC48" s="1971">
        <f>(AV48+AY48+BA48)*0.1267</f>
        <v>475.125</v>
      </c>
      <c r="BD48" s="1971">
        <f>SUM(AV48:BC48)-AX48-AZ48</f>
        <v>4475.125</v>
      </c>
      <c r="BE48" s="1971">
        <f>(($E48/30)*$H48)*$J48</f>
        <v>0</v>
      </c>
      <c r="BF48" s="1971">
        <f>(($F48/30)*$H48)*$J48</f>
        <v>0</v>
      </c>
      <c r="BG48" s="1971">
        <f t="shared" ref="BG48" si="914">T48</f>
        <v>0</v>
      </c>
      <c r="BH48" s="1971">
        <f t="shared" ref="BH48" si="915">U48</f>
        <v>0</v>
      </c>
      <c r="BI48" s="1971">
        <f t="shared" ref="BI48" si="916">V48</f>
        <v>0</v>
      </c>
      <c r="BJ48" s="1971">
        <f t="shared" ref="BJ48" si="917">W48</f>
        <v>0</v>
      </c>
      <c r="BK48" s="1971">
        <f>AK48+AP48</f>
        <v>0</v>
      </c>
      <c r="BL48" s="1971">
        <f>(+BE48+BH48+BJ48+BK48)*0.1267</f>
        <v>0</v>
      </c>
      <c r="BM48" s="1970">
        <f>SUM(BE48:BL48)-BG48-BI48</f>
        <v>0</v>
      </c>
      <c r="BN48" s="1971">
        <f>(($E48/30)*$H48)*$K48</f>
        <v>0</v>
      </c>
      <c r="BO48" s="1971">
        <f>(($F48/30)*$H48)*$K48</f>
        <v>0</v>
      </c>
      <c r="BP48" s="1971">
        <f t="shared" ref="BP48" si="918">X48</f>
        <v>0</v>
      </c>
      <c r="BQ48" s="1971">
        <f t="shared" ref="BQ48" si="919">Y48</f>
        <v>0</v>
      </c>
      <c r="BR48" s="1971">
        <f t="shared" ref="BR48" si="920">Z48</f>
        <v>0</v>
      </c>
      <c r="BS48" s="1971">
        <f>AA48</f>
        <v>0</v>
      </c>
      <c r="BT48" s="1971">
        <f>AL48+AQ48</f>
        <v>0</v>
      </c>
      <c r="BU48" s="1971">
        <f>(BN48+BQ48+BS48)*0.1267</f>
        <v>0</v>
      </c>
      <c r="BV48" s="1971">
        <f>SUM(BN48:BU48)-BP48-BR48</f>
        <v>0</v>
      </c>
      <c r="BW48" s="1981">
        <f>(($E48/30)*$H48)*$L48</f>
        <v>0</v>
      </c>
      <c r="BX48" s="1982">
        <f>(($F48/30)*$H48)*$L48</f>
        <v>0</v>
      </c>
      <c r="BY48" s="1982">
        <f t="shared" ref="BY48" si="921">AB48</f>
        <v>0</v>
      </c>
      <c r="BZ48" s="1982">
        <f t="shared" ref="BZ48" si="922">AC48</f>
        <v>0</v>
      </c>
      <c r="CA48" s="1982">
        <f t="shared" ref="CA48" si="923">AD48</f>
        <v>0</v>
      </c>
      <c r="CB48" s="1982">
        <f t="shared" ref="CB48" si="924">AE48</f>
        <v>0</v>
      </c>
      <c r="CC48" s="1982">
        <f>AM48+AR48</f>
        <v>0</v>
      </c>
      <c r="CD48" s="1982">
        <f>(BW48+BZ48+CB48)*0.1267</f>
        <v>0</v>
      </c>
      <c r="CE48" s="1982">
        <f>SUM(BW48:CD48)-BY48-CA48</f>
        <v>0</v>
      </c>
      <c r="CF48" s="1982">
        <f>(($E48/30)*$H48)*M48</f>
        <v>0</v>
      </c>
      <c r="CG48" s="1982">
        <f>(($F48/30)*$H48)*$M48</f>
        <v>0</v>
      </c>
      <c r="CH48" s="1982">
        <f>+AF48</f>
        <v>0</v>
      </c>
      <c r="CI48" s="1982">
        <f t="shared" ref="CI48" si="925">AG48</f>
        <v>0</v>
      </c>
      <c r="CJ48" s="1982">
        <f t="shared" ref="CJ48" si="926">AH48</f>
        <v>0</v>
      </c>
      <c r="CK48" s="1982">
        <f t="shared" ref="CK48" si="927">AI48</f>
        <v>0</v>
      </c>
      <c r="CL48" s="1982">
        <f>AN48+AS48</f>
        <v>0</v>
      </c>
      <c r="CM48" s="1982">
        <f>(CF48+CI48+CK48)*0.1267</f>
        <v>0</v>
      </c>
      <c r="CN48" s="1983">
        <f>SUM(CF48:CM48)-CH48-CJ48</f>
        <v>0</v>
      </c>
      <c r="CO48" s="1976"/>
      <c r="CP48" s="1969" t="s">
        <v>10</v>
      </c>
      <c r="CQ48" s="1971">
        <f>IF($CP48="PROQUIMA",$AV48+$BE48+$BN48+$BW48+$CF48,0)</f>
        <v>3750</v>
      </c>
      <c r="CR48" s="1971">
        <f>IF($CP48="PROQUIMA",$AW48+$BF48+$BO48+$BX48+$CG48,0)</f>
        <v>250.00000000000003</v>
      </c>
      <c r="CS48" s="1971">
        <f>IF($CP48="PROQUIMA",$AX48+$BG48+$BP48+$BY48+$CH48,0)</f>
        <v>0</v>
      </c>
      <c r="CT48" s="1971">
        <f>IF($CP48="PROQUIMA",$AY48+$BH48+$BQ48+$BZ48+$CI48,0)</f>
        <v>0</v>
      </c>
      <c r="CU48" s="1971">
        <f>IF($CP48="PROQUIMA",$AZ48+$BI48+$BR48+$CA48+$CJ48,0)</f>
        <v>0</v>
      </c>
      <c r="CV48" s="1971">
        <f>IF($CP48="PROQUIMA",$BA48+$BJ48+$BS48+$CB48+$CK48,0)</f>
        <v>0</v>
      </c>
      <c r="CW48" s="1971">
        <f>IF($CP48="PROQUIMA",$BB48+$BK48+$BT48+$CC48+$CL48,0)</f>
        <v>0</v>
      </c>
      <c r="CX48" s="1971">
        <f>IF($CP48="PROQUIMA",$BC48+$BL48+$BU48+$CD48+CM48,0)</f>
        <v>475.125</v>
      </c>
      <c r="CY48" s="1971">
        <f>SUM(CQ48:CX48)-CS48-CU48</f>
        <v>4475.125</v>
      </c>
      <c r="CZ48" s="1971">
        <f>IF($CP48="UNHESA",$AV48+$BE48+$BN48+$BW48+$CF48,0)</f>
        <v>0</v>
      </c>
      <c r="DA48" s="1971">
        <f>IF($CP48="UNHESA",$AW48+$BF48+$BO48+$BX48+$CG48,0)</f>
        <v>0</v>
      </c>
      <c r="DB48" s="1971">
        <f>IF($CP48="UNHESA",$AX48+$BG48+$BP48+$BY48+$CH48,0)</f>
        <v>0</v>
      </c>
      <c r="DC48" s="1971">
        <f>IF($CP48="UNHESA",$AY48+$BH48+$BQ48+$BZ48+$CI48,0)</f>
        <v>0</v>
      </c>
      <c r="DD48" s="1971">
        <f>IF($CP48="UNHESA",$AZ48+$BI48+$BR48+$CA48+$CJ48,0)</f>
        <v>0</v>
      </c>
      <c r="DE48" s="1971">
        <f>IF($CP48="UNHESA",$BA48+$BJ48+$BS48+$CB48+$CK48,0)</f>
        <v>0</v>
      </c>
      <c r="DF48" s="1971">
        <f>IF($CP48="UNHESA",$BB48+$BK48+$BT48+$CC48+$CL48,0)</f>
        <v>0</v>
      </c>
      <c r="DG48" s="1971">
        <f>IF($CP48="UNHESA",$BC48+$BL48+$BU48+$CD48+$CM48,0)</f>
        <v>0</v>
      </c>
      <c r="DH48" s="1971">
        <f>SUM(CZ48:DG48)-DB48-DD48</f>
        <v>0</v>
      </c>
      <c r="DI48" s="1971">
        <f>IF($CP48="UNHESA LIQUIDOS",$AV48+$BE48+$BN48+$BW48+$CF48,0)</f>
        <v>0</v>
      </c>
      <c r="DJ48" s="1971">
        <f>IF($CP48="CALIDUL",$AW48+$BF48+$BO48+$BX48+$CG48,0)</f>
        <v>0</v>
      </c>
      <c r="DK48" s="1971">
        <f>IF($CP48="CALIDUL",$AX48+$BG48+$BP48+$BY48+$CH48,0)</f>
        <v>0</v>
      </c>
      <c r="DL48" s="1971">
        <f>IF($CP48="CALIDUL",$AY48+$BH48+$BQ48+$BZ48+$CI48,0)</f>
        <v>0</v>
      </c>
      <c r="DM48" s="1971">
        <f>IF($CP48="CALIDUL",$AZ48+$BI48+$BR48+$CA48+$CJ48,0)</f>
        <v>0</v>
      </c>
      <c r="DN48" s="1971">
        <f>IF($CP48="CALIDUL",$BA48+$BJ48+$BS48+$CB48+$CK48,0)</f>
        <v>0</v>
      </c>
      <c r="DO48" s="1971">
        <f>IF($CP48="CALIDUL",$BB48+$BK48+$BT48+$CC48+$CL48,0)</f>
        <v>0</v>
      </c>
      <c r="DP48" s="1971">
        <f>IF($CP48="CALIDUL",$BC48+$BL48+$BU48+$CD48+$CM48,0)</f>
        <v>0</v>
      </c>
      <c r="DQ48" s="1971">
        <f>SUM(DI48:DP48)-DK48-DM48</f>
        <v>0</v>
      </c>
      <c r="DR48" s="1981">
        <f>IF($CP48="ECONACIONAL",$AV48+$BE48+$BN48+$BW48+$CF48,0)</f>
        <v>0</v>
      </c>
      <c r="DS48" s="1982">
        <f>IF($CP48="ECONACIONAL",$AW48+$BF48+$BO48+$BX48+$CG48,0)</f>
        <v>0</v>
      </c>
      <c r="DT48" s="1982">
        <f>IF($CP48="ECONACIONAL",$AX48+$BG48+$BP48+$BY48+$CH48,0)</f>
        <v>0</v>
      </c>
      <c r="DU48" s="1982">
        <f>IF($CP48="ECONACIONAL",$AY48+$BH48+$BQ48+$BZ48+$CI48,0)</f>
        <v>0</v>
      </c>
      <c r="DV48" s="1982">
        <f>IF($CP48="ECONACIONAL",$AZ48+$BI48+$BR48+$CA48+$CJ48,0)</f>
        <v>0</v>
      </c>
      <c r="DW48" s="1982">
        <f>IF($CP48="ECONACIONAL",$BA48+$BJ48+$BS48+$CB48+$CK48,0)</f>
        <v>0</v>
      </c>
      <c r="DX48" s="1982">
        <f>IF($CP48="ECONACIONAL",$BB48+$BK48+$BT48+$CC48+$CL48,0)</f>
        <v>0</v>
      </c>
      <c r="DY48" s="1982">
        <f>IF($CP48="ECONACIONAL",$BC48+$BL48+$BU48+$CD48+$CM48,0)</f>
        <v>0</v>
      </c>
      <c r="DZ48" s="1982">
        <f>SUM(DR48:DY48)-DT48-DV48</f>
        <v>0</v>
      </c>
      <c r="EA48" s="1982">
        <f>IF($CP48="CLEARTEC",$AV48+$BE48+$BN48+$BW48+$CF48,0)</f>
        <v>0</v>
      </c>
      <c r="EB48" s="1982">
        <f>IF($CP48="CLEARTEC",$AW48+$BF48+$BO48+$BX48+$CG48,0)</f>
        <v>0</v>
      </c>
      <c r="EC48" s="1982">
        <f>IF($CP48="CLEARTEC",$AX48+$BG48+$BP48+$BY48+$CH48,0)</f>
        <v>0</v>
      </c>
      <c r="ED48" s="1982">
        <f>IF($CP48="CLEARTEC",$AY48+$BH48+$BQ48+$BZ48+$CI48,0)</f>
        <v>0</v>
      </c>
      <c r="EE48" s="1982">
        <f>IF($CP48="CLEARTEC",$AZ48+$BI48+$BR48+$CA48+$CJ48,0)</f>
        <v>0</v>
      </c>
      <c r="EF48" s="1982">
        <f>IF($CP48="CLEARTEC",$BA48+$BJ48+$BS48+$CB48+$CK48,0)</f>
        <v>0</v>
      </c>
      <c r="EG48" s="1982">
        <f>IF($CP48="CLEARTEC",$BB48+$BK48+$BT48+$CC48+$CL48,0)</f>
        <v>0</v>
      </c>
      <c r="EH48" s="1982">
        <f>IF($CP48="CLEARTEC",$BC48+$BL48+$BU48+$CD48+$CM48,0)</f>
        <v>0</v>
      </c>
      <c r="EI48" s="1983">
        <f>SUM(EA48:EH48)-EC48-EE48</f>
        <v>0</v>
      </c>
      <c r="EJ48" s="1976"/>
      <c r="EK48" s="1969"/>
      <c r="EL48" s="1969"/>
      <c r="EM48" s="1969"/>
      <c r="EN48" s="1969"/>
      <c r="EO48" s="1969"/>
      <c r="EP48" s="1969">
        <v>50</v>
      </c>
      <c r="EQ48" s="1969"/>
      <c r="ER48" s="1969"/>
      <c r="ES48" s="1969"/>
      <c r="ET48" s="363">
        <f>+EO48+EP48+EQ48</f>
        <v>50</v>
      </c>
      <c r="EU48" s="354"/>
      <c r="EV48" s="366">
        <f t="shared" ref="EV48" si="928">IF($H48&lt;=15,EK48/2,EK48)</f>
        <v>0</v>
      </c>
      <c r="EW48" s="366">
        <f t="shared" ref="EW48" si="929">IF($H48&lt;=15,EL48/2,EL48)</f>
        <v>0</v>
      </c>
      <c r="EX48" s="366">
        <f t="shared" ref="EX48" si="930">IF($H48&lt;=15,EM48/2,EM48)</f>
        <v>0</v>
      </c>
      <c r="EY48" s="366">
        <f t="shared" ref="EY48" si="931">IF($H48&lt;=15,EN48/2,EN48)</f>
        <v>0</v>
      </c>
      <c r="EZ48" s="366">
        <f t="shared" ref="EZ48" si="932">IF($H48&lt;=15,EO48/2,EO48)</f>
        <v>0</v>
      </c>
      <c r="FA48" s="366">
        <f t="shared" ref="FA48" si="933">IF($H48&lt;=15,EP48/2,EP48)</f>
        <v>50</v>
      </c>
      <c r="FB48" s="366">
        <f t="shared" ref="FB48" si="934">IF($H48&lt;=15,EQ48/2,EQ48)</f>
        <v>0</v>
      </c>
      <c r="FC48" s="366">
        <f t="shared" ref="FC48" si="935">IF($H48&lt;=15,ER48/2,ER48)</f>
        <v>0</v>
      </c>
      <c r="FD48" s="366">
        <f t="shared" ref="FD48" si="936">IF($H48&lt;=15,ES48/2,ES48)</f>
        <v>0</v>
      </c>
      <c r="FE48" s="366">
        <f t="shared" ref="FE48" si="937">IF($H48&lt;=15,ET48/2,ET48)</f>
        <v>50</v>
      </c>
      <c r="FF48" s="364"/>
      <c r="FG48" s="364"/>
      <c r="FH48" s="364"/>
      <c r="FI48" s="364"/>
      <c r="FJ48" s="364"/>
      <c r="FK48" s="364"/>
    </row>
    <row r="49" spans="1:260" s="331" customFormat="1" ht="15" customHeight="1" outlineLevel="1">
      <c r="A49" s="1984">
        <f t="shared" si="882"/>
        <v>31</v>
      </c>
      <c r="B49" s="213" t="s">
        <v>503</v>
      </c>
      <c r="C49" s="312" t="s">
        <v>74</v>
      </c>
      <c r="D49" s="313" t="s">
        <v>10</v>
      </c>
      <c r="E49" s="314">
        <v>8269.49</v>
      </c>
      <c r="F49" s="314">
        <v>6789.8</v>
      </c>
      <c r="G49" s="314">
        <f>+E49+F49</f>
        <v>15059.29</v>
      </c>
      <c r="H49" s="355">
        <v>30</v>
      </c>
      <c r="I49" s="356">
        <v>1</v>
      </c>
      <c r="J49" s="318">
        <v>0</v>
      </c>
      <c r="K49" s="318">
        <v>0</v>
      </c>
      <c r="L49" s="318">
        <v>0</v>
      </c>
      <c r="M49" s="318">
        <v>0</v>
      </c>
      <c r="N49" s="318">
        <f>SUM(I49:M49)</f>
        <v>1</v>
      </c>
      <c r="O49" s="319"/>
      <c r="P49" s="357"/>
      <c r="Q49" s="315">
        <v>0</v>
      </c>
      <c r="R49" s="321"/>
      <c r="S49" s="315">
        <v>0</v>
      </c>
      <c r="T49" s="321"/>
      <c r="U49" s="358">
        <v>0</v>
      </c>
      <c r="V49" s="321"/>
      <c r="W49" s="315">
        <v>0</v>
      </c>
      <c r="X49" s="321"/>
      <c r="Y49" s="315">
        <v>0</v>
      </c>
      <c r="Z49" s="322"/>
      <c r="AA49" s="315">
        <f>(($E49/30/8)*2)*Z49</f>
        <v>0</v>
      </c>
      <c r="AB49" s="322"/>
      <c r="AC49" s="315">
        <f>(($E49/30/8)*1.5)*AB49</f>
        <v>0</v>
      </c>
      <c r="AD49" s="322"/>
      <c r="AE49" s="315">
        <f>(($E49/30/8)*2)*AD49</f>
        <v>0</v>
      </c>
      <c r="AF49" s="315"/>
      <c r="AG49" s="315">
        <v>0</v>
      </c>
      <c r="AH49" s="322"/>
      <c r="AI49" s="315">
        <v>0</v>
      </c>
      <c r="AJ49" s="314"/>
      <c r="AK49" s="314"/>
      <c r="AL49" s="314"/>
      <c r="AM49" s="314"/>
      <c r="AN49" s="314"/>
      <c r="AO49" s="314"/>
      <c r="AP49" s="314"/>
      <c r="AQ49" s="314"/>
      <c r="AR49" s="314"/>
      <c r="AS49" s="314"/>
      <c r="AT49" s="314"/>
      <c r="AU49" s="359"/>
      <c r="AV49" s="315">
        <f>((E49/30)*H49)*$I49</f>
        <v>8269.49</v>
      </c>
      <c r="AW49" s="315">
        <f>((F49/30)*H49)*$I49</f>
        <v>6789.8</v>
      </c>
      <c r="AX49" s="315">
        <f t="shared" si="873"/>
        <v>0</v>
      </c>
      <c r="AY49" s="315">
        <f t="shared" si="873"/>
        <v>0</v>
      </c>
      <c r="AZ49" s="315">
        <f t="shared" si="873"/>
        <v>0</v>
      </c>
      <c r="BA49" s="315">
        <f t="shared" si="873"/>
        <v>0</v>
      </c>
      <c r="BB49" s="315">
        <f>AJ49+AO49</f>
        <v>0</v>
      </c>
      <c r="BC49" s="315">
        <f>(AV49+AY49+BA49)*0.1267</f>
        <v>1047.744383</v>
      </c>
      <c r="BD49" s="315">
        <f>SUM(AV49:BC49)-AX49-AZ49</f>
        <v>16107.034383</v>
      </c>
      <c r="BE49" s="315">
        <f>(($E49/30)*$H49)*$J49</f>
        <v>0</v>
      </c>
      <c r="BF49" s="315">
        <f>(($F49/30)*$H49)*$J49</f>
        <v>0</v>
      </c>
      <c r="BG49" s="315">
        <f t="shared" si="874"/>
        <v>0</v>
      </c>
      <c r="BH49" s="315">
        <f t="shared" si="874"/>
        <v>0</v>
      </c>
      <c r="BI49" s="315">
        <f t="shared" si="874"/>
        <v>0</v>
      </c>
      <c r="BJ49" s="315">
        <f t="shared" si="874"/>
        <v>0</v>
      </c>
      <c r="BK49" s="315">
        <f>AK49+AP49</f>
        <v>0</v>
      </c>
      <c r="BL49" s="315">
        <f>(+BE49+BH49+BJ49+BK49)*0.1267</f>
        <v>0</v>
      </c>
      <c r="BM49" s="314">
        <f>SUM(BE49:BL49)-BG49-BI49</f>
        <v>0</v>
      </c>
      <c r="BN49" s="315">
        <f>(($E49/30)*$H49)*$K49</f>
        <v>0</v>
      </c>
      <c r="BO49" s="315">
        <f>(($F49/30)*$H49)*$K49</f>
        <v>0</v>
      </c>
      <c r="BP49" s="315">
        <f t="shared" si="875"/>
        <v>0</v>
      </c>
      <c r="BQ49" s="315">
        <f t="shared" si="875"/>
        <v>0</v>
      </c>
      <c r="BR49" s="315">
        <f t="shared" si="875"/>
        <v>0</v>
      </c>
      <c r="BS49" s="315">
        <f>AA49</f>
        <v>0</v>
      </c>
      <c r="BT49" s="315">
        <f>AL49+AQ49</f>
        <v>0</v>
      </c>
      <c r="BU49" s="315">
        <f>(BN49+BQ49+BS49)*0.1267</f>
        <v>0</v>
      </c>
      <c r="BV49" s="315">
        <f>SUM(BN49:BU49)-BP49-BR49</f>
        <v>0</v>
      </c>
      <c r="BW49" s="360">
        <v>0</v>
      </c>
      <c r="BX49" s="361">
        <f>(($F49/30)*$H49)*$L49</f>
        <v>0</v>
      </c>
      <c r="BY49" s="361">
        <f t="shared" ref="BY49" si="938">AB49</f>
        <v>0</v>
      </c>
      <c r="BZ49" s="361">
        <f t="shared" ref="BZ49" si="939">AC49</f>
        <v>0</v>
      </c>
      <c r="CA49" s="361">
        <f t="shared" ref="CA49" si="940">AD49</f>
        <v>0</v>
      </c>
      <c r="CB49" s="361">
        <f t="shared" ref="CB49" si="941">AE49</f>
        <v>0</v>
      </c>
      <c r="CC49" s="361">
        <f>AM49+AR49</f>
        <v>0</v>
      </c>
      <c r="CD49" s="361">
        <f>(BW49+BZ49+CB49)*0.1267</f>
        <v>0</v>
      </c>
      <c r="CE49" s="361">
        <f>SUM(BW49:CD49)-BY49-CA49</f>
        <v>0</v>
      </c>
      <c r="CF49" s="361">
        <v>0</v>
      </c>
      <c r="CG49" s="361">
        <v>0</v>
      </c>
      <c r="CH49" s="361">
        <v>0</v>
      </c>
      <c r="CI49" s="361">
        <v>0</v>
      </c>
      <c r="CJ49" s="361">
        <v>0</v>
      </c>
      <c r="CK49" s="361">
        <v>0</v>
      </c>
      <c r="CL49" s="361">
        <v>0</v>
      </c>
      <c r="CM49" s="361">
        <v>0</v>
      </c>
      <c r="CN49" s="362">
        <v>0</v>
      </c>
      <c r="CO49" s="330"/>
      <c r="CP49" s="313" t="s">
        <v>10</v>
      </c>
      <c r="CQ49" s="315">
        <f>IF($CP49="PROQUIMA",$AV49+$BE49+$BN49+$BW49+$CF49,0)</f>
        <v>8269.49</v>
      </c>
      <c r="CR49" s="315">
        <f>IF($CP49="PROQUIMA",$AW49+$BF49+$BO49+$BX49+$CG49,0)</f>
        <v>6789.8</v>
      </c>
      <c r="CS49" s="315">
        <f>IF($CP49="PROQUIMA",$AX49+$BG49+$BP49+$BY49+$CH49,0)</f>
        <v>0</v>
      </c>
      <c r="CT49" s="315">
        <f>IF($CP49="PROQUIMA",$AY49+$BH49+$BQ49+$BZ49+$CI49,0)</f>
        <v>0</v>
      </c>
      <c r="CU49" s="315">
        <f>IF($CP49="PROQUIMA",$AZ49+$BI49+$BR49+$CA49+$CJ49,0)</f>
        <v>0</v>
      </c>
      <c r="CV49" s="315">
        <f>IF($CP49="PROQUIMA",$BA49+$BJ49+$BS49+$CB49+$CK49,0)</f>
        <v>0</v>
      </c>
      <c r="CW49" s="315">
        <f>IF($CP49="PROQUIMA",$BB49+$BK49+$BT49+$CC49+$CL49,0)</f>
        <v>0</v>
      </c>
      <c r="CX49" s="315">
        <f>IF($CP49="PROQUIMA",$BC49+$BL49+$BU49+$CD49+CM49,0)</f>
        <v>1047.744383</v>
      </c>
      <c r="CY49" s="315">
        <f>SUM(CQ49:CX49)-CS49-CU49</f>
        <v>16107.034383</v>
      </c>
      <c r="CZ49" s="315">
        <f>IF($CP49="UNHESA",$AV49+$BE49+$BN49+$BW49+$CF49,0)</f>
        <v>0</v>
      </c>
      <c r="DA49" s="315">
        <f>IF($CP49="UNHESA",$AW49+$BF49+$BO49+$BX49+$CG49,0)</f>
        <v>0</v>
      </c>
      <c r="DB49" s="315">
        <f>IF($CP49="UNHESA",$AX49+$BG49+$BP49+$BY49+$CH49,0)</f>
        <v>0</v>
      </c>
      <c r="DC49" s="315">
        <f>IF($CP49="UNHESA",$AY49+$BH49+$BQ49+$BZ49+$CI49,0)</f>
        <v>0</v>
      </c>
      <c r="DD49" s="315">
        <f>IF($CP49="UNHESA",$AZ49+$BI49+$BR49+$CA49+$CJ49,0)</f>
        <v>0</v>
      </c>
      <c r="DE49" s="315">
        <f>IF($CP49="UNHESA",$BA49+$BJ49+$BS49+$CB49+$CK49,0)</f>
        <v>0</v>
      </c>
      <c r="DF49" s="315">
        <f>IF($CP49="UNHESA",$BB49+$BK49+$BT49+$CC49+$CL49,0)</f>
        <v>0</v>
      </c>
      <c r="DG49" s="315">
        <f>IF($CP49="UNHESA",$BC49+$BL49+$BU49+$CD49+$CM49,0)</f>
        <v>0</v>
      </c>
      <c r="DH49" s="315">
        <f>SUM(CZ49:DG49)-DB49-DD49</f>
        <v>0</v>
      </c>
      <c r="DI49" s="315">
        <v>0</v>
      </c>
      <c r="DJ49" s="315">
        <v>0</v>
      </c>
      <c r="DK49" s="315">
        <v>0</v>
      </c>
      <c r="DL49" s="315">
        <v>0</v>
      </c>
      <c r="DM49" s="315">
        <v>0</v>
      </c>
      <c r="DN49" s="315">
        <v>0</v>
      </c>
      <c r="DO49" s="315">
        <v>0</v>
      </c>
      <c r="DP49" s="315">
        <v>0</v>
      </c>
      <c r="DQ49" s="315">
        <v>0</v>
      </c>
      <c r="DR49" s="360">
        <v>0</v>
      </c>
      <c r="DS49" s="361">
        <v>0</v>
      </c>
      <c r="DT49" s="361">
        <v>0</v>
      </c>
      <c r="DU49" s="361">
        <v>0</v>
      </c>
      <c r="DV49" s="361">
        <v>0</v>
      </c>
      <c r="DW49" s="361">
        <v>0</v>
      </c>
      <c r="DX49" s="361">
        <v>0</v>
      </c>
      <c r="DY49" s="361">
        <v>0</v>
      </c>
      <c r="DZ49" s="361">
        <v>0</v>
      </c>
      <c r="EA49" s="361">
        <v>0</v>
      </c>
      <c r="EB49" s="361">
        <v>0</v>
      </c>
      <c r="EC49" s="361">
        <v>0</v>
      </c>
      <c r="ED49" s="361">
        <v>0</v>
      </c>
      <c r="EE49" s="361">
        <v>0</v>
      </c>
      <c r="EF49" s="361">
        <v>0</v>
      </c>
      <c r="EG49" s="361">
        <v>0</v>
      </c>
      <c r="EH49" s="361">
        <v>0</v>
      </c>
      <c r="EI49" s="362">
        <f>SUM(EA49:EH49)-EC49-EE49</f>
        <v>0</v>
      </c>
      <c r="EJ49" s="330"/>
      <c r="EK49" s="2200">
        <v>540.55999999999995</v>
      </c>
      <c r="EL49" s="313"/>
      <c r="EM49" s="313">
        <f>199+49+199+199+49+199</f>
        <v>894</v>
      </c>
      <c r="EN49" s="1969"/>
      <c r="EO49" s="313"/>
      <c r="EP49" s="313"/>
      <c r="EQ49" s="313"/>
      <c r="ER49" s="313"/>
      <c r="ES49" s="313"/>
      <c r="ET49" s="363">
        <f>+EO49+EP49+EQ49</f>
        <v>0</v>
      </c>
      <c r="EU49" s="1501"/>
      <c r="EV49" s="366">
        <f t="shared" si="878"/>
        <v>540.55999999999995</v>
      </c>
      <c r="EW49" s="366">
        <f t="shared" si="878"/>
        <v>0</v>
      </c>
      <c r="EX49" s="366">
        <f t="shared" si="878"/>
        <v>894</v>
      </c>
      <c r="EY49" s="366">
        <f t="shared" si="878"/>
        <v>0</v>
      </c>
      <c r="EZ49" s="366">
        <f t="shared" si="878"/>
        <v>0</v>
      </c>
      <c r="FA49" s="366">
        <f t="shared" si="878"/>
        <v>0</v>
      </c>
      <c r="FB49" s="366">
        <f t="shared" si="878"/>
        <v>0</v>
      </c>
      <c r="FC49" s="366">
        <f t="shared" si="878"/>
        <v>0</v>
      </c>
      <c r="FD49" s="366">
        <f t="shared" si="878"/>
        <v>0</v>
      </c>
      <c r="FE49" s="366">
        <f t="shared" si="878"/>
        <v>0</v>
      </c>
      <c r="FF49" s="364">
        <v>1</v>
      </c>
      <c r="FG49" s="364">
        <v>0</v>
      </c>
      <c r="FH49" s="364">
        <v>0</v>
      </c>
      <c r="FI49" s="364">
        <v>0</v>
      </c>
      <c r="FJ49" s="364">
        <v>0</v>
      </c>
      <c r="FK49" s="364">
        <v>1</v>
      </c>
      <c r="FL49" s="331">
        <v>0</v>
      </c>
    </row>
    <row r="50" spans="1:260" s="1441" customFormat="1" ht="15.75" customHeight="1" outlineLevel="1" thickBot="1">
      <c r="A50" s="1490"/>
      <c r="B50" s="1348"/>
      <c r="C50" s="1339" t="s">
        <v>75</v>
      </c>
      <c r="D50" s="1414"/>
      <c r="E50" s="1518">
        <f>SUM(E45:E49)</f>
        <v>27269.489999999998</v>
      </c>
      <c r="F50" s="1519">
        <f>SUM(F45:F49)</f>
        <v>11289.8</v>
      </c>
      <c r="G50" s="1519">
        <f>SUM(G45:G49)</f>
        <v>38559.29</v>
      </c>
      <c r="H50" s="1513"/>
      <c r="I50" s="1513"/>
      <c r="J50" s="1513"/>
      <c r="K50" s="1513"/>
      <c r="L50" s="1513"/>
      <c r="M50" s="1513"/>
      <c r="N50" s="1513"/>
      <c r="O50" s="1433"/>
      <c r="P50" s="1519">
        <f t="shared" ref="P50:AT50" si="942">SUM(P45:P49)</f>
        <v>0</v>
      </c>
      <c r="Q50" s="1519">
        <f t="shared" si="942"/>
        <v>0</v>
      </c>
      <c r="R50" s="1519">
        <f t="shared" si="942"/>
        <v>0</v>
      </c>
      <c r="S50" s="1519">
        <f t="shared" si="942"/>
        <v>0</v>
      </c>
      <c r="T50" s="1519">
        <f t="shared" si="942"/>
        <v>0</v>
      </c>
      <c r="U50" s="1519">
        <f t="shared" si="942"/>
        <v>0</v>
      </c>
      <c r="V50" s="1519">
        <f t="shared" si="942"/>
        <v>0</v>
      </c>
      <c r="W50" s="1519">
        <f t="shared" si="942"/>
        <v>0</v>
      </c>
      <c r="X50" s="1519">
        <f t="shared" si="942"/>
        <v>0</v>
      </c>
      <c r="Y50" s="1519">
        <f t="shared" si="942"/>
        <v>0</v>
      </c>
      <c r="Z50" s="1519">
        <f t="shared" si="942"/>
        <v>0</v>
      </c>
      <c r="AA50" s="1519">
        <f t="shared" si="942"/>
        <v>0</v>
      </c>
      <c r="AB50" s="1519">
        <f t="shared" si="942"/>
        <v>0</v>
      </c>
      <c r="AC50" s="1519">
        <f t="shared" si="942"/>
        <v>0</v>
      </c>
      <c r="AD50" s="1519">
        <f t="shared" si="942"/>
        <v>0</v>
      </c>
      <c r="AE50" s="1519">
        <f t="shared" si="942"/>
        <v>0</v>
      </c>
      <c r="AF50" s="1519">
        <f t="shared" si="942"/>
        <v>0</v>
      </c>
      <c r="AG50" s="1519">
        <f t="shared" si="942"/>
        <v>0</v>
      </c>
      <c r="AH50" s="1519">
        <f t="shared" si="942"/>
        <v>0</v>
      </c>
      <c r="AI50" s="1519">
        <f t="shared" si="942"/>
        <v>0</v>
      </c>
      <c r="AJ50" s="1519">
        <f t="shared" si="942"/>
        <v>0</v>
      </c>
      <c r="AK50" s="1519">
        <f t="shared" si="942"/>
        <v>0</v>
      </c>
      <c r="AL50" s="1519">
        <f t="shared" si="942"/>
        <v>0</v>
      </c>
      <c r="AM50" s="1519">
        <f t="shared" si="942"/>
        <v>0</v>
      </c>
      <c r="AN50" s="1519">
        <f t="shared" si="942"/>
        <v>0</v>
      </c>
      <c r="AO50" s="1519">
        <f t="shared" si="942"/>
        <v>0</v>
      </c>
      <c r="AP50" s="1519">
        <f t="shared" si="942"/>
        <v>0</v>
      </c>
      <c r="AQ50" s="1519">
        <f t="shared" si="942"/>
        <v>0</v>
      </c>
      <c r="AR50" s="1519">
        <f t="shared" si="942"/>
        <v>0</v>
      </c>
      <c r="AS50" s="1519">
        <f t="shared" si="942"/>
        <v>0</v>
      </c>
      <c r="AT50" s="1519">
        <f t="shared" si="942"/>
        <v>0</v>
      </c>
      <c r="AU50" s="1520"/>
      <c r="AV50" s="1519">
        <f t="shared" ref="AV50:CN50" si="943">SUM(AV45:AV49)</f>
        <v>27269.489999999998</v>
      </c>
      <c r="AW50" s="1519">
        <f t="shared" si="943"/>
        <v>11289.8</v>
      </c>
      <c r="AX50" s="1519">
        <f t="shared" si="943"/>
        <v>0</v>
      </c>
      <c r="AY50" s="1519">
        <f t="shared" si="943"/>
        <v>0</v>
      </c>
      <c r="AZ50" s="1519">
        <f t="shared" si="943"/>
        <v>0</v>
      </c>
      <c r="BA50" s="1519">
        <f t="shared" si="943"/>
        <v>0</v>
      </c>
      <c r="BB50" s="1519">
        <f t="shared" si="943"/>
        <v>0</v>
      </c>
      <c r="BC50" s="1519">
        <f t="shared" si="943"/>
        <v>3455.0443830000004</v>
      </c>
      <c r="BD50" s="1519">
        <f t="shared" si="943"/>
        <v>42014.334383000001</v>
      </c>
      <c r="BE50" s="1519">
        <f t="shared" si="943"/>
        <v>0</v>
      </c>
      <c r="BF50" s="1519">
        <f t="shared" si="943"/>
        <v>0</v>
      </c>
      <c r="BG50" s="1519">
        <f t="shared" si="943"/>
        <v>0</v>
      </c>
      <c r="BH50" s="1519">
        <f t="shared" si="943"/>
        <v>0</v>
      </c>
      <c r="BI50" s="1519">
        <f t="shared" si="943"/>
        <v>0</v>
      </c>
      <c r="BJ50" s="1519">
        <f t="shared" si="943"/>
        <v>0</v>
      </c>
      <c r="BK50" s="1519">
        <f t="shared" si="943"/>
        <v>0</v>
      </c>
      <c r="BL50" s="1519">
        <f t="shared" si="943"/>
        <v>0</v>
      </c>
      <c r="BM50" s="1519">
        <f t="shared" si="943"/>
        <v>0</v>
      </c>
      <c r="BN50" s="1519">
        <f t="shared" si="943"/>
        <v>0</v>
      </c>
      <c r="BO50" s="1519">
        <f t="shared" si="943"/>
        <v>0</v>
      </c>
      <c r="BP50" s="1519">
        <f t="shared" si="943"/>
        <v>0</v>
      </c>
      <c r="BQ50" s="1519">
        <f t="shared" si="943"/>
        <v>0</v>
      </c>
      <c r="BR50" s="1519">
        <f t="shared" si="943"/>
        <v>0</v>
      </c>
      <c r="BS50" s="1519">
        <f t="shared" si="943"/>
        <v>0</v>
      </c>
      <c r="BT50" s="1519">
        <f t="shared" si="943"/>
        <v>0</v>
      </c>
      <c r="BU50" s="1519">
        <f t="shared" si="943"/>
        <v>0</v>
      </c>
      <c r="BV50" s="1519">
        <f t="shared" si="943"/>
        <v>0</v>
      </c>
      <c r="BW50" s="1521">
        <f t="shared" si="943"/>
        <v>0</v>
      </c>
      <c r="BX50" s="1521">
        <f t="shared" si="943"/>
        <v>0</v>
      </c>
      <c r="BY50" s="1521">
        <f t="shared" si="943"/>
        <v>0</v>
      </c>
      <c r="BZ50" s="1521">
        <f t="shared" si="943"/>
        <v>0</v>
      </c>
      <c r="CA50" s="1521">
        <f t="shared" si="943"/>
        <v>0</v>
      </c>
      <c r="CB50" s="1521">
        <f t="shared" si="943"/>
        <v>0</v>
      </c>
      <c r="CC50" s="1521">
        <f t="shared" si="943"/>
        <v>0</v>
      </c>
      <c r="CD50" s="1521">
        <f t="shared" si="943"/>
        <v>0</v>
      </c>
      <c r="CE50" s="1521">
        <f t="shared" si="943"/>
        <v>0</v>
      </c>
      <c r="CF50" s="1521">
        <f t="shared" si="943"/>
        <v>0</v>
      </c>
      <c r="CG50" s="1521">
        <f t="shared" si="943"/>
        <v>0</v>
      </c>
      <c r="CH50" s="1521">
        <f t="shared" si="943"/>
        <v>0</v>
      </c>
      <c r="CI50" s="1521">
        <f t="shared" si="943"/>
        <v>0</v>
      </c>
      <c r="CJ50" s="1521">
        <f t="shared" si="943"/>
        <v>0</v>
      </c>
      <c r="CK50" s="1521">
        <f t="shared" si="943"/>
        <v>0</v>
      </c>
      <c r="CL50" s="1521">
        <f t="shared" si="943"/>
        <v>0</v>
      </c>
      <c r="CM50" s="1521">
        <f t="shared" si="943"/>
        <v>0</v>
      </c>
      <c r="CN50" s="1521">
        <f t="shared" si="943"/>
        <v>0</v>
      </c>
      <c r="CO50" s="1414"/>
      <c r="CP50" s="1492"/>
      <c r="CQ50" s="1522">
        <f t="shared" ref="CQ50:EI50" si="944">SUM(CQ45:CQ49)</f>
        <v>27269.489999999998</v>
      </c>
      <c r="CR50" s="1522">
        <f t="shared" si="944"/>
        <v>11289.8</v>
      </c>
      <c r="CS50" s="1522">
        <f t="shared" si="944"/>
        <v>0</v>
      </c>
      <c r="CT50" s="1522">
        <f t="shared" si="944"/>
        <v>0</v>
      </c>
      <c r="CU50" s="1522">
        <f t="shared" si="944"/>
        <v>0</v>
      </c>
      <c r="CV50" s="1522">
        <f t="shared" si="944"/>
        <v>0</v>
      </c>
      <c r="CW50" s="1522">
        <f t="shared" si="944"/>
        <v>0</v>
      </c>
      <c r="CX50" s="1522">
        <f t="shared" si="944"/>
        <v>3455.0443830000004</v>
      </c>
      <c r="CY50" s="1522">
        <f t="shared" si="944"/>
        <v>42014.334383000001</v>
      </c>
      <c r="CZ50" s="1522">
        <f t="shared" si="944"/>
        <v>0</v>
      </c>
      <c r="DA50" s="1522">
        <f t="shared" si="944"/>
        <v>0</v>
      </c>
      <c r="DB50" s="1522">
        <f t="shared" si="944"/>
        <v>0</v>
      </c>
      <c r="DC50" s="1522">
        <f t="shared" si="944"/>
        <v>0</v>
      </c>
      <c r="DD50" s="1522">
        <f t="shared" si="944"/>
        <v>0</v>
      </c>
      <c r="DE50" s="1522">
        <f t="shared" si="944"/>
        <v>0</v>
      </c>
      <c r="DF50" s="1522">
        <f t="shared" si="944"/>
        <v>0</v>
      </c>
      <c r="DG50" s="1522">
        <f t="shared" si="944"/>
        <v>0</v>
      </c>
      <c r="DH50" s="1522">
        <f t="shared" si="944"/>
        <v>0</v>
      </c>
      <c r="DI50" s="1522">
        <f t="shared" si="944"/>
        <v>0</v>
      </c>
      <c r="DJ50" s="1522">
        <f t="shared" si="944"/>
        <v>0</v>
      </c>
      <c r="DK50" s="1522">
        <f t="shared" si="944"/>
        <v>0</v>
      </c>
      <c r="DL50" s="1522">
        <f t="shared" si="944"/>
        <v>0</v>
      </c>
      <c r="DM50" s="1522">
        <f t="shared" si="944"/>
        <v>0</v>
      </c>
      <c r="DN50" s="1522">
        <f t="shared" si="944"/>
        <v>0</v>
      </c>
      <c r="DO50" s="1522">
        <f t="shared" si="944"/>
        <v>0</v>
      </c>
      <c r="DP50" s="1522">
        <f t="shared" si="944"/>
        <v>0</v>
      </c>
      <c r="DQ50" s="1522">
        <f t="shared" si="944"/>
        <v>0</v>
      </c>
      <c r="DR50" s="1506">
        <f t="shared" si="944"/>
        <v>0</v>
      </c>
      <c r="DS50" s="1506">
        <f t="shared" si="944"/>
        <v>0</v>
      </c>
      <c r="DT50" s="1506">
        <f t="shared" si="944"/>
        <v>0</v>
      </c>
      <c r="DU50" s="1506">
        <f t="shared" si="944"/>
        <v>0</v>
      </c>
      <c r="DV50" s="1506">
        <f t="shared" si="944"/>
        <v>0</v>
      </c>
      <c r="DW50" s="1506">
        <f t="shared" si="944"/>
        <v>0</v>
      </c>
      <c r="DX50" s="1506">
        <f t="shared" si="944"/>
        <v>0</v>
      </c>
      <c r="DY50" s="1506">
        <f t="shared" si="944"/>
        <v>0</v>
      </c>
      <c r="DZ50" s="1506">
        <f t="shared" si="944"/>
        <v>0</v>
      </c>
      <c r="EA50" s="1506">
        <f t="shared" si="944"/>
        <v>0</v>
      </c>
      <c r="EB50" s="1506">
        <f t="shared" si="944"/>
        <v>0</v>
      </c>
      <c r="EC50" s="1506">
        <f t="shared" si="944"/>
        <v>0</v>
      </c>
      <c r="ED50" s="1506">
        <f t="shared" si="944"/>
        <v>0</v>
      </c>
      <c r="EE50" s="1506">
        <f t="shared" si="944"/>
        <v>0</v>
      </c>
      <c r="EF50" s="1506">
        <f t="shared" si="944"/>
        <v>0</v>
      </c>
      <c r="EG50" s="1506">
        <f t="shared" si="944"/>
        <v>0</v>
      </c>
      <c r="EH50" s="1506">
        <f t="shared" si="944"/>
        <v>0</v>
      </c>
      <c r="EI50" s="1506">
        <f t="shared" si="944"/>
        <v>0</v>
      </c>
      <c r="EJ50" s="1414"/>
      <c r="EK50" s="1519">
        <f t="shared" ref="EK50:ET50" si="945">SUM(EK45:EK49)</f>
        <v>911.57999999999993</v>
      </c>
      <c r="EL50" s="1519">
        <f t="shared" si="945"/>
        <v>0</v>
      </c>
      <c r="EM50" s="1519">
        <f t="shared" si="945"/>
        <v>894</v>
      </c>
      <c r="EN50" s="1518">
        <f t="shared" si="945"/>
        <v>30</v>
      </c>
      <c r="EO50" s="1519">
        <f t="shared" si="945"/>
        <v>0</v>
      </c>
      <c r="EP50" s="1519">
        <f t="shared" si="945"/>
        <v>250</v>
      </c>
      <c r="EQ50" s="1519">
        <f t="shared" si="945"/>
        <v>480</v>
      </c>
      <c r="ER50" s="1519">
        <f t="shared" si="945"/>
        <v>0</v>
      </c>
      <c r="ES50" s="1519">
        <f t="shared" si="945"/>
        <v>0</v>
      </c>
      <c r="ET50" s="1519">
        <f t="shared" si="945"/>
        <v>730</v>
      </c>
      <c r="EU50" s="1500"/>
      <c r="EV50" s="1522">
        <f t="shared" ref="EV50:FE50" si="946">SUM(EV45:EV49)</f>
        <v>911.57999999999993</v>
      </c>
      <c r="EW50" s="1522">
        <f t="shared" si="946"/>
        <v>0</v>
      </c>
      <c r="EX50" s="1522">
        <f t="shared" si="946"/>
        <v>894</v>
      </c>
      <c r="EY50" s="1522">
        <f t="shared" si="946"/>
        <v>30</v>
      </c>
      <c r="EZ50" s="1522">
        <f t="shared" si="946"/>
        <v>0</v>
      </c>
      <c r="FA50" s="1522">
        <f t="shared" si="946"/>
        <v>250</v>
      </c>
      <c r="FB50" s="1522">
        <f t="shared" si="946"/>
        <v>480</v>
      </c>
      <c r="FC50" s="1522">
        <f t="shared" si="946"/>
        <v>0</v>
      </c>
      <c r="FD50" s="1522">
        <f t="shared" si="946"/>
        <v>0</v>
      </c>
      <c r="FE50" s="1522">
        <f t="shared" si="946"/>
        <v>730</v>
      </c>
      <c r="FF50" s="1448"/>
      <c r="FG50" s="1448"/>
      <c r="FH50" s="1448"/>
      <c r="FI50" s="1448"/>
      <c r="FJ50" s="1448"/>
      <c r="FK50" s="1448"/>
      <c r="FL50" s="1441">
        <f t="shared" si="272"/>
        <v>0</v>
      </c>
    </row>
    <row r="51" spans="1:260" s="1414" customFormat="1" ht="15.75" customHeight="1" outlineLevel="1" thickTop="1">
      <c r="A51" s="1403"/>
      <c r="B51" s="1348"/>
      <c r="C51" s="1339"/>
      <c r="E51" s="1512"/>
      <c r="F51" s="1513"/>
      <c r="G51" s="1523"/>
      <c r="H51" s="1513"/>
      <c r="I51" s="1524"/>
      <c r="J51" s="1524"/>
      <c r="K51" s="1524"/>
      <c r="L51" s="1524"/>
      <c r="M51" s="1524"/>
      <c r="N51" s="1524"/>
      <c r="O51" s="1417"/>
      <c r="P51" s="1509"/>
      <c r="Q51" s="1523"/>
      <c r="R51" s="1509"/>
      <c r="S51" s="1523"/>
      <c r="T51" s="1509"/>
      <c r="U51" s="1523"/>
      <c r="V51" s="1509"/>
      <c r="W51" s="1523"/>
      <c r="X51" s="1509"/>
      <c r="Y51" s="1523"/>
      <c r="Z51" s="1510"/>
      <c r="AA51" s="1523"/>
      <c r="AB51" s="1510"/>
      <c r="AC51" s="1523"/>
      <c r="AD51" s="1510"/>
      <c r="AE51" s="1523"/>
      <c r="AF51" s="1523"/>
      <c r="AG51" s="1523"/>
      <c r="AH51" s="1510"/>
      <c r="AI51" s="1523"/>
      <c r="AJ51" s="1523"/>
      <c r="AK51" s="1523"/>
      <c r="AL51" s="1523"/>
      <c r="AM51" s="1523"/>
      <c r="AN51" s="1523"/>
      <c r="AO51" s="1523"/>
      <c r="AP51" s="1523"/>
      <c r="AQ51" s="1523"/>
      <c r="AR51" s="1523"/>
      <c r="AS51" s="1523"/>
      <c r="AT51" s="1523"/>
      <c r="AU51" s="1517"/>
      <c r="AV51" s="1504"/>
      <c r="AW51" s="1504"/>
      <c r="AX51" s="1504"/>
      <c r="AY51" s="1504"/>
      <c r="AZ51" s="1504"/>
      <c r="BA51" s="1504"/>
      <c r="BB51" s="1504"/>
      <c r="BC51" s="1504"/>
      <c r="BD51" s="1504"/>
      <c r="BE51" s="1504"/>
      <c r="BF51" s="1504"/>
      <c r="BG51" s="1504"/>
      <c r="BH51" s="1504"/>
      <c r="BI51" s="1504"/>
      <c r="BJ51" s="1504"/>
      <c r="BK51" s="1504"/>
      <c r="BL51" s="1504"/>
      <c r="BM51" s="1504"/>
      <c r="BN51" s="1504"/>
      <c r="BO51" s="1504"/>
      <c r="BP51" s="1504"/>
      <c r="BQ51" s="1504"/>
      <c r="BR51" s="1504"/>
      <c r="BS51" s="1504"/>
      <c r="BT51" s="1504"/>
      <c r="BU51" s="1504"/>
      <c r="BV51" s="1504"/>
      <c r="BW51" s="1504"/>
      <c r="BX51" s="1504"/>
      <c r="BY51" s="1504"/>
      <c r="BZ51" s="1504"/>
      <c r="CA51" s="1504"/>
      <c r="CB51" s="1504"/>
      <c r="CC51" s="1504"/>
      <c r="CD51" s="1504"/>
      <c r="CE51" s="1504"/>
      <c r="CF51" s="1504"/>
      <c r="CG51" s="1504"/>
      <c r="CH51" s="1504"/>
      <c r="CI51" s="1504"/>
      <c r="CJ51" s="1504"/>
      <c r="CK51" s="1504"/>
      <c r="CL51" s="1504"/>
      <c r="CM51" s="1504"/>
      <c r="CN51" s="1504"/>
      <c r="CQ51" s="1504"/>
      <c r="CR51" s="1504"/>
      <c r="CS51" s="1504"/>
      <c r="CT51" s="1504"/>
      <c r="CU51" s="1504"/>
      <c r="CV51" s="1504"/>
      <c r="CW51" s="1504"/>
      <c r="CX51" s="1504"/>
      <c r="CY51" s="1504"/>
      <c r="CZ51" s="1504"/>
      <c r="DA51" s="1504"/>
      <c r="DB51" s="1504"/>
      <c r="DC51" s="1504"/>
      <c r="DD51" s="1504"/>
      <c r="DE51" s="1504"/>
      <c r="DF51" s="1504"/>
      <c r="DG51" s="1504"/>
      <c r="DH51" s="1504"/>
      <c r="DI51" s="1504"/>
      <c r="DJ51" s="1504"/>
      <c r="DK51" s="1504"/>
      <c r="DL51" s="1504"/>
      <c r="DM51" s="1504"/>
      <c r="DN51" s="1504"/>
      <c r="DO51" s="1504"/>
      <c r="DP51" s="1504"/>
      <c r="DQ51" s="1504"/>
      <c r="DR51" s="1504"/>
      <c r="DS51" s="1504"/>
      <c r="DT51" s="1504"/>
      <c r="DU51" s="1504"/>
      <c r="DV51" s="1504"/>
      <c r="DW51" s="1504"/>
      <c r="DX51" s="1504"/>
      <c r="DY51" s="1504"/>
      <c r="DZ51" s="1504"/>
      <c r="EA51" s="1504"/>
      <c r="EB51" s="1504"/>
      <c r="EC51" s="1504"/>
      <c r="ED51" s="1504"/>
      <c r="EE51" s="1504"/>
      <c r="EF51" s="1504"/>
      <c r="EG51" s="1504"/>
      <c r="EH51" s="1504"/>
      <c r="EI51" s="1504"/>
      <c r="EK51" s="1403"/>
      <c r="EN51" s="330"/>
      <c r="EU51" s="1500"/>
      <c r="FF51" s="1448"/>
      <c r="FG51" s="1448"/>
      <c r="FH51" s="1448"/>
      <c r="FI51" s="1448"/>
      <c r="FJ51" s="1448"/>
      <c r="FK51" s="1448"/>
      <c r="FL51" s="1441">
        <f t="shared" si="272"/>
        <v>0</v>
      </c>
    </row>
    <row r="52" spans="1:260" s="1513" customFormat="1" ht="15" customHeight="1" outlineLevel="1">
      <c r="A52" s="1511"/>
      <c r="B52" s="1416" t="s">
        <v>76</v>
      </c>
      <c r="C52" s="1403"/>
      <c r="D52" s="1414"/>
      <c r="E52" s="1512"/>
      <c r="I52" s="1514"/>
      <c r="J52" s="1514"/>
      <c r="K52" s="1514"/>
      <c r="L52" s="1514"/>
      <c r="M52" s="1514"/>
      <c r="N52" s="1514"/>
      <c r="O52" s="1417"/>
      <c r="P52" s="1515"/>
      <c r="R52" s="1515"/>
      <c r="T52" s="1515"/>
      <c r="V52" s="1515"/>
      <c r="X52" s="1515"/>
      <c r="Z52" s="1516"/>
      <c r="AB52" s="1516"/>
      <c r="AD52" s="1516"/>
      <c r="AH52" s="1516"/>
      <c r="AU52" s="1517"/>
      <c r="CO52" s="1414"/>
      <c r="CP52" s="1414"/>
      <c r="EJ52" s="1414"/>
      <c r="EK52" s="1403"/>
      <c r="EL52" s="1414"/>
      <c r="EM52" s="1414"/>
      <c r="EN52" s="330"/>
      <c r="EO52" s="1414"/>
      <c r="EP52" s="1414"/>
      <c r="EQ52" s="1414"/>
      <c r="ER52" s="1414"/>
      <c r="ES52" s="1414"/>
      <c r="ET52" s="1414"/>
      <c r="EU52" s="1500"/>
      <c r="EV52" s="1414"/>
      <c r="EW52" s="1414"/>
      <c r="EX52" s="1414"/>
      <c r="EY52" s="1414"/>
      <c r="EZ52" s="1414"/>
      <c r="FA52" s="1414"/>
      <c r="FB52" s="1414"/>
      <c r="FC52" s="1414"/>
      <c r="FD52" s="1414"/>
      <c r="FE52" s="1414"/>
      <c r="FF52" s="1448"/>
      <c r="FG52" s="1448"/>
      <c r="FH52" s="1448"/>
      <c r="FI52" s="1448"/>
      <c r="FJ52" s="1448"/>
      <c r="FK52" s="1448"/>
      <c r="FL52" s="1441">
        <f t="shared" si="272"/>
        <v>0</v>
      </c>
      <c r="FM52" s="1414"/>
      <c r="FN52" s="1414"/>
      <c r="FO52" s="1414"/>
      <c r="FP52" s="1414"/>
    </row>
    <row r="53" spans="1:260" s="331" customFormat="1" ht="15" customHeight="1" outlineLevel="1">
      <c r="A53" s="415">
        <v>32</v>
      </c>
      <c r="B53" s="311" t="s">
        <v>734</v>
      </c>
      <c r="C53" s="312" t="s">
        <v>603</v>
      </c>
      <c r="D53" s="313" t="s">
        <v>10</v>
      </c>
      <c r="E53" s="314">
        <v>5250</v>
      </c>
      <c r="F53" s="314">
        <f>2750</f>
        <v>2750</v>
      </c>
      <c r="G53" s="314">
        <f t="shared" ref="G53:G58" si="947">+E53+F53</f>
        <v>8000</v>
      </c>
      <c r="H53" s="315">
        <v>30</v>
      </c>
      <c r="I53" s="356">
        <v>0.35</v>
      </c>
      <c r="J53" s="318">
        <v>0.6</v>
      </c>
      <c r="K53" s="318">
        <v>0</v>
      </c>
      <c r="L53" s="1972">
        <v>0.05</v>
      </c>
      <c r="M53" s="318">
        <v>0</v>
      </c>
      <c r="N53" s="318">
        <f t="shared" ref="N53" si="948">SUM(I53:M53)</f>
        <v>1</v>
      </c>
      <c r="O53" s="1122"/>
      <c r="P53" s="357"/>
      <c r="Q53" s="315">
        <f t="shared" ref="Q53:Q58" si="949">($E53/30/8*1.5)*P53</f>
        <v>0</v>
      </c>
      <c r="R53" s="321">
        <v>0</v>
      </c>
      <c r="S53" s="315">
        <f t="shared" ref="S53:S58" si="950">($E53/30/8*2)*R53</f>
        <v>0</v>
      </c>
      <c r="T53" s="321"/>
      <c r="U53" s="358">
        <f t="shared" ref="U53" si="951">($E53/30/8*1.5)*T53</f>
        <v>0</v>
      </c>
      <c r="V53" s="321"/>
      <c r="W53" s="315">
        <f t="shared" ref="W53:W58" si="952">($E53/30/8*2)*V53</f>
        <v>0</v>
      </c>
      <c r="X53" s="321"/>
      <c r="Y53" s="315">
        <f t="shared" ref="Y53:Y58" si="953">(($E53/30/8)*1.5)*X53</f>
        <v>0</v>
      </c>
      <c r="Z53" s="322"/>
      <c r="AA53" s="315">
        <f t="shared" ref="AA53:AA58" si="954">(($E53/30/8)*2)*Z53</f>
        <v>0</v>
      </c>
      <c r="AB53" s="322"/>
      <c r="AC53" s="315">
        <f t="shared" ref="AC53:AC58" si="955">(($E53/30/8)*1.5)*AB53</f>
        <v>0</v>
      </c>
      <c r="AD53" s="322"/>
      <c r="AE53" s="315">
        <f t="shared" ref="AE53:AE58" si="956">(($E53/30/8)*2)*AD53</f>
        <v>0</v>
      </c>
      <c r="AF53" s="315"/>
      <c r="AG53" s="315">
        <f t="shared" ref="AG53:AG58" si="957">(($E53/30/8)*1.5)*AF53</f>
        <v>0</v>
      </c>
      <c r="AH53" s="322"/>
      <c r="AI53" s="315">
        <f t="shared" ref="AI53:AI58" si="958">(($E53/30/8)*2)*AH53</f>
        <v>0</v>
      </c>
      <c r="AJ53" s="314"/>
      <c r="AK53" s="314"/>
      <c r="AL53" s="314"/>
      <c r="AM53" s="314"/>
      <c r="AN53" s="314"/>
      <c r="AO53" s="314"/>
      <c r="AP53" s="314"/>
      <c r="AQ53" s="314"/>
      <c r="AR53" s="314"/>
      <c r="AS53" s="314"/>
      <c r="AT53" s="314"/>
      <c r="AU53" s="359"/>
      <c r="AV53" s="315">
        <f t="shared" ref="AV53" si="959">((E53/30)*H53)*$I53</f>
        <v>1837.4999999999998</v>
      </c>
      <c r="AW53" s="315">
        <f t="shared" ref="AW53:AW58" si="960">((F53/30)*H53)*$I53</f>
        <v>962.49999999999989</v>
      </c>
      <c r="AX53" s="315">
        <f t="shared" ref="AX53" si="961">P53</f>
        <v>0</v>
      </c>
      <c r="AY53" s="315">
        <f t="shared" ref="AY53" si="962">Q53</f>
        <v>0</v>
      </c>
      <c r="AZ53" s="315">
        <f t="shared" ref="AZ53" si="963">R53</f>
        <v>0</v>
      </c>
      <c r="BA53" s="315">
        <f t="shared" ref="BA53" si="964">S53</f>
        <v>0</v>
      </c>
      <c r="BB53" s="315">
        <f t="shared" ref="BB53" si="965">AJ53+AO53</f>
        <v>0</v>
      </c>
      <c r="BC53" s="315">
        <f t="shared" ref="BC53" si="966">(AV53+AY53+BA53)*0.1267</f>
        <v>232.81124999999997</v>
      </c>
      <c r="BD53" s="315">
        <f t="shared" ref="BD53" si="967">SUM(AV53:BC53)-AX53-AZ53</f>
        <v>3032.8112499999997</v>
      </c>
      <c r="BE53" s="315">
        <f t="shared" ref="BE53:BE58" si="968">(($E53/30)*$H53)*$J53</f>
        <v>3150</v>
      </c>
      <c r="BF53" s="315">
        <f>(($F53/30)*$H53)*$J53</f>
        <v>1650</v>
      </c>
      <c r="BG53" s="315">
        <f t="shared" ref="BG53" si="969">T53</f>
        <v>0</v>
      </c>
      <c r="BH53" s="315">
        <f t="shared" ref="BH53" si="970">U53</f>
        <v>0</v>
      </c>
      <c r="BI53" s="315">
        <f t="shared" ref="BI53" si="971">V53</f>
        <v>0</v>
      </c>
      <c r="BJ53" s="315">
        <f t="shared" ref="BJ53" si="972">W53</f>
        <v>0</v>
      </c>
      <c r="BK53" s="315">
        <f t="shared" ref="BK53" si="973">AK53+AP53</f>
        <v>0</v>
      </c>
      <c r="BL53" s="315">
        <f t="shared" ref="BL53" si="974">(+BE53+BH53+BJ53+BK53)*0.1267</f>
        <v>399.10500000000002</v>
      </c>
      <c r="BM53" s="314">
        <f t="shared" ref="BM53" si="975">SUM(BE53:BL53)-BG53-BI53</f>
        <v>5199.1049999999996</v>
      </c>
      <c r="BN53" s="315">
        <f t="shared" ref="BN53:BN58" si="976">(($E53/30)*$H53)*$K53</f>
        <v>0</v>
      </c>
      <c r="BO53" s="315">
        <f>(($F53/30)*$H53)*$K53</f>
        <v>0</v>
      </c>
      <c r="BP53" s="315">
        <f t="shared" ref="BP53" si="977">X53</f>
        <v>0</v>
      </c>
      <c r="BQ53" s="315">
        <f t="shared" ref="BQ53" si="978">Y53</f>
        <v>0</v>
      </c>
      <c r="BR53" s="315">
        <f t="shared" ref="BR53" si="979">Z53</f>
        <v>0</v>
      </c>
      <c r="BS53" s="315">
        <f t="shared" ref="BS53" si="980">AA53</f>
        <v>0</v>
      </c>
      <c r="BT53" s="315">
        <f t="shared" ref="BT53" si="981">AL53+AQ53</f>
        <v>0</v>
      </c>
      <c r="BU53" s="315">
        <f t="shared" ref="BU53" si="982">(BN53+BQ53+BS53)*0.1267</f>
        <v>0</v>
      </c>
      <c r="BV53" s="315">
        <f t="shared" ref="BV53:BV58" si="983">SUM(BN53:BU53)-BP53-BR53</f>
        <v>0</v>
      </c>
      <c r="BW53" s="360">
        <f t="shared" ref="BW53:BW58" si="984">(($E53/30)*$H53)*$L53</f>
        <v>262.5</v>
      </c>
      <c r="BX53" s="361">
        <f t="shared" ref="BX53:BX58" si="985">(($F53/30)*$H53)*$L53</f>
        <v>137.5</v>
      </c>
      <c r="BY53" s="361"/>
      <c r="BZ53" s="361">
        <f t="shared" ref="BZ53" si="986">AC53</f>
        <v>0</v>
      </c>
      <c r="CA53" s="361"/>
      <c r="CB53" s="361">
        <f>AE53</f>
        <v>0</v>
      </c>
      <c r="CC53" s="361"/>
      <c r="CD53" s="361">
        <f t="shared" ref="CD53:CD58" si="987">(BW53+BZ53+CB53)*0.1267</f>
        <v>33.258749999999999</v>
      </c>
      <c r="CE53" s="361">
        <f>SUM(BW53:CD53)</f>
        <v>433.25875000000002</v>
      </c>
      <c r="CF53" s="361">
        <f t="shared" ref="CF53" si="988">(($E53/30)*$H53)*M53</f>
        <v>0</v>
      </c>
      <c r="CG53" s="361">
        <f t="shared" ref="CG53:CG58" si="989">(($F53/30)*$H53)*$M53</f>
        <v>0</v>
      </c>
      <c r="CH53" s="361"/>
      <c r="CI53" s="361">
        <f t="shared" ref="CI53" si="990">AG53</f>
        <v>0</v>
      </c>
      <c r="CJ53" s="361"/>
      <c r="CK53" s="361">
        <f t="shared" ref="CK53" si="991">AI53</f>
        <v>0</v>
      </c>
      <c r="CL53" s="361"/>
      <c r="CM53" s="361">
        <f t="shared" ref="CM53" si="992">(CF53+CI53+CK53)*0.1267</f>
        <v>0</v>
      </c>
      <c r="CN53" s="362"/>
      <c r="CO53" s="330"/>
      <c r="CP53" s="313" t="s">
        <v>10</v>
      </c>
      <c r="CQ53" s="315">
        <f>IF($CP53="PROQUIMA",$AV53+$BE53+$BN53+$BW53+$CF53,0)</f>
        <v>5250</v>
      </c>
      <c r="CR53" s="315">
        <f>IF($CP53="PROQUIMA",$AW53+$BF53+$BO53+$BX53+$CG53,0)</f>
        <v>2750</v>
      </c>
      <c r="CS53" s="315">
        <f t="shared" ref="CS53:CS58" si="993">IF($CP53="PROQUIMA",$AX53+$BG53+$BP53+$BY53+$CH53,0)</f>
        <v>0</v>
      </c>
      <c r="CT53" s="315">
        <f t="shared" ref="CT53:CT58" si="994">IF($CP53="PROQUIMA",$AY53+$BH53+$BQ53+$BZ53+$CI53,0)</f>
        <v>0</v>
      </c>
      <c r="CU53" s="315">
        <f t="shared" ref="CU53:CU58" si="995">IF($CP53="PROQUIMA",$AZ53+$BI53+$BR53+$CA53+$CJ53,0)</f>
        <v>0</v>
      </c>
      <c r="CV53" s="315">
        <f t="shared" ref="CV53:CV58" si="996">IF($CP53="PROQUIMA",$BA53+$BJ53+$BS53+$CB53+$CK53,0)</f>
        <v>0</v>
      </c>
      <c r="CW53" s="315">
        <f t="shared" ref="CW53:CW58" si="997">IF($CP53="PROQUIMA",$BB53+$BK53+$BT53+$CC53+$CL53,0)</f>
        <v>0</v>
      </c>
      <c r="CX53" s="315">
        <f t="shared" ref="CX53" si="998">IF($CP53="PROQUIMA",$BC53+$BL53+$BU53+$CD53+CM53,0)</f>
        <v>665.17499999999995</v>
      </c>
      <c r="CY53" s="315">
        <f t="shared" ref="CY53" si="999">SUM(CQ53:CX53)-CS53-CU53</f>
        <v>8665.1749999999993</v>
      </c>
      <c r="CZ53" s="315">
        <f t="shared" ref="CZ53:CZ58" si="1000">IF($CP53="UNHESA",$AV53+$BE53+$BN53+$BW53+$CF53,0)</f>
        <v>0</v>
      </c>
      <c r="DA53" s="315">
        <f t="shared" ref="DA53:DA58" si="1001">IF($CP53="UNHESA",$AW53+$BF53+$BO53+$BX53+$CG53,0)</f>
        <v>0</v>
      </c>
      <c r="DB53" s="315">
        <f t="shared" ref="DB53:DB58" si="1002">IF($CP53="UNHESA",$AX53+$BG53+$BP53+$BY53+$CH53,0)</f>
        <v>0</v>
      </c>
      <c r="DC53" s="315">
        <f t="shared" ref="DC53:DC58" si="1003">IF($CP53="UNHESA",$AY53+$BH53+$BQ53+$BZ53+$CI53,0)</f>
        <v>0</v>
      </c>
      <c r="DD53" s="315">
        <f t="shared" ref="DD53:DD58" si="1004">IF($CP53="UNHESA",$AZ53+$BI53+$BR53+$CA53+$CJ53,0)</f>
        <v>0</v>
      </c>
      <c r="DE53" s="315">
        <f t="shared" ref="DE53:DE58" si="1005">IF($CP53="UNHESA",$BA53+$BJ53+$BS53+$CB53+$CK53,0)</f>
        <v>0</v>
      </c>
      <c r="DF53" s="315">
        <f t="shared" ref="DF53:DF58" si="1006">IF($CP53="UNHESA",$BB53+$BK53+$BT53+$CC53+$CL53,0)</f>
        <v>0</v>
      </c>
      <c r="DG53" s="315">
        <f t="shared" ref="DG53:DG58" si="1007">IF($CP53="UNHESA",$BC53+$BL53+$BU53+$CD53+$CM53,0)</f>
        <v>0</v>
      </c>
      <c r="DH53" s="315">
        <f t="shared" ref="DH53" si="1008">SUM(CZ53:DG53)-DB53-DD53</f>
        <v>0</v>
      </c>
      <c r="DI53" s="315">
        <f t="shared" ref="DI53:DI58" si="1009">IF($CP53="UNHESA LIQUIDOS",$AV53+$BE53+$BN53+$BW53+$CF53,0)</f>
        <v>0</v>
      </c>
      <c r="DJ53" s="315">
        <f t="shared" ref="DJ53:DJ58" si="1010">IF($CP53="CALIDUL",$AW53+$BF53+$BO53+$BX53+$CG53,0)</f>
        <v>0</v>
      </c>
      <c r="DK53" s="315">
        <f t="shared" ref="DK53:DK58" si="1011">IF($CP53="CALIDUL",$AX53+$BG53+$BP53+$BY53+$CH53,0)</f>
        <v>0</v>
      </c>
      <c r="DL53" s="315">
        <f t="shared" ref="DL53:DL58" si="1012">IF($CP53="CALIDUL",$AY53+$BH53+$BQ53+$BZ53+$CI53,0)</f>
        <v>0</v>
      </c>
      <c r="DM53" s="315">
        <f t="shared" ref="DM53:DM58" si="1013">IF($CP53="CALIDUL",$AZ53+$BI53+$BR53+$CA53+$CJ53,0)</f>
        <v>0</v>
      </c>
      <c r="DN53" s="315">
        <f t="shared" ref="DN53:DN58" si="1014">IF($CP53="CALIDUL",$BA53+$BJ53+$BS53+$CB53+$CK53,0)</f>
        <v>0</v>
      </c>
      <c r="DO53" s="315">
        <f t="shared" ref="DO53:DO58" si="1015">IF($CP53="CALIDUL",$BB53+$BK53+$BT53+$CC53+$CL53,0)</f>
        <v>0</v>
      </c>
      <c r="DP53" s="315">
        <f t="shared" ref="DP53:DP58" si="1016">IF($CP53="CALIDUL",$BC53+$BL53+$BU53+$CD53+$CM53,0)</f>
        <v>0</v>
      </c>
      <c r="DQ53" s="315">
        <f t="shared" ref="DQ53" si="1017">SUM(DI53:DP53)-DK53-DM53</f>
        <v>0</v>
      </c>
      <c r="DR53" s="1981">
        <f>IF($CP53="ECONACIONAL",$AV53+$BE53+$BN53+$BW53+$CF53,0)</f>
        <v>0</v>
      </c>
      <c r="DS53" s="1982">
        <f>IF($CP53="ECONACIONAL",$AW53+$BF53+$BO53+$BX53+$CG53,0)</f>
        <v>0</v>
      </c>
      <c r="DT53" s="1982">
        <f>IF($CP53="ECONACIONAL",$AX53+$BG53+$BP53+$BY53+$CH53,0)</f>
        <v>0</v>
      </c>
      <c r="DU53" s="1982">
        <f>IF($CP53="ECONACIONAL",$AY53+$BH53+$BQ53+$BZ53+$CI53,0)</f>
        <v>0</v>
      </c>
      <c r="DV53" s="1982">
        <f>IF($CP53="ECONACIONAL",$AZ53+$BI53+$BR53+$CA53+$CJ53,0)</f>
        <v>0</v>
      </c>
      <c r="DW53" s="1982">
        <f>IF($CP53="ECONACIONAL",$BA53+$BJ53+$BS53+$CB53+$CK53,0)</f>
        <v>0</v>
      </c>
      <c r="DX53" s="1982">
        <f>IF($CP53="ECONACIONAL",$BB53+$BK53+$BT53+$CC53+$CL53,0)</f>
        <v>0</v>
      </c>
      <c r="DY53" s="1982">
        <f>IF($CP53="ECONACIONAL",$BC53+$BL53+$BU53+$CD53+$CM53,0)</f>
        <v>0</v>
      </c>
      <c r="DZ53" s="1982">
        <v>0</v>
      </c>
      <c r="EA53" s="361"/>
      <c r="EB53" s="361"/>
      <c r="EC53" s="361"/>
      <c r="ED53" s="361"/>
      <c r="EE53" s="361"/>
      <c r="EF53" s="361"/>
      <c r="EG53" s="361"/>
      <c r="EH53" s="361"/>
      <c r="EI53" s="362">
        <f t="shared" ref="EI53:EI58" si="1018">SUM(EA53:EH53)-EC53-EE53</f>
        <v>0</v>
      </c>
      <c r="EJ53" s="330"/>
      <c r="EK53" s="1968">
        <v>187.32</v>
      </c>
      <c r="EL53" s="313"/>
      <c r="EM53" s="313"/>
      <c r="EN53" s="313"/>
      <c r="EO53" s="313"/>
      <c r="EP53" s="313">
        <v>75</v>
      </c>
      <c r="EQ53" s="1968">
        <f>240</f>
        <v>240</v>
      </c>
      <c r="ER53" s="1969"/>
      <c r="ES53" s="313"/>
      <c r="ET53" s="313">
        <f t="shared" ref="ET53:ET58" si="1019">+EO53+EP53+EQ53</f>
        <v>315</v>
      </c>
      <c r="EU53" s="1501"/>
      <c r="EV53" s="321">
        <f t="shared" ref="EV53" si="1020">IF($H53&lt;=15,EK53/2,EK53)</f>
        <v>187.32</v>
      </c>
      <c r="EW53" s="321">
        <f t="shared" ref="EW53" si="1021">IF($H53&lt;=15,EL53/2,EL53)</f>
        <v>0</v>
      </c>
      <c r="EX53" s="321">
        <f t="shared" ref="EX53" si="1022">IF($H53&lt;=15,EM53/2,EM53)</f>
        <v>0</v>
      </c>
      <c r="EY53" s="321">
        <f t="shared" ref="EY53" si="1023">IF($H53&lt;=15,EN53/2,EN53)</f>
        <v>0</v>
      </c>
      <c r="EZ53" s="321">
        <f t="shared" ref="EZ53" si="1024">IF($H53&lt;=15,EO53/2,EO53)</f>
        <v>0</v>
      </c>
      <c r="FA53" s="321">
        <f t="shared" ref="FA53" si="1025">IF($H53&lt;=15,EP53/2,EP53)</f>
        <v>75</v>
      </c>
      <c r="FB53" s="321">
        <f>IF($H53&lt;=15,EQ53/2,EQ53)</f>
        <v>240</v>
      </c>
      <c r="FC53" s="321">
        <f t="shared" ref="FC53" si="1026">IF($H53&lt;=15,ER53/2,ER53)</f>
        <v>0</v>
      </c>
      <c r="FD53" s="321">
        <f>IF($H53&lt;=15,ES53/2,ES53)</f>
        <v>0</v>
      </c>
      <c r="FE53" s="321">
        <f>IF($H53&lt;=15,ET53/2,ET53)</f>
        <v>315</v>
      </c>
      <c r="FF53" s="332"/>
      <c r="FG53" s="332"/>
      <c r="FH53" s="332"/>
      <c r="FI53" s="332"/>
      <c r="FJ53" s="332"/>
      <c r="FK53" s="332"/>
    </row>
    <row r="54" spans="1:260" s="331" customFormat="1" ht="15" customHeight="1" outlineLevel="1">
      <c r="A54" s="415">
        <f>+A53+1</f>
        <v>33</v>
      </c>
      <c r="B54" s="311" t="s">
        <v>747</v>
      </c>
      <c r="C54" s="312" t="s">
        <v>748</v>
      </c>
      <c r="D54" s="313" t="s">
        <v>11</v>
      </c>
      <c r="E54" s="314">
        <f>4250+250</f>
        <v>4500</v>
      </c>
      <c r="F54" s="314">
        <v>500</v>
      </c>
      <c r="G54" s="1970">
        <f t="shared" si="947"/>
        <v>5000</v>
      </c>
      <c r="H54" s="315">
        <v>30</v>
      </c>
      <c r="I54" s="356">
        <v>0.4</v>
      </c>
      <c r="J54" s="318">
        <v>0.45</v>
      </c>
      <c r="K54" s="318">
        <v>0</v>
      </c>
      <c r="L54" s="318">
        <v>0.15</v>
      </c>
      <c r="M54" s="318">
        <v>0</v>
      </c>
      <c r="N54" s="318">
        <f t="shared" ref="N54" si="1027">SUM(I54:M54)</f>
        <v>1</v>
      </c>
      <c r="O54" s="1122"/>
      <c r="P54" s="357"/>
      <c r="Q54" s="315">
        <f t="shared" ref="Q54" si="1028">($E54/30/8*1.5)*P54</f>
        <v>0</v>
      </c>
      <c r="R54" s="404"/>
      <c r="S54" s="315">
        <f t="shared" ref="S54" si="1029">($E54/30/8*2)*R54</f>
        <v>0</v>
      </c>
      <c r="T54" s="321">
        <v>8</v>
      </c>
      <c r="U54" s="358">
        <f t="shared" ref="U54" si="1030">($E54/30/8*1.5)*T54</f>
        <v>225</v>
      </c>
      <c r="V54" s="321"/>
      <c r="W54" s="315">
        <f t="shared" ref="W54" si="1031">($E54/30/8*2)*V54</f>
        <v>0</v>
      </c>
      <c r="X54" s="321"/>
      <c r="Y54" s="315">
        <f t="shared" ref="Y54" si="1032">(($E54/30/8)*1.5)*X54</f>
        <v>0</v>
      </c>
      <c r="Z54" s="322"/>
      <c r="AA54" s="315">
        <f t="shared" ref="AA54" si="1033">(($E54/30/8)*2)*Z54</f>
        <v>0</v>
      </c>
      <c r="AB54" s="322"/>
      <c r="AC54" s="315">
        <f t="shared" ref="AC54" si="1034">(($E54/30/8)*1.5)*AB54</f>
        <v>0</v>
      </c>
      <c r="AD54" s="322"/>
      <c r="AE54" s="315">
        <f t="shared" ref="AE54" si="1035">(($E54/30/8)*2)*AD54</f>
        <v>0</v>
      </c>
      <c r="AF54" s="315"/>
      <c r="AG54" s="315">
        <f t="shared" ref="AG54" si="1036">(($E54/30/8)*1.5)*AF54</f>
        <v>0</v>
      </c>
      <c r="AH54" s="322"/>
      <c r="AI54" s="315">
        <f t="shared" ref="AI54" si="1037">(($E54/30/8)*2)*AH54</f>
        <v>0</v>
      </c>
      <c r="AJ54" s="314"/>
      <c r="AK54" s="314"/>
      <c r="AL54" s="314"/>
      <c r="AM54" s="314"/>
      <c r="AN54" s="314"/>
      <c r="AO54" s="314"/>
      <c r="AP54" s="314"/>
      <c r="AQ54" s="314"/>
      <c r="AR54" s="314"/>
      <c r="AS54" s="314"/>
      <c r="AT54" s="314"/>
      <c r="AU54" s="359"/>
      <c r="AV54" s="315">
        <f t="shared" ref="AV54" si="1038">((E54/30)*H54)*$I54</f>
        <v>1800</v>
      </c>
      <c r="AW54" s="1426">
        <f t="shared" si="960"/>
        <v>200.00000000000003</v>
      </c>
      <c r="AX54" s="315">
        <f t="shared" ref="AX54" si="1039">P54</f>
        <v>0</v>
      </c>
      <c r="AY54" s="315">
        <f t="shared" ref="AY54" si="1040">Q54</f>
        <v>0</v>
      </c>
      <c r="AZ54" s="315">
        <f t="shared" ref="AZ54" si="1041">R54</f>
        <v>0</v>
      </c>
      <c r="BA54" s="315">
        <f t="shared" ref="BA54" si="1042">S54</f>
        <v>0</v>
      </c>
      <c r="BB54" s="315">
        <f t="shared" ref="BB54" si="1043">AJ54+AO54</f>
        <v>0</v>
      </c>
      <c r="BC54" s="315">
        <f t="shared" ref="BC54" si="1044">(AV54+AY54+BA54)*0.1267</f>
        <v>228.06</v>
      </c>
      <c r="BD54" s="315">
        <f t="shared" ref="BD54" si="1045">SUM(AV54:BC54)-AX54-AZ54</f>
        <v>2228.06</v>
      </c>
      <c r="BE54" s="315">
        <f t="shared" si="968"/>
        <v>2025</v>
      </c>
      <c r="BF54" s="315">
        <f>(($F54/30)*$H54)*$J54</f>
        <v>225.00000000000003</v>
      </c>
      <c r="BG54" s="315">
        <f t="shared" ref="BG54" si="1046">T54</f>
        <v>8</v>
      </c>
      <c r="BH54" s="315">
        <f t="shared" ref="BH54" si="1047">U54</f>
        <v>225</v>
      </c>
      <c r="BI54" s="315">
        <f t="shared" ref="BI54" si="1048">V54</f>
        <v>0</v>
      </c>
      <c r="BJ54" s="315">
        <f t="shared" ref="BJ54" si="1049">W54</f>
        <v>0</v>
      </c>
      <c r="BK54" s="315">
        <f>AK54+AP54</f>
        <v>0</v>
      </c>
      <c r="BL54" s="315">
        <f>(+BE54+BH54+BJ54+BK54)*0.1267</f>
        <v>285.07499999999999</v>
      </c>
      <c r="BM54" s="314">
        <f>SUM(BE54:BL54)-BG54-BI54</f>
        <v>2760.0749999999998</v>
      </c>
      <c r="BN54" s="315">
        <f t="shared" si="976"/>
        <v>0</v>
      </c>
      <c r="BO54" s="315">
        <f t="shared" ref="BO54:BO58" si="1050">(($F54/30)*$H54)*$K54</f>
        <v>0</v>
      </c>
      <c r="BP54" s="315">
        <f t="shared" ref="BP54" si="1051">X54</f>
        <v>0</v>
      </c>
      <c r="BQ54" s="315">
        <f t="shared" ref="BQ54" si="1052">Y54</f>
        <v>0</v>
      </c>
      <c r="BR54" s="315">
        <f t="shared" ref="BR54" si="1053">Z54</f>
        <v>0</v>
      </c>
      <c r="BS54" s="315">
        <f t="shared" ref="BS54" si="1054">AA54</f>
        <v>0</v>
      </c>
      <c r="BT54" s="315">
        <f t="shared" ref="BT54" si="1055">AL54+AQ54</f>
        <v>0</v>
      </c>
      <c r="BU54" s="315">
        <f t="shared" ref="BU54" si="1056">(BN54+BQ54+BS54)*0.1267</f>
        <v>0</v>
      </c>
      <c r="BV54" s="315">
        <f t="shared" si="983"/>
        <v>0</v>
      </c>
      <c r="BW54" s="1981">
        <f t="shared" si="984"/>
        <v>675</v>
      </c>
      <c r="BX54" s="1982">
        <f t="shared" si="985"/>
        <v>75</v>
      </c>
      <c r="BY54" s="1982"/>
      <c r="BZ54" s="1982">
        <f t="shared" ref="BZ54:BZ58" si="1057">AC54</f>
        <v>0</v>
      </c>
      <c r="CA54" s="1982"/>
      <c r="CB54" s="1982">
        <f t="shared" ref="CB54:CB58" si="1058">AE54</f>
        <v>0</v>
      </c>
      <c r="CC54" s="1982"/>
      <c r="CD54" s="1982">
        <f t="shared" si="987"/>
        <v>85.522500000000008</v>
      </c>
      <c r="CE54" s="1982">
        <f t="shared" ref="CE54:CE58" si="1059">SUM(BW54:CD54)</f>
        <v>835.52250000000004</v>
      </c>
      <c r="CF54" s="361">
        <f t="shared" ref="CF54" si="1060">(($E54/30)*$H54)*M54</f>
        <v>0</v>
      </c>
      <c r="CG54" s="361">
        <f t="shared" si="989"/>
        <v>0</v>
      </c>
      <c r="CH54" s="361"/>
      <c r="CI54" s="361">
        <f t="shared" ref="CI54" si="1061">AG54</f>
        <v>0</v>
      </c>
      <c r="CJ54" s="361"/>
      <c r="CK54" s="361">
        <f t="shared" ref="CK54" si="1062">AI54</f>
        <v>0</v>
      </c>
      <c r="CL54" s="361"/>
      <c r="CM54" s="361">
        <f t="shared" ref="CM54" si="1063">(CF54+CI54+CK54)*0.1267</f>
        <v>0</v>
      </c>
      <c r="CN54" s="362"/>
      <c r="CO54" s="330"/>
      <c r="CP54" s="313" t="s">
        <v>11</v>
      </c>
      <c r="CQ54" s="315">
        <f>IF($CP54="PROQUIMA",$AV54+$BE54+$BN54+$BW54+$CF54,0)</f>
        <v>0</v>
      </c>
      <c r="CR54" s="315">
        <f t="shared" ref="CR54:CR58" si="1064">IF($CP54="PROQUIMA",$AW54+$BF54+$BO54+$BX54+$CG54,0)</f>
        <v>0</v>
      </c>
      <c r="CS54" s="315">
        <f t="shared" si="993"/>
        <v>0</v>
      </c>
      <c r="CT54" s="315">
        <f t="shared" si="994"/>
        <v>0</v>
      </c>
      <c r="CU54" s="315">
        <f t="shared" si="995"/>
        <v>0</v>
      </c>
      <c r="CV54" s="315">
        <f t="shared" si="996"/>
        <v>0</v>
      </c>
      <c r="CW54" s="315">
        <f t="shared" si="997"/>
        <v>0</v>
      </c>
      <c r="CX54" s="315">
        <f t="shared" ref="CX54" si="1065">IF($CP54="PROQUIMA",$BC54+$BL54+$BU54+$CD54+CM54,0)</f>
        <v>0</v>
      </c>
      <c r="CY54" s="315">
        <f t="shared" ref="CY54" si="1066">SUM(CQ54:CX54)-CS54-CU54</f>
        <v>0</v>
      </c>
      <c r="CZ54" s="315">
        <f>IF($CP54="UNHESA",$AV54+$BE54+$BN54+$BW54+$CF54,0)</f>
        <v>4500</v>
      </c>
      <c r="DA54" s="315">
        <f>IF($CP54="UNHESA",$AW54+$BF54+$BO54+$BX54+$CG54,0)</f>
        <v>500.00000000000006</v>
      </c>
      <c r="DB54" s="315">
        <f t="shared" si="1002"/>
        <v>8</v>
      </c>
      <c r="DC54" s="315">
        <f t="shared" si="1003"/>
        <v>225</v>
      </c>
      <c r="DD54" s="315">
        <f t="shared" si="1004"/>
        <v>0</v>
      </c>
      <c r="DE54" s="315">
        <f t="shared" si="1005"/>
        <v>0</v>
      </c>
      <c r="DF54" s="315">
        <f t="shared" si="1006"/>
        <v>0</v>
      </c>
      <c r="DG54" s="315">
        <f t="shared" si="1007"/>
        <v>598.65750000000003</v>
      </c>
      <c r="DH54" s="315">
        <f t="shared" ref="DH54" si="1067">SUM(CZ54:DG54)-DB54-DD54</f>
        <v>5823.6575000000003</v>
      </c>
      <c r="DI54" s="315">
        <f t="shared" si="1009"/>
        <v>0</v>
      </c>
      <c r="DJ54" s="315">
        <f t="shared" si="1010"/>
        <v>0</v>
      </c>
      <c r="DK54" s="315">
        <f t="shared" si="1011"/>
        <v>0</v>
      </c>
      <c r="DL54" s="315">
        <f t="shared" si="1012"/>
        <v>0</v>
      </c>
      <c r="DM54" s="315">
        <f t="shared" si="1013"/>
        <v>0</v>
      </c>
      <c r="DN54" s="315">
        <f t="shared" si="1014"/>
        <v>0</v>
      </c>
      <c r="DO54" s="315">
        <f t="shared" si="1015"/>
        <v>0</v>
      </c>
      <c r="DP54" s="315">
        <f t="shared" si="1016"/>
        <v>0</v>
      </c>
      <c r="DQ54" s="315">
        <f t="shared" ref="DQ54" si="1068">SUM(DI54:DP54)-DK54-DM54</f>
        <v>0</v>
      </c>
      <c r="DR54" s="1981">
        <v>0</v>
      </c>
      <c r="DS54" s="1982">
        <v>0</v>
      </c>
      <c r="DT54" s="1982">
        <v>0</v>
      </c>
      <c r="DU54" s="1982">
        <v>0</v>
      </c>
      <c r="DV54" s="1982">
        <v>0</v>
      </c>
      <c r="DW54" s="1982">
        <v>0</v>
      </c>
      <c r="DX54" s="1982">
        <v>0</v>
      </c>
      <c r="DY54" s="1982">
        <v>0</v>
      </c>
      <c r="DZ54" s="1982">
        <v>0</v>
      </c>
      <c r="EA54" s="361"/>
      <c r="EB54" s="361"/>
      <c r="EC54" s="361"/>
      <c r="ED54" s="361"/>
      <c r="EE54" s="361"/>
      <c r="EF54" s="361"/>
      <c r="EG54" s="361"/>
      <c r="EH54" s="361"/>
      <c r="EI54" s="362">
        <f t="shared" ref="EI54" si="1069">SUM(EA54:EH54)-EC54-EE54</f>
        <v>0</v>
      </c>
      <c r="EJ54" s="330"/>
      <c r="EK54" s="312">
        <v>39.130000000000003</v>
      </c>
      <c r="EL54" s="313"/>
      <c r="EM54" s="313"/>
      <c r="EN54" s="1969">
        <f>82.5+108.5</f>
        <v>191</v>
      </c>
      <c r="EO54" s="313"/>
      <c r="EP54" s="313">
        <v>50</v>
      </c>
      <c r="EQ54" s="1969"/>
      <c r="ER54" s="313"/>
      <c r="ES54" s="313"/>
      <c r="ET54" s="313">
        <f>+EO54+EP54+EQ54</f>
        <v>50</v>
      </c>
      <c r="EU54" s="1501"/>
      <c r="EV54" s="321">
        <f t="shared" ref="EV54" si="1070">IF($H54&lt;=15,EK54/2,EK54)</f>
        <v>39.130000000000003</v>
      </c>
      <c r="EW54" s="321">
        <f t="shared" ref="EW54:FD54" si="1071">IF($H54&lt;=15,EL54/2,EL54)</f>
        <v>0</v>
      </c>
      <c r="EX54" s="321">
        <f t="shared" si="1071"/>
        <v>0</v>
      </c>
      <c r="EY54" s="321">
        <f t="shared" si="1071"/>
        <v>191</v>
      </c>
      <c r="EZ54" s="321">
        <f t="shared" si="1071"/>
        <v>0</v>
      </c>
      <c r="FA54" s="321">
        <f t="shared" si="1071"/>
        <v>50</v>
      </c>
      <c r="FB54" s="321">
        <f t="shared" si="1071"/>
        <v>0</v>
      </c>
      <c r="FC54" s="321">
        <f t="shared" si="1071"/>
        <v>0</v>
      </c>
      <c r="FD54" s="321">
        <f t="shared" si="1071"/>
        <v>0</v>
      </c>
      <c r="FE54" s="321">
        <f>IF($H54&lt;=15,ET54/2,ET54)</f>
        <v>50</v>
      </c>
      <c r="FF54" s="332"/>
      <c r="FG54" s="332"/>
      <c r="FH54" s="332"/>
      <c r="FI54" s="332"/>
      <c r="FJ54" s="332"/>
      <c r="FK54" s="332"/>
    </row>
    <row r="55" spans="1:260" s="331" customFormat="1" ht="15" customHeight="1" outlineLevel="1">
      <c r="A55" s="415">
        <f t="shared" ref="A55:A58" si="1072">+A54+1</f>
        <v>34</v>
      </c>
      <c r="B55" s="311" t="s">
        <v>809</v>
      </c>
      <c r="C55" s="312" t="s">
        <v>812</v>
      </c>
      <c r="D55" s="313" t="s">
        <v>11</v>
      </c>
      <c r="E55" s="314">
        <v>3166.38</v>
      </c>
      <c r="F55" s="314">
        <v>833.62</v>
      </c>
      <c r="G55" s="1970">
        <f t="shared" si="947"/>
        <v>4000</v>
      </c>
      <c r="H55" s="315">
        <v>30</v>
      </c>
      <c r="I55" s="356">
        <v>0</v>
      </c>
      <c r="J55" s="318">
        <v>1</v>
      </c>
      <c r="K55" s="318">
        <v>0</v>
      </c>
      <c r="L55" s="318">
        <v>0</v>
      </c>
      <c r="M55" s="318">
        <v>0</v>
      </c>
      <c r="N55" s="318">
        <f t="shared" ref="N55" si="1073">SUM(I55:M55)</f>
        <v>1</v>
      </c>
      <c r="O55" s="1122"/>
      <c r="P55" s="357"/>
      <c r="Q55" s="315">
        <f t="shared" ref="Q55" si="1074">($E55/30/8*1.5)*P55</f>
        <v>0</v>
      </c>
      <c r="R55" s="404"/>
      <c r="S55" s="315">
        <f t="shared" ref="S55" si="1075">($E55/30/8*2)*R55</f>
        <v>0</v>
      </c>
      <c r="T55" s="321">
        <v>10.5</v>
      </c>
      <c r="U55" s="358">
        <f t="shared" ref="U55" si="1076">($E55/30/8*1.5)*T55</f>
        <v>207.79368750000003</v>
      </c>
      <c r="V55" s="321"/>
      <c r="W55" s="315">
        <f t="shared" ref="W55" si="1077">($E55/30/8*2)*V55</f>
        <v>0</v>
      </c>
      <c r="X55" s="321"/>
      <c r="Y55" s="315">
        <f t="shared" ref="Y55" si="1078">(($E55/30/8)*1.5)*X55</f>
        <v>0</v>
      </c>
      <c r="Z55" s="322"/>
      <c r="AA55" s="315">
        <f t="shared" ref="AA55" si="1079">(($E55/30/8)*2)*Z55</f>
        <v>0</v>
      </c>
      <c r="AB55" s="322"/>
      <c r="AC55" s="315">
        <f t="shared" ref="AC55" si="1080">(($E55/30/8)*1.5)*AB55</f>
        <v>0</v>
      </c>
      <c r="AD55" s="322"/>
      <c r="AE55" s="315">
        <f t="shared" ref="AE55" si="1081">(($E55/30/8)*2)*AD55</f>
        <v>0</v>
      </c>
      <c r="AF55" s="315"/>
      <c r="AG55" s="315">
        <f t="shared" ref="AG55" si="1082">(($E55/30/8)*1.5)*AF55</f>
        <v>0</v>
      </c>
      <c r="AH55" s="322"/>
      <c r="AI55" s="315">
        <f t="shared" ref="AI55" si="1083">(($E55/30/8)*2)*AH55</f>
        <v>0</v>
      </c>
      <c r="AJ55" s="314"/>
      <c r="AK55" s="314"/>
      <c r="AL55" s="314"/>
      <c r="AM55" s="314"/>
      <c r="AN55" s="314"/>
      <c r="AO55" s="314"/>
      <c r="AP55" s="314"/>
      <c r="AQ55" s="314"/>
      <c r="AR55" s="314"/>
      <c r="AS55" s="314"/>
      <c r="AT55" s="314"/>
      <c r="AU55" s="359"/>
      <c r="AV55" s="315">
        <f t="shared" ref="AV55" si="1084">((E55/30)*H55)*$I55</f>
        <v>0</v>
      </c>
      <c r="AW55" s="1426">
        <f t="shared" si="960"/>
        <v>0</v>
      </c>
      <c r="AX55" s="315">
        <f t="shared" ref="AX55" si="1085">P55</f>
        <v>0</v>
      </c>
      <c r="AY55" s="315">
        <f t="shared" ref="AY55" si="1086">Q55</f>
        <v>0</v>
      </c>
      <c r="AZ55" s="315">
        <f t="shared" ref="AZ55" si="1087">R55</f>
        <v>0</v>
      </c>
      <c r="BA55" s="315">
        <f t="shared" ref="BA55" si="1088">S55</f>
        <v>0</v>
      </c>
      <c r="BB55" s="315">
        <f t="shared" ref="BB55" si="1089">AJ55+AO55</f>
        <v>0</v>
      </c>
      <c r="BC55" s="315">
        <f t="shared" ref="BC55" si="1090">(AV55+AY55+BA55)*0.1267</f>
        <v>0</v>
      </c>
      <c r="BD55" s="315">
        <f t="shared" ref="BD55" si="1091">SUM(AV55:BC55)-AX55-AZ55</f>
        <v>0</v>
      </c>
      <c r="BE55" s="315">
        <f t="shared" si="968"/>
        <v>3166.38</v>
      </c>
      <c r="BF55" s="315">
        <f>(($F55/30)*$H55)*$J55</f>
        <v>833.62</v>
      </c>
      <c r="BG55" s="315">
        <f t="shared" ref="BG55" si="1092">T55</f>
        <v>10.5</v>
      </c>
      <c r="BH55" s="315">
        <f t="shared" ref="BH55" si="1093">U55</f>
        <v>207.79368750000003</v>
      </c>
      <c r="BI55" s="315">
        <f t="shared" ref="BI55" si="1094">V55</f>
        <v>0</v>
      </c>
      <c r="BJ55" s="315">
        <f t="shared" ref="BJ55" si="1095">W55</f>
        <v>0</v>
      </c>
      <c r="BK55" s="315">
        <f>AK55+AP55</f>
        <v>0</v>
      </c>
      <c r="BL55" s="315">
        <f>(+BE55+BH55+BJ55+BK55)*0.1267</f>
        <v>427.50780620625005</v>
      </c>
      <c r="BM55" s="314">
        <f>SUM(BE55:BL55)-BG55-BI55</f>
        <v>4635.3014937062499</v>
      </c>
      <c r="BN55" s="315">
        <f t="shared" si="976"/>
        <v>0</v>
      </c>
      <c r="BO55" s="315">
        <f t="shared" si="1050"/>
        <v>0</v>
      </c>
      <c r="BP55" s="315">
        <f t="shared" ref="BP55" si="1096">X55</f>
        <v>0</v>
      </c>
      <c r="BQ55" s="315">
        <f t="shared" ref="BQ55" si="1097">Y55</f>
        <v>0</v>
      </c>
      <c r="BR55" s="315">
        <f t="shared" ref="BR55" si="1098">Z55</f>
        <v>0</v>
      </c>
      <c r="BS55" s="315">
        <f t="shared" ref="BS55" si="1099">AA55</f>
        <v>0</v>
      </c>
      <c r="BT55" s="315">
        <f t="shared" ref="BT55" si="1100">AL55+AQ55</f>
        <v>0</v>
      </c>
      <c r="BU55" s="315">
        <f t="shared" ref="BU55" si="1101">(BN55+BQ55+BS55)*0.1267</f>
        <v>0</v>
      </c>
      <c r="BV55" s="315">
        <f t="shared" si="983"/>
        <v>0</v>
      </c>
      <c r="BW55" s="1981">
        <f t="shared" si="984"/>
        <v>0</v>
      </c>
      <c r="BX55" s="1982">
        <f t="shared" si="985"/>
        <v>0</v>
      </c>
      <c r="BY55" s="1982"/>
      <c r="BZ55" s="1982">
        <f t="shared" si="1057"/>
        <v>0</v>
      </c>
      <c r="CA55" s="1982"/>
      <c r="CB55" s="1982">
        <f t="shared" si="1058"/>
        <v>0</v>
      </c>
      <c r="CC55" s="1982"/>
      <c r="CD55" s="1982">
        <f t="shared" si="987"/>
        <v>0</v>
      </c>
      <c r="CE55" s="1982">
        <f t="shared" si="1059"/>
        <v>0</v>
      </c>
      <c r="CF55" s="361">
        <f t="shared" ref="CF55" si="1102">(($E55/30)*$H55)*M55</f>
        <v>0</v>
      </c>
      <c r="CG55" s="361">
        <f t="shared" si="989"/>
        <v>0</v>
      </c>
      <c r="CH55" s="361"/>
      <c r="CI55" s="361">
        <f t="shared" ref="CI55" si="1103">AG55</f>
        <v>0</v>
      </c>
      <c r="CJ55" s="361"/>
      <c r="CK55" s="361">
        <f t="shared" ref="CK55" si="1104">AI55</f>
        <v>0</v>
      </c>
      <c r="CL55" s="361"/>
      <c r="CM55" s="361">
        <f t="shared" ref="CM55" si="1105">(CF55+CI55+CK55)*0.1267</f>
        <v>0</v>
      </c>
      <c r="CN55" s="362"/>
      <c r="CO55" s="330"/>
      <c r="CP55" s="313" t="s">
        <v>11</v>
      </c>
      <c r="CQ55" s="315">
        <f>IF($CP55="PROQUIMA",$AV55+$BE55+$BN55+$BW55+$CF55,0)</f>
        <v>0</v>
      </c>
      <c r="CR55" s="315">
        <f t="shared" si="1064"/>
        <v>0</v>
      </c>
      <c r="CS55" s="315">
        <f t="shared" si="993"/>
        <v>0</v>
      </c>
      <c r="CT55" s="315">
        <f t="shared" si="994"/>
        <v>0</v>
      </c>
      <c r="CU55" s="315">
        <f t="shared" si="995"/>
        <v>0</v>
      </c>
      <c r="CV55" s="315">
        <f t="shared" si="996"/>
        <v>0</v>
      </c>
      <c r="CW55" s="315">
        <f t="shared" si="997"/>
        <v>0</v>
      </c>
      <c r="CX55" s="315">
        <f t="shared" ref="CX55" si="1106">IF($CP55="PROQUIMA",$BC55+$BL55+$BU55+$CD55+CM55,0)</f>
        <v>0</v>
      </c>
      <c r="CY55" s="315">
        <f t="shared" ref="CY55" si="1107">SUM(CQ55:CX55)-CS55-CU55</f>
        <v>0</v>
      </c>
      <c r="CZ55" s="315">
        <f>IF($CP55="UNHESA",$AV55+$BE55+$BN55+$BW55+$CF55,0)</f>
        <v>3166.38</v>
      </c>
      <c r="DA55" s="315">
        <f t="shared" si="1001"/>
        <v>833.62</v>
      </c>
      <c r="DB55" s="315">
        <f t="shared" si="1002"/>
        <v>10.5</v>
      </c>
      <c r="DC55" s="315">
        <f t="shared" si="1003"/>
        <v>207.79368750000003</v>
      </c>
      <c r="DD55" s="315">
        <f t="shared" si="1004"/>
        <v>0</v>
      </c>
      <c r="DE55" s="315">
        <f t="shared" si="1005"/>
        <v>0</v>
      </c>
      <c r="DF55" s="315">
        <f t="shared" si="1006"/>
        <v>0</v>
      </c>
      <c r="DG55" s="315">
        <f t="shared" si="1007"/>
        <v>427.50780620625005</v>
      </c>
      <c r="DH55" s="315">
        <f t="shared" ref="DH55" si="1108">SUM(CZ55:DG55)-DB55-DD55</f>
        <v>4635.3014937062499</v>
      </c>
      <c r="DI55" s="315">
        <f t="shared" si="1009"/>
        <v>0</v>
      </c>
      <c r="DJ55" s="315">
        <f t="shared" si="1010"/>
        <v>0</v>
      </c>
      <c r="DK55" s="315">
        <f t="shared" si="1011"/>
        <v>0</v>
      </c>
      <c r="DL55" s="315">
        <f t="shared" si="1012"/>
        <v>0</v>
      </c>
      <c r="DM55" s="315">
        <f t="shared" si="1013"/>
        <v>0</v>
      </c>
      <c r="DN55" s="315">
        <f t="shared" si="1014"/>
        <v>0</v>
      </c>
      <c r="DO55" s="315">
        <f t="shared" si="1015"/>
        <v>0</v>
      </c>
      <c r="DP55" s="315">
        <f t="shared" si="1016"/>
        <v>0</v>
      </c>
      <c r="DQ55" s="315">
        <f t="shared" ref="DQ55" si="1109">SUM(DI55:DP55)-DK55-DM55</f>
        <v>0</v>
      </c>
      <c r="DR55" s="1981">
        <v>0</v>
      </c>
      <c r="DS55" s="1982">
        <v>0</v>
      </c>
      <c r="DT55" s="1982">
        <v>0</v>
      </c>
      <c r="DU55" s="1982">
        <v>0</v>
      </c>
      <c r="DV55" s="1982">
        <v>0</v>
      </c>
      <c r="DW55" s="1982">
        <v>0</v>
      </c>
      <c r="DX55" s="1982">
        <v>0</v>
      </c>
      <c r="DY55" s="1982">
        <v>0</v>
      </c>
      <c r="DZ55" s="1982">
        <v>0</v>
      </c>
      <c r="EA55" s="361"/>
      <c r="EB55" s="361"/>
      <c r="EC55" s="361"/>
      <c r="ED55" s="361"/>
      <c r="EE55" s="361"/>
      <c r="EF55" s="361"/>
      <c r="EG55" s="361"/>
      <c r="EH55" s="361"/>
      <c r="EI55" s="362">
        <f t="shared" ref="EI55" si="1110">SUM(EA55:EH55)-EC55-EE55</f>
        <v>0</v>
      </c>
      <c r="EJ55" s="330"/>
      <c r="EK55" s="312"/>
      <c r="EL55" s="313"/>
      <c r="EM55" s="313"/>
      <c r="EN55" s="313">
        <v>71.5</v>
      </c>
      <c r="EO55" s="313"/>
      <c r="EP55" s="313">
        <v>50</v>
      </c>
      <c r="EQ55" s="1968">
        <f>240</f>
        <v>240</v>
      </c>
      <c r="ER55" s="313"/>
      <c r="ES55" s="1969"/>
      <c r="ET55" s="313">
        <f>+EO55+EP55+EQ55</f>
        <v>290</v>
      </c>
      <c r="EU55" s="1501"/>
      <c r="EV55" s="321">
        <f t="shared" ref="EV55" si="1111">IF($H55&lt;=15,EK55/2,EK55)</f>
        <v>0</v>
      </c>
      <c r="EW55" s="321">
        <f t="shared" ref="EW55" si="1112">IF($H55&lt;=15,EL55/2,EL55)</f>
        <v>0</v>
      </c>
      <c r="EX55" s="321">
        <f t="shared" ref="EX55" si="1113">IF($H55&lt;=15,EM55/2,EM55)</f>
        <v>0</v>
      </c>
      <c r="EY55" s="321">
        <f t="shared" ref="EY55" si="1114">IF($H55&lt;=15,EN55/2,EN55)</f>
        <v>71.5</v>
      </c>
      <c r="EZ55" s="321">
        <f t="shared" ref="EZ55" si="1115">IF($H55&lt;=15,EO55/2,EO55)</f>
        <v>0</v>
      </c>
      <c r="FA55" s="321">
        <f t="shared" ref="FA55" si="1116">IF($H55&lt;=15,EP55/2,EP55)</f>
        <v>50</v>
      </c>
      <c r="FB55" s="321">
        <f t="shared" ref="FB55" si="1117">IF($H55&lt;=15,EQ55/2,EQ55)</f>
        <v>240</v>
      </c>
      <c r="FC55" s="321">
        <f t="shared" ref="FC55" si="1118">IF($H55&lt;=15,ER55/2,ER55)</f>
        <v>0</v>
      </c>
      <c r="FD55" s="321">
        <f t="shared" ref="FD55" si="1119">IF($H55&lt;=15,ES55/2,ES55)</f>
        <v>0</v>
      </c>
      <c r="FE55" s="321">
        <f>IF($H55&lt;=15,ET55/2,ET55)</f>
        <v>290</v>
      </c>
      <c r="FF55" s="332"/>
      <c r="FG55" s="332"/>
      <c r="FH55" s="332"/>
      <c r="FI55" s="332"/>
      <c r="FJ55" s="332"/>
      <c r="FK55" s="332"/>
    </row>
    <row r="56" spans="1:260" s="331" customFormat="1" ht="15" customHeight="1" outlineLevel="1">
      <c r="A56" s="415">
        <f t="shared" si="1072"/>
        <v>35</v>
      </c>
      <c r="B56" s="311" t="s">
        <v>811</v>
      </c>
      <c r="C56" s="312" t="s">
        <v>379</v>
      </c>
      <c r="D56" s="313" t="s">
        <v>11</v>
      </c>
      <c r="E56" s="314">
        <v>4000</v>
      </c>
      <c r="F56" s="314">
        <v>1000</v>
      </c>
      <c r="G56" s="1970">
        <f t="shared" si="947"/>
        <v>5000</v>
      </c>
      <c r="H56" s="315">
        <v>15</v>
      </c>
      <c r="I56" s="356">
        <v>1</v>
      </c>
      <c r="J56" s="318">
        <v>0</v>
      </c>
      <c r="K56" s="318">
        <v>0</v>
      </c>
      <c r="L56" s="318">
        <v>0</v>
      </c>
      <c r="M56" s="318">
        <v>0</v>
      </c>
      <c r="N56" s="318">
        <f t="shared" ref="N56" si="1120">SUM(I56:M56)</f>
        <v>1</v>
      </c>
      <c r="O56" s="1122" t="s">
        <v>862</v>
      </c>
      <c r="P56" s="357"/>
      <c r="Q56" s="315">
        <f t="shared" ref="Q56" si="1121">($E56/30/8*1.5)*P56</f>
        <v>0</v>
      </c>
      <c r="R56" s="404"/>
      <c r="S56" s="315">
        <f t="shared" ref="S56" si="1122">($E56/30/8*2)*R56</f>
        <v>0</v>
      </c>
      <c r="T56" s="321">
        <v>2</v>
      </c>
      <c r="U56" s="358">
        <f t="shared" ref="U56" si="1123">($E56/30/8*1.5)*T56</f>
        <v>50</v>
      </c>
      <c r="V56" s="321"/>
      <c r="W56" s="315">
        <f t="shared" ref="W56" si="1124">($E56/30/8*2)*V56</f>
        <v>0</v>
      </c>
      <c r="X56" s="321"/>
      <c r="Y56" s="315">
        <f t="shared" ref="Y56" si="1125">(($E56/30/8)*1.5)*X56</f>
        <v>0</v>
      </c>
      <c r="Z56" s="322"/>
      <c r="AA56" s="315">
        <f t="shared" ref="AA56" si="1126">(($E56/30/8)*2)*Z56</f>
        <v>0</v>
      </c>
      <c r="AB56" s="322"/>
      <c r="AC56" s="315">
        <f t="shared" ref="AC56" si="1127">(($E56/30/8)*1.5)*AB56</f>
        <v>0</v>
      </c>
      <c r="AD56" s="322"/>
      <c r="AE56" s="315">
        <f t="shared" ref="AE56" si="1128">(($E56/30/8)*2)*AD56</f>
        <v>0</v>
      </c>
      <c r="AF56" s="315"/>
      <c r="AG56" s="315">
        <f t="shared" ref="AG56" si="1129">(($E56/30/8)*1.5)*AF56</f>
        <v>0</v>
      </c>
      <c r="AH56" s="322"/>
      <c r="AI56" s="315">
        <f t="shared" ref="AI56" si="1130">(($E56/30/8)*2)*AH56</f>
        <v>0</v>
      </c>
      <c r="AJ56" s="314"/>
      <c r="AK56" s="314"/>
      <c r="AL56" s="314"/>
      <c r="AM56" s="314"/>
      <c r="AN56" s="314"/>
      <c r="AO56" s="314"/>
      <c r="AP56" s="314"/>
      <c r="AQ56" s="314"/>
      <c r="AR56" s="314"/>
      <c r="AS56" s="314"/>
      <c r="AT56" s="314"/>
      <c r="AU56" s="359"/>
      <c r="AV56" s="315">
        <f t="shared" ref="AV56" si="1131">((E56/30)*H56)*$I56</f>
        <v>2000.0000000000002</v>
      </c>
      <c r="AW56" s="1426">
        <f t="shared" si="960"/>
        <v>500.00000000000006</v>
      </c>
      <c r="AX56" s="315">
        <f t="shared" ref="AX56" si="1132">P56</f>
        <v>0</v>
      </c>
      <c r="AY56" s="315">
        <f t="shared" ref="AY56" si="1133">Q56</f>
        <v>0</v>
      </c>
      <c r="AZ56" s="315">
        <f t="shared" ref="AZ56" si="1134">R56</f>
        <v>0</v>
      </c>
      <c r="BA56" s="315">
        <f t="shared" ref="BA56" si="1135">S56</f>
        <v>0</v>
      </c>
      <c r="BB56" s="315">
        <f t="shared" ref="BB56" si="1136">AJ56+AO56</f>
        <v>0</v>
      </c>
      <c r="BC56" s="315">
        <f t="shared" ref="BC56" si="1137">(AV56+AY56+BA56)*0.1267</f>
        <v>253.40000000000003</v>
      </c>
      <c r="BD56" s="315">
        <f t="shared" ref="BD56" si="1138">SUM(AV56:BC56)-AX56-AZ56</f>
        <v>2753.4000000000005</v>
      </c>
      <c r="BE56" s="315">
        <f t="shared" si="968"/>
        <v>0</v>
      </c>
      <c r="BF56" s="315">
        <f>(($F56/30)*$H56)*$J56</f>
        <v>0</v>
      </c>
      <c r="BG56" s="315">
        <f t="shared" ref="BG56" si="1139">T56</f>
        <v>2</v>
      </c>
      <c r="BH56" s="315">
        <f t="shared" ref="BH56" si="1140">U56</f>
        <v>50</v>
      </c>
      <c r="BI56" s="315">
        <f t="shared" ref="BI56" si="1141">V56</f>
        <v>0</v>
      </c>
      <c r="BJ56" s="315">
        <f t="shared" ref="BJ56" si="1142">W56</f>
        <v>0</v>
      </c>
      <c r="BK56" s="315">
        <f>AK56+AP56</f>
        <v>0</v>
      </c>
      <c r="BL56" s="315">
        <f>(+BE56+BH56+BJ56+BK56)*0.1267</f>
        <v>6.335</v>
      </c>
      <c r="BM56" s="314">
        <f>SUM(BE56:BL56)-BG56-BI56</f>
        <v>56.335000000000001</v>
      </c>
      <c r="BN56" s="315">
        <f t="shared" si="976"/>
        <v>0</v>
      </c>
      <c r="BO56" s="315">
        <f t="shared" si="1050"/>
        <v>0</v>
      </c>
      <c r="BP56" s="315">
        <f t="shared" ref="BP56" si="1143">X56</f>
        <v>0</v>
      </c>
      <c r="BQ56" s="315">
        <f t="shared" ref="BQ56" si="1144">Y56</f>
        <v>0</v>
      </c>
      <c r="BR56" s="315">
        <f t="shared" ref="BR56" si="1145">Z56</f>
        <v>0</v>
      </c>
      <c r="BS56" s="315">
        <f t="shared" ref="BS56" si="1146">AA56</f>
        <v>0</v>
      </c>
      <c r="BT56" s="315">
        <f t="shared" ref="BT56" si="1147">AL56+AQ56</f>
        <v>0</v>
      </c>
      <c r="BU56" s="315">
        <f t="shared" ref="BU56" si="1148">(BN56+BQ56+BS56)*0.1267</f>
        <v>0</v>
      </c>
      <c r="BV56" s="315">
        <f t="shared" si="983"/>
        <v>0</v>
      </c>
      <c r="BW56" s="1981">
        <f t="shared" si="984"/>
        <v>0</v>
      </c>
      <c r="BX56" s="1982">
        <f t="shared" si="985"/>
        <v>0</v>
      </c>
      <c r="BY56" s="1982"/>
      <c r="BZ56" s="1982">
        <f t="shared" si="1057"/>
        <v>0</v>
      </c>
      <c r="CA56" s="1982"/>
      <c r="CB56" s="1982">
        <f t="shared" si="1058"/>
        <v>0</v>
      </c>
      <c r="CC56" s="1982"/>
      <c r="CD56" s="1982">
        <f t="shared" si="987"/>
        <v>0</v>
      </c>
      <c r="CE56" s="1982">
        <f t="shared" si="1059"/>
        <v>0</v>
      </c>
      <c r="CF56" s="361">
        <f t="shared" ref="CF56" si="1149">(($E56/30)*$H56)*M56</f>
        <v>0</v>
      </c>
      <c r="CG56" s="361">
        <f t="shared" si="989"/>
        <v>0</v>
      </c>
      <c r="CH56" s="361"/>
      <c r="CI56" s="361">
        <f t="shared" ref="CI56" si="1150">AG56</f>
        <v>0</v>
      </c>
      <c r="CJ56" s="361"/>
      <c r="CK56" s="361">
        <f t="shared" ref="CK56" si="1151">AI56</f>
        <v>0</v>
      </c>
      <c r="CL56" s="361"/>
      <c r="CM56" s="361">
        <f t="shared" ref="CM56" si="1152">(CF56+CI56+CK56)*0.1267</f>
        <v>0</v>
      </c>
      <c r="CN56" s="362"/>
      <c r="CO56" s="330"/>
      <c r="CP56" s="313" t="s">
        <v>11</v>
      </c>
      <c r="CQ56" s="315">
        <f>IF($CP56="PROQUIMA",$AV56+$BE56+$BN56+$BW56+$CF56,0)</f>
        <v>0</v>
      </c>
      <c r="CR56" s="315">
        <f t="shared" si="1064"/>
        <v>0</v>
      </c>
      <c r="CS56" s="315">
        <f t="shared" si="993"/>
        <v>0</v>
      </c>
      <c r="CT56" s="315">
        <f t="shared" si="994"/>
        <v>0</v>
      </c>
      <c r="CU56" s="315">
        <f t="shared" si="995"/>
        <v>0</v>
      </c>
      <c r="CV56" s="315">
        <f t="shared" si="996"/>
        <v>0</v>
      </c>
      <c r="CW56" s="315">
        <f t="shared" si="997"/>
        <v>0</v>
      </c>
      <c r="CX56" s="315">
        <f t="shared" ref="CX56" si="1153">IF($CP56="PROQUIMA",$BC56+$BL56+$BU56+$CD56+CM56,0)</f>
        <v>0</v>
      </c>
      <c r="CY56" s="315">
        <f t="shared" ref="CY56" si="1154">SUM(CQ56:CX56)-CS56-CU56</f>
        <v>0</v>
      </c>
      <c r="CZ56" s="315">
        <f>IF($CP56="UNHESA",$AV56+$BE56+$BN56+$BW56+$CF56,0)</f>
        <v>2000.0000000000002</v>
      </c>
      <c r="DA56" s="315">
        <f t="shared" si="1001"/>
        <v>500.00000000000006</v>
      </c>
      <c r="DB56" s="315">
        <f t="shared" si="1002"/>
        <v>2</v>
      </c>
      <c r="DC56" s="315">
        <f t="shared" si="1003"/>
        <v>50</v>
      </c>
      <c r="DD56" s="315">
        <f t="shared" si="1004"/>
        <v>0</v>
      </c>
      <c r="DE56" s="315">
        <f t="shared" si="1005"/>
        <v>0</v>
      </c>
      <c r="DF56" s="315">
        <f t="shared" si="1006"/>
        <v>0</v>
      </c>
      <c r="DG56" s="315">
        <f t="shared" si="1007"/>
        <v>259.73500000000001</v>
      </c>
      <c r="DH56" s="315">
        <f t="shared" ref="DH56" si="1155">SUM(CZ56:DG56)-DB56-DD56</f>
        <v>2809.7350000000006</v>
      </c>
      <c r="DI56" s="315">
        <f t="shared" si="1009"/>
        <v>0</v>
      </c>
      <c r="DJ56" s="315">
        <f t="shared" si="1010"/>
        <v>0</v>
      </c>
      <c r="DK56" s="315">
        <f t="shared" si="1011"/>
        <v>0</v>
      </c>
      <c r="DL56" s="315">
        <f t="shared" si="1012"/>
        <v>0</v>
      </c>
      <c r="DM56" s="315">
        <f t="shared" si="1013"/>
        <v>0</v>
      </c>
      <c r="DN56" s="315">
        <f t="shared" si="1014"/>
        <v>0</v>
      </c>
      <c r="DO56" s="315">
        <f t="shared" si="1015"/>
        <v>0</v>
      </c>
      <c r="DP56" s="315">
        <f t="shared" si="1016"/>
        <v>0</v>
      </c>
      <c r="DQ56" s="315">
        <f t="shared" ref="DQ56" si="1156">SUM(DI56:DP56)-DK56-DM56</f>
        <v>0</v>
      </c>
      <c r="DR56" s="1981">
        <v>0</v>
      </c>
      <c r="DS56" s="1982">
        <v>0</v>
      </c>
      <c r="DT56" s="1982">
        <v>0</v>
      </c>
      <c r="DU56" s="1982">
        <v>0</v>
      </c>
      <c r="DV56" s="1982">
        <v>0</v>
      </c>
      <c r="DW56" s="1982">
        <v>0</v>
      </c>
      <c r="DX56" s="1982">
        <v>0</v>
      </c>
      <c r="DY56" s="1982">
        <v>0</v>
      </c>
      <c r="DZ56" s="1982">
        <v>0</v>
      </c>
      <c r="EA56" s="361"/>
      <c r="EB56" s="361"/>
      <c r="EC56" s="361"/>
      <c r="ED56" s="361"/>
      <c r="EE56" s="361"/>
      <c r="EF56" s="361"/>
      <c r="EG56" s="361"/>
      <c r="EH56" s="361"/>
      <c r="EI56" s="362">
        <f t="shared" ref="EI56" si="1157">SUM(EA56:EH56)-EC56-EE56</f>
        <v>0</v>
      </c>
      <c r="EJ56" s="330"/>
      <c r="EK56" s="312"/>
      <c r="EL56" s="313"/>
      <c r="EM56" s="313"/>
      <c r="EN56" s="313"/>
      <c r="EO56" s="313"/>
      <c r="EP56" s="313"/>
      <c r="EQ56" s="1969"/>
      <c r="ER56" s="313"/>
      <c r="ES56" s="1969"/>
      <c r="ET56" s="313">
        <f>+EO56+EP56+EQ56</f>
        <v>0</v>
      </c>
      <c r="EU56" s="1501"/>
      <c r="EV56" s="321">
        <f t="shared" ref="EV56" si="1158">IF($H56&lt;=15,EK56/2,EK56)</f>
        <v>0</v>
      </c>
      <c r="EW56" s="321">
        <f t="shared" ref="EW56" si="1159">IF($H56&lt;=15,EL56/2,EL56)</f>
        <v>0</v>
      </c>
      <c r="EX56" s="321">
        <f t="shared" ref="EX56" si="1160">IF($H56&lt;=15,EM56/2,EM56)</f>
        <v>0</v>
      </c>
      <c r="EY56" s="321">
        <f t="shared" ref="EY56" si="1161">IF($H56&lt;=15,EN56/2,EN56)</f>
        <v>0</v>
      </c>
      <c r="EZ56" s="321">
        <f t="shared" ref="EZ56" si="1162">IF($H56&lt;=15,EO56/2,EO56)</f>
        <v>0</v>
      </c>
      <c r="FA56" s="321">
        <f t="shared" ref="FA56" si="1163">IF($H56&lt;=15,EP56/2,EP56)</f>
        <v>0</v>
      </c>
      <c r="FB56" s="321">
        <f t="shared" ref="FB56" si="1164">IF($H56&lt;=15,EQ56/2,EQ56)</f>
        <v>0</v>
      </c>
      <c r="FC56" s="321">
        <f t="shared" ref="FC56" si="1165">IF($H56&lt;=15,ER56/2,ER56)</f>
        <v>0</v>
      </c>
      <c r="FD56" s="321">
        <f t="shared" ref="FD56" si="1166">IF($H56&lt;=15,ES56/2,ES56)</f>
        <v>0</v>
      </c>
      <c r="FE56" s="321">
        <f>IF($H56&lt;=15,ET56/2,ET56)</f>
        <v>0</v>
      </c>
      <c r="FF56" s="332"/>
      <c r="FG56" s="332"/>
      <c r="FH56" s="332"/>
      <c r="FI56" s="332"/>
      <c r="FJ56" s="332"/>
      <c r="FK56" s="332"/>
    </row>
    <row r="57" spans="1:260" s="331" customFormat="1" ht="15" customHeight="1" outlineLevel="1">
      <c r="A57" s="415">
        <f t="shared" si="1072"/>
        <v>36</v>
      </c>
      <c r="B57" s="311" t="s">
        <v>507</v>
      </c>
      <c r="C57" s="312" t="s">
        <v>593</v>
      </c>
      <c r="D57" s="313" t="s">
        <v>10</v>
      </c>
      <c r="E57" s="1970">
        <v>3166.38</v>
      </c>
      <c r="F57" s="314">
        <v>600</v>
      </c>
      <c r="G57" s="314">
        <f t="shared" si="947"/>
        <v>3766.38</v>
      </c>
      <c r="H57" s="315">
        <v>30</v>
      </c>
      <c r="I57" s="356">
        <v>0.6</v>
      </c>
      <c r="J57" s="318">
        <v>0.4</v>
      </c>
      <c r="K57" s="318">
        <v>0</v>
      </c>
      <c r="L57" s="318">
        <v>0</v>
      </c>
      <c r="M57" s="318">
        <v>0</v>
      </c>
      <c r="N57" s="318">
        <f t="shared" ref="N57:N58" si="1167">SUM(I57:M57)</f>
        <v>1</v>
      </c>
      <c r="O57" s="1477"/>
      <c r="P57" s="357">
        <v>1</v>
      </c>
      <c r="Q57" s="315">
        <f t="shared" si="949"/>
        <v>19.789875000000002</v>
      </c>
      <c r="R57" s="321">
        <v>0</v>
      </c>
      <c r="S57" s="315">
        <f t="shared" si="950"/>
        <v>0</v>
      </c>
      <c r="T57" s="321"/>
      <c r="U57" s="358">
        <f t="shared" ref="U57:U58" si="1168">($E57/30/8*1.5)*T57</f>
        <v>0</v>
      </c>
      <c r="V57" s="321"/>
      <c r="W57" s="315">
        <f t="shared" si="952"/>
        <v>0</v>
      </c>
      <c r="X57" s="321"/>
      <c r="Y57" s="315">
        <f t="shared" si="953"/>
        <v>0</v>
      </c>
      <c r="Z57" s="322"/>
      <c r="AA57" s="315">
        <f t="shared" si="954"/>
        <v>0</v>
      </c>
      <c r="AB57" s="322"/>
      <c r="AC57" s="315">
        <f t="shared" si="955"/>
        <v>0</v>
      </c>
      <c r="AD57" s="322"/>
      <c r="AE57" s="315">
        <f t="shared" si="956"/>
        <v>0</v>
      </c>
      <c r="AF57" s="315"/>
      <c r="AG57" s="315">
        <f t="shared" si="957"/>
        <v>0</v>
      </c>
      <c r="AH57" s="322"/>
      <c r="AI57" s="315">
        <f t="shared" si="958"/>
        <v>0</v>
      </c>
      <c r="AJ57" s="314"/>
      <c r="AK57" s="314"/>
      <c r="AL57" s="314"/>
      <c r="AM57" s="314"/>
      <c r="AN57" s="314"/>
      <c r="AO57" s="314"/>
      <c r="AP57" s="314"/>
      <c r="AQ57" s="314"/>
      <c r="AR57" s="314"/>
      <c r="AS57" s="314"/>
      <c r="AT57" s="314"/>
      <c r="AU57" s="359"/>
      <c r="AV57" s="315">
        <f t="shared" ref="AV57:AV58" si="1169">((E57/30)*H57)*$I57</f>
        <v>1899.828</v>
      </c>
      <c r="AW57" s="315">
        <f t="shared" si="960"/>
        <v>360</v>
      </c>
      <c r="AX57" s="315">
        <f t="shared" ref="AX57:BA58" si="1170">P57</f>
        <v>1</v>
      </c>
      <c r="AY57" s="315">
        <f t="shared" si="1170"/>
        <v>19.789875000000002</v>
      </c>
      <c r="AZ57" s="315">
        <f t="shared" si="1170"/>
        <v>0</v>
      </c>
      <c r="BA57" s="315">
        <f t="shared" si="1170"/>
        <v>0</v>
      </c>
      <c r="BB57" s="315">
        <f t="shared" ref="BB57:BB58" si="1171">AJ57+AO57</f>
        <v>0</v>
      </c>
      <c r="BC57" s="315">
        <f t="shared" ref="BC57:BC58" si="1172">(AV57+AY57+BA57)*0.1267</f>
        <v>243.21558476250001</v>
      </c>
      <c r="BD57" s="315">
        <f t="shared" ref="BD57:BD58" si="1173">SUM(AV57:BC57)-AX57-AZ57</f>
        <v>2522.8334597624998</v>
      </c>
      <c r="BE57" s="315">
        <f t="shared" si="968"/>
        <v>1266.5520000000001</v>
      </c>
      <c r="BF57" s="315">
        <f>(($F57/30)*$H57)*$J57</f>
        <v>240</v>
      </c>
      <c r="BG57" s="315">
        <f t="shared" ref="BG57:BJ58" si="1174">T57</f>
        <v>0</v>
      </c>
      <c r="BH57" s="315">
        <f t="shared" si="1174"/>
        <v>0</v>
      </c>
      <c r="BI57" s="315">
        <f t="shared" si="1174"/>
        <v>0</v>
      </c>
      <c r="BJ57" s="315">
        <f t="shared" si="1174"/>
        <v>0</v>
      </c>
      <c r="BK57" s="315">
        <f t="shared" ref="BK57:BK58" si="1175">AK57+AP57</f>
        <v>0</v>
      </c>
      <c r="BL57" s="315">
        <f t="shared" ref="BL57:BL58" si="1176">(+BE57+BH57+BJ57+BK57)*0.1267</f>
        <v>160.47213840000003</v>
      </c>
      <c r="BM57" s="314">
        <f t="shared" ref="BM57:BM58" si="1177">SUM(BE57:BL57)-BG57-BI57</f>
        <v>1667.0241384000001</v>
      </c>
      <c r="BN57" s="315">
        <f t="shared" si="976"/>
        <v>0</v>
      </c>
      <c r="BO57" s="315">
        <f t="shared" si="1050"/>
        <v>0</v>
      </c>
      <c r="BP57" s="315">
        <f t="shared" ref="BP57:BR58" si="1178">X57</f>
        <v>0</v>
      </c>
      <c r="BQ57" s="315">
        <f t="shared" si="1178"/>
        <v>0</v>
      </c>
      <c r="BR57" s="315">
        <f t="shared" si="1178"/>
        <v>0</v>
      </c>
      <c r="BS57" s="315">
        <f t="shared" ref="BS57:BS58" si="1179">AA57</f>
        <v>0</v>
      </c>
      <c r="BT57" s="315">
        <f t="shared" ref="BT57:BT58" si="1180">AL57+AQ57</f>
        <v>0</v>
      </c>
      <c r="BU57" s="315">
        <f t="shared" ref="BU57:BU58" si="1181">(BN57+BQ57+BS57)*0.1267</f>
        <v>0</v>
      </c>
      <c r="BV57" s="315">
        <f t="shared" si="983"/>
        <v>0</v>
      </c>
      <c r="BW57" s="1981">
        <f t="shared" si="984"/>
        <v>0</v>
      </c>
      <c r="BX57" s="1982">
        <f t="shared" si="985"/>
        <v>0</v>
      </c>
      <c r="BY57" s="1982"/>
      <c r="BZ57" s="1982">
        <f t="shared" si="1057"/>
        <v>0</v>
      </c>
      <c r="CA57" s="1982"/>
      <c r="CB57" s="1982">
        <f t="shared" si="1058"/>
        <v>0</v>
      </c>
      <c r="CC57" s="1982"/>
      <c r="CD57" s="1982">
        <f t="shared" si="987"/>
        <v>0</v>
      </c>
      <c r="CE57" s="1982">
        <f t="shared" si="1059"/>
        <v>0</v>
      </c>
      <c r="CF57" s="361">
        <f t="shared" ref="CF57:CF58" si="1182">(($E57/30)*$H57)*M57</f>
        <v>0</v>
      </c>
      <c r="CG57" s="361">
        <f t="shared" si="989"/>
        <v>0</v>
      </c>
      <c r="CH57" s="361"/>
      <c r="CI57" s="361">
        <f t="shared" ref="CI57:CI58" si="1183">AG57</f>
        <v>0</v>
      </c>
      <c r="CJ57" s="361"/>
      <c r="CK57" s="361">
        <f t="shared" ref="CK57:CK58" si="1184">AI57</f>
        <v>0</v>
      </c>
      <c r="CL57" s="361"/>
      <c r="CM57" s="361">
        <f t="shared" ref="CM57:CM58" si="1185">(CF57+CI57+CK57)*0.1267</f>
        <v>0</v>
      </c>
      <c r="CN57" s="362"/>
      <c r="CO57" s="330"/>
      <c r="CP57" s="313" t="s">
        <v>10</v>
      </c>
      <c r="CQ57" s="315">
        <f t="shared" ref="CQ57:CQ58" si="1186">IF($CP57="PROQUIMA",$AV57+$BE57+$BN57+$BW57+$CF57,0)</f>
        <v>3166.38</v>
      </c>
      <c r="CR57" s="315">
        <f t="shared" si="1064"/>
        <v>600</v>
      </c>
      <c r="CS57" s="315">
        <f t="shared" si="993"/>
        <v>1</v>
      </c>
      <c r="CT57" s="315">
        <f t="shared" si="994"/>
        <v>19.789875000000002</v>
      </c>
      <c r="CU57" s="315">
        <f t="shared" si="995"/>
        <v>0</v>
      </c>
      <c r="CV57" s="315">
        <f t="shared" si="996"/>
        <v>0</v>
      </c>
      <c r="CW57" s="315">
        <f t="shared" si="997"/>
        <v>0</v>
      </c>
      <c r="CX57" s="315">
        <f t="shared" ref="CX57:CX58" si="1187">IF($CP57="PROQUIMA",$BC57+$BL57+$BU57+$CD57+CM57,0)</f>
        <v>403.68772316250005</v>
      </c>
      <c r="CY57" s="315">
        <f t="shared" ref="CY57:CY58" si="1188">SUM(CQ57:CX57)-CS57-CU57</f>
        <v>4189.8575981624999</v>
      </c>
      <c r="CZ57" s="315">
        <f t="shared" si="1000"/>
        <v>0</v>
      </c>
      <c r="DA57" s="315">
        <f t="shared" si="1001"/>
        <v>0</v>
      </c>
      <c r="DB57" s="315">
        <f t="shared" si="1002"/>
        <v>0</v>
      </c>
      <c r="DC57" s="315">
        <f t="shared" si="1003"/>
        <v>0</v>
      </c>
      <c r="DD57" s="315">
        <f t="shared" si="1004"/>
        <v>0</v>
      </c>
      <c r="DE57" s="315">
        <f t="shared" si="1005"/>
        <v>0</v>
      </c>
      <c r="DF57" s="315">
        <f t="shared" si="1006"/>
        <v>0</v>
      </c>
      <c r="DG57" s="315">
        <f t="shared" si="1007"/>
        <v>0</v>
      </c>
      <c r="DH57" s="315">
        <f t="shared" ref="DH57:DH58" si="1189">SUM(CZ57:DG57)-DB57-DD57</f>
        <v>0</v>
      </c>
      <c r="DI57" s="315">
        <f t="shared" si="1009"/>
        <v>0</v>
      </c>
      <c r="DJ57" s="315">
        <f t="shared" si="1010"/>
        <v>0</v>
      </c>
      <c r="DK57" s="315">
        <f t="shared" si="1011"/>
        <v>0</v>
      </c>
      <c r="DL57" s="315">
        <f t="shared" si="1012"/>
        <v>0</v>
      </c>
      <c r="DM57" s="315">
        <f t="shared" si="1013"/>
        <v>0</v>
      </c>
      <c r="DN57" s="315">
        <f t="shared" si="1014"/>
        <v>0</v>
      </c>
      <c r="DO57" s="315">
        <f t="shared" si="1015"/>
        <v>0</v>
      </c>
      <c r="DP57" s="315">
        <f t="shared" si="1016"/>
        <v>0</v>
      </c>
      <c r="DQ57" s="315">
        <f t="shared" ref="DQ57:DQ58" si="1190">SUM(DI57:DP57)-DK57-DM57</f>
        <v>0</v>
      </c>
      <c r="DR57" s="1981">
        <v>0</v>
      </c>
      <c r="DS57" s="1982">
        <v>0</v>
      </c>
      <c r="DT57" s="1982">
        <v>0</v>
      </c>
      <c r="DU57" s="1982">
        <v>0</v>
      </c>
      <c r="DV57" s="1982">
        <v>0</v>
      </c>
      <c r="DW57" s="1982">
        <v>0</v>
      </c>
      <c r="DX57" s="1982">
        <v>0</v>
      </c>
      <c r="DY57" s="1982">
        <v>0</v>
      </c>
      <c r="DZ57" s="1982">
        <v>0</v>
      </c>
      <c r="EA57" s="361"/>
      <c r="EB57" s="361"/>
      <c r="EC57" s="361"/>
      <c r="ED57" s="361"/>
      <c r="EE57" s="361"/>
      <c r="EF57" s="361"/>
      <c r="EG57" s="361"/>
      <c r="EH57" s="361"/>
      <c r="EI57" s="362">
        <f t="shared" si="1018"/>
        <v>0</v>
      </c>
      <c r="EJ57" s="330"/>
      <c r="EK57" s="2199"/>
      <c r="EL57" s="313">
        <v>702.56</v>
      </c>
      <c r="EM57" s="313"/>
      <c r="EN57" s="1969">
        <f>59.75+72</f>
        <v>131.75</v>
      </c>
      <c r="EO57" s="313">
        <v>82.5</v>
      </c>
      <c r="EP57" s="1525">
        <f>60+50</f>
        <v>110</v>
      </c>
      <c r="EQ57" s="1969">
        <f>125</f>
        <v>125</v>
      </c>
      <c r="ER57" s="1969"/>
      <c r="ES57" s="313"/>
      <c r="ET57" s="1425">
        <f t="shared" si="1019"/>
        <v>317.5</v>
      </c>
      <c r="EU57" s="354"/>
      <c r="EV57" s="321">
        <f t="shared" ref="EV57:FA58" si="1191">IF($H57&lt;=15,EK57/2,EK57)</f>
        <v>0</v>
      </c>
      <c r="EW57" s="321">
        <f t="shared" si="1191"/>
        <v>702.56</v>
      </c>
      <c r="EX57" s="321">
        <f t="shared" si="1191"/>
        <v>0</v>
      </c>
      <c r="EY57" s="321">
        <f t="shared" si="1191"/>
        <v>131.75</v>
      </c>
      <c r="EZ57" s="321">
        <f t="shared" si="1191"/>
        <v>82.5</v>
      </c>
      <c r="FA57" s="321">
        <f t="shared" si="1191"/>
        <v>110</v>
      </c>
      <c r="FB57" s="321">
        <f>IF($H57&lt;=15,EQ57/2,EQ57)</f>
        <v>125</v>
      </c>
      <c r="FC57" s="321">
        <f t="shared" ref="FC57:FC58" si="1192">IF($H57&lt;=15,ER57/2,ER57)</f>
        <v>0</v>
      </c>
      <c r="FD57" s="321">
        <f>IF($H57&lt;=15,ES57/2,ES57)</f>
        <v>0</v>
      </c>
      <c r="FE57" s="321">
        <f>IF($H57&lt;=15,ET57/2,ET57)</f>
        <v>317.5</v>
      </c>
      <c r="FF57" s="332">
        <v>0.6</v>
      </c>
      <c r="FG57" s="332">
        <v>0.4</v>
      </c>
      <c r="FH57" s="332">
        <v>0</v>
      </c>
      <c r="FI57" s="332">
        <v>0</v>
      </c>
      <c r="FJ57" s="332">
        <v>0</v>
      </c>
      <c r="FK57" s="332">
        <v>1</v>
      </c>
      <c r="FL57" s="331">
        <f>+EP57-FA57</f>
        <v>0</v>
      </c>
    </row>
    <row r="58" spans="1:260" s="354" customFormat="1" ht="15" customHeight="1" outlineLevel="1">
      <c r="A58" s="415">
        <f t="shared" si="1072"/>
        <v>37</v>
      </c>
      <c r="B58" s="311" t="s">
        <v>619</v>
      </c>
      <c r="C58" s="312" t="s">
        <v>593</v>
      </c>
      <c r="D58" s="312" t="s">
        <v>10</v>
      </c>
      <c r="E58" s="1970">
        <v>3166.38</v>
      </c>
      <c r="F58" s="1526">
        <v>750</v>
      </c>
      <c r="G58" s="1526">
        <f t="shared" si="947"/>
        <v>3916.38</v>
      </c>
      <c r="H58" s="358">
        <v>30</v>
      </c>
      <c r="I58" s="1527">
        <v>0.7</v>
      </c>
      <c r="J58" s="417">
        <v>0.3</v>
      </c>
      <c r="K58" s="417">
        <v>0</v>
      </c>
      <c r="L58" s="318">
        <v>0</v>
      </c>
      <c r="M58" s="318">
        <v>0</v>
      </c>
      <c r="N58" s="417">
        <f t="shared" si="1167"/>
        <v>1</v>
      </c>
      <c r="O58" s="1122"/>
      <c r="P58" s="357">
        <v>12.5</v>
      </c>
      <c r="Q58" s="358">
        <f t="shared" si="949"/>
        <v>247.37343750000002</v>
      </c>
      <c r="R58" s="404">
        <v>0</v>
      </c>
      <c r="S58" s="358">
        <f t="shared" si="950"/>
        <v>0</v>
      </c>
      <c r="T58" s="404"/>
      <c r="U58" s="358">
        <f t="shared" si="1168"/>
        <v>0</v>
      </c>
      <c r="V58" s="404"/>
      <c r="W58" s="358">
        <f t="shared" si="952"/>
        <v>0</v>
      </c>
      <c r="X58" s="404"/>
      <c r="Y58" s="358">
        <f t="shared" si="953"/>
        <v>0</v>
      </c>
      <c r="Z58" s="1528"/>
      <c r="AA58" s="358">
        <f t="shared" si="954"/>
        <v>0</v>
      </c>
      <c r="AB58" s="322"/>
      <c r="AC58" s="315">
        <f t="shared" si="955"/>
        <v>0</v>
      </c>
      <c r="AD58" s="322"/>
      <c r="AE58" s="315">
        <f t="shared" si="956"/>
        <v>0</v>
      </c>
      <c r="AF58" s="315"/>
      <c r="AG58" s="315">
        <f t="shared" si="957"/>
        <v>0</v>
      </c>
      <c r="AH58" s="322"/>
      <c r="AI58" s="315">
        <f t="shared" si="958"/>
        <v>0</v>
      </c>
      <c r="AJ58" s="314"/>
      <c r="AK58" s="314"/>
      <c r="AL58" s="314"/>
      <c r="AM58" s="314"/>
      <c r="AN58" s="314"/>
      <c r="AO58" s="314"/>
      <c r="AP58" s="314"/>
      <c r="AQ58" s="314"/>
      <c r="AR58" s="314"/>
      <c r="AS58" s="314"/>
      <c r="AT58" s="314"/>
      <c r="AU58" s="359"/>
      <c r="AV58" s="358">
        <f t="shared" si="1169"/>
        <v>2216.4659999999999</v>
      </c>
      <c r="AW58" s="358">
        <f t="shared" si="960"/>
        <v>525</v>
      </c>
      <c r="AX58" s="358">
        <f t="shared" si="1170"/>
        <v>12.5</v>
      </c>
      <c r="AY58" s="358">
        <f t="shared" si="1170"/>
        <v>247.37343750000002</v>
      </c>
      <c r="AZ58" s="358">
        <f t="shared" si="1170"/>
        <v>0</v>
      </c>
      <c r="BA58" s="358">
        <f t="shared" si="1170"/>
        <v>0</v>
      </c>
      <c r="BB58" s="358">
        <f t="shared" si="1171"/>
        <v>0</v>
      </c>
      <c r="BC58" s="358">
        <f t="shared" si="1172"/>
        <v>312.16845673124999</v>
      </c>
      <c r="BD58" s="358">
        <f t="shared" si="1173"/>
        <v>3301.0078942312498</v>
      </c>
      <c r="BE58" s="358">
        <f t="shared" si="968"/>
        <v>949.91399999999999</v>
      </c>
      <c r="BF58" s="358">
        <f t="shared" ref="BF58" si="1193">(($F58/30)*$H58)*$J58</f>
        <v>225</v>
      </c>
      <c r="BG58" s="358">
        <f t="shared" si="1174"/>
        <v>0</v>
      </c>
      <c r="BH58" s="358">
        <f t="shared" si="1174"/>
        <v>0</v>
      </c>
      <c r="BI58" s="358">
        <f t="shared" si="1174"/>
        <v>0</v>
      </c>
      <c r="BJ58" s="358">
        <f t="shared" si="1174"/>
        <v>0</v>
      </c>
      <c r="BK58" s="358">
        <f t="shared" si="1175"/>
        <v>0</v>
      </c>
      <c r="BL58" s="358">
        <f t="shared" si="1176"/>
        <v>120.3541038</v>
      </c>
      <c r="BM58" s="1526">
        <f t="shared" si="1177"/>
        <v>1295.2681038000001</v>
      </c>
      <c r="BN58" s="358">
        <f t="shared" si="976"/>
        <v>0</v>
      </c>
      <c r="BO58" s="358">
        <f t="shared" si="1050"/>
        <v>0</v>
      </c>
      <c r="BP58" s="358">
        <f t="shared" si="1178"/>
        <v>0</v>
      </c>
      <c r="BQ58" s="358">
        <f t="shared" si="1178"/>
        <v>0</v>
      </c>
      <c r="BR58" s="358">
        <f t="shared" si="1178"/>
        <v>0</v>
      </c>
      <c r="BS58" s="358">
        <f t="shared" si="1179"/>
        <v>0</v>
      </c>
      <c r="BT58" s="358">
        <f t="shared" si="1180"/>
        <v>0</v>
      </c>
      <c r="BU58" s="358">
        <f t="shared" si="1181"/>
        <v>0</v>
      </c>
      <c r="BV58" s="358">
        <f t="shared" si="983"/>
        <v>0</v>
      </c>
      <c r="BW58" s="1981">
        <f t="shared" si="984"/>
        <v>0</v>
      </c>
      <c r="BX58" s="1982">
        <f t="shared" si="985"/>
        <v>0</v>
      </c>
      <c r="BY58" s="1982"/>
      <c r="BZ58" s="1982">
        <f t="shared" si="1057"/>
        <v>0</v>
      </c>
      <c r="CA58" s="1982"/>
      <c r="CB58" s="1982">
        <f t="shared" si="1058"/>
        <v>0</v>
      </c>
      <c r="CC58" s="1982"/>
      <c r="CD58" s="1982">
        <f t="shared" si="987"/>
        <v>0</v>
      </c>
      <c r="CE58" s="1982">
        <f t="shared" si="1059"/>
        <v>0</v>
      </c>
      <c r="CF58" s="361">
        <f t="shared" si="1182"/>
        <v>0</v>
      </c>
      <c r="CG58" s="361">
        <f t="shared" si="989"/>
        <v>0</v>
      </c>
      <c r="CH58" s="361"/>
      <c r="CI58" s="361">
        <f t="shared" si="1183"/>
        <v>0</v>
      </c>
      <c r="CJ58" s="361"/>
      <c r="CK58" s="361">
        <f t="shared" si="1184"/>
        <v>0</v>
      </c>
      <c r="CL58" s="361"/>
      <c r="CM58" s="361">
        <f t="shared" si="1185"/>
        <v>0</v>
      </c>
      <c r="CN58" s="362"/>
      <c r="CO58" s="1418"/>
      <c r="CP58" s="312" t="s">
        <v>10</v>
      </c>
      <c r="CQ58" s="358">
        <f t="shared" si="1186"/>
        <v>3166.38</v>
      </c>
      <c r="CR58" s="358">
        <f t="shared" si="1064"/>
        <v>750</v>
      </c>
      <c r="CS58" s="358">
        <f t="shared" si="993"/>
        <v>12.5</v>
      </c>
      <c r="CT58" s="358">
        <f t="shared" si="994"/>
        <v>247.37343750000002</v>
      </c>
      <c r="CU58" s="358">
        <f t="shared" si="995"/>
        <v>0</v>
      </c>
      <c r="CV58" s="358">
        <f t="shared" si="996"/>
        <v>0</v>
      </c>
      <c r="CW58" s="358">
        <f t="shared" si="997"/>
        <v>0</v>
      </c>
      <c r="CX58" s="358">
        <f t="shared" si="1187"/>
        <v>432.52256053125001</v>
      </c>
      <c r="CY58" s="358">
        <f t="shared" si="1188"/>
        <v>4596.2759980312503</v>
      </c>
      <c r="CZ58" s="358">
        <f t="shared" si="1000"/>
        <v>0</v>
      </c>
      <c r="DA58" s="358">
        <f t="shared" si="1001"/>
        <v>0</v>
      </c>
      <c r="DB58" s="358">
        <f t="shared" si="1002"/>
        <v>0</v>
      </c>
      <c r="DC58" s="358">
        <f t="shared" si="1003"/>
        <v>0</v>
      </c>
      <c r="DD58" s="358">
        <f t="shared" si="1004"/>
        <v>0</v>
      </c>
      <c r="DE58" s="358">
        <f t="shared" si="1005"/>
        <v>0</v>
      </c>
      <c r="DF58" s="358">
        <f t="shared" si="1006"/>
        <v>0</v>
      </c>
      <c r="DG58" s="358">
        <f t="shared" si="1007"/>
        <v>0</v>
      </c>
      <c r="DH58" s="358">
        <f t="shared" si="1189"/>
        <v>0</v>
      </c>
      <c r="DI58" s="358">
        <f t="shared" si="1009"/>
        <v>0</v>
      </c>
      <c r="DJ58" s="358">
        <f t="shared" si="1010"/>
        <v>0</v>
      </c>
      <c r="DK58" s="358">
        <f t="shared" si="1011"/>
        <v>0</v>
      </c>
      <c r="DL58" s="358">
        <f t="shared" si="1012"/>
        <v>0</v>
      </c>
      <c r="DM58" s="358">
        <f t="shared" si="1013"/>
        <v>0</v>
      </c>
      <c r="DN58" s="358">
        <f t="shared" si="1014"/>
        <v>0</v>
      </c>
      <c r="DO58" s="358">
        <f t="shared" si="1015"/>
        <v>0</v>
      </c>
      <c r="DP58" s="358">
        <f t="shared" si="1016"/>
        <v>0</v>
      </c>
      <c r="DQ58" s="358">
        <f t="shared" si="1190"/>
        <v>0</v>
      </c>
      <c r="DR58" s="1981">
        <v>0</v>
      </c>
      <c r="DS58" s="1982">
        <v>0</v>
      </c>
      <c r="DT58" s="1982">
        <v>0</v>
      </c>
      <c r="DU58" s="1982">
        <v>0</v>
      </c>
      <c r="DV58" s="1982">
        <v>0</v>
      </c>
      <c r="DW58" s="1982">
        <v>0</v>
      </c>
      <c r="DX58" s="1982">
        <v>0</v>
      </c>
      <c r="DY58" s="1982">
        <v>0</v>
      </c>
      <c r="DZ58" s="1982">
        <v>0</v>
      </c>
      <c r="EA58" s="361"/>
      <c r="EB58" s="361"/>
      <c r="EC58" s="361"/>
      <c r="ED58" s="361"/>
      <c r="EE58" s="361"/>
      <c r="EF58" s="361"/>
      <c r="EG58" s="361"/>
      <c r="EH58" s="361"/>
      <c r="EI58" s="362">
        <f t="shared" si="1018"/>
        <v>0</v>
      </c>
      <c r="EJ58" s="1418"/>
      <c r="EK58" s="2199"/>
      <c r="EL58" s="312"/>
      <c r="EM58" s="312"/>
      <c r="EN58" s="1968">
        <f>82.5+270</f>
        <v>352.5</v>
      </c>
      <c r="EO58" s="312"/>
      <c r="EP58" s="1425">
        <v>50</v>
      </c>
      <c r="EQ58" s="1969"/>
      <c r="ER58" s="1969"/>
      <c r="ES58" s="313"/>
      <c r="ET58" s="1425">
        <f t="shared" si="1019"/>
        <v>50</v>
      </c>
      <c r="EV58" s="404">
        <f t="shared" si="1191"/>
        <v>0</v>
      </c>
      <c r="EW58" s="404">
        <f t="shared" si="1191"/>
        <v>0</v>
      </c>
      <c r="EX58" s="404">
        <f t="shared" si="1191"/>
        <v>0</v>
      </c>
      <c r="EY58" s="404">
        <f t="shared" si="1191"/>
        <v>352.5</v>
      </c>
      <c r="EZ58" s="404">
        <f t="shared" si="1191"/>
        <v>0</v>
      </c>
      <c r="FA58" s="404">
        <f t="shared" si="1191"/>
        <v>50</v>
      </c>
      <c r="FB58" s="404">
        <f>IF($H58&lt;=15,EQ58/2,EQ58)</f>
        <v>0</v>
      </c>
      <c r="FC58" s="404">
        <f t="shared" si="1192"/>
        <v>0</v>
      </c>
      <c r="FD58" s="404">
        <f>IF($H58&lt;=15,ES58/2,ES58)</f>
        <v>0</v>
      </c>
      <c r="FE58" s="404">
        <f>IF($H58&lt;=15,ET58/2,ET58)</f>
        <v>50</v>
      </c>
      <c r="FF58" s="332">
        <v>0.6</v>
      </c>
      <c r="FG58" s="332">
        <v>0.4</v>
      </c>
      <c r="FH58" s="332">
        <v>0</v>
      </c>
      <c r="FI58" s="332">
        <v>0</v>
      </c>
      <c r="FJ58" s="332">
        <v>0</v>
      </c>
      <c r="FK58" s="332">
        <v>1</v>
      </c>
      <c r="FL58" s="354">
        <f>+EP58-FA58</f>
        <v>0</v>
      </c>
    </row>
    <row r="59" spans="1:260" s="1441" customFormat="1" ht="15.75" customHeight="1" outlineLevel="1" thickBot="1">
      <c r="A59" s="1490"/>
      <c r="B59" s="1348"/>
      <c r="C59" s="1339" t="s">
        <v>78</v>
      </c>
      <c r="D59" s="1414"/>
      <c r="E59" s="1529">
        <f>SUM(E53:E58)</f>
        <v>23249.140000000003</v>
      </c>
      <c r="F59" s="1529">
        <f>SUM(F53:F58)</f>
        <v>6433.62</v>
      </c>
      <c r="G59" s="1529">
        <f>SUM(G53:G58)</f>
        <v>29682.760000000002</v>
      </c>
      <c r="H59" s="1513"/>
      <c r="I59" s="1524"/>
      <c r="J59" s="1524"/>
      <c r="K59" s="1524"/>
      <c r="L59" s="1524"/>
      <c r="M59" s="1524"/>
      <c r="N59" s="1524"/>
      <c r="O59" s="1433"/>
      <c r="P59" s="1519">
        <f t="shared" ref="P59:AA59" si="1194">SUM(P53:P58)</f>
        <v>13.5</v>
      </c>
      <c r="Q59" s="1519">
        <f t="shared" si="1194"/>
        <v>267.16331250000002</v>
      </c>
      <c r="R59" s="1519">
        <f t="shared" si="1194"/>
        <v>0</v>
      </c>
      <c r="S59" s="1519">
        <f t="shared" si="1194"/>
        <v>0</v>
      </c>
      <c r="T59" s="1519">
        <f t="shared" si="1194"/>
        <v>20.5</v>
      </c>
      <c r="U59" s="1519">
        <f t="shared" si="1194"/>
        <v>482.79368750000003</v>
      </c>
      <c r="V59" s="1519">
        <f t="shared" si="1194"/>
        <v>0</v>
      </c>
      <c r="W59" s="1519">
        <f t="shared" si="1194"/>
        <v>0</v>
      </c>
      <c r="X59" s="1519">
        <f t="shared" si="1194"/>
        <v>0</v>
      </c>
      <c r="Y59" s="1519">
        <f t="shared" si="1194"/>
        <v>0</v>
      </c>
      <c r="Z59" s="1519">
        <f t="shared" si="1194"/>
        <v>0</v>
      </c>
      <c r="AA59" s="1519">
        <f t="shared" si="1194"/>
        <v>0</v>
      </c>
      <c r="AB59" s="1519">
        <f t="shared" ref="AB59:AS59" si="1195">SUM(AB53:AB53)</f>
        <v>0</v>
      </c>
      <c r="AC59" s="1519">
        <f t="shared" si="1195"/>
        <v>0</v>
      </c>
      <c r="AD59" s="1519">
        <f t="shared" si="1195"/>
        <v>0</v>
      </c>
      <c r="AE59" s="1519">
        <f t="shared" si="1195"/>
        <v>0</v>
      </c>
      <c r="AF59" s="1519">
        <f t="shared" si="1195"/>
        <v>0</v>
      </c>
      <c r="AG59" s="1519">
        <f t="shared" si="1195"/>
        <v>0</v>
      </c>
      <c r="AH59" s="1519">
        <f t="shared" si="1195"/>
        <v>0</v>
      </c>
      <c r="AI59" s="1519">
        <f t="shared" si="1195"/>
        <v>0</v>
      </c>
      <c r="AJ59" s="1519">
        <f t="shared" si="1195"/>
        <v>0</v>
      </c>
      <c r="AK59" s="1519">
        <f t="shared" si="1195"/>
        <v>0</v>
      </c>
      <c r="AL59" s="1519">
        <f t="shared" si="1195"/>
        <v>0</v>
      </c>
      <c r="AM59" s="1519">
        <f t="shared" si="1195"/>
        <v>0</v>
      </c>
      <c r="AN59" s="1519">
        <f t="shared" si="1195"/>
        <v>0</v>
      </c>
      <c r="AO59" s="1519">
        <f t="shared" si="1195"/>
        <v>0</v>
      </c>
      <c r="AP59" s="1519">
        <f t="shared" si="1195"/>
        <v>0</v>
      </c>
      <c r="AQ59" s="1519">
        <f t="shared" si="1195"/>
        <v>0</v>
      </c>
      <c r="AR59" s="1519">
        <f t="shared" si="1195"/>
        <v>0</v>
      </c>
      <c r="AS59" s="1519">
        <f t="shared" si="1195"/>
        <v>0</v>
      </c>
      <c r="AT59" s="1522" t="e">
        <f>SUM(#REF!)</f>
        <v>#REF!</v>
      </c>
      <c r="AU59" s="1517"/>
      <c r="AV59" s="1519">
        <f t="shared" ref="AV59:BV59" si="1196">SUM(AV53:AV58)</f>
        <v>9753.7939999999999</v>
      </c>
      <c r="AW59" s="1519">
        <f t="shared" si="1196"/>
        <v>2547.5</v>
      </c>
      <c r="AX59" s="1519">
        <f t="shared" si="1196"/>
        <v>13.5</v>
      </c>
      <c r="AY59" s="1519">
        <f t="shared" si="1196"/>
        <v>267.16331250000002</v>
      </c>
      <c r="AZ59" s="1519">
        <f t="shared" si="1196"/>
        <v>0</v>
      </c>
      <c r="BA59" s="1519">
        <f t="shared" si="1196"/>
        <v>0</v>
      </c>
      <c r="BB59" s="1519">
        <f t="shared" si="1196"/>
        <v>0</v>
      </c>
      <c r="BC59" s="1519">
        <f t="shared" si="1196"/>
        <v>1269.6552914937502</v>
      </c>
      <c r="BD59" s="1519">
        <f t="shared" si="1196"/>
        <v>13838.112603993752</v>
      </c>
      <c r="BE59" s="1519">
        <f t="shared" si="1196"/>
        <v>10557.846000000001</v>
      </c>
      <c r="BF59" s="1519">
        <f t="shared" si="1196"/>
        <v>3173.62</v>
      </c>
      <c r="BG59" s="1519">
        <f t="shared" si="1196"/>
        <v>20.5</v>
      </c>
      <c r="BH59" s="1519">
        <f t="shared" si="1196"/>
        <v>482.79368750000003</v>
      </c>
      <c r="BI59" s="1519">
        <f t="shared" si="1196"/>
        <v>0</v>
      </c>
      <c r="BJ59" s="1519">
        <f t="shared" si="1196"/>
        <v>0</v>
      </c>
      <c r="BK59" s="1519">
        <f t="shared" si="1196"/>
        <v>0</v>
      </c>
      <c r="BL59" s="1519">
        <f t="shared" si="1196"/>
        <v>1398.8490484062502</v>
      </c>
      <c r="BM59" s="1519">
        <f t="shared" si="1196"/>
        <v>15613.108735906248</v>
      </c>
      <c r="BN59" s="1519">
        <f t="shared" si="1196"/>
        <v>0</v>
      </c>
      <c r="BO59" s="1519">
        <f t="shared" si="1196"/>
        <v>0</v>
      </c>
      <c r="BP59" s="1519">
        <f t="shared" si="1196"/>
        <v>0</v>
      </c>
      <c r="BQ59" s="1519">
        <f t="shared" si="1196"/>
        <v>0</v>
      </c>
      <c r="BR59" s="1519">
        <f t="shared" si="1196"/>
        <v>0</v>
      </c>
      <c r="BS59" s="1519">
        <f t="shared" si="1196"/>
        <v>0</v>
      </c>
      <c r="BT59" s="1519">
        <f t="shared" si="1196"/>
        <v>0</v>
      </c>
      <c r="BU59" s="1519">
        <f t="shared" si="1196"/>
        <v>0</v>
      </c>
      <c r="BV59" s="1519">
        <f t="shared" si="1196"/>
        <v>0</v>
      </c>
      <c r="BW59" s="1522">
        <f>SUM(BW53:BW58)</f>
        <v>937.5</v>
      </c>
      <c r="BX59" s="1522">
        <f>SUM(BX53:BX58)</f>
        <v>212.5</v>
      </c>
      <c r="BY59" s="1522">
        <f>SUM(BY53:BY58)</f>
        <v>0</v>
      </c>
      <c r="BZ59" s="1522">
        <f t="shared" ref="BZ59:CE59" si="1197">SUM(BZ53:BZ58)</f>
        <v>0</v>
      </c>
      <c r="CA59" s="1522">
        <f t="shared" si="1197"/>
        <v>0</v>
      </c>
      <c r="CB59" s="1522">
        <f t="shared" si="1197"/>
        <v>0</v>
      </c>
      <c r="CC59" s="1522">
        <f t="shared" si="1197"/>
        <v>0</v>
      </c>
      <c r="CD59" s="1522">
        <f>SUM(CD53:CD58)</f>
        <v>118.78125</v>
      </c>
      <c r="CE59" s="1522">
        <f t="shared" si="1197"/>
        <v>1268.78125</v>
      </c>
      <c r="CF59" s="1522">
        <f t="shared" ref="CF59:CN59" si="1198">SUM(CF53:CF53)</f>
        <v>0</v>
      </c>
      <c r="CG59" s="1522">
        <f t="shared" si="1198"/>
        <v>0</v>
      </c>
      <c r="CH59" s="1522">
        <f t="shared" si="1198"/>
        <v>0</v>
      </c>
      <c r="CI59" s="1522">
        <f t="shared" si="1198"/>
        <v>0</v>
      </c>
      <c r="CJ59" s="1522">
        <f t="shared" si="1198"/>
        <v>0</v>
      </c>
      <c r="CK59" s="1522">
        <f t="shared" si="1198"/>
        <v>0</v>
      </c>
      <c r="CL59" s="1522">
        <f t="shared" si="1198"/>
        <v>0</v>
      </c>
      <c r="CM59" s="1522">
        <f t="shared" si="1198"/>
        <v>0</v>
      </c>
      <c r="CN59" s="1522">
        <f t="shared" si="1198"/>
        <v>0</v>
      </c>
      <c r="CO59" s="1414"/>
      <c r="CP59" s="1492"/>
      <c r="CQ59" s="1530">
        <f t="shared" ref="CQ59:EI59" si="1199">SUM(CQ53:CQ58)</f>
        <v>11582.760000000002</v>
      </c>
      <c r="CR59" s="1530">
        <f t="shared" si="1199"/>
        <v>4100</v>
      </c>
      <c r="CS59" s="1530">
        <f t="shared" si="1199"/>
        <v>13.5</v>
      </c>
      <c r="CT59" s="1530">
        <f t="shared" si="1199"/>
        <v>267.16331250000002</v>
      </c>
      <c r="CU59" s="1530">
        <f t="shared" si="1199"/>
        <v>0</v>
      </c>
      <c r="CV59" s="1530">
        <f t="shared" si="1199"/>
        <v>0</v>
      </c>
      <c r="CW59" s="1530">
        <f t="shared" si="1199"/>
        <v>0</v>
      </c>
      <c r="CX59" s="1530">
        <f t="shared" si="1199"/>
        <v>1501.3852836937501</v>
      </c>
      <c r="CY59" s="1530">
        <f t="shared" si="1199"/>
        <v>17451.30859619375</v>
      </c>
      <c r="CZ59" s="1530">
        <f t="shared" si="1199"/>
        <v>9666.380000000001</v>
      </c>
      <c r="DA59" s="1530">
        <f t="shared" si="1199"/>
        <v>1833.6200000000001</v>
      </c>
      <c r="DB59" s="1530">
        <f t="shared" si="1199"/>
        <v>20.5</v>
      </c>
      <c r="DC59" s="1530">
        <f t="shared" si="1199"/>
        <v>482.79368750000003</v>
      </c>
      <c r="DD59" s="1530">
        <f t="shared" si="1199"/>
        <v>0</v>
      </c>
      <c r="DE59" s="1530">
        <f t="shared" si="1199"/>
        <v>0</v>
      </c>
      <c r="DF59" s="1530">
        <f t="shared" si="1199"/>
        <v>0</v>
      </c>
      <c r="DG59" s="1530">
        <f t="shared" si="1199"/>
        <v>1285.9003062062502</v>
      </c>
      <c r="DH59" s="1530">
        <f t="shared" si="1199"/>
        <v>13268.693993706251</v>
      </c>
      <c r="DI59" s="1530">
        <f t="shared" si="1199"/>
        <v>0</v>
      </c>
      <c r="DJ59" s="1530">
        <f t="shared" si="1199"/>
        <v>0</v>
      </c>
      <c r="DK59" s="1530">
        <f t="shared" si="1199"/>
        <v>0</v>
      </c>
      <c r="DL59" s="1530">
        <f t="shared" si="1199"/>
        <v>0</v>
      </c>
      <c r="DM59" s="1530">
        <f t="shared" si="1199"/>
        <v>0</v>
      </c>
      <c r="DN59" s="1530">
        <f t="shared" si="1199"/>
        <v>0</v>
      </c>
      <c r="DO59" s="1530">
        <f t="shared" si="1199"/>
        <v>0</v>
      </c>
      <c r="DP59" s="1530">
        <f t="shared" si="1199"/>
        <v>0</v>
      </c>
      <c r="DQ59" s="1530">
        <f t="shared" si="1199"/>
        <v>0</v>
      </c>
      <c r="DR59" s="1522">
        <f t="shared" si="1199"/>
        <v>0</v>
      </c>
      <c r="DS59" s="1522">
        <f t="shared" si="1199"/>
        <v>0</v>
      </c>
      <c r="DT59" s="1522">
        <f t="shared" si="1199"/>
        <v>0</v>
      </c>
      <c r="DU59" s="1522">
        <f t="shared" si="1199"/>
        <v>0</v>
      </c>
      <c r="DV59" s="1522">
        <f t="shared" si="1199"/>
        <v>0</v>
      </c>
      <c r="DW59" s="1522">
        <f t="shared" si="1199"/>
        <v>0</v>
      </c>
      <c r="DX59" s="1522">
        <f t="shared" si="1199"/>
        <v>0</v>
      </c>
      <c r="DY59" s="1522">
        <f t="shared" si="1199"/>
        <v>0</v>
      </c>
      <c r="DZ59" s="1522">
        <f t="shared" si="1199"/>
        <v>0</v>
      </c>
      <c r="EA59" s="1522">
        <f t="shared" si="1199"/>
        <v>0</v>
      </c>
      <c r="EB59" s="1522">
        <f t="shared" si="1199"/>
        <v>0</v>
      </c>
      <c r="EC59" s="1522">
        <f t="shared" si="1199"/>
        <v>0</v>
      </c>
      <c r="ED59" s="1522">
        <f t="shared" si="1199"/>
        <v>0</v>
      </c>
      <c r="EE59" s="1522">
        <f t="shared" si="1199"/>
        <v>0</v>
      </c>
      <c r="EF59" s="1522">
        <f t="shared" si="1199"/>
        <v>0</v>
      </c>
      <c r="EG59" s="1522">
        <f t="shared" si="1199"/>
        <v>0</v>
      </c>
      <c r="EH59" s="1522">
        <f t="shared" si="1199"/>
        <v>0</v>
      </c>
      <c r="EI59" s="1522">
        <f t="shared" si="1199"/>
        <v>0</v>
      </c>
      <c r="EJ59" s="1414"/>
      <c r="EK59" s="1519">
        <f t="shared" ref="EK59:ET59" si="1200">SUM(EK53:EK58)</f>
        <v>226.45</v>
      </c>
      <c r="EL59" s="1519">
        <f t="shared" si="1200"/>
        <v>702.56</v>
      </c>
      <c r="EM59" s="1519">
        <f t="shared" si="1200"/>
        <v>0</v>
      </c>
      <c r="EN59" s="1519">
        <f t="shared" si="1200"/>
        <v>746.75</v>
      </c>
      <c r="EO59" s="1519">
        <f t="shared" si="1200"/>
        <v>82.5</v>
      </c>
      <c r="EP59" s="1519">
        <f t="shared" si="1200"/>
        <v>335</v>
      </c>
      <c r="EQ59" s="1519">
        <f t="shared" si="1200"/>
        <v>605</v>
      </c>
      <c r="ER59" s="1519">
        <f t="shared" si="1200"/>
        <v>0</v>
      </c>
      <c r="ES59" s="1519">
        <f t="shared" si="1200"/>
        <v>0</v>
      </c>
      <c r="ET59" s="1519">
        <f t="shared" si="1200"/>
        <v>1022.5</v>
      </c>
      <c r="EV59" s="1522">
        <f t="shared" ref="EV59:FE59" si="1201">SUM(EV53:EV58)</f>
        <v>226.45</v>
      </c>
      <c r="EW59" s="1522">
        <f t="shared" si="1201"/>
        <v>702.56</v>
      </c>
      <c r="EX59" s="1522">
        <f t="shared" si="1201"/>
        <v>0</v>
      </c>
      <c r="EY59" s="1522">
        <f t="shared" si="1201"/>
        <v>746.75</v>
      </c>
      <c r="EZ59" s="1522">
        <f t="shared" si="1201"/>
        <v>82.5</v>
      </c>
      <c r="FA59" s="1522">
        <f t="shared" si="1201"/>
        <v>335</v>
      </c>
      <c r="FB59" s="1522">
        <f t="shared" si="1201"/>
        <v>605</v>
      </c>
      <c r="FC59" s="1522">
        <f t="shared" si="1201"/>
        <v>0</v>
      </c>
      <c r="FD59" s="1522">
        <f t="shared" si="1201"/>
        <v>0</v>
      </c>
      <c r="FE59" s="1522">
        <f t="shared" si="1201"/>
        <v>1022.5</v>
      </c>
      <c r="FF59" s="1448"/>
      <c r="FG59" s="1448"/>
      <c r="FH59" s="1448"/>
      <c r="FI59" s="1448"/>
      <c r="FJ59" s="1448"/>
      <c r="FK59" s="1448"/>
      <c r="FL59" s="1441">
        <f t="shared" si="272"/>
        <v>0</v>
      </c>
    </row>
    <row r="60" spans="1:260" s="1513" customFormat="1" ht="15.75" customHeight="1" outlineLevel="1" thickTop="1">
      <c r="A60" s="1511"/>
      <c r="B60" s="1348"/>
      <c r="C60" s="1339"/>
      <c r="D60" s="1414"/>
      <c r="E60" s="1512"/>
      <c r="F60" s="1513">
        <f>+F57-250</f>
        <v>350</v>
      </c>
      <c r="I60" s="1524"/>
      <c r="J60" s="1524"/>
      <c r="K60" s="1524"/>
      <c r="L60" s="1524"/>
      <c r="M60" s="1524"/>
      <c r="N60" s="1524"/>
      <c r="O60" s="1433"/>
      <c r="P60" s="1515"/>
      <c r="R60" s="1515"/>
      <c r="T60" s="1515"/>
      <c r="V60" s="1515"/>
      <c r="X60" s="1515"/>
      <c r="Z60" s="1516"/>
      <c r="AB60" s="1516"/>
      <c r="AD60" s="1516"/>
      <c r="AH60" s="1516"/>
      <c r="AU60" s="1517"/>
      <c r="CO60" s="1414"/>
      <c r="CP60" s="1414"/>
      <c r="EJ60" s="1414"/>
      <c r="EN60" s="1512"/>
      <c r="EP60" s="1531"/>
      <c r="EU60" s="1441"/>
      <c r="FF60" s="1448"/>
      <c r="FG60" s="1448"/>
      <c r="FH60" s="1448"/>
      <c r="FI60" s="1448"/>
      <c r="FJ60" s="1448"/>
      <c r="FK60" s="1448"/>
      <c r="FL60" s="1441">
        <f t="shared" si="272"/>
        <v>0</v>
      </c>
      <c r="FM60" s="1441"/>
      <c r="FN60" s="1441"/>
      <c r="FO60" s="1441"/>
      <c r="FP60" s="1441"/>
      <c r="FQ60" s="1441"/>
      <c r="FR60" s="1441"/>
      <c r="FS60" s="1441"/>
      <c r="FT60" s="1441"/>
      <c r="FU60" s="1441"/>
      <c r="FV60" s="1441"/>
      <c r="FW60" s="1441"/>
      <c r="FX60" s="1441"/>
      <c r="FY60" s="1441"/>
      <c r="FZ60" s="1441"/>
      <c r="GA60" s="1441"/>
      <c r="GB60" s="1441"/>
      <c r="GC60" s="1441"/>
      <c r="GD60" s="1441"/>
      <c r="GE60" s="1441"/>
      <c r="GF60" s="1441"/>
      <c r="GG60" s="1441"/>
      <c r="GH60" s="1441"/>
      <c r="GI60" s="1441"/>
      <c r="GJ60" s="1441"/>
      <c r="GK60" s="1441"/>
      <c r="GL60" s="1441"/>
      <c r="GM60" s="1441"/>
      <c r="GN60" s="1441"/>
      <c r="GO60" s="1441"/>
      <c r="GP60" s="1441"/>
      <c r="GQ60" s="1441"/>
      <c r="GR60" s="1441"/>
      <c r="GS60" s="1441"/>
      <c r="GT60" s="1441"/>
      <c r="GU60" s="1441"/>
      <c r="GV60" s="1441"/>
      <c r="GW60" s="1441"/>
      <c r="GX60" s="1441"/>
      <c r="GY60" s="1441"/>
      <c r="GZ60" s="1441"/>
      <c r="HA60" s="1441"/>
      <c r="HB60" s="1441"/>
      <c r="HC60" s="1441"/>
      <c r="HD60" s="1441"/>
      <c r="HE60" s="1441"/>
      <c r="HF60" s="1441"/>
      <c r="HG60" s="1441"/>
      <c r="HH60" s="1441"/>
      <c r="HI60" s="1441"/>
      <c r="HJ60" s="1441"/>
      <c r="HK60" s="1441"/>
      <c r="HL60" s="1441"/>
      <c r="HM60" s="1441"/>
      <c r="HN60" s="1441"/>
      <c r="HO60" s="1441"/>
      <c r="HP60" s="1441"/>
      <c r="HQ60" s="1441"/>
      <c r="HR60" s="1441"/>
      <c r="HS60" s="1441"/>
      <c r="HT60" s="1441"/>
      <c r="HU60" s="1441"/>
      <c r="HV60" s="1441"/>
      <c r="HW60" s="1441"/>
      <c r="HX60" s="1441"/>
      <c r="HY60" s="1441"/>
      <c r="HZ60" s="1441"/>
      <c r="IA60" s="1441"/>
      <c r="IB60" s="1441"/>
      <c r="IC60" s="1441"/>
      <c r="ID60" s="1441"/>
      <c r="IE60" s="1441"/>
      <c r="IF60" s="1441"/>
      <c r="IG60" s="1441"/>
      <c r="IH60" s="1441"/>
      <c r="II60" s="1441"/>
      <c r="IJ60" s="1441"/>
      <c r="IK60" s="1441"/>
      <c r="IL60" s="1441"/>
      <c r="IM60" s="1441"/>
      <c r="IN60" s="1441"/>
      <c r="IO60" s="1441"/>
      <c r="IP60" s="1441"/>
      <c r="IQ60" s="1441"/>
      <c r="IR60" s="1441"/>
      <c r="IS60" s="1441"/>
      <c r="IT60" s="1441"/>
      <c r="IU60" s="1441"/>
      <c r="IV60" s="1441"/>
      <c r="IW60" s="1441"/>
      <c r="IX60" s="1441"/>
      <c r="IY60" s="1441"/>
      <c r="IZ60" s="1441"/>
    </row>
    <row r="61" spans="1:260" s="1513" customFormat="1" ht="15" customHeight="1" outlineLevel="1">
      <c r="A61" s="1511"/>
      <c r="B61" s="1416" t="s">
        <v>79</v>
      </c>
      <c r="C61" s="1339"/>
      <c r="D61" s="1474"/>
      <c r="E61" s="1512"/>
      <c r="I61" s="1514"/>
      <c r="J61" s="1514"/>
      <c r="K61" s="1514"/>
      <c r="L61" s="1514"/>
      <c r="M61" s="1514"/>
      <c r="N61" s="1514"/>
      <c r="P61" s="1532"/>
      <c r="R61" s="1515"/>
      <c r="T61" s="1515"/>
      <c r="V61" s="1515"/>
      <c r="X61" s="1515"/>
      <c r="Z61" s="1516"/>
      <c r="AB61" s="1516"/>
      <c r="AD61" s="1516"/>
      <c r="AF61" s="1516"/>
      <c r="AH61" s="1516"/>
      <c r="AU61" s="1533"/>
      <c r="CO61" s="1474"/>
      <c r="CP61" s="1474"/>
      <c r="EJ61" s="1474"/>
      <c r="EK61" s="1403"/>
      <c r="EL61" s="1474"/>
      <c r="EM61" s="1474"/>
      <c r="EN61" s="1534"/>
      <c r="EO61" s="1474"/>
      <c r="EP61" s="1474"/>
      <c r="EQ61" s="1474"/>
      <c r="ER61" s="1474"/>
      <c r="ES61" s="1474"/>
      <c r="ET61" s="1474"/>
      <c r="EU61" s="1474"/>
      <c r="EV61" s="1414"/>
      <c r="EW61" s="1414"/>
      <c r="EX61" s="1414"/>
      <c r="EY61" s="1414"/>
      <c r="EZ61" s="1414"/>
      <c r="FA61" s="1414"/>
      <c r="FB61" s="1414"/>
      <c r="FC61" s="1414"/>
      <c r="FD61" s="1414"/>
      <c r="FE61" s="1414"/>
      <c r="FF61" s="1448"/>
      <c r="FG61" s="1448"/>
      <c r="FH61" s="1448"/>
      <c r="FI61" s="1448"/>
      <c r="FJ61" s="1448"/>
      <c r="FK61" s="1448"/>
      <c r="FL61" s="1441">
        <f t="shared" si="272"/>
        <v>0</v>
      </c>
      <c r="FM61" s="1474"/>
      <c r="FN61" s="1474"/>
      <c r="FO61" s="1474"/>
      <c r="FP61" s="1474"/>
    </row>
    <row r="62" spans="1:260" s="1474" customFormat="1" ht="15" customHeight="1" outlineLevel="1">
      <c r="A62" s="1454">
        <f>A58+1</f>
        <v>38</v>
      </c>
      <c r="B62" s="213" t="s">
        <v>501</v>
      </c>
      <c r="C62" s="365" t="s">
        <v>80</v>
      </c>
      <c r="D62" s="363" t="s">
        <v>10</v>
      </c>
      <c r="E62" s="314">
        <v>7000</v>
      </c>
      <c r="F62" s="1431">
        <v>5250</v>
      </c>
      <c r="G62" s="1431">
        <f t="shared" ref="G62:G64" si="1202">+E62+F62</f>
        <v>12250</v>
      </c>
      <c r="H62" s="355">
        <v>30</v>
      </c>
      <c r="I62" s="1494">
        <v>0.45</v>
      </c>
      <c r="J62" s="1494">
        <v>0.4</v>
      </c>
      <c r="K62" s="1494">
        <v>0</v>
      </c>
      <c r="L62" s="1432">
        <v>0.15</v>
      </c>
      <c r="M62" s="1432">
        <v>0</v>
      </c>
      <c r="N62" s="1432">
        <f t="shared" ref="N62:N64" si="1203">SUM(I62:M62)</f>
        <v>1</v>
      </c>
      <c r="P62" s="1535">
        <v>0</v>
      </c>
      <c r="Q62" s="355">
        <f t="shared" ref="Q62:Q64" si="1204">($E62/30/8*1.5)*P62</f>
        <v>0</v>
      </c>
      <c r="R62" s="366"/>
      <c r="S62" s="355">
        <f t="shared" ref="S62:S64" si="1205">($E62/30/8*2)*R62</f>
        <v>0</v>
      </c>
      <c r="T62" s="366"/>
      <c r="U62" s="355">
        <f t="shared" ref="U62:U64" si="1206">($E62/30/8*1.5)*T62</f>
        <v>0</v>
      </c>
      <c r="V62" s="366"/>
      <c r="W62" s="355">
        <f t="shared" ref="W62:W64" si="1207">($E62/30/8*2)*V62</f>
        <v>0</v>
      </c>
      <c r="X62" s="366"/>
      <c r="Y62" s="355">
        <f t="shared" ref="Y62:Y64" si="1208">(($E62/30/8)*1.5)*X62</f>
        <v>0</v>
      </c>
      <c r="Z62" s="1434"/>
      <c r="AA62" s="355">
        <f t="shared" ref="AA62:AA64" si="1209">(($E62/30/8)*2)*Z62</f>
        <v>0</v>
      </c>
      <c r="AB62" s="1434"/>
      <c r="AC62" s="355">
        <f t="shared" ref="AC62:AC64" si="1210">(($E62/30/8)*1.5)*AB62</f>
        <v>0</v>
      </c>
      <c r="AD62" s="1434"/>
      <c r="AE62" s="355">
        <f t="shared" ref="AE62:AE64" si="1211">(($E62/30/8)*2)*AD62</f>
        <v>0</v>
      </c>
      <c r="AF62" s="1434"/>
      <c r="AG62" s="355">
        <f t="shared" ref="AG62:AG64" si="1212">(($E62/30/8)*1.5)*AF62</f>
        <v>0</v>
      </c>
      <c r="AH62" s="1434"/>
      <c r="AI62" s="355">
        <f t="shared" ref="AI62:AI64" si="1213">(($E62/30/8)*2)*AH62</f>
        <v>0</v>
      </c>
      <c r="AJ62" s="1431"/>
      <c r="AK62" s="1431"/>
      <c r="AL62" s="1431"/>
      <c r="AM62" s="1431"/>
      <c r="AN62" s="1431"/>
      <c r="AO62" s="1431"/>
      <c r="AP62" s="1431"/>
      <c r="AQ62" s="1431"/>
      <c r="AR62" s="1431"/>
      <c r="AS62" s="1431"/>
      <c r="AT62" s="1431"/>
      <c r="AU62" s="1536"/>
      <c r="AV62" s="355">
        <f t="shared" ref="AV62:AV64" si="1214">((E62/30)*H62)*$I62</f>
        <v>3150</v>
      </c>
      <c r="AW62" s="355">
        <f>((F62/30)*H62)*$I62</f>
        <v>2362.5</v>
      </c>
      <c r="AX62" s="355">
        <f t="shared" ref="AX62:BA64" si="1215">P62</f>
        <v>0</v>
      </c>
      <c r="AY62" s="355">
        <f t="shared" si="1215"/>
        <v>0</v>
      </c>
      <c r="AZ62" s="355">
        <f t="shared" si="1215"/>
        <v>0</v>
      </c>
      <c r="BA62" s="355">
        <f t="shared" si="1215"/>
        <v>0</v>
      </c>
      <c r="BB62" s="355">
        <f t="shared" ref="BB62:BB64" si="1216">AJ62+AO62</f>
        <v>0</v>
      </c>
      <c r="BC62" s="355">
        <f t="shared" ref="BC62:BC64" si="1217">(AV62+AY62+BA62)*0.1267</f>
        <v>399.10500000000002</v>
      </c>
      <c r="BD62" s="355">
        <f t="shared" ref="BD62:BD64" si="1218">SUM(AV62:BC62)-AX62-AZ62</f>
        <v>5911.6049999999996</v>
      </c>
      <c r="BE62" s="355">
        <f t="shared" ref="BE62:BE64" si="1219">(($E62/30)*$H62)*$J62</f>
        <v>2800</v>
      </c>
      <c r="BF62" s="355">
        <f>(($F62/30)*$H62)*$J62</f>
        <v>2100</v>
      </c>
      <c r="BG62" s="355">
        <f t="shared" ref="BG62:BJ64" si="1220">T62</f>
        <v>0</v>
      </c>
      <c r="BH62" s="355">
        <f t="shared" si="1220"/>
        <v>0</v>
      </c>
      <c r="BI62" s="355">
        <f t="shared" si="1220"/>
        <v>0</v>
      </c>
      <c r="BJ62" s="355">
        <f t="shared" si="1220"/>
        <v>0</v>
      </c>
      <c r="BK62" s="355">
        <f t="shared" ref="BK62:BK64" si="1221">AK62+AP62</f>
        <v>0</v>
      </c>
      <c r="BL62" s="355">
        <f t="shared" ref="BL62:BL64" si="1222">(+BE62+BH62+BK62)*0.1267</f>
        <v>354.76000000000005</v>
      </c>
      <c r="BM62" s="1431">
        <f t="shared" ref="BM62:BM64" si="1223">SUM(BE62:BL62)-BG62-BI62</f>
        <v>5254.76</v>
      </c>
      <c r="BN62" s="355">
        <f t="shared" ref="BN62:BN64" si="1224">(($E62/30)*$H62)*$K62</f>
        <v>0</v>
      </c>
      <c r="BO62" s="355">
        <f t="shared" ref="BO62:BO64" si="1225">(($F62/30)*$H62)*$K62</f>
        <v>0</v>
      </c>
      <c r="BP62" s="355">
        <f t="shared" ref="BP62:BR64" si="1226">X62</f>
        <v>0</v>
      </c>
      <c r="BQ62" s="355">
        <f t="shared" si="1226"/>
        <v>0</v>
      </c>
      <c r="BR62" s="355">
        <f t="shared" si="1226"/>
        <v>0</v>
      </c>
      <c r="BS62" s="355">
        <f t="shared" ref="BS62:BS64" si="1227">AA62</f>
        <v>0</v>
      </c>
      <c r="BT62" s="355">
        <f t="shared" ref="BT62:BT64" si="1228">AL62+AQ62</f>
        <v>0</v>
      </c>
      <c r="BU62" s="355">
        <f t="shared" ref="BU62:BU64" si="1229">(BN62+BQ62+BS62)*0.1267</f>
        <v>0</v>
      </c>
      <c r="BV62" s="355">
        <f t="shared" ref="BV62:BV64" si="1230">SUM(BN62:BU62)-BP62-BR62</f>
        <v>0</v>
      </c>
      <c r="BW62" s="1495">
        <f>(($E62/30)*$H62)*$L62</f>
        <v>1050</v>
      </c>
      <c r="BX62" s="1496">
        <f t="shared" ref="BX62:BX64" si="1231">(($F62/30)*$H62)*$L62</f>
        <v>787.5</v>
      </c>
      <c r="BY62" s="1496">
        <f t="shared" ref="BY62:CB62" si="1232">AB62</f>
        <v>0</v>
      </c>
      <c r="BZ62" s="1496">
        <f t="shared" si="1232"/>
        <v>0</v>
      </c>
      <c r="CA62" s="1496">
        <f t="shared" si="1232"/>
        <v>0</v>
      </c>
      <c r="CB62" s="1496">
        <f t="shared" si="1232"/>
        <v>0</v>
      </c>
      <c r="CC62" s="1496">
        <f t="shared" ref="CC62:CC64" si="1233">AM62+AR62</f>
        <v>0</v>
      </c>
      <c r="CD62" s="1496">
        <f t="shared" ref="CD62:CD64" si="1234">(BW62+BZ62+CB62)*0.1267</f>
        <v>133.035</v>
      </c>
      <c r="CE62" s="1496">
        <f t="shared" ref="CE62" si="1235">SUM(BW62:CD62)-BY62-CA62</f>
        <v>1970.5350000000001</v>
      </c>
      <c r="CF62" s="1496">
        <f t="shared" ref="CF62:CF64" si="1236">(($E62/30)*$H62)*M62</f>
        <v>0</v>
      </c>
      <c r="CG62" s="1496">
        <f t="shared" ref="CG62:CG64" si="1237">(($F62/30)*$H62)*$M62</f>
        <v>0</v>
      </c>
      <c r="CH62" s="1496">
        <f t="shared" ref="CH62:CH64" si="1238">+AF62</f>
        <v>0</v>
      </c>
      <c r="CI62" s="1496">
        <f t="shared" ref="CI62:CK62" si="1239">AG62</f>
        <v>0</v>
      </c>
      <c r="CJ62" s="1496">
        <f t="shared" si="1239"/>
        <v>0</v>
      </c>
      <c r="CK62" s="1496">
        <f t="shared" si="1239"/>
        <v>0</v>
      </c>
      <c r="CL62" s="1496">
        <f t="shared" ref="CL62:CL64" si="1240">AN62+AS62</f>
        <v>0</v>
      </c>
      <c r="CM62" s="1496">
        <f t="shared" ref="CM62:CM64" si="1241">(CF62+CI62+CK62)*0.1267</f>
        <v>0</v>
      </c>
      <c r="CN62" s="1497">
        <f t="shared" ref="CN62:CN64" si="1242">SUM(CF62:CM62)-CH62-CJ62</f>
        <v>0</v>
      </c>
      <c r="CP62" s="363" t="s">
        <v>10</v>
      </c>
      <c r="CQ62" s="355">
        <f t="shared" ref="CQ62:CQ64" si="1243">IF($CP62="PROQUIMA",$AV62+$BE62+$BN62+$BW62+$CF62,0)</f>
        <v>7000</v>
      </c>
      <c r="CR62" s="355">
        <f t="shared" ref="CR62:CR64" si="1244">IF($CP62="PROQUIMA",$AW62+$BF62+$BO62+$BX62+$CG62,0)</f>
        <v>5250</v>
      </c>
      <c r="CS62" s="355">
        <f t="shared" ref="CS62:CS64" si="1245">IF($CP62="PROQUIMA",$AX62+$BG62+$BP62+$BY62+$CH62,0)</f>
        <v>0</v>
      </c>
      <c r="CT62" s="355">
        <f t="shared" ref="CT62:CT64" si="1246">IF($CP62="PROQUIMA",$AY62+$BH62+$BQ62+$BZ62+$CI62,0)</f>
        <v>0</v>
      </c>
      <c r="CU62" s="355">
        <f t="shared" ref="CU62:CU64" si="1247">IF($CP62="PROQUIMA",$AZ62+$BI62+$BR62+$CA62+$CJ62,0)</f>
        <v>0</v>
      </c>
      <c r="CV62" s="355">
        <f t="shared" ref="CV62:CV64" si="1248">IF($CP62="PROQUIMA",$BA62+$BJ62+$BS62+$CB62+$CK62,0)</f>
        <v>0</v>
      </c>
      <c r="CW62" s="355">
        <f t="shared" ref="CW62:CW64" si="1249">IF($CP62="PROQUIMA",$BB62+$BK62+$BT62+$CC62+$CL62,0)</f>
        <v>0</v>
      </c>
      <c r="CX62" s="355">
        <f t="shared" ref="CX62:CX64" si="1250">IF($CP62="PROQUIMA",$BC62+$BL62+$BU62+$CD62+CM62,0)</f>
        <v>886.9</v>
      </c>
      <c r="CY62" s="355">
        <f t="shared" ref="CY62:CY64" si="1251">SUM(CQ62:CX62)-CS62-CU62</f>
        <v>13136.9</v>
      </c>
      <c r="CZ62" s="355">
        <f t="shared" ref="CZ62:CZ64" si="1252">IF($CP62="UNHESA",$AV62+$BE62+$BN62+$BW62+$CF62,0)</f>
        <v>0</v>
      </c>
      <c r="DA62" s="355">
        <f t="shared" ref="DA62:DA64" si="1253">IF($CP62="UNHESA",$AW62+$BF62+$BO62+$BX62+$CG62,0)</f>
        <v>0</v>
      </c>
      <c r="DB62" s="355">
        <f t="shared" ref="DB62:DB64" si="1254">IF($CP62="UNHESA",$AX62+$BG62+$BP62+$BY62+$CH62,0)</f>
        <v>0</v>
      </c>
      <c r="DC62" s="355">
        <f t="shared" ref="DC62:DC64" si="1255">IF($CP62="UNHESA",$AY62+$BH62+$BQ62+$BZ62+$CI62,0)</f>
        <v>0</v>
      </c>
      <c r="DD62" s="355">
        <f t="shared" ref="DD62:DD64" si="1256">IF($CP62="UNHESA",$AZ62+$BI62+$BR62+$CA62+$CJ62,0)</f>
        <v>0</v>
      </c>
      <c r="DE62" s="355">
        <f t="shared" ref="DE62:DE64" si="1257">IF($CP62="UNHESA",$BA62+$BJ62+$BS62+$CB62+$CK62,0)</f>
        <v>0</v>
      </c>
      <c r="DF62" s="355">
        <f t="shared" ref="DF62:DF64" si="1258">IF($CP62="UNHESA",$BB62+$BK62+$BT62+$CC62+$CL62,0)</f>
        <v>0</v>
      </c>
      <c r="DG62" s="355">
        <f t="shared" ref="DG62:DG64" si="1259">IF($CP62="UNHESA",$BC62+$BL62+$BU62+$CD62+$CM62,0)</f>
        <v>0</v>
      </c>
      <c r="DH62" s="355">
        <f t="shared" ref="DH62:DH64" si="1260">SUM(CZ62:DG62)-DB62-DD62</f>
        <v>0</v>
      </c>
      <c r="DI62" s="355">
        <f t="shared" ref="DI62:DI64" si="1261">IF($CP62="UNHESA LIQUIDOS",$AV62+$BE62+$BN62+$BW62+$CF62,0)</f>
        <v>0</v>
      </c>
      <c r="DJ62" s="355">
        <f t="shared" ref="DJ62:DJ64" si="1262">IF($CP62="CALIDUL",$AW62+$BF62+$BO62+$BX62+$CG62,0)</f>
        <v>0</v>
      </c>
      <c r="DK62" s="355">
        <f t="shared" ref="DK62:DK64" si="1263">IF($CP62="CALIDUL",$AX62+$BG62+$BP62+$BY62+$CH62,0)</f>
        <v>0</v>
      </c>
      <c r="DL62" s="355">
        <f t="shared" ref="DL62:DL64" si="1264">IF($CP62="CALIDUL",$AY62+$BH62+$BQ62+$BZ62+$CI62,0)</f>
        <v>0</v>
      </c>
      <c r="DM62" s="355">
        <f t="shared" ref="DM62:DM64" si="1265">IF($CP62="CALIDUL",$AZ62+$BI62+$BR62+$CA62+$CJ62,0)</f>
        <v>0</v>
      </c>
      <c r="DN62" s="355">
        <f t="shared" ref="DN62:DN64" si="1266">IF($CP62="CALIDUL",$BA62+$BJ62+$BS62+$CB62+$CK62,0)</f>
        <v>0</v>
      </c>
      <c r="DO62" s="355">
        <f t="shared" ref="DO62:DO64" si="1267">IF($CP62="CALIDUL",$BB62+$BK62+$BT62+$CC62+$CL62,0)</f>
        <v>0</v>
      </c>
      <c r="DP62" s="355">
        <f t="shared" ref="DP62:DP64" si="1268">IF($CP62="CALIDUL",$BC62+$BL62+$BU62+$CD62+$CM62,0)</f>
        <v>0</v>
      </c>
      <c r="DQ62" s="355">
        <f t="shared" ref="DQ62:DQ64" si="1269">SUM(DI62:DP62)-DK62-DM62</f>
        <v>0</v>
      </c>
      <c r="DR62" s="1495">
        <f t="shared" ref="DR62:DR64" si="1270">IF($CP62="ECONACIONAL",$AV62+$BE62+$BN62+$BW62+$CF62,0)</f>
        <v>0</v>
      </c>
      <c r="DS62" s="1496">
        <f t="shared" ref="DS62:DS64" si="1271">IF($CP62="ECONACIONAL",$AW62+$BF62+$BO62+$BX62+$CG62,0)</f>
        <v>0</v>
      </c>
      <c r="DT62" s="1496">
        <f t="shared" ref="DT62:DT64" si="1272">IF($CP62="ECONACIONAL",$AX62+$BG62+$BP62+$BY62+$CH62,0)</f>
        <v>0</v>
      </c>
      <c r="DU62" s="1496">
        <f t="shared" ref="DU62:DU64" si="1273">IF($CP62="ECONACIONAL",$AY62+$BH62+$BQ62+$BZ62+$CI62,0)</f>
        <v>0</v>
      </c>
      <c r="DV62" s="1496">
        <f t="shared" ref="DV62:DV64" si="1274">IF($CP62="ECONACIONAL",$AZ62+$BI62+$BR62+$CA62+$CJ62,0)</f>
        <v>0</v>
      </c>
      <c r="DW62" s="1496">
        <f t="shared" ref="DW62:DW64" si="1275">IF($CP62="ECONACIONAL",$BA62+$BJ62+$BS62+$CB62+$CK62,0)</f>
        <v>0</v>
      </c>
      <c r="DX62" s="1496">
        <f t="shared" ref="DX62:DX64" si="1276">IF($CP62="ECONACIONAL",$BB62+$BK62+$BT62+$CC62+$CL62,0)</f>
        <v>0</v>
      </c>
      <c r="DY62" s="1496">
        <f t="shared" ref="DY62:DY64" si="1277">IF($CP62="ECONACIONAL",$BC62+$BL62+$BU62+$CD62+$CM62,0)</f>
        <v>0</v>
      </c>
      <c r="DZ62" s="1496">
        <f t="shared" ref="DZ62:DZ64" si="1278">SUM(DR62:DY62)-DT62-DV62</f>
        <v>0</v>
      </c>
      <c r="EA62" s="1496">
        <f t="shared" ref="EA62:EA64" si="1279">IF($CP62="CLEARTEC",$AV62+$BE62+$BN62+$BW62+$CF62,0)</f>
        <v>0</v>
      </c>
      <c r="EB62" s="1496">
        <f t="shared" ref="EB62:EB64" si="1280">IF($CP62="CLEARTEC",$AW62+$BF62+$BO62+$BX62+$CG62,0)</f>
        <v>0</v>
      </c>
      <c r="EC62" s="1496">
        <f t="shared" ref="EC62:EC64" si="1281">IF($CP62="CLEARTEC",$AX62+$BG62+$BP62+$BY62+$CH62,0)</f>
        <v>0</v>
      </c>
      <c r="ED62" s="1496">
        <f t="shared" ref="ED62:ED64" si="1282">IF($CP62="CLEARTEC",$AY62+$BH62+$BQ62+$BZ62+$CI62,0)</f>
        <v>0</v>
      </c>
      <c r="EE62" s="1496">
        <f t="shared" ref="EE62:EE64" si="1283">IF($CP62="CLEARTEC",$AZ62+$BI62+$BR62+$CA62+$CJ62,0)</f>
        <v>0</v>
      </c>
      <c r="EF62" s="1496">
        <f t="shared" ref="EF62:EF64" si="1284">IF($CP62="CLEARTEC",$BA62+$BJ62+$BS62+$CB62+$CK62,0)</f>
        <v>0</v>
      </c>
      <c r="EG62" s="1496">
        <f t="shared" ref="EG62:EG64" si="1285">IF($CP62="CLEARTEC",$BB62+$BK62+$BT62+$CC62+$CL62,0)</f>
        <v>0</v>
      </c>
      <c r="EH62" s="1496">
        <f t="shared" ref="EH62:EH64" si="1286">IF($CP62="CLEARTEC",$BC62+$BL62+$BU62+$CD62+$CM62,0)</f>
        <v>0</v>
      </c>
      <c r="EI62" s="1497">
        <f t="shared" ref="EI62:EI64" si="1287">SUM(EA62:EH62)-EC62-EE62</f>
        <v>0</v>
      </c>
      <c r="EK62" s="2202">
        <v>395.6</v>
      </c>
      <c r="EL62" s="1493">
        <f>839.96+651.8</f>
        <v>1491.76</v>
      </c>
      <c r="EM62" s="1475"/>
      <c r="EN62" s="313"/>
      <c r="EO62" s="1475"/>
      <c r="EP62" s="1475">
        <v>150</v>
      </c>
      <c r="EQ62" s="365">
        <f>112.5+75</f>
        <v>187.5</v>
      </c>
      <c r="ER62" s="1475"/>
      <c r="ES62" s="1475"/>
      <c r="ET62" s="363">
        <f>+EO62+EP62+EQ62</f>
        <v>337.5</v>
      </c>
      <c r="EU62" s="1500"/>
      <c r="EV62" s="366">
        <f t="shared" ref="EV62:EV64" si="1288">IF($H62&lt;=15,EK62/2,EK62)</f>
        <v>395.6</v>
      </c>
      <c r="EW62" s="366">
        <f t="shared" ref="EW62:EW64" si="1289">IF($H62&lt;=15,EL62/2,EL62)</f>
        <v>1491.76</v>
      </c>
      <c r="EX62" s="366">
        <f t="shared" ref="EX62:EX64" si="1290">IF($H62&lt;=15,EM62/2,EM62)</f>
        <v>0</v>
      </c>
      <c r="EY62" s="366">
        <f t="shared" ref="EY62:EY64" si="1291">IF($H62&lt;=15,EN62/2,EN62)</f>
        <v>0</v>
      </c>
      <c r="EZ62" s="366">
        <f t="shared" ref="EZ62:EZ64" si="1292">IF($H62&lt;=15,EO62/2,EO62)</f>
        <v>0</v>
      </c>
      <c r="FA62" s="366">
        <f t="shared" ref="FA62:FA64" si="1293">IF($H62&lt;=15,EP62/2,EP62)</f>
        <v>150</v>
      </c>
      <c r="FB62" s="366">
        <f t="shared" ref="FB62:FB64" si="1294">IF($H62&lt;=15,EQ62/2,EQ62)</f>
        <v>187.5</v>
      </c>
      <c r="FC62" s="366">
        <f t="shared" ref="FC62:FC64" si="1295">IF($H62&lt;=15,ER62/2,ER62)</f>
        <v>0</v>
      </c>
      <c r="FD62" s="366">
        <f t="shared" ref="FD62:FD64" si="1296">IF($H62&lt;=15,ES62/2,ES62)</f>
        <v>0</v>
      </c>
      <c r="FE62" s="366">
        <f t="shared" ref="FE62:FE64" si="1297">IF($H62&lt;=15,ET62/2,ET62)</f>
        <v>337.5</v>
      </c>
      <c r="FF62" s="364">
        <v>0.7</v>
      </c>
      <c r="FG62" s="364">
        <v>0.3</v>
      </c>
      <c r="FH62" s="364">
        <v>0</v>
      </c>
      <c r="FI62" s="364">
        <v>0</v>
      </c>
      <c r="FJ62" s="364">
        <v>0</v>
      </c>
      <c r="FK62" s="364">
        <v>1</v>
      </c>
      <c r="FL62" s="1441">
        <f t="shared" si="272"/>
        <v>0</v>
      </c>
    </row>
    <row r="63" spans="1:260" s="1474" customFormat="1" ht="15" customHeight="1" outlineLevel="1">
      <c r="A63" s="1454">
        <f>+A62+1</f>
        <v>39</v>
      </c>
      <c r="B63" s="213" t="s">
        <v>657</v>
      </c>
      <c r="C63" s="365" t="s">
        <v>435</v>
      </c>
      <c r="D63" s="363" t="s">
        <v>10</v>
      </c>
      <c r="E63" s="314">
        <v>3459.24</v>
      </c>
      <c r="F63" s="1431">
        <v>1250</v>
      </c>
      <c r="G63" s="1431">
        <f t="shared" ref="G63" si="1298">+E63+F63</f>
        <v>4709.24</v>
      </c>
      <c r="H63" s="355">
        <v>30</v>
      </c>
      <c r="I63" s="1494">
        <v>0.45</v>
      </c>
      <c r="J63" s="1494">
        <v>0.4</v>
      </c>
      <c r="K63" s="1494">
        <v>0</v>
      </c>
      <c r="L63" s="1432">
        <v>0.15</v>
      </c>
      <c r="M63" s="1432">
        <v>0</v>
      </c>
      <c r="N63" s="1432">
        <f t="shared" ref="N63" si="1299">SUM(I63:M63)</f>
        <v>1</v>
      </c>
      <c r="P63" s="1535">
        <v>0</v>
      </c>
      <c r="Q63" s="355">
        <f t="shared" ref="Q63" si="1300">($E63/30/8*1.5)*P63</f>
        <v>0</v>
      </c>
      <c r="R63" s="366"/>
      <c r="S63" s="355">
        <f t="shared" ref="S63" si="1301">($E63/30/8*2)*R63</f>
        <v>0</v>
      </c>
      <c r="T63" s="366"/>
      <c r="U63" s="355">
        <f t="shared" ref="U63" si="1302">($E63/30/8*1.5)*T63</f>
        <v>0</v>
      </c>
      <c r="V63" s="366"/>
      <c r="W63" s="355">
        <f t="shared" ref="W63" si="1303">($E63/30/8*2)*V63</f>
        <v>0</v>
      </c>
      <c r="X63" s="366"/>
      <c r="Y63" s="355">
        <f t="shared" ref="Y63" si="1304">(($E63/30/8)*1.5)*X63</f>
        <v>0</v>
      </c>
      <c r="Z63" s="1434"/>
      <c r="AA63" s="355">
        <f t="shared" ref="AA63" si="1305">(($E63/30/8)*2)*Z63</f>
        <v>0</v>
      </c>
      <c r="AB63" s="1434"/>
      <c r="AC63" s="355">
        <f t="shared" ref="AC63" si="1306">(($E63/30/8)*1.5)*AB63</f>
        <v>0</v>
      </c>
      <c r="AD63" s="1434"/>
      <c r="AE63" s="355">
        <f t="shared" ref="AE63" si="1307">(($E63/30/8)*2)*AD63</f>
        <v>0</v>
      </c>
      <c r="AF63" s="1434"/>
      <c r="AG63" s="355">
        <f t="shared" ref="AG63" si="1308">(($E63/30/8)*1.5)*AF63</f>
        <v>0</v>
      </c>
      <c r="AH63" s="1434"/>
      <c r="AI63" s="355">
        <f t="shared" ref="AI63" si="1309">(($E63/30/8)*2)*AH63</f>
        <v>0</v>
      </c>
      <c r="AJ63" s="1431"/>
      <c r="AK63" s="1431"/>
      <c r="AL63" s="1431"/>
      <c r="AM63" s="1431"/>
      <c r="AN63" s="1431"/>
      <c r="AO63" s="1431"/>
      <c r="AP63" s="1431"/>
      <c r="AQ63" s="1431"/>
      <c r="AR63" s="1431"/>
      <c r="AS63" s="1431"/>
      <c r="AT63" s="1431"/>
      <c r="AU63" s="1536"/>
      <c r="AV63" s="355">
        <f t="shared" ref="AV63" si="1310">((E63/30)*H63)*$I63</f>
        <v>1556.6579999999999</v>
      </c>
      <c r="AW63" s="355">
        <f>((F63/30)*H63)*$I63</f>
        <v>562.5</v>
      </c>
      <c r="AX63" s="355">
        <f t="shared" ref="AX63" si="1311">P63</f>
        <v>0</v>
      </c>
      <c r="AY63" s="355">
        <f t="shared" ref="AY63" si="1312">Q63</f>
        <v>0</v>
      </c>
      <c r="AZ63" s="355">
        <f t="shared" ref="AZ63" si="1313">R63</f>
        <v>0</v>
      </c>
      <c r="BA63" s="355">
        <f t="shared" ref="BA63" si="1314">S63</f>
        <v>0</v>
      </c>
      <c r="BB63" s="355">
        <f t="shared" ref="BB63" si="1315">AJ63+AO63</f>
        <v>0</v>
      </c>
      <c r="BC63" s="355">
        <f t="shared" ref="BC63" si="1316">(AV63+AY63+BA63)*0.1267</f>
        <v>197.22856859999999</v>
      </c>
      <c r="BD63" s="355">
        <f t="shared" ref="BD63" si="1317">SUM(AV63:BC63)-AX63-AZ63</f>
        <v>2316.3865685999999</v>
      </c>
      <c r="BE63" s="355">
        <f t="shared" si="1219"/>
        <v>1383.6959999999999</v>
      </c>
      <c r="BF63" s="355">
        <f>(($F63/30)*$H63)*$J63</f>
        <v>500</v>
      </c>
      <c r="BG63" s="355">
        <f t="shared" ref="BG63" si="1318">T63</f>
        <v>0</v>
      </c>
      <c r="BH63" s="355">
        <f t="shared" ref="BH63" si="1319">U63</f>
        <v>0</v>
      </c>
      <c r="BI63" s="355">
        <f t="shared" ref="BI63" si="1320">V63</f>
        <v>0</v>
      </c>
      <c r="BJ63" s="355">
        <f t="shared" ref="BJ63" si="1321">W63</f>
        <v>0</v>
      </c>
      <c r="BK63" s="355">
        <f t="shared" ref="BK63" si="1322">AK63+AP63</f>
        <v>0</v>
      </c>
      <c r="BL63" s="355">
        <f t="shared" ref="BL63" si="1323">(+BE63+BH63+BK63)*0.1267</f>
        <v>175.31428320000001</v>
      </c>
      <c r="BM63" s="1431">
        <f t="shared" ref="BM63" si="1324">SUM(BE63:BL63)-BG63-BI63</f>
        <v>2059.0102831999998</v>
      </c>
      <c r="BN63" s="355">
        <f t="shared" si="1224"/>
        <v>0</v>
      </c>
      <c r="BO63" s="355">
        <f t="shared" si="1225"/>
        <v>0</v>
      </c>
      <c r="BP63" s="355">
        <f t="shared" ref="BP63" si="1325">X63</f>
        <v>0</v>
      </c>
      <c r="BQ63" s="355">
        <f t="shared" ref="BQ63" si="1326">Y63</f>
        <v>0</v>
      </c>
      <c r="BR63" s="355">
        <f t="shared" ref="BR63" si="1327">Z63</f>
        <v>0</v>
      </c>
      <c r="BS63" s="355">
        <f t="shared" ref="BS63" si="1328">AA63</f>
        <v>0</v>
      </c>
      <c r="BT63" s="355">
        <f t="shared" ref="BT63" si="1329">AL63+AQ63</f>
        <v>0</v>
      </c>
      <c r="BU63" s="355">
        <f t="shared" ref="BU63" si="1330">(BN63+BQ63+BS63)*0.1267</f>
        <v>0</v>
      </c>
      <c r="BV63" s="355">
        <f t="shared" ref="BV63" si="1331">SUM(BN63:BU63)-BP63-BR63</f>
        <v>0</v>
      </c>
      <c r="BW63" s="1495">
        <f>(($E63/30)*$H63)*$L63</f>
        <v>518.88599999999997</v>
      </c>
      <c r="BX63" s="1496">
        <f t="shared" si="1231"/>
        <v>187.5</v>
      </c>
      <c r="BY63" s="1496">
        <f t="shared" ref="BY63" si="1332">AB63</f>
        <v>0</v>
      </c>
      <c r="BZ63" s="1496">
        <f t="shared" ref="BZ63" si="1333">AC63</f>
        <v>0</v>
      </c>
      <c r="CA63" s="1496">
        <f t="shared" ref="CA63" si="1334">AD63</f>
        <v>0</v>
      </c>
      <c r="CB63" s="1496">
        <f t="shared" ref="CB63" si="1335">AE63</f>
        <v>0</v>
      </c>
      <c r="CC63" s="1496">
        <f t="shared" ref="CC63" si="1336">AM63+AR63</f>
        <v>0</v>
      </c>
      <c r="CD63" s="1496">
        <f t="shared" ref="CD63" si="1337">(BW63+BZ63+CB63)*0.1267</f>
        <v>65.742856200000006</v>
      </c>
      <c r="CE63" s="1496">
        <f t="shared" ref="CE63" si="1338">SUM(BW63:CD63)-BY63-CA63</f>
        <v>772.12885619999997</v>
      </c>
      <c r="CF63" s="1496">
        <f t="shared" ref="CF63" si="1339">(($E63/30)*$H63)*M63</f>
        <v>0</v>
      </c>
      <c r="CG63" s="1496">
        <f t="shared" si="1237"/>
        <v>0</v>
      </c>
      <c r="CH63" s="1496">
        <f t="shared" ref="CH63" si="1340">+AF63</f>
        <v>0</v>
      </c>
      <c r="CI63" s="1496">
        <f t="shared" ref="CI63" si="1341">AG63</f>
        <v>0</v>
      </c>
      <c r="CJ63" s="1496">
        <f t="shared" ref="CJ63" si="1342">AH63</f>
        <v>0</v>
      </c>
      <c r="CK63" s="1496">
        <f t="shared" ref="CK63" si="1343">AI63</f>
        <v>0</v>
      </c>
      <c r="CL63" s="1496">
        <f t="shared" ref="CL63" si="1344">AN63+AS63</f>
        <v>0</v>
      </c>
      <c r="CM63" s="1496">
        <f t="shared" ref="CM63" si="1345">(CF63+CI63+CK63)*0.1267</f>
        <v>0</v>
      </c>
      <c r="CN63" s="1497">
        <f t="shared" ref="CN63" si="1346">SUM(CF63:CM63)-CH63-CJ63</f>
        <v>0</v>
      </c>
      <c r="CP63" s="363" t="s">
        <v>10</v>
      </c>
      <c r="CQ63" s="355">
        <f t="shared" si="1243"/>
        <v>3459.24</v>
      </c>
      <c r="CR63" s="355">
        <f t="shared" si="1244"/>
        <v>1250</v>
      </c>
      <c r="CS63" s="355">
        <f t="shared" si="1245"/>
        <v>0</v>
      </c>
      <c r="CT63" s="355">
        <f t="shared" si="1246"/>
        <v>0</v>
      </c>
      <c r="CU63" s="355">
        <f t="shared" si="1247"/>
        <v>0</v>
      </c>
      <c r="CV63" s="355">
        <f t="shared" si="1248"/>
        <v>0</v>
      </c>
      <c r="CW63" s="355">
        <f t="shared" si="1249"/>
        <v>0</v>
      </c>
      <c r="CX63" s="355">
        <f t="shared" ref="CX63" si="1347">IF($CP63="PROQUIMA",$BC63+$BL63+$BU63+$CD63+CM63,0)</f>
        <v>438.285708</v>
      </c>
      <c r="CY63" s="355">
        <f t="shared" ref="CY63" si="1348">SUM(CQ63:CX63)-CS63-CU63</f>
        <v>5147.5257080000001</v>
      </c>
      <c r="CZ63" s="355">
        <f t="shared" si="1252"/>
        <v>0</v>
      </c>
      <c r="DA63" s="355">
        <f t="shared" si="1253"/>
        <v>0</v>
      </c>
      <c r="DB63" s="355">
        <f t="shared" si="1254"/>
        <v>0</v>
      </c>
      <c r="DC63" s="355">
        <f t="shared" si="1255"/>
        <v>0</v>
      </c>
      <c r="DD63" s="355">
        <f t="shared" si="1256"/>
        <v>0</v>
      </c>
      <c r="DE63" s="355">
        <f t="shared" si="1257"/>
        <v>0</v>
      </c>
      <c r="DF63" s="355">
        <f t="shared" si="1258"/>
        <v>0</v>
      </c>
      <c r="DG63" s="355">
        <f t="shared" si="1259"/>
        <v>0</v>
      </c>
      <c r="DH63" s="355">
        <f t="shared" ref="DH63" si="1349">SUM(CZ63:DG63)-DB63-DD63</f>
        <v>0</v>
      </c>
      <c r="DI63" s="355">
        <f t="shared" si="1261"/>
        <v>0</v>
      </c>
      <c r="DJ63" s="355">
        <f t="shared" si="1262"/>
        <v>0</v>
      </c>
      <c r="DK63" s="355">
        <f t="shared" si="1263"/>
        <v>0</v>
      </c>
      <c r="DL63" s="355">
        <f t="shared" si="1264"/>
        <v>0</v>
      </c>
      <c r="DM63" s="355">
        <f t="shared" si="1265"/>
        <v>0</v>
      </c>
      <c r="DN63" s="355">
        <f t="shared" si="1266"/>
        <v>0</v>
      </c>
      <c r="DO63" s="355">
        <f t="shared" si="1267"/>
        <v>0</v>
      </c>
      <c r="DP63" s="355">
        <f t="shared" si="1268"/>
        <v>0</v>
      </c>
      <c r="DQ63" s="355">
        <f t="shared" ref="DQ63" si="1350">SUM(DI63:DP63)-DK63-DM63</f>
        <v>0</v>
      </c>
      <c r="DR63" s="1495">
        <f t="shared" si="1270"/>
        <v>0</v>
      </c>
      <c r="DS63" s="1496">
        <f t="shared" si="1271"/>
        <v>0</v>
      </c>
      <c r="DT63" s="1496">
        <f t="shared" si="1272"/>
        <v>0</v>
      </c>
      <c r="DU63" s="1496">
        <f t="shared" si="1273"/>
        <v>0</v>
      </c>
      <c r="DV63" s="1496">
        <f t="shared" si="1274"/>
        <v>0</v>
      </c>
      <c r="DW63" s="1496">
        <f t="shared" si="1275"/>
        <v>0</v>
      </c>
      <c r="DX63" s="1496">
        <f t="shared" si="1276"/>
        <v>0</v>
      </c>
      <c r="DY63" s="1496">
        <f t="shared" si="1277"/>
        <v>0</v>
      </c>
      <c r="DZ63" s="1496">
        <f t="shared" ref="DZ63" si="1351">SUM(DR63:DY63)-DT63-DV63</f>
        <v>0</v>
      </c>
      <c r="EA63" s="1496">
        <f t="shared" si="1279"/>
        <v>0</v>
      </c>
      <c r="EB63" s="1496">
        <f t="shared" si="1280"/>
        <v>0</v>
      </c>
      <c r="EC63" s="1496">
        <f t="shared" si="1281"/>
        <v>0</v>
      </c>
      <c r="ED63" s="1496">
        <f t="shared" si="1282"/>
        <v>0</v>
      </c>
      <c r="EE63" s="1496">
        <f t="shared" si="1283"/>
        <v>0</v>
      </c>
      <c r="EF63" s="1496">
        <f t="shared" si="1284"/>
        <v>0</v>
      </c>
      <c r="EG63" s="1496">
        <f t="shared" si="1285"/>
        <v>0</v>
      </c>
      <c r="EH63" s="1496">
        <f t="shared" si="1286"/>
        <v>0</v>
      </c>
      <c r="EI63" s="1497">
        <f t="shared" ref="EI63" si="1352">SUM(EA63:EH63)-EC63-EE63</f>
        <v>0</v>
      </c>
      <c r="EK63" s="2202">
        <v>27.11</v>
      </c>
      <c r="EL63" s="1475"/>
      <c r="EM63" s="1475"/>
      <c r="EN63" s="1475">
        <f>139+306.5</f>
        <v>445.5</v>
      </c>
      <c r="EO63" s="1475"/>
      <c r="EP63" s="1475">
        <v>50</v>
      </c>
      <c r="EQ63" s="1475"/>
      <c r="ER63" s="1475"/>
      <c r="ES63" s="1475"/>
      <c r="ET63" s="363">
        <f>+EO63+EP63+EQ63</f>
        <v>50</v>
      </c>
      <c r="EU63" s="1500"/>
      <c r="EV63" s="366">
        <f t="shared" ref="EV63" si="1353">IF($H63&lt;=15,EK63/2,EK63)</f>
        <v>27.11</v>
      </c>
      <c r="EW63" s="366">
        <f t="shared" ref="EW63" si="1354">IF($H63&lt;=15,EL63/2,EL63)</f>
        <v>0</v>
      </c>
      <c r="EX63" s="366">
        <f t="shared" ref="EX63" si="1355">IF($H63&lt;=15,EM63/2,EM63)</f>
        <v>0</v>
      </c>
      <c r="EY63" s="366">
        <f t="shared" ref="EY63" si="1356">IF($H63&lt;=15,EN63/2,EN63)</f>
        <v>445.5</v>
      </c>
      <c r="EZ63" s="366">
        <f t="shared" ref="EZ63" si="1357">IF($H63&lt;=15,EO63/2,EO63)</f>
        <v>0</v>
      </c>
      <c r="FA63" s="366">
        <f t="shared" ref="FA63" si="1358">IF($H63&lt;=15,EP63/2,EP63)</f>
        <v>50</v>
      </c>
      <c r="FB63" s="366">
        <f t="shared" ref="FB63" si="1359">IF($H63&lt;=15,EQ63/2,EQ63)</f>
        <v>0</v>
      </c>
      <c r="FC63" s="366">
        <f t="shared" ref="FC63" si="1360">IF($H63&lt;=15,ER63/2,ER63)</f>
        <v>0</v>
      </c>
      <c r="FD63" s="366">
        <f t="shared" ref="FD63" si="1361">IF($H63&lt;=15,ES63/2,ES63)</f>
        <v>0</v>
      </c>
      <c r="FE63" s="366">
        <f t="shared" ref="FE63" si="1362">IF($H63&lt;=15,ET63/2,ET63)</f>
        <v>50</v>
      </c>
      <c r="FF63" s="364"/>
      <c r="FG63" s="364"/>
      <c r="FH63" s="364"/>
      <c r="FI63" s="364"/>
      <c r="FJ63" s="364"/>
      <c r="FK63" s="364"/>
      <c r="FL63" s="1441"/>
    </row>
    <row r="64" spans="1:260" s="1474" customFormat="1" ht="15" customHeight="1" outlineLevel="1">
      <c r="A64" s="1454">
        <f>+A63+1</f>
        <v>40</v>
      </c>
      <c r="B64" s="213" t="s">
        <v>535</v>
      </c>
      <c r="C64" s="365" t="s">
        <v>435</v>
      </c>
      <c r="D64" s="365" t="s">
        <v>10</v>
      </c>
      <c r="E64" s="315">
        <v>4750</v>
      </c>
      <c r="F64" s="1526">
        <v>1250</v>
      </c>
      <c r="G64" s="1526">
        <f t="shared" si="1202"/>
        <v>6000</v>
      </c>
      <c r="H64" s="355">
        <v>30</v>
      </c>
      <c r="I64" s="1537">
        <v>0.45</v>
      </c>
      <c r="J64" s="1537">
        <v>0.4</v>
      </c>
      <c r="K64" s="1537">
        <v>0</v>
      </c>
      <c r="L64" s="1503">
        <v>0.15</v>
      </c>
      <c r="M64" s="1503">
        <v>0</v>
      </c>
      <c r="N64" s="1503">
        <f t="shared" si="1203"/>
        <v>1</v>
      </c>
      <c r="O64" s="1464"/>
      <c r="P64" s="1538"/>
      <c r="Q64" s="1466">
        <f t="shared" si="1204"/>
        <v>0</v>
      </c>
      <c r="R64" s="1465"/>
      <c r="S64" s="1466">
        <f t="shared" si="1205"/>
        <v>0</v>
      </c>
      <c r="T64" s="1465"/>
      <c r="U64" s="1466">
        <f t="shared" si="1206"/>
        <v>0</v>
      </c>
      <c r="V64" s="1465"/>
      <c r="W64" s="1466">
        <f t="shared" si="1207"/>
        <v>0</v>
      </c>
      <c r="X64" s="1465"/>
      <c r="Y64" s="1466">
        <f t="shared" si="1208"/>
        <v>0</v>
      </c>
      <c r="Z64" s="1467"/>
      <c r="AA64" s="1466">
        <f t="shared" si="1209"/>
        <v>0</v>
      </c>
      <c r="AB64" s="1467"/>
      <c r="AC64" s="1466">
        <f t="shared" si="1210"/>
        <v>0</v>
      </c>
      <c r="AD64" s="1467"/>
      <c r="AE64" s="1466">
        <f t="shared" si="1211"/>
        <v>0</v>
      </c>
      <c r="AF64" s="1467"/>
      <c r="AG64" s="1466">
        <f t="shared" si="1212"/>
        <v>0</v>
      </c>
      <c r="AH64" s="1467"/>
      <c r="AI64" s="1466">
        <f t="shared" si="1213"/>
        <v>0</v>
      </c>
      <c r="AJ64" s="1462"/>
      <c r="AK64" s="1462"/>
      <c r="AL64" s="1462"/>
      <c r="AM64" s="1462"/>
      <c r="AN64" s="1462"/>
      <c r="AO64" s="1462"/>
      <c r="AP64" s="1462"/>
      <c r="AQ64" s="1462"/>
      <c r="AR64" s="1462"/>
      <c r="AS64" s="1462"/>
      <c r="AT64" s="1462"/>
      <c r="AU64" s="1536"/>
      <c r="AV64" s="1466">
        <f t="shared" si="1214"/>
        <v>2137.5</v>
      </c>
      <c r="AW64" s="1539">
        <f>((F64/30)*H64)*$I64</f>
        <v>562.5</v>
      </c>
      <c r="AX64" s="1466">
        <f t="shared" si="1215"/>
        <v>0</v>
      </c>
      <c r="AY64" s="1466">
        <f t="shared" si="1215"/>
        <v>0</v>
      </c>
      <c r="AZ64" s="1466">
        <f t="shared" si="1215"/>
        <v>0</v>
      </c>
      <c r="BA64" s="1466">
        <f t="shared" si="1215"/>
        <v>0</v>
      </c>
      <c r="BB64" s="1466">
        <f t="shared" si="1216"/>
        <v>0</v>
      </c>
      <c r="BC64" s="1466">
        <f t="shared" si="1217"/>
        <v>270.82125000000002</v>
      </c>
      <c r="BD64" s="1466">
        <f t="shared" si="1218"/>
        <v>2970.82125</v>
      </c>
      <c r="BE64" s="1466">
        <f t="shared" si="1219"/>
        <v>1900</v>
      </c>
      <c r="BF64" s="324">
        <f>(($F64/30)*$H64)*$J64</f>
        <v>500</v>
      </c>
      <c r="BG64" s="1466">
        <f t="shared" si="1220"/>
        <v>0</v>
      </c>
      <c r="BH64" s="1466">
        <f t="shared" si="1220"/>
        <v>0</v>
      </c>
      <c r="BI64" s="1466">
        <f t="shared" si="1220"/>
        <v>0</v>
      </c>
      <c r="BJ64" s="1466">
        <f t="shared" si="1220"/>
        <v>0</v>
      </c>
      <c r="BK64" s="1466">
        <f t="shared" si="1221"/>
        <v>0</v>
      </c>
      <c r="BL64" s="1466">
        <f t="shared" si="1222"/>
        <v>240.73000000000002</v>
      </c>
      <c r="BM64" s="1462">
        <f t="shared" si="1223"/>
        <v>2640.73</v>
      </c>
      <c r="BN64" s="1466">
        <f t="shared" si="1224"/>
        <v>0</v>
      </c>
      <c r="BO64" s="1466">
        <f t="shared" si="1225"/>
        <v>0</v>
      </c>
      <c r="BP64" s="1466">
        <f t="shared" si="1226"/>
        <v>0</v>
      </c>
      <c r="BQ64" s="1466">
        <f t="shared" si="1226"/>
        <v>0</v>
      </c>
      <c r="BR64" s="1466">
        <f t="shared" si="1226"/>
        <v>0</v>
      </c>
      <c r="BS64" s="1466">
        <f t="shared" si="1227"/>
        <v>0</v>
      </c>
      <c r="BT64" s="1466">
        <f t="shared" si="1228"/>
        <v>0</v>
      </c>
      <c r="BU64" s="1466">
        <f t="shared" si="1229"/>
        <v>0</v>
      </c>
      <c r="BV64" s="1466">
        <f t="shared" si="1230"/>
        <v>0</v>
      </c>
      <c r="BW64" s="1540">
        <f>(($E64/30)*$H64)*$L64</f>
        <v>712.5</v>
      </c>
      <c r="BX64" s="1541">
        <f t="shared" si="1231"/>
        <v>187.5</v>
      </c>
      <c r="BY64" s="1541">
        <f t="shared" ref="BY64:CB64" si="1363">AB64</f>
        <v>0</v>
      </c>
      <c r="BZ64" s="1541">
        <f t="shared" si="1363"/>
        <v>0</v>
      </c>
      <c r="CA64" s="1541">
        <f t="shared" si="1363"/>
        <v>0</v>
      </c>
      <c r="CB64" s="1541">
        <f t="shared" si="1363"/>
        <v>0</v>
      </c>
      <c r="CC64" s="1541">
        <f t="shared" si="1233"/>
        <v>0</v>
      </c>
      <c r="CD64" s="1541">
        <f t="shared" si="1234"/>
        <v>90.273750000000007</v>
      </c>
      <c r="CE64" s="1541">
        <f>SUM(BW64:CD64)-BY64-CA64</f>
        <v>990.27375000000006</v>
      </c>
      <c r="CF64" s="1541">
        <f t="shared" si="1236"/>
        <v>0</v>
      </c>
      <c r="CG64" s="1541">
        <f t="shared" si="1237"/>
        <v>0</v>
      </c>
      <c r="CH64" s="1541">
        <f t="shared" si="1238"/>
        <v>0</v>
      </c>
      <c r="CI64" s="1541">
        <f t="shared" ref="CI64:CK64" si="1364">AG64</f>
        <v>0</v>
      </c>
      <c r="CJ64" s="1541">
        <f t="shared" si="1364"/>
        <v>0</v>
      </c>
      <c r="CK64" s="1541">
        <f t="shared" si="1364"/>
        <v>0</v>
      </c>
      <c r="CL64" s="1541">
        <f t="shared" si="1240"/>
        <v>0</v>
      </c>
      <c r="CM64" s="1541">
        <f t="shared" si="1241"/>
        <v>0</v>
      </c>
      <c r="CN64" s="1542">
        <f t="shared" si="1242"/>
        <v>0</v>
      </c>
      <c r="CP64" s="1475" t="s">
        <v>10</v>
      </c>
      <c r="CQ64" s="1466">
        <f t="shared" si="1243"/>
        <v>4750</v>
      </c>
      <c r="CR64" s="1466">
        <f t="shared" si="1244"/>
        <v>1250</v>
      </c>
      <c r="CS64" s="1466">
        <f t="shared" si="1245"/>
        <v>0</v>
      </c>
      <c r="CT64" s="1466">
        <f t="shared" si="1246"/>
        <v>0</v>
      </c>
      <c r="CU64" s="1466">
        <f t="shared" si="1247"/>
        <v>0</v>
      </c>
      <c r="CV64" s="1466">
        <f t="shared" si="1248"/>
        <v>0</v>
      </c>
      <c r="CW64" s="1466">
        <f t="shared" si="1249"/>
        <v>0</v>
      </c>
      <c r="CX64" s="1466">
        <f t="shared" si="1250"/>
        <v>601.82500000000005</v>
      </c>
      <c r="CY64" s="1466">
        <f t="shared" si="1251"/>
        <v>6601.8249999999998</v>
      </c>
      <c r="CZ64" s="1466">
        <f t="shared" si="1252"/>
        <v>0</v>
      </c>
      <c r="DA64" s="1466">
        <f t="shared" si="1253"/>
        <v>0</v>
      </c>
      <c r="DB64" s="1466">
        <f t="shared" si="1254"/>
        <v>0</v>
      </c>
      <c r="DC64" s="1466">
        <f t="shared" si="1255"/>
        <v>0</v>
      </c>
      <c r="DD64" s="1466">
        <f t="shared" si="1256"/>
        <v>0</v>
      </c>
      <c r="DE64" s="1466">
        <f t="shared" si="1257"/>
        <v>0</v>
      </c>
      <c r="DF64" s="1466">
        <f t="shared" si="1258"/>
        <v>0</v>
      </c>
      <c r="DG64" s="1466">
        <f t="shared" si="1259"/>
        <v>0</v>
      </c>
      <c r="DH64" s="1466">
        <f t="shared" si="1260"/>
        <v>0</v>
      </c>
      <c r="DI64" s="1466">
        <f t="shared" si="1261"/>
        <v>0</v>
      </c>
      <c r="DJ64" s="1466">
        <f t="shared" si="1262"/>
        <v>0</v>
      </c>
      <c r="DK64" s="1466">
        <f t="shared" si="1263"/>
        <v>0</v>
      </c>
      <c r="DL64" s="1466">
        <f t="shared" si="1264"/>
        <v>0</v>
      </c>
      <c r="DM64" s="1466">
        <f t="shared" si="1265"/>
        <v>0</v>
      </c>
      <c r="DN64" s="1466">
        <f t="shared" si="1266"/>
        <v>0</v>
      </c>
      <c r="DO64" s="1466">
        <f t="shared" si="1267"/>
        <v>0</v>
      </c>
      <c r="DP64" s="1466">
        <f t="shared" si="1268"/>
        <v>0</v>
      </c>
      <c r="DQ64" s="1466">
        <f t="shared" si="1269"/>
        <v>0</v>
      </c>
      <c r="DR64" s="1540">
        <f t="shared" si="1270"/>
        <v>0</v>
      </c>
      <c r="DS64" s="1541">
        <f t="shared" si="1271"/>
        <v>0</v>
      </c>
      <c r="DT64" s="1541">
        <f t="shared" si="1272"/>
        <v>0</v>
      </c>
      <c r="DU64" s="1541">
        <f t="shared" si="1273"/>
        <v>0</v>
      </c>
      <c r="DV64" s="1541">
        <f t="shared" si="1274"/>
        <v>0</v>
      </c>
      <c r="DW64" s="1541">
        <f t="shared" si="1275"/>
        <v>0</v>
      </c>
      <c r="DX64" s="1541">
        <f t="shared" si="1276"/>
        <v>0</v>
      </c>
      <c r="DY64" s="1541">
        <f t="shared" si="1277"/>
        <v>0</v>
      </c>
      <c r="DZ64" s="1541">
        <f t="shared" si="1278"/>
        <v>0</v>
      </c>
      <c r="EA64" s="1541">
        <f t="shared" si="1279"/>
        <v>0</v>
      </c>
      <c r="EB64" s="1541">
        <f t="shared" si="1280"/>
        <v>0</v>
      </c>
      <c r="EC64" s="1541">
        <f t="shared" si="1281"/>
        <v>0</v>
      </c>
      <c r="ED64" s="1541">
        <f t="shared" si="1282"/>
        <v>0</v>
      </c>
      <c r="EE64" s="1541">
        <f t="shared" si="1283"/>
        <v>0</v>
      </c>
      <c r="EF64" s="1541">
        <f t="shared" si="1284"/>
        <v>0</v>
      </c>
      <c r="EG64" s="1541">
        <f t="shared" si="1285"/>
        <v>0</v>
      </c>
      <c r="EH64" s="1541">
        <f t="shared" si="1286"/>
        <v>0</v>
      </c>
      <c r="EI64" s="1542">
        <f t="shared" si="1287"/>
        <v>0</v>
      </c>
      <c r="EK64" s="2202">
        <v>88.53</v>
      </c>
      <c r="EL64" s="1475"/>
      <c r="EM64" s="1475"/>
      <c r="EN64" s="1543"/>
      <c r="EO64" s="1475"/>
      <c r="EP64" s="1440"/>
      <c r="EQ64" s="1475"/>
      <c r="ER64" s="1475"/>
      <c r="ES64" s="1543"/>
      <c r="ET64" s="1475">
        <f>+EO64+EP64+EQ64</f>
        <v>0</v>
      </c>
      <c r="EU64" s="1500"/>
      <c r="EV64" s="1465">
        <f t="shared" si="1288"/>
        <v>88.53</v>
      </c>
      <c r="EW64" s="1465">
        <f t="shared" si="1289"/>
        <v>0</v>
      </c>
      <c r="EX64" s="1465">
        <f t="shared" si="1290"/>
        <v>0</v>
      </c>
      <c r="EY64" s="1465">
        <f t="shared" si="1291"/>
        <v>0</v>
      </c>
      <c r="EZ64" s="1465">
        <f t="shared" si="1292"/>
        <v>0</v>
      </c>
      <c r="FA64" s="1465">
        <f t="shared" si="1293"/>
        <v>0</v>
      </c>
      <c r="FB64" s="1465">
        <f t="shared" si="1294"/>
        <v>0</v>
      </c>
      <c r="FC64" s="1465">
        <f t="shared" si="1295"/>
        <v>0</v>
      </c>
      <c r="FD64" s="1465">
        <f t="shared" si="1296"/>
        <v>0</v>
      </c>
      <c r="FE64" s="1465">
        <f t="shared" si="1297"/>
        <v>0</v>
      </c>
      <c r="FF64" s="1476">
        <v>0.5</v>
      </c>
      <c r="FG64" s="1476">
        <v>0.5</v>
      </c>
      <c r="FH64" s="1476">
        <v>0</v>
      </c>
      <c r="FI64" s="1476">
        <v>0</v>
      </c>
      <c r="FJ64" s="1476">
        <v>0</v>
      </c>
      <c r="FK64" s="1476">
        <v>1</v>
      </c>
      <c r="FL64" s="1464">
        <f>+EP64-FA64</f>
        <v>0</v>
      </c>
    </row>
    <row r="65" spans="1:172" s="1474" customFormat="1" ht="15.75" customHeight="1" outlineLevel="1" thickBot="1">
      <c r="A65" s="1403"/>
      <c r="B65" s="1442"/>
      <c r="C65" s="1339" t="s">
        <v>431</v>
      </c>
      <c r="D65" s="1414"/>
      <c r="E65" s="1544">
        <f>+SUM(E62:E64)</f>
        <v>15209.24</v>
      </c>
      <c r="F65" s="1545">
        <f>+SUM(F62:F64)</f>
        <v>7750</v>
      </c>
      <c r="G65" s="1545">
        <f>+SUM(G62:G64)</f>
        <v>22959.239999999998</v>
      </c>
      <c r="H65" s="1444"/>
      <c r="I65" s="1546"/>
      <c r="J65" s="1546"/>
      <c r="K65" s="1546"/>
      <c r="L65" s="1445"/>
      <c r="M65" s="1445"/>
      <c r="N65" s="1445"/>
      <c r="P65" s="1547">
        <f t="shared" ref="P65:AU65" si="1365">+SUM(P62:P64)</f>
        <v>0</v>
      </c>
      <c r="Q65" s="1547">
        <f t="shared" si="1365"/>
        <v>0</v>
      </c>
      <c r="R65" s="1547">
        <f t="shared" si="1365"/>
        <v>0</v>
      </c>
      <c r="S65" s="1547">
        <f t="shared" si="1365"/>
        <v>0</v>
      </c>
      <c r="T65" s="1547">
        <f t="shared" si="1365"/>
        <v>0</v>
      </c>
      <c r="U65" s="1547">
        <f t="shared" si="1365"/>
        <v>0</v>
      </c>
      <c r="V65" s="1547">
        <f t="shared" si="1365"/>
        <v>0</v>
      </c>
      <c r="W65" s="1547">
        <f t="shared" si="1365"/>
        <v>0</v>
      </c>
      <c r="X65" s="1547">
        <f t="shared" si="1365"/>
        <v>0</v>
      </c>
      <c r="Y65" s="1547">
        <f t="shared" si="1365"/>
        <v>0</v>
      </c>
      <c r="Z65" s="1547">
        <f t="shared" si="1365"/>
        <v>0</v>
      </c>
      <c r="AA65" s="1547">
        <f t="shared" si="1365"/>
        <v>0</v>
      </c>
      <c r="AB65" s="1547">
        <f t="shared" si="1365"/>
        <v>0</v>
      </c>
      <c r="AC65" s="1547">
        <f t="shared" si="1365"/>
        <v>0</v>
      </c>
      <c r="AD65" s="1547">
        <f t="shared" si="1365"/>
        <v>0</v>
      </c>
      <c r="AE65" s="1547">
        <f t="shared" si="1365"/>
        <v>0</v>
      </c>
      <c r="AF65" s="1547">
        <f t="shared" si="1365"/>
        <v>0</v>
      </c>
      <c r="AG65" s="1547">
        <f t="shared" si="1365"/>
        <v>0</v>
      </c>
      <c r="AH65" s="1547">
        <f t="shared" si="1365"/>
        <v>0</v>
      </c>
      <c r="AI65" s="1547">
        <f t="shared" si="1365"/>
        <v>0</v>
      </c>
      <c r="AJ65" s="1547">
        <f t="shared" si="1365"/>
        <v>0</v>
      </c>
      <c r="AK65" s="1547">
        <f t="shared" si="1365"/>
        <v>0</v>
      </c>
      <c r="AL65" s="1547">
        <f t="shared" si="1365"/>
        <v>0</v>
      </c>
      <c r="AM65" s="1547">
        <f t="shared" si="1365"/>
        <v>0</v>
      </c>
      <c r="AN65" s="1547">
        <f t="shared" si="1365"/>
        <v>0</v>
      </c>
      <c r="AO65" s="1547">
        <f t="shared" si="1365"/>
        <v>0</v>
      </c>
      <c r="AP65" s="1547">
        <f t="shared" si="1365"/>
        <v>0</v>
      </c>
      <c r="AQ65" s="1547">
        <f t="shared" si="1365"/>
        <v>0</v>
      </c>
      <c r="AR65" s="1547">
        <f t="shared" si="1365"/>
        <v>0</v>
      </c>
      <c r="AS65" s="1547">
        <f t="shared" si="1365"/>
        <v>0</v>
      </c>
      <c r="AT65" s="1547">
        <f t="shared" si="1365"/>
        <v>0</v>
      </c>
      <c r="AU65" s="1547">
        <f t="shared" si="1365"/>
        <v>0</v>
      </c>
      <c r="AV65" s="1547">
        <f t="shared" ref="AV65:BV65" si="1366">+SUM(AV62:AV64)</f>
        <v>6844.1579999999994</v>
      </c>
      <c r="AW65" s="1547">
        <f t="shared" si="1366"/>
        <v>3487.5</v>
      </c>
      <c r="AX65" s="1547">
        <f t="shared" si="1366"/>
        <v>0</v>
      </c>
      <c r="AY65" s="1547">
        <f t="shared" si="1366"/>
        <v>0</v>
      </c>
      <c r="AZ65" s="1547">
        <f t="shared" si="1366"/>
        <v>0</v>
      </c>
      <c r="BA65" s="1547">
        <f t="shared" si="1366"/>
        <v>0</v>
      </c>
      <c r="BB65" s="1547">
        <f t="shared" si="1366"/>
        <v>0</v>
      </c>
      <c r="BC65" s="1547">
        <f t="shared" si="1366"/>
        <v>867.1548186</v>
      </c>
      <c r="BD65" s="1547">
        <f t="shared" si="1366"/>
        <v>11198.812818599999</v>
      </c>
      <c r="BE65" s="1547">
        <f t="shared" si="1366"/>
        <v>6083.6959999999999</v>
      </c>
      <c r="BF65" s="1547">
        <f t="shared" si="1366"/>
        <v>3100</v>
      </c>
      <c r="BG65" s="1547">
        <f t="shared" si="1366"/>
        <v>0</v>
      </c>
      <c r="BH65" s="1547">
        <f t="shared" si="1366"/>
        <v>0</v>
      </c>
      <c r="BI65" s="1547">
        <f t="shared" si="1366"/>
        <v>0</v>
      </c>
      <c r="BJ65" s="1547">
        <f t="shared" si="1366"/>
        <v>0</v>
      </c>
      <c r="BK65" s="1547">
        <f t="shared" si="1366"/>
        <v>0</v>
      </c>
      <c r="BL65" s="1547">
        <f t="shared" si="1366"/>
        <v>770.8042832000001</v>
      </c>
      <c r="BM65" s="1547">
        <f t="shared" si="1366"/>
        <v>9954.5002831999991</v>
      </c>
      <c r="BN65" s="1547">
        <f t="shared" si="1366"/>
        <v>0</v>
      </c>
      <c r="BO65" s="1547">
        <f t="shared" si="1366"/>
        <v>0</v>
      </c>
      <c r="BP65" s="1547">
        <f t="shared" si="1366"/>
        <v>0</v>
      </c>
      <c r="BQ65" s="1547">
        <f t="shared" si="1366"/>
        <v>0</v>
      </c>
      <c r="BR65" s="1547">
        <f t="shared" si="1366"/>
        <v>0</v>
      </c>
      <c r="BS65" s="1547">
        <f t="shared" si="1366"/>
        <v>0</v>
      </c>
      <c r="BT65" s="1547">
        <f t="shared" si="1366"/>
        <v>0</v>
      </c>
      <c r="BU65" s="1547">
        <f t="shared" si="1366"/>
        <v>0</v>
      </c>
      <c r="BV65" s="1547">
        <f t="shared" si="1366"/>
        <v>0</v>
      </c>
      <c r="BW65" s="1548">
        <f>SUM(BW62:BW64)</f>
        <v>2281.386</v>
      </c>
      <c r="BX65" s="1548">
        <f t="shared" ref="BX65:CD65" si="1367">SUM(BX62:BX64)</f>
        <v>1162.5</v>
      </c>
      <c r="BY65" s="1548">
        <f t="shared" si="1367"/>
        <v>0</v>
      </c>
      <c r="BZ65" s="1548">
        <f t="shared" si="1367"/>
        <v>0</v>
      </c>
      <c r="CA65" s="1548">
        <f t="shared" si="1367"/>
        <v>0</v>
      </c>
      <c r="CB65" s="1548">
        <f t="shared" si="1367"/>
        <v>0</v>
      </c>
      <c r="CC65" s="1548">
        <f t="shared" si="1367"/>
        <v>0</v>
      </c>
      <c r="CD65" s="1548">
        <f t="shared" si="1367"/>
        <v>289.05160620000004</v>
      </c>
      <c r="CE65" s="1548">
        <f>SUM(CE62:CE64)</f>
        <v>3732.9376062000001</v>
      </c>
      <c r="CF65" s="1549">
        <f t="shared" ref="CF65:CN65" si="1368">SUM(CF62:CF62)</f>
        <v>0</v>
      </c>
      <c r="CG65" s="1549">
        <f t="shared" si="1368"/>
        <v>0</v>
      </c>
      <c r="CH65" s="1549">
        <f t="shared" si="1368"/>
        <v>0</v>
      </c>
      <c r="CI65" s="1549">
        <f t="shared" si="1368"/>
        <v>0</v>
      </c>
      <c r="CJ65" s="1549">
        <f t="shared" si="1368"/>
        <v>0</v>
      </c>
      <c r="CK65" s="1549">
        <f t="shared" si="1368"/>
        <v>0</v>
      </c>
      <c r="CL65" s="1549">
        <f t="shared" si="1368"/>
        <v>0</v>
      </c>
      <c r="CM65" s="1549">
        <f t="shared" si="1368"/>
        <v>0</v>
      </c>
      <c r="CN65" s="1550">
        <f t="shared" si="1368"/>
        <v>0</v>
      </c>
      <c r="CO65" s="1451" t="s">
        <v>54</v>
      </c>
      <c r="CP65" s="1551" t="s">
        <v>54</v>
      </c>
      <c r="CQ65" s="1547">
        <f t="shared" ref="CQ65:DQ65" si="1369">SUM(CQ62:CQ64)</f>
        <v>15209.24</v>
      </c>
      <c r="CR65" s="1547">
        <f t="shared" si="1369"/>
        <v>7750</v>
      </c>
      <c r="CS65" s="1547">
        <f t="shared" si="1369"/>
        <v>0</v>
      </c>
      <c r="CT65" s="1547">
        <f t="shared" si="1369"/>
        <v>0</v>
      </c>
      <c r="CU65" s="1547">
        <f t="shared" si="1369"/>
        <v>0</v>
      </c>
      <c r="CV65" s="1547">
        <f t="shared" si="1369"/>
        <v>0</v>
      </c>
      <c r="CW65" s="1547">
        <f t="shared" si="1369"/>
        <v>0</v>
      </c>
      <c r="CX65" s="1547">
        <f t="shared" si="1369"/>
        <v>1927.010708</v>
      </c>
      <c r="CY65" s="1547">
        <f t="shared" si="1369"/>
        <v>24886.250708</v>
      </c>
      <c r="CZ65" s="1547">
        <f t="shared" si="1369"/>
        <v>0</v>
      </c>
      <c r="DA65" s="1547">
        <f t="shared" si="1369"/>
        <v>0</v>
      </c>
      <c r="DB65" s="1547">
        <f t="shared" si="1369"/>
        <v>0</v>
      </c>
      <c r="DC65" s="1547">
        <f t="shared" si="1369"/>
        <v>0</v>
      </c>
      <c r="DD65" s="1547">
        <f t="shared" si="1369"/>
        <v>0</v>
      </c>
      <c r="DE65" s="1547">
        <f t="shared" si="1369"/>
        <v>0</v>
      </c>
      <c r="DF65" s="1547">
        <f t="shared" si="1369"/>
        <v>0</v>
      </c>
      <c r="DG65" s="1547">
        <f t="shared" si="1369"/>
        <v>0</v>
      </c>
      <c r="DH65" s="1547">
        <f t="shared" si="1369"/>
        <v>0</v>
      </c>
      <c r="DI65" s="1547">
        <f t="shared" si="1369"/>
        <v>0</v>
      </c>
      <c r="DJ65" s="1547">
        <f t="shared" si="1369"/>
        <v>0</v>
      </c>
      <c r="DK65" s="1547">
        <f t="shared" si="1369"/>
        <v>0</v>
      </c>
      <c r="DL65" s="1547">
        <f t="shared" si="1369"/>
        <v>0</v>
      </c>
      <c r="DM65" s="1547">
        <f t="shared" si="1369"/>
        <v>0</v>
      </c>
      <c r="DN65" s="1547">
        <f t="shared" si="1369"/>
        <v>0</v>
      </c>
      <c r="DO65" s="1547">
        <f t="shared" si="1369"/>
        <v>0</v>
      </c>
      <c r="DP65" s="1547">
        <f t="shared" si="1369"/>
        <v>0</v>
      </c>
      <c r="DQ65" s="1547">
        <f t="shared" si="1369"/>
        <v>0</v>
      </c>
      <c r="DR65" s="1548">
        <f t="shared" ref="DR65:EI65" si="1370">SUM(DR62:DR62)</f>
        <v>0</v>
      </c>
      <c r="DS65" s="1549">
        <f t="shared" si="1370"/>
        <v>0</v>
      </c>
      <c r="DT65" s="1549">
        <f t="shared" si="1370"/>
        <v>0</v>
      </c>
      <c r="DU65" s="1549">
        <f t="shared" si="1370"/>
        <v>0</v>
      </c>
      <c r="DV65" s="1549">
        <f t="shared" si="1370"/>
        <v>0</v>
      </c>
      <c r="DW65" s="1549">
        <f t="shared" si="1370"/>
        <v>0</v>
      </c>
      <c r="DX65" s="1549">
        <f t="shared" si="1370"/>
        <v>0</v>
      </c>
      <c r="DY65" s="1549">
        <f t="shared" si="1370"/>
        <v>0</v>
      </c>
      <c r="DZ65" s="1549">
        <f t="shared" si="1370"/>
        <v>0</v>
      </c>
      <c r="EA65" s="1549">
        <f t="shared" si="1370"/>
        <v>0</v>
      </c>
      <c r="EB65" s="1549">
        <f t="shared" si="1370"/>
        <v>0</v>
      </c>
      <c r="EC65" s="1549">
        <f t="shared" si="1370"/>
        <v>0</v>
      </c>
      <c r="ED65" s="1549">
        <f t="shared" si="1370"/>
        <v>0</v>
      </c>
      <c r="EE65" s="1549">
        <f t="shared" si="1370"/>
        <v>0</v>
      </c>
      <c r="EF65" s="1549">
        <f t="shared" si="1370"/>
        <v>0</v>
      </c>
      <c r="EG65" s="1549">
        <f t="shared" si="1370"/>
        <v>0</v>
      </c>
      <c r="EH65" s="1549">
        <f t="shared" si="1370"/>
        <v>0</v>
      </c>
      <c r="EI65" s="1550">
        <f t="shared" si="1370"/>
        <v>0</v>
      </c>
      <c r="EJ65" s="1451"/>
      <c r="EK65" s="1547">
        <f t="shared" ref="EK65:ES65" si="1371">+SUM(EK62:EK64)</f>
        <v>511.24</v>
      </c>
      <c r="EL65" s="1547">
        <f t="shared" si="1371"/>
        <v>1491.76</v>
      </c>
      <c r="EM65" s="1547">
        <f t="shared" si="1371"/>
        <v>0</v>
      </c>
      <c r="EN65" s="1552">
        <f t="shared" si="1371"/>
        <v>445.5</v>
      </c>
      <c r="EO65" s="1547">
        <f t="shared" si="1371"/>
        <v>0</v>
      </c>
      <c r="EP65" s="1547">
        <f t="shared" si="1371"/>
        <v>200</v>
      </c>
      <c r="EQ65" s="1547">
        <f t="shared" si="1371"/>
        <v>187.5</v>
      </c>
      <c r="ER65" s="1547">
        <f t="shared" si="1371"/>
        <v>0</v>
      </c>
      <c r="ES65" s="1547">
        <f t="shared" si="1371"/>
        <v>0</v>
      </c>
      <c r="ET65" s="1547">
        <f>+SUM(ET62:ET64)</f>
        <v>387.5</v>
      </c>
      <c r="EU65" s="1500"/>
      <c r="EV65" s="1547">
        <f t="shared" ref="EV65:FE65" si="1372">+SUM(EV62:EV64)</f>
        <v>511.24</v>
      </c>
      <c r="EW65" s="1547">
        <f t="shared" si="1372"/>
        <v>1491.76</v>
      </c>
      <c r="EX65" s="1547">
        <f t="shared" si="1372"/>
        <v>0</v>
      </c>
      <c r="EY65" s="1547">
        <f t="shared" si="1372"/>
        <v>445.5</v>
      </c>
      <c r="EZ65" s="1547">
        <f t="shared" si="1372"/>
        <v>0</v>
      </c>
      <c r="FA65" s="1547">
        <f t="shared" si="1372"/>
        <v>200</v>
      </c>
      <c r="FB65" s="1547">
        <f t="shared" si="1372"/>
        <v>187.5</v>
      </c>
      <c r="FC65" s="1547">
        <f t="shared" si="1372"/>
        <v>0</v>
      </c>
      <c r="FD65" s="1547">
        <f t="shared" si="1372"/>
        <v>0</v>
      </c>
      <c r="FE65" s="1547">
        <f t="shared" si="1372"/>
        <v>387.5</v>
      </c>
      <c r="FF65" s="1448"/>
      <c r="FG65" s="1448"/>
      <c r="FH65" s="1448"/>
      <c r="FI65" s="1448"/>
      <c r="FJ65" s="1448"/>
      <c r="FK65" s="1448"/>
      <c r="FL65" s="1441">
        <f t="shared" si="272"/>
        <v>0</v>
      </c>
    </row>
    <row r="66" spans="1:172" s="1414" customFormat="1" ht="15.75" customHeight="1" outlineLevel="1" thickTop="1">
      <c r="A66" s="1403"/>
      <c r="B66" s="1348"/>
      <c r="C66" s="1403"/>
      <c r="E66" s="1553"/>
      <c r="F66" s="1523"/>
      <c r="G66" s="1523"/>
      <c r="H66" s="1523"/>
      <c r="I66" s="1546"/>
      <c r="J66" s="1546"/>
      <c r="K66" s="1546"/>
      <c r="L66" s="1546"/>
      <c r="M66" s="1546"/>
      <c r="N66" s="1546"/>
      <c r="P66" s="1509"/>
      <c r="Q66" s="1523"/>
      <c r="R66" s="1509"/>
      <c r="S66" s="1523"/>
      <c r="T66" s="1509"/>
      <c r="U66" s="1523"/>
      <c r="V66" s="1509"/>
      <c r="W66" s="1523"/>
      <c r="X66" s="1509"/>
      <c r="Y66" s="1523"/>
      <c r="Z66" s="1510"/>
      <c r="AA66" s="1523"/>
      <c r="AB66" s="1510"/>
      <c r="AC66" s="1523"/>
      <c r="AD66" s="1510"/>
      <c r="AE66" s="1523"/>
      <c r="AF66" s="1510"/>
      <c r="AG66" s="1523"/>
      <c r="AH66" s="1510"/>
      <c r="AI66" s="1523"/>
      <c r="AJ66" s="1523"/>
      <c r="AK66" s="1523"/>
      <c r="AL66" s="1523"/>
      <c r="AM66" s="1523"/>
      <c r="AN66" s="1523"/>
      <c r="AO66" s="1523"/>
      <c r="AP66" s="1523"/>
      <c r="AQ66" s="1523"/>
      <c r="AR66" s="1523"/>
      <c r="AS66" s="1523"/>
      <c r="AT66" s="1523"/>
      <c r="AV66" s="1523"/>
      <c r="AW66" s="1523"/>
      <c r="AX66" s="1523"/>
      <c r="AY66" s="1523"/>
      <c r="AZ66" s="1523"/>
      <c r="BA66" s="1523"/>
      <c r="BB66" s="1523"/>
      <c r="BC66" s="1523"/>
      <c r="BD66" s="1523"/>
      <c r="BE66" s="1523"/>
      <c r="BF66" s="1523"/>
      <c r="BG66" s="1523"/>
      <c r="BH66" s="1523"/>
      <c r="BI66" s="1523"/>
      <c r="BJ66" s="1523"/>
      <c r="BK66" s="1523"/>
      <c r="BL66" s="1523"/>
      <c r="BM66" s="1523"/>
      <c r="BN66" s="1523"/>
      <c r="BO66" s="1523"/>
      <c r="BP66" s="1523"/>
      <c r="BQ66" s="1523"/>
      <c r="BR66" s="1523"/>
      <c r="BS66" s="1523"/>
      <c r="BT66" s="1523"/>
      <c r="BU66" s="1523"/>
      <c r="BV66" s="1523"/>
      <c r="BW66" s="1523"/>
      <c r="BX66" s="1523"/>
      <c r="BY66" s="1523"/>
      <c r="BZ66" s="1523"/>
      <c r="CA66" s="1523"/>
      <c r="CB66" s="1523"/>
      <c r="CC66" s="1523"/>
      <c r="CD66" s="1523"/>
      <c r="CE66" s="1523"/>
      <c r="CF66" s="1523"/>
      <c r="CG66" s="1523"/>
      <c r="CH66" s="1523"/>
      <c r="CI66" s="1523"/>
      <c r="CJ66" s="1523"/>
      <c r="CK66" s="1523"/>
      <c r="CL66" s="1523"/>
      <c r="CM66" s="1523"/>
      <c r="CN66" s="1523"/>
      <c r="CQ66" s="1504"/>
      <c r="CR66" s="1504"/>
      <c r="CS66" s="1504"/>
      <c r="CT66" s="1504"/>
      <c r="CU66" s="1504"/>
      <c r="CV66" s="1504"/>
      <c r="CW66" s="1504"/>
      <c r="CX66" s="1504"/>
      <c r="CY66" s="1504"/>
      <c r="CZ66" s="1504"/>
      <c r="DA66" s="1504"/>
      <c r="DB66" s="1504"/>
      <c r="DC66" s="1504"/>
      <c r="DD66" s="1504"/>
      <c r="DE66" s="1504"/>
      <c r="DF66" s="1504"/>
      <c r="DG66" s="1504"/>
      <c r="DH66" s="1504"/>
      <c r="DI66" s="1504"/>
      <c r="DJ66" s="1504"/>
      <c r="DK66" s="1504"/>
      <c r="DL66" s="1504"/>
      <c r="DM66" s="1504"/>
      <c r="DN66" s="1504"/>
      <c r="DO66" s="1504"/>
      <c r="DP66" s="1504"/>
      <c r="DQ66" s="1504"/>
      <c r="DR66" s="1504"/>
      <c r="DS66" s="1504"/>
      <c r="DT66" s="1504"/>
      <c r="DU66" s="1504"/>
      <c r="DV66" s="1504"/>
      <c r="DW66" s="1504"/>
      <c r="DX66" s="1504"/>
      <c r="DY66" s="1504"/>
      <c r="DZ66" s="1504"/>
      <c r="EA66" s="1504"/>
      <c r="EB66" s="1504"/>
      <c r="EC66" s="1504"/>
      <c r="ED66" s="1504"/>
      <c r="EE66" s="1504"/>
      <c r="EF66" s="1504"/>
      <c r="EG66" s="1504"/>
      <c r="EH66" s="1504"/>
      <c r="EI66" s="1504"/>
      <c r="EK66" s="1403"/>
      <c r="EN66" s="330"/>
      <c r="FF66" s="1448"/>
      <c r="FG66" s="1448"/>
      <c r="FH66" s="1448"/>
      <c r="FI66" s="1448"/>
      <c r="FJ66" s="1448"/>
      <c r="FK66" s="1448"/>
      <c r="FL66" s="1441">
        <f t="shared" si="272"/>
        <v>0</v>
      </c>
    </row>
    <row r="67" spans="1:172" s="1513" customFormat="1" ht="15" customHeight="1" outlineLevel="1">
      <c r="A67" s="1511"/>
      <c r="B67" s="1416" t="s">
        <v>81</v>
      </c>
      <c r="C67" s="1339"/>
      <c r="D67" s="1474"/>
      <c r="E67" s="1512"/>
      <c r="I67" s="1514"/>
      <c r="J67" s="1514"/>
      <c r="K67" s="1514"/>
      <c r="L67" s="1514"/>
      <c r="M67" s="1514"/>
      <c r="N67" s="1514"/>
      <c r="P67" s="1515"/>
      <c r="R67" s="1515"/>
      <c r="T67" s="1515"/>
      <c r="V67" s="1515"/>
      <c r="X67" s="1515"/>
      <c r="Z67" s="1516"/>
      <c r="AB67" s="1516"/>
      <c r="AD67" s="1516"/>
      <c r="AF67" s="1516"/>
      <c r="AH67" s="1516"/>
      <c r="AU67" s="1533"/>
      <c r="CO67" s="1474"/>
      <c r="CP67" s="1474"/>
      <c r="EJ67" s="1474"/>
      <c r="EK67" s="1403"/>
      <c r="EL67" s="1474"/>
      <c r="EM67" s="1474"/>
      <c r="EN67" s="1534"/>
      <c r="EO67" s="1474"/>
      <c r="EP67" s="1474"/>
      <c r="EQ67" s="1474"/>
      <c r="ER67" s="1474"/>
      <c r="ES67" s="1474"/>
      <c r="ET67" s="1474"/>
      <c r="EU67" s="1474"/>
      <c r="EV67" s="1414"/>
      <c r="EW67" s="1414"/>
      <c r="EX67" s="1414"/>
      <c r="EY67" s="1414"/>
      <c r="EZ67" s="1414"/>
      <c r="FA67" s="1414"/>
      <c r="FB67" s="1414"/>
      <c r="FC67" s="1414"/>
      <c r="FD67" s="1414"/>
      <c r="FE67" s="1414"/>
      <c r="FF67" s="1448"/>
      <c r="FG67" s="1448"/>
      <c r="FH67" s="1448"/>
      <c r="FI67" s="1448"/>
      <c r="FJ67" s="1448"/>
      <c r="FK67" s="1448"/>
      <c r="FL67" s="1441">
        <f t="shared" si="272"/>
        <v>0</v>
      </c>
      <c r="FM67" s="1414"/>
      <c r="FN67" s="1414"/>
      <c r="FO67" s="1414"/>
      <c r="FP67" s="1414"/>
    </row>
    <row r="68" spans="1:172" s="1441" customFormat="1" ht="15" customHeight="1" outlineLevel="1">
      <c r="A68" s="1454">
        <f>A64+1</f>
        <v>41</v>
      </c>
      <c r="B68" s="213" t="s">
        <v>539</v>
      </c>
      <c r="C68" s="365" t="s">
        <v>82</v>
      </c>
      <c r="D68" s="363" t="s">
        <v>11</v>
      </c>
      <c r="E68" s="314">
        <v>8000</v>
      </c>
      <c r="F68" s="1431">
        <v>4000</v>
      </c>
      <c r="G68" s="1970">
        <f>+E68+F68</f>
        <v>12000</v>
      </c>
      <c r="H68" s="355">
        <v>30</v>
      </c>
      <c r="I68" s="1494">
        <v>0.46</v>
      </c>
      <c r="J68" s="1494">
        <v>0.37</v>
      </c>
      <c r="K68" s="1494">
        <v>0</v>
      </c>
      <c r="L68" s="1432">
        <v>0.17</v>
      </c>
      <c r="M68" s="1432">
        <v>0</v>
      </c>
      <c r="N68" s="1432">
        <f>SUM(I68:M68)</f>
        <v>1</v>
      </c>
      <c r="O68" s="1433"/>
      <c r="P68" s="1535"/>
      <c r="Q68" s="355">
        <f>($E68/30/8*1.5)*P68</f>
        <v>0</v>
      </c>
      <c r="R68" s="366"/>
      <c r="S68" s="355">
        <f>($E68/30/8*2)*R68</f>
        <v>0</v>
      </c>
      <c r="T68" s="366"/>
      <c r="U68" s="355">
        <f>($E68/30/8*1.5)*T68</f>
        <v>0</v>
      </c>
      <c r="V68" s="366"/>
      <c r="W68" s="355">
        <f>($E68/30/8*2)*V68</f>
        <v>0</v>
      </c>
      <c r="X68" s="366"/>
      <c r="Y68" s="355">
        <f>(($E68/30/8)*1.5)*X68</f>
        <v>0</v>
      </c>
      <c r="Z68" s="1434"/>
      <c r="AA68" s="355">
        <f>(($E68/30/8)*2)*Z68</f>
        <v>0</v>
      </c>
      <c r="AB68" s="1434"/>
      <c r="AC68" s="355">
        <f>(($E68/30/8)*1.5)*AB68</f>
        <v>0</v>
      </c>
      <c r="AD68" s="1434"/>
      <c r="AE68" s="355">
        <f>(($E68/30/8)*2)*AD68</f>
        <v>0</v>
      </c>
      <c r="AF68" s="1434"/>
      <c r="AG68" s="355">
        <f>(($E68/30/8)*1.5)*AF68</f>
        <v>0</v>
      </c>
      <c r="AH68" s="1434"/>
      <c r="AI68" s="355">
        <f>(($E68/30/8)*2)*AH68</f>
        <v>0</v>
      </c>
      <c r="AJ68" s="1431"/>
      <c r="AK68" s="1431"/>
      <c r="AL68" s="1431"/>
      <c r="AM68" s="1431"/>
      <c r="AN68" s="1431"/>
      <c r="AO68" s="1431"/>
      <c r="AP68" s="1431"/>
      <c r="AQ68" s="1431"/>
      <c r="AR68" s="1431"/>
      <c r="AS68" s="1431"/>
      <c r="AT68" s="1431"/>
      <c r="AU68" s="1536"/>
      <c r="AV68" s="355">
        <f>((E68/30)*H68)*$I68</f>
        <v>3680.0000000000005</v>
      </c>
      <c r="AW68" s="1554">
        <f>((F68/30)*H68)*$I68</f>
        <v>1840.0000000000002</v>
      </c>
      <c r="AX68" s="355">
        <f t="shared" ref="AX68:BA70" si="1373">P68</f>
        <v>0</v>
      </c>
      <c r="AY68" s="355">
        <f t="shared" si="1373"/>
        <v>0</v>
      </c>
      <c r="AZ68" s="355">
        <f t="shared" si="1373"/>
        <v>0</v>
      </c>
      <c r="BA68" s="355">
        <f t="shared" si="1373"/>
        <v>0</v>
      </c>
      <c r="BB68" s="355">
        <f>AJ68+AO68</f>
        <v>0</v>
      </c>
      <c r="BC68" s="355">
        <f>(AV68+AY68+BA68)*0.1267</f>
        <v>466.25600000000009</v>
      </c>
      <c r="BD68" s="355">
        <f>SUM(AV68:BC68)-AX68-AZ68</f>
        <v>5986.2560000000012</v>
      </c>
      <c r="BE68" s="355">
        <f>(($E68/30)*$H68)*$J68</f>
        <v>2960.0000000000005</v>
      </c>
      <c r="BF68" s="315">
        <f>(($F68/30)*$H68)*$J68</f>
        <v>1480.0000000000002</v>
      </c>
      <c r="BG68" s="355">
        <f t="shared" ref="BG68:BJ70" si="1374">T68</f>
        <v>0</v>
      </c>
      <c r="BH68" s="355">
        <f t="shared" si="1374"/>
        <v>0</v>
      </c>
      <c r="BI68" s="355">
        <f t="shared" si="1374"/>
        <v>0</v>
      </c>
      <c r="BJ68" s="355">
        <f t="shared" si="1374"/>
        <v>0</v>
      </c>
      <c r="BK68" s="355">
        <f>AK68+AP68</f>
        <v>0</v>
      </c>
      <c r="BL68" s="355">
        <f>(+BE68+BH68+BK68)*0.1267</f>
        <v>375.0320000000001</v>
      </c>
      <c r="BM68" s="1431">
        <f>SUM(BE68:BL68)-BG68-BI68</f>
        <v>4815.0320000000011</v>
      </c>
      <c r="BN68" s="355">
        <f>(($E68/30)*$H68)*$K68</f>
        <v>0</v>
      </c>
      <c r="BO68" s="355">
        <f>(($F68/30)*$H68)*$K68</f>
        <v>0</v>
      </c>
      <c r="BP68" s="355">
        <f t="shared" ref="BP68:BS70" si="1375">X68</f>
        <v>0</v>
      </c>
      <c r="BQ68" s="355">
        <f t="shared" si="1375"/>
        <v>0</v>
      </c>
      <c r="BR68" s="355">
        <f t="shared" si="1375"/>
        <v>0</v>
      </c>
      <c r="BS68" s="355">
        <f t="shared" si="1375"/>
        <v>0</v>
      </c>
      <c r="BT68" s="355">
        <f>AL68+AQ68</f>
        <v>0</v>
      </c>
      <c r="BU68" s="355">
        <f>(BN68+BQ68+BS68)*0.1267</f>
        <v>0</v>
      </c>
      <c r="BV68" s="355">
        <f>SUM(BN68:BU68)-BP68-BR68</f>
        <v>0</v>
      </c>
      <c r="BW68" s="1495">
        <f>(($E68/30)*$H68)*$L68</f>
        <v>1360.0000000000002</v>
      </c>
      <c r="BX68" s="1496">
        <f>(($F68/30)*$H68)*$L68</f>
        <v>680.00000000000011</v>
      </c>
      <c r="BY68" s="1496">
        <f t="shared" ref="BY68:CB70" si="1376">AB68</f>
        <v>0</v>
      </c>
      <c r="BZ68" s="1496">
        <f t="shared" si="1376"/>
        <v>0</v>
      </c>
      <c r="CA68" s="1496">
        <f t="shared" si="1376"/>
        <v>0</v>
      </c>
      <c r="CB68" s="1496">
        <f t="shared" si="1376"/>
        <v>0</v>
      </c>
      <c r="CC68" s="1496">
        <f>AM68+AR68</f>
        <v>0</v>
      </c>
      <c r="CD68" s="1496">
        <f>(BW68+BZ68+CB68)*0.1267</f>
        <v>172.31200000000004</v>
      </c>
      <c r="CE68" s="1496">
        <f>SUM(BW68:CD68)-BY68-CA68</f>
        <v>2212.3120000000004</v>
      </c>
      <c r="CF68" s="1496">
        <f>(($E68/30)*$H68)*M68</f>
        <v>0</v>
      </c>
      <c r="CG68" s="1496">
        <f>(($F68/30)*$H68)*$M68</f>
        <v>0</v>
      </c>
      <c r="CH68" s="1496">
        <f>+AF68</f>
        <v>0</v>
      </c>
      <c r="CI68" s="1496">
        <f t="shared" ref="CI68:CK70" si="1377">AG68</f>
        <v>0</v>
      </c>
      <c r="CJ68" s="1496">
        <f t="shared" si="1377"/>
        <v>0</v>
      </c>
      <c r="CK68" s="1496">
        <f t="shared" si="1377"/>
        <v>0</v>
      </c>
      <c r="CL68" s="1496">
        <f>AN68+AS68</f>
        <v>0</v>
      </c>
      <c r="CM68" s="1496">
        <f>(CF68+CI68+CK68)*0.1267</f>
        <v>0</v>
      </c>
      <c r="CN68" s="1497">
        <f>SUM(CF68:CM68)-CH68-CJ68</f>
        <v>0</v>
      </c>
      <c r="CO68" s="1474"/>
      <c r="CP68" s="363" t="s">
        <v>11</v>
      </c>
      <c r="CQ68" s="355">
        <f>IF($CP68="PROQUIMA",$AV68+$BE68+$BN68+$BW68+$CF68,0)</f>
        <v>0</v>
      </c>
      <c r="CR68" s="355">
        <f>IF($CP68="PROQUIMA",$AW68+$BF68+$BO68+$BX68+$CG68,0)</f>
        <v>0</v>
      </c>
      <c r="CS68" s="355">
        <f>IF($CP68="PROQUIMA",$AX68+$BG68+$BP68+$BY68+$CH68,0)</f>
        <v>0</v>
      </c>
      <c r="CT68" s="355">
        <f>IF($CP68="PROQUIMA",$AY68+$BH68+$BQ68+$BZ68+$CI68,0)</f>
        <v>0</v>
      </c>
      <c r="CU68" s="355">
        <f>IF($CP68="PROQUIMA",$AZ68+$BI68+$BR68+$CA68+$CJ68,0)</f>
        <v>0</v>
      </c>
      <c r="CV68" s="355">
        <f>IF($CP68="PROQUIMA",$BA68+$BJ68+$BS68+$CB68+$CK68,0)</f>
        <v>0</v>
      </c>
      <c r="CW68" s="355">
        <f>IF($CP68="PROQUIMA",$BB68+$BK68+$BT68+$CC68+$CL68,0)</f>
        <v>0</v>
      </c>
      <c r="CX68" s="355">
        <f>IF($CP68="PROQUIMA",$BC68+$BL68+$BU68+$CD68+CM68,0)</f>
        <v>0</v>
      </c>
      <c r="CY68" s="355">
        <f>SUM(CQ68:CX68)-CS68-CU68</f>
        <v>0</v>
      </c>
      <c r="CZ68" s="355">
        <f>IF($CP68="UNHESA",$AV68+$BE68+$BN68+$BW68+$CF68,0)</f>
        <v>8000.0000000000009</v>
      </c>
      <c r="DA68" s="355">
        <f>IF($CP68="UNHESA",$AW68+$BF68+$BO68+$BX68+$CG68,0)</f>
        <v>4000.0000000000005</v>
      </c>
      <c r="DB68" s="355">
        <f>IF($CP68="UNHESA",$AX68+$BG68+$BP68+$BY68+$CH68,0)</f>
        <v>0</v>
      </c>
      <c r="DC68" s="355">
        <f>IF($CP68="UNHESA",$AY68+$BH68+$BQ68+$BZ68+$CI68,0)</f>
        <v>0</v>
      </c>
      <c r="DD68" s="355">
        <f>IF($CP68="UNHESA",$AZ68+$BI68+$BR68+$CA68+$CJ68,0)</f>
        <v>0</v>
      </c>
      <c r="DE68" s="355">
        <f>IF($CP68="UNHESA",$BA68+$BJ68+$BS68+$CB68+$CK68,0)</f>
        <v>0</v>
      </c>
      <c r="DF68" s="355">
        <f>IF($CP68="UNHESA",$BB68+$BK68+$BT68+$CC68+$CL68,0)</f>
        <v>0</v>
      </c>
      <c r="DG68" s="355">
        <f>IF($CP68="UNHESA",$BC68+$BL68+$BU68+$CD68+$CM68,0)</f>
        <v>1013.6000000000003</v>
      </c>
      <c r="DH68" s="355">
        <f>SUM(CZ68:DG68)-DB68-DD68</f>
        <v>13013.600000000002</v>
      </c>
      <c r="DI68" s="355">
        <f>IF($CP68="UNHESA LIQUIDOS",$AV68+$BE68+$BN68+$BW68+$CF68,0)</f>
        <v>0</v>
      </c>
      <c r="DJ68" s="355">
        <f>IF($CP68="UNHESA LIQUIDOS",$AW68+$BF68+$BO68+$BX68+$CG68,0)</f>
        <v>0</v>
      </c>
      <c r="DK68" s="355">
        <f>IF($CP68="UNHESA LIQUIDOS",$AX68+$BG68+$BP68+$BY68+$CH68,0)</f>
        <v>0</v>
      </c>
      <c r="DL68" s="355">
        <f>IF($CP68="UNHESA LIQUIDOS",$AY68+$BH68+$BQ68+$BZ68+$CI68,0)</f>
        <v>0</v>
      </c>
      <c r="DM68" s="355">
        <f>IF($CP68="UNHESA LIQUIDOS",$AZ68+$BI68+$BR68+$CA68+$CJ68,0)</f>
        <v>0</v>
      </c>
      <c r="DN68" s="355">
        <f>IF($CP68="UNHESA LIQUIDOS",$BA68+$BJ68+$BS68+$CB68+$CK68,0)</f>
        <v>0</v>
      </c>
      <c r="DO68" s="355">
        <f>IF($CP68="UNHESA LIQUIDOS",$BB68+$BK68+$BT68+$CC68+$CL68,0)</f>
        <v>0</v>
      </c>
      <c r="DP68" s="355">
        <f>IF($CP68="UNHESA LIQUIDOS",$BC68+$BL68+$BU68+$CD68+$CM68,0)</f>
        <v>0</v>
      </c>
      <c r="DQ68" s="355">
        <f>SUM(DI68:DP68)-DK68-DM68</f>
        <v>0</v>
      </c>
      <c r="DR68" s="1495">
        <f>IF($CP68="ECONACIONAL",$AV68+$BE68+$BN68+$BW68+$CF68,0)</f>
        <v>0</v>
      </c>
      <c r="DS68" s="1496">
        <f>IF($CP68="ECONACIONAL",$AW68+$BF68+$BO68+$BX68+$CG68,0)</f>
        <v>0</v>
      </c>
      <c r="DT68" s="1496">
        <f>IF($CP68="ECONACIONAL",$AX68+$BG68+$BP68+$BY68+$CH68,0)</f>
        <v>0</v>
      </c>
      <c r="DU68" s="1496">
        <f>IF($CP68="ECONACIONAL",$AY68+$BH68+$BQ68+$BZ68+$CI68,0)</f>
        <v>0</v>
      </c>
      <c r="DV68" s="1496">
        <f>IF($CP68="ECONACIONAL",$AZ68+$BI68+$BR68+$CA68+$CJ68,0)</f>
        <v>0</v>
      </c>
      <c r="DW68" s="1496">
        <f>IF($CP68="ECONACIONAL",$BA68+$BJ68+$BS68+$CB68+$CK68,0)</f>
        <v>0</v>
      </c>
      <c r="DX68" s="1496">
        <f>IF($CP68="ECONACIONAL",$BB68+$BK68+$BT68+$CC68+$CL68,0)</f>
        <v>0</v>
      </c>
      <c r="DY68" s="1496">
        <f>IF($CP68="ECONACIONAL",$BC68+$BL68+$BU68+$CD68+$CM68,0)</f>
        <v>0</v>
      </c>
      <c r="DZ68" s="1496">
        <f>SUM(DR68:DY68)-DT68-DV68</f>
        <v>0</v>
      </c>
      <c r="EA68" s="1496">
        <f>IF($CP68="CLEARTEC",$AV68+$BE68+$BN68+$BW68+$CF68,0)</f>
        <v>0</v>
      </c>
      <c r="EB68" s="1496">
        <f>IF($CP68="CLEARTEC",$AW68+$BF68+$BO68+$BX68+$CG68,0)</f>
        <v>0</v>
      </c>
      <c r="EC68" s="1496">
        <f>IF($CP68="CLEARTEC",$AX68+$BG68+$BP68+$BY68+$CH68,0)</f>
        <v>0</v>
      </c>
      <c r="ED68" s="1496">
        <f>IF($CP68="CLEARTEC",$AY68+$BH68+$BQ68+$BZ68+$CI68,0)</f>
        <v>0</v>
      </c>
      <c r="EE68" s="1496">
        <f>IF($CP68="CLEARTEC",$AZ68+$BI68+$BR68+$CA68+$CJ68,0)</f>
        <v>0</v>
      </c>
      <c r="EF68" s="1496">
        <f>IF($CP68="CLEARTEC",$BA68+$BJ68+$BS68+$CB68+$CK68,0)</f>
        <v>0</v>
      </c>
      <c r="EG68" s="1496">
        <f>IF($CP68="CLEARTEC",$BB68+$BK68+$BT68+$CC68+$CL68,0)</f>
        <v>0</v>
      </c>
      <c r="EH68" s="1496">
        <f>IF($CP68="CLEARTEC",$BC68+$BL68+$BU68+$CD68+$CM68,0)</f>
        <v>0</v>
      </c>
      <c r="EI68" s="1497">
        <f>SUM(EA68:EH68)-EC68-EE68</f>
        <v>0</v>
      </c>
      <c r="EJ68" s="1474"/>
      <c r="EK68" s="312">
        <v>380.68</v>
      </c>
      <c r="EL68" s="1475"/>
      <c r="EM68" s="1475"/>
      <c r="EN68" s="1475">
        <f>148+330</f>
        <v>478</v>
      </c>
      <c r="EO68" s="1475"/>
      <c r="EP68" s="1475">
        <v>100</v>
      </c>
      <c r="EQ68" s="1475"/>
      <c r="ER68" s="1475"/>
      <c r="ES68" s="1475"/>
      <c r="ET68" s="363">
        <f>+EO68+EP68+EQ68</f>
        <v>100</v>
      </c>
      <c r="EU68" s="1500"/>
      <c r="EV68" s="366">
        <f t="shared" ref="EV68:FE70" si="1378">IF($H68&lt;=15,EK68/2,EK68)</f>
        <v>380.68</v>
      </c>
      <c r="EW68" s="366">
        <f t="shared" si="1378"/>
        <v>0</v>
      </c>
      <c r="EX68" s="366">
        <f t="shared" si="1378"/>
        <v>0</v>
      </c>
      <c r="EY68" s="366">
        <f t="shared" si="1378"/>
        <v>478</v>
      </c>
      <c r="EZ68" s="366">
        <f t="shared" si="1378"/>
        <v>0</v>
      </c>
      <c r="FA68" s="366">
        <f t="shared" si="1378"/>
        <v>100</v>
      </c>
      <c r="FB68" s="366">
        <f t="shared" si="1378"/>
        <v>0</v>
      </c>
      <c r="FC68" s="366">
        <f t="shared" si="1378"/>
        <v>0</v>
      </c>
      <c r="FD68" s="366">
        <f t="shared" si="1378"/>
        <v>0</v>
      </c>
      <c r="FE68" s="366">
        <f t="shared" si="1378"/>
        <v>100</v>
      </c>
      <c r="FF68" s="364">
        <v>0.5</v>
      </c>
      <c r="FG68" s="364">
        <v>0.5</v>
      </c>
      <c r="FH68" s="364">
        <v>0</v>
      </c>
      <c r="FI68" s="364">
        <v>0</v>
      </c>
      <c r="FJ68" s="364">
        <v>0</v>
      </c>
      <c r="FK68" s="364">
        <v>1</v>
      </c>
      <c r="FL68" s="1441">
        <f t="shared" si="272"/>
        <v>0</v>
      </c>
    </row>
    <row r="69" spans="1:172" s="1441" customFormat="1" ht="15" customHeight="1" outlineLevel="1">
      <c r="A69" s="1454">
        <f>+A68+1</f>
        <v>42</v>
      </c>
      <c r="B69" s="213" t="s">
        <v>651</v>
      </c>
      <c r="C69" s="365" t="s">
        <v>563</v>
      </c>
      <c r="D69" s="363" t="s">
        <v>10</v>
      </c>
      <c r="E69" s="314">
        <v>3500</v>
      </c>
      <c r="F69" s="1431">
        <v>825</v>
      </c>
      <c r="G69" s="1431">
        <f>+E69+F69</f>
        <v>4325</v>
      </c>
      <c r="H69" s="355">
        <v>30</v>
      </c>
      <c r="I69" s="1494">
        <v>0.46</v>
      </c>
      <c r="J69" s="1494">
        <v>0.37</v>
      </c>
      <c r="K69" s="1494">
        <v>0</v>
      </c>
      <c r="L69" s="1432">
        <v>0.17</v>
      </c>
      <c r="M69" s="1432">
        <v>0</v>
      </c>
      <c r="N69" s="1432">
        <f>SUM(I69:M69)</f>
        <v>1</v>
      </c>
      <c r="O69" s="1460"/>
      <c r="P69" s="1535"/>
      <c r="Q69" s="355">
        <f>($E69/30/8*1.5)*P69</f>
        <v>0</v>
      </c>
      <c r="R69" s="366"/>
      <c r="S69" s="355">
        <f>($E69/30/8*2)*R69</f>
        <v>0</v>
      </c>
      <c r="T69" s="366"/>
      <c r="U69" s="355">
        <f>($E69/30/8*1.5)*T69</f>
        <v>0</v>
      </c>
      <c r="V69" s="366"/>
      <c r="W69" s="355">
        <f>($E69/30/8*2)*V69</f>
        <v>0</v>
      </c>
      <c r="X69" s="366"/>
      <c r="Y69" s="355">
        <f>(($E69/30/8)*1.5)*X69</f>
        <v>0</v>
      </c>
      <c r="Z69" s="1434"/>
      <c r="AA69" s="355">
        <f>(($E69/30/8)*2)*Z69</f>
        <v>0</v>
      </c>
      <c r="AB69" s="1434"/>
      <c r="AC69" s="355">
        <f>(($E69/30/8)*1.5)*AB69</f>
        <v>0</v>
      </c>
      <c r="AD69" s="1434"/>
      <c r="AE69" s="355">
        <f>(($E69/30/8)*2)*AD69</f>
        <v>0</v>
      </c>
      <c r="AF69" s="1434"/>
      <c r="AG69" s="355">
        <f>(($E69/30/8)*1.5)*AF69</f>
        <v>0</v>
      </c>
      <c r="AH69" s="1434"/>
      <c r="AI69" s="355">
        <f>(($E69/30/8)*2)*AH69</f>
        <v>0</v>
      </c>
      <c r="AJ69" s="1431"/>
      <c r="AK69" s="1431"/>
      <c r="AL69" s="1431"/>
      <c r="AM69" s="1431"/>
      <c r="AN69" s="1431"/>
      <c r="AO69" s="1431"/>
      <c r="AP69" s="1431"/>
      <c r="AQ69" s="1431"/>
      <c r="AR69" s="1431"/>
      <c r="AS69" s="1431"/>
      <c r="AT69" s="1431"/>
      <c r="AU69" s="1536"/>
      <c r="AV69" s="355">
        <f>((E69/30)*H69)*$I69</f>
        <v>1610</v>
      </c>
      <c r="AW69" s="315">
        <f>((F69/30)*H69)*$I69</f>
        <v>379.5</v>
      </c>
      <c r="AX69" s="355">
        <f t="shared" si="1373"/>
        <v>0</v>
      </c>
      <c r="AY69" s="355">
        <f t="shared" si="1373"/>
        <v>0</v>
      </c>
      <c r="AZ69" s="355">
        <f t="shared" si="1373"/>
        <v>0</v>
      </c>
      <c r="BA69" s="355">
        <f t="shared" si="1373"/>
        <v>0</v>
      </c>
      <c r="BB69" s="355">
        <f>AJ69+AO69</f>
        <v>0</v>
      </c>
      <c r="BC69" s="355">
        <f>(AV69+AY69+BA69)*0.1267</f>
        <v>203.98700000000002</v>
      </c>
      <c r="BD69" s="355">
        <f>SUM(AV69:BC69)-AX69-AZ69</f>
        <v>2193.4870000000001</v>
      </c>
      <c r="BE69" s="355">
        <f>(($E69/30)*$H69)*$J69</f>
        <v>1295</v>
      </c>
      <c r="BF69" s="315">
        <f>(($F69/30)*$H69)*$J69</f>
        <v>305.25</v>
      </c>
      <c r="BG69" s="355">
        <f t="shared" si="1374"/>
        <v>0</v>
      </c>
      <c r="BH69" s="355">
        <f t="shared" si="1374"/>
        <v>0</v>
      </c>
      <c r="BI69" s="355">
        <f t="shared" si="1374"/>
        <v>0</v>
      </c>
      <c r="BJ69" s="355">
        <f t="shared" si="1374"/>
        <v>0</v>
      </c>
      <c r="BK69" s="355">
        <f>AK69+AP69</f>
        <v>0</v>
      </c>
      <c r="BL69" s="355">
        <f>(+BE69+BH69+BK69)*0.1267</f>
        <v>164.07650000000001</v>
      </c>
      <c r="BM69" s="1431">
        <f>SUM(BE69:BL69)-BG69-BI69</f>
        <v>1764.3265000000001</v>
      </c>
      <c r="BN69" s="355">
        <f>(($E69/30)*$H69)*$K69</f>
        <v>0</v>
      </c>
      <c r="BO69" s="355">
        <f>(($F69/30)*$H69)*$K69</f>
        <v>0</v>
      </c>
      <c r="BP69" s="355">
        <f t="shared" si="1375"/>
        <v>0</v>
      </c>
      <c r="BQ69" s="355">
        <f t="shared" si="1375"/>
        <v>0</v>
      </c>
      <c r="BR69" s="355">
        <f t="shared" si="1375"/>
        <v>0</v>
      </c>
      <c r="BS69" s="355">
        <f t="shared" si="1375"/>
        <v>0</v>
      </c>
      <c r="BT69" s="355">
        <f>AL69+AQ69</f>
        <v>0</v>
      </c>
      <c r="BU69" s="355">
        <f>(BN69+BQ69+BS69)*0.1267</f>
        <v>0</v>
      </c>
      <c r="BV69" s="355">
        <f>SUM(BN69:BU69)-BP69-BR69</f>
        <v>0</v>
      </c>
      <c r="BW69" s="1495">
        <f>(($E69/30)*$H69)*$L69</f>
        <v>595</v>
      </c>
      <c r="BX69" s="1496">
        <f>(($F69/30)*$H69)*$L69</f>
        <v>140.25</v>
      </c>
      <c r="BY69" s="1496">
        <f t="shared" si="1376"/>
        <v>0</v>
      </c>
      <c r="BZ69" s="1496">
        <f t="shared" si="1376"/>
        <v>0</v>
      </c>
      <c r="CA69" s="1496">
        <f t="shared" si="1376"/>
        <v>0</v>
      </c>
      <c r="CB69" s="1496">
        <f t="shared" si="1376"/>
        <v>0</v>
      </c>
      <c r="CC69" s="1496">
        <f>AM69+AR69</f>
        <v>0</v>
      </c>
      <c r="CD69" s="1496">
        <f>(BW69+BZ69+CB69)*0.1267</f>
        <v>75.386499999999998</v>
      </c>
      <c r="CE69" s="1496">
        <f>SUM(BW69:CD69)-BY69-CA69</f>
        <v>810.63649999999996</v>
      </c>
      <c r="CF69" s="1496">
        <f>(($E69/30)*$H69)*M69</f>
        <v>0</v>
      </c>
      <c r="CG69" s="1496">
        <f>(($F69/30)*$H69)*$M69</f>
        <v>0</v>
      </c>
      <c r="CH69" s="1496">
        <f>+AF69</f>
        <v>0</v>
      </c>
      <c r="CI69" s="1496">
        <f t="shared" si="1377"/>
        <v>0</v>
      </c>
      <c r="CJ69" s="1496">
        <f t="shared" si="1377"/>
        <v>0</v>
      </c>
      <c r="CK69" s="1496">
        <f t="shared" si="1377"/>
        <v>0</v>
      </c>
      <c r="CL69" s="1496">
        <f>AN69+AS69</f>
        <v>0</v>
      </c>
      <c r="CM69" s="1496">
        <f>(CF69+CI69+CK69)*0.1267</f>
        <v>0</v>
      </c>
      <c r="CN69" s="1497">
        <f>SUM(CF69:CM69)-CH69-CJ69</f>
        <v>0</v>
      </c>
      <c r="CO69" s="1474"/>
      <c r="CP69" s="363" t="s">
        <v>10</v>
      </c>
      <c r="CQ69" s="355">
        <f>IF($CP69="PROQUIMA",$AV69+$BE69+$BN69+$BW69+$CF69,0)</f>
        <v>3500</v>
      </c>
      <c r="CR69" s="355">
        <f>IF($CP69="PROQUIMA",$AW69+$BF69+$BO69+$BX69+$CG69,0)</f>
        <v>825</v>
      </c>
      <c r="CS69" s="355">
        <f>IF($CP69="PROQUIMA",$AX69+$BG69+$BP69+$BY69+$CH69,0)</f>
        <v>0</v>
      </c>
      <c r="CT69" s="355">
        <f>IF($CP69="PROQUIMA",$AY69+$BH69+$BQ69+$BZ69+$CI69,0)</f>
        <v>0</v>
      </c>
      <c r="CU69" s="355">
        <f>IF($CP69="PROQUIMA",$AZ69+$BI69+$BR69+$CA69+$CJ69,0)</f>
        <v>0</v>
      </c>
      <c r="CV69" s="355">
        <f>IF($CP69="PROQUIMA",$BA69+$BJ69+$BS69+$CB69+$CK69,0)</f>
        <v>0</v>
      </c>
      <c r="CW69" s="355">
        <f>IF($CP69="PROQUIMA",$BB69+$BK69+$BT69+$CC69+$CL69,0)</f>
        <v>0</v>
      </c>
      <c r="CX69" s="355">
        <f>IF($CP69="PROQUIMA",$BC69+$BL69+$BU69+$CD69+CM69,0)</f>
        <v>443.45000000000005</v>
      </c>
      <c r="CY69" s="355">
        <f>SUM(CQ69:CX69)-CS69-CU69</f>
        <v>4768.45</v>
      </c>
      <c r="CZ69" s="355">
        <f>IF($CP69="UNHESA",$AV69+$BE69+$BN69+$BW69+$CF69,0)</f>
        <v>0</v>
      </c>
      <c r="DA69" s="355">
        <f>IF($CP69="UNHESA",$AW69+$BF69+$BO69+$BX69+$CG69,0)</f>
        <v>0</v>
      </c>
      <c r="DB69" s="355">
        <f>IF($CP69="UNHESA",$AX69+$BG69+$BP69+$BY69+$CH69,0)</f>
        <v>0</v>
      </c>
      <c r="DC69" s="355">
        <f>IF($CP69="UNHESA",$AY69+$BH69+$BQ69+$BZ69+$CI69,0)</f>
        <v>0</v>
      </c>
      <c r="DD69" s="355">
        <f>IF($CP69="UNHESA",$AZ69+$BI69+$BR69+$CA69+$CJ69,0)</f>
        <v>0</v>
      </c>
      <c r="DE69" s="355">
        <f>IF($CP69="UNHESA",$BA69+$BJ69+$BS69+$CB69+$CK69,0)</f>
        <v>0</v>
      </c>
      <c r="DF69" s="355">
        <f>IF($CP69="UNHESA",$BB69+$BK69+$BT69+$CC69+$CL69,0)</f>
        <v>0</v>
      </c>
      <c r="DG69" s="355">
        <f>IF($CP69="UNHESA",$BC69+$BL69+$BU69+$CD69+$CM69,0)</f>
        <v>0</v>
      </c>
      <c r="DH69" s="355">
        <f>SUM(CZ69:DG69)-DB69-DD69</f>
        <v>0</v>
      </c>
      <c r="DI69" s="355">
        <f>IF($CP69="UNHESA LIQUIDOS",$AV69+$BE69+$BN69+$BW69+$CF69,0)</f>
        <v>0</v>
      </c>
      <c r="DJ69" s="355">
        <f>IF($CP69="UNHESA LIQUIDOS",$AW69+$BF69+$BO69+$BX69+$CG69,0)</f>
        <v>0</v>
      </c>
      <c r="DK69" s="355">
        <f>IF($CP69="UNHESA LIQUIDOS",$AX69+$BG69+$BP69+$BY69+$CH69,0)</f>
        <v>0</v>
      </c>
      <c r="DL69" s="355">
        <f>IF($CP69="UNHESA LIQUIDOS",$AY69+$BH69+$BQ69+$BZ69+$CI69,0)</f>
        <v>0</v>
      </c>
      <c r="DM69" s="355">
        <f>IF($CP69="UNHESA LIQUIDOS",$AZ69+$BI69+$BR69+$CA69+$CJ69,0)</f>
        <v>0</v>
      </c>
      <c r="DN69" s="355">
        <f>IF($CP69="UNHESA LIQUIDOS",$BA69+$BJ69+$BS69+$CB69+$CK69,0)</f>
        <v>0</v>
      </c>
      <c r="DO69" s="355">
        <f>IF($CP69="UNHESA LIQUIDOS",$BB69+$BK69+$BT69+$CC69+$CL69,0)</f>
        <v>0</v>
      </c>
      <c r="DP69" s="355">
        <f>IF($CP69="UNHESA LIQUIDOS",$BC69+$BL69+$BU69+$CD69+$CM69,0)</f>
        <v>0</v>
      </c>
      <c r="DQ69" s="355">
        <f>SUM(DI69:DP69)-DK69-DM69</f>
        <v>0</v>
      </c>
      <c r="DR69" s="1495">
        <f>IF($CP69="ECONACIONAL",$AV69+$BE69+$BN69+$BW69+$CF69,0)</f>
        <v>0</v>
      </c>
      <c r="DS69" s="1496">
        <f>IF($CP69="ECONACIONAL",$AW69+$BF69+$BO69+$BX69+$CG69,0)</f>
        <v>0</v>
      </c>
      <c r="DT69" s="1496">
        <f>IF($CP69="ECONACIONAL",$AX69+$BG69+$BP69+$BY69+$CH69,0)</f>
        <v>0</v>
      </c>
      <c r="DU69" s="1496">
        <f>IF($CP69="ECONACIONAL",$AY69+$BH69+$BQ69+$BZ69+$CI69,0)</f>
        <v>0</v>
      </c>
      <c r="DV69" s="1496">
        <f>IF($CP69="ECONACIONAL",$AZ69+$BI69+$BR69+$CA69+$CJ69,0)</f>
        <v>0</v>
      </c>
      <c r="DW69" s="1496">
        <f>IF($CP69="ECONACIONAL",$BA69+$BJ69+$BS69+$CB69+$CK69,0)</f>
        <v>0</v>
      </c>
      <c r="DX69" s="1496">
        <f>IF($CP69="ECONACIONAL",$BB69+$BK69+$BT69+$CC69+$CL69,0)</f>
        <v>0</v>
      </c>
      <c r="DY69" s="1496">
        <f>IF($CP69="ECONACIONAL",$BC69+$BL69+$BU69+$CD69+$CM69,0)</f>
        <v>0</v>
      </c>
      <c r="DZ69" s="1496">
        <f>SUM(DR69:DY69)-DT69-DV69</f>
        <v>0</v>
      </c>
      <c r="EA69" s="1496">
        <f>IF($CP69="CLEARTEC",$AV69+$BE69+$BN69+$BW69+$CF69,0)</f>
        <v>0</v>
      </c>
      <c r="EB69" s="1496">
        <f>IF($CP69="CLEARTEC",$AW69+$BF69+$BO69+$BX69+$CG69,0)</f>
        <v>0</v>
      </c>
      <c r="EC69" s="1496">
        <f>IF($CP69="CLEARTEC",$AX69+$BG69+$BP69+$BY69+$CH69,0)</f>
        <v>0</v>
      </c>
      <c r="ED69" s="1496">
        <f>IF($CP69="CLEARTEC",$AY69+$BH69+$BQ69+$BZ69+$CI69,0)</f>
        <v>0</v>
      </c>
      <c r="EE69" s="1496">
        <f>IF($CP69="CLEARTEC",$AZ69+$BI69+$BR69+$CA69+$CJ69,0)</f>
        <v>0</v>
      </c>
      <c r="EF69" s="1496">
        <f>IF($CP69="CLEARTEC",$BA69+$BJ69+$BS69+$CB69+$CK69,0)</f>
        <v>0</v>
      </c>
      <c r="EG69" s="1496">
        <f>IF($CP69="CLEARTEC",$BB69+$BK69+$BT69+$CC69+$CL69,0)</f>
        <v>0</v>
      </c>
      <c r="EH69" s="1496">
        <f>IF($CP69="CLEARTEC",$BC69+$BL69+$BU69+$CD69+$CM69,0)</f>
        <v>0</v>
      </c>
      <c r="EI69" s="1497">
        <f>SUM(EA69:EH69)-EC69-EE69</f>
        <v>0</v>
      </c>
      <c r="EJ69" s="1474"/>
      <c r="EK69" s="2202">
        <v>7.8</v>
      </c>
      <c r="EL69" s="1475"/>
      <c r="EM69" s="1475"/>
      <c r="EN69" s="1475">
        <v>18</v>
      </c>
      <c r="EO69" s="1475"/>
      <c r="EP69" s="1475">
        <v>50</v>
      </c>
      <c r="EQ69" s="1968">
        <f>240</f>
        <v>240</v>
      </c>
      <c r="ER69" s="1475"/>
      <c r="ES69" s="1475"/>
      <c r="ET69" s="363">
        <f>+EO69+EP69+EQ69</f>
        <v>290</v>
      </c>
      <c r="EU69" s="1500"/>
      <c r="EV69" s="366">
        <f t="shared" si="1378"/>
        <v>7.8</v>
      </c>
      <c r="EW69" s="366">
        <f t="shared" si="1378"/>
        <v>0</v>
      </c>
      <c r="EX69" s="366">
        <f t="shared" si="1378"/>
        <v>0</v>
      </c>
      <c r="EY69" s="366">
        <f t="shared" si="1378"/>
        <v>18</v>
      </c>
      <c r="EZ69" s="366">
        <f t="shared" si="1378"/>
        <v>0</v>
      </c>
      <c r="FA69" s="366">
        <f t="shared" si="1378"/>
        <v>50</v>
      </c>
      <c r="FB69" s="366">
        <f t="shared" si="1378"/>
        <v>240</v>
      </c>
      <c r="FC69" s="366">
        <f t="shared" si="1378"/>
        <v>0</v>
      </c>
      <c r="FD69" s="366">
        <f t="shared" si="1378"/>
        <v>0</v>
      </c>
      <c r="FE69" s="366">
        <f t="shared" si="1378"/>
        <v>290</v>
      </c>
      <c r="FF69" s="364"/>
      <c r="FG69" s="364"/>
      <c r="FH69" s="364"/>
      <c r="FI69" s="364"/>
      <c r="FJ69" s="364"/>
      <c r="FK69" s="364"/>
    </row>
    <row r="70" spans="1:172" s="1441" customFormat="1" ht="15" customHeight="1" outlineLevel="1">
      <c r="A70" s="1454">
        <f>+A69+1</f>
        <v>43</v>
      </c>
      <c r="B70" s="213" t="s">
        <v>733</v>
      </c>
      <c r="C70" s="365" t="s">
        <v>671</v>
      </c>
      <c r="D70" s="363" t="s">
        <v>10</v>
      </c>
      <c r="E70" s="314">
        <v>3750</v>
      </c>
      <c r="F70" s="1431">
        <v>250</v>
      </c>
      <c r="G70" s="1431">
        <f>+E70+F70</f>
        <v>4000</v>
      </c>
      <c r="H70" s="355">
        <v>30</v>
      </c>
      <c r="I70" s="1494">
        <v>0.46</v>
      </c>
      <c r="J70" s="1494">
        <v>0.37</v>
      </c>
      <c r="K70" s="1494">
        <v>0</v>
      </c>
      <c r="L70" s="1432">
        <v>0.17</v>
      </c>
      <c r="M70" s="1432">
        <v>0</v>
      </c>
      <c r="N70" s="1432">
        <f>SUM(I70:M70)</f>
        <v>1</v>
      </c>
      <c r="O70" s="1460"/>
      <c r="P70" s="1535"/>
      <c r="Q70" s="355">
        <f>($E70/30/8*1.5)*P70</f>
        <v>0</v>
      </c>
      <c r="R70" s="366"/>
      <c r="S70" s="355">
        <f>($E70/30/8*2)*R70</f>
        <v>0</v>
      </c>
      <c r="T70" s="366"/>
      <c r="U70" s="355">
        <f>($E70/30/8*1.5)*T70</f>
        <v>0</v>
      </c>
      <c r="V70" s="366"/>
      <c r="W70" s="355">
        <f>($E70/30/8*2)*V70</f>
        <v>0</v>
      </c>
      <c r="X70" s="366"/>
      <c r="Y70" s="355">
        <f>(($E70/30/8)*1.5)*X70</f>
        <v>0</v>
      </c>
      <c r="Z70" s="1434"/>
      <c r="AA70" s="355">
        <f>(($E70/30/8)*2)*Z70</f>
        <v>0</v>
      </c>
      <c r="AB70" s="1434"/>
      <c r="AC70" s="355">
        <f>(($E70/30/8)*1.5)*AB70</f>
        <v>0</v>
      </c>
      <c r="AD70" s="1434"/>
      <c r="AE70" s="355">
        <f>(($E70/30/8)*2)*AD70</f>
        <v>0</v>
      </c>
      <c r="AF70" s="1434"/>
      <c r="AG70" s="355">
        <f>(($E70/30/8)*1.5)*AF70</f>
        <v>0</v>
      </c>
      <c r="AH70" s="1434"/>
      <c r="AI70" s="355">
        <f>(($E70/30/8)*2)*AH70</f>
        <v>0</v>
      </c>
      <c r="AJ70" s="1431"/>
      <c r="AK70" s="1431"/>
      <c r="AL70" s="1431"/>
      <c r="AM70" s="1431"/>
      <c r="AN70" s="1431"/>
      <c r="AO70" s="1431"/>
      <c r="AP70" s="1431"/>
      <c r="AQ70" s="1431"/>
      <c r="AR70" s="1431"/>
      <c r="AS70" s="1431"/>
      <c r="AT70" s="1431"/>
      <c r="AU70" s="1536"/>
      <c r="AV70" s="355">
        <f>((E70/30)*H70)*$I70</f>
        <v>1725</v>
      </c>
      <c r="AW70" s="315">
        <f>((F70/30)*H70)*$I70</f>
        <v>115.00000000000001</v>
      </c>
      <c r="AX70" s="355">
        <f t="shared" si="1373"/>
        <v>0</v>
      </c>
      <c r="AY70" s="355">
        <f t="shared" si="1373"/>
        <v>0</v>
      </c>
      <c r="AZ70" s="355">
        <f t="shared" si="1373"/>
        <v>0</v>
      </c>
      <c r="BA70" s="355">
        <f t="shared" si="1373"/>
        <v>0</v>
      </c>
      <c r="BB70" s="355">
        <f>AJ70+AO70</f>
        <v>0</v>
      </c>
      <c r="BC70" s="355">
        <f>(AV70+AY70+BA70)*0.1267</f>
        <v>218.5575</v>
      </c>
      <c r="BD70" s="355">
        <f>SUM(AV70:BC70)-AX70-AZ70</f>
        <v>2058.5574999999999</v>
      </c>
      <c r="BE70" s="355">
        <f>(($E70/30)*$H70)*$J70</f>
        <v>1387.5</v>
      </c>
      <c r="BF70" s="315">
        <f>(($F70/30)*$H70)*$J70</f>
        <v>92.500000000000014</v>
      </c>
      <c r="BG70" s="355">
        <f t="shared" si="1374"/>
        <v>0</v>
      </c>
      <c r="BH70" s="355">
        <f t="shared" si="1374"/>
        <v>0</v>
      </c>
      <c r="BI70" s="355">
        <f t="shared" si="1374"/>
        <v>0</v>
      </c>
      <c r="BJ70" s="355">
        <f t="shared" si="1374"/>
        <v>0</v>
      </c>
      <c r="BK70" s="355">
        <f>AK70+AP70</f>
        <v>0</v>
      </c>
      <c r="BL70" s="355">
        <f>(+BE70+BH70+BK70)*0.1267</f>
        <v>175.79625000000001</v>
      </c>
      <c r="BM70" s="1431">
        <f>SUM(BE70:BL70)-BG70-BI70</f>
        <v>1655.7962500000001</v>
      </c>
      <c r="BN70" s="355">
        <f>(($E70/30)*$H70)*$K70</f>
        <v>0</v>
      </c>
      <c r="BO70" s="355">
        <f>(($F70/30)*$H70)*$K70</f>
        <v>0</v>
      </c>
      <c r="BP70" s="355">
        <f t="shared" si="1375"/>
        <v>0</v>
      </c>
      <c r="BQ70" s="355">
        <f t="shared" si="1375"/>
        <v>0</v>
      </c>
      <c r="BR70" s="355">
        <f t="shared" si="1375"/>
        <v>0</v>
      </c>
      <c r="BS70" s="355">
        <f t="shared" si="1375"/>
        <v>0</v>
      </c>
      <c r="BT70" s="355">
        <f>AL70+AQ70</f>
        <v>0</v>
      </c>
      <c r="BU70" s="355">
        <f>(BN70+BQ70+BS70)*0.1267</f>
        <v>0</v>
      </c>
      <c r="BV70" s="355">
        <f>SUM(BN70:BU70)-BP70-BR70</f>
        <v>0</v>
      </c>
      <c r="BW70" s="1495">
        <f>(($E70/30)*$H70)*$L70</f>
        <v>637.5</v>
      </c>
      <c r="BX70" s="1496">
        <f>(($F70/30)*$H70)*$L70</f>
        <v>42.500000000000007</v>
      </c>
      <c r="BY70" s="1496">
        <f t="shared" si="1376"/>
        <v>0</v>
      </c>
      <c r="BZ70" s="1496">
        <f t="shared" si="1376"/>
        <v>0</v>
      </c>
      <c r="CA70" s="1496">
        <f t="shared" si="1376"/>
        <v>0</v>
      </c>
      <c r="CB70" s="1496">
        <f t="shared" si="1376"/>
        <v>0</v>
      </c>
      <c r="CC70" s="1496">
        <f>AM70+AR70</f>
        <v>0</v>
      </c>
      <c r="CD70" s="1496">
        <f>(BW70+BZ70+CB70)*0.1267</f>
        <v>80.771250000000009</v>
      </c>
      <c r="CE70" s="1496">
        <f>SUM(BW70:CD70)-BY70-CA70</f>
        <v>760.77125000000001</v>
      </c>
      <c r="CF70" s="1496">
        <f>(($E70/30)*$H70)*M70</f>
        <v>0</v>
      </c>
      <c r="CG70" s="1496">
        <f>(($F70/30)*$H70)*$M70</f>
        <v>0</v>
      </c>
      <c r="CH70" s="1496">
        <f>+AF70</f>
        <v>0</v>
      </c>
      <c r="CI70" s="1496">
        <f t="shared" si="1377"/>
        <v>0</v>
      </c>
      <c r="CJ70" s="1496">
        <f t="shared" si="1377"/>
        <v>0</v>
      </c>
      <c r="CK70" s="1496">
        <f t="shared" si="1377"/>
        <v>0</v>
      </c>
      <c r="CL70" s="1496">
        <f>AN70+AS70</f>
        <v>0</v>
      </c>
      <c r="CM70" s="1496">
        <f>(CF70+CI70+CK70)*0.1267</f>
        <v>0</v>
      </c>
      <c r="CN70" s="1497">
        <f>SUM(CF70:CM70)-CH70-CJ70</f>
        <v>0</v>
      </c>
      <c r="CO70" s="1474"/>
      <c r="CP70" s="363" t="s">
        <v>10</v>
      </c>
      <c r="CQ70" s="355">
        <f>IF($CP70="PROQUIMA",$AV70+$BE70+$BN70+$BW70+$CF70,0)</f>
        <v>3750</v>
      </c>
      <c r="CR70" s="355">
        <f>IF($CP70="PROQUIMA",$AW70+$BF70+$BO70+$BX70+$CG70,0)</f>
        <v>250.00000000000003</v>
      </c>
      <c r="CS70" s="355">
        <f>IF($CP70="PROQUIMA",$AX70+$BG70+$BP70+$BY70+$CH70,0)</f>
        <v>0</v>
      </c>
      <c r="CT70" s="355">
        <f>IF($CP70="PROQUIMA",$AY70+$BH70+$BQ70+$BZ70+$CI70,0)</f>
        <v>0</v>
      </c>
      <c r="CU70" s="355">
        <f>IF($CP70="PROQUIMA",$AZ70+$BI70+$BR70+$CA70+$CJ70,0)</f>
        <v>0</v>
      </c>
      <c r="CV70" s="355">
        <f>IF($CP70="PROQUIMA",$BA70+$BJ70+$BS70+$CB70+$CK70,0)</f>
        <v>0</v>
      </c>
      <c r="CW70" s="355">
        <f>IF($CP70="PROQUIMA",$BB70+$BK70+$BT70+$CC70+$CL70,0)</f>
        <v>0</v>
      </c>
      <c r="CX70" s="355">
        <f>IF($CP70="PROQUIMA",$BC70+$BL70+$BU70+$CD70+CM70,0)</f>
        <v>475.125</v>
      </c>
      <c r="CY70" s="355">
        <f>SUM(CQ70:CX70)-CS70-CU70</f>
        <v>4475.125</v>
      </c>
      <c r="CZ70" s="355">
        <f>IF($CP70="UNHESA",$AV70+$BE70+$BN70+$BW70+$CF70,0)</f>
        <v>0</v>
      </c>
      <c r="DA70" s="355">
        <f>IF($CP70="UNHESA",$AW70+$BF70+$BO70+$BX70+$CG70,0)</f>
        <v>0</v>
      </c>
      <c r="DB70" s="355">
        <f>IF($CP70="UNHESA",$AX70+$BG70+$BP70+$BY70+$CH70,0)</f>
        <v>0</v>
      </c>
      <c r="DC70" s="355">
        <f>IF($CP70="UNHESA",$AY70+$BH70+$BQ70+$BZ70+$CI70,0)</f>
        <v>0</v>
      </c>
      <c r="DD70" s="355">
        <f>IF($CP70="UNHESA",$AZ70+$BI70+$BR70+$CA70+$CJ70,0)</f>
        <v>0</v>
      </c>
      <c r="DE70" s="355">
        <f>IF($CP70="UNHESA",$BA70+$BJ70+$BS70+$CB70+$CK70,0)</f>
        <v>0</v>
      </c>
      <c r="DF70" s="355">
        <f>IF($CP70="UNHESA",$BB70+$BK70+$BT70+$CC70+$CL70,0)</f>
        <v>0</v>
      </c>
      <c r="DG70" s="355">
        <f>IF($CP70="UNHESA",$BC70+$BL70+$BU70+$CD70+$CM70,0)</f>
        <v>0</v>
      </c>
      <c r="DH70" s="355">
        <f>SUM(CZ70:DG70)-DB70-DD70</f>
        <v>0</v>
      </c>
      <c r="DI70" s="355">
        <f>IF($CP70="UNHESA LIQUIDOS",$AV70+$BE70+$BN70+$BW70+$CF70,0)</f>
        <v>0</v>
      </c>
      <c r="DJ70" s="355">
        <f>IF($CP70="UNHESA LIQUIDOS",$AW70+$BF70+$BO70+$BX70+$CG70,0)</f>
        <v>0</v>
      </c>
      <c r="DK70" s="355">
        <f>IF($CP70="UNHESA LIQUIDOS",$AX70+$BG70+$BP70+$BY70+$CH70,0)</f>
        <v>0</v>
      </c>
      <c r="DL70" s="355">
        <f>IF($CP70="UNHESA LIQUIDOS",$AY70+$BH70+$BQ70+$BZ70+$CI70,0)</f>
        <v>0</v>
      </c>
      <c r="DM70" s="355">
        <f>IF($CP70="UNHESA LIQUIDOS",$AZ70+$BI70+$BR70+$CA70+$CJ70,0)</f>
        <v>0</v>
      </c>
      <c r="DN70" s="355">
        <f>IF($CP70="UNHESA LIQUIDOS",$BA70+$BJ70+$BS70+$CB70+$CK70,0)</f>
        <v>0</v>
      </c>
      <c r="DO70" s="355">
        <f>IF($CP70="UNHESA LIQUIDOS",$BB70+$BK70+$BT70+$CC70+$CL70,0)</f>
        <v>0</v>
      </c>
      <c r="DP70" s="355">
        <f>IF($CP70="UNHESA LIQUIDOS",$BC70+$BL70+$BU70+$CD70+$CM70,0)</f>
        <v>0</v>
      </c>
      <c r="DQ70" s="355">
        <f>SUM(DI70:DP70)-DK70-DM70</f>
        <v>0</v>
      </c>
      <c r="DR70" s="1495">
        <f>IF($CP70="ECONACIONAL",$AV70+$BE70+$BN70+$BW70+$CF70,0)</f>
        <v>0</v>
      </c>
      <c r="DS70" s="1496">
        <f>IF($CP70="ECONACIONAL",$AW70+$BF70+$BO70+$BX70+$CG70,0)</f>
        <v>0</v>
      </c>
      <c r="DT70" s="1496">
        <f>IF($CP70="ECONACIONAL",$AX70+$BG70+$BP70+$BY70+$CH70,0)</f>
        <v>0</v>
      </c>
      <c r="DU70" s="1496">
        <f>IF($CP70="ECONACIONAL",$AY70+$BH70+$BQ70+$BZ70+$CI70,0)</f>
        <v>0</v>
      </c>
      <c r="DV70" s="1496">
        <f>IF($CP70="ECONACIONAL",$AZ70+$BI70+$BR70+$CA70+$CJ70,0)</f>
        <v>0</v>
      </c>
      <c r="DW70" s="1496">
        <f>IF($CP70="ECONACIONAL",$BA70+$BJ70+$BS70+$CB70+$CK70,0)</f>
        <v>0</v>
      </c>
      <c r="DX70" s="1496">
        <f>IF($CP70="ECONACIONAL",$BB70+$BK70+$BT70+$CC70+$CL70,0)</f>
        <v>0</v>
      </c>
      <c r="DY70" s="1496">
        <f>IF($CP70="ECONACIONAL",$BC70+$BL70+$BU70+$CD70+$CM70,0)</f>
        <v>0</v>
      </c>
      <c r="DZ70" s="1496">
        <f>SUM(DR70:DY70)-DT70-DV70</f>
        <v>0</v>
      </c>
      <c r="EA70" s="1496">
        <f>IF($CP70="CLEARTEC",$AV70+$BE70+$BN70+$BW70+$CF70,0)</f>
        <v>0</v>
      </c>
      <c r="EB70" s="1496">
        <f>IF($CP70="CLEARTEC",$AW70+$BF70+$BO70+$BX70+$CG70,0)</f>
        <v>0</v>
      </c>
      <c r="EC70" s="1496">
        <f>IF($CP70="CLEARTEC",$AX70+$BG70+$BP70+$BY70+$CH70,0)</f>
        <v>0</v>
      </c>
      <c r="ED70" s="1496">
        <f>IF($CP70="CLEARTEC",$AY70+$BH70+$BQ70+$BZ70+$CI70,0)</f>
        <v>0</v>
      </c>
      <c r="EE70" s="1496">
        <f>IF($CP70="CLEARTEC",$AZ70+$BI70+$BR70+$CA70+$CJ70,0)</f>
        <v>0</v>
      </c>
      <c r="EF70" s="1496">
        <f>IF($CP70="CLEARTEC",$BA70+$BJ70+$BS70+$CB70+$CK70,0)</f>
        <v>0</v>
      </c>
      <c r="EG70" s="1496">
        <f>IF($CP70="CLEARTEC",$BB70+$BK70+$BT70+$CC70+$CL70,0)</f>
        <v>0</v>
      </c>
      <c r="EH70" s="1496">
        <f>IF($CP70="CLEARTEC",$BC70+$BL70+$BU70+$CD70+$CM70,0)</f>
        <v>0</v>
      </c>
      <c r="EI70" s="1497">
        <f>SUM(EA70:EH70)-EC70-EE70</f>
        <v>0</v>
      </c>
      <c r="EJ70" s="1474"/>
      <c r="EK70" s="1475"/>
      <c r="EL70" s="1475"/>
      <c r="EM70" s="1475"/>
      <c r="EN70" s="1475">
        <v>11</v>
      </c>
      <c r="EO70" s="1475"/>
      <c r="EP70" s="1475">
        <v>50</v>
      </c>
      <c r="EQ70" s="1475"/>
      <c r="ER70" s="1475"/>
      <c r="ES70" s="1475"/>
      <c r="ET70" s="363">
        <f>+EO70+EP70+EQ70</f>
        <v>50</v>
      </c>
      <c r="EU70" s="1500"/>
      <c r="EV70" s="366">
        <f t="shared" si="1378"/>
        <v>0</v>
      </c>
      <c r="EW70" s="366">
        <f t="shared" si="1378"/>
        <v>0</v>
      </c>
      <c r="EX70" s="366">
        <f t="shared" si="1378"/>
        <v>0</v>
      </c>
      <c r="EY70" s="366">
        <f t="shared" si="1378"/>
        <v>11</v>
      </c>
      <c r="EZ70" s="366">
        <f t="shared" si="1378"/>
        <v>0</v>
      </c>
      <c r="FA70" s="366">
        <f t="shared" si="1378"/>
        <v>50</v>
      </c>
      <c r="FB70" s="366">
        <f t="shared" si="1378"/>
        <v>0</v>
      </c>
      <c r="FC70" s="366">
        <f t="shared" si="1378"/>
        <v>0</v>
      </c>
      <c r="FD70" s="366">
        <f t="shared" si="1378"/>
        <v>0</v>
      </c>
      <c r="FE70" s="366">
        <f t="shared" si="1378"/>
        <v>50</v>
      </c>
      <c r="FF70" s="364"/>
      <c r="FG70" s="364"/>
      <c r="FH70" s="364"/>
      <c r="FI70" s="364"/>
      <c r="FJ70" s="364"/>
      <c r="FK70" s="364"/>
    </row>
    <row r="71" spans="1:172" s="1474" customFormat="1" ht="15.75" customHeight="1" outlineLevel="1" thickBot="1">
      <c r="A71" s="1403"/>
      <c r="B71" s="1348"/>
      <c r="C71" s="1339" t="s">
        <v>83</v>
      </c>
      <c r="E71" s="1555">
        <f>SUM(E68:E70)</f>
        <v>15250</v>
      </c>
      <c r="F71" s="1555">
        <f>SUM(F68:F70)</f>
        <v>5075</v>
      </c>
      <c r="G71" s="1555">
        <f>SUM(G68:G70)</f>
        <v>20325</v>
      </c>
      <c r="H71" s="1523"/>
      <c r="I71" s="1514"/>
      <c r="J71" s="1514"/>
      <c r="K71" s="1514"/>
      <c r="L71" s="1514"/>
      <c r="M71" s="1514"/>
      <c r="N71" s="1514"/>
      <c r="O71" s="1523"/>
      <c r="P71" s="1555">
        <f t="shared" ref="P71:AU71" si="1379">SUM(P68:P70)</f>
        <v>0</v>
      </c>
      <c r="Q71" s="1555">
        <f t="shared" si="1379"/>
        <v>0</v>
      </c>
      <c r="R71" s="1555">
        <f t="shared" si="1379"/>
        <v>0</v>
      </c>
      <c r="S71" s="1555">
        <f t="shared" si="1379"/>
        <v>0</v>
      </c>
      <c r="T71" s="1555">
        <f t="shared" si="1379"/>
        <v>0</v>
      </c>
      <c r="U71" s="1555">
        <f t="shared" si="1379"/>
        <v>0</v>
      </c>
      <c r="V71" s="1555">
        <f t="shared" si="1379"/>
        <v>0</v>
      </c>
      <c r="W71" s="1555">
        <f t="shared" si="1379"/>
        <v>0</v>
      </c>
      <c r="X71" s="1555">
        <f t="shared" si="1379"/>
        <v>0</v>
      </c>
      <c r="Y71" s="1555">
        <f t="shared" si="1379"/>
        <v>0</v>
      </c>
      <c r="Z71" s="1555">
        <f t="shared" si="1379"/>
        <v>0</v>
      </c>
      <c r="AA71" s="1555">
        <f t="shared" si="1379"/>
        <v>0</v>
      </c>
      <c r="AB71" s="1555">
        <f t="shared" si="1379"/>
        <v>0</v>
      </c>
      <c r="AC71" s="1555">
        <f t="shared" si="1379"/>
        <v>0</v>
      </c>
      <c r="AD71" s="1555">
        <f t="shared" si="1379"/>
        <v>0</v>
      </c>
      <c r="AE71" s="1555">
        <f t="shared" si="1379"/>
        <v>0</v>
      </c>
      <c r="AF71" s="1555">
        <f t="shared" si="1379"/>
        <v>0</v>
      </c>
      <c r="AG71" s="1555">
        <f t="shared" si="1379"/>
        <v>0</v>
      </c>
      <c r="AH71" s="1555">
        <f t="shared" si="1379"/>
        <v>0</v>
      </c>
      <c r="AI71" s="1555">
        <f t="shared" si="1379"/>
        <v>0</v>
      </c>
      <c r="AJ71" s="1555">
        <f t="shared" si="1379"/>
        <v>0</v>
      </c>
      <c r="AK71" s="1555">
        <f t="shared" si="1379"/>
        <v>0</v>
      </c>
      <c r="AL71" s="1555">
        <f t="shared" si="1379"/>
        <v>0</v>
      </c>
      <c r="AM71" s="1555">
        <f t="shared" si="1379"/>
        <v>0</v>
      </c>
      <c r="AN71" s="1555">
        <f t="shared" si="1379"/>
        <v>0</v>
      </c>
      <c r="AO71" s="1555">
        <f t="shared" si="1379"/>
        <v>0</v>
      </c>
      <c r="AP71" s="1555">
        <f t="shared" si="1379"/>
        <v>0</v>
      </c>
      <c r="AQ71" s="1555">
        <f t="shared" si="1379"/>
        <v>0</v>
      </c>
      <c r="AR71" s="1555">
        <f t="shared" si="1379"/>
        <v>0</v>
      </c>
      <c r="AS71" s="1555">
        <f t="shared" si="1379"/>
        <v>0</v>
      </c>
      <c r="AT71" s="1555">
        <f t="shared" si="1379"/>
        <v>0</v>
      </c>
      <c r="AU71" s="1555">
        <f t="shared" si="1379"/>
        <v>0</v>
      </c>
      <c r="AV71" s="1555">
        <f t="shared" ref="AV71:CA71" si="1380">SUM(AV68:AV70)</f>
        <v>7015</v>
      </c>
      <c r="AW71" s="1555">
        <f>SUM(AW68:AW70)</f>
        <v>2334.5</v>
      </c>
      <c r="AX71" s="1555">
        <f t="shared" si="1380"/>
        <v>0</v>
      </c>
      <c r="AY71" s="1555">
        <f t="shared" si="1380"/>
        <v>0</v>
      </c>
      <c r="AZ71" s="1555">
        <f t="shared" si="1380"/>
        <v>0</v>
      </c>
      <c r="BA71" s="1555">
        <f t="shared" si="1380"/>
        <v>0</v>
      </c>
      <c r="BB71" s="1555">
        <f t="shared" si="1380"/>
        <v>0</v>
      </c>
      <c r="BC71" s="1555">
        <f t="shared" si="1380"/>
        <v>888.80050000000017</v>
      </c>
      <c r="BD71" s="1555">
        <f t="shared" si="1380"/>
        <v>10238.300500000001</v>
      </c>
      <c r="BE71" s="1555">
        <f t="shared" si="1380"/>
        <v>5642.5</v>
      </c>
      <c r="BF71" s="1555">
        <f t="shared" si="1380"/>
        <v>1877.7500000000002</v>
      </c>
      <c r="BG71" s="1555">
        <f t="shared" si="1380"/>
        <v>0</v>
      </c>
      <c r="BH71" s="1555">
        <f t="shared" si="1380"/>
        <v>0</v>
      </c>
      <c r="BI71" s="1555">
        <f t="shared" si="1380"/>
        <v>0</v>
      </c>
      <c r="BJ71" s="1555">
        <f t="shared" si="1380"/>
        <v>0</v>
      </c>
      <c r="BK71" s="1555">
        <f t="shared" si="1380"/>
        <v>0</v>
      </c>
      <c r="BL71" s="1555">
        <f t="shared" si="1380"/>
        <v>714.90475000000004</v>
      </c>
      <c r="BM71" s="1555">
        <f t="shared" si="1380"/>
        <v>8235.1547500000015</v>
      </c>
      <c r="BN71" s="1555">
        <f t="shared" si="1380"/>
        <v>0</v>
      </c>
      <c r="BO71" s="1555">
        <f t="shared" si="1380"/>
        <v>0</v>
      </c>
      <c r="BP71" s="1555">
        <f t="shared" si="1380"/>
        <v>0</v>
      </c>
      <c r="BQ71" s="1555">
        <f t="shared" si="1380"/>
        <v>0</v>
      </c>
      <c r="BR71" s="1555">
        <f t="shared" si="1380"/>
        <v>0</v>
      </c>
      <c r="BS71" s="1555">
        <f t="shared" si="1380"/>
        <v>0</v>
      </c>
      <c r="BT71" s="1555">
        <f t="shared" si="1380"/>
        <v>0</v>
      </c>
      <c r="BU71" s="1555">
        <f t="shared" si="1380"/>
        <v>0</v>
      </c>
      <c r="BV71" s="1555">
        <f t="shared" si="1380"/>
        <v>0</v>
      </c>
      <c r="BW71" s="1555">
        <f t="shared" si="1380"/>
        <v>2592.5</v>
      </c>
      <c r="BX71" s="1555">
        <f t="shared" si="1380"/>
        <v>862.75000000000011</v>
      </c>
      <c r="BY71" s="1555">
        <f t="shared" si="1380"/>
        <v>0</v>
      </c>
      <c r="BZ71" s="1555">
        <f t="shared" si="1380"/>
        <v>0</v>
      </c>
      <c r="CA71" s="1555">
        <f t="shared" si="1380"/>
        <v>0</v>
      </c>
      <c r="CB71" s="1555">
        <f t="shared" ref="CB71:DG71" si="1381">SUM(CB68:CB70)</f>
        <v>0</v>
      </c>
      <c r="CC71" s="1555">
        <f t="shared" si="1381"/>
        <v>0</v>
      </c>
      <c r="CD71" s="1555">
        <f t="shared" si="1381"/>
        <v>328.46975000000003</v>
      </c>
      <c r="CE71" s="1555">
        <f t="shared" si="1381"/>
        <v>3783.7197500000002</v>
      </c>
      <c r="CF71" s="1555">
        <f t="shared" si="1381"/>
        <v>0</v>
      </c>
      <c r="CG71" s="1555">
        <f t="shared" si="1381"/>
        <v>0</v>
      </c>
      <c r="CH71" s="1555">
        <f t="shared" si="1381"/>
        <v>0</v>
      </c>
      <c r="CI71" s="1555">
        <f t="shared" si="1381"/>
        <v>0</v>
      </c>
      <c r="CJ71" s="1555">
        <f t="shared" si="1381"/>
        <v>0</v>
      </c>
      <c r="CK71" s="1555">
        <f t="shared" si="1381"/>
        <v>0</v>
      </c>
      <c r="CL71" s="1555">
        <f t="shared" si="1381"/>
        <v>0</v>
      </c>
      <c r="CM71" s="1555">
        <f t="shared" si="1381"/>
        <v>0</v>
      </c>
      <c r="CN71" s="1555">
        <f t="shared" si="1381"/>
        <v>0</v>
      </c>
      <c r="CO71" s="1555">
        <f t="shared" si="1381"/>
        <v>0</v>
      </c>
      <c r="CP71" s="1555">
        <f t="shared" si="1381"/>
        <v>0</v>
      </c>
      <c r="CQ71" s="1555">
        <f t="shared" si="1381"/>
        <v>7250</v>
      </c>
      <c r="CR71" s="1555">
        <f t="shared" si="1381"/>
        <v>1075</v>
      </c>
      <c r="CS71" s="1555">
        <f t="shared" si="1381"/>
        <v>0</v>
      </c>
      <c r="CT71" s="1555">
        <f t="shared" si="1381"/>
        <v>0</v>
      </c>
      <c r="CU71" s="1555">
        <f t="shared" si="1381"/>
        <v>0</v>
      </c>
      <c r="CV71" s="1555">
        <f t="shared" si="1381"/>
        <v>0</v>
      </c>
      <c r="CW71" s="1555">
        <f t="shared" si="1381"/>
        <v>0</v>
      </c>
      <c r="CX71" s="1555">
        <f t="shared" si="1381"/>
        <v>918.57500000000005</v>
      </c>
      <c r="CY71" s="1555">
        <f t="shared" si="1381"/>
        <v>9243.5750000000007</v>
      </c>
      <c r="CZ71" s="1555">
        <f t="shared" si="1381"/>
        <v>8000.0000000000009</v>
      </c>
      <c r="DA71" s="1555">
        <f t="shared" si="1381"/>
        <v>4000.0000000000005</v>
      </c>
      <c r="DB71" s="1555">
        <f t="shared" si="1381"/>
        <v>0</v>
      </c>
      <c r="DC71" s="1555">
        <f t="shared" si="1381"/>
        <v>0</v>
      </c>
      <c r="DD71" s="1555">
        <f t="shared" si="1381"/>
        <v>0</v>
      </c>
      <c r="DE71" s="1555">
        <f t="shared" si="1381"/>
        <v>0</v>
      </c>
      <c r="DF71" s="1555">
        <f t="shared" si="1381"/>
        <v>0</v>
      </c>
      <c r="DG71" s="1555">
        <f t="shared" si="1381"/>
        <v>1013.6000000000003</v>
      </c>
      <c r="DH71" s="1555">
        <f t="shared" ref="DH71:EM71" si="1382">SUM(DH68:DH70)</f>
        <v>13013.600000000002</v>
      </c>
      <c r="DI71" s="1555">
        <f t="shared" si="1382"/>
        <v>0</v>
      </c>
      <c r="DJ71" s="1555">
        <f t="shared" si="1382"/>
        <v>0</v>
      </c>
      <c r="DK71" s="1555">
        <f t="shared" si="1382"/>
        <v>0</v>
      </c>
      <c r="DL71" s="1555">
        <f t="shared" si="1382"/>
        <v>0</v>
      </c>
      <c r="DM71" s="1555">
        <f t="shared" si="1382"/>
        <v>0</v>
      </c>
      <c r="DN71" s="1555">
        <f t="shared" si="1382"/>
        <v>0</v>
      </c>
      <c r="DO71" s="1555">
        <f t="shared" si="1382"/>
        <v>0</v>
      </c>
      <c r="DP71" s="1555">
        <f t="shared" si="1382"/>
        <v>0</v>
      </c>
      <c r="DQ71" s="1555">
        <f t="shared" si="1382"/>
        <v>0</v>
      </c>
      <c r="DR71" s="1555">
        <f t="shared" si="1382"/>
        <v>0</v>
      </c>
      <c r="DS71" s="1555">
        <f t="shared" si="1382"/>
        <v>0</v>
      </c>
      <c r="DT71" s="1555">
        <f t="shared" si="1382"/>
        <v>0</v>
      </c>
      <c r="DU71" s="1555">
        <f t="shared" si="1382"/>
        <v>0</v>
      </c>
      <c r="DV71" s="1555">
        <f t="shared" si="1382"/>
        <v>0</v>
      </c>
      <c r="DW71" s="1555">
        <f t="shared" si="1382"/>
        <v>0</v>
      </c>
      <c r="DX71" s="1555">
        <f t="shared" si="1382"/>
        <v>0</v>
      </c>
      <c r="DY71" s="1555">
        <f t="shared" si="1382"/>
        <v>0</v>
      </c>
      <c r="DZ71" s="1555">
        <f t="shared" si="1382"/>
        <v>0</v>
      </c>
      <c r="EA71" s="1555">
        <f t="shared" si="1382"/>
        <v>0</v>
      </c>
      <c r="EB71" s="1555">
        <f t="shared" si="1382"/>
        <v>0</v>
      </c>
      <c r="EC71" s="1555">
        <f t="shared" si="1382"/>
        <v>0</v>
      </c>
      <c r="ED71" s="1555">
        <f t="shared" si="1382"/>
        <v>0</v>
      </c>
      <c r="EE71" s="1555">
        <f t="shared" si="1382"/>
        <v>0</v>
      </c>
      <c r="EF71" s="1555">
        <f t="shared" si="1382"/>
        <v>0</v>
      </c>
      <c r="EG71" s="1555">
        <f t="shared" si="1382"/>
        <v>0</v>
      </c>
      <c r="EH71" s="1555">
        <f t="shared" si="1382"/>
        <v>0</v>
      </c>
      <c r="EI71" s="1555">
        <f>SUM(EI68:EI70)</f>
        <v>0</v>
      </c>
      <c r="EJ71" s="1555">
        <f t="shared" si="1382"/>
        <v>0</v>
      </c>
      <c r="EK71" s="1555">
        <f t="shared" si="1382"/>
        <v>388.48</v>
      </c>
      <c r="EL71" s="1555">
        <f t="shared" si="1382"/>
        <v>0</v>
      </c>
      <c r="EM71" s="1555">
        <f t="shared" si="1382"/>
        <v>0</v>
      </c>
      <c r="EN71" s="1555">
        <f>SUM(EN68:EN70)</f>
        <v>507</v>
      </c>
      <c r="EO71" s="1555">
        <f t="shared" ref="EO71:FE71" si="1383">SUM(EO68:EO70)</f>
        <v>0</v>
      </c>
      <c r="EP71" s="1555">
        <f t="shared" si="1383"/>
        <v>200</v>
      </c>
      <c r="EQ71" s="1555">
        <f t="shared" si="1383"/>
        <v>240</v>
      </c>
      <c r="ER71" s="1555">
        <f t="shared" si="1383"/>
        <v>0</v>
      </c>
      <c r="ES71" s="1555">
        <f t="shared" si="1383"/>
        <v>0</v>
      </c>
      <c r="ET71" s="1555">
        <f t="shared" si="1383"/>
        <v>440</v>
      </c>
      <c r="EU71" s="1555">
        <f t="shared" si="1383"/>
        <v>0</v>
      </c>
      <c r="EV71" s="1555">
        <f t="shared" si="1383"/>
        <v>388.48</v>
      </c>
      <c r="EW71" s="1555">
        <f t="shared" si="1383"/>
        <v>0</v>
      </c>
      <c r="EX71" s="1555">
        <f t="shared" si="1383"/>
        <v>0</v>
      </c>
      <c r="EY71" s="1555">
        <f t="shared" si="1383"/>
        <v>507</v>
      </c>
      <c r="EZ71" s="1555">
        <f t="shared" si="1383"/>
        <v>0</v>
      </c>
      <c r="FA71" s="1555">
        <f t="shared" si="1383"/>
        <v>200</v>
      </c>
      <c r="FB71" s="1555">
        <f t="shared" si="1383"/>
        <v>240</v>
      </c>
      <c r="FC71" s="1555">
        <f t="shared" si="1383"/>
        <v>0</v>
      </c>
      <c r="FD71" s="1555">
        <f t="shared" si="1383"/>
        <v>0</v>
      </c>
      <c r="FE71" s="1555">
        <f t="shared" si="1383"/>
        <v>440</v>
      </c>
      <c r="FF71" s="1556"/>
      <c r="FG71" s="1556"/>
      <c r="FH71" s="1556"/>
      <c r="FI71" s="1556"/>
      <c r="FJ71" s="1556"/>
      <c r="FK71" s="1556"/>
      <c r="FL71" s="1464">
        <f t="shared" si="272"/>
        <v>0</v>
      </c>
    </row>
    <row r="72" spans="1:172" s="1474" customFormat="1" ht="16.5" customHeight="1" outlineLevel="1" thickTop="1" thickBot="1">
      <c r="A72" s="1403"/>
      <c r="B72" s="1348"/>
      <c r="C72" s="1339" t="s">
        <v>84</v>
      </c>
      <c r="E72" s="1557">
        <f>SUM(E19+E28+E42+E50+E59+E65+E71)</f>
        <v>279743.47000000003</v>
      </c>
      <c r="F72" s="1558">
        <f>SUM(F19+F28+F42+F50+F59+F65+F71)</f>
        <v>217524.88</v>
      </c>
      <c r="G72" s="1558">
        <f>SUM(G19+G28+G42+G50+G59+G65+G71)</f>
        <v>497268.35000000003</v>
      </c>
      <c r="H72" s="1523"/>
      <c r="I72" s="1514"/>
      <c r="J72" s="1514"/>
      <c r="K72" s="1514"/>
      <c r="L72" s="1514"/>
      <c r="M72" s="1514"/>
      <c r="N72" s="1514"/>
      <c r="O72" s="1523"/>
      <c r="P72" s="1559">
        <f t="shared" ref="P72:AT72" si="1384">SUM(P19+P28+P42+P50+P59+P65+P71)</f>
        <v>13.5</v>
      </c>
      <c r="Q72" s="1559">
        <f t="shared" si="1384"/>
        <v>267.16331250000002</v>
      </c>
      <c r="R72" s="1559">
        <f t="shared" si="1384"/>
        <v>0</v>
      </c>
      <c r="S72" s="1559">
        <f t="shared" si="1384"/>
        <v>0</v>
      </c>
      <c r="T72" s="1559">
        <f t="shared" si="1384"/>
        <v>20.5</v>
      </c>
      <c r="U72" s="1559">
        <f t="shared" si="1384"/>
        <v>482.79368750000003</v>
      </c>
      <c r="V72" s="1559">
        <f t="shared" si="1384"/>
        <v>0</v>
      </c>
      <c r="W72" s="1559">
        <f t="shared" si="1384"/>
        <v>0</v>
      </c>
      <c r="X72" s="1559">
        <f t="shared" si="1384"/>
        <v>0</v>
      </c>
      <c r="Y72" s="1559">
        <f t="shared" si="1384"/>
        <v>0</v>
      </c>
      <c r="Z72" s="1559">
        <f t="shared" si="1384"/>
        <v>0</v>
      </c>
      <c r="AA72" s="1559">
        <f t="shared" si="1384"/>
        <v>0</v>
      </c>
      <c r="AB72" s="1559">
        <f t="shared" si="1384"/>
        <v>0</v>
      </c>
      <c r="AC72" s="1559">
        <f t="shared" si="1384"/>
        <v>0</v>
      </c>
      <c r="AD72" s="1559">
        <f t="shared" si="1384"/>
        <v>0</v>
      </c>
      <c r="AE72" s="1559">
        <f t="shared" si="1384"/>
        <v>0</v>
      </c>
      <c r="AF72" s="1559">
        <f t="shared" si="1384"/>
        <v>0</v>
      </c>
      <c r="AG72" s="1559">
        <f t="shared" si="1384"/>
        <v>0</v>
      </c>
      <c r="AH72" s="1559">
        <f t="shared" si="1384"/>
        <v>0</v>
      </c>
      <c r="AI72" s="1559">
        <f t="shared" si="1384"/>
        <v>0</v>
      </c>
      <c r="AJ72" s="1559">
        <f t="shared" si="1384"/>
        <v>0</v>
      </c>
      <c r="AK72" s="1559">
        <f t="shared" si="1384"/>
        <v>0</v>
      </c>
      <c r="AL72" s="1559">
        <f t="shared" si="1384"/>
        <v>0</v>
      </c>
      <c r="AM72" s="1559">
        <f t="shared" si="1384"/>
        <v>0</v>
      </c>
      <c r="AN72" s="1559">
        <f t="shared" si="1384"/>
        <v>0</v>
      </c>
      <c r="AO72" s="1559">
        <f t="shared" si="1384"/>
        <v>0</v>
      </c>
      <c r="AP72" s="1559">
        <f t="shared" si="1384"/>
        <v>0</v>
      </c>
      <c r="AQ72" s="1559">
        <f t="shared" si="1384"/>
        <v>0</v>
      </c>
      <c r="AR72" s="1559">
        <f t="shared" si="1384"/>
        <v>0</v>
      </c>
      <c r="AS72" s="1559">
        <f t="shared" si="1384"/>
        <v>0</v>
      </c>
      <c r="AT72" s="1559" t="e">
        <f t="shared" si="1384"/>
        <v>#REF!</v>
      </c>
      <c r="AU72" s="1560"/>
      <c r="AV72" s="1559">
        <f t="shared" ref="AV72:CN72" si="1385">SUM(AV19+AV28+AV42+AV50+AV59+AV65+AV71)</f>
        <v>176940.69899999999</v>
      </c>
      <c r="AW72" s="1559">
        <f t="shared" si="1385"/>
        <v>205845.36299999998</v>
      </c>
      <c r="AX72" s="1559">
        <f t="shared" si="1385"/>
        <v>13.5</v>
      </c>
      <c r="AY72" s="1559">
        <f t="shared" si="1385"/>
        <v>267.16331250000002</v>
      </c>
      <c r="AZ72" s="1560">
        <f t="shared" si="1385"/>
        <v>0</v>
      </c>
      <c r="BA72" s="1560">
        <f t="shared" si="1385"/>
        <v>0</v>
      </c>
      <c r="BB72" s="1560">
        <f t="shared" si="1385"/>
        <v>0</v>
      </c>
      <c r="BC72" s="1560">
        <f t="shared" si="1385"/>
        <v>22452.236154993752</v>
      </c>
      <c r="BD72" s="1560">
        <f t="shared" si="1385"/>
        <v>405505.46146749373</v>
      </c>
      <c r="BE72" s="1560">
        <f t="shared" si="1385"/>
        <v>84596.264999999999</v>
      </c>
      <c r="BF72" s="1560">
        <f t="shared" si="1385"/>
        <v>19016.334999999999</v>
      </c>
      <c r="BG72" s="1560">
        <f t="shared" si="1385"/>
        <v>20.5</v>
      </c>
      <c r="BH72" s="1560">
        <f t="shared" si="1385"/>
        <v>482.79368750000003</v>
      </c>
      <c r="BI72" s="1560">
        <f t="shared" si="1385"/>
        <v>0</v>
      </c>
      <c r="BJ72" s="1560">
        <f t="shared" si="1385"/>
        <v>0</v>
      </c>
      <c r="BK72" s="1560">
        <f t="shared" si="1385"/>
        <v>0</v>
      </c>
      <c r="BL72" s="1560">
        <f t="shared" si="1385"/>
        <v>7833.7417357062504</v>
      </c>
      <c r="BM72" s="1560">
        <f t="shared" si="1385"/>
        <v>111929.13542320624</v>
      </c>
      <c r="BN72" s="1560">
        <f t="shared" si="1385"/>
        <v>0</v>
      </c>
      <c r="BO72" s="1560">
        <f t="shared" si="1385"/>
        <v>0</v>
      </c>
      <c r="BP72" s="1560">
        <f t="shared" si="1385"/>
        <v>0</v>
      </c>
      <c r="BQ72" s="1560">
        <f t="shared" si="1385"/>
        <v>0</v>
      </c>
      <c r="BR72" s="1560">
        <f t="shared" si="1385"/>
        <v>0</v>
      </c>
      <c r="BS72" s="1560">
        <f t="shared" si="1385"/>
        <v>0</v>
      </c>
      <c r="BT72" s="1560">
        <f t="shared" si="1385"/>
        <v>0</v>
      </c>
      <c r="BU72" s="1560">
        <f t="shared" si="1385"/>
        <v>0</v>
      </c>
      <c r="BV72" s="1560">
        <f t="shared" si="1385"/>
        <v>0</v>
      </c>
      <c r="BW72" s="1509">
        <f t="shared" si="1385"/>
        <v>13823.373333333333</v>
      </c>
      <c r="BX72" s="1509">
        <f t="shared" si="1385"/>
        <v>6570.1866666666665</v>
      </c>
      <c r="BY72" s="1509">
        <f t="shared" si="1385"/>
        <v>0</v>
      </c>
      <c r="BZ72" s="1509">
        <f t="shared" si="1385"/>
        <v>0</v>
      </c>
      <c r="CA72" s="1509">
        <f t="shared" si="1385"/>
        <v>0</v>
      </c>
      <c r="CB72" s="1509">
        <f t="shared" si="1385"/>
        <v>0</v>
      </c>
      <c r="CC72" s="1509">
        <f t="shared" si="1385"/>
        <v>0</v>
      </c>
      <c r="CD72" s="1509">
        <f t="shared" si="1385"/>
        <v>1751.4214013333333</v>
      </c>
      <c r="CE72" s="1509">
        <f t="shared" si="1385"/>
        <v>22144.981401333334</v>
      </c>
      <c r="CF72" s="1509">
        <f t="shared" si="1385"/>
        <v>0</v>
      </c>
      <c r="CG72" s="1509">
        <f t="shared" si="1385"/>
        <v>0</v>
      </c>
      <c r="CH72" s="1509">
        <f t="shared" si="1385"/>
        <v>0</v>
      </c>
      <c r="CI72" s="1509">
        <f t="shared" si="1385"/>
        <v>0</v>
      </c>
      <c r="CJ72" s="1509">
        <f t="shared" si="1385"/>
        <v>0</v>
      </c>
      <c r="CK72" s="1509">
        <f t="shared" si="1385"/>
        <v>0</v>
      </c>
      <c r="CL72" s="1509">
        <f t="shared" si="1385"/>
        <v>0</v>
      </c>
      <c r="CM72" s="1509">
        <f t="shared" si="1385"/>
        <v>0</v>
      </c>
      <c r="CN72" s="1509">
        <f t="shared" si="1385"/>
        <v>0</v>
      </c>
      <c r="CO72" s="1509"/>
      <c r="CP72" s="1551"/>
      <c r="CQ72" s="1559">
        <f t="shared" ref="CQ72:EI72" si="1386">SUM(CQ19+CQ28+CQ42+CQ50+CQ59+CQ65+CQ71)</f>
        <v>178909.13733333335</v>
      </c>
      <c r="CR72" s="1559">
        <f t="shared" si="1386"/>
        <v>211116.18466666667</v>
      </c>
      <c r="CS72" s="1559">
        <f t="shared" si="1386"/>
        <v>13.5</v>
      </c>
      <c r="CT72" s="1559">
        <f t="shared" si="1386"/>
        <v>267.16331250000002</v>
      </c>
      <c r="CU72" s="1559">
        <f t="shared" si="1386"/>
        <v>0</v>
      </c>
      <c r="CV72" s="1559">
        <f t="shared" si="1386"/>
        <v>0</v>
      </c>
      <c r="CW72" s="1559">
        <f t="shared" si="1386"/>
        <v>0</v>
      </c>
      <c r="CX72" s="1559">
        <f t="shared" si="1386"/>
        <v>22479.912291827088</v>
      </c>
      <c r="CY72" s="1559">
        <f t="shared" si="1386"/>
        <v>412772.39760432707</v>
      </c>
      <c r="CZ72" s="1559">
        <f t="shared" si="1386"/>
        <v>96451.199999999997</v>
      </c>
      <c r="DA72" s="1559">
        <f t="shared" si="1386"/>
        <v>20315.7</v>
      </c>
      <c r="DB72" s="1560">
        <f t="shared" si="1386"/>
        <v>20.5</v>
      </c>
      <c r="DC72" s="1560">
        <f t="shared" si="1386"/>
        <v>482.79368750000003</v>
      </c>
      <c r="DD72" s="1560">
        <f t="shared" si="1386"/>
        <v>0</v>
      </c>
      <c r="DE72" s="1560">
        <f t="shared" si="1386"/>
        <v>0</v>
      </c>
      <c r="DF72" s="1560">
        <f t="shared" si="1386"/>
        <v>0</v>
      </c>
      <c r="DG72" s="1560">
        <f t="shared" si="1386"/>
        <v>9557.4870002062507</v>
      </c>
      <c r="DH72" s="1560">
        <f t="shared" si="1386"/>
        <v>126807.18068770626</v>
      </c>
      <c r="DI72" s="1560">
        <f t="shared" si="1386"/>
        <v>0</v>
      </c>
      <c r="DJ72" s="1560">
        <f t="shared" si="1386"/>
        <v>0</v>
      </c>
      <c r="DK72" s="1560">
        <f t="shared" si="1386"/>
        <v>0</v>
      </c>
      <c r="DL72" s="1560">
        <f t="shared" si="1386"/>
        <v>0</v>
      </c>
      <c r="DM72" s="1560">
        <f t="shared" si="1386"/>
        <v>0</v>
      </c>
      <c r="DN72" s="1560">
        <f t="shared" si="1386"/>
        <v>0</v>
      </c>
      <c r="DO72" s="1560">
        <f t="shared" si="1386"/>
        <v>0</v>
      </c>
      <c r="DP72" s="1560">
        <f t="shared" si="1386"/>
        <v>0</v>
      </c>
      <c r="DQ72" s="1560">
        <f t="shared" si="1386"/>
        <v>0</v>
      </c>
      <c r="DR72" s="1509">
        <f t="shared" si="1386"/>
        <v>0</v>
      </c>
      <c r="DS72" s="1509">
        <f t="shared" si="1386"/>
        <v>0</v>
      </c>
      <c r="DT72" s="1509">
        <f t="shared" si="1386"/>
        <v>0</v>
      </c>
      <c r="DU72" s="1509">
        <f t="shared" si="1386"/>
        <v>0</v>
      </c>
      <c r="DV72" s="1509">
        <f t="shared" si="1386"/>
        <v>0</v>
      </c>
      <c r="DW72" s="1509">
        <f t="shared" si="1386"/>
        <v>0</v>
      </c>
      <c r="DX72" s="1509">
        <f t="shared" si="1386"/>
        <v>0</v>
      </c>
      <c r="DY72" s="1509">
        <f t="shared" si="1386"/>
        <v>0</v>
      </c>
      <c r="DZ72" s="1509">
        <f t="shared" si="1386"/>
        <v>0</v>
      </c>
      <c r="EA72" s="1509">
        <f t="shared" si="1386"/>
        <v>0</v>
      </c>
      <c r="EB72" s="1509">
        <f t="shared" si="1386"/>
        <v>0</v>
      </c>
      <c r="EC72" s="1509">
        <f t="shared" si="1386"/>
        <v>0</v>
      </c>
      <c r="ED72" s="1509">
        <f t="shared" si="1386"/>
        <v>0</v>
      </c>
      <c r="EE72" s="1509">
        <f t="shared" si="1386"/>
        <v>0</v>
      </c>
      <c r="EF72" s="1509">
        <f t="shared" si="1386"/>
        <v>0</v>
      </c>
      <c r="EG72" s="1509">
        <f t="shared" si="1386"/>
        <v>0</v>
      </c>
      <c r="EH72" s="1509">
        <f t="shared" si="1386"/>
        <v>0</v>
      </c>
      <c r="EI72" s="1509">
        <f t="shared" si="1386"/>
        <v>0</v>
      </c>
      <c r="EK72" s="1561">
        <f t="shared" ref="EK72:ET72" si="1387">SUM(EK19+EK28+EK42+EK50+EK59+EK65+EK71)</f>
        <v>23432.880000000001</v>
      </c>
      <c r="EL72" s="1561">
        <f t="shared" si="1387"/>
        <v>4217.17</v>
      </c>
      <c r="EM72" s="1561">
        <f t="shared" si="1387"/>
        <v>1690</v>
      </c>
      <c r="EN72" s="1562">
        <f t="shared" si="1387"/>
        <v>2700.25</v>
      </c>
      <c r="EO72" s="1561">
        <f t="shared" si="1387"/>
        <v>450</v>
      </c>
      <c r="EP72" s="1561">
        <f t="shared" si="1387"/>
        <v>2310</v>
      </c>
      <c r="EQ72" s="1561">
        <f t="shared" si="1387"/>
        <v>2457.5</v>
      </c>
      <c r="ER72" s="1561">
        <f t="shared" si="1387"/>
        <v>0</v>
      </c>
      <c r="ES72" s="1561">
        <f t="shared" si="1387"/>
        <v>135</v>
      </c>
      <c r="ET72" s="1561">
        <f t="shared" si="1387"/>
        <v>5924.12</v>
      </c>
      <c r="EU72" s="1509"/>
      <c r="EV72" s="1509">
        <f t="shared" ref="EV72:FE72" si="1388">SUM(EV19+EV28+EV42+EV50+EV59+EV65+EV71)</f>
        <v>23432.880000000001</v>
      </c>
      <c r="EW72" s="1509">
        <f t="shared" si="1388"/>
        <v>4217.17</v>
      </c>
      <c r="EX72" s="1509">
        <f t="shared" si="1388"/>
        <v>1690</v>
      </c>
      <c r="EY72" s="1509">
        <f t="shared" si="1388"/>
        <v>2700.25</v>
      </c>
      <c r="EZ72" s="1509">
        <f t="shared" si="1388"/>
        <v>450</v>
      </c>
      <c r="FA72" s="1509">
        <f t="shared" si="1388"/>
        <v>2310</v>
      </c>
      <c r="FB72" s="1509">
        <f t="shared" si="1388"/>
        <v>3164.12</v>
      </c>
      <c r="FC72" s="1509">
        <f t="shared" si="1388"/>
        <v>0</v>
      </c>
      <c r="FD72" s="1509">
        <f t="shared" si="1388"/>
        <v>135</v>
      </c>
      <c r="FE72" s="1509">
        <f t="shared" si="1388"/>
        <v>5924.12</v>
      </c>
      <c r="FF72" s="1556"/>
      <c r="FG72" s="1556"/>
      <c r="FH72" s="1556"/>
      <c r="FI72" s="1556"/>
      <c r="FJ72" s="1556"/>
      <c r="FK72" s="1556"/>
      <c r="FL72" s="1464">
        <f t="shared" si="272"/>
        <v>0</v>
      </c>
    </row>
    <row r="73" spans="1:172" s="1414" customFormat="1" ht="15.75" customHeight="1" outlineLevel="1" thickTop="1">
      <c r="A73" s="1403"/>
      <c r="B73" s="1404"/>
      <c r="C73" s="1339"/>
      <c r="E73" s="1553"/>
      <c r="F73" s="1523"/>
      <c r="G73" s="1523"/>
      <c r="H73" s="1417"/>
      <c r="I73" s="1546"/>
      <c r="J73" s="1563"/>
      <c r="K73" s="1546"/>
      <c r="L73" s="1546"/>
      <c r="M73" s="1546"/>
      <c r="N73" s="1546"/>
      <c r="O73" s="1417"/>
      <c r="P73" s="1509"/>
      <c r="Q73" s="1509"/>
      <c r="R73" s="1509"/>
      <c r="S73" s="1509"/>
      <c r="T73" s="1509"/>
      <c r="U73" s="1509"/>
      <c r="V73" s="1509"/>
      <c r="W73" s="1509"/>
      <c r="X73" s="1509"/>
      <c r="Y73" s="1509"/>
      <c r="Z73" s="1509"/>
      <c r="AA73" s="1509"/>
      <c r="AB73" s="1509"/>
      <c r="AC73" s="1509"/>
      <c r="AD73" s="1509"/>
      <c r="AE73" s="1509"/>
      <c r="AF73" s="1509"/>
      <c r="AG73" s="1509"/>
      <c r="AH73" s="1509"/>
      <c r="AI73" s="1509"/>
      <c r="AJ73" s="1509"/>
      <c r="AK73" s="1509"/>
      <c r="AL73" s="1509"/>
      <c r="AM73" s="1509"/>
      <c r="AN73" s="1509"/>
      <c r="AO73" s="1509"/>
      <c r="AP73" s="1509"/>
      <c r="AQ73" s="1509"/>
      <c r="AR73" s="1509"/>
      <c r="AS73" s="1509"/>
      <c r="AT73" s="1509"/>
      <c r="AU73" s="1509"/>
      <c r="AV73" s="1509"/>
      <c r="AW73" s="1509"/>
      <c r="AX73" s="1509"/>
      <c r="AY73" s="1509"/>
      <c r="AZ73" s="1509"/>
      <c r="BA73" s="1509"/>
      <c r="BB73" s="1509"/>
      <c r="BC73" s="1509"/>
      <c r="BD73" s="1509"/>
      <c r="BE73" s="1509"/>
      <c r="BF73" s="1509"/>
      <c r="BG73" s="1509"/>
      <c r="BH73" s="1509"/>
      <c r="BI73" s="1509"/>
      <c r="BJ73" s="1509"/>
      <c r="BK73" s="1509"/>
      <c r="BL73" s="1509"/>
      <c r="BM73" s="1509"/>
      <c r="BN73" s="1509"/>
      <c r="BO73" s="1509"/>
      <c r="BP73" s="1509"/>
      <c r="BQ73" s="1509"/>
      <c r="BR73" s="1509"/>
      <c r="BS73" s="1509"/>
      <c r="BT73" s="1509"/>
      <c r="BU73" s="1509"/>
      <c r="BV73" s="1509"/>
      <c r="BW73" s="1509"/>
      <c r="BX73" s="1509"/>
      <c r="BY73" s="1509"/>
      <c r="BZ73" s="1509"/>
      <c r="CA73" s="1509"/>
      <c r="CB73" s="1509"/>
      <c r="CC73" s="1509"/>
      <c r="CD73" s="1509"/>
      <c r="CE73" s="1509"/>
      <c r="CF73" s="1509"/>
      <c r="CG73" s="1509"/>
      <c r="CH73" s="1509"/>
      <c r="CI73" s="1509"/>
      <c r="CJ73" s="1509"/>
      <c r="CK73" s="1509"/>
      <c r="CL73" s="1509"/>
      <c r="CM73" s="1509"/>
      <c r="CN73" s="1509"/>
      <c r="CO73" s="1509"/>
      <c r="CP73" s="1509"/>
      <c r="CQ73" s="1509"/>
      <c r="CR73" s="1509"/>
      <c r="CS73" s="1509"/>
      <c r="CT73" s="1509"/>
      <c r="CU73" s="1509"/>
      <c r="CV73" s="1509"/>
      <c r="CW73" s="1509"/>
      <c r="CX73" s="1509"/>
      <c r="CY73" s="1509"/>
      <c r="CZ73" s="1509"/>
      <c r="DA73" s="1509"/>
      <c r="DB73" s="1509"/>
      <c r="DC73" s="1509"/>
      <c r="DD73" s="1509"/>
      <c r="DE73" s="1509"/>
      <c r="DF73" s="1509"/>
      <c r="DG73" s="1509"/>
      <c r="DH73" s="1509"/>
      <c r="DI73" s="1509"/>
      <c r="DJ73" s="1509"/>
      <c r="DK73" s="1509"/>
      <c r="DL73" s="1509"/>
      <c r="DM73" s="1509"/>
      <c r="DN73" s="1509"/>
      <c r="DO73" s="1509"/>
      <c r="DP73" s="1509"/>
      <c r="DQ73" s="1509"/>
      <c r="DR73" s="1509"/>
      <c r="DS73" s="1509"/>
      <c r="DT73" s="1509"/>
      <c r="DU73" s="1509"/>
      <c r="DV73" s="1509"/>
      <c r="DW73" s="1509"/>
      <c r="DX73" s="1509"/>
      <c r="DY73" s="1509"/>
      <c r="DZ73" s="1509"/>
      <c r="EA73" s="1509"/>
      <c r="EB73" s="1509"/>
      <c r="EC73" s="1509"/>
      <c r="ED73" s="1509"/>
      <c r="EE73" s="1509"/>
      <c r="EF73" s="1509"/>
      <c r="EG73" s="1509"/>
      <c r="EH73" s="1509"/>
      <c r="EI73" s="1509"/>
      <c r="EK73" s="1523"/>
      <c r="EL73" s="1523"/>
      <c r="EM73" s="1523"/>
      <c r="EN73" s="1553"/>
      <c r="EO73" s="1523"/>
      <c r="EP73" s="1523"/>
      <c r="EQ73" s="1523"/>
      <c r="ER73" s="1523"/>
      <c r="ES73" s="1523"/>
      <c r="ET73" s="1523"/>
      <c r="EV73" s="1523"/>
      <c r="EW73" s="1523"/>
      <c r="EX73" s="1523"/>
      <c r="EY73" s="1523"/>
      <c r="EZ73" s="1523"/>
      <c r="FA73" s="1523"/>
      <c r="FB73" s="1523"/>
      <c r="FC73" s="1523"/>
      <c r="FD73" s="1523"/>
      <c r="FE73" s="1523"/>
      <c r="FF73" s="1448"/>
      <c r="FG73" s="1448"/>
      <c r="FH73" s="1448"/>
      <c r="FI73" s="1448"/>
      <c r="FJ73" s="1448"/>
      <c r="FK73" s="1448"/>
      <c r="FL73" s="1441">
        <f t="shared" si="272"/>
        <v>0</v>
      </c>
    </row>
    <row r="74" spans="1:172" s="1451" customFormat="1" ht="15" customHeight="1" outlineLevel="1">
      <c r="A74" s="1511"/>
      <c r="B74" s="1416" t="s">
        <v>570</v>
      </c>
      <c r="C74" s="1403"/>
      <c r="D74" s="1414"/>
      <c r="E74" s="1564"/>
      <c r="I74" s="1546"/>
      <c r="J74" s="1546"/>
      <c r="K74" s="1546"/>
      <c r="L74" s="1546"/>
      <c r="M74" s="1546"/>
      <c r="N74" s="1546"/>
      <c r="O74" s="1417"/>
      <c r="P74" s="1565"/>
      <c r="R74" s="1565"/>
      <c r="T74" s="1565"/>
      <c r="V74" s="1565"/>
      <c r="X74" s="1565"/>
      <c r="Z74" s="1566"/>
      <c r="AB74" s="1566"/>
      <c r="AD74" s="1566"/>
      <c r="AH74" s="1566"/>
      <c r="AU74" s="1517"/>
      <c r="CO74" s="1414"/>
      <c r="CP74" s="1414"/>
      <c r="DH74" s="1444"/>
      <c r="EJ74" s="1414"/>
      <c r="EK74" s="1403"/>
      <c r="EL74" s="1414"/>
      <c r="EM74" s="1414"/>
      <c r="EN74" s="330"/>
      <c r="EO74" s="1414"/>
      <c r="EP74" s="1414"/>
      <c r="EQ74" s="1414"/>
      <c r="ER74" s="1414"/>
      <c r="ES74" s="1414"/>
      <c r="ET74" s="1414"/>
      <c r="EU74" s="1414"/>
      <c r="EV74" s="1414"/>
      <c r="EW74" s="1414"/>
      <c r="EX74" s="1414"/>
      <c r="EY74" s="1414"/>
      <c r="EZ74" s="1414"/>
      <c r="FA74" s="1414"/>
      <c r="FB74" s="1414"/>
      <c r="FC74" s="1414"/>
      <c r="FD74" s="1414"/>
      <c r="FE74" s="1414"/>
      <c r="FF74" s="1448"/>
      <c r="FG74" s="1448"/>
      <c r="FH74" s="1448"/>
      <c r="FI74" s="1448"/>
      <c r="FJ74" s="1448"/>
      <c r="FK74" s="1448"/>
      <c r="FL74" s="1441">
        <f t="shared" si="272"/>
        <v>0</v>
      </c>
      <c r="FM74" s="1441"/>
      <c r="FN74" s="1441"/>
      <c r="FO74" s="1441"/>
      <c r="FP74" s="1441"/>
    </row>
    <row r="75" spans="1:172" s="331" customFormat="1" ht="14.25" customHeight="1" outlineLevel="1">
      <c r="A75" s="415">
        <v>44</v>
      </c>
      <c r="B75" s="311" t="s">
        <v>638</v>
      </c>
      <c r="C75" s="312" t="s">
        <v>377</v>
      </c>
      <c r="D75" s="313" t="s">
        <v>11</v>
      </c>
      <c r="E75" s="315">
        <v>3450</v>
      </c>
      <c r="F75" s="315">
        <v>550</v>
      </c>
      <c r="G75" s="1970">
        <f t="shared" ref="G75:G78" si="1389">+E75+F75</f>
        <v>4000</v>
      </c>
      <c r="H75" s="315">
        <v>30</v>
      </c>
      <c r="I75" s="318">
        <v>0.4</v>
      </c>
      <c r="J75" s="318">
        <v>0.4</v>
      </c>
      <c r="K75" s="318">
        <v>0</v>
      </c>
      <c r="L75" s="318">
        <v>0.2</v>
      </c>
      <c r="M75" s="318">
        <v>0</v>
      </c>
      <c r="N75" s="318">
        <f t="shared" ref="N75:N78" si="1390">SUM(I75:M75)</f>
        <v>1</v>
      </c>
      <c r="O75" s="1122" t="s">
        <v>54</v>
      </c>
      <c r="P75" s="321"/>
      <c r="Q75" s="315">
        <f t="shared" ref="Q75:Q78" si="1391">($E75/30/8*1.5)*P75</f>
        <v>0</v>
      </c>
      <c r="R75" s="321"/>
      <c r="S75" s="315">
        <f t="shared" ref="S75:S78" si="1392">($E75/30/8*2)*R75</f>
        <v>0</v>
      </c>
      <c r="T75" s="321"/>
      <c r="U75" s="315">
        <f t="shared" ref="U75:U78" si="1393">($E75/30/8*1.5)*T75</f>
        <v>0</v>
      </c>
      <c r="V75" s="321"/>
      <c r="W75" s="315">
        <f t="shared" ref="W75:W78" si="1394">($E75/30/8*2)*V75</f>
        <v>0</v>
      </c>
      <c r="X75" s="321"/>
      <c r="Y75" s="315">
        <f t="shared" ref="Y75:Y78" si="1395">(($E75/30/8)*1.5)*X75</f>
        <v>0</v>
      </c>
      <c r="Z75" s="322"/>
      <c r="AA75" s="315">
        <f t="shared" ref="AA75:AA78" si="1396">(($E75/30/8)*2)*Z75</f>
        <v>0</v>
      </c>
      <c r="AB75" s="322"/>
      <c r="AC75" s="315">
        <f t="shared" ref="AC75:AC78" si="1397">(($E75/30/8)*1.5)*AB75</f>
        <v>0</v>
      </c>
      <c r="AD75" s="322"/>
      <c r="AE75" s="315">
        <f t="shared" ref="AE75:AE78" si="1398">(($E75/30/8)*2)*AD75</f>
        <v>0</v>
      </c>
      <c r="AF75" s="315"/>
      <c r="AG75" s="315">
        <f t="shared" ref="AG75:AG78" si="1399">(($E75/30/8)*1.5)*AF75</f>
        <v>0</v>
      </c>
      <c r="AH75" s="322"/>
      <c r="AI75" s="315">
        <f t="shared" ref="AI75:AI78" si="1400">(($E75/30/8)*2)*AH75</f>
        <v>0</v>
      </c>
      <c r="AJ75" s="315"/>
      <c r="AK75" s="315"/>
      <c r="AL75" s="315"/>
      <c r="AM75" s="315"/>
      <c r="AN75" s="315"/>
      <c r="AO75" s="314"/>
      <c r="AP75" s="315"/>
      <c r="AQ75" s="315"/>
      <c r="AR75" s="315"/>
      <c r="AS75" s="315"/>
      <c r="AT75" s="315"/>
      <c r="AU75" s="313"/>
      <c r="AV75" s="315">
        <f t="shared" ref="AV75:AV78" si="1401">((E75/30)*H75)*$I75</f>
        <v>1380</v>
      </c>
      <c r="AW75" s="1971">
        <f>((F75/30)*H75)*$I75</f>
        <v>220</v>
      </c>
      <c r="AX75" s="315">
        <f t="shared" ref="AX75:BA78" si="1402">P75</f>
        <v>0</v>
      </c>
      <c r="AY75" s="315">
        <f t="shared" si="1402"/>
        <v>0</v>
      </c>
      <c r="AZ75" s="315">
        <f t="shared" si="1402"/>
        <v>0</v>
      </c>
      <c r="BA75" s="315">
        <f t="shared" si="1402"/>
        <v>0</v>
      </c>
      <c r="BB75" s="315">
        <f>+AO75</f>
        <v>0</v>
      </c>
      <c r="BC75" s="315">
        <f>(AV75+AY75+BA75)*0.1267</f>
        <v>174.846</v>
      </c>
      <c r="BD75" s="315">
        <f t="shared" ref="BD75:BD78" si="1403">SUM(AV75:BC75)-AX75-AZ75</f>
        <v>1774.846</v>
      </c>
      <c r="BE75" s="315">
        <f t="shared" ref="BE75:BE78" si="1404">(($E75/30)*$H75)*$J75</f>
        <v>1380</v>
      </c>
      <c r="BF75" s="1971">
        <f>(($F75/30)*$H75)*$J75</f>
        <v>220</v>
      </c>
      <c r="BG75" s="315">
        <f t="shared" ref="BG75:BJ78" si="1405">T75</f>
        <v>0</v>
      </c>
      <c r="BH75" s="315">
        <f t="shared" si="1405"/>
        <v>0</v>
      </c>
      <c r="BI75" s="315">
        <f t="shared" si="1405"/>
        <v>0</v>
      </c>
      <c r="BJ75" s="315">
        <f t="shared" si="1405"/>
        <v>0</v>
      </c>
      <c r="BK75" s="315">
        <f t="shared" ref="BK75:BK78" si="1406">AK75+AP75</f>
        <v>0</v>
      </c>
      <c r="BL75" s="315">
        <f t="shared" ref="BL75:BL78" si="1407">(+BE75+BH75+BJ75+BK75)*0.1267</f>
        <v>174.846</v>
      </c>
      <c r="BM75" s="314">
        <f t="shared" ref="BM75:BM78" si="1408">SUM(BE75:BL75)-BG75-BI75</f>
        <v>1774.846</v>
      </c>
      <c r="BN75" s="315">
        <f t="shared" ref="BN75:BN78" si="1409">(($E75/30)*$H75)*$K75</f>
        <v>0</v>
      </c>
      <c r="BO75" s="315">
        <f t="shared" ref="BO75:BO78" si="1410">(($F75/30)*$H75)*$K75</f>
        <v>0</v>
      </c>
      <c r="BP75" s="315">
        <f t="shared" ref="BP75:BR78" si="1411">X75</f>
        <v>0</v>
      </c>
      <c r="BQ75" s="315">
        <f t="shared" si="1411"/>
        <v>0</v>
      </c>
      <c r="BR75" s="315">
        <f t="shared" si="1411"/>
        <v>0</v>
      </c>
      <c r="BS75" s="315">
        <f t="shared" ref="BS75:BS78" si="1412">AA75</f>
        <v>0</v>
      </c>
      <c r="BT75" s="315">
        <f t="shared" ref="BT75:BT78" si="1413">AL75+AQ75</f>
        <v>0</v>
      </c>
      <c r="BU75" s="315">
        <f t="shared" ref="BU75:BU78" si="1414">(BN75+BQ75+BS75)*0.1267</f>
        <v>0</v>
      </c>
      <c r="BV75" s="315">
        <f t="shared" ref="BV75:BV78" si="1415">SUM(BN75:BU75)-BP75-BR75</f>
        <v>0</v>
      </c>
      <c r="BW75" s="1123">
        <f t="shared" ref="BW75:BW77" si="1416">(($E75/30)*$H75)*$L75</f>
        <v>690</v>
      </c>
      <c r="BX75" s="2014">
        <f>(($F75/30)*$H75)*$L75+200</f>
        <v>310</v>
      </c>
      <c r="BY75" s="1124">
        <f t="shared" ref="BY75:CB78" si="1417">AB75</f>
        <v>0</v>
      </c>
      <c r="BZ75" s="1124">
        <f t="shared" si="1417"/>
        <v>0</v>
      </c>
      <c r="CA75" s="1124">
        <f t="shared" si="1417"/>
        <v>0</v>
      </c>
      <c r="CB75" s="1124">
        <f t="shared" si="1417"/>
        <v>0</v>
      </c>
      <c r="CC75" s="1124">
        <f t="shared" ref="CC75:CC78" si="1418">AM75+AR75</f>
        <v>0</v>
      </c>
      <c r="CD75" s="1125">
        <f t="shared" ref="CD75:CD78" si="1419">(BW75+BZ75+CB75)*0.1267</f>
        <v>87.423000000000002</v>
      </c>
      <c r="CE75" s="1126">
        <f>SUM(BW75:CD75)-BY75-CA75</f>
        <v>1087.423</v>
      </c>
      <c r="CF75" s="1127">
        <f t="shared" ref="CF75:CF78" si="1420">(($E75/30)*$H75)*M75</f>
        <v>0</v>
      </c>
      <c r="CG75" s="1124">
        <f t="shared" ref="CG75:CG78" si="1421">(($F75/30)*$H75)*$M75</f>
        <v>0</v>
      </c>
      <c r="CH75" s="1124">
        <f t="shared" ref="CH75:CH78" si="1422">+AF75</f>
        <v>0</v>
      </c>
      <c r="CI75" s="1124">
        <f t="shared" ref="CI75:CK78" si="1423">AG75</f>
        <v>0</v>
      </c>
      <c r="CJ75" s="1124">
        <f t="shared" si="1423"/>
        <v>0</v>
      </c>
      <c r="CK75" s="1124">
        <f t="shared" si="1423"/>
        <v>0</v>
      </c>
      <c r="CL75" s="1124">
        <f t="shared" ref="CL75:CL78" si="1424">AN75+AS75</f>
        <v>0</v>
      </c>
      <c r="CM75" s="1125">
        <f t="shared" ref="CM75:CM78" si="1425">(CF75+CI75+CK75)*0.1267</f>
        <v>0</v>
      </c>
      <c r="CN75" s="1125">
        <f t="shared" ref="CN75:CN78" si="1426">SUM(CF75:CM75)-CH75-CJ75</f>
        <v>0</v>
      </c>
      <c r="CO75" s="330"/>
      <c r="CP75" s="313" t="s">
        <v>11</v>
      </c>
      <c r="CQ75" s="315">
        <f t="shared" ref="CQ75:CQ78" si="1427">IF($CP75="PROQUIMA",$AV75+$BE75+$BN75+$BW75+$CF75,0)</f>
        <v>0</v>
      </c>
      <c r="CR75" s="315">
        <f t="shared" ref="CR75:CR78" si="1428">IF($CP75="PROQUIMA",$AW75+$BF75+$BO75+$BX75+$CG75,0)</f>
        <v>0</v>
      </c>
      <c r="CS75" s="315">
        <f t="shared" ref="CS75:CS78" si="1429">IF($CP75="PROQUIMA",$AX75+$BG75+$BP75+$BY75+$CH75,0)</f>
        <v>0</v>
      </c>
      <c r="CT75" s="315">
        <f t="shared" ref="CT75:CT78" si="1430">IF($CP75="PROQUIMA",$AY75+$BH75+$BQ75+$BZ75+$CI75,0)</f>
        <v>0</v>
      </c>
      <c r="CU75" s="315">
        <f t="shared" ref="CU75:CU78" si="1431">IF($CP75="PROQUIMA",$AZ75+$BI75+$BR75+$CA75+$CJ75,0)</f>
        <v>0</v>
      </c>
      <c r="CV75" s="315">
        <f t="shared" ref="CV75:CV78" si="1432">IF($CP75="PROQUIMA",$BA75+$BJ75+$BS75+$CB75+$CK75,0)</f>
        <v>0</v>
      </c>
      <c r="CW75" s="315">
        <f t="shared" ref="CW75:CW78" si="1433">IF($CP75="PROQUIMA",$BB75+$BK75+$BT75+$CC75+$CL75,0)</f>
        <v>0</v>
      </c>
      <c r="CX75" s="315">
        <f t="shared" ref="CX75:CX78" si="1434">IF($CP75="PROQUIMA",$BC75+$BL75+$BU75+$CD75+CM75,0)</f>
        <v>0</v>
      </c>
      <c r="CY75" s="315">
        <f t="shared" ref="CY75:CY78" si="1435">SUM(CQ75:CX75)-CS75-CU75</f>
        <v>0</v>
      </c>
      <c r="CZ75" s="315">
        <f t="shared" ref="CZ75:CZ78" si="1436">IF($CP75="UNHESA",$AV75+$BE75+$BN75+$BW75+$CF75,0)</f>
        <v>3450</v>
      </c>
      <c r="DA75" s="315">
        <f t="shared" ref="DA75:DA78" si="1437">IF($CP75="UNHESA",$AW75+$BF75+$BO75+$BX75+$CG75,0)</f>
        <v>750</v>
      </c>
      <c r="DB75" s="315">
        <f t="shared" ref="DB75:DB78" si="1438">IF($CP75="UNHESA",$AX75+$BG75+$BP75+$BY75+$CH75,0)</f>
        <v>0</v>
      </c>
      <c r="DC75" s="315">
        <f t="shared" ref="DC75:DC78" si="1439">IF($CP75="UNHESA",$AY75+$BH75+$BQ75+$BZ75+$CI75,0)</f>
        <v>0</v>
      </c>
      <c r="DD75" s="315">
        <f t="shared" ref="DD75:DD78" si="1440">IF($CP75="UNHESA",$AZ75+$BI75+$BR75+$CA75+$CJ75,0)</f>
        <v>0</v>
      </c>
      <c r="DE75" s="315">
        <f t="shared" ref="DE75:DE78" si="1441">IF($CP75="UNHESA",$BA75+$BJ75+$BS75+$CB75+$CK75,0)</f>
        <v>0</v>
      </c>
      <c r="DF75" s="315">
        <f t="shared" ref="DF75:DF78" si="1442">IF($CP75="UNHESA",$BB75+$BK75+$BT75+$CC75+$CL75,0)</f>
        <v>0</v>
      </c>
      <c r="DG75" s="315">
        <f t="shared" ref="DG75:DG78" si="1443">IF($CP75="UNHESA",$BC75+$BL75+$BU75+$CD75+$CM75,0)</f>
        <v>437.11500000000001</v>
      </c>
      <c r="DH75" s="315">
        <f t="shared" ref="DH75:DH78" si="1444">SUM(CZ75:DG75)-DB75-DD75</f>
        <v>4637.1149999999998</v>
      </c>
      <c r="DI75" s="315">
        <f t="shared" ref="DI75:DI78" si="1445">IF($CP75="UNHESA LIQUIDOS",$AV75+$BE75+$BN75+$BW75+$CF75,0)</f>
        <v>0</v>
      </c>
      <c r="DJ75" s="315">
        <f>IF($CP75="CALIDUL",$AW75+$BF75+$BO75+$BX75+$CG75,0)</f>
        <v>0</v>
      </c>
      <c r="DK75" s="315">
        <f>IF($CP75="CALIDUL",$AX75+$BG75+$BP75+$BY75+$CH75,0)</f>
        <v>0</v>
      </c>
      <c r="DL75" s="315">
        <f>IF($CP75="CALIDUL",$AY75+$BH75+$BQ75+$BZ75+$CI75,0)</f>
        <v>0</v>
      </c>
      <c r="DM75" s="315">
        <f>IF($CP75="CALIDUL",$AZ75+$BI75+$BR75+$CA75+$CJ75,0)</f>
        <v>0</v>
      </c>
      <c r="DN75" s="315">
        <f>IF($CP75="CALIDUL",$BA75+$BJ75+$BS75+$CB75+$CK75,0)</f>
        <v>0</v>
      </c>
      <c r="DO75" s="315">
        <f>IF($CP75="CALIDUL",$BB75+$BK75+$BT75+$CC75+$CL75,0)</f>
        <v>0</v>
      </c>
      <c r="DP75" s="315">
        <f>IF($CP75="CALIDUL",$BC75+$BL75+$BU75+$CD75+$CM75,0)</f>
        <v>0</v>
      </c>
      <c r="DQ75" s="315">
        <f t="shared" ref="DQ75:DQ78" si="1446">SUM(DI75:DP75)-DK75-DM75</f>
        <v>0</v>
      </c>
      <c r="DR75" s="1123">
        <f t="shared" ref="DR75:DR78" si="1447">IF($CP75="ECONACIONAL",$AV75+$BE75+$BN75+$BW75+$CF75,0)</f>
        <v>0</v>
      </c>
      <c r="DS75" s="1124">
        <f t="shared" ref="DS75:DS78" si="1448">IF($CP75="ECONACIONAL",$AW75+$BF75+$BO75+$BX75+$CG75,0)</f>
        <v>0</v>
      </c>
      <c r="DT75" s="1124">
        <f t="shared" ref="DT75:DT78" si="1449">IF($CP75="ECONACIONAL",$AX75+$BG75+$BP75+$BY75+$CH75,0)</f>
        <v>0</v>
      </c>
      <c r="DU75" s="1124">
        <f t="shared" ref="DU75:DU78" si="1450">IF($CP75="ECONACIONAL",$AY75+$BH75+$BQ75+$BZ75+$CI75,0)</f>
        <v>0</v>
      </c>
      <c r="DV75" s="1124">
        <f t="shared" ref="DV75:DV78" si="1451">IF($CP75="ECONACIONAL",$AZ75+$BI75+$BR75+$CA75+$CJ75,0)</f>
        <v>0</v>
      </c>
      <c r="DW75" s="1124">
        <f t="shared" ref="DW75:DW78" si="1452">IF($CP75="ECONACIONAL",$BA75+$BJ75+$BS75+$CB75+$CK75,0)</f>
        <v>0</v>
      </c>
      <c r="DX75" s="1125">
        <f t="shared" ref="DX75:DX78" si="1453">IF($CP75="ECONACIONAL",$BB75+$BK75+$BT75+$CC75+$CL75,0)</f>
        <v>0</v>
      </c>
      <c r="DY75" s="1125">
        <f t="shared" ref="DY75:DY78" si="1454">IF($CP75="ECONACIONAL",$BC75+$BL75+$BU75+$CD75+$CM75,0)</f>
        <v>0</v>
      </c>
      <c r="DZ75" s="1126">
        <f t="shared" ref="DZ75:DZ78" si="1455">SUM(DR75:DY75)-DT75-DV75</f>
        <v>0</v>
      </c>
      <c r="EA75" s="1123">
        <f t="shared" ref="EA75:EA78" si="1456">IF($CP75="CLEARTEC",$AV75+$BE75+$BN75+$BW75+$CF75,0)</f>
        <v>0</v>
      </c>
      <c r="EB75" s="1124">
        <f t="shared" ref="EB75:EB78" si="1457">IF($CP75="CLEARTEC",$AW75+$BF75+$BO75+$BX75+$CG75,0)</f>
        <v>0</v>
      </c>
      <c r="EC75" s="1124">
        <f t="shared" ref="EC75:EC78" si="1458">IF($CP75="CLEARTEC",$AX75+$BG75+$BP75+$BY75+$CH75,0)</f>
        <v>0</v>
      </c>
      <c r="ED75" s="1124">
        <f t="shared" ref="ED75:ED78" si="1459">IF($CP75="CLEARTEC",$AY75+$BH75+$BQ75+$BZ75+$CI75,0)</f>
        <v>0</v>
      </c>
      <c r="EE75" s="1124">
        <f t="shared" ref="EE75:EE78" si="1460">IF($CP75="CLEARTEC",$AZ75+$BI75+$BR75+$CA75+$CJ75,0)</f>
        <v>0</v>
      </c>
      <c r="EF75" s="1124">
        <f t="shared" ref="EF75:EF78" si="1461">IF($CP75="CLEARTEC",$BA75+$BJ75+$BS75+$CB75+$CK75,0)</f>
        <v>0</v>
      </c>
      <c r="EG75" s="1125">
        <f t="shared" ref="EG75:EG78" si="1462">IF($CP75="CLEARTEC",$BB75+$BK75+$BT75+$CC75+$CL75,0)</f>
        <v>0</v>
      </c>
      <c r="EH75" s="1125">
        <f t="shared" ref="EH75:EH78" si="1463">IF($CP75="CLEARTEC",$BC75+$BL75+$BU75+$CD75+$CM75,0)</f>
        <v>0</v>
      </c>
      <c r="EI75" s="1125">
        <f t="shared" ref="EI75:EI78" si="1464">SUM(EA75:EH75)-EC75-EE75</f>
        <v>0</v>
      </c>
      <c r="EJ75" s="330"/>
      <c r="EK75" s="1543"/>
      <c r="EL75" s="313">
        <v>747.15</v>
      </c>
      <c r="EM75" s="313"/>
      <c r="EN75" s="1969">
        <f>181+270</f>
        <v>451</v>
      </c>
      <c r="EO75" s="313"/>
      <c r="EP75" s="313">
        <v>50</v>
      </c>
      <c r="EQ75" s="313"/>
      <c r="ER75" s="313"/>
      <c r="ES75" s="363"/>
      <c r="ET75" s="313">
        <f t="shared" ref="ET75:ET78" si="1465">+EO75+EP75+EQ75</f>
        <v>50</v>
      </c>
      <c r="EV75" s="321">
        <f t="shared" ref="EV75:FC78" si="1466">IF($H75&lt;=15,EK75/2,EK75)</f>
        <v>0</v>
      </c>
      <c r="EW75" s="321">
        <f t="shared" si="1466"/>
        <v>747.15</v>
      </c>
      <c r="EX75" s="321">
        <f t="shared" si="1466"/>
        <v>0</v>
      </c>
      <c r="EY75" s="321">
        <f t="shared" si="1466"/>
        <v>451</v>
      </c>
      <c r="EZ75" s="321">
        <f t="shared" si="1466"/>
        <v>0</v>
      </c>
      <c r="FA75" s="321">
        <f t="shared" si="1466"/>
        <v>50</v>
      </c>
      <c r="FB75" s="321">
        <f>IF($H75&lt;=15,EQ75/2,EQ75)</f>
        <v>0</v>
      </c>
      <c r="FC75" s="321">
        <f t="shared" si="1466"/>
        <v>0</v>
      </c>
      <c r="FD75" s="321">
        <f t="shared" ref="FD75:FE78" si="1467">IF($H75&lt;=15,ES75/2,ES75)</f>
        <v>0</v>
      </c>
      <c r="FE75" s="321">
        <f t="shared" si="1467"/>
        <v>50</v>
      </c>
      <c r="FF75" s="332">
        <v>0.5</v>
      </c>
      <c r="FG75" s="332">
        <v>0.5</v>
      </c>
      <c r="FH75" s="332"/>
      <c r="FI75" s="332"/>
      <c r="FJ75" s="332"/>
      <c r="FK75" s="332">
        <v>1</v>
      </c>
      <c r="FL75" s="331">
        <f>+EP75-FA75</f>
        <v>0</v>
      </c>
    </row>
    <row r="76" spans="1:172" s="1977" customFormat="1" ht="14.25" customHeight="1" outlineLevel="1">
      <c r="A76" s="1984"/>
      <c r="B76" s="1967" t="s">
        <v>866</v>
      </c>
      <c r="C76" s="1968" t="s">
        <v>867</v>
      </c>
      <c r="D76" s="363" t="s">
        <v>10</v>
      </c>
      <c r="E76" s="1971">
        <v>3950</v>
      </c>
      <c r="F76" s="1971">
        <v>550</v>
      </c>
      <c r="G76" s="1902">
        <f t="shared" ref="G76" si="1468">+E76+F76</f>
        <v>4500</v>
      </c>
      <c r="H76" s="355">
        <v>28</v>
      </c>
      <c r="I76" s="1432">
        <v>0.5</v>
      </c>
      <c r="J76" s="1432">
        <v>0.45</v>
      </c>
      <c r="K76" s="1432">
        <v>0</v>
      </c>
      <c r="L76" s="1432">
        <v>0.05</v>
      </c>
      <c r="M76" s="1432">
        <v>0</v>
      </c>
      <c r="N76" s="1432">
        <f t="shared" ref="N76" si="1469">SUM(I76:M76)</f>
        <v>1</v>
      </c>
      <c r="O76" s="1488" t="s">
        <v>868</v>
      </c>
      <c r="P76" s="366"/>
      <c r="Q76" s="355">
        <f t="shared" ref="Q76" si="1470">($E76/30/8*1.5)*P76</f>
        <v>0</v>
      </c>
      <c r="R76" s="366"/>
      <c r="S76" s="355">
        <f t="shared" ref="S76" si="1471">($E76/30/8*2)*R76</f>
        <v>0</v>
      </c>
      <c r="T76" s="366"/>
      <c r="U76" s="355">
        <f t="shared" ref="U76" si="1472">($E76/30/8*1.5)*T76</f>
        <v>0</v>
      </c>
      <c r="V76" s="366"/>
      <c r="W76" s="355">
        <f t="shared" ref="W76" si="1473">($E76/30/8*2)*V76</f>
        <v>0</v>
      </c>
      <c r="X76" s="366"/>
      <c r="Y76" s="355">
        <f t="shared" ref="Y76" si="1474">(($E76/30/8)*1.5)*X76</f>
        <v>0</v>
      </c>
      <c r="Z76" s="1434"/>
      <c r="AA76" s="355">
        <f t="shared" ref="AA76" si="1475">(($E76/30/8)*2)*Z76</f>
        <v>0</v>
      </c>
      <c r="AB76" s="1434"/>
      <c r="AC76" s="355">
        <f t="shared" ref="AC76" si="1476">(($E76/30/8)*1.5)*AB76</f>
        <v>0</v>
      </c>
      <c r="AD76" s="1434"/>
      <c r="AE76" s="355">
        <f t="shared" ref="AE76" si="1477">(($E76/30/8)*2)*AD76</f>
        <v>0</v>
      </c>
      <c r="AF76" s="355"/>
      <c r="AG76" s="355">
        <f t="shared" ref="AG76" si="1478">(($E76/30/8)*1.5)*AF76</f>
        <v>0</v>
      </c>
      <c r="AH76" s="1434"/>
      <c r="AI76" s="355">
        <f t="shared" ref="AI76" si="1479">(($E76/30/8)*2)*AH76</f>
        <v>0</v>
      </c>
      <c r="AJ76" s="355"/>
      <c r="AK76" s="355"/>
      <c r="AL76" s="355"/>
      <c r="AM76" s="355"/>
      <c r="AN76" s="355"/>
      <c r="AO76" s="1431"/>
      <c r="AP76" s="355"/>
      <c r="AQ76" s="355"/>
      <c r="AR76" s="355"/>
      <c r="AS76" s="355"/>
      <c r="AT76" s="355"/>
      <c r="AU76" s="363"/>
      <c r="AV76" s="355">
        <f t="shared" ref="AV76" si="1480">((E76/30)*H76)*$I76</f>
        <v>1843.3333333333333</v>
      </c>
      <c r="AW76" s="1971">
        <f>((F76/30)*H76)*$I76</f>
        <v>256.66666666666663</v>
      </c>
      <c r="AX76" s="355">
        <f t="shared" ref="AX76" si="1481">P76</f>
        <v>0</v>
      </c>
      <c r="AY76" s="355">
        <f t="shared" ref="AY76" si="1482">Q76</f>
        <v>0</v>
      </c>
      <c r="AZ76" s="355">
        <f t="shared" ref="AZ76" si="1483">R76</f>
        <v>0</v>
      </c>
      <c r="BA76" s="355">
        <f t="shared" ref="BA76" si="1484">S76</f>
        <v>0</v>
      </c>
      <c r="BB76" s="355">
        <f>+AO76</f>
        <v>0</v>
      </c>
      <c r="BC76" s="355">
        <f>(AV76+AY76+BA76)*0.1267</f>
        <v>233.55033333333333</v>
      </c>
      <c r="BD76" s="355">
        <f t="shared" ref="BD76" si="1485">SUM(AV76:BC76)-AX76-AZ76</f>
        <v>2333.5503333333331</v>
      </c>
      <c r="BE76" s="355">
        <f t="shared" si="1404"/>
        <v>1659</v>
      </c>
      <c r="BF76" s="1971">
        <f>(($F76/30)*$H76)*$J76</f>
        <v>230.99999999999997</v>
      </c>
      <c r="BG76" s="355">
        <f t="shared" ref="BG76" si="1486">T76</f>
        <v>0</v>
      </c>
      <c r="BH76" s="355">
        <f t="shared" ref="BH76" si="1487">U76</f>
        <v>0</v>
      </c>
      <c r="BI76" s="355">
        <f t="shared" ref="BI76" si="1488">V76</f>
        <v>0</v>
      </c>
      <c r="BJ76" s="355">
        <f t="shared" ref="BJ76" si="1489">W76</f>
        <v>0</v>
      </c>
      <c r="BK76" s="355">
        <f t="shared" ref="BK76" si="1490">AK76+AP76</f>
        <v>0</v>
      </c>
      <c r="BL76" s="355">
        <f t="shared" ref="BL76" si="1491">(+BE76+BH76+BJ76+BK76)*0.1267</f>
        <v>210.1953</v>
      </c>
      <c r="BM76" s="1431">
        <f t="shared" ref="BM76" si="1492">SUM(BE76:BL76)-BG76-BI76</f>
        <v>2100.1952999999999</v>
      </c>
      <c r="BN76" s="355">
        <f t="shared" si="1409"/>
        <v>0</v>
      </c>
      <c r="BO76" s="355">
        <f t="shared" si="1410"/>
        <v>0</v>
      </c>
      <c r="BP76" s="355">
        <f t="shared" ref="BP76" si="1493">X76</f>
        <v>0</v>
      </c>
      <c r="BQ76" s="355">
        <f t="shared" ref="BQ76" si="1494">Y76</f>
        <v>0</v>
      </c>
      <c r="BR76" s="355">
        <f t="shared" ref="BR76" si="1495">Z76</f>
        <v>0</v>
      </c>
      <c r="BS76" s="355">
        <f t="shared" ref="BS76" si="1496">AA76</f>
        <v>0</v>
      </c>
      <c r="BT76" s="355">
        <f t="shared" ref="BT76" si="1497">AL76+AQ76</f>
        <v>0</v>
      </c>
      <c r="BU76" s="355">
        <f t="shared" ref="BU76" si="1498">(BN76+BQ76+BS76)*0.1267</f>
        <v>0</v>
      </c>
      <c r="BV76" s="355">
        <f t="shared" ref="BV76" si="1499">SUM(BN76:BU76)-BP76-BR76</f>
        <v>0</v>
      </c>
      <c r="BW76" s="1435">
        <f t="shared" si="1416"/>
        <v>184.33333333333334</v>
      </c>
      <c r="BX76" s="2014">
        <f>(($F76/30)*$H76)*$L76+50</f>
        <v>75.666666666666657</v>
      </c>
      <c r="BY76" s="1436">
        <f t="shared" ref="BY76" si="1500">AB76</f>
        <v>0</v>
      </c>
      <c r="BZ76" s="1436">
        <f t="shared" ref="BZ76" si="1501">AC76</f>
        <v>0</v>
      </c>
      <c r="CA76" s="1436">
        <f t="shared" ref="CA76" si="1502">AD76</f>
        <v>0</v>
      </c>
      <c r="CB76" s="1436">
        <f t="shared" ref="CB76" si="1503">AE76</f>
        <v>0</v>
      </c>
      <c r="CC76" s="1436">
        <f t="shared" ref="CC76" si="1504">AM76+AR76</f>
        <v>0</v>
      </c>
      <c r="CD76" s="1437">
        <f t="shared" ref="CD76" si="1505">(BW76+BZ76+CB76)*0.1267</f>
        <v>23.355033333333335</v>
      </c>
      <c r="CE76" s="1438">
        <f>SUM(BW76:CD76)-BY76-CA76</f>
        <v>283.35503333333332</v>
      </c>
      <c r="CF76" s="1439">
        <f t="shared" ref="CF76" si="1506">(($E76/30)*$H76)*M76</f>
        <v>0</v>
      </c>
      <c r="CG76" s="1436">
        <f t="shared" si="1421"/>
        <v>0</v>
      </c>
      <c r="CH76" s="1436">
        <f t="shared" ref="CH76" si="1507">+AF76</f>
        <v>0</v>
      </c>
      <c r="CI76" s="1436">
        <f t="shared" ref="CI76" si="1508">AG76</f>
        <v>0</v>
      </c>
      <c r="CJ76" s="1436">
        <f t="shared" ref="CJ76" si="1509">AH76</f>
        <v>0</v>
      </c>
      <c r="CK76" s="1436">
        <f t="shared" ref="CK76" si="1510">AI76</f>
        <v>0</v>
      </c>
      <c r="CL76" s="1436">
        <f t="shared" ref="CL76" si="1511">AN76+AS76</f>
        <v>0</v>
      </c>
      <c r="CM76" s="1437">
        <f t="shared" ref="CM76" si="1512">(CF76+CI76+CK76)*0.1267</f>
        <v>0</v>
      </c>
      <c r="CN76" s="1437">
        <f t="shared" ref="CN76" si="1513">SUM(CF76:CM76)-CH76-CJ76</f>
        <v>0</v>
      </c>
      <c r="CO76" s="1414"/>
      <c r="CP76" s="363" t="s">
        <v>10</v>
      </c>
      <c r="CQ76" s="355">
        <f t="shared" si="1427"/>
        <v>3686.6666666666665</v>
      </c>
      <c r="CR76" s="355">
        <f t="shared" si="1428"/>
        <v>563.33333333333326</v>
      </c>
      <c r="CS76" s="355">
        <f t="shared" si="1429"/>
        <v>0</v>
      </c>
      <c r="CT76" s="355">
        <f t="shared" si="1430"/>
        <v>0</v>
      </c>
      <c r="CU76" s="355">
        <f t="shared" si="1431"/>
        <v>0</v>
      </c>
      <c r="CV76" s="355">
        <f t="shared" si="1432"/>
        <v>0</v>
      </c>
      <c r="CW76" s="355">
        <f t="shared" si="1433"/>
        <v>0</v>
      </c>
      <c r="CX76" s="355">
        <f t="shared" ref="CX76" si="1514">IF($CP76="PROQUIMA",$BC76+$BL76+$BU76+$CD76+CM76,0)</f>
        <v>467.10066666666665</v>
      </c>
      <c r="CY76" s="355">
        <f t="shared" ref="CY76" si="1515">SUM(CQ76:CX76)-CS76-CU76</f>
        <v>4717.1006666666663</v>
      </c>
      <c r="CZ76" s="355">
        <f t="shared" si="1436"/>
        <v>0</v>
      </c>
      <c r="DA76" s="355">
        <f t="shared" si="1437"/>
        <v>0</v>
      </c>
      <c r="DB76" s="355">
        <f t="shared" si="1438"/>
        <v>0</v>
      </c>
      <c r="DC76" s="355">
        <f t="shared" si="1439"/>
        <v>0</v>
      </c>
      <c r="DD76" s="355">
        <f t="shared" si="1440"/>
        <v>0</v>
      </c>
      <c r="DE76" s="355">
        <f t="shared" si="1441"/>
        <v>0</v>
      </c>
      <c r="DF76" s="355">
        <f t="shared" si="1442"/>
        <v>0</v>
      </c>
      <c r="DG76" s="355">
        <f t="shared" si="1443"/>
        <v>0</v>
      </c>
      <c r="DH76" s="355">
        <f t="shared" ref="DH76" si="1516">SUM(CZ76:DG76)-DB76-DD76</f>
        <v>0</v>
      </c>
      <c r="DI76" s="355">
        <f t="shared" si="1445"/>
        <v>0</v>
      </c>
      <c r="DJ76" s="355">
        <f>IF($CP76="CALIDUL",$AW76+$BF76+$BO76+$BX76+$CG76,0)</f>
        <v>0</v>
      </c>
      <c r="DK76" s="355">
        <f>IF($CP76="CALIDUL",$AX76+$BG76+$BP76+$BY76+$CH76,0)</f>
        <v>0</v>
      </c>
      <c r="DL76" s="355">
        <f>IF($CP76="CALIDUL",$AY76+$BH76+$BQ76+$BZ76+$CI76,0)</f>
        <v>0</v>
      </c>
      <c r="DM76" s="355">
        <f>IF($CP76="CALIDUL",$AZ76+$BI76+$BR76+$CA76+$CJ76,0)</f>
        <v>0</v>
      </c>
      <c r="DN76" s="355">
        <f>IF($CP76="CALIDUL",$BA76+$BJ76+$BS76+$CB76+$CK76,0)</f>
        <v>0</v>
      </c>
      <c r="DO76" s="355">
        <f>IF($CP76="CALIDUL",$BB76+$BK76+$BT76+$CC76+$CL76,0)</f>
        <v>0</v>
      </c>
      <c r="DP76" s="355">
        <f>IF($CP76="CALIDUL",$BC76+$BL76+$BU76+$CD76+$CM76,0)</f>
        <v>0</v>
      </c>
      <c r="DQ76" s="355">
        <f t="shared" ref="DQ76" si="1517">SUM(DI76:DP76)-DK76-DM76</f>
        <v>0</v>
      </c>
      <c r="DR76" s="1435">
        <f t="shared" si="1447"/>
        <v>0</v>
      </c>
      <c r="DS76" s="1436">
        <f t="shared" si="1448"/>
        <v>0</v>
      </c>
      <c r="DT76" s="1436">
        <f t="shared" si="1449"/>
        <v>0</v>
      </c>
      <c r="DU76" s="1436">
        <f t="shared" si="1450"/>
        <v>0</v>
      </c>
      <c r="DV76" s="1436">
        <f t="shared" si="1451"/>
        <v>0</v>
      </c>
      <c r="DW76" s="1436">
        <f t="shared" si="1452"/>
        <v>0</v>
      </c>
      <c r="DX76" s="1437">
        <f t="shared" si="1453"/>
        <v>0</v>
      </c>
      <c r="DY76" s="1437">
        <f t="shared" si="1454"/>
        <v>0</v>
      </c>
      <c r="DZ76" s="1438">
        <f t="shared" ref="DZ76" si="1518">SUM(DR76:DY76)-DT76-DV76</f>
        <v>0</v>
      </c>
      <c r="EA76" s="1435">
        <f t="shared" si="1456"/>
        <v>0</v>
      </c>
      <c r="EB76" s="1436">
        <f t="shared" si="1457"/>
        <v>0</v>
      </c>
      <c r="EC76" s="1436">
        <f t="shared" si="1458"/>
        <v>0</v>
      </c>
      <c r="ED76" s="1436">
        <f t="shared" si="1459"/>
        <v>0</v>
      </c>
      <c r="EE76" s="1436">
        <f t="shared" si="1460"/>
        <v>0</v>
      </c>
      <c r="EF76" s="1436">
        <f t="shared" si="1461"/>
        <v>0</v>
      </c>
      <c r="EG76" s="1437">
        <f t="shared" si="1462"/>
        <v>0</v>
      </c>
      <c r="EH76" s="1437">
        <f t="shared" si="1463"/>
        <v>0</v>
      </c>
      <c r="EI76" s="1437">
        <f t="shared" ref="EI76" si="1519">SUM(EA76:EH76)-EC76-EE76</f>
        <v>0</v>
      </c>
      <c r="EJ76" s="1414"/>
      <c r="EK76" s="1543">
        <v>15.46</v>
      </c>
      <c r="EL76" s="363"/>
      <c r="EM76" s="363"/>
      <c r="EN76" s="363"/>
      <c r="EO76" s="363"/>
      <c r="EP76" s="363">
        <v>50</v>
      </c>
      <c r="EQ76" s="363"/>
      <c r="ER76" s="363"/>
      <c r="ES76" s="363">
        <v>135</v>
      </c>
      <c r="ET76" s="363">
        <f t="shared" ref="ET76" si="1520">+EO76+EP76+EQ76</f>
        <v>50</v>
      </c>
      <c r="EU76" s="1441"/>
      <c r="EV76" s="366">
        <f t="shared" ref="EV76" si="1521">IF($H76&lt;=15,EK76/2,EK76)</f>
        <v>15.46</v>
      </c>
      <c r="EW76" s="366">
        <f t="shared" ref="EW76" si="1522">IF($H76&lt;=15,EL76/2,EL76)</f>
        <v>0</v>
      </c>
      <c r="EX76" s="366">
        <f t="shared" ref="EX76" si="1523">IF($H76&lt;=15,EM76/2,EM76)</f>
        <v>0</v>
      </c>
      <c r="EY76" s="366">
        <f t="shared" ref="EY76" si="1524">IF($H76&lt;=15,EN76/2,EN76)</f>
        <v>0</v>
      </c>
      <c r="EZ76" s="366">
        <f t="shared" ref="EZ76" si="1525">IF($H76&lt;=15,EO76/2,EO76)</f>
        <v>0</v>
      </c>
      <c r="FA76" s="366">
        <f t="shared" ref="FA76" si="1526">IF($H76&lt;=15,EP76/2,EP76)</f>
        <v>50</v>
      </c>
      <c r="FB76" s="366">
        <f t="shared" ref="FB76" si="1527">IF($H76&lt;=15,EQ76/2,EQ76)</f>
        <v>0</v>
      </c>
      <c r="FC76" s="366">
        <f t="shared" ref="FC76" si="1528">IF($H76&lt;=15,ER76/2,ER76)</f>
        <v>0</v>
      </c>
      <c r="FD76" s="366">
        <f t="shared" ref="FD76" si="1529">IF($H76&lt;=15,ES76/2,ES76)</f>
        <v>135</v>
      </c>
      <c r="FE76" s="366">
        <f t="shared" ref="FE76" si="1530">IF($H76&lt;=15,ET76/2,ET76)</f>
        <v>50</v>
      </c>
      <c r="FF76" s="1978"/>
      <c r="FG76" s="1978"/>
      <c r="FH76" s="1978"/>
      <c r="FI76" s="1978"/>
      <c r="FJ76" s="1978"/>
      <c r="FK76" s="1978"/>
    </row>
    <row r="77" spans="1:172" s="1441" customFormat="1" ht="15" customHeight="1" outlineLevel="1">
      <c r="A77" s="415" t="e">
        <f>+#REF!+1</f>
        <v>#REF!</v>
      </c>
      <c r="B77" s="213" t="s">
        <v>527</v>
      </c>
      <c r="C77" s="365" t="s">
        <v>863</v>
      </c>
      <c r="D77" s="363" t="s">
        <v>10</v>
      </c>
      <c r="E77" s="315">
        <v>4550</v>
      </c>
      <c r="F77" s="315">
        <v>950</v>
      </c>
      <c r="G77" s="1431">
        <f t="shared" si="1389"/>
        <v>5500</v>
      </c>
      <c r="H77" s="355">
        <v>30</v>
      </c>
      <c r="I77" s="1432">
        <v>0.5</v>
      </c>
      <c r="J77" s="1432">
        <v>0.45</v>
      </c>
      <c r="K77" s="1432">
        <v>0</v>
      </c>
      <c r="L77" s="1432">
        <v>0.05</v>
      </c>
      <c r="M77" s="1432">
        <v>0</v>
      </c>
      <c r="N77" s="1432">
        <f t="shared" si="1390"/>
        <v>1</v>
      </c>
      <c r="O77" s="1488"/>
      <c r="P77" s="366"/>
      <c r="Q77" s="355">
        <f t="shared" si="1391"/>
        <v>0</v>
      </c>
      <c r="R77" s="366"/>
      <c r="S77" s="355">
        <f t="shared" si="1392"/>
        <v>0</v>
      </c>
      <c r="T77" s="366"/>
      <c r="U77" s="355">
        <f t="shared" si="1393"/>
        <v>0</v>
      </c>
      <c r="V77" s="366"/>
      <c r="W77" s="355">
        <f t="shared" si="1394"/>
        <v>0</v>
      </c>
      <c r="X77" s="366"/>
      <c r="Y77" s="355">
        <f t="shared" si="1395"/>
        <v>0</v>
      </c>
      <c r="Z77" s="1434"/>
      <c r="AA77" s="355">
        <f t="shared" si="1396"/>
        <v>0</v>
      </c>
      <c r="AB77" s="1434"/>
      <c r="AC77" s="355">
        <f t="shared" si="1397"/>
        <v>0</v>
      </c>
      <c r="AD77" s="1434"/>
      <c r="AE77" s="355">
        <f t="shared" si="1398"/>
        <v>0</v>
      </c>
      <c r="AF77" s="355"/>
      <c r="AG77" s="355">
        <f t="shared" si="1399"/>
        <v>0</v>
      </c>
      <c r="AH77" s="1434"/>
      <c r="AI77" s="355">
        <f t="shared" si="1400"/>
        <v>0</v>
      </c>
      <c r="AJ77" s="355"/>
      <c r="AK77" s="355"/>
      <c r="AL77" s="355"/>
      <c r="AM77" s="355"/>
      <c r="AN77" s="355"/>
      <c r="AO77" s="1431"/>
      <c r="AP77" s="355"/>
      <c r="AQ77" s="355"/>
      <c r="AR77" s="355"/>
      <c r="AS77" s="355"/>
      <c r="AT77" s="355"/>
      <c r="AU77" s="363"/>
      <c r="AV77" s="355">
        <f t="shared" si="1401"/>
        <v>2275</v>
      </c>
      <c r="AW77" s="1971">
        <f>((F77/30)*H77)*$I77</f>
        <v>475</v>
      </c>
      <c r="AX77" s="355">
        <f t="shared" si="1402"/>
        <v>0</v>
      </c>
      <c r="AY77" s="355">
        <f t="shared" si="1402"/>
        <v>0</v>
      </c>
      <c r="AZ77" s="355">
        <f t="shared" si="1402"/>
        <v>0</v>
      </c>
      <c r="BA77" s="355">
        <f t="shared" si="1402"/>
        <v>0</v>
      </c>
      <c r="BB77" s="355">
        <f>+AO77</f>
        <v>0</v>
      </c>
      <c r="BC77" s="355">
        <f>(AV77+AY77+BA77)*0.1267</f>
        <v>288.24250000000001</v>
      </c>
      <c r="BD77" s="355">
        <f t="shared" si="1403"/>
        <v>3038.2424999999998</v>
      </c>
      <c r="BE77" s="355">
        <f t="shared" si="1404"/>
        <v>2047.5</v>
      </c>
      <c r="BF77" s="1971">
        <f>(($F77/30)*$H77)*$J77</f>
        <v>427.5</v>
      </c>
      <c r="BG77" s="355">
        <f t="shared" si="1405"/>
        <v>0</v>
      </c>
      <c r="BH77" s="355">
        <f t="shared" si="1405"/>
        <v>0</v>
      </c>
      <c r="BI77" s="355">
        <f t="shared" si="1405"/>
        <v>0</v>
      </c>
      <c r="BJ77" s="355">
        <f t="shared" si="1405"/>
        <v>0</v>
      </c>
      <c r="BK77" s="355">
        <f t="shared" si="1406"/>
        <v>0</v>
      </c>
      <c r="BL77" s="355">
        <f t="shared" si="1407"/>
        <v>259.41825</v>
      </c>
      <c r="BM77" s="1431">
        <f t="shared" si="1408"/>
        <v>2734.4182500000002</v>
      </c>
      <c r="BN77" s="355">
        <f t="shared" si="1409"/>
        <v>0</v>
      </c>
      <c r="BO77" s="355">
        <f t="shared" si="1410"/>
        <v>0</v>
      </c>
      <c r="BP77" s="355">
        <f t="shared" si="1411"/>
        <v>0</v>
      </c>
      <c r="BQ77" s="355">
        <f t="shared" si="1411"/>
        <v>0</v>
      </c>
      <c r="BR77" s="355">
        <f t="shared" si="1411"/>
        <v>0</v>
      </c>
      <c r="BS77" s="355">
        <f t="shared" si="1412"/>
        <v>0</v>
      </c>
      <c r="BT77" s="355">
        <f t="shared" si="1413"/>
        <v>0</v>
      </c>
      <c r="BU77" s="355">
        <f t="shared" si="1414"/>
        <v>0</v>
      </c>
      <c r="BV77" s="355">
        <f t="shared" si="1415"/>
        <v>0</v>
      </c>
      <c r="BW77" s="1435">
        <f t="shared" si="1416"/>
        <v>227.5</v>
      </c>
      <c r="BX77" s="2014">
        <f>(($F77/30)*$H77)*$L77+50</f>
        <v>97.5</v>
      </c>
      <c r="BY77" s="1436">
        <f t="shared" si="1417"/>
        <v>0</v>
      </c>
      <c r="BZ77" s="1436">
        <f t="shared" si="1417"/>
        <v>0</v>
      </c>
      <c r="CA77" s="1436">
        <f t="shared" si="1417"/>
        <v>0</v>
      </c>
      <c r="CB77" s="1436">
        <f t="shared" si="1417"/>
        <v>0</v>
      </c>
      <c r="CC77" s="1436">
        <f t="shared" si="1418"/>
        <v>0</v>
      </c>
      <c r="CD77" s="1437">
        <f t="shared" si="1419"/>
        <v>28.824250000000003</v>
      </c>
      <c r="CE77" s="1438">
        <f>SUM(BW77:CD77)-BY77-CA77</f>
        <v>353.82425000000001</v>
      </c>
      <c r="CF77" s="1439">
        <f t="shared" si="1420"/>
        <v>0</v>
      </c>
      <c r="CG77" s="1436">
        <f t="shared" si="1421"/>
        <v>0</v>
      </c>
      <c r="CH77" s="1436">
        <f t="shared" si="1422"/>
        <v>0</v>
      </c>
      <c r="CI77" s="1436">
        <f t="shared" si="1423"/>
        <v>0</v>
      </c>
      <c r="CJ77" s="1436">
        <f t="shared" si="1423"/>
        <v>0</v>
      </c>
      <c r="CK77" s="1436">
        <f t="shared" si="1423"/>
        <v>0</v>
      </c>
      <c r="CL77" s="1436">
        <f t="shared" si="1424"/>
        <v>0</v>
      </c>
      <c r="CM77" s="1437">
        <f t="shared" si="1425"/>
        <v>0</v>
      </c>
      <c r="CN77" s="1437">
        <f t="shared" si="1426"/>
        <v>0</v>
      </c>
      <c r="CO77" s="1414"/>
      <c r="CP77" s="363" t="s">
        <v>10</v>
      </c>
      <c r="CQ77" s="355">
        <f t="shared" si="1427"/>
        <v>4550</v>
      </c>
      <c r="CR77" s="355">
        <f t="shared" si="1428"/>
        <v>1000</v>
      </c>
      <c r="CS77" s="355">
        <f t="shared" si="1429"/>
        <v>0</v>
      </c>
      <c r="CT77" s="355">
        <f t="shared" si="1430"/>
        <v>0</v>
      </c>
      <c r="CU77" s="355">
        <f t="shared" si="1431"/>
        <v>0</v>
      </c>
      <c r="CV77" s="355">
        <f t="shared" si="1432"/>
        <v>0</v>
      </c>
      <c r="CW77" s="355">
        <f t="shared" si="1433"/>
        <v>0</v>
      </c>
      <c r="CX77" s="355">
        <f t="shared" si="1434"/>
        <v>576.48500000000001</v>
      </c>
      <c r="CY77" s="355">
        <f t="shared" si="1435"/>
        <v>6126.4849999999997</v>
      </c>
      <c r="CZ77" s="355">
        <f t="shared" si="1436"/>
        <v>0</v>
      </c>
      <c r="DA77" s="355">
        <f t="shared" si="1437"/>
        <v>0</v>
      </c>
      <c r="DB77" s="355">
        <f t="shared" si="1438"/>
        <v>0</v>
      </c>
      <c r="DC77" s="355">
        <f t="shared" si="1439"/>
        <v>0</v>
      </c>
      <c r="DD77" s="355">
        <f t="shared" si="1440"/>
        <v>0</v>
      </c>
      <c r="DE77" s="355">
        <f t="shared" si="1441"/>
        <v>0</v>
      </c>
      <c r="DF77" s="355">
        <f t="shared" si="1442"/>
        <v>0</v>
      </c>
      <c r="DG77" s="355">
        <f t="shared" si="1443"/>
        <v>0</v>
      </c>
      <c r="DH77" s="355">
        <f t="shared" si="1444"/>
        <v>0</v>
      </c>
      <c r="DI77" s="355">
        <f t="shared" si="1445"/>
        <v>0</v>
      </c>
      <c r="DJ77" s="355">
        <f>IF($CP77="CALIDUL",$AW77+$BF77+$BO77+$BX77+$CG77,0)</f>
        <v>0</v>
      </c>
      <c r="DK77" s="355">
        <f>IF($CP77="CALIDUL",$AX77+$BG77+$BP77+$BY77+$CH77,0)</f>
        <v>0</v>
      </c>
      <c r="DL77" s="355">
        <f>IF($CP77="CALIDUL",$AY77+$BH77+$BQ77+$BZ77+$CI77,0)</f>
        <v>0</v>
      </c>
      <c r="DM77" s="355">
        <f>IF($CP77="CALIDUL",$AZ77+$BI77+$BR77+$CA77+$CJ77,0)</f>
        <v>0</v>
      </c>
      <c r="DN77" s="355">
        <f>IF($CP77="CALIDUL",$BA77+$BJ77+$BS77+$CB77+$CK77,0)</f>
        <v>0</v>
      </c>
      <c r="DO77" s="355">
        <f>IF($CP77="CALIDUL",$BB77+$BK77+$BT77+$CC77+$CL77,0)</f>
        <v>0</v>
      </c>
      <c r="DP77" s="355">
        <f>IF($CP77="CALIDUL",$BC77+$BL77+$BU77+$CD77+$CM77,0)</f>
        <v>0</v>
      </c>
      <c r="DQ77" s="355">
        <f t="shared" si="1446"/>
        <v>0</v>
      </c>
      <c r="DR77" s="1435">
        <f t="shared" si="1447"/>
        <v>0</v>
      </c>
      <c r="DS77" s="1436">
        <f t="shared" si="1448"/>
        <v>0</v>
      </c>
      <c r="DT77" s="1436">
        <f t="shared" si="1449"/>
        <v>0</v>
      </c>
      <c r="DU77" s="1436">
        <f t="shared" si="1450"/>
        <v>0</v>
      </c>
      <c r="DV77" s="1436">
        <f t="shared" si="1451"/>
        <v>0</v>
      </c>
      <c r="DW77" s="1436">
        <f t="shared" si="1452"/>
        <v>0</v>
      </c>
      <c r="DX77" s="1437">
        <f t="shared" si="1453"/>
        <v>0</v>
      </c>
      <c r="DY77" s="1437">
        <f t="shared" si="1454"/>
        <v>0</v>
      </c>
      <c r="DZ77" s="1438">
        <f t="shared" si="1455"/>
        <v>0</v>
      </c>
      <c r="EA77" s="1435">
        <f t="shared" si="1456"/>
        <v>0</v>
      </c>
      <c r="EB77" s="1436">
        <f t="shared" si="1457"/>
        <v>0</v>
      </c>
      <c r="EC77" s="1436">
        <f t="shared" si="1458"/>
        <v>0</v>
      </c>
      <c r="ED77" s="1436">
        <f t="shared" si="1459"/>
        <v>0</v>
      </c>
      <c r="EE77" s="1436">
        <f t="shared" si="1460"/>
        <v>0</v>
      </c>
      <c r="EF77" s="1436">
        <f t="shared" si="1461"/>
        <v>0</v>
      </c>
      <c r="EG77" s="1437">
        <f t="shared" si="1462"/>
        <v>0</v>
      </c>
      <c r="EH77" s="1437">
        <f t="shared" si="1463"/>
        <v>0</v>
      </c>
      <c r="EI77" s="1437">
        <f t="shared" si="1464"/>
        <v>0</v>
      </c>
      <c r="EJ77" s="1414"/>
      <c r="EK77" s="1543">
        <v>64.010000000000005</v>
      </c>
      <c r="EL77" s="363"/>
      <c r="EM77" s="313"/>
      <c r="EN77" s="1969">
        <f>93+30</f>
        <v>123</v>
      </c>
      <c r="EO77" s="363"/>
      <c r="EP77" s="363">
        <v>50</v>
      </c>
      <c r="EQ77" s="363"/>
      <c r="ER77" s="363"/>
      <c r="ES77" s="363"/>
      <c r="ET77" s="363">
        <f t="shared" si="1465"/>
        <v>50</v>
      </c>
      <c r="EV77" s="366">
        <f t="shared" si="1466"/>
        <v>64.010000000000005</v>
      </c>
      <c r="EW77" s="366">
        <f t="shared" si="1466"/>
        <v>0</v>
      </c>
      <c r="EX77" s="366">
        <f t="shared" si="1466"/>
        <v>0</v>
      </c>
      <c r="EY77" s="366">
        <f t="shared" si="1466"/>
        <v>123</v>
      </c>
      <c r="EZ77" s="366">
        <f t="shared" si="1466"/>
        <v>0</v>
      </c>
      <c r="FA77" s="366">
        <f t="shared" si="1466"/>
        <v>50</v>
      </c>
      <c r="FB77" s="366">
        <f t="shared" si="1466"/>
        <v>0</v>
      </c>
      <c r="FC77" s="366">
        <f t="shared" si="1466"/>
        <v>0</v>
      </c>
      <c r="FD77" s="366">
        <f t="shared" si="1467"/>
        <v>0</v>
      </c>
      <c r="FE77" s="366">
        <f t="shared" si="1467"/>
        <v>50</v>
      </c>
      <c r="FF77" s="364">
        <v>0.5</v>
      </c>
      <c r="FG77" s="364">
        <v>0.5</v>
      </c>
      <c r="FH77" s="364"/>
      <c r="FI77" s="364"/>
      <c r="FJ77" s="364"/>
      <c r="FK77" s="364">
        <v>1</v>
      </c>
      <c r="FL77" s="1441">
        <f>+EP77-FA77</f>
        <v>0</v>
      </c>
    </row>
    <row r="78" spans="1:172" s="1441" customFormat="1" ht="15" customHeight="1" outlineLevel="1">
      <c r="A78" s="415" t="e">
        <f>+A77+1</f>
        <v>#REF!</v>
      </c>
      <c r="B78" s="213" t="s">
        <v>546</v>
      </c>
      <c r="C78" s="365" t="s">
        <v>559</v>
      </c>
      <c r="D78" s="363" t="s">
        <v>11</v>
      </c>
      <c r="E78" s="314">
        <v>12000</v>
      </c>
      <c r="F78" s="1431">
        <v>4000</v>
      </c>
      <c r="G78" s="1970">
        <f t="shared" si="1389"/>
        <v>16000</v>
      </c>
      <c r="H78" s="355">
        <v>30</v>
      </c>
      <c r="I78" s="1942">
        <v>0.6</v>
      </c>
      <c r="J78" s="1494">
        <v>0.3</v>
      </c>
      <c r="K78" s="1494">
        <v>0</v>
      </c>
      <c r="L78" s="1432">
        <v>0.1</v>
      </c>
      <c r="M78" s="1567">
        <v>0</v>
      </c>
      <c r="N78" s="1432">
        <f t="shared" si="1390"/>
        <v>0.99999999999999989</v>
      </c>
      <c r="O78" s="1460" t="s">
        <v>54</v>
      </c>
      <c r="P78" s="1535"/>
      <c r="Q78" s="355">
        <f t="shared" si="1391"/>
        <v>0</v>
      </c>
      <c r="R78" s="366"/>
      <c r="S78" s="355">
        <f t="shared" si="1392"/>
        <v>0</v>
      </c>
      <c r="T78" s="366"/>
      <c r="U78" s="355">
        <f t="shared" si="1393"/>
        <v>0</v>
      </c>
      <c r="V78" s="366"/>
      <c r="W78" s="355">
        <f t="shared" si="1394"/>
        <v>0</v>
      </c>
      <c r="X78" s="366"/>
      <c r="Y78" s="355">
        <f t="shared" si="1395"/>
        <v>0</v>
      </c>
      <c r="Z78" s="1434"/>
      <c r="AA78" s="355">
        <f t="shared" si="1396"/>
        <v>0</v>
      </c>
      <c r="AB78" s="1434"/>
      <c r="AC78" s="355">
        <f t="shared" si="1397"/>
        <v>0</v>
      </c>
      <c r="AD78" s="1434"/>
      <c r="AE78" s="355">
        <f t="shared" si="1398"/>
        <v>0</v>
      </c>
      <c r="AF78" s="355"/>
      <c r="AG78" s="355">
        <f t="shared" si="1399"/>
        <v>0</v>
      </c>
      <c r="AH78" s="1434"/>
      <c r="AI78" s="355">
        <f t="shared" si="1400"/>
        <v>0</v>
      </c>
      <c r="AJ78" s="1431"/>
      <c r="AK78" s="1431"/>
      <c r="AL78" s="1431"/>
      <c r="AM78" s="1431"/>
      <c r="AN78" s="1431"/>
      <c r="AO78" s="1431"/>
      <c r="AP78" s="1431"/>
      <c r="AQ78" s="1431"/>
      <c r="AR78" s="1431"/>
      <c r="AS78" s="1431"/>
      <c r="AT78" s="1431"/>
      <c r="AU78" s="1568"/>
      <c r="AV78" s="355">
        <f t="shared" si="1401"/>
        <v>7200</v>
      </c>
      <c r="AW78" s="355">
        <f>((F78/30)*H78)*$I78</f>
        <v>2400</v>
      </c>
      <c r="AX78" s="355">
        <f t="shared" si="1402"/>
        <v>0</v>
      </c>
      <c r="AY78" s="355">
        <f t="shared" si="1402"/>
        <v>0</v>
      </c>
      <c r="AZ78" s="355">
        <f t="shared" si="1402"/>
        <v>0</v>
      </c>
      <c r="BA78" s="355">
        <f t="shared" si="1402"/>
        <v>0</v>
      </c>
      <c r="BB78" s="355">
        <f>AJ78+AO78</f>
        <v>0</v>
      </c>
      <c r="BC78" s="355">
        <f>(AV78+AY78+BA78)*0.1267</f>
        <v>912.24</v>
      </c>
      <c r="BD78" s="355">
        <f t="shared" si="1403"/>
        <v>10512.24</v>
      </c>
      <c r="BE78" s="355">
        <f t="shared" si="1404"/>
        <v>3600</v>
      </c>
      <c r="BF78" s="355">
        <f>(($F78/30)*$H78)*$J78</f>
        <v>1200</v>
      </c>
      <c r="BG78" s="355">
        <f t="shared" si="1405"/>
        <v>0</v>
      </c>
      <c r="BH78" s="355">
        <f t="shared" si="1405"/>
        <v>0</v>
      </c>
      <c r="BI78" s="355">
        <f t="shared" si="1405"/>
        <v>0</v>
      </c>
      <c r="BJ78" s="355">
        <f t="shared" si="1405"/>
        <v>0</v>
      </c>
      <c r="BK78" s="355">
        <f t="shared" si="1406"/>
        <v>0</v>
      </c>
      <c r="BL78" s="355">
        <f t="shared" si="1407"/>
        <v>456.12</v>
      </c>
      <c r="BM78" s="1431">
        <f t="shared" si="1408"/>
        <v>5256.12</v>
      </c>
      <c r="BN78" s="355">
        <f t="shared" si="1409"/>
        <v>0</v>
      </c>
      <c r="BO78" s="355">
        <f t="shared" si="1410"/>
        <v>0</v>
      </c>
      <c r="BP78" s="355">
        <f t="shared" si="1411"/>
        <v>0</v>
      </c>
      <c r="BQ78" s="355">
        <f t="shared" si="1411"/>
        <v>0</v>
      </c>
      <c r="BR78" s="355">
        <f t="shared" si="1411"/>
        <v>0</v>
      </c>
      <c r="BS78" s="355">
        <f t="shared" si="1412"/>
        <v>0</v>
      </c>
      <c r="BT78" s="355">
        <f t="shared" si="1413"/>
        <v>0</v>
      </c>
      <c r="BU78" s="355">
        <f t="shared" si="1414"/>
        <v>0</v>
      </c>
      <c r="BV78" s="355">
        <f t="shared" si="1415"/>
        <v>0</v>
      </c>
      <c r="BW78" s="1495">
        <f>(($E78/30)*$H78)*$L78</f>
        <v>1200</v>
      </c>
      <c r="BX78" s="1496">
        <f>(($F78/30)*$H78)*$L78</f>
        <v>400.00000000000006</v>
      </c>
      <c r="BY78" s="1496">
        <f t="shared" si="1417"/>
        <v>0</v>
      </c>
      <c r="BZ78" s="1496">
        <f t="shared" si="1417"/>
        <v>0</v>
      </c>
      <c r="CA78" s="1496">
        <f t="shared" si="1417"/>
        <v>0</v>
      </c>
      <c r="CB78" s="1496">
        <f t="shared" si="1417"/>
        <v>0</v>
      </c>
      <c r="CC78" s="1496">
        <f t="shared" si="1418"/>
        <v>0</v>
      </c>
      <c r="CD78" s="1496">
        <f t="shared" si="1419"/>
        <v>152.04000000000002</v>
      </c>
      <c r="CE78" s="1496">
        <f>SUM(BW78:CD78)-BY78-CA78</f>
        <v>1752.04</v>
      </c>
      <c r="CF78" s="1496">
        <f t="shared" si="1420"/>
        <v>0</v>
      </c>
      <c r="CG78" s="1496">
        <f t="shared" si="1421"/>
        <v>0</v>
      </c>
      <c r="CH78" s="1496">
        <f t="shared" si="1422"/>
        <v>0</v>
      </c>
      <c r="CI78" s="1496">
        <f t="shared" si="1423"/>
        <v>0</v>
      </c>
      <c r="CJ78" s="1496">
        <f t="shared" si="1423"/>
        <v>0</v>
      </c>
      <c r="CK78" s="1496">
        <f t="shared" si="1423"/>
        <v>0</v>
      </c>
      <c r="CL78" s="1496">
        <f t="shared" si="1424"/>
        <v>0</v>
      </c>
      <c r="CM78" s="1496">
        <f t="shared" si="1425"/>
        <v>0</v>
      </c>
      <c r="CN78" s="1497">
        <f t="shared" si="1426"/>
        <v>0</v>
      </c>
      <c r="CO78" s="1414"/>
      <c r="CP78" s="363" t="s">
        <v>11</v>
      </c>
      <c r="CQ78" s="355">
        <f t="shared" si="1427"/>
        <v>0</v>
      </c>
      <c r="CR78" s="355">
        <f t="shared" si="1428"/>
        <v>0</v>
      </c>
      <c r="CS78" s="355">
        <f t="shared" si="1429"/>
        <v>0</v>
      </c>
      <c r="CT78" s="355">
        <f t="shared" si="1430"/>
        <v>0</v>
      </c>
      <c r="CU78" s="355">
        <f t="shared" si="1431"/>
        <v>0</v>
      </c>
      <c r="CV78" s="355">
        <f t="shared" si="1432"/>
        <v>0</v>
      </c>
      <c r="CW78" s="355">
        <f t="shared" si="1433"/>
        <v>0</v>
      </c>
      <c r="CX78" s="355">
        <f t="shared" si="1434"/>
        <v>0</v>
      </c>
      <c r="CY78" s="355">
        <f t="shared" si="1435"/>
        <v>0</v>
      </c>
      <c r="CZ78" s="355">
        <f t="shared" si="1436"/>
        <v>12000</v>
      </c>
      <c r="DA78" s="355">
        <f t="shared" si="1437"/>
        <v>4000</v>
      </c>
      <c r="DB78" s="355">
        <f t="shared" si="1438"/>
        <v>0</v>
      </c>
      <c r="DC78" s="355">
        <f t="shared" si="1439"/>
        <v>0</v>
      </c>
      <c r="DD78" s="355">
        <f t="shared" si="1440"/>
        <v>0</v>
      </c>
      <c r="DE78" s="355">
        <f t="shared" si="1441"/>
        <v>0</v>
      </c>
      <c r="DF78" s="355">
        <f t="shared" si="1442"/>
        <v>0</v>
      </c>
      <c r="DG78" s="355">
        <f t="shared" si="1443"/>
        <v>1520.4</v>
      </c>
      <c r="DH78" s="355">
        <f t="shared" si="1444"/>
        <v>17520.400000000001</v>
      </c>
      <c r="DI78" s="355">
        <f t="shared" si="1445"/>
        <v>0</v>
      </c>
      <c r="DJ78" s="355">
        <f>IF($CP78="UNHESA LIQUIDOS",$AW78+$BF78+$BO78+$BX78+$CG78,0)</f>
        <v>0</v>
      </c>
      <c r="DK78" s="355">
        <f>IF($CP78="UNHESA LIQUIDOS",$AX78+$BG78+$BP78+$BY78+$CH78,0)</f>
        <v>0</v>
      </c>
      <c r="DL78" s="355">
        <f>IF($CP78="UNHESA LIQUIDOS",$AY78+$BH78+$BQ78+$BZ78+$CI78,0)</f>
        <v>0</v>
      </c>
      <c r="DM78" s="355">
        <f>IF($CP78="UNHESA LIQUIDOS",$AZ78+$BI78+$BR78+$CA78+$CJ78,0)</f>
        <v>0</v>
      </c>
      <c r="DN78" s="355">
        <f>IF($CP78="UNHESA LIQUIDOS",$BA78+$BJ78+$BS78+$CB78+$CK78,0)</f>
        <v>0</v>
      </c>
      <c r="DO78" s="355">
        <f>IF($CP78="UNHESA LIQUIDOS",$BB78+$BK78+$BT78+$CC78+$CL78,0)</f>
        <v>0</v>
      </c>
      <c r="DP78" s="355">
        <f>IF($CP78="UNHESA LIQUIDOS",$BC78+$BL78+$BU78+$CD78+$CM78,0)</f>
        <v>0</v>
      </c>
      <c r="DQ78" s="355">
        <f t="shared" si="1446"/>
        <v>0</v>
      </c>
      <c r="DR78" s="1495">
        <f t="shared" si="1447"/>
        <v>0</v>
      </c>
      <c r="DS78" s="1496">
        <f t="shared" si="1448"/>
        <v>0</v>
      </c>
      <c r="DT78" s="1496">
        <f t="shared" si="1449"/>
        <v>0</v>
      </c>
      <c r="DU78" s="1496">
        <f t="shared" si="1450"/>
        <v>0</v>
      </c>
      <c r="DV78" s="1496">
        <f t="shared" si="1451"/>
        <v>0</v>
      </c>
      <c r="DW78" s="1496">
        <f t="shared" si="1452"/>
        <v>0</v>
      </c>
      <c r="DX78" s="1496">
        <f t="shared" si="1453"/>
        <v>0</v>
      </c>
      <c r="DY78" s="1496">
        <f t="shared" si="1454"/>
        <v>0</v>
      </c>
      <c r="DZ78" s="1496">
        <f t="shared" si="1455"/>
        <v>0</v>
      </c>
      <c r="EA78" s="1496">
        <f t="shared" si="1456"/>
        <v>0</v>
      </c>
      <c r="EB78" s="1496">
        <f t="shared" si="1457"/>
        <v>0</v>
      </c>
      <c r="EC78" s="1496">
        <f t="shared" si="1458"/>
        <v>0</v>
      </c>
      <c r="ED78" s="1496">
        <f t="shared" si="1459"/>
        <v>0</v>
      </c>
      <c r="EE78" s="1496">
        <f t="shared" si="1460"/>
        <v>0</v>
      </c>
      <c r="EF78" s="1496">
        <f t="shared" si="1461"/>
        <v>0</v>
      </c>
      <c r="EG78" s="1496">
        <f t="shared" si="1462"/>
        <v>0</v>
      </c>
      <c r="EH78" s="1496">
        <f t="shared" si="1463"/>
        <v>0</v>
      </c>
      <c r="EI78" s="1497">
        <f t="shared" si="1464"/>
        <v>0</v>
      </c>
      <c r="EJ78" s="1414"/>
      <c r="EK78" s="1475">
        <v>571.02</v>
      </c>
      <c r="EL78" s="365"/>
      <c r="EM78" s="1543">
        <f>99+99</f>
        <v>198</v>
      </c>
      <c r="EN78" s="313"/>
      <c r="EO78" s="363"/>
      <c r="EP78" s="363">
        <v>150</v>
      </c>
      <c r="EQ78" s="363"/>
      <c r="ER78" s="1475"/>
      <c r="ES78" s="363"/>
      <c r="ET78" s="363">
        <f t="shared" si="1465"/>
        <v>150</v>
      </c>
      <c r="EU78" s="1500"/>
      <c r="EV78" s="366">
        <f t="shared" si="1466"/>
        <v>571.02</v>
      </c>
      <c r="EW78" s="366">
        <f t="shared" si="1466"/>
        <v>0</v>
      </c>
      <c r="EX78" s="366">
        <f t="shared" si="1466"/>
        <v>198</v>
      </c>
      <c r="EY78" s="366">
        <f t="shared" si="1466"/>
        <v>0</v>
      </c>
      <c r="EZ78" s="366">
        <f t="shared" si="1466"/>
        <v>0</v>
      </c>
      <c r="FA78" s="366">
        <f t="shared" si="1466"/>
        <v>150</v>
      </c>
      <c r="FB78" s="366">
        <f t="shared" si="1466"/>
        <v>0</v>
      </c>
      <c r="FC78" s="366">
        <f t="shared" si="1466"/>
        <v>0</v>
      </c>
      <c r="FD78" s="366">
        <f t="shared" si="1467"/>
        <v>0</v>
      </c>
      <c r="FE78" s="366">
        <f>IF($H78&lt;=15,ET78/2,ET78)</f>
        <v>150</v>
      </c>
      <c r="FF78" s="364">
        <v>0.6</v>
      </c>
      <c r="FG78" s="364">
        <v>0.35</v>
      </c>
      <c r="FH78" s="364">
        <v>0.05</v>
      </c>
      <c r="FI78" s="364"/>
      <c r="FJ78" s="364"/>
      <c r="FK78" s="364">
        <v>1</v>
      </c>
      <c r="FL78" s="1441">
        <f t="shared" si="272"/>
        <v>0</v>
      </c>
    </row>
    <row r="79" spans="1:172" s="1500" customFormat="1" ht="15.75" customHeight="1" outlineLevel="1" thickBot="1">
      <c r="A79" s="1490"/>
      <c r="B79" s="1348"/>
      <c r="C79" s="1339" t="s">
        <v>88</v>
      </c>
      <c r="D79" s="1339"/>
      <c r="E79" s="1518">
        <f>SUM(E75:E78)</f>
        <v>23950</v>
      </c>
      <c r="F79" s="1519">
        <f>SUM(F75:F78)</f>
        <v>6050</v>
      </c>
      <c r="G79" s="1519">
        <f>SUM(G75:G78)</f>
        <v>30000</v>
      </c>
      <c r="H79" s="1531">
        <v>30</v>
      </c>
      <c r="I79" s="1563"/>
      <c r="J79" s="1563"/>
      <c r="K79" s="1563"/>
      <c r="L79" s="1563"/>
      <c r="M79" s="1563"/>
      <c r="N79" s="1563"/>
      <c r="O79" s="1460"/>
      <c r="P79" s="1547">
        <f t="shared" ref="P79:AT79" si="1531">SUM(P75:P78)</f>
        <v>0</v>
      </c>
      <c r="Q79" s="1547">
        <f t="shared" si="1531"/>
        <v>0</v>
      </c>
      <c r="R79" s="1547">
        <f t="shared" si="1531"/>
        <v>0</v>
      </c>
      <c r="S79" s="1547">
        <f t="shared" si="1531"/>
        <v>0</v>
      </c>
      <c r="T79" s="1547">
        <f t="shared" si="1531"/>
        <v>0</v>
      </c>
      <c r="U79" s="1547">
        <f t="shared" si="1531"/>
        <v>0</v>
      </c>
      <c r="V79" s="1547">
        <f t="shared" si="1531"/>
        <v>0</v>
      </c>
      <c r="W79" s="1547">
        <f t="shared" si="1531"/>
        <v>0</v>
      </c>
      <c r="X79" s="1547">
        <f t="shared" si="1531"/>
        <v>0</v>
      </c>
      <c r="Y79" s="1547">
        <f t="shared" si="1531"/>
        <v>0</v>
      </c>
      <c r="Z79" s="1547">
        <f t="shared" si="1531"/>
        <v>0</v>
      </c>
      <c r="AA79" s="1547">
        <f t="shared" si="1531"/>
        <v>0</v>
      </c>
      <c r="AB79" s="1547">
        <f t="shared" si="1531"/>
        <v>0</v>
      </c>
      <c r="AC79" s="1547">
        <f t="shared" si="1531"/>
        <v>0</v>
      </c>
      <c r="AD79" s="1547">
        <f t="shared" si="1531"/>
        <v>0</v>
      </c>
      <c r="AE79" s="1547">
        <f t="shared" si="1531"/>
        <v>0</v>
      </c>
      <c r="AF79" s="1547">
        <f t="shared" si="1531"/>
        <v>0</v>
      </c>
      <c r="AG79" s="1547">
        <f t="shared" si="1531"/>
        <v>0</v>
      </c>
      <c r="AH79" s="1547">
        <f t="shared" si="1531"/>
        <v>0</v>
      </c>
      <c r="AI79" s="1547">
        <f t="shared" si="1531"/>
        <v>0</v>
      </c>
      <c r="AJ79" s="1547">
        <f t="shared" si="1531"/>
        <v>0</v>
      </c>
      <c r="AK79" s="1547">
        <f t="shared" si="1531"/>
        <v>0</v>
      </c>
      <c r="AL79" s="1547">
        <f t="shared" si="1531"/>
        <v>0</v>
      </c>
      <c r="AM79" s="1547">
        <f t="shared" si="1531"/>
        <v>0</v>
      </c>
      <c r="AN79" s="1547">
        <f t="shared" si="1531"/>
        <v>0</v>
      </c>
      <c r="AO79" s="1547">
        <f t="shared" si="1531"/>
        <v>0</v>
      </c>
      <c r="AP79" s="1547">
        <f t="shared" si="1531"/>
        <v>0</v>
      </c>
      <c r="AQ79" s="1547">
        <f t="shared" si="1531"/>
        <v>0</v>
      </c>
      <c r="AR79" s="1547">
        <f t="shared" si="1531"/>
        <v>0</v>
      </c>
      <c r="AS79" s="1547">
        <f t="shared" si="1531"/>
        <v>0</v>
      </c>
      <c r="AT79" s="1547">
        <f t="shared" si="1531"/>
        <v>0</v>
      </c>
      <c r="AU79" s="1547" t="s">
        <v>54</v>
      </c>
      <c r="AV79" s="1547">
        <f t="shared" ref="AV79:CO79" si="1532">SUM(AV75:AV78)</f>
        <v>12698.333333333332</v>
      </c>
      <c r="AW79" s="1547">
        <f t="shared" si="1532"/>
        <v>3351.6666666666665</v>
      </c>
      <c r="AX79" s="1547">
        <f t="shared" si="1532"/>
        <v>0</v>
      </c>
      <c r="AY79" s="1547">
        <f t="shared" si="1532"/>
        <v>0</v>
      </c>
      <c r="AZ79" s="1547">
        <f t="shared" si="1532"/>
        <v>0</v>
      </c>
      <c r="BA79" s="1547">
        <f t="shared" si="1532"/>
        <v>0</v>
      </c>
      <c r="BB79" s="1547">
        <f t="shared" si="1532"/>
        <v>0</v>
      </c>
      <c r="BC79" s="1547">
        <f t="shared" si="1532"/>
        <v>1608.8788333333334</v>
      </c>
      <c r="BD79" s="1547">
        <f t="shared" si="1532"/>
        <v>17658.878833333332</v>
      </c>
      <c r="BE79" s="1547">
        <f t="shared" si="1532"/>
        <v>8686.5</v>
      </c>
      <c r="BF79" s="1547">
        <f t="shared" si="1532"/>
        <v>2078.5</v>
      </c>
      <c r="BG79" s="1547">
        <f t="shared" si="1532"/>
        <v>0</v>
      </c>
      <c r="BH79" s="1547">
        <f t="shared" si="1532"/>
        <v>0</v>
      </c>
      <c r="BI79" s="1547">
        <f t="shared" si="1532"/>
        <v>0</v>
      </c>
      <c r="BJ79" s="1547">
        <f t="shared" si="1532"/>
        <v>0</v>
      </c>
      <c r="BK79" s="1547">
        <f t="shared" si="1532"/>
        <v>0</v>
      </c>
      <c r="BL79" s="1547">
        <f t="shared" si="1532"/>
        <v>1100.5795499999999</v>
      </c>
      <c r="BM79" s="1547">
        <f t="shared" si="1532"/>
        <v>11865.579549999999</v>
      </c>
      <c r="BN79" s="1547">
        <f t="shared" si="1532"/>
        <v>0</v>
      </c>
      <c r="BO79" s="1547">
        <f t="shared" si="1532"/>
        <v>0</v>
      </c>
      <c r="BP79" s="1547">
        <f t="shared" si="1532"/>
        <v>0</v>
      </c>
      <c r="BQ79" s="1547">
        <f t="shared" si="1532"/>
        <v>0</v>
      </c>
      <c r="BR79" s="1547">
        <f t="shared" si="1532"/>
        <v>0</v>
      </c>
      <c r="BS79" s="1547">
        <f t="shared" si="1532"/>
        <v>0</v>
      </c>
      <c r="BT79" s="1547">
        <f t="shared" si="1532"/>
        <v>0</v>
      </c>
      <c r="BU79" s="1547">
        <f t="shared" si="1532"/>
        <v>0</v>
      </c>
      <c r="BV79" s="1547">
        <f t="shared" si="1532"/>
        <v>0</v>
      </c>
      <c r="BW79" s="1569">
        <f t="shared" si="1532"/>
        <v>2301.8333333333335</v>
      </c>
      <c r="BX79" s="1569">
        <f t="shared" si="1532"/>
        <v>883.16666666666674</v>
      </c>
      <c r="BY79" s="1569">
        <f t="shared" si="1532"/>
        <v>0</v>
      </c>
      <c r="BZ79" s="1569">
        <f t="shared" si="1532"/>
        <v>0</v>
      </c>
      <c r="CA79" s="1569">
        <f t="shared" si="1532"/>
        <v>0</v>
      </c>
      <c r="CB79" s="1569">
        <f t="shared" si="1532"/>
        <v>0</v>
      </c>
      <c r="CC79" s="1569">
        <f t="shared" si="1532"/>
        <v>0</v>
      </c>
      <c r="CD79" s="1569">
        <f t="shared" si="1532"/>
        <v>291.64228333333335</v>
      </c>
      <c r="CE79" s="1569">
        <f t="shared" si="1532"/>
        <v>3476.6422833333331</v>
      </c>
      <c r="CF79" s="1569">
        <f t="shared" si="1532"/>
        <v>0</v>
      </c>
      <c r="CG79" s="1569">
        <f t="shared" si="1532"/>
        <v>0</v>
      </c>
      <c r="CH79" s="1569">
        <f t="shared" si="1532"/>
        <v>0</v>
      </c>
      <c r="CI79" s="1569">
        <f t="shared" si="1532"/>
        <v>0</v>
      </c>
      <c r="CJ79" s="1569">
        <f t="shared" si="1532"/>
        <v>0</v>
      </c>
      <c r="CK79" s="1569">
        <f t="shared" si="1532"/>
        <v>0</v>
      </c>
      <c r="CL79" s="1569">
        <f t="shared" si="1532"/>
        <v>0</v>
      </c>
      <c r="CM79" s="1569">
        <f t="shared" si="1532"/>
        <v>0</v>
      </c>
      <c r="CN79" s="1569">
        <f t="shared" si="1532"/>
        <v>0</v>
      </c>
      <c r="CO79" s="1531">
        <f t="shared" si="1532"/>
        <v>0</v>
      </c>
      <c r="CP79" s="1551"/>
      <c r="CQ79" s="1547">
        <f t="shared" ref="CQ79:DV79" si="1533">SUM(CQ75:CQ78)</f>
        <v>8236.6666666666661</v>
      </c>
      <c r="CR79" s="1547">
        <f t="shared" si="1533"/>
        <v>1563.3333333333333</v>
      </c>
      <c r="CS79" s="1547">
        <f t="shared" si="1533"/>
        <v>0</v>
      </c>
      <c r="CT79" s="1547">
        <f t="shared" si="1533"/>
        <v>0</v>
      </c>
      <c r="CU79" s="1547">
        <f t="shared" si="1533"/>
        <v>0</v>
      </c>
      <c r="CV79" s="1547">
        <f t="shared" si="1533"/>
        <v>0</v>
      </c>
      <c r="CW79" s="1547">
        <f t="shared" si="1533"/>
        <v>0</v>
      </c>
      <c r="CX79" s="1547">
        <f t="shared" si="1533"/>
        <v>1043.5856666666666</v>
      </c>
      <c r="CY79" s="1547">
        <f t="shared" si="1533"/>
        <v>10843.585666666666</v>
      </c>
      <c r="CZ79" s="1547">
        <f t="shared" si="1533"/>
        <v>15450</v>
      </c>
      <c r="DA79" s="1547">
        <f t="shared" si="1533"/>
        <v>4750</v>
      </c>
      <c r="DB79" s="1547">
        <f t="shared" si="1533"/>
        <v>0</v>
      </c>
      <c r="DC79" s="1547">
        <f t="shared" si="1533"/>
        <v>0</v>
      </c>
      <c r="DD79" s="1547">
        <f t="shared" si="1533"/>
        <v>0</v>
      </c>
      <c r="DE79" s="1547">
        <f t="shared" si="1533"/>
        <v>0</v>
      </c>
      <c r="DF79" s="1547">
        <f t="shared" si="1533"/>
        <v>0</v>
      </c>
      <c r="DG79" s="1547">
        <f t="shared" si="1533"/>
        <v>1957.5150000000001</v>
      </c>
      <c r="DH79" s="1547">
        <f t="shared" si="1533"/>
        <v>22157.514999999999</v>
      </c>
      <c r="DI79" s="1547">
        <f t="shared" si="1533"/>
        <v>0</v>
      </c>
      <c r="DJ79" s="1547">
        <f t="shared" si="1533"/>
        <v>0</v>
      </c>
      <c r="DK79" s="1547">
        <f t="shared" si="1533"/>
        <v>0</v>
      </c>
      <c r="DL79" s="1547">
        <f t="shared" si="1533"/>
        <v>0</v>
      </c>
      <c r="DM79" s="1547">
        <f t="shared" si="1533"/>
        <v>0</v>
      </c>
      <c r="DN79" s="1547">
        <f t="shared" si="1533"/>
        <v>0</v>
      </c>
      <c r="DO79" s="1547">
        <f t="shared" si="1533"/>
        <v>0</v>
      </c>
      <c r="DP79" s="1547">
        <f t="shared" si="1533"/>
        <v>0</v>
      </c>
      <c r="DQ79" s="1547">
        <f t="shared" si="1533"/>
        <v>0</v>
      </c>
      <c r="DR79" s="1569">
        <f t="shared" si="1533"/>
        <v>0</v>
      </c>
      <c r="DS79" s="1569">
        <f t="shared" si="1533"/>
        <v>0</v>
      </c>
      <c r="DT79" s="1569">
        <f t="shared" si="1533"/>
        <v>0</v>
      </c>
      <c r="DU79" s="1569">
        <f t="shared" si="1533"/>
        <v>0</v>
      </c>
      <c r="DV79" s="1569">
        <f t="shared" si="1533"/>
        <v>0</v>
      </c>
      <c r="DW79" s="1569">
        <f t="shared" ref="DW79:ET79" si="1534">SUM(DW75:DW78)</f>
        <v>0</v>
      </c>
      <c r="DX79" s="1569">
        <f t="shared" si="1534"/>
        <v>0</v>
      </c>
      <c r="DY79" s="1569">
        <f t="shared" si="1534"/>
        <v>0</v>
      </c>
      <c r="DZ79" s="1569">
        <f t="shared" si="1534"/>
        <v>0</v>
      </c>
      <c r="EA79" s="1569">
        <f t="shared" si="1534"/>
        <v>0</v>
      </c>
      <c r="EB79" s="1569">
        <f t="shared" si="1534"/>
        <v>0</v>
      </c>
      <c r="EC79" s="1569">
        <f t="shared" si="1534"/>
        <v>0</v>
      </c>
      <c r="ED79" s="1569">
        <f t="shared" si="1534"/>
        <v>0</v>
      </c>
      <c r="EE79" s="1569">
        <f t="shared" si="1534"/>
        <v>0</v>
      </c>
      <c r="EF79" s="1569">
        <f t="shared" si="1534"/>
        <v>0</v>
      </c>
      <c r="EG79" s="1569">
        <f t="shared" si="1534"/>
        <v>0</v>
      </c>
      <c r="EH79" s="1569">
        <f t="shared" si="1534"/>
        <v>0</v>
      </c>
      <c r="EI79" s="1569">
        <f t="shared" si="1534"/>
        <v>0</v>
      </c>
      <c r="EJ79" s="1531">
        <f t="shared" si="1534"/>
        <v>0</v>
      </c>
      <c r="EK79" s="1519">
        <f t="shared" si="1534"/>
        <v>650.49</v>
      </c>
      <c r="EL79" s="1519">
        <f t="shared" si="1534"/>
        <v>747.15</v>
      </c>
      <c r="EM79" s="1519">
        <f t="shared" si="1534"/>
        <v>198</v>
      </c>
      <c r="EN79" s="1518">
        <f t="shared" si="1534"/>
        <v>574</v>
      </c>
      <c r="EO79" s="1519">
        <f t="shared" si="1534"/>
        <v>0</v>
      </c>
      <c r="EP79" s="1519">
        <f t="shared" si="1534"/>
        <v>300</v>
      </c>
      <c r="EQ79" s="1519">
        <f t="shared" si="1534"/>
        <v>0</v>
      </c>
      <c r="ER79" s="1519">
        <f t="shared" si="1534"/>
        <v>0</v>
      </c>
      <c r="ES79" s="1519">
        <f t="shared" si="1534"/>
        <v>135</v>
      </c>
      <c r="ET79" s="1519">
        <f t="shared" si="1534"/>
        <v>300</v>
      </c>
      <c r="EU79" s="1569"/>
      <c r="EV79" s="1519">
        <f t="shared" ref="EV79:FE79" si="1535">SUM(EV75:EV78)</f>
        <v>650.49</v>
      </c>
      <c r="EW79" s="1519">
        <f t="shared" si="1535"/>
        <v>747.15</v>
      </c>
      <c r="EX79" s="1519">
        <f t="shared" si="1535"/>
        <v>198</v>
      </c>
      <c r="EY79" s="1519">
        <f t="shared" si="1535"/>
        <v>574</v>
      </c>
      <c r="EZ79" s="1519">
        <f t="shared" si="1535"/>
        <v>0</v>
      </c>
      <c r="FA79" s="1519">
        <f t="shared" si="1535"/>
        <v>300</v>
      </c>
      <c r="FB79" s="1519">
        <f t="shared" si="1535"/>
        <v>0</v>
      </c>
      <c r="FC79" s="1519">
        <f t="shared" si="1535"/>
        <v>0</v>
      </c>
      <c r="FD79" s="1519">
        <f t="shared" si="1535"/>
        <v>135</v>
      </c>
      <c r="FE79" s="1519">
        <f t="shared" si="1535"/>
        <v>300</v>
      </c>
      <c r="FF79" s="1448"/>
      <c r="FG79" s="1448"/>
      <c r="FH79" s="1448"/>
      <c r="FI79" s="1448"/>
      <c r="FJ79" s="1448"/>
      <c r="FK79" s="1448"/>
      <c r="FL79" s="1441">
        <f t="shared" si="272"/>
        <v>0</v>
      </c>
    </row>
    <row r="80" spans="1:172" s="1500" customFormat="1" ht="16.5" customHeight="1" outlineLevel="1" thickTop="1">
      <c r="A80" s="1490"/>
      <c r="B80" s="1404" t="s">
        <v>85</v>
      </c>
      <c r="C80" s="1339"/>
      <c r="D80" s="1339"/>
      <c r="E80" s="1570"/>
      <c r="F80" s="1531"/>
      <c r="G80" s="1531"/>
      <c r="H80" s="1531"/>
      <c r="I80" s="1563"/>
      <c r="J80" s="1563"/>
      <c r="K80" s="1563"/>
      <c r="L80" s="1563"/>
      <c r="M80" s="1563"/>
      <c r="N80" s="1563"/>
      <c r="O80" s="1460"/>
      <c r="P80" s="1531"/>
      <c r="Q80" s="1531"/>
      <c r="R80" s="1531"/>
      <c r="S80" s="1531"/>
      <c r="T80" s="1531"/>
      <c r="U80" s="1531"/>
      <c r="V80" s="1531"/>
      <c r="W80" s="1531"/>
      <c r="X80" s="1531"/>
      <c r="Y80" s="1531"/>
      <c r="Z80" s="1531"/>
      <c r="AA80" s="1531"/>
      <c r="AB80" s="1531"/>
      <c r="AC80" s="1531"/>
      <c r="AD80" s="1531"/>
      <c r="AE80" s="1531"/>
      <c r="AF80" s="1531"/>
      <c r="AG80" s="1531"/>
      <c r="AH80" s="1531"/>
      <c r="AI80" s="1531"/>
      <c r="AJ80" s="1531"/>
      <c r="AK80" s="1531"/>
      <c r="AL80" s="1531"/>
      <c r="AM80" s="1531"/>
      <c r="AN80" s="1531"/>
      <c r="AO80" s="1531"/>
      <c r="AP80" s="1531"/>
      <c r="AQ80" s="1531"/>
      <c r="AR80" s="1531"/>
      <c r="AS80" s="1531"/>
      <c r="AT80" s="1531"/>
      <c r="AU80" s="1531"/>
      <c r="AV80" s="1531"/>
      <c r="AW80" s="1531"/>
      <c r="AX80" s="1531"/>
      <c r="AY80" s="1531"/>
      <c r="AZ80" s="1531"/>
      <c r="BA80" s="1531"/>
      <c r="BB80" s="1531"/>
      <c r="BC80" s="1531"/>
      <c r="BD80" s="1531"/>
      <c r="BE80" s="1531"/>
      <c r="BF80" s="1531"/>
      <c r="BG80" s="1531"/>
      <c r="BH80" s="1531"/>
      <c r="BI80" s="1531"/>
      <c r="BJ80" s="1531"/>
      <c r="BK80" s="1531"/>
      <c r="BL80" s="1531"/>
      <c r="BM80" s="1531"/>
      <c r="BN80" s="1531"/>
      <c r="BO80" s="1531"/>
      <c r="BP80" s="1531"/>
      <c r="BQ80" s="1531"/>
      <c r="BR80" s="1531"/>
      <c r="BS80" s="1531"/>
      <c r="BT80" s="1531"/>
      <c r="BU80" s="1531"/>
      <c r="BV80" s="1531"/>
      <c r="BW80" s="1531"/>
      <c r="BX80" s="1531"/>
      <c r="BY80" s="1531"/>
      <c r="BZ80" s="1531"/>
      <c r="CA80" s="1531"/>
      <c r="CB80" s="1531"/>
      <c r="CC80" s="1531"/>
      <c r="CD80" s="1531"/>
      <c r="CE80" s="1531"/>
      <c r="CF80" s="1531"/>
      <c r="CG80" s="1531"/>
      <c r="CH80" s="1531"/>
      <c r="CI80" s="1531"/>
      <c r="CJ80" s="1531"/>
      <c r="CK80" s="1531"/>
      <c r="CL80" s="1531"/>
      <c r="CM80" s="1531"/>
      <c r="CN80" s="1531"/>
      <c r="CO80" s="1531"/>
      <c r="CP80" s="1531"/>
      <c r="CQ80" s="1531"/>
      <c r="CR80" s="1531"/>
      <c r="CS80" s="1531"/>
      <c r="CT80" s="1531"/>
      <c r="CU80" s="1531"/>
      <c r="CV80" s="1531"/>
      <c r="CW80" s="1531"/>
      <c r="CX80" s="1531"/>
      <c r="CY80" s="1531"/>
      <c r="CZ80" s="1531"/>
      <c r="DA80" s="1531"/>
      <c r="DB80" s="1531"/>
      <c r="DC80" s="1531"/>
      <c r="DD80" s="1531"/>
      <c r="DE80" s="1531"/>
      <c r="DF80" s="1531"/>
      <c r="DG80" s="1531"/>
      <c r="DH80" s="1531"/>
      <c r="DI80" s="1531"/>
      <c r="DJ80" s="1531"/>
      <c r="DK80" s="1531"/>
      <c r="DL80" s="1531"/>
      <c r="DM80" s="1531"/>
      <c r="DN80" s="1531"/>
      <c r="DO80" s="1531"/>
      <c r="DP80" s="1531"/>
      <c r="DQ80" s="1531"/>
      <c r="DR80" s="1531"/>
      <c r="DS80" s="1531"/>
      <c r="DT80" s="1531"/>
      <c r="DU80" s="1531"/>
      <c r="DV80" s="1531"/>
      <c r="DW80" s="1531"/>
      <c r="DX80" s="1531"/>
      <c r="DY80" s="1531"/>
      <c r="DZ80" s="1531"/>
      <c r="EA80" s="1531"/>
      <c r="EB80" s="1531"/>
      <c r="EC80" s="1531"/>
      <c r="ED80" s="1531"/>
      <c r="EE80" s="1531"/>
      <c r="EF80" s="1531"/>
      <c r="EG80" s="1531"/>
      <c r="EH80" s="1531"/>
      <c r="EI80" s="1531"/>
      <c r="EJ80" s="1531"/>
      <c r="EK80" s="1531"/>
      <c r="EL80" s="1531"/>
      <c r="EM80" s="1531"/>
      <c r="EN80" s="1570"/>
      <c r="EO80" s="1531"/>
      <c r="EP80" s="1531"/>
      <c r="EQ80" s="1531"/>
      <c r="ER80" s="1531"/>
      <c r="ES80" s="1531"/>
      <c r="ET80" s="1531"/>
      <c r="EV80" s="1531"/>
      <c r="EW80" s="1531"/>
      <c r="EX80" s="1531"/>
      <c r="EY80" s="1531"/>
      <c r="EZ80" s="1531"/>
      <c r="FA80" s="1531"/>
      <c r="FB80" s="1531"/>
      <c r="FC80" s="1531"/>
      <c r="FD80" s="1531"/>
      <c r="FE80" s="1531"/>
      <c r="FF80" s="1448"/>
      <c r="FG80" s="1448"/>
      <c r="FH80" s="1448"/>
      <c r="FI80" s="1448"/>
      <c r="FJ80" s="1448"/>
      <c r="FK80" s="1448"/>
      <c r="FL80" s="1441">
        <f t="shared" si="272"/>
        <v>0</v>
      </c>
    </row>
    <row r="81" spans="1:172" s="1451" customFormat="1" ht="15" customHeight="1" outlineLevel="1">
      <c r="A81" s="1511"/>
      <c r="B81" s="1416" t="s">
        <v>89</v>
      </c>
      <c r="C81" s="1403"/>
      <c r="D81" s="1414"/>
      <c r="E81" s="1564"/>
      <c r="I81" s="1546"/>
      <c r="J81" s="1546"/>
      <c r="K81" s="1546"/>
      <c r="L81" s="1546"/>
      <c r="M81" s="1546"/>
      <c r="N81" s="1546"/>
      <c r="O81" s="1417"/>
      <c r="P81" s="1565"/>
      <c r="R81" s="1565"/>
      <c r="T81" s="1565"/>
      <c r="V81" s="1565"/>
      <c r="X81" s="1565"/>
      <c r="Z81" s="1566"/>
      <c r="AB81" s="1566"/>
      <c r="AD81" s="1566"/>
      <c r="AH81" s="1566"/>
      <c r="AU81" s="1517"/>
      <c r="CO81" s="1414"/>
      <c r="CP81" s="1414"/>
      <c r="EJ81" s="1414"/>
      <c r="EK81" s="1403"/>
      <c r="EL81" s="1414"/>
      <c r="EM81" s="1414"/>
      <c r="EN81" s="330"/>
      <c r="EO81" s="1414"/>
      <c r="EP81" s="1414"/>
      <c r="EQ81" s="1414"/>
      <c r="ER81" s="1414"/>
      <c r="ES81" s="1414"/>
      <c r="ET81" s="1414"/>
      <c r="EU81" s="1414"/>
      <c r="EV81" s="1414"/>
      <c r="EW81" s="1414"/>
      <c r="EX81" s="1414"/>
      <c r="EY81" s="1414"/>
      <c r="EZ81" s="1414"/>
      <c r="FA81" s="1414"/>
      <c r="FB81" s="1414"/>
      <c r="FC81" s="1414"/>
      <c r="FD81" s="1414"/>
      <c r="FE81" s="1414"/>
      <c r="FF81" s="1448"/>
      <c r="FG81" s="1448"/>
      <c r="FH81" s="1448"/>
      <c r="FI81" s="1448"/>
      <c r="FJ81" s="1448"/>
      <c r="FK81" s="1448"/>
      <c r="FL81" s="1441">
        <f t="shared" si="272"/>
        <v>0</v>
      </c>
      <c r="FM81" s="1414"/>
      <c r="FN81" s="1414"/>
      <c r="FO81" s="1414"/>
      <c r="FP81" s="1414"/>
    </row>
    <row r="82" spans="1:172" s="1451" customFormat="1" ht="15" customHeight="1" outlineLevel="1">
      <c r="A82" s="1511"/>
      <c r="B82" s="1571" t="s">
        <v>861</v>
      </c>
      <c r="C82" s="1403"/>
      <c r="D82" s="1414"/>
      <c r="E82" s="1564"/>
      <c r="I82" s="1546"/>
      <c r="J82" s="1546"/>
      <c r="K82" s="1546"/>
      <c r="L82" s="1546"/>
      <c r="M82" s="1546"/>
      <c r="N82" s="1546"/>
      <c r="O82" s="1417"/>
      <c r="P82" s="1565"/>
      <c r="R82" s="1565"/>
      <c r="T82" s="1565"/>
      <c r="V82" s="1565"/>
      <c r="X82" s="1565"/>
      <c r="Z82" s="1566"/>
      <c r="AB82" s="1566"/>
      <c r="AD82" s="1566"/>
      <c r="AH82" s="1566"/>
      <c r="AU82" s="1517"/>
      <c r="CO82" s="1414"/>
      <c r="CP82" s="1414"/>
      <c r="EJ82" s="1414"/>
      <c r="EK82" s="1403"/>
      <c r="EL82" s="1414"/>
      <c r="EM82" s="1414"/>
      <c r="EN82" s="330"/>
      <c r="EO82" s="1414"/>
      <c r="EP82" s="1414"/>
      <c r="EQ82" s="1414"/>
      <c r="ER82" s="1414"/>
      <c r="ES82" s="1414"/>
      <c r="ET82" s="1414"/>
      <c r="EU82" s="1414"/>
      <c r="EV82" s="1414"/>
      <c r="EW82" s="1414"/>
      <c r="EX82" s="1414"/>
      <c r="EY82" s="1414"/>
      <c r="EZ82" s="1414"/>
      <c r="FA82" s="1414"/>
      <c r="FB82" s="1414"/>
      <c r="FC82" s="1414"/>
      <c r="FD82" s="1414"/>
      <c r="FE82" s="1414"/>
      <c r="FF82" s="1448"/>
      <c r="FG82" s="1448"/>
      <c r="FH82" s="1448"/>
      <c r="FI82" s="1448"/>
      <c r="FJ82" s="1448"/>
      <c r="FK82" s="1448"/>
      <c r="FL82" s="1441">
        <f t="shared" si="272"/>
        <v>0</v>
      </c>
      <c r="FM82" s="1414"/>
      <c r="FN82" s="1414"/>
      <c r="FO82" s="1414"/>
      <c r="FP82" s="1414"/>
    </row>
    <row r="83" spans="1:172" s="331" customFormat="1" ht="15" customHeight="1" outlineLevel="1">
      <c r="A83" s="415" t="e">
        <f>+A78+1</f>
        <v>#REF!</v>
      </c>
      <c r="B83" s="311" t="s">
        <v>523</v>
      </c>
      <c r="C83" s="312" t="s">
        <v>91</v>
      </c>
      <c r="D83" s="313" t="s">
        <v>10</v>
      </c>
      <c r="E83" s="314">
        <f>13000</f>
        <v>13000</v>
      </c>
      <c r="F83" s="314">
        <v>9000</v>
      </c>
      <c r="G83" s="314">
        <f t="shared" ref="G83:G90" si="1536">+E83+F83</f>
        <v>22000</v>
      </c>
      <c r="H83" s="315">
        <v>30</v>
      </c>
      <c r="I83" s="417">
        <v>0.4</v>
      </c>
      <c r="J83" s="417">
        <v>0.55000000000000004</v>
      </c>
      <c r="K83" s="417">
        <v>0</v>
      </c>
      <c r="L83" s="316">
        <v>0.05</v>
      </c>
      <c r="M83" s="317">
        <v>0</v>
      </c>
      <c r="N83" s="318">
        <f t="shared" ref="N83:N90" si="1537">SUM(I83:M83)</f>
        <v>1</v>
      </c>
      <c r="O83" s="1572" t="s">
        <v>711</v>
      </c>
      <c r="P83" s="320"/>
      <c r="Q83" s="315">
        <f t="shared" ref="Q83:Q90" si="1538">($E83/30/8*1.5)*P83</f>
        <v>0</v>
      </c>
      <c r="R83" s="404"/>
      <c r="S83" s="358">
        <f t="shared" ref="S83:S90" si="1539">($E83/30/8*2)*R83</f>
        <v>0</v>
      </c>
      <c r="T83" s="404"/>
      <c r="U83" s="358">
        <f t="shared" ref="U83:U90" si="1540">($E83/30/8*1.5)*T83</f>
        <v>0</v>
      </c>
      <c r="V83" s="404"/>
      <c r="W83" s="315">
        <f t="shared" ref="W83:W90" si="1541">($E83/30/8*2)*V83</f>
        <v>0</v>
      </c>
      <c r="X83" s="321"/>
      <c r="Y83" s="315">
        <f t="shared" ref="Y83:Y90" si="1542">(($E83/30/8)*1.5)*X83</f>
        <v>0</v>
      </c>
      <c r="Z83" s="322"/>
      <c r="AA83" s="315">
        <f t="shared" ref="AA83:AA90" si="1543">(($E83/30/8)*2)*Z83</f>
        <v>0</v>
      </c>
      <c r="AB83" s="323"/>
      <c r="AC83" s="324">
        <f t="shared" ref="AC83:AC90" si="1544">(($E83/30/8)*1.5)*AB83</f>
        <v>0</v>
      </c>
      <c r="AD83" s="323"/>
      <c r="AE83" s="324">
        <f t="shared" ref="AE83:AE90" si="1545">(($E83/30/8)*2)*AD83</f>
        <v>0</v>
      </c>
      <c r="AF83" s="324"/>
      <c r="AG83" s="324">
        <f>(($E83/30/8)*1.5)*AF83</f>
        <v>0</v>
      </c>
      <c r="AH83" s="323"/>
      <c r="AI83" s="324">
        <f>(($E83/30/8)*2)*AH83</f>
        <v>0</v>
      </c>
      <c r="AJ83" s="325"/>
      <c r="AK83" s="325"/>
      <c r="AL83" s="325"/>
      <c r="AM83" s="325"/>
      <c r="AN83" s="325"/>
      <c r="AO83" s="325"/>
      <c r="AP83" s="325"/>
      <c r="AQ83" s="325"/>
      <c r="AR83" s="325"/>
      <c r="AS83" s="325"/>
      <c r="AT83" s="314"/>
      <c r="AU83" s="326"/>
      <c r="AV83" s="315">
        <f t="shared" ref="AV83:AV90" si="1546">((E83/30)*H83)*$I83</f>
        <v>5200</v>
      </c>
      <c r="AW83" s="1573">
        <f>((F83/30)*H83)*$I83+600+1487.15</f>
        <v>5687.15</v>
      </c>
      <c r="AX83" s="315">
        <f t="shared" ref="AX83:BA90" si="1547">P83</f>
        <v>0</v>
      </c>
      <c r="AY83" s="315">
        <f t="shared" si="1547"/>
        <v>0</v>
      </c>
      <c r="AZ83" s="315">
        <f t="shared" si="1547"/>
        <v>0</v>
      </c>
      <c r="BA83" s="315">
        <f t="shared" si="1547"/>
        <v>0</v>
      </c>
      <c r="BB83" s="315">
        <f t="shared" ref="BB83:BB90" si="1548">AJ83+AO83</f>
        <v>0</v>
      </c>
      <c r="BC83" s="315">
        <f t="shared" ref="BC83:BC90" si="1549">(AV83+AY83+BA83)*0.1267</f>
        <v>658.84</v>
      </c>
      <c r="BD83" s="315">
        <f t="shared" ref="BD83:BD90" si="1550">SUM(AV83:BC83)-AX83-AZ83</f>
        <v>11545.99</v>
      </c>
      <c r="BE83" s="358">
        <f t="shared" ref="BE83:BE88" si="1551">(($E83/30)*$H83)*$J83</f>
        <v>7150.0000000000009</v>
      </c>
      <c r="BF83" s="1574">
        <f>(($F83/30)*$H83)*$J83+900+2044.82</f>
        <v>7894.82</v>
      </c>
      <c r="BG83" s="315">
        <f t="shared" ref="BG83:BJ90" si="1552">T83</f>
        <v>0</v>
      </c>
      <c r="BH83" s="315">
        <f t="shared" si="1552"/>
        <v>0</v>
      </c>
      <c r="BI83" s="315">
        <f t="shared" si="1552"/>
        <v>0</v>
      </c>
      <c r="BJ83" s="315">
        <f t="shared" si="1552"/>
        <v>0</v>
      </c>
      <c r="BK83" s="315">
        <f t="shared" ref="BK83:BK90" si="1553">AK83+AP83</f>
        <v>0</v>
      </c>
      <c r="BL83" s="315">
        <f t="shared" ref="BL83:BL90" si="1554">(+BE83+BH83+BJ83+BK83)*0.1267</f>
        <v>905.9050000000002</v>
      </c>
      <c r="BM83" s="314">
        <f t="shared" ref="BM83:BM90" si="1555">SUM(BE83:BL83)-BG83-BI83</f>
        <v>15950.725</v>
      </c>
      <c r="BN83" s="358">
        <f t="shared" ref="BN83:BN89" si="1556">(($E83/30)*$H83)*$K83</f>
        <v>0</v>
      </c>
      <c r="BO83" s="358">
        <f>(($F83/30)*$H83)*$K83</f>
        <v>0</v>
      </c>
      <c r="BP83" s="315">
        <f t="shared" ref="BP83:BR90" si="1557">X83</f>
        <v>0</v>
      </c>
      <c r="BQ83" s="315">
        <f t="shared" si="1557"/>
        <v>0</v>
      </c>
      <c r="BR83" s="315">
        <f t="shared" si="1557"/>
        <v>0</v>
      </c>
      <c r="BS83" s="315">
        <f t="shared" ref="BS83:BS90" si="1558">AA83</f>
        <v>0</v>
      </c>
      <c r="BT83" s="315">
        <f t="shared" ref="BT83:BT90" si="1559">AL83+AQ83</f>
        <v>0</v>
      </c>
      <c r="BU83" s="315">
        <f t="shared" ref="BU83:BU90" si="1560">(BN83+BQ83+BS83)*0.1267</f>
        <v>0</v>
      </c>
      <c r="BV83" s="315">
        <f t="shared" ref="BV83:BV90" si="1561">SUM(BN83:BU83)-BP83-BR83</f>
        <v>0</v>
      </c>
      <c r="BW83" s="327">
        <f>(($E83/30)*$H83)*$L83</f>
        <v>650</v>
      </c>
      <c r="BX83" s="328">
        <f>(($F83/30)*$H83)*$L83+185.89</f>
        <v>635.89</v>
      </c>
      <c r="BY83" s="328">
        <f>AB83</f>
        <v>0</v>
      </c>
      <c r="BZ83" s="328">
        <f>AC83</f>
        <v>0</v>
      </c>
      <c r="CA83" s="328">
        <f>AD83</f>
        <v>0</v>
      </c>
      <c r="CB83" s="328">
        <f>AE83</f>
        <v>0</v>
      </c>
      <c r="CC83" s="328">
        <f>AM83+AR83</f>
        <v>0</v>
      </c>
      <c r="CD83" s="328">
        <f>(BW83+BZ83+CB83)*0.1267</f>
        <v>82.355000000000004</v>
      </c>
      <c r="CE83" s="328">
        <f>SUM(BW83:CD83)-BY83-CA83</f>
        <v>1368.2449999999999</v>
      </c>
      <c r="CF83" s="328">
        <f>(($E83/30)*$H83)*M83</f>
        <v>0</v>
      </c>
      <c r="CG83" s="328">
        <f>(($F83/30)*$H83)*$M83</f>
        <v>0</v>
      </c>
      <c r="CH83" s="328">
        <f>+AF83</f>
        <v>0</v>
      </c>
      <c r="CI83" s="328">
        <f>AG83</f>
        <v>0</v>
      </c>
      <c r="CJ83" s="328">
        <f>AH83</f>
        <v>0</v>
      </c>
      <c r="CK83" s="328">
        <f>AI83</f>
        <v>0</v>
      </c>
      <c r="CL83" s="328">
        <f>AN83+AS83</f>
        <v>0</v>
      </c>
      <c r="CM83" s="328">
        <f>(CF83+CI83+CK83)*0.1267</f>
        <v>0</v>
      </c>
      <c r="CN83" s="329">
        <f>SUM(CF83:CM83)-CH83-CJ83</f>
        <v>0</v>
      </c>
      <c r="CO83" s="330"/>
      <c r="CP83" s="313" t="s">
        <v>10</v>
      </c>
      <c r="CQ83" s="315">
        <f t="shared" ref="CQ83:CQ90" si="1562">IF($CP83="PROQUIMA",$AV83+$BE83+$BN83+$BW83+$CF83,0)</f>
        <v>13000</v>
      </c>
      <c r="CR83" s="315">
        <f t="shared" ref="CR83:CR90" si="1563">IF($CP83="PROQUIMA",$AW83+$BF83+$BO83+$BX83+$CG83,0)</f>
        <v>14217.859999999999</v>
      </c>
      <c r="CS83" s="315">
        <f t="shared" ref="CS83:CS90" si="1564">IF($CP83="PROQUIMA",$AX83+$BG83+$BP83+$BY83+$CH83,0)</f>
        <v>0</v>
      </c>
      <c r="CT83" s="315">
        <f t="shared" ref="CT83:CT90" si="1565">IF($CP83="PROQUIMA",$AY83+$BH83+$BQ83+$BZ83+$CI83,0)</f>
        <v>0</v>
      </c>
      <c r="CU83" s="315">
        <f t="shared" ref="CU83:CU90" si="1566">IF($CP83="PROQUIMA",$AZ83+$BI83+$BR83+$CA83+$CJ83,0)</f>
        <v>0</v>
      </c>
      <c r="CV83" s="315">
        <f t="shared" ref="CV83:CV90" si="1567">IF($CP83="PROQUIMA",$BA83+$BJ83+$BS83+$CB83+$CK83,0)</f>
        <v>0</v>
      </c>
      <c r="CW83" s="315">
        <f t="shared" ref="CW83:CW90" si="1568">IF($CP83="PROQUIMA",$BB83+$BK83+$BT83+$CC83+$CL83,0)</f>
        <v>0</v>
      </c>
      <c r="CX83" s="315">
        <f t="shared" ref="CX83:CX90" si="1569">IF($CP83="PROQUIMA",$BC83+$BL83+$BU83+$CD83+CM83,0)</f>
        <v>1647.1000000000004</v>
      </c>
      <c r="CY83" s="315">
        <f t="shared" ref="CY83:CY90" si="1570">SUM(CQ83:CX83)-CS83-CU83</f>
        <v>28864.959999999999</v>
      </c>
      <c r="CZ83" s="315">
        <f t="shared" ref="CZ83:CZ90" si="1571">IF($CP83="UNHESA",$AV83+$BE83+$BN83+$BW83+$CF83,0)</f>
        <v>0</v>
      </c>
      <c r="DA83" s="315">
        <f t="shared" ref="DA83:DA90" si="1572">IF($CP83="UNHESA",$AW83+$BF83+$BO83+$BX83+$CG83,0)</f>
        <v>0</v>
      </c>
      <c r="DB83" s="315">
        <f t="shared" ref="DB83:DB90" si="1573">IF($CP83="UNHESA",$AX83+$BG83+$BP83+$BY83+$CH83,0)</f>
        <v>0</v>
      </c>
      <c r="DC83" s="315">
        <f t="shared" ref="DC83:DC90" si="1574">IF($CP83="UNHESA",$AY83+$BH83+$BQ83+$BZ83+$CI83,0)</f>
        <v>0</v>
      </c>
      <c r="DD83" s="315">
        <f t="shared" ref="DD83:DD90" si="1575">IF($CP83="UNHESA",$AZ83+$BI83+$BR83+$CA83+$CJ83,0)</f>
        <v>0</v>
      </c>
      <c r="DE83" s="315">
        <f t="shared" ref="DE83:DE90" si="1576">IF($CP83="UNHESA",$BA83+$BJ83+$BS83+$CB83+$CK83,0)</f>
        <v>0</v>
      </c>
      <c r="DF83" s="315">
        <f t="shared" ref="DF83:DF90" si="1577">IF($CP83="UNHESA",$BB83+$BK83+$BT83+$CC83+$CL83,0)</f>
        <v>0</v>
      </c>
      <c r="DG83" s="315">
        <f t="shared" ref="DG83:DG90" si="1578">IF($CP83="UNHESA",$BC83+$BL83+$BU83+$CD83+$CM83,0)</f>
        <v>0</v>
      </c>
      <c r="DH83" s="315">
        <f t="shared" ref="DH83:DH90" si="1579">SUM(CZ83:DG83)-DB83-DD83</f>
        <v>0</v>
      </c>
      <c r="DI83" s="324">
        <f t="shared" ref="DI83:DI90" si="1580">IF($CP83="UNHESA LIQUIDOS",$AV83+$BE83+$BN83+$BW83+$CF83,0)</f>
        <v>0</v>
      </c>
      <c r="DJ83" s="324">
        <f t="shared" ref="DJ83:DJ90" si="1581">IF($CP83="UNHESA LIQUIDOS",$AW83+$BF83+$BO83+$BX83+$CG83,0)</f>
        <v>0</v>
      </c>
      <c r="DK83" s="324">
        <f t="shared" ref="DK83:DK90" si="1582">IF($CP83="UNHESA LIQUIDOS",$AX83+$BG83+$BP83+$BY83+$CH83,0)</f>
        <v>0</v>
      </c>
      <c r="DL83" s="324">
        <f t="shared" ref="DL83:DL90" si="1583">IF($CP83="UNHESA LIQUIDOS",$AY83+$BH83+$BQ83+$BZ83+$CI83,0)</f>
        <v>0</v>
      </c>
      <c r="DM83" s="324">
        <f t="shared" ref="DM83:DM90" si="1584">IF($CP83="UNHESA LIQUIDOS",$AZ83+$BI83+$BR83+$CA83+$CJ83,0)</f>
        <v>0</v>
      </c>
      <c r="DN83" s="324">
        <f t="shared" ref="DN83:DN90" si="1585">IF($CP83="UNHESA LIQUIDOS",$BA83+$BJ83+$BS83+$CB83+$CK83,0)</f>
        <v>0</v>
      </c>
      <c r="DO83" s="324">
        <f t="shared" ref="DO83:DO90" si="1586">IF($CP83="UNHESA LIQUIDOS",$BB83+$BK83+$BT83+$CC83+$CL83,0)</f>
        <v>0</v>
      </c>
      <c r="DP83" s="324">
        <f t="shared" ref="DP83:DP90" si="1587">IF($CP83="UNHESA LIQUIDOS",$BC83+$BL83+$BU83+$CD83+$CM83,0)</f>
        <v>0</v>
      </c>
      <c r="DQ83" s="324">
        <f t="shared" ref="DQ83:DQ90" si="1588">SUM(DI83:DP83)-DK83-DM83</f>
        <v>0</v>
      </c>
      <c r="DR83" s="327">
        <f>IF($CP83="ECONACIONAL",$AV83+$BE83+$BN83+$BW83+$CF83,0)</f>
        <v>0</v>
      </c>
      <c r="DS83" s="328">
        <f>IF($CP83="ECONACIONAL",$AW83+$BF83+$BO83+$BX83+$CG83,0)</f>
        <v>0</v>
      </c>
      <c r="DT83" s="328">
        <f>IF($CP83="ECONACIONAL",$AX83+$BG83+$BP83+$BY83+$CH83,0)</f>
        <v>0</v>
      </c>
      <c r="DU83" s="328">
        <f>IF($CP83="ECONACIONAL",$AY83+$BH83+$BQ83+$BZ83+$CI83,0)</f>
        <v>0</v>
      </c>
      <c r="DV83" s="328">
        <f>IF($CP83="ECONACIONAL",$AZ83+$BI83+$BR83+$CA83+$CJ83,0)</f>
        <v>0</v>
      </c>
      <c r="DW83" s="328">
        <f>IF($CP83="ECONACIONAL",$BA83+$BJ83+$BS83+$CB83+$CK83,0)</f>
        <v>0</v>
      </c>
      <c r="DX83" s="328">
        <f>IF($CP83="ECONACIONAL",$BB83+$BK83+$BT83+$CC83+$CL83,0)</f>
        <v>0</v>
      </c>
      <c r="DY83" s="328">
        <f>IF($CP83="ECONACIONAL",$BC83+$BL83+$BU83+$CD83+$CM83,0)</f>
        <v>0</v>
      </c>
      <c r="DZ83" s="328">
        <f>SUM(DR83:DY83)-DT83-DV83</f>
        <v>0</v>
      </c>
      <c r="EA83" s="328">
        <f>IF($CP83="CLEARTEC",$AV83+$BE83+$BN83+$BW83+$CF83,0)</f>
        <v>0</v>
      </c>
      <c r="EB83" s="328">
        <f>IF($CP83="CLEARTEC",$AW83+$BF83+$BO83+$BX83+$CG83,0)</f>
        <v>0</v>
      </c>
      <c r="EC83" s="328">
        <f>IF($CP83="CLEARTEC",$AX83+$BG83+$BP83+$BY83+$CH83,0)</f>
        <v>0</v>
      </c>
      <c r="ED83" s="328">
        <f>IF($CP83="CLEARTEC",$AY83+$BH83+$BQ83+$BZ83+$CI83,0)</f>
        <v>0</v>
      </c>
      <c r="EE83" s="328">
        <f>IF($CP83="CLEARTEC",$AZ83+$BI83+$BR83+$CA83+$CJ83,0)</f>
        <v>0</v>
      </c>
      <c r="EF83" s="328">
        <f>IF($CP83="CLEARTEC",$BA83+$BJ83+$BS83+$CB83+$CK83,0)</f>
        <v>0</v>
      </c>
      <c r="EG83" s="328">
        <f>IF($CP83="CLEARTEC",$BB83+$BK83+$BT83+$CC83+$CL83,0)</f>
        <v>0</v>
      </c>
      <c r="EH83" s="328">
        <f>IF($CP83="CLEARTEC",$BC83+$BL83+$BU83+$CD83+$CM83,0)</f>
        <v>0</v>
      </c>
      <c r="EI83" s="329">
        <f>SUM(EA83:EH83)-EC83-EE83</f>
        <v>0</v>
      </c>
      <c r="EJ83" s="330"/>
      <c r="EK83" s="2202">
        <v>943.61</v>
      </c>
      <c r="EL83" s="313"/>
      <c r="EM83" s="313"/>
      <c r="EN83" s="313"/>
      <c r="EO83" s="313"/>
      <c r="EP83" s="313">
        <v>150</v>
      </c>
      <c r="EQ83" s="313"/>
      <c r="ER83" s="313"/>
      <c r="ES83" s="313"/>
      <c r="ET83" s="313">
        <f t="shared" ref="ET83" si="1589">+EO83+EP83+EQ83</f>
        <v>150</v>
      </c>
      <c r="EV83" s="321">
        <f t="shared" ref="EV83:FE85" si="1590">IF($H83&lt;=15,EK83/2,EK83)</f>
        <v>943.61</v>
      </c>
      <c r="EW83" s="321">
        <f t="shared" si="1590"/>
        <v>0</v>
      </c>
      <c r="EX83" s="321">
        <f t="shared" si="1590"/>
        <v>0</v>
      </c>
      <c r="EY83" s="321">
        <f t="shared" si="1590"/>
        <v>0</v>
      </c>
      <c r="EZ83" s="321">
        <f t="shared" si="1590"/>
        <v>0</v>
      </c>
      <c r="FA83" s="321">
        <f t="shared" si="1590"/>
        <v>150</v>
      </c>
      <c r="FB83" s="321">
        <f t="shared" ref="FB83:FB89" si="1591">IF($H83&lt;=15,EQ83/2,EQ83)</f>
        <v>0</v>
      </c>
      <c r="FC83" s="321">
        <f t="shared" si="1590"/>
        <v>0</v>
      </c>
      <c r="FD83" s="321">
        <f t="shared" si="1590"/>
        <v>0</v>
      </c>
      <c r="FE83" s="321">
        <f t="shared" si="1590"/>
        <v>150</v>
      </c>
      <c r="FF83" s="332">
        <v>0.6</v>
      </c>
      <c r="FG83" s="332">
        <v>0.4</v>
      </c>
      <c r="FH83" s="332">
        <v>0</v>
      </c>
      <c r="FI83" s="332">
        <v>0</v>
      </c>
      <c r="FJ83" s="332">
        <v>0</v>
      </c>
      <c r="FK83" s="333">
        <v>1</v>
      </c>
      <c r="FL83" s="331">
        <f t="shared" si="272"/>
        <v>0</v>
      </c>
    </row>
    <row r="84" spans="1:172" s="1977" customFormat="1" ht="15" customHeight="1" outlineLevel="1">
      <c r="A84" s="1625">
        <f>A79+1</f>
        <v>1</v>
      </c>
      <c r="B84" s="1967" t="s">
        <v>106</v>
      </c>
      <c r="C84" s="1968" t="s">
        <v>107</v>
      </c>
      <c r="D84" s="1968" t="s">
        <v>11</v>
      </c>
      <c r="E84" s="1526">
        <v>6000</v>
      </c>
      <c r="F84" s="1634">
        <v>2000</v>
      </c>
      <c r="G84" s="1526">
        <f t="shared" si="1536"/>
        <v>8000</v>
      </c>
      <c r="H84" s="1971">
        <v>30</v>
      </c>
      <c r="I84" s="1987">
        <v>0.4</v>
      </c>
      <c r="J84" s="1987">
        <v>0.6</v>
      </c>
      <c r="K84" s="1987">
        <v>0</v>
      </c>
      <c r="L84" s="1972">
        <v>0</v>
      </c>
      <c r="M84" s="1972">
        <v>0</v>
      </c>
      <c r="N84" s="1972">
        <f t="shared" ref="N84" si="1592">SUM(I84:M84)</f>
        <v>1</v>
      </c>
      <c r="O84" s="1480"/>
      <c r="P84" s="357"/>
      <c r="Q84" s="1979">
        <f t="shared" si="1538"/>
        <v>0</v>
      </c>
      <c r="R84" s="404"/>
      <c r="S84" s="1979">
        <f t="shared" si="1539"/>
        <v>0</v>
      </c>
      <c r="T84" s="357"/>
      <c r="U84" s="1979">
        <f t="shared" si="1540"/>
        <v>0</v>
      </c>
      <c r="V84" s="404"/>
      <c r="W84" s="1979">
        <f t="shared" si="1541"/>
        <v>0</v>
      </c>
      <c r="X84" s="404"/>
      <c r="Y84" s="1979">
        <f t="shared" si="1542"/>
        <v>0</v>
      </c>
      <c r="Z84" s="1528"/>
      <c r="AA84" s="1979">
        <f t="shared" si="1543"/>
        <v>0</v>
      </c>
      <c r="AB84" s="1528"/>
      <c r="AC84" s="1979">
        <f t="shared" si="1544"/>
        <v>0</v>
      </c>
      <c r="AD84" s="1528"/>
      <c r="AE84" s="1979">
        <f t="shared" si="1545"/>
        <v>0</v>
      </c>
      <c r="AF84" s="1979"/>
      <c r="AG84" s="1979">
        <f t="shared" ref="AG84" si="1593">(($E84/30/8)*1.5)*AF84</f>
        <v>0</v>
      </c>
      <c r="AH84" s="1528"/>
      <c r="AI84" s="1979">
        <f t="shared" ref="AI84" si="1594">(($E84/30/8)*2)*AH84</f>
        <v>0</v>
      </c>
      <c r="AJ84" s="1526"/>
      <c r="AK84" s="1526"/>
      <c r="AL84" s="1526"/>
      <c r="AM84" s="1526"/>
      <c r="AN84" s="1526"/>
      <c r="AO84" s="1526"/>
      <c r="AP84" s="1526"/>
      <c r="AQ84" s="1526"/>
      <c r="AR84" s="1526"/>
      <c r="AS84" s="1526"/>
      <c r="AT84" s="1526"/>
      <c r="AU84" s="1635"/>
      <c r="AV84" s="1979">
        <f t="shared" si="1546"/>
        <v>2400</v>
      </c>
      <c r="AW84" s="1618">
        <f>((F84/30)*H84)*$I84+400+800+1083.63</f>
        <v>3083.63</v>
      </c>
      <c r="AX84" s="1979">
        <f t="shared" si="1547"/>
        <v>0</v>
      </c>
      <c r="AY84" s="1979">
        <f t="shared" si="1547"/>
        <v>0</v>
      </c>
      <c r="AZ84" s="1979">
        <f t="shared" si="1547"/>
        <v>0</v>
      </c>
      <c r="BA84" s="1979">
        <f t="shared" si="1547"/>
        <v>0</v>
      </c>
      <c r="BB84" s="1979">
        <f t="shared" si="1548"/>
        <v>0</v>
      </c>
      <c r="BC84" s="1979">
        <f t="shared" si="1549"/>
        <v>304.08000000000004</v>
      </c>
      <c r="BD84" s="1979">
        <f t="shared" si="1550"/>
        <v>5787.71</v>
      </c>
      <c r="BE84" s="1979">
        <f>(($E84/30)*$H84)*$J84</f>
        <v>3600</v>
      </c>
      <c r="BF84" s="1574">
        <f>(($F84/30)*$H84)*$J84+600+1200+1625.46</f>
        <v>4625.46</v>
      </c>
      <c r="BG84" s="1979">
        <f t="shared" si="1552"/>
        <v>0</v>
      </c>
      <c r="BH84" s="1979">
        <f t="shared" si="1552"/>
        <v>0</v>
      </c>
      <c r="BI84" s="1979">
        <f t="shared" si="1552"/>
        <v>0</v>
      </c>
      <c r="BJ84" s="1979">
        <f t="shared" si="1552"/>
        <v>0</v>
      </c>
      <c r="BK84" s="1979">
        <f>AK84+AP84</f>
        <v>0</v>
      </c>
      <c r="BL84" s="1979">
        <f t="shared" si="1554"/>
        <v>456.12</v>
      </c>
      <c r="BM84" s="1526">
        <f t="shared" si="1555"/>
        <v>8681.58</v>
      </c>
      <c r="BN84" s="1979">
        <f t="shared" si="1556"/>
        <v>0</v>
      </c>
      <c r="BO84" s="1979">
        <f t="shared" ref="BO84" si="1595">(($F84/30)*$H84)*$K84</f>
        <v>0</v>
      </c>
      <c r="BP84" s="1979">
        <f>X84</f>
        <v>0</v>
      </c>
      <c r="BQ84" s="1979">
        <f>Y84</f>
        <v>0</v>
      </c>
      <c r="BR84" s="1979">
        <f>Z84</f>
        <v>0</v>
      </c>
      <c r="BS84" s="1979">
        <f>AA84</f>
        <v>0</v>
      </c>
      <c r="BT84" s="1979">
        <f t="shared" si="1559"/>
        <v>0</v>
      </c>
      <c r="BU84" s="1979">
        <f t="shared" si="1560"/>
        <v>0</v>
      </c>
      <c r="BV84" s="1979">
        <f t="shared" si="1561"/>
        <v>0</v>
      </c>
      <c r="BW84" s="1636">
        <f t="shared" ref="BW84" si="1596">(($E84/30)*$H84)*$L84</f>
        <v>0</v>
      </c>
      <c r="BX84" s="1637">
        <f t="shared" ref="BX84:BX90" si="1597">(($F84/30)*$H84)*$L84</f>
        <v>0</v>
      </c>
      <c r="BY84" s="1637">
        <f t="shared" ref="BY84" si="1598">AB84</f>
        <v>0</v>
      </c>
      <c r="BZ84" s="1637">
        <f t="shared" ref="BZ84" si="1599">AC84</f>
        <v>0</v>
      </c>
      <c r="CA84" s="1637">
        <f t="shared" ref="CA84" si="1600">AD84</f>
        <v>0</v>
      </c>
      <c r="CB84" s="1637">
        <f t="shared" ref="CB84" si="1601">AE84</f>
        <v>0</v>
      </c>
      <c r="CC84" s="1637">
        <f t="shared" ref="CC84" si="1602">AM84+AR84</f>
        <v>0</v>
      </c>
      <c r="CD84" s="1637">
        <f t="shared" ref="CD84" si="1603">(BW84+BZ84+CB84)*0.1267</f>
        <v>0</v>
      </c>
      <c r="CE84" s="1637">
        <f t="shared" ref="CE84" si="1604">SUM(BW84:CD84)-BY84-CA84</f>
        <v>0</v>
      </c>
      <c r="CF84" s="1637">
        <f t="shared" ref="CF84" si="1605">(($E84/30)*$H84)*M84</f>
        <v>0</v>
      </c>
      <c r="CG84" s="1637">
        <f t="shared" ref="CG84" si="1606">(($F84/30)*$H84)*$M84</f>
        <v>0</v>
      </c>
      <c r="CH84" s="1637">
        <f>+AF84</f>
        <v>0</v>
      </c>
      <c r="CI84" s="1637">
        <f t="shared" ref="CI84" si="1607">AG84</f>
        <v>0</v>
      </c>
      <c r="CJ84" s="1637">
        <f t="shared" ref="CJ84" si="1608">AH84</f>
        <v>0</v>
      </c>
      <c r="CK84" s="1637">
        <f t="shared" ref="CK84" si="1609">AI84</f>
        <v>0</v>
      </c>
      <c r="CL84" s="1637">
        <f t="shared" ref="CL84" si="1610">AN84+AS84</f>
        <v>0</v>
      </c>
      <c r="CM84" s="1637">
        <f t="shared" ref="CM84" si="1611">(CF84+CI84+CK84)*0.1267</f>
        <v>0</v>
      </c>
      <c r="CN84" s="1638">
        <f t="shared" ref="CN84" si="1612">SUM(CF84:CM84)-CH84-CJ84</f>
        <v>0</v>
      </c>
      <c r="CO84" s="1418"/>
      <c r="CP84" s="1968" t="s">
        <v>11</v>
      </c>
      <c r="CQ84" s="1979">
        <f>IF($CP84="PROQUIMA",$AV84+$BE84+$BN84+$BW84+$CF84,0)</f>
        <v>0</v>
      </c>
      <c r="CR84" s="1979">
        <f>IF($CP84="PROQUIMA",$AW84+$BF84+$BO84+$BX84+$CG84,0)</f>
        <v>0</v>
      </c>
      <c r="CS84" s="1979">
        <f>IF($CP84="PROQUIMA",$AX84+$BG84+$BP84+$BY84+$CH84,0)</f>
        <v>0</v>
      </c>
      <c r="CT84" s="1979">
        <f>IF($CP84="PROQUIMA",$AY84+$BH84+$BQ84+$BZ84+$CI84,0)</f>
        <v>0</v>
      </c>
      <c r="CU84" s="1979">
        <f>IF($CP84="PROQUIMA",$AZ84+$BI84+$BR84+$CA84+$CJ84,0)</f>
        <v>0</v>
      </c>
      <c r="CV84" s="1979">
        <f>IF($CP84="PROQUIMA",$BA84+$BJ84+$BS84+$CB84+$CK84,0)</f>
        <v>0</v>
      </c>
      <c r="CW84" s="1979">
        <f>IF($CP84="PROQUIMA",$BB84+$BK84+$BT84+$CC84+$CL84,0)</f>
        <v>0</v>
      </c>
      <c r="CX84" s="1979">
        <f t="shared" si="1569"/>
        <v>0</v>
      </c>
      <c r="CY84" s="1971">
        <f t="shared" si="1570"/>
        <v>0</v>
      </c>
      <c r="CZ84" s="1979">
        <f>IF($CP84="UNHESA",$AV84+$BE84+$BN84+$BW84+$CF84,0)</f>
        <v>6000</v>
      </c>
      <c r="DA84" s="1979">
        <f>IF($CP84="UNHESA",$AW84+$BF84+$BO84+$BX84+$CG84,0)</f>
        <v>7709.09</v>
      </c>
      <c r="DB84" s="1979">
        <f>IF($CP84="UNHESA",$AX84+$BG84+$BP84+$BY84+$CH84,0)</f>
        <v>0</v>
      </c>
      <c r="DC84" s="1979">
        <f>IF($CP84="UNHESA",$AY84+$BH84+$BQ84+$BZ84+$CI84,0)</f>
        <v>0</v>
      </c>
      <c r="DD84" s="1979">
        <f>IF($CP84="UNHESA",$AZ84+$BI84+$BR84+$CA84+$CJ84,0)</f>
        <v>0</v>
      </c>
      <c r="DE84" s="1979">
        <f>IF($CP84="UNHESA",$BA84+$BJ84+$BS84+$CB84+$CK84,0)</f>
        <v>0</v>
      </c>
      <c r="DF84" s="1979">
        <f>IF($CP84="UNHESA",$BB84+$BK84+$BT84+$CC84+$CL84,0)</f>
        <v>0</v>
      </c>
      <c r="DG84" s="1979">
        <f>IF($CP84="UNHESA",$BC84+$BL84+$BU84+$CD84+$CM84,0)</f>
        <v>760.2</v>
      </c>
      <c r="DH84" s="1979">
        <f t="shared" si="1579"/>
        <v>14469.29</v>
      </c>
      <c r="DI84" s="1979">
        <f t="shared" si="1580"/>
        <v>0</v>
      </c>
      <c r="DJ84" s="1979">
        <f t="shared" si="1581"/>
        <v>0</v>
      </c>
      <c r="DK84" s="1979">
        <f t="shared" si="1582"/>
        <v>0</v>
      </c>
      <c r="DL84" s="1979">
        <f t="shared" si="1583"/>
        <v>0</v>
      </c>
      <c r="DM84" s="1979">
        <f t="shared" si="1584"/>
        <v>0</v>
      </c>
      <c r="DN84" s="1979">
        <f t="shared" si="1585"/>
        <v>0</v>
      </c>
      <c r="DO84" s="1979">
        <f t="shared" si="1586"/>
        <v>0</v>
      </c>
      <c r="DP84" s="1979">
        <f t="shared" si="1587"/>
        <v>0</v>
      </c>
      <c r="DQ84" s="1979">
        <f t="shared" si="1588"/>
        <v>0</v>
      </c>
      <c r="DR84" s="1636">
        <f>IF($CP84="ECONACIONAL",$AV84+$BE84+$BN84+$BW84+$CF84,0)</f>
        <v>0</v>
      </c>
      <c r="DS84" s="1637">
        <f>IF($CP84="ECONACIONAL",$AW84+$BF84+$BO84+$BX84+$CG84,0)</f>
        <v>0</v>
      </c>
      <c r="DT84" s="1637">
        <f>IF($CP84="ECONACIONAL",$AX84+$BG84+$BP84+$BY84+$CH84,0)</f>
        <v>0</v>
      </c>
      <c r="DU84" s="1637">
        <f>IF($CP84="ECONACIONAL",$AY84+$BH84+$BQ84+$BZ84+$CI84,0)</f>
        <v>0</v>
      </c>
      <c r="DV84" s="1637">
        <f>IF($CP84="ECONACIONAL",$AZ84+$BI84+$BR84+$CA84+$CJ84,0)</f>
        <v>0</v>
      </c>
      <c r="DW84" s="1637">
        <f>IF($CP84="ECONACIONAL",$BA84+$BJ84+$BS84+$CB84+$CK84,0)</f>
        <v>0</v>
      </c>
      <c r="DX84" s="1637">
        <f>IF($CP84="ECONACIONAL",$BB84+$BK84+$BT84+$CC84+$CL84,0)</f>
        <v>0</v>
      </c>
      <c r="DY84" s="1637">
        <f>IF($CP84="ECONACIONAL",$BC84+$BL84+$BU84+$CD84+$CM84,0)</f>
        <v>0</v>
      </c>
      <c r="DZ84" s="1637">
        <f t="shared" ref="DZ84" si="1613">SUM(DR84:DY84)-DT84-DV84</f>
        <v>0</v>
      </c>
      <c r="EA84" s="1637">
        <f>IF($CP84="CLEARTEC",$AV84+$BE84+$BN84+$BW84+$CF84,0)</f>
        <v>0</v>
      </c>
      <c r="EB84" s="1637">
        <f>IF($CP84="CLEARTEC",$AW84+$BF84+$BO84+$BX84+$CG84,0)</f>
        <v>0</v>
      </c>
      <c r="EC84" s="1637">
        <f>IF($CP84="CLEARTEC",$AX84+$BG84+$BP84+$BY84+$CH84,0)</f>
        <v>0</v>
      </c>
      <c r="ED84" s="1637">
        <f>IF($CP84="CLEARTEC",$AY84+$BH84+$BQ84+$BZ84+$CI84,0)</f>
        <v>0</v>
      </c>
      <c r="EE84" s="1637">
        <f>IF($CP84="CLEARTEC",$AZ84+$BI84+$BR84+$CA84+$CJ84,0)</f>
        <v>0</v>
      </c>
      <c r="EF84" s="1637">
        <f>IF($CP84="CLEARTEC",$BA84+$BJ84+$BS84+$CB84+$CK84,0)</f>
        <v>0</v>
      </c>
      <c r="EG84" s="1637">
        <f>IF($CP84="CLEARTEC",$BB84+$BK84+$BT84+$CC84+$CL84,0)</f>
        <v>0</v>
      </c>
      <c r="EH84" s="1637">
        <f>IF($CP84="CLEARTEC",$BC84+$BL84+$BU84+$CD84+$CM84,0)</f>
        <v>0</v>
      </c>
      <c r="EI84" s="1638">
        <f t="shared" ref="EI84" si="1614">SUM(EA84:EH84)-EC84-EE84</f>
        <v>0</v>
      </c>
      <c r="EJ84" s="1418"/>
      <c r="EK84" s="1968">
        <v>335.51</v>
      </c>
      <c r="EL84" s="1969"/>
      <c r="EM84" s="1969"/>
      <c r="EN84" s="1969">
        <f>106.5+177.25</f>
        <v>283.75</v>
      </c>
      <c r="EO84" s="1969"/>
      <c r="EP84" s="1989">
        <f>120+75</f>
        <v>195</v>
      </c>
      <c r="EQ84" s="1968">
        <f>240+500+75</f>
        <v>815</v>
      </c>
      <c r="ER84" s="1969"/>
      <c r="ES84" s="1969"/>
      <c r="ET84" s="1969">
        <f t="shared" ref="ET84:ET90" si="1615">+EO84+EP84+EQ84</f>
        <v>1010</v>
      </c>
      <c r="EU84" s="1501"/>
      <c r="EV84" s="1974">
        <f t="shared" si="1590"/>
        <v>335.51</v>
      </c>
      <c r="EW84" s="1974">
        <f t="shared" si="1590"/>
        <v>0</v>
      </c>
      <c r="EX84" s="1974">
        <f t="shared" si="1590"/>
        <v>0</v>
      </c>
      <c r="EY84" s="1974">
        <f t="shared" si="1590"/>
        <v>283.75</v>
      </c>
      <c r="EZ84" s="1974">
        <f t="shared" si="1590"/>
        <v>0</v>
      </c>
      <c r="FA84" s="1974">
        <f t="shared" si="1590"/>
        <v>195</v>
      </c>
      <c r="FB84" s="1974">
        <f t="shared" si="1591"/>
        <v>815</v>
      </c>
      <c r="FC84" s="1974">
        <f t="shared" si="1590"/>
        <v>0</v>
      </c>
      <c r="FD84" s="1974">
        <f t="shared" si="1590"/>
        <v>0</v>
      </c>
      <c r="FE84" s="1974">
        <f t="shared" si="1590"/>
        <v>1010</v>
      </c>
      <c r="FF84" s="1978">
        <v>0.6</v>
      </c>
      <c r="FG84" s="1978">
        <v>0.2</v>
      </c>
      <c r="FH84" s="1978">
        <v>0.2</v>
      </c>
      <c r="FI84" s="1978">
        <v>0</v>
      </c>
      <c r="FJ84" s="1978">
        <v>0</v>
      </c>
      <c r="FK84" s="1978">
        <v>1</v>
      </c>
      <c r="FL84" s="1977">
        <f t="shared" ref="FL84" si="1616">+EP84-FA84</f>
        <v>0</v>
      </c>
    </row>
    <row r="85" spans="1:172" s="331" customFormat="1" ht="15" customHeight="1" outlineLevel="1">
      <c r="A85" s="415" t="e">
        <f>+A83+1</f>
        <v>#REF!</v>
      </c>
      <c r="B85" s="311" t="s">
        <v>524</v>
      </c>
      <c r="C85" s="312" t="s">
        <v>665</v>
      </c>
      <c r="D85" s="313" t="s">
        <v>10</v>
      </c>
      <c r="E85" s="315">
        <v>3450</v>
      </c>
      <c r="F85" s="314">
        <v>450</v>
      </c>
      <c r="G85" s="314">
        <f t="shared" si="1536"/>
        <v>3900</v>
      </c>
      <c r="H85" s="1971">
        <v>30</v>
      </c>
      <c r="I85" s="356">
        <v>1</v>
      </c>
      <c r="J85" s="318">
        <v>0</v>
      </c>
      <c r="K85" s="318">
        <v>0</v>
      </c>
      <c r="L85" s="318"/>
      <c r="M85" s="318"/>
      <c r="N85" s="318">
        <f t="shared" si="1537"/>
        <v>1</v>
      </c>
      <c r="O85" s="319"/>
      <c r="P85" s="320"/>
      <c r="Q85" s="315">
        <f t="shared" si="1538"/>
        <v>0</v>
      </c>
      <c r="R85" s="321">
        <v>0</v>
      </c>
      <c r="S85" s="315">
        <f t="shared" si="1539"/>
        <v>0</v>
      </c>
      <c r="T85" s="321"/>
      <c r="U85" s="358">
        <f t="shared" si="1540"/>
        <v>0</v>
      </c>
      <c r="V85" s="321"/>
      <c r="W85" s="315">
        <f t="shared" si="1541"/>
        <v>0</v>
      </c>
      <c r="X85" s="321"/>
      <c r="Y85" s="315">
        <f t="shared" si="1542"/>
        <v>0</v>
      </c>
      <c r="Z85" s="322"/>
      <c r="AA85" s="315">
        <f t="shared" si="1543"/>
        <v>0</v>
      </c>
      <c r="AB85" s="322"/>
      <c r="AC85" s="324">
        <f t="shared" si="1544"/>
        <v>0</v>
      </c>
      <c r="AD85" s="322"/>
      <c r="AE85" s="324">
        <f t="shared" si="1545"/>
        <v>0</v>
      </c>
      <c r="AF85" s="315"/>
      <c r="AG85" s="315"/>
      <c r="AH85" s="322"/>
      <c r="AI85" s="315"/>
      <c r="AJ85" s="314"/>
      <c r="AK85" s="314"/>
      <c r="AL85" s="314"/>
      <c r="AM85" s="314"/>
      <c r="AN85" s="314"/>
      <c r="AO85" s="314"/>
      <c r="AP85" s="314"/>
      <c r="AQ85" s="314"/>
      <c r="AR85" s="314"/>
      <c r="AS85" s="314"/>
      <c r="AT85" s="314"/>
      <c r="AU85" s="359"/>
      <c r="AV85" s="315">
        <f t="shared" si="1546"/>
        <v>3450</v>
      </c>
      <c r="AW85" s="1575">
        <f>((F85/30)*H85)*$I85+375+856.69+3025</f>
        <v>4706.6900000000005</v>
      </c>
      <c r="AX85" s="315">
        <f t="shared" si="1547"/>
        <v>0</v>
      </c>
      <c r="AY85" s="315">
        <f t="shared" si="1547"/>
        <v>0</v>
      </c>
      <c r="AZ85" s="315">
        <f t="shared" si="1547"/>
        <v>0</v>
      </c>
      <c r="BA85" s="315">
        <f t="shared" si="1547"/>
        <v>0</v>
      </c>
      <c r="BB85" s="315">
        <f t="shared" si="1548"/>
        <v>0</v>
      </c>
      <c r="BC85" s="315">
        <f t="shared" si="1549"/>
        <v>437.11500000000001</v>
      </c>
      <c r="BD85" s="315">
        <f t="shared" si="1550"/>
        <v>8593.8050000000003</v>
      </c>
      <c r="BE85" s="315">
        <f t="shared" si="1551"/>
        <v>0</v>
      </c>
      <c r="BF85" s="315">
        <f>(($F85/30)*$H85)*$J85</f>
        <v>0</v>
      </c>
      <c r="BG85" s="315">
        <f t="shared" si="1552"/>
        <v>0</v>
      </c>
      <c r="BH85" s="315">
        <f t="shared" si="1552"/>
        <v>0</v>
      </c>
      <c r="BI85" s="315">
        <f t="shared" si="1552"/>
        <v>0</v>
      </c>
      <c r="BJ85" s="315">
        <f t="shared" si="1552"/>
        <v>0</v>
      </c>
      <c r="BK85" s="315">
        <f t="shared" si="1553"/>
        <v>0</v>
      </c>
      <c r="BL85" s="315">
        <f t="shared" si="1554"/>
        <v>0</v>
      </c>
      <c r="BM85" s="314">
        <f t="shared" si="1555"/>
        <v>0</v>
      </c>
      <c r="BN85" s="315">
        <f t="shared" si="1556"/>
        <v>0</v>
      </c>
      <c r="BO85" s="315">
        <f>(($F85/30)*$H85)*$K85</f>
        <v>0</v>
      </c>
      <c r="BP85" s="315">
        <f t="shared" si="1557"/>
        <v>0</v>
      </c>
      <c r="BQ85" s="315">
        <f t="shared" si="1557"/>
        <v>0</v>
      </c>
      <c r="BR85" s="315">
        <f t="shared" si="1557"/>
        <v>0</v>
      </c>
      <c r="BS85" s="315">
        <f t="shared" si="1558"/>
        <v>0</v>
      </c>
      <c r="BT85" s="315">
        <f t="shared" si="1559"/>
        <v>0</v>
      </c>
      <c r="BU85" s="315">
        <f t="shared" si="1560"/>
        <v>0</v>
      </c>
      <c r="BV85" s="315">
        <f t="shared" si="1561"/>
        <v>0</v>
      </c>
      <c r="BW85" s="327">
        <f t="shared" ref="BW85:BW87" si="1617">(($E85/30)*$H85)*$L85</f>
        <v>0</v>
      </c>
      <c r="BX85" s="328">
        <f t="shared" si="1597"/>
        <v>0</v>
      </c>
      <c r="BY85" s="328">
        <f t="shared" ref="BY85:BY87" si="1618">AB85</f>
        <v>0</v>
      </c>
      <c r="BZ85" s="328">
        <f t="shared" ref="BZ85:BZ87" si="1619">AC85</f>
        <v>0</v>
      </c>
      <c r="CA85" s="328">
        <f t="shared" ref="CA85:CA87" si="1620">AD85</f>
        <v>0</v>
      </c>
      <c r="CB85" s="328">
        <f t="shared" ref="CB85:CB87" si="1621">AE85</f>
        <v>0</v>
      </c>
      <c r="CC85" s="328">
        <f t="shared" ref="CC85:CC87" si="1622">AM85+AR85</f>
        <v>0</v>
      </c>
      <c r="CD85" s="328">
        <f t="shared" ref="CD85:CD87" si="1623">(BW85+BZ85+CB85)*0.1267</f>
        <v>0</v>
      </c>
      <c r="CE85" s="328">
        <f t="shared" ref="CE85:CE87" si="1624">SUM(BW85:CD85)-BY85-CA85</f>
        <v>0</v>
      </c>
      <c r="CF85" s="361"/>
      <c r="CG85" s="361"/>
      <c r="CH85" s="361"/>
      <c r="CI85" s="361"/>
      <c r="CJ85" s="361"/>
      <c r="CK85" s="361"/>
      <c r="CL85" s="361"/>
      <c r="CM85" s="361"/>
      <c r="CN85" s="362"/>
      <c r="CO85" s="330"/>
      <c r="CP85" s="313" t="s">
        <v>10</v>
      </c>
      <c r="CQ85" s="315">
        <f t="shared" si="1562"/>
        <v>3450</v>
      </c>
      <c r="CR85" s="315">
        <f t="shared" si="1563"/>
        <v>4706.6900000000005</v>
      </c>
      <c r="CS85" s="315">
        <f t="shared" si="1564"/>
        <v>0</v>
      </c>
      <c r="CT85" s="315">
        <f t="shared" si="1565"/>
        <v>0</v>
      </c>
      <c r="CU85" s="315">
        <f t="shared" si="1566"/>
        <v>0</v>
      </c>
      <c r="CV85" s="315">
        <f t="shared" si="1567"/>
        <v>0</v>
      </c>
      <c r="CW85" s="315">
        <f t="shared" si="1568"/>
        <v>0</v>
      </c>
      <c r="CX85" s="315">
        <f t="shared" si="1569"/>
        <v>437.11500000000001</v>
      </c>
      <c r="CY85" s="315">
        <f t="shared" si="1570"/>
        <v>8593.8050000000003</v>
      </c>
      <c r="CZ85" s="315">
        <f t="shared" si="1571"/>
        <v>0</v>
      </c>
      <c r="DA85" s="315">
        <f t="shared" si="1572"/>
        <v>0</v>
      </c>
      <c r="DB85" s="315">
        <f t="shared" si="1573"/>
        <v>0</v>
      </c>
      <c r="DC85" s="315">
        <f t="shared" si="1574"/>
        <v>0</v>
      </c>
      <c r="DD85" s="315">
        <f t="shared" si="1575"/>
        <v>0</v>
      </c>
      <c r="DE85" s="315">
        <f t="shared" si="1576"/>
        <v>0</v>
      </c>
      <c r="DF85" s="315">
        <f t="shared" si="1577"/>
        <v>0</v>
      </c>
      <c r="DG85" s="315">
        <f t="shared" si="1578"/>
        <v>0</v>
      </c>
      <c r="DH85" s="315">
        <f t="shared" si="1579"/>
        <v>0</v>
      </c>
      <c r="DI85" s="324">
        <f t="shared" si="1580"/>
        <v>0</v>
      </c>
      <c r="DJ85" s="324">
        <f t="shared" si="1581"/>
        <v>0</v>
      </c>
      <c r="DK85" s="324">
        <f t="shared" si="1582"/>
        <v>0</v>
      </c>
      <c r="DL85" s="324">
        <f t="shared" si="1583"/>
        <v>0</v>
      </c>
      <c r="DM85" s="324">
        <f t="shared" si="1584"/>
        <v>0</v>
      </c>
      <c r="DN85" s="324">
        <f t="shared" si="1585"/>
        <v>0</v>
      </c>
      <c r="DO85" s="324">
        <f t="shared" si="1586"/>
        <v>0</v>
      </c>
      <c r="DP85" s="324">
        <f t="shared" si="1587"/>
        <v>0</v>
      </c>
      <c r="DQ85" s="324">
        <f t="shared" si="1588"/>
        <v>0</v>
      </c>
      <c r="DR85" s="360"/>
      <c r="DS85" s="361"/>
      <c r="DT85" s="361"/>
      <c r="DU85" s="361"/>
      <c r="DV85" s="361"/>
      <c r="DW85" s="361"/>
      <c r="DX85" s="361"/>
      <c r="DY85" s="361"/>
      <c r="DZ85" s="361"/>
      <c r="EA85" s="361"/>
      <c r="EB85" s="361"/>
      <c r="EC85" s="361"/>
      <c r="ED85" s="361"/>
      <c r="EE85" s="361"/>
      <c r="EF85" s="361"/>
      <c r="EG85" s="361"/>
      <c r="EH85" s="361"/>
      <c r="EI85" s="362"/>
      <c r="EJ85" s="330"/>
      <c r="EK85" s="2200">
        <v>211.67</v>
      </c>
      <c r="EL85" s="313">
        <v>2877.72</v>
      </c>
      <c r="EM85" s="313"/>
      <c r="EN85" s="1969"/>
      <c r="EO85" s="313"/>
      <c r="EP85" s="313">
        <v>50</v>
      </c>
      <c r="EQ85" s="1969"/>
      <c r="ER85" s="313"/>
      <c r="ES85" s="313"/>
      <c r="ET85" s="363">
        <f t="shared" si="1615"/>
        <v>50</v>
      </c>
      <c r="EU85" s="1501"/>
      <c r="EV85" s="321">
        <f t="shared" si="1590"/>
        <v>211.67</v>
      </c>
      <c r="EW85" s="321">
        <f t="shared" si="1590"/>
        <v>2877.72</v>
      </c>
      <c r="EX85" s="321">
        <f t="shared" si="1590"/>
        <v>0</v>
      </c>
      <c r="EY85" s="321">
        <f t="shared" si="1590"/>
        <v>0</v>
      </c>
      <c r="EZ85" s="321">
        <f t="shared" si="1590"/>
        <v>0</v>
      </c>
      <c r="FA85" s="321">
        <f t="shared" si="1590"/>
        <v>50</v>
      </c>
      <c r="FB85" s="321">
        <f t="shared" si="1591"/>
        <v>0</v>
      </c>
      <c r="FC85" s="321">
        <f t="shared" si="1590"/>
        <v>0</v>
      </c>
      <c r="FD85" s="321">
        <f t="shared" si="1590"/>
        <v>0</v>
      </c>
      <c r="FE85" s="321">
        <f t="shared" si="1590"/>
        <v>50</v>
      </c>
      <c r="FF85" s="332">
        <v>1</v>
      </c>
      <c r="FG85" s="332">
        <v>0</v>
      </c>
      <c r="FH85" s="332">
        <v>0</v>
      </c>
      <c r="FI85" s="332">
        <v>0</v>
      </c>
      <c r="FJ85" s="332">
        <v>0</v>
      </c>
      <c r="FK85" s="332">
        <f>SUM(FF85:FJ85)</f>
        <v>1</v>
      </c>
    </row>
    <row r="86" spans="1:172" s="331" customFormat="1" ht="15" customHeight="1" outlineLevel="1">
      <c r="A86" s="415" t="e">
        <f t="shared" ref="A86:A88" si="1625">+A85+1</f>
        <v>#REF!</v>
      </c>
      <c r="B86" s="311" t="s">
        <v>707</v>
      </c>
      <c r="C86" s="312" t="s">
        <v>665</v>
      </c>
      <c r="D86" s="313" t="s">
        <v>11</v>
      </c>
      <c r="E86" s="315">
        <v>3450</v>
      </c>
      <c r="F86" s="314">
        <v>450</v>
      </c>
      <c r="G86" s="1970">
        <f t="shared" si="1536"/>
        <v>3900</v>
      </c>
      <c r="H86" s="1971">
        <v>30</v>
      </c>
      <c r="I86" s="356">
        <v>0</v>
      </c>
      <c r="J86" s="318">
        <v>1</v>
      </c>
      <c r="K86" s="318"/>
      <c r="L86" s="318"/>
      <c r="M86" s="318"/>
      <c r="N86" s="318">
        <f t="shared" si="1537"/>
        <v>1</v>
      </c>
      <c r="O86" s="319"/>
      <c r="P86" s="320"/>
      <c r="Q86" s="315">
        <f t="shared" si="1538"/>
        <v>0</v>
      </c>
      <c r="R86" s="321">
        <v>0</v>
      </c>
      <c r="S86" s="315">
        <f t="shared" si="1539"/>
        <v>0</v>
      </c>
      <c r="T86" s="321">
        <v>14</v>
      </c>
      <c r="U86" s="358">
        <f t="shared" si="1540"/>
        <v>301.875</v>
      </c>
      <c r="V86" s="321"/>
      <c r="W86" s="315">
        <f t="shared" si="1541"/>
        <v>0</v>
      </c>
      <c r="X86" s="321"/>
      <c r="Y86" s="315">
        <f t="shared" si="1542"/>
        <v>0</v>
      </c>
      <c r="Z86" s="322"/>
      <c r="AA86" s="315">
        <f t="shared" si="1543"/>
        <v>0</v>
      </c>
      <c r="AB86" s="322"/>
      <c r="AC86" s="324">
        <f t="shared" si="1544"/>
        <v>0</v>
      </c>
      <c r="AD86" s="322"/>
      <c r="AE86" s="324">
        <f t="shared" si="1545"/>
        <v>0</v>
      </c>
      <c r="AF86" s="315"/>
      <c r="AG86" s="315"/>
      <c r="AH86" s="322"/>
      <c r="AI86" s="315"/>
      <c r="AJ86" s="314"/>
      <c r="AK86" s="314"/>
      <c r="AL86" s="314"/>
      <c r="AM86" s="314"/>
      <c r="AN86" s="314"/>
      <c r="AO86" s="314"/>
      <c r="AP86" s="314"/>
      <c r="AQ86" s="314"/>
      <c r="AR86" s="314"/>
      <c r="AS86" s="314"/>
      <c r="AT86" s="314"/>
      <c r="AU86" s="359"/>
      <c r="AV86" s="315">
        <f t="shared" si="1546"/>
        <v>0</v>
      </c>
      <c r="AW86" s="315">
        <f>((F86/30)*H86)*$I86</f>
        <v>0</v>
      </c>
      <c r="AX86" s="315">
        <f t="shared" ref="AX86:BA87" si="1626">P86</f>
        <v>0</v>
      </c>
      <c r="AY86" s="315">
        <f t="shared" si="1626"/>
        <v>0</v>
      </c>
      <c r="AZ86" s="315">
        <f t="shared" si="1626"/>
        <v>0</v>
      </c>
      <c r="BA86" s="315">
        <f t="shared" si="1626"/>
        <v>0</v>
      </c>
      <c r="BB86" s="315">
        <f t="shared" si="1548"/>
        <v>0</v>
      </c>
      <c r="BC86" s="315">
        <f t="shared" si="1549"/>
        <v>0</v>
      </c>
      <c r="BD86" s="315">
        <f t="shared" si="1550"/>
        <v>0</v>
      </c>
      <c r="BE86" s="315">
        <f t="shared" si="1551"/>
        <v>3450</v>
      </c>
      <c r="BF86" s="1575">
        <f>(($F86/30)*$H86)*$J86+375+852.19+3025</f>
        <v>4702.1900000000005</v>
      </c>
      <c r="BG86" s="315">
        <f t="shared" ref="BG86:BJ87" si="1627">T86</f>
        <v>14</v>
      </c>
      <c r="BH86" s="315">
        <f t="shared" si="1627"/>
        <v>301.875</v>
      </c>
      <c r="BI86" s="315">
        <f t="shared" si="1627"/>
        <v>0</v>
      </c>
      <c r="BJ86" s="315">
        <f t="shared" si="1627"/>
        <v>0</v>
      </c>
      <c r="BK86" s="315">
        <f t="shared" si="1553"/>
        <v>0</v>
      </c>
      <c r="BL86" s="315">
        <f t="shared" si="1554"/>
        <v>475.36256250000002</v>
      </c>
      <c r="BM86" s="314">
        <f t="shared" si="1555"/>
        <v>8929.4275625000009</v>
      </c>
      <c r="BN86" s="315">
        <f t="shared" si="1556"/>
        <v>0</v>
      </c>
      <c r="BO86" s="315">
        <f>(($F86/30)*$H86)*$K86</f>
        <v>0</v>
      </c>
      <c r="BP86" s="315">
        <f t="shared" ref="BP86:BR87" si="1628">X86</f>
        <v>0</v>
      </c>
      <c r="BQ86" s="315">
        <f t="shared" si="1628"/>
        <v>0</v>
      </c>
      <c r="BR86" s="315">
        <f t="shared" si="1628"/>
        <v>0</v>
      </c>
      <c r="BS86" s="315">
        <f t="shared" si="1558"/>
        <v>0</v>
      </c>
      <c r="BT86" s="315">
        <f t="shared" si="1559"/>
        <v>0</v>
      </c>
      <c r="BU86" s="315">
        <f t="shared" si="1560"/>
        <v>0</v>
      </c>
      <c r="BV86" s="315">
        <f t="shared" si="1561"/>
        <v>0</v>
      </c>
      <c r="BW86" s="327">
        <f t="shared" si="1617"/>
        <v>0</v>
      </c>
      <c r="BX86" s="328">
        <f t="shared" si="1597"/>
        <v>0</v>
      </c>
      <c r="BY86" s="328">
        <f t="shared" si="1618"/>
        <v>0</v>
      </c>
      <c r="BZ86" s="328">
        <f t="shared" si="1619"/>
        <v>0</v>
      </c>
      <c r="CA86" s="328">
        <f t="shared" si="1620"/>
        <v>0</v>
      </c>
      <c r="CB86" s="328">
        <f t="shared" si="1621"/>
        <v>0</v>
      </c>
      <c r="CC86" s="328">
        <f t="shared" si="1622"/>
        <v>0</v>
      </c>
      <c r="CD86" s="328">
        <f t="shared" si="1623"/>
        <v>0</v>
      </c>
      <c r="CE86" s="328">
        <f t="shared" si="1624"/>
        <v>0</v>
      </c>
      <c r="CF86" s="361"/>
      <c r="CG86" s="361"/>
      <c r="CH86" s="361"/>
      <c r="CI86" s="361"/>
      <c r="CJ86" s="361"/>
      <c r="CK86" s="361"/>
      <c r="CL86" s="361"/>
      <c r="CM86" s="361"/>
      <c r="CN86" s="362"/>
      <c r="CO86" s="330"/>
      <c r="CP86" s="313" t="s">
        <v>12</v>
      </c>
      <c r="CQ86" s="315">
        <f t="shared" si="1562"/>
        <v>0</v>
      </c>
      <c r="CR86" s="315">
        <f t="shared" si="1563"/>
        <v>0</v>
      </c>
      <c r="CS86" s="315">
        <f t="shared" si="1564"/>
        <v>0</v>
      </c>
      <c r="CT86" s="315">
        <f t="shared" si="1565"/>
        <v>0</v>
      </c>
      <c r="CU86" s="315">
        <f t="shared" si="1566"/>
        <v>0</v>
      </c>
      <c r="CV86" s="315">
        <f t="shared" si="1567"/>
        <v>0</v>
      </c>
      <c r="CW86" s="315">
        <f t="shared" si="1568"/>
        <v>0</v>
      </c>
      <c r="CX86" s="315">
        <f t="shared" si="1569"/>
        <v>0</v>
      </c>
      <c r="CY86" s="315">
        <f t="shared" si="1570"/>
        <v>0</v>
      </c>
      <c r="CZ86" s="315">
        <f t="shared" si="1571"/>
        <v>0</v>
      </c>
      <c r="DA86" s="315">
        <f t="shared" si="1572"/>
        <v>0</v>
      </c>
      <c r="DB86" s="315">
        <f t="shared" si="1573"/>
        <v>0</v>
      </c>
      <c r="DC86" s="315">
        <f t="shared" si="1574"/>
        <v>0</v>
      </c>
      <c r="DD86" s="315">
        <f t="shared" si="1575"/>
        <v>0</v>
      </c>
      <c r="DE86" s="315">
        <f t="shared" si="1576"/>
        <v>0</v>
      </c>
      <c r="DF86" s="315">
        <f t="shared" si="1577"/>
        <v>0</v>
      </c>
      <c r="DG86" s="315">
        <f t="shared" si="1578"/>
        <v>0</v>
      </c>
      <c r="DH86" s="315">
        <f t="shared" si="1579"/>
        <v>0</v>
      </c>
      <c r="DI86" s="324">
        <f t="shared" si="1580"/>
        <v>3450</v>
      </c>
      <c r="DJ86" s="324">
        <f t="shared" si="1581"/>
        <v>4702.1900000000005</v>
      </c>
      <c r="DK86" s="324">
        <f t="shared" si="1582"/>
        <v>14</v>
      </c>
      <c r="DL86" s="324">
        <f t="shared" si="1583"/>
        <v>301.875</v>
      </c>
      <c r="DM86" s="324">
        <f t="shared" si="1584"/>
        <v>0</v>
      </c>
      <c r="DN86" s="324">
        <f t="shared" si="1585"/>
        <v>0</v>
      </c>
      <c r="DO86" s="324">
        <f t="shared" si="1586"/>
        <v>0</v>
      </c>
      <c r="DP86" s="324">
        <f t="shared" si="1587"/>
        <v>475.36256250000002</v>
      </c>
      <c r="DQ86" s="324">
        <f t="shared" si="1588"/>
        <v>8929.4275625000009</v>
      </c>
      <c r="DR86" s="360"/>
      <c r="DS86" s="361"/>
      <c r="DT86" s="361"/>
      <c r="DU86" s="361"/>
      <c r="DV86" s="361"/>
      <c r="DW86" s="361"/>
      <c r="DX86" s="361"/>
      <c r="DY86" s="361"/>
      <c r="DZ86" s="361"/>
      <c r="EA86" s="361"/>
      <c r="EB86" s="361"/>
      <c r="EC86" s="361"/>
      <c r="ED86" s="361"/>
      <c r="EE86" s="361"/>
      <c r="EF86" s="361"/>
      <c r="EG86" s="361"/>
      <c r="EH86" s="361"/>
      <c r="EI86" s="362"/>
      <c r="EJ86" s="330"/>
      <c r="EK86" s="1969">
        <v>139.91999999999999</v>
      </c>
      <c r="EL86" s="313"/>
      <c r="EM86" s="313"/>
      <c r="EN86" s="1969">
        <f>190+400</f>
        <v>590</v>
      </c>
      <c r="EO86" s="313"/>
      <c r="EP86" s="313">
        <v>50</v>
      </c>
      <c r="EQ86" s="2176">
        <v>413.06</v>
      </c>
      <c r="ER86" s="313"/>
      <c r="ES86" s="1969"/>
      <c r="ET86" s="363">
        <f t="shared" si="1615"/>
        <v>463.06</v>
      </c>
      <c r="EU86" s="1576"/>
      <c r="EV86" s="1577">
        <f t="shared" ref="EV86:FA90" si="1629">IF($H86&lt;=15,EK86/2,EK86)</f>
        <v>139.91999999999999</v>
      </c>
      <c r="EW86" s="1577">
        <f t="shared" si="1629"/>
        <v>0</v>
      </c>
      <c r="EX86" s="1577">
        <f t="shared" si="1629"/>
        <v>0</v>
      </c>
      <c r="EY86" s="1577">
        <f>IF($H86&lt;=15,EN86/2,EN86)</f>
        <v>590</v>
      </c>
      <c r="EZ86" s="1577">
        <f t="shared" si="1629"/>
        <v>0</v>
      </c>
      <c r="FA86" s="1577">
        <f t="shared" si="1629"/>
        <v>50</v>
      </c>
      <c r="FB86" s="1577">
        <f>IF($H86&lt;=15,EQ86/2,EQ86)</f>
        <v>413.06</v>
      </c>
      <c r="FC86" s="1577">
        <f t="shared" ref="FC86:FE90" si="1630">IF($H86&lt;=15,ER86/2,ER86)</f>
        <v>0</v>
      </c>
      <c r="FD86" s="1577">
        <f>IF($H86&lt;=15,ES86/2,ES86)</f>
        <v>0</v>
      </c>
      <c r="FE86" s="321">
        <f t="shared" si="1630"/>
        <v>463.06</v>
      </c>
      <c r="FF86" s="332"/>
      <c r="FG86" s="332"/>
      <c r="FH86" s="332"/>
      <c r="FI86" s="332"/>
      <c r="FJ86" s="332"/>
      <c r="FK86" s="332"/>
    </row>
    <row r="87" spans="1:172" s="331" customFormat="1" ht="15" customHeight="1" outlineLevel="1">
      <c r="A87" s="415" t="e">
        <f t="shared" si="1625"/>
        <v>#REF!</v>
      </c>
      <c r="B87" s="311" t="s">
        <v>708</v>
      </c>
      <c r="C87" s="312" t="s">
        <v>665</v>
      </c>
      <c r="D87" s="313" t="s">
        <v>11</v>
      </c>
      <c r="E87" s="315">
        <v>3450</v>
      </c>
      <c r="F87" s="314">
        <v>450</v>
      </c>
      <c r="G87" s="1970">
        <f t="shared" si="1536"/>
        <v>3900</v>
      </c>
      <c r="H87" s="1971">
        <v>30</v>
      </c>
      <c r="I87" s="356">
        <v>0.4</v>
      </c>
      <c r="J87" s="318">
        <v>0.6</v>
      </c>
      <c r="K87" s="318">
        <v>0</v>
      </c>
      <c r="L87" s="318"/>
      <c r="M87" s="318"/>
      <c r="N87" s="318">
        <f t="shared" si="1537"/>
        <v>1</v>
      </c>
      <c r="O87" s="319"/>
      <c r="P87" s="320"/>
      <c r="Q87" s="315">
        <f t="shared" si="1538"/>
        <v>0</v>
      </c>
      <c r="R87" s="321">
        <v>0</v>
      </c>
      <c r="S87" s="315">
        <f t="shared" si="1539"/>
        <v>0</v>
      </c>
      <c r="T87" s="321">
        <v>20.5</v>
      </c>
      <c r="U87" s="358">
        <f t="shared" si="1540"/>
        <v>442.03125</v>
      </c>
      <c r="V87" s="321"/>
      <c r="W87" s="315">
        <f t="shared" si="1541"/>
        <v>0</v>
      </c>
      <c r="X87" s="321"/>
      <c r="Y87" s="315">
        <f t="shared" si="1542"/>
        <v>0</v>
      </c>
      <c r="Z87" s="322"/>
      <c r="AA87" s="315">
        <f t="shared" si="1543"/>
        <v>0</v>
      </c>
      <c r="AB87" s="322"/>
      <c r="AC87" s="324">
        <f t="shared" si="1544"/>
        <v>0</v>
      </c>
      <c r="AD87" s="322"/>
      <c r="AE87" s="324">
        <f t="shared" si="1545"/>
        <v>0</v>
      </c>
      <c r="AF87" s="315"/>
      <c r="AG87" s="315"/>
      <c r="AH87" s="322"/>
      <c r="AI87" s="315"/>
      <c r="AJ87" s="314"/>
      <c r="AK87" s="314"/>
      <c r="AL87" s="314"/>
      <c r="AM87" s="314"/>
      <c r="AN87" s="314"/>
      <c r="AO87" s="314"/>
      <c r="AP87" s="314"/>
      <c r="AQ87" s="314"/>
      <c r="AR87" s="314"/>
      <c r="AS87" s="314"/>
      <c r="AT87" s="314"/>
      <c r="AU87" s="359"/>
      <c r="AV87" s="315">
        <f t="shared" si="1546"/>
        <v>1380</v>
      </c>
      <c r="AW87" s="1575">
        <f>((F87/30)*H87)*$I87+112.5+356.29+825</f>
        <v>1473.79</v>
      </c>
      <c r="AX87" s="315">
        <f t="shared" si="1626"/>
        <v>0</v>
      </c>
      <c r="AY87" s="315">
        <f t="shared" si="1626"/>
        <v>0</v>
      </c>
      <c r="AZ87" s="315">
        <f t="shared" si="1626"/>
        <v>0</v>
      </c>
      <c r="BA87" s="315">
        <f t="shared" si="1626"/>
        <v>0</v>
      </c>
      <c r="BB87" s="315">
        <f t="shared" si="1548"/>
        <v>0</v>
      </c>
      <c r="BC87" s="315">
        <f t="shared" si="1549"/>
        <v>174.846</v>
      </c>
      <c r="BD87" s="315">
        <f t="shared" si="1550"/>
        <v>3028.636</v>
      </c>
      <c r="BE87" s="315">
        <f t="shared" si="1551"/>
        <v>2070</v>
      </c>
      <c r="BF87" s="1575">
        <f>(($F87/30)*$H87)*$J87+262.5+534.44+275</f>
        <v>1341.94</v>
      </c>
      <c r="BG87" s="315">
        <f t="shared" si="1627"/>
        <v>20.5</v>
      </c>
      <c r="BH87" s="315">
        <f t="shared" si="1627"/>
        <v>442.03125</v>
      </c>
      <c r="BI87" s="315">
        <f t="shared" si="1627"/>
        <v>0</v>
      </c>
      <c r="BJ87" s="315">
        <f t="shared" si="1627"/>
        <v>0</v>
      </c>
      <c r="BK87" s="315">
        <f t="shared" si="1553"/>
        <v>0</v>
      </c>
      <c r="BL87" s="315">
        <f t="shared" si="1554"/>
        <v>318.27435937500002</v>
      </c>
      <c r="BM87" s="314">
        <f t="shared" si="1555"/>
        <v>4172.2456093749997</v>
      </c>
      <c r="BN87" s="315">
        <f t="shared" si="1556"/>
        <v>0</v>
      </c>
      <c r="BO87" s="315">
        <f>(($F87/30)*$H87)*$K87</f>
        <v>0</v>
      </c>
      <c r="BP87" s="315">
        <f t="shared" si="1628"/>
        <v>0</v>
      </c>
      <c r="BQ87" s="315">
        <f t="shared" si="1628"/>
        <v>0</v>
      </c>
      <c r="BR87" s="315">
        <f t="shared" si="1628"/>
        <v>0</v>
      </c>
      <c r="BS87" s="315">
        <f t="shared" si="1558"/>
        <v>0</v>
      </c>
      <c r="BT87" s="315">
        <f t="shared" si="1559"/>
        <v>0</v>
      </c>
      <c r="BU87" s="315">
        <f t="shared" si="1560"/>
        <v>0</v>
      </c>
      <c r="BV87" s="315">
        <f t="shared" si="1561"/>
        <v>0</v>
      </c>
      <c r="BW87" s="327">
        <f t="shared" si="1617"/>
        <v>0</v>
      </c>
      <c r="BX87" s="328">
        <f t="shared" si="1597"/>
        <v>0</v>
      </c>
      <c r="BY87" s="328">
        <f t="shared" si="1618"/>
        <v>0</v>
      </c>
      <c r="BZ87" s="328">
        <f t="shared" si="1619"/>
        <v>0</v>
      </c>
      <c r="CA87" s="328">
        <f t="shared" si="1620"/>
        <v>0</v>
      </c>
      <c r="CB87" s="328">
        <f t="shared" si="1621"/>
        <v>0</v>
      </c>
      <c r="CC87" s="328">
        <f t="shared" si="1622"/>
        <v>0</v>
      </c>
      <c r="CD87" s="328">
        <f t="shared" si="1623"/>
        <v>0</v>
      </c>
      <c r="CE87" s="328">
        <f t="shared" si="1624"/>
        <v>0</v>
      </c>
      <c r="CF87" s="361"/>
      <c r="CG87" s="361"/>
      <c r="CH87" s="361"/>
      <c r="CI87" s="361"/>
      <c r="CJ87" s="361"/>
      <c r="CK87" s="361"/>
      <c r="CL87" s="361"/>
      <c r="CM87" s="361"/>
      <c r="CN87" s="362"/>
      <c r="CO87" s="330"/>
      <c r="CP87" s="313" t="s">
        <v>11</v>
      </c>
      <c r="CQ87" s="315">
        <f t="shared" si="1562"/>
        <v>0</v>
      </c>
      <c r="CR87" s="315">
        <f t="shared" si="1563"/>
        <v>0</v>
      </c>
      <c r="CS87" s="315">
        <f t="shared" si="1564"/>
        <v>0</v>
      </c>
      <c r="CT87" s="315">
        <f t="shared" si="1565"/>
        <v>0</v>
      </c>
      <c r="CU87" s="315">
        <f t="shared" si="1566"/>
        <v>0</v>
      </c>
      <c r="CV87" s="315">
        <f t="shared" si="1567"/>
        <v>0</v>
      </c>
      <c r="CW87" s="315">
        <f t="shared" si="1568"/>
        <v>0</v>
      </c>
      <c r="CX87" s="315">
        <f t="shared" si="1569"/>
        <v>0</v>
      </c>
      <c r="CY87" s="315">
        <f t="shared" si="1570"/>
        <v>0</v>
      </c>
      <c r="CZ87" s="315">
        <f t="shared" si="1571"/>
        <v>3450</v>
      </c>
      <c r="DA87" s="315">
        <f t="shared" si="1572"/>
        <v>2815.73</v>
      </c>
      <c r="DB87" s="315">
        <f t="shared" si="1573"/>
        <v>20.5</v>
      </c>
      <c r="DC87" s="315">
        <f t="shared" si="1574"/>
        <v>442.03125</v>
      </c>
      <c r="DD87" s="315">
        <f t="shared" si="1575"/>
        <v>0</v>
      </c>
      <c r="DE87" s="315">
        <f t="shared" si="1576"/>
        <v>0</v>
      </c>
      <c r="DF87" s="315">
        <f t="shared" si="1577"/>
        <v>0</v>
      </c>
      <c r="DG87" s="315">
        <f t="shared" si="1578"/>
        <v>493.12035937500002</v>
      </c>
      <c r="DH87" s="315">
        <f t="shared" si="1579"/>
        <v>7200.8816093749992</v>
      </c>
      <c r="DI87" s="324">
        <f t="shared" si="1580"/>
        <v>0</v>
      </c>
      <c r="DJ87" s="324">
        <f t="shared" si="1581"/>
        <v>0</v>
      </c>
      <c r="DK87" s="324">
        <f t="shared" si="1582"/>
        <v>0</v>
      </c>
      <c r="DL87" s="324">
        <f t="shared" si="1583"/>
        <v>0</v>
      </c>
      <c r="DM87" s="324">
        <f t="shared" si="1584"/>
        <v>0</v>
      </c>
      <c r="DN87" s="324">
        <f t="shared" si="1585"/>
        <v>0</v>
      </c>
      <c r="DO87" s="324">
        <f t="shared" si="1586"/>
        <v>0</v>
      </c>
      <c r="DP87" s="324">
        <f t="shared" si="1587"/>
        <v>0</v>
      </c>
      <c r="DQ87" s="324">
        <f t="shared" si="1588"/>
        <v>0</v>
      </c>
      <c r="DR87" s="360"/>
      <c r="DS87" s="361"/>
      <c r="DT87" s="361"/>
      <c r="DU87" s="361"/>
      <c r="DV87" s="361"/>
      <c r="DW87" s="361"/>
      <c r="DX87" s="361"/>
      <c r="DY87" s="361"/>
      <c r="DZ87" s="361"/>
      <c r="EA87" s="361"/>
      <c r="EB87" s="361"/>
      <c r="EC87" s="361"/>
      <c r="ED87" s="361"/>
      <c r="EE87" s="361"/>
      <c r="EF87" s="361"/>
      <c r="EG87" s="361"/>
      <c r="EH87" s="361"/>
      <c r="EI87" s="362"/>
      <c r="EJ87" s="330"/>
      <c r="EK87" s="1969">
        <v>39.28</v>
      </c>
      <c r="EL87" s="313"/>
      <c r="EM87" s="313"/>
      <c r="EN87" s="1969">
        <f>225+363.5</f>
        <v>588.5</v>
      </c>
      <c r="EO87" s="313"/>
      <c r="EP87" s="313">
        <v>50</v>
      </c>
      <c r="EQ87" s="2176">
        <f>280.3+91.06</f>
        <v>371.36</v>
      </c>
      <c r="ER87" s="313"/>
      <c r="ES87" s="313"/>
      <c r="ET87" s="363">
        <f t="shared" si="1615"/>
        <v>421.36</v>
      </c>
      <c r="EU87" s="1576"/>
      <c r="EV87" s="1577">
        <f t="shared" si="1629"/>
        <v>39.28</v>
      </c>
      <c r="EW87" s="1577">
        <f t="shared" si="1629"/>
        <v>0</v>
      </c>
      <c r="EX87" s="1577">
        <f t="shared" si="1629"/>
        <v>0</v>
      </c>
      <c r="EY87" s="1577">
        <f t="shared" si="1629"/>
        <v>588.5</v>
      </c>
      <c r="EZ87" s="1577">
        <f t="shared" si="1629"/>
        <v>0</v>
      </c>
      <c r="FA87" s="1577">
        <f t="shared" si="1629"/>
        <v>50</v>
      </c>
      <c r="FB87" s="1577">
        <f>IF($H87&lt;=15,EQ87/2,EQ87)</f>
        <v>371.36</v>
      </c>
      <c r="FC87" s="1577">
        <f t="shared" si="1630"/>
        <v>0</v>
      </c>
      <c r="FD87" s="1577">
        <f>IF($H87&lt;=15,ES87/2,ES87)</f>
        <v>0</v>
      </c>
      <c r="FE87" s="321">
        <f t="shared" si="1630"/>
        <v>421.36</v>
      </c>
      <c r="FF87" s="332"/>
      <c r="FG87" s="332"/>
      <c r="FH87" s="332"/>
      <c r="FI87" s="332"/>
      <c r="FJ87" s="332"/>
      <c r="FK87" s="332"/>
    </row>
    <row r="88" spans="1:172" s="331" customFormat="1" ht="15" customHeight="1" outlineLevel="1">
      <c r="A88" s="415" t="e">
        <f t="shared" si="1625"/>
        <v>#REF!</v>
      </c>
      <c r="B88" s="311" t="s">
        <v>569</v>
      </c>
      <c r="C88" s="312" t="s">
        <v>499</v>
      </c>
      <c r="D88" s="313" t="s">
        <v>10</v>
      </c>
      <c r="E88" s="314">
        <v>6000</v>
      </c>
      <c r="F88" s="1578">
        <f>2000</f>
        <v>2000</v>
      </c>
      <c r="G88" s="314">
        <f t="shared" si="1536"/>
        <v>8000</v>
      </c>
      <c r="H88" s="1971">
        <v>30</v>
      </c>
      <c r="I88" s="1527">
        <v>0.4</v>
      </c>
      <c r="J88" s="417">
        <v>0.6</v>
      </c>
      <c r="K88" s="417">
        <v>0</v>
      </c>
      <c r="L88" s="318">
        <v>0</v>
      </c>
      <c r="M88" s="318">
        <v>0</v>
      </c>
      <c r="N88" s="318">
        <f t="shared" si="1537"/>
        <v>1</v>
      </c>
      <c r="O88" s="319"/>
      <c r="P88" s="357"/>
      <c r="Q88" s="315">
        <f t="shared" si="1538"/>
        <v>0</v>
      </c>
      <c r="R88" s="404">
        <v>0</v>
      </c>
      <c r="S88" s="358">
        <f t="shared" si="1539"/>
        <v>0</v>
      </c>
      <c r="T88" s="1579"/>
      <c r="U88" s="358">
        <f t="shared" si="1540"/>
        <v>0</v>
      </c>
      <c r="V88" s="404"/>
      <c r="W88" s="315">
        <f t="shared" si="1541"/>
        <v>0</v>
      </c>
      <c r="X88" s="321"/>
      <c r="Y88" s="315">
        <f t="shared" si="1542"/>
        <v>0</v>
      </c>
      <c r="Z88" s="322"/>
      <c r="AA88" s="315">
        <f t="shared" si="1543"/>
        <v>0</v>
      </c>
      <c r="AB88" s="322"/>
      <c r="AC88" s="315">
        <f t="shared" si="1544"/>
        <v>0</v>
      </c>
      <c r="AD88" s="322"/>
      <c r="AE88" s="315">
        <f t="shared" si="1545"/>
        <v>0</v>
      </c>
      <c r="AF88" s="315"/>
      <c r="AG88" s="315">
        <f>(($E88/30/8)*1.5)*AF88</f>
        <v>0</v>
      </c>
      <c r="AH88" s="322"/>
      <c r="AI88" s="315">
        <f>(($E88/30/8)*2)*AH88</f>
        <v>0</v>
      </c>
      <c r="AJ88" s="314"/>
      <c r="AK88" s="314"/>
      <c r="AL88" s="314"/>
      <c r="AM88" s="314"/>
      <c r="AN88" s="314"/>
      <c r="AO88" s="314"/>
      <c r="AP88" s="314"/>
      <c r="AQ88" s="314"/>
      <c r="AR88" s="314"/>
      <c r="AS88" s="314"/>
      <c r="AT88" s="314"/>
      <c r="AU88" s="326"/>
      <c r="AV88" s="315">
        <f t="shared" si="1546"/>
        <v>2400</v>
      </c>
      <c r="AW88" s="1574">
        <f>((F88/30)*H88)*$I88+400+800+951.73</f>
        <v>2951.73</v>
      </c>
      <c r="AX88" s="315">
        <f>P88</f>
        <v>0</v>
      </c>
      <c r="AY88" s="315">
        <f t="shared" si="1547"/>
        <v>0</v>
      </c>
      <c r="AZ88" s="315">
        <f t="shared" si="1547"/>
        <v>0</v>
      </c>
      <c r="BA88" s="315">
        <f t="shared" si="1547"/>
        <v>0</v>
      </c>
      <c r="BB88" s="315">
        <f t="shared" si="1548"/>
        <v>0</v>
      </c>
      <c r="BC88" s="315">
        <f t="shared" si="1549"/>
        <v>304.08000000000004</v>
      </c>
      <c r="BD88" s="315">
        <f t="shared" si="1550"/>
        <v>5655.8099999999995</v>
      </c>
      <c r="BE88" s="358">
        <f t="shared" si="1551"/>
        <v>3600</v>
      </c>
      <c r="BF88" s="1574">
        <f>(($F88/30)*$H88)*$J88+300+600+1427.6</f>
        <v>3527.6</v>
      </c>
      <c r="BG88" s="315">
        <f t="shared" si="1552"/>
        <v>0</v>
      </c>
      <c r="BH88" s="315">
        <f t="shared" si="1552"/>
        <v>0</v>
      </c>
      <c r="BI88" s="315">
        <f t="shared" si="1552"/>
        <v>0</v>
      </c>
      <c r="BJ88" s="315">
        <f t="shared" si="1552"/>
        <v>0</v>
      </c>
      <c r="BK88" s="315">
        <f t="shared" si="1553"/>
        <v>0</v>
      </c>
      <c r="BL88" s="315">
        <f t="shared" si="1554"/>
        <v>456.12</v>
      </c>
      <c r="BM88" s="314">
        <f t="shared" si="1555"/>
        <v>7583.72</v>
      </c>
      <c r="BN88" s="315">
        <f t="shared" si="1556"/>
        <v>0</v>
      </c>
      <c r="BO88" s="906">
        <f>(($F88/30)*$H88)*$K88+300+600</f>
        <v>900</v>
      </c>
      <c r="BP88" s="315">
        <f t="shared" si="1557"/>
        <v>0</v>
      </c>
      <c r="BQ88" s="315">
        <f t="shared" si="1557"/>
        <v>0</v>
      </c>
      <c r="BR88" s="315">
        <f t="shared" si="1557"/>
        <v>0</v>
      </c>
      <c r="BS88" s="315">
        <f t="shared" si="1558"/>
        <v>0</v>
      </c>
      <c r="BT88" s="315">
        <f t="shared" si="1559"/>
        <v>0</v>
      </c>
      <c r="BU88" s="315">
        <f t="shared" si="1560"/>
        <v>0</v>
      </c>
      <c r="BV88" s="315">
        <f t="shared" si="1561"/>
        <v>900</v>
      </c>
      <c r="BW88" s="360">
        <f>(($E88/30)*$H88)*$L88</f>
        <v>0</v>
      </c>
      <c r="BX88" s="361">
        <f t="shared" si="1597"/>
        <v>0</v>
      </c>
      <c r="BY88" s="361">
        <f t="shared" ref="BY88:CB90" si="1631">AB88</f>
        <v>0</v>
      </c>
      <c r="BZ88" s="361">
        <f t="shared" si="1631"/>
        <v>0</v>
      </c>
      <c r="CA88" s="361">
        <f t="shared" si="1631"/>
        <v>0</v>
      </c>
      <c r="CB88" s="361">
        <f t="shared" si="1631"/>
        <v>0</v>
      </c>
      <c r="CC88" s="361">
        <f>AM88+AR88</f>
        <v>0</v>
      </c>
      <c r="CD88" s="361">
        <f>(BW88+BZ88+CB88)*0.1267</f>
        <v>0</v>
      </c>
      <c r="CE88" s="361">
        <f>SUM(BW88:CD88)-BY88-CA88</f>
        <v>0</v>
      </c>
      <c r="CF88" s="361">
        <f>(($E88/30)*$H88)*M88</f>
        <v>0</v>
      </c>
      <c r="CG88" s="361">
        <f>(($F88/30)*$H88)*$M88</f>
        <v>0</v>
      </c>
      <c r="CH88" s="361">
        <f>+AF88</f>
        <v>0</v>
      </c>
      <c r="CI88" s="361">
        <f t="shared" ref="CI88:CK90" si="1632">AG88</f>
        <v>0</v>
      </c>
      <c r="CJ88" s="361">
        <f t="shared" si="1632"/>
        <v>0</v>
      </c>
      <c r="CK88" s="361">
        <f t="shared" si="1632"/>
        <v>0</v>
      </c>
      <c r="CL88" s="361">
        <f>AN88+AS88</f>
        <v>0</v>
      </c>
      <c r="CM88" s="361">
        <f>(CF88+CI88+CK88)*0.1267</f>
        <v>0</v>
      </c>
      <c r="CN88" s="362">
        <f>SUM(CF88:CM88)-CH88-CJ88</f>
        <v>0</v>
      </c>
      <c r="CO88" s="330"/>
      <c r="CP88" s="313" t="s">
        <v>10</v>
      </c>
      <c r="CQ88" s="315">
        <f>IF($CP88="PROQUIMA",$AV88+$BE88+$BN88+$BW88+$CF88,0)</f>
        <v>6000</v>
      </c>
      <c r="CR88" s="315">
        <f>IF($CP88="PROQUIMA",$AW88+$BF88+$BO88+$BX88+$CG88,0)</f>
        <v>7379.33</v>
      </c>
      <c r="CS88" s="315">
        <f>IF($CP88="PROQUIMA",$AX88+$BG88+$BP88+$BY88+$CH88,0)</f>
        <v>0</v>
      </c>
      <c r="CT88" s="315">
        <f>IF($CP88="PROQUIMA",$AY88+$BH88+$BQ88+$BZ88+$CI88,0)</f>
        <v>0</v>
      </c>
      <c r="CU88" s="315">
        <f>IF($CP88="PROQUIMA",$AZ88+$BI88+$BR88+$CA88+$CJ88,0)</f>
        <v>0</v>
      </c>
      <c r="CV88" s="315">
        <f>IF($CP88="PROQUIMA",$BA88+$BJ88+$BS88+$CB88+$CK88,0)</f>
        <v>0</v>
      </c>
      <c r="CW88" s="315">
        <f>IF($CP88="PROQUIMA",$BB88+$BK88+$BT88+$CC88+$CL88,0)</f>
        <v>0</v>
      </c>
      <c r="CX88" s="315">
        <f t="shared" si="1569"/>
        <v>760.2</v>
      </c>
      <c r="CY88" s="315">
        <f t="shared" si="1570"/>
        <v>14139.53</v>
      </c>
      <c r="CZ88" s="315">
        <f>IF($CP88="UNHESA",$AV88+$BE88+$BN88+$BW88+$CF88,0)</f>
        <v>0</v>
      </c>
      <c r="DA88" s="315">
        <f>IF($CP88="UNHESA",$AW88+$BF88+$BO88+$BX88+$CG88,0)</f>
        <v>0</v>
      </c>
      <c r="DB88" s="315">
        <f>IF($CP88="UNHESA",$AX88+$BG88+$BP88+$BY88+$CH88,0)</f>
        <v>0</v>
      </c>
      <c r="DC88" s="315">
        <f>IF($CP88="UNHESA",$AY88+$BH88+$BQ88+$BZ88+$CI88,0)</f>
        <v>0</v>
      </c>
      <c r="DD88" s="315">
        <f>IF($CP88="UNHESA",$AZ88+$BI88+$BR88+$CA88+$CJ88,0)</f>
        <v>0</v>
      </c>
      <c r="DE88" s="315">
        <f>IF($CP88="UNHESA",$BA88+$BJ88+$BS88+$CB88+$CK88,0)</f>
        <v>0</v>
      </c>
      <c r="DF88" s="315">
        <f>IF($CP88="UNHESA",$BB88+$BK88+$BT88+$CC88+$CL88,0)</f>
        <v>0</v>
      </c>
      <c r="DG88" s="315">
        <f>IF($CP88="UNHESA",$BC88+$BL88+$BU88+$CD88+$CM88,0)</f>
        <v>0</v>
      </c>
      <c r="DH88" s="315">
        <f t="shared" si="1579"/>
        <v>0</v>
      </c>
      <c r="DI88" s="324">
        <f t="shared" si="1580"/>
        <v>0</v>
      </c>
      <c r="DJ88" s="324">
        <f t="shared" si="1581"/>
        <v>0</v>
      </c>
      <c r="DK88" s="324">
        <f t="shared" si="1582"/>
        <v>0</v>
      </c>
      <c r="DL88" s="324">
        <f t="shared" si="1583"/>
        <v>0</v>
      </c>
      <c r="DM88" s="324">
        <f t="shared" si="1584"/>
        <v>0</v>
      </c>
      <c r="DN88" s="324">
        <f t="shared" si="1585"/>
        <v>0</v>
      </c>
      <c r="DO88" s="324">
        <f t="shared" si="1586"/>
        <v>0</v>
      </c>
      <c r="DP88" s="324">
        <f t="shared" si="1587"/>
        <v>0</v>
      </c>
      <c r="DQ88" s="324">
        <f t="shared" si="1588"/>
        <v>0</v>
      </c>
      <c r="DR88" s="360">
        <f>IF($CP88="ECONACIONAL",$AV88+$BE88+$BN88+$BW88+$CF88,0)</f>
        <v>0</v>
      </c>
      <c r="DS88" s="361">
        <f>IF($CP88="ECONACIONAL",$AW88+$BF88+$BO88+$BX88+$CG88,0)</f>
        <v>0</v>
      </c>
      <c r="DT88" s="361">
        <f>IF($CP88="ECONACIONAL",$AX88+$BG88+$BP88+$BY88+$CH88,0)</f>
        <v>0</v>
      </c>
      <c r="DU88" s="361">
        <f>IF($CP88="ECONACIONAL",$AY88+$BH88+$BQ88+$BZ88+$CI88,0)</f>
        <v>0</v>
      </c>
      <c r="DV88" s="361">
        <f>IF($CP88="ECONACIONAL",$AZ88+$BI88+$BR88+$CA88+$CJ88,0)</f>
        <v>0</v>
      </c>
      <c r="DW88" s="361">
        <f>IF($CP88="ECONACIONAL",$BA88+$BJ88+$BS88+$CB88+$CK88,0)</f>
        <v>0</v>
      </c>
      <c r="DX88" s="361">
        <f>IF($CP88="ECONACIONAL",$BB88+$BK88+$BT88+$CC88+$CL88,0)</f>
        <v>0</v>
      </c>
      <c r="DY88" s="361">
        <f>IF($CP88="ECONACIONAL",$BC88+$BL88+$BU88+$CD88+$CM88,0)</f>
        <v>0</v>
      </c>
      <c r="DZ88" s="361">
        <f>SUM(DR88:DY88)-DT88-DV88</f>
        <v>0</v>
      </c>
      <c r="EA88" s="361">
        <f>IF($CP88="CLEARTEC",$AV88+$BE88+$BN88+$BW88+$CF88,0)</f>
        <v>0</v>
      </c>
      <c r="EB88" s="361">
        <f>IF($CP88="CLEARTEC",$AW88+$BF88+$BO88+$BX88+$CG88,0)</f>
        <v>0</v>
      </c>
      <c r="EC88" s="361">
        <f>IF($CP88="CLEARTEC",$AX88+$BG88+$BP88+$BY88+$CH88,0)</f>
        <v>0</v>
      </c>
      <c r="ED88" s="361">
        <f>IF($CP88="CLEARTEC",$AY88+$BH88+$BQ88+$BZ88+$CI88,0)</f>
        <v>0</v>
      </c>
      <c r="EE88" s="361">
        <f>IF($CP88="CLEARTEC",$AZ88+$BI88+$BR88+$CA88+$CJ88,0)</f>
        <v>0</v>
      </c>
      <c r="EF88" s="361">
        <f>IF($CP88="CLEARTEC",$BA88+$BJ88+$BS88+$CB88+$CK88,0)</f>
        <v>0</v>
      </c>
      <c r="EG88" s="361">
        <f>IF($CP88="CLEARTEC",$BB88+$BK88+$BT88+$CC88+$CL88,0)</f>
        <v>0</v>
      </c>
      <c r="EH88" s="361">
        <f>IF($CP88="CLEARTEC",$BC88+$BL88+$BU88+$CD88+$CM88,0)</f>
        <v>0</v>
      </c>
      <c r="EI88" s="362">
        <f>SUM(EA88:EH88)-EC88-EE88</f>
        <v>0</v>
      </c>
      <c r="EJ88" s="330"/>
      <c r="EK88" s="2200">
        <v>375.61</v>
      </c>
      <c r="EL88" s="1493">
        <f>1074.94-20.23</f>
        <v>1054.71</v>
      </c>
      <c r="EM88" s="313"/>
      <c r="EN88" s="1969">
        <f>204.5+236</f>
        <v>440.5</v>
      </c>
      <c r="EO88" s="313"/>
      <c r="EP88" s="313">
        <v>75</v>
      </c>
      <c r="EQ88" s="1969"/>
      <c r="ER88" s="313"/>
      <c r="ES88" s="363"/>
      <c r="ET88" s="313">
        <f t="shared" si="1615"/>
        <v>75</v>
      </c>
      <c r="EU88" s="1501"/>
      <c r="EV88" s="321">
        <f t="shared" si="1629"/>
        <v>375.61</v>
      </c>
      <c r="EW88" s="321">
        <f t="shared" si="1629"/>
        <v>1054.71</v>
      </c>
      <c r="EX88" s="321">
        <f t="shared" si="1629"/>
        <v>0</v>
      </c>
      <c r="EY88" s="321">
        <f t="shared" si="1629"/>
        <v>440.5</v>
      </c>
      <c r="EZ88" s="321">
        <f t="shared" si="1629"/>
        <v>0</v>
      </c>
      <c r="FA88" s="321">
        <f t="shared" si="1629"/>
        <v>75</v>
      </c>
      <c r="FB88" s="321">
        <f t="shared" si="1591"/>
        <v>0</v>
      </c>
      <c r="FC88" s="321">
        <f t="shared" si="1630"/>
        <v>0</v>
      </c>
      <c r="FD88" s="321">
        <f t="shared" si="1630"/>
        <v>0</v>
      </c>
      <c r="FE88" s="321">
        <f t="shared" si="1630"/>
        <v>75</v>
      </c>
      <c r="FF88" s="332">
        <v>0.5</v>
      </c>
      <c r="FG88" s="332">
        <v>0.5</v>
      </c>
      <c r="FH88" s="332">
        <v>0</v>
      </c>
      <c r="FI88" s="332">
        <v>0</v>
      </c>
      <c r="FJ88" s="332">
        <v>0</v>
      </c>
      <c r="FK88" s="332">
        <v>1</v>
      </c>
      <c r="FL88" s="331">
        <f>+EP88-FA88</f>
        <v>0</v>
      </c>
    </row>
    <row r="89" spans="1:172" s="1977" customFormat="1" ht="15" customHeight="1" outlineLevel="1">
      <c r="A89" s="1984" t="e">
        <f>+#REF!+1</f>
        <v>#REF!</v>
      </c>
      <c r="B89" s="1967" t="s">
        <v>722</v>
      </c>
      <c r="C89" s="1968" t="s">
        <v>718</v>
      </c>
      <c r="D89" s="1968" t="s">
        <v>11</v>
      </c>
      <c r="E89" s="1971">
        <v>3166.38</v>
      </c>
      <c r="F89" s="1970">
        <v>350</v>
      </c>
      <c r="G89" s="1988">
        <f t="shared" si="1536"/>
        <v>3516.38</v>
      </c>
      <c r="H89" s="1971">
        <v>30</v>
      </c>
      <c r="I89" s="1972">
        <v>0</v>
      </c>
      <c r="J89" s="1987">
        <v>1</v>
      </c>
      <c r="K89" s="1972">
        <v>0</v>
      </c>
      <c r="L89" s="317">
        <v>0</v>
      </c>
      <c r="M89" s="317">
        <v>0</v>
      </c>
      <c r="N89" s="1972">
        <f t="shared" ref="N89" si="1633">SUM(I89:M89)</f>
        <v>1</v>
      </c>
      <c r="P89" s="1973"/>
      <c r="Q89" s="1971">
        <f t="shared" si="1538"/>
        <v>0</v>
      </c>
      <c r="R89" s="1974"/>
      <c r="S89" s="1971">
        <f t="shared" si="1539"/>
        <v>0</v>
      </c>
      <c r="T89" s="1974">
        <v>14</v>
      </c>
      <c r="U89" s="1971">
        <f t="shared" si="1540"/>
        <v>277.05825000000004</v>
      </c>
      <c r="V89" s="1973"/>
      <c r="W89" s="1971">
        <f t="shared" si="1541"/>
        <v>0</v>
      </c>
      <c r="X89" s="1974"/>
      <c r="Y89" s="1971">
        <f t="shared" si="1542"/>
        <v>0</v>
      </c>
      <c r="Z89" s="1975">
        <v>0</v>
      </c>
      <c r="AA89" s="1971">
        <f t="shared" si="1543"/>
        <v>0</v>
      </c>
      <c r="AB89" s="323"/>
      <c r="AC89" s="324">
        <f t="shared" si="1544"/>
        <v>0</v>
      </c>
      <c r="AD89" s="323"/>
      <c r="AE89" s="324">
        <f t="shared" si="1545"/>
        <v>0</v>
      </c>
      <c r="AF89" s="324"/>
      <c r="AG89" s="324">
        <f>(($E89/30/8)*1.5)*AF89</f>
        <v>0</v>
      </c>
      <c r="AH89" s="323"/>
      <c r="AI89" s="324">
        <f>(($E89/30/8)*2)*AH89</f>
        <v>0</v>
      </c>
      <c r="AJ89" s="325"/>
      <c r="AK89" s="325"/>
      <c r="AL89" s="325"/>
      <c r="AM89" s="325"/>
      <c r="AN89" s="325"/>
      <c r="AO89" s="325"/>
      <c r="AP89" s="325"/>
      <c r="AQ89" s="325"/>
      <c r="AR89" s="325"/>
      <c r="AS89" s="325"/>
      <c r="AT89" s="1970"/>
      <c r="AU89" s="1980"/>
      <c r="AV89" s="1971">
        <f>((E89/30)*H89)*$I89</f>
        <v>0</v>
      </c>
      <c r="AW89" s="1979">
        <f>((F89/30)*H89)*$I89</f>
        <v>0</v>
      </c>
      <c r="AX89" s="1971">
        <f t="shared" ref="AX89" si="1634">P89</f>
        <v>0</v>
      </c>
      <c r="AY89" s="1971">
        <f t="shared" si="1547"/>
        <v>0</v>
      </c>
      <c r="AZ89" s="1971">
        <f t="shared" si="1547"/>
        <v>0</v>
      </c>
      <c r="BA89" s="1971">
        <f t="shared" si="1547"/>
        <v>0</v>
      </c>
      <c r="BB89" s="1971">
        <f t="shared" si="1548"/>
        <v>0</v>
      </c>
      <c r="BC89" s="1971">
        <f t="shared" si="1549"/>
        <v>0</v>
      </c>
      <c r="BD89" s="1971">
        <f t="shared" si="1550"/>
        <v>0</v>
      </c>
      <c r="BE89" s="1971">
        <f>(($E89/30)*$H89)*$J89</f>
        <v>3166.38</v>
      </c>
      <c r="BF89" s="906">
        <f>(($F89/30)*$H89)*$J89+250+1350</f>
        <v>1950</v>
      </c>
      <c r="BG89" s="1971">
        <f t="shared" si="1552"/>
        <v>14</v>
      </c>
      <c r="BH89" s="1971">
        <f t="shared" si="1552"/>
        <v>277.05825000000004</v>
      </c>
      <c r="BI89" s="1971">
        <f t="shared" si="1552"/>
        <v>0</v>
      </c>
      <c r="BJ89" s="1971">
        <f t="shared" si="1552"/>
        <v>0</v>
      </c>
      <c r="BK89" s="1971">
        <f t="shared" si="1553"/>
        <v>0</v>
      </c>
      <c r="BL89" s="1971">
        <f t="shared" si="1554"/>
        <v>436.28362627500002</v>
      </c>
      <c r="BM89" s="1970">
        <f t="shared" si="1555"/>
        <v>5829.7218762749999</v>
      </c>
      <c r="BN89" s="1971">
        <f t="shared" si="1556"/>
        <v>0</v>
      </c>
      <c r="BO89" s="1971">
        <f t="shared" ref="BO89" si="1635">(($F89/30)*$H89)*$K89</f>
        <v>0</v>
      </c>
      <c r="BP89" s="1971">
        <f t="shared" si="1557"/>
        <v>0</v>
      </c>
      <c r="BQ89" s="1971">
        <f t="shared" si="1557"/>
        <v>0</v>
      </c>
      <c r="BR89" s="1971">
        <f t="shared" si="1557"/>
        <v>0</v>
      </c>
      <c r="BS89" s="1971">
        <f t="shared" si="1558"/>
        <v>0</v>
      </c>
      <c r="BT89" s="1971">
        <f t="shared" si="1559"/>
        <v>0</v>
      </c>
      <c r="BU89" s="1971">
        <f t="shared" si="1560"/>
        <v>0</v>
      </c>
      <c r="BV89" s="1971">
        <f t="shared" si="1561"/>
        <v>0</v>
      </c>
      <c r="BW89" s="327">
        <f>(($E89/30)*$H89)*$L89</f>
        <v>0</v>
      </c>
      <c r="BX89" s="328">
        <f t="shared" si="1597"/>
        <v>0</v>
      </c>
      <c r="BY89" s="328">
        <f t="shared" si="1631"/>
        <v>0</v>
      </c>
      <c r="BZ89" s="328">
        <f t="shared" si="1631"/>
        <v>0</v>
      </c>
      <c r="CA89" s="328">
        <f t="shared" si="1631"/>
        <v>0</v>
      </c>
      <c r="CB89" s="328">
        <f t="shared" si="1631"/>
        <v>0</v>
      </c>
      <c r="CC89" s="328">
        <f>AM89+AR89</f>
        <v>0</v>
      </c>
      <c r="CD89" s="328">
        <f>(BW89+BZ89+CB89)*0.1267</f>
        <v>0</v>
      </c>
      <c r="CE89" s="328">
        <f>SUM(BW89:CD89)-BY89-CA89</f>
        <v>0</v>
      </c>
      <c r="CF89" s="328">
        <f>(($E89/30)*$H89)*M89</f>
        <v>0</v>
      </c>
      <c r="CG89" s="328">
        <f>(($F89/30)*$H89)*$M89</f>
        <v>0</v>
      </c>
      <c r="CH89" s="328">
        <f>+AF89</f>
        <v>0</v>
      </c>
      <c r="CI89" s="328">
        <f t="shared" si="1632"/>
        <v>0</v>
      </c>
      <c r="CJ89" s="328">
        <f t="shared" si="1632"/>
        <v>0</v>
      </c>
      <c r="CK89" s="328">
        <f t="shared" si="1632"/>
        <v>0</v>
      </c>
      <c r="CL89" s="328">
        <f>AN89+AS89</f>
        <v>0</v>
      </c>
      <c r="CM89" s="328">
        <f>(CF89+CI89+CK89)*0.1267</f>
        <v>0</v>
      </c>
      <c r="CN89" s="329">
        <f>SUM(CF89:CM89)-CH89-CJ89</f>
        <v>0</v>
      </c>
      <c r="CO89" s="1976"/>
      <c r="CP89" s="1969" t="s">
        <v>11</v>
      </c>
      <c r="CQ89" s="1971">
        <f t="shared" ref="CQ89" si="1636">IF($CP89="PROQUIMA",$AV89+$BE89+$BN89+$BW89+$CF89,0)</f>
        <v>0</v>
      </c>
      <c r="CR89" s="1971">
        <f t="shared" ref="CR89" si="1637">IF($CP89="PROQUIMA",$AW89+$BF89+$BO89+$BX89+$CG89,0)</f>
        <v>0</v>
      </c>
      <c r="CS89" s="1971">
        <f t="shared" ref="CS89" si="1638">IF($CP89="PROQUIMA",$AX89+$BG89+$BP89+$BY89+$CH89,0)</f>
        <v>0</v>
      </c>
      <c r="CT89" s="1971">
        <f t="shared" ref="CT89" si="1639">IF($CP89="PROQUIMA",$AY89+$BH89+$BQ89+$BZ89+$CI89,0)</f>
        <v>0</v>
      </c>
      <c r="CU89" s="1971">
        <f t="shared" ref="CU89" si="1640">IF($CP89="PROQUIMA",$AZ89+$BI89+$BR89+$CA89+$CJ89,0)</f>
        <v>0</v>
      </c>
      <c r="CV89" s="1971">
        <f t="shared" ref="CV89" si="1641">IF($CP89="PROQUIMA",$BA89+$BJ89+$BS89+$CB89+$CK89,0)</f>
        <v>0</v>
      </c>
      <c r="CW89" s="1971">
        <f t="shared" ref="CW89" si="1642">IF($CP89="PROQUIMA",$BB89+$BK89+$BT89+$CC89+$CL89,0)</f>
        <v>0</v>
      </c>
      <c r="CX89" s="1971">
        <f t="shared" si="1569"/>
        <v>0</v>
      </c>
      <c r="CY89" s="1971">
        <f t="shared" si="1570"/>
        <v>0</v>
      </c>
      <c r="CZ89" s="1971">
        <f t="shared" ref="CZ89" si="1643">IF($CP89="UNHESA",$AV89+$BE89+$BN89+$BW89+$CF89,0)</f>
        <v>3166.38</v>
      </c>
      <c r="DA89" s="1971">
        <f t="shared" ref="DA89" si="1644">IF($CP89="UNHESA",$AW89+$BF89+$BO89+$BX89+$CG89,0)</f>
        <v>1950</v>
      </c>
      <c r="DB89" s="1971">
        <f t="shared" ref="DB89" si="1645">IF($CP89="UNHESA",$AX89+$BG89+$BP89+$BY89+$CH89,0)</f>
        <v>14</v>
      </c>
      <c r="DC89" s="1971">
        <f t="shared" ref="DC89" si="1646">IF($CP89="UNHESA",$AY89+$BH89+$BQ89+$BZ89+$CI89,0)</f>
        <v>277.05825000000004</v>
      </c>
      <c r="DD89" s="1971">
        <f t="shared" ref="DD89" si="1647">IF($CP89="UNHESA",$AZ89+$BI89+$BR89+$CA89+$CJ89,0)</f>
        <v>0</v>
      </c>
      <c r="DE89" s="1971">
        <f t="shared" ref="DE89" si="1648">IF($CP89="UNHESA",$BA89+$BJ89+$BS89+$CB89+$CK89,0)</f>
        <v>0</v>
      </c>
      <c r="DF89" s="1971">
        <f t="shared" ref="DF89" si="1649">IF($CP89="UNHESA",$BB89+$BK89+$BT89+$CC89+$CL89,0)</f>
        <v>0</v>
      </c>
      <c r="DG89" s="1971">
        <f t="shared" ref="DG89" si="1650">IF($CP89="UNHESA",$BC89+$BL89+$BU89+$CD89+$CM89,0)</f>
        <v>436.28362627500002</v>
      </c>
      <c r="DH89" s="1971">
        <f t="shared" ref="DH89" si="1651">SUM(CZ89:DG89)-DB89-DD89</f>
        <v>5829.7218762749999</v>
      </c>
      <c r="DI89" s="1971">
        <f>IF($CP89="UNHESA LIQUIDOS",$AV89+$BE89+$BN89+$BW89+$CF89,0)</f>
        <v>0</v>
      </c>
      <c r="DJ89" s="1971">
        <f>IF($CP89="UNHESA LIQUIDOS",$AW89+$BF89+$BO89+$BX89+$CG89,0)</f>
        <v>0</v>
      </c>
      <c r="DK89" s="1971">
        <f>IF($CP89="UNHESA LIQUIDOS",$AX89+$BG89+$BP89+$BY89+$CH89,0)</f>
        <v>0</v>
      </c>
      <c r="DL89" s="1971">
        <f>IF($CP89="UNHESA LIQUIDOS",$AY89+$BH89+$BQ89+$BZ89+$CI89,0)</f>
        <v>0</v>
      </c>
      <c r="DM89" s="1971">
        <f>IF($CP89="UNHESA LIQUIDOS",$AZ89+$BI89+$BR89+$CA89+$CJ89,0)</f>
        <v>0</v>
      </c>
      <c r="DN89" s="1971">
        <f>IF($CP89="UNHESA LIQUIDOS",$BA89+$BJ89+$BS89+$CB89+$CK89,0)</f>
        <v>0</v>
      </c>
      <c r="DO89" s="1971">
        <f>IF($CP89="UNHESA LIQUIDOS",$BB89+$BK89+$BT89+$CC89+$CL89,0)</f>
        <v>0</v>
      </c>
      <c r="DP89" s="1971">
        <f>IF($CP89="UNHESA LIQUIDOS",$BC89+$BL89+$BU89+$CD89+$CM89,0)</f>
        <v>0</v>
      </c>
      <c r="DQ89" s="1971">
        <f>SUM(DI89:DP89)-DK89-DM89</f>
        <v>0</v>
      </c>
      <c r="DR89" s="1981">
        <f t="shared" ref="DR89" si="1652">IF($CP89="ECONACIONAL",$AV89+$BE89+$BN89+$BW89+$CF89,0)</f>
        <v>0</v>
      </c>
      <c r="DS89" s="1982">
        <f t="shared" ref="DS89" si="1653">IF($CP89="ECONACIONAL",$AW89+$BF89+$BO89+$BX89+$CG89,0)</f>
        <v>0</v>
      </c>
      <c r="DT89" s="1982">
        <f t="shared" ref="DT89" si="1654">IF($CP89="ECONACIONAL",$AX89+$BG89+$BP89+$BY89+$CH89,0)</f>
        <v>0</v>
      </c>
      <c r="DU89" s="1982">
        <f t="shared" ref="DU89" si="1655">IF($CP89="ECONACIONAL",$AY89+$BH89+$BQ89+$BZ89+$CI89,0)</f>
        <v>0</v>
      </c>
      <c r="DV89" s="1982">
        <f t="shared" ref="DV89" si="1656">IF($CP89="ECONACIONAL",$AZ89+$BI89+$BR89+$CA89+$CJ89,0)</f>
        <v>0</v>
      </c>
      <c r="DW89" s="1982">
        <f t="shared" ref="DW89" si="1657">IF($CP89="ECONACIONAL",$BA89+$BJ89+$BS89+$CB89+$CK89,0)</f>
        <v>0</v>
      </c>
      <c r="DX89" s="1982">
        <f t="shared" ref="DX89" si="1658">IF($CP89="ECONACIONAL",$BB89+$BK89+$BT89+$CC89+$CL89,0)</f>
        <v>0</v>
      </c>
      <c r="DY89" s="1982">
        <f t="shared" ref="DY89" si="1659">IF($CP89="ECONACIONAL",$BC89+$BL89+$BU89+$CD89+$CM89,0)</f>
        <v>0</v>
      </c>
      <c r="DZ89" s="1982">
        <f>SUM(DR89:DY89)-DT89-DV89</f>
        <v>0</v>
      </c>
      <c r="EA89" s="1982">
        <f t="shared" ref="EA89" si="1660">IF($CP89="CLEARTEC",$AV89+$BE89+$BN89+$BW89+$CF89,0)</f>
        <v>0</v>
      </c>
      <c r="EB89" s="1982">
        <f t="shared" ref="EB89" si="1661">IF($CP89="CLEARTEC",$AW89+$BF89+$BO89+$BX89+$CG89,0)</f>
        <v>0</v>
      </c>
      <c r="EC89" s="1982">
        <f t="shared" ref="EC89" si="1662">IF($CP89="CLEARTEC",$AX89+$BG89+$BP89+$BY89+$CH89,0)</f>
        <v>0</v>
      </c>
      <c r="ED89" s="1982">
        <f t="shared" ref="ED89" si="1663">IF($CP89="CLEARTEC",$AY89+$BH89+$BQ89+$BZ89+$CI89,0)</f>
        <v>0</v>
      </c>
      <c r="EE89" s="1982">
        <f t="shared" ref="EE89" si="1664">IF($CP89="CLEARTEC",$AZ89+$BI89+$BR89+$CA89+$CJ89,0)</f>
        <v>0</v>
      </c>
      <c r="EF89" s="1982">
        <f t="shared" ref="EF89" si="1665">IF($CP89="CLEARTEC",$BA89+$BJ89+$BS89+$CB89+$CK89,0)</f>
        <v>0</v>
      </c>
      <c r="EG89" s="1982">
        <f t="shared" ref="EG89" si="1666">IF($CP89="CLEARTEC",$BB89+$BK89+$BT89+$CC89+$CL89,0)</f>
        <v>0</v>
      </c>
      <c r="EH89" s="1982">
        <f t="shared" ref="EH89" si="1667">IF($CP89="CLEARTEC",$BC89+$BL89+$BU89+$CD89+$CM89,0)</f>
        <v>0</v>
      </c>
      <c r="EI89" s="1983">
        <f>SUM(EA89:EH89)-EC89-EE89</f>
        <v>0</v>
      </c>
      <c r="EJ89" s="1976"/>
      <c r="EK89" s="1968"/>
      <c r="EL89" s="1968"/>
      <c r="EM89" s="1969"/>
      <c r="EN89" s="1969">
        <f>250.5+328.5</f>
        <v>579</v>
      </c>
      <c r="EO89" s="1969"/>
      <c r="EP89" s="1969">
        <v>50</v>
      </c>
      <c r="EQ89" s="1969"/>
      <c r="ER89" s="1969"/>
      <c r="ES89" s="1969"/>
      <c r="ET89" s="1969">
        <f>+EO89+EP89+EQ89</f>
        <v>50</v>
      </c>
      <c r="EV89" s="1974">
        <f t="shared" si="1629"/>
        <v>0</v>
      </c>
      <c r="EW89" s="1974">
        <f t="shared" si="1629"/>
        <v>0</v>
      </c>
      <c r="EX89" s="1974">
        <f t="shared" si="1629"/>
        <v>0</v>
      </c>
      <c r="EY89" s="1974">
        <f t="shared" si="1629"/>
        <v>579</v>
      </c>
      <c r="EZ89" s="1974">
        <f t="shared" si="1629"/>
        <v>0</v>
      </c>
      <c r="FA89" s="1974">
        <f t="shared" si="1629"/>
        <v>50</v>
      </c>
      <c r="FB89" s="1974">
        <f t="shared" si="1591"/>
        <v>0</v>
      </c>
      <c r="FC89" s="1974">
        <f t="shared" si="1630"/>
        <v>0</v>
      </c>
      <c r="FD89" s="1974">
        <f t="shared" si="1630"/>
        <v>0</v>
      </c>
      <c r="FE89" s="1974">
        <f t="shared" si="1630"/>
        <v>50</v>
      </c>
      <c r="FF89" s="1978"/>
      <c r="FG89" s="1978"/>
      <c r="FH89" s="1978"/>
      <c r="FI89" s="1978"/>
      <c r="FJ89" s="1978"/>
      <c r="FK89" s="1978"/>
    </row>
    <row r="90" spans="1:172" s="1534" customFormat="1" ht="15" customHeight="1" outlineLevel="1">
      <c r="A90" s="415" t="e">
        <f>+A88+1</f>
        <v>#REF!</v>
      </c>
      <c r="B90" s="311" t="s">
        <v>530</v>
      </c>
      <c r="C90" s="312" t="s">
        <v>710</v>
      </c>
      <c r="D90" s="313" t="s">
        <v>10</v>
      </c>
      <c r="E90" s="314">
        <v>4000</v>
      </c>
      <c r="F90" s="1578">
        <v>1000</v>
      </c>
      <c r="G90" s="314">
        <f t="shared" si="1536"/>
        <v>5000</v>
      </c>
      <c r="H90" s="1971">
        <v>30</v>
      </c>
      <c r="I90" s="1580">
        <v>0.2</v>
      </c>
      <c r="J90" s="1580">
        <v>0.8</v>
      </c>
      <c r="K90" s="1580">
        <v>0</v>
      </c>
      <c r="L90" s="318">
        <v>0</v>
      </c>
      <c r="M90" s="1498">
        <v>0</v>
      </c>
      <c r="N90" s="318">
        <f t="shared" si="1537"/>
        <v>1</v>
      </c>
      <c r="O90" s="1418"/>
      <c r="P90" s="320"/>
      <c r="Q90" s="315">
        <f t="shared" si="1538"/>
        <v>0</v>
      </c>
      <c r="R90" s="404">
        <v>0</v>
      </c>
      <c r="S90" s="358">
        <f t="shared" si="1539"/>
        <v>0</v>
      </c>
      <c r="T90" s="404"/>
      <c r="U90" s="358">
        <f t="shared" si="1540"/>
        <v>0</v>
      </c>
      <c r="V90" s="404"/>
      <c r="W90" s="315">
        <f t="shared" si="1541"/>
        <v>0</v>
      </c>
      <c r="X90" s="321"/>
      <c r="Y90" s="315">
        <f t="shared" si="1542"/>
        <v>0</v>
      </c>
      <c r="Z90" s="322"/>
      <c r="AA90" s="315">
        <f t="shared" si="1543"/>
        <v>0</v>
      </c>
      <c r="AB90" s="322"/>
      <c r="AC90" s="315">
        <f t="shared" si="1544"/>
        <v>0</v>
      </c>
      <c r="AD90" s="322"/>
      <c r="AE90" s="315">
        <f t="shared" si="1545"/>
        <v>0</v>
      </c>
      <c r="AF90" s="315"/>
      <c r="AG90" s="315">
        <f>(($E90/30/8)*1.5)*AF90</f>
        <v>0</v>
      </c>
      <c r="AH90" s="322"/>
      <c r="AI90" s="315">
        <f>(($E90/30/8)*2)*AH90</f>
        <v>0</v>
      </c>
      <c r="AJ90" s="314"/>
      <c r="AK90" s="314"/>
      <c r="AL90" s="314"/>
      <c r="AM90" s="314"/>
      <c r="AN90" s="314"/>
      <c r="AO90" s="315"/>
      <c r="AP90" s="314"/>
      <c r="AQ90" s="314"/>
      <c r="AR90" s="314"/>
      <c r="AS90" s="314"/>
      <c r="AT90" s="314"/>
      <c r="AU90" s="326"/>
      <c r="AV90" s="315">
        <f t="shared" si="1546"/>
        <v>800.00000000000011</v>
      </c>
      <c r="AW90" s="1574">
        <f>((F90/30)*H90)*$I90+200+400+237.93</f>
        <v>1037.93</v>
      </c>
      <c r="AX90" s="315">
        <f t="shared" si="1547"/>
        <v>0</v>
      </c>
      <c r="AY90" s="315">
        <f t="shared" si="1547"/>
        <v>0</v>
      </c>
      <c r="AZ90" s="315">
        <f t="shared" si="1547"/>
        <v>0</v>
      </c>
      <c r="BA90" s="315">
        <f t="shared" si="1547"/>
        <v>0</v>
      </c>
      <c r="BB90" s="315">
        <f t="shared" si="1548"/>
        <v>0</v>
      </c>
      <c r="BC90" s="315">
        <f t="shared" si="1549"/>
        <v>101.36000000000001</v>
      </c>
      <c r="BD90" s="315">
        <f t="shared" si="1550"/>
        <v>1939.2900000000004</v>
      </c>
      <c r="BE90" s="358">
        <f>(($E90/30)*$H90)*$J90</f>
        <v>3200.0000000000005</v>
      </c>
      <c r="BF90" s="1574">
        <f>(($F90/30)*$H90)*$J90+150+300+951.74</f>
        <v>2201.7399999999998</v>
      </c>
      <c r="BG90" s="315">
        <f>T90</f>
        <v>0</v>
      </c>
      <c r="BH90" s="315">
        <f t="shared" si="1552"/>
        <v>0</v>
      </c>
      <c r="BI90" s="315">
        <f t="shared" si="1552"/>
        <v>0</v>
      </c>
      <c r="BJ90" s="315">
        <f t="shared" si="1552"/>
        <v>0</v>
      </c>
      <c r="BK90" s="315">
        <f t="shared" si="1553"/>
        <v>0</v>
      </c>
      <c r="BL90" s="315">
        <f t="shared" si="1554"/>
        <v>405.44000000000005</v>
      </c>
      <c r="BM90" s="314">
        <f t="shared" si="1555"/>
        <v>5807.18</v>
      </c>
      <c r="BN90" s="315">
        <f>(($E90/30)*$H90)*$K90</f>
        <v>0</v>
      </c>
      <c r="BO90" s="906">
        <f>(($F90/30)*$H90)*$K90+150+300</f>
        <v>450</v>
      </c>
      <c r="BP90" s="315">
        <f t="shared" si="1557"/>
        <v>0</v>
      </c>
      <c r="BQ90" s="315">
        <f t="shared" si="1557"/>
        <v>0</v>
      </c>
      <c r="BR90" s="315">
        <f t="shared" si="1557"/>
        <v>0</v>
      </c>
      <c r="BS90" s="315">
        <f t="shared" si="1558"/>
        <v>0</v>
      </c>
      <c r="BT90" s="315">
        <f t="shared" si="1559"/>
        <v>0</v>
      </c>
      <c r="BU90" s="315">
        <f t="shared" si="1560"/>
        <v>0</v>
      </c>
      <c r="BV90" s="315">
        <f t="shared" si="1561"/>
        <v>450</v>
      </c>
      <c r="BW90" s="360">
        <f>(($E90/30)*$H90)*$L90</f>
        <v>0</v>
      </c>
      <c r="BX90" s="361">
        <f t="shared" si="1597"/>
        <v>0</v>
      </c>
      <c r="BY90" s="361">
        <f t="shared" si="1631"/>
        <v>0</v>
      </c>
      <c r="BZ90" s="361">
        <f t="shared" si="1631"/>
        <v>0</v>
      </c>
      <c r="CA90" s="361">
        <f t="shared" si="1631"/>
        <v>0</v>
      </c>
      <c r="CB90" s="361">
        <f t="shared" si="1631"/>
        <v>0</v>
      </c>
      <c r="CC90" s="361">
        <f>AM90+AR90</f>
        <v>0</v>
      </c>
      <c r="CD90" s="361">
        <f>(BW90+BZ90+CB90)*0.1267</f>
        <v>0</v>
      </c>
      <c r="CE90" s="361">
        <f>SUM(BW90:CD90)-BY90-CA90</f>
        <v>0</v>
      </c>
      <c r="CF90" s="361">
        <f>(($E90/30)*$H90)*M90</f>
        <v>0</v>
      </c>
      <c r="CG90" s="361">
        <f>(($F90/30)*$H90)*$M90</f>
        <v>0</v>
      </c>
      <c r="CH90" s="361">
        <f>+AF90</f>
        <v>0</v>
      </c>
      <c r="CI90" s="361">
        <f t="shared" si="1632"/>
        <v>0</v>
      </c>
      <c r="CJ90" s="361">
        <f t="shared" si="1632"/>
        <v>0</v>
      </c>
      <c r="CK90" s="361">
        <f t="shared" si="1632"/>
        <v>0</v>
      </c>
      <c r="CL90" s="361">
        <f>AN90+AS90</f>
        <v>0</v>
      </c>
      <c r="CM90" s="361">
        <f>(CF90+CI90+CK90)*0.1267</f>
        <v>0</v>
      </c>
      <c r="CN90" s="362">
        <f>SUM(CF90:CM90)-CH90-CJ90</f>
        <v>0</v>
      </c>
      <c r="CP90" s="313" t="s">
        <v>10</v>
      </c>
      <c r="CQ90" s="315">
        <f t="shared" si="1562"/>
        <v>4000.0000000000005</v>
      </c>
      <c r="CR90" s="315">
        <f t="shared" si="1563"/>
        <v>3689.67</v>
      </c>
      <c r="CS90" s="315">
        <f t="shared" si="1564"/>
        <v>0</v>
      </c>
      <c r="CT90" s="315">
        <f t="shared" si="1565"/>
        <v>0</v>
      </c>
      <c r="CU90" s="315">
        <f t="shared" si="1566"/>
        <v>0</v>
      </c>
      <c r="CV90" s="315">
        <f t="shared" si="1567"/>
        <v>0</v>
      </c>
      <c r="CW90" s="315">
        <f t="shared" si="1568"/>
        <v>0</v>
      </c>
      <c r="CX90" s="315">
        <f t="shared" si="1569"/>
        <v>506.80000000000007</v>
      </c>
      <c r="CY90" s="315">
        <f t="shared" si="1570"/>
        <v>8196.4699999999993</v>
      </c>
      <c r="CZ90" s="315">
        <f t="shared" si="1571"/>
        <v>0</v>
      </c>
      <c r="DA90" s="315">
        <f t="shared" si="1572"/>
        <v>0</v>
      </c>
      <c r="DB90" s="315">
        <f t="shared" si="1573"/>
        <v>0</v>
      </c>
      <c r="DC90" s="315">
        <f t="shared" si="1574"/>
        <v>0</v>
      </c>
      <c r="DD90" s="315">
        <f t="shared" si="1575"/>
        <v>0</v>
      </c>
      <c r="DE90" s="315">
        <f t="shared" si="1576"/>
        <v>0</v>
      </c>
      <c r="DF90" s="315">
        <f t="shared" si="1577"/>
        <v>0</v>
      </c>
      <c r="DG90" s="315">
        <f t="shared" si="1578"/>
        <v>0</v>
      </c>
      <c r="DH90" s="315">
        <f t="shared" si="1579"/>
        <v>0</v>
      </c>
      <c r="DI90" s="324">
        <f t="shared" si="1580"/>
        <v>0</v>
      </c>
      <c r="DJ90" s="324">
        <f t="shared" si="1581"/>
        <v>0</v>
      </c>
      <c r="DK90" s="324">
        <f t="shared" si="1582"/>
        <v>0</v>
      </c>
      <c r="DL90" s="324">
        <f t="shared" si="1583"/>
        <v>0</v>
      </c>
      <c r="DM90" s="324">
        <f t="shared" si="1584"/>
        <v>0</v>
      </c>
      <c r="DN90" s="324">
        <f t="shared" si="1585"/>
        <v>0</v>
      </c>
      <c r="DO90" s="324">
        <f t="shared" si="1586"/>
        <v>0</v>
      </c>
      <c r="DP90" s="324">
        <f t="shared" si="1587"/>
        <v>0</v>
      </c>
      <c r="DQ90" s="324">
        <f t="shared" si="1588"/>
        <v>0</v>
      </c>
      <c r="DR90" s="360">
        <f>IF($CP90="ECONACIONAL",$AV90+$BE90+$BN90+$BW90+$CF90,0)</f>
        <v>0</v>
      </c>
      <c r="DS90" s="361">
        <f>IF($CP90="ECONACIONAL",$AW90+$BF90+$BO90+$BX90+$CG90,0)</f>
        <v>0</v>
      </c>
      <c r="DT90" s="361">
        <f>IF($CP90="ECONACIONAL",$AX90+$BG90+$BP90+$BY90+$CH90,0)</f>
        <v>0</v>
      </c>
      <c r="DU90" s="361">
        <f>IF($CP90="ECONACIONAL",$AY90+$BH90+$BQ90+$BZ90+$CI90,0)</f>
        <v>0</v>
      </c>
      <c r="DV90" s="361">
        <f>IF($CP90="ECONACIONAL",$AZ90+$BI90+$BR90+$CA90+$CJ90,0)</f>
        <v>0</v>
      </c>
      <c r="DW90" s="361">
        <f>IF($CP90="ECONACIONAL",$BA90+$BJ90+$BS90+$CB90+$CK90,0)</f>
        <v>0</v>
      </c>
      <c r="DX90" s="361">
        <f>IF($CP90="ECONACIONAL",$BB90+$BK90+$BT90+$CC90+$CL90,0)</f>
        <v>0</v>
      </c>
      <c r="DY90" s="361">
        <f>IF($CP90="ECONACIONAL",$BC90+$BL90+$BU90+$CD90+$CM90,0)</f>
        <v>0</v>
      </c>
      <c r="DZ90" s="361">
        <f>SUM(DR90:DY90)-DT90-DV90</f>
        <v>0</v>
      </c>
      <c r="EA90" s="361">
        <f>IF($CP90="CLEARTEC",$AV90+$BE90+$BN90+$BW90+$CF90,0)</f>
        <v>0</v>
      </c>
      <c r="EB90" s="361">
        <f>IF($CP90="CLEARTEC",$AW90+$BF90+$BO90+$BX90+$CG90,0)</f>
        <v>0</v>
      </c>
      <c r="EC90" s="361">
        <f>IF($CP90="CLEARTEC",$AX90+$BG90+$BP90+$BY90+$CH90,0)</f>
        <v>0</v>
      </c>
      <c r="ED90" s="361">
        <f>IF($CP90="CLEARTEC",$AY90+$BH90+$BQ90+$BZ90+$CI90,0)</f>
        <v>0</v>
      </c>
      <c r="EE90" s="361">
        <f>IF($CP90="CLEARTEC",$AZ90+$BI90+$BR90+$CA90+$CJ90,0)</f>
        <v>0</v>
      </c>
      <c r="EF90" s="361">
        <f>IF($CP90="CLEARTEC",$BA90+$BJ90+$BS90+$CB90+$CK90,0)</f>
        <v>0</v>
      </c>
      <c r="EG90" s="361">
        <f>IF($CP90="CLEARTEC",$BB90+$BK90+$BT90+$CC90+$CL90,0)</f>
        <v>0</v>
      </c>
      <c r="EH90" s="361">
        <f>IF($CP90="CLEARTEC",$BC90+$BL90+$BU90+$CD90+$CM90,0)</f>
        <v>0</v>
      </c>
      <c r="EI90" s="362">
        <f>SUM(EA90:EH90)-EC90-EE90</f>
        <v>0</v>
      </c>
      <c r="EK90" s="2200">
        <v>135.34</v>
      </c>
      <c r="EL90" s="1581">
        <f>992.95</f>
        <v>992.95</v>
      </c>
      <c r="EM90" s="313"/>
      <c r="EN90" s="1969">
        <f>193.25+193</f>
        <v>386.25</v>
      </c>
      <c r="EO90" s="313"/>
      <c r="EP90" s="1543">
        <v>50</v>
      </c>
      <c r="EQ90" s="1969"/>
      <c r="ER90" s="1969"/>
      <c r="ES90" s="363"/>
      <c r="ET90" s="313">
        <f t="shared" si="1615"/>
        <v>50</v>
      </c>
      <c r="EU90" s="1501"/>
      <c r="EV90" s="321">
        <f t="shared" si="1629"/>
        <v>135.34</v>
      </c>
      <c r="EW90" s="321">
        <f t="shared" si="1629"/>
        <v>992.95</v>
      </c>
      <c r="EX90" s="321">
        <f t="shared" si="1629"/>
        <v>0</v>
      </c>
      <c r="EY90" s="321">
        <f t="shared" si="1629"/>
        <v>386.25</v>
      </c>
      <c r="EZ90" s="321">
        <f t="shared" si="1629"/>
        <v>0</v>
      </c>
      <c r="FA90" s="321">
        <f t="shared" si="1629"/>
        <v>50</v>
      </c>
      <c r="FB90" s="321">
        <f>IF($H90&lt;=15,EQ90/2,EQ90)</f>
        <v>0</v>
      </c>
      <c r="FC90" s="321">
        <f t="shared" si="1630"/>
        <v>0</v>
      </c>
      <c r="FD90" s="321">
        <f t="shared" si="1630"/>
        <v>0</v>
      </c>
      <c r="FE90" s="321">
        <f t="shared" si="1630"/>
        <v>50</v>
      </c>
      <c r="FF90" s="332">
        <v>0.5</v>
      </c>
      <c r="FG90" s="332">
        <v>0.5</v>
      </c>
      <c r="FH90" s="332">
        <v>0</v>
      </c>
      <c r="FI90" s="332">
        <v>0</v>
      </c>
      <c r="FJ90" s="332">
        <v>0</v>
      </c>
      <c r="FK90" s="332">
        <v>1</v>
      </c>
      <c r="FL90" s="331">
        <f>+EP90-FA90</f>
        <v>0</v>
      </c>
    </row>
    <row r="91" spans="1:172" s="1501" customFormat="1" ht="15.75" customHeight="1" outlineLevel="1" thickBot="1">
      <c r="A91" s="354"/>
      <c r="B91" s="1348"/>
      <c r="C91" s="1582"/>
      <c r="D91" s="1582"/>
      <c r="E91" s="1583">
        <f>SUM(E83:E90)</f>
        <v>42516.38</v>
      </c>
      <c r="F91" s="1583">
        <f>SUM(F83:F90)</f>
        <v>15700</v>
      </c>
      <c r="G91" s="1583">
        <f>SUM(G83:G90)</f>
        <v>58216.38</v>
      </c>
      <c r="H91" s="1584"/>
      <c r="I91" s="1585"/>
      <c r="J91" s="1585"/>
      <c r="K91" s="1585"/>
      <c r="L91" s="1585"/>
      <c r="M91" s="1585"/>
      <c r="N91" s="1585"/>
      <c r="O91" s="1477"/>
      <c r="P91" s="1586">
        <f t="shared" ref="P91:AU91" si="1668">SUM(P83:P90)</f>
        <v>0</v>
      </c>
      <c r="Q91" s="1586">
        <f t="shared" si="1668"/>
        <v>0</v>
      </c>
      <c r="R91" s="1586">
        <f t="shared" si="1668"/>
        <v>0</v>
      </c>
      <c r="S91" s="1586">
        <f t="shared" si="1668"/>
        <v>0</v>
      </c>
      <c r="T91" s="1586">
        <f t="shared" si="1668"/>
        <v>48.5</v>
      </c>
      <c r="U91" s="1586">
        <f t="shared" si="1668"/>
        <v>1020.9645</v>
      </c>
      <c r="V91" s="1586">
        <f t="shared" si="1668"/>
        <v>0</v>
      </c>
      <c r="W91" s="1586">
        <f t="shared" si="1668"/>
        <v>0</v>
      </c>
      <c r="X91" s="1586">
        <f t="shared" si="1668"/>
        <v>0</v>
      </c>
      <c r="Y91" s="1586">
        <f t="shared" si="1668"/>
        <v>0</v>
      </c>
      <c r="Z91" s="1586">
        <f t="shared" si="1668"/>
        <v>0</v>
      </c>
      <c r="AA91" s="1586">
        <f t="shared" si="1668"/>
        <v>0</v>
      </c>
      <c r="AB91" s="1586">
        <f t="shared" si="1668"/>
        <v>0</v>
      </c>
      <c r="AC91" s="1586">
        <f t="shared" si="1668"/>
        <v>0</v>
      </c>
      <c r="AD91" s="1586">
        <f t="shared" si="1668"/>
        <v>0</v>
      </c>
      <c r="AE91" s="1586">
        <f t="shared" si="1668"/>
        <v>0</v>
      </c>
      <c r="AF91" s="1586">
        <f t="shared" si="1668"/>
        <v>0</v>
      </c>
      <c r="AG91" s="1586">
        <f t="shared" si="1668"/>
        <v>0</v>
      </c>
      <c r="AH91" s="1586">
        <f t="shared" si="1668"/>
        <v>0</v>
      </c>
      <c r="AI91" s="1586">
        <f t="shared" si="1668"/>
        <v>0</v>
      </c>
      <c r="AJ91" s="1586">
        <f t="shared" si="1668"/>
        <v>0</v>
      </c>
      <c r="AK91" s="1586">
        <f t="shared" si="1668"/>
        <v>0</v>
      </c>
      <c r="AL91" s="1586">
        <f t="shared" si="1668"/>
        <v>0</v>
      </c>
      <c r="AM91" s="1586">
        <f t="shared" si="1668"/>
        <v>0</v>
      </c>
      <c r="AN91" s="1586">
        <f t="shared" si="1668"/>
        <v>0</v>
      </c>
      <c r="AO91" s="1586">
        <f t="shared" si="1668"/>
        <v>0</v>
      </c>
      <c r="AP91" s="1586">
        <f t="shared" si="1668"/>
        <v>0</v>
      </c>
      <c r="AQ91" s="1586">
        <f t="shared" si="1668"/>
        <v>0</v>
      </c>
      <c r="AR91" s="1586">
        <f t="shared" si="1668"/>
        <v>0</v>
      </c>
      <c r="AS91" s="1586">
        <f t="shared" si="1668"/>
        <v>0</v>
      </c>
      <c r="AT91" s="1586">
        <f t="shared" si="1668"/>
        <v>0</v>
      </c>
      <c r="AU91" s="1586">
        <f t="shared" si="1668"/>
        <v>0</v>
      </c>
      <c r="AV91" s="1586">
        <f t="shared" ref="AV91:CA91" si="1669">SUM(AV83:AV90)</f>
        <v>15630</v>
      </c>
      <c r="AW91" s="1586">
        <f>SUM(AW83:AW90)</f>
        <v>18940.919999999998</v>
      </c>
      <c r="AX91" s="1586">
        <f t="shared" si="1669"/>
        <v>0</v>
      </c>
      <c r="AY91" s="1586">
        <f t="shared" si="1669"/>
        <v>0</v>
      </c>
      <c r="AZ91" s="1586">
        <f t="shared" si="1669"/>
        <v>0</v>
      </c>
      <c r="BA91" s="1586">
        <f t="shared" si="1669"/>
        <v>0</v>
      </c>
      <c r="BB91" s="1586">
        <f t="shared" si="1669"/>
        <v>0</v>
      </c>
      <c r="BC91" s="1586">
        <f t="shared" si="1669"/>
        <v>1980.3210000000004</v>
      </c>
      <c r="BD91" s="1586">
        <f t="shared" si="1669"/>
        <v>36551.241000000002</v>
      </c>
      <c r="BE91" s="1586">
        <f t="shared" si="1669"/>
        <v>26236.38</v>
      </c>
      <c r="BF91" s="1586">
        <f>SUM(BF83:BF90)</f>
        <v>26243.75</v>
      </c>
      <c r="BG91" s="1586">
        <f t="shared" si="1669"/>
        <v>48.5</v>
      </c>
      <c r="BH91" s="1586">
        <f t="shared" si="1669"/>
        <v>1020.9645</v>
      </c>
      <c r="BI91" s="1586">
        <f t="shared" si="1669"/>
        <v>0</v>
      </c>
      <c r="BJ91" s="1586">
        <f t="shared" si="1669"/>
        <v>0</v>
      </c>
      <c r="BK91" s="1586">
        <f t="shared" si="1669"/>
        <v>0</v>
      </c>
      <c r="BL91" s="1586">
        <f t="shared" si="1669"/>
        <v>3453.5055481500003</v>
      </c>
      <c r="BM91" s="1586">
        <f t="shared" si="1669"/>
        <v>56954.600048150001</v>
      </c>
      <c r="BN91" s="1586">
        <f t="shared" si="1669"/>
        <v>0</v>
      </c>
      <c r="BO91" s="1586">
        <f t="shared" si="1669"/>
        <v>1350</v>
      </c>
      <c r="BP91" s="1586">
        <f t="shared" si="1669"/>
        <v>0</v>
      </c>
      <c r="BQ91" s="1586">
        <f t="shared" si="1669"/>
        <v>0</v>
      </c>
      <c r="BR91" s="1586">
        <f t="shared" si="1669"/>
        <v>0</v>
      </c>
      <c r="BS91" s="1586">
        <f t="shared" si="1669"/>
        <v>0</v>
      </c>
      <c r="BT91" s="1586">
        <f t="shared" si="1669"/>
        <v>0</v>
      </c>
      <c r="BU91" s="1586">
        <f t="shared" si="1669"/>
        <v>0</v>
      </c>
      <c r="BV91" s="1586">
        <f t="shared" si="1669"/>
        <v>1350</v>
      </c>
      <c r="BW91" s="1584">
        <f t="shared" si="1669"/>
        <v>650</v>
      </c>
      <c r="BX91" s="1584">
        <f t="shared" si="1669"/>
        <v>635.89</v>
      </c>
      <c r="BY91" s="1584">
        <f t="shared" si="1669"/>
        <v>0</v>
      </c>
      <c r="BZ91" s="1584">
        <f t="shared" si="1669"/>
        <v>0</v>
      </c>
      <c r="CA91" s="1584">
        <f t="shared" si="1669"/>
        <v>0</v>
      </c>
      <c r="CB91" s="1584">
        <f t="shared" ref="CB91:CO91" si="1670">SUM(CB83:CB90)</f>
        <v>0</v>
      </c>
      <c r="CC91" s="1584">
        <f t="shared" si="1670"/>
        <v>0</v>
      </c>
      <c r="CD91" s="1584">
        <f t="shared" si="1670"/>
        <v>82.355000000000004</v>
      </c>
      <c r="CE91" s="1584">
        <f t="shared" si="1670"/>
        <v>1368.2449999999999</v>
      </c>
      <c r="CF91" s="1584">
        <f t="shared" si="1670"/>
        <v>0</v>
      </c>
      <c r="CG91" s="1584">
        <f t="shared" si="1670"/>
        <v>0</v>
      </c>
      <c r="CH91" s="1584">
        <f t="shared" si="1670"/>
        <v>0</v>
      </c>
      <c r="CI91" s="1584">
        <f t="shared" si="1670"/>
        <v>0</v>
      </c>
      <c r="CJ91" s="1584">
        <f t="shared" si="1670"/>
        <v>0</v>
      </c>
      <c r="CK91" s="1584">
        <f t="shared" si="1670"/>
        <v>0</v>
      </c>
      <c r="CL91" s="1584">
        <f t="shared" si="1670"/>
        <v>0</v>
      </c>
      <c r="CM91" s="1584">
        <f t="shared" si="1670"/>
        <v>0</v>
      </c>
      <c r="CN91" s="1584">
        <f t="shared" si="1670"/>
        <v>0</v>
      </c>
      <c r="CO91" s="1584">
        <f t="shared" si="1670"/>
        <v>0</v>
      </c>
      <c r="CP91" s="1551"/>
      <c r="CQ91" s="1587">
        <f t="shared" ref="CQ91:DV91" si="1671">SUM(CQ83:CQ90)</f>
        <v>26450</v>
      </c>
      <c r="CR91" s="1587">
        <f t="shared" si="1671"/>
        <v>29993.549999999996</v>
      </c>
      <c r="CS91" s="1587">
        <f t="shared" si="1671"/>
        <v>0</v>
      </c>
      <c r="CT91" s="1587">
        <f t="shared" si="1671"/>
        <v>0</v>
      </c>
      <c r="CU91" s="1587">
        <f t="shared" si="1671"/>
        <v>0</v>
      </c>
      <c r="CV91" s="1587">
        <f t="shared" si="1671"/>
        <v>0</v>
      </c>
      <c r="CW91" s="1587">
        <f t="shared" si="1671"/>
        <v>0</v>
      </c>
      <c r="CX91" s="1587">
        <f t="shared" si="1671"/>
        <v>3351.2150000000001</v>
      </c>
      <c r="CY91" s="1587">
        <f t="shared" si="1671"/>
        <v>59794.764999999999</v>
      </c>
      <c r="CZ91" s="1587">
        <f t="shared" si="1671"/>
        <v>12616.380000000001</v>
      </c>
      <c r="DA91" s="1587">
        <f t="shared" si="1671"/>
        <v>12474.82</v>
      </c>
      <c r="DB91" s="1587">
        <f t="shared" si="1671"/>
        <v>34.5</v>
      </c>
      <c r="DC91" s="1587">
        <f t="shared" si="1671"/>
        <v>719.08950000000004</v>
      </c>
      <c r="DD91" s="1587">
        <f t="shared" si="1671"/>
        <v>0</v>
      </c>
      <c r="DE91" s="1587">
        <f t="shared" si="1671"/>
        <v>0</v>
      </c>
      <c r="DF91" s="1587">
        <f t="shared" si="1671"/>
        <v>0</v>
      </c>
      <c r="DG91" s="1587">
        <f t="shared" si="1671"/>
        <v>1689.6039856499999</v>
      </c>
      <c r="DH91" s="1587">
        <f t="shared" si="1671"/>
        <v>27499.893485649998</v>
      </c>
      <c r="DI91" s="1587">
        <f t="shared" si="1671"/>
        <v>3450</v>
      </c>
      <c r="DJ91" s="1587">
        <f t="shared" si="1671"/>
        <v>4702.1900000000005</v>
      </c>
      <c r="DK91" s="1587">
        <f t="shared" si="1671"/>
        <v>14</v>
      </c>
      <c r="DL91" s="1587">
        <f t="shared" si="1671"/>
        <v>301.875</v>
      </c>
      <c r="DM91" s="1587">
        <f t="shared" si="1671"/>
        <v>0</v>
      </c>
      <c r="DN91" s="1587">
        <f t="shared" si="1671"/>
        <v>0</v>
      </c>
      <c r="DO91" s="1587">
        <f t="shared" si="1671"/>
        <v>0</v>
      </c>
      <c r="DP91" s="1587">
        <f t="shared" si="1671"/>
        <v>475.36256250000002</v>
      </c>
      <c r="DQ91" s="1587">
        <f t="shared" si="1671"/>
        <v>8929.4275625000009</v>
      </c>
      <c r="DR91" s="1584">
        <f t="shared" si="1671"/>
        <v>0</v>
      </c>
      <c r="DS91" s="1584">
        <f t="shared" si="1671"/>
        <v>0</v>
      </c>
      <c r="DT91" s="1584">
        <f t="shared" si="1671"/>
        <v>0</v>
      </c>
      <c r="DU91" s="1584">
        <f t="shared" si="1671"/>
        <v>0</v>
      </c>
      <c r="DV91" s="1584">
        <f t="shared" si="1671"/>
        <v>0</v>
      </c>
      <c r="DW91" s="1584">
        <f t="shared" ref="DW91:ET91" si="1672">SUM(DW83:DW90)</f>
        <v>0</v>
      </c>
      <c r="DX91" s="1584">
        <f t="shared" si="1672"/>
        <v>0</v>
      </c>
      <c r="DY91" s="1584">
        <f t="shared" si="1672"/>
        <v>0</v>
      </c>
      <c r="DZ91" s="1584">
        <f t="shared" si="1672"/>
        <v>0</v>
      </c>
      <c r="EA91" s="1584">
        <f t="shared" si="1672"/>
        <v>0</v>
      </c>
      <c r="EB91" s="1584">
        <f t="shared" si="1672"/>
        <v>0</v>
      </c>
      <c r="EC91" s="1584">
        <f t="shared" si="1672"/>
        <v>0</v>
      </c>
      <c r="ED91" s="1584">
        <f t="shared" si="1672"/>
        <v>0</v>
      </c>
      <c r="EE91" s="1584">
        <f t="shared" si="1672"/>
        <v>0</v>
      </c>
      <c r="EF91" s="1584">
        <f t="shared" si="1672"/>
        <v>0</v>
      </c>
      <c r="EG91" s="1584">
        <f t="shared" si="1672"/>
        <v>0</v>
      </c>
      <c r="EH91" s="1584">
        <f t="shared" si="1672"/>
        <v>0</v>
      </c>
      <c r="EI91" s="1584">
        <f t="shared" si="1672"/>
        <v>0</v>
      </c>
      <c r="EJ91" s="1584">
        <f t="shared" si="1672"/>
        <v>0</v>
      </c>
      <c r="EK91" s="1586">
        <f t="shared" si="1672"/>
        <v>2180.94</v>
      </c>
      <c r="EL91" s="1586">
        <f t="shared" si="1672"/>
        <v>4925.38</v>
      </c>
      <c r="EM91" s="1586">
        <f t="shared" si="1672"/>
        <v>0</v>
      </c>
      <c r="EN91" s="1586">
        <f>SUM(EN83:EN90)</f>
        <v>2868</v>
      </c>
      <c r="EO91" s="1586">
        <f t="shared" si="1672"/>
        <v>0</v>
      </c>
      <c r="EP91" s="1586">
        <f t="shared" si="1672"/>
        <v>670</v>
      </c>
      <c r="EQ91" s="1586">
        <f t="shared" si="1672"/>
        <v>1599.42</v>
      </c>
      <c r="ER91" s="1586">
        <f t="shared" si="1672"/>
        <v>0</v>
      </c>
      <c r="ES91" s="1586">
        <f t="shared" si="1672"/>
        <v>0</v>
      </c>
      <c r="ET91" s="1586">
        <f t="shared" si="1672"/>
        <v>2269.42</v>
      </c>
      <c r="EU91" s="331"/>
      <c r="EV91" s="1586">
        <f t="shared" ref="EV91:FE91" si="1673">SUM(EV83:EV90)</f>
        <v>2180.94</v>
      </c>
      <c r="EW91" s="1586">
        <f t="shared" si="1673"/>
        <v>4925.38</v>
      </c>
      <c r="EX91" s="1586">
        <f t="shared" si="1673"/>
        <v>0</v>
      </c>
      <c r="EY91" s="1586">
        <f t="shared" si="1673"/>
        <v>2868</v>
      </c>
      <c r="EZ91" s="1586">
        <f t="shared" si="1673"/>
        <v>0</v>
      </c>
      <c r="FA91" s="1586">
        <f t="shared" si="1673"/>
        <v>670</v>
      </c>
      <c r="FB91" s="1586">
        <f t="shared" si="1673"/>
        <v>1599.42</v>
      </c>
      <c r="FC91" s="1586">
        <f t="shared" si="1673"/>
        <v>0</v>
      </c>
      <c r="FD91" s="1586">
        <f t="shared" si="1673"/>
        <v>0</v>
      </c>
      <c r="FE91" s="1586">
        <f t="shared" si="1673"/>
        <v>2269.42</v>
      </c>
      <c r="FF91" s="1448"/>
      <c r="FG91" s="1448"/>
      <c r="FH91" s="1448"/>
      <c r="FI91" s="1448"/>
      <c r="FJ91" s="1448"/>
      <c r="FK91" s="1448"/>
      <c r="FL91" s="1441">
        <f t="shared" ref="FL91:FL134" si="1674">+EP91-FA91</f>
        <v>0</v>
      </c>
    </row>
    <row r="92" spans="1:172" s="331" customFormat="1" ht="16.5" customHeight="1" outlineLevel="1" thickTop="1">
      <c r="A92" s="354"/>
      <c r="B92" s="1588" t="s">
        <v>11</v>
      </c>
      <c r="C92" s="354"/>
      <c r="E92" s="319"/>
      <c r="F92" s="319"/>
      <c r="G92" s="319"/>
      <c r="H92" s="319"/>
      <c r="I92" s="1589"/>
      <c r="J92" s="1589"/>
      <c r="K92" s="1589"/>
      <c r="L92" s="1589"/>
      <c r="M92" s="1589"/>
      <c r="N92" s="1589"/>
      <c r="O92" s="319"/>
      <c r="P92" s="1590"/>
      <c r="Q92" s="319"/>
      <c r="R92" s="1590"/>
      <c r="S92" s="319"/>
      <c r="T92" s="1590"/>
      <c r="U92" s="319"/>
      <c r="V92" s="1590"/>
      <c r="W92" s="319"/>
      <c r="X92" s="1590"/>
      <c r="Y92" s="319"/>
      <c r="Z92" s="1591"/>
      <c r="AA92" s="319"/>
      <c r="AB92" s="1591"/>
      <c r="AC92" s="319"/>
      <c r="AD92" s="1591"/>
      <c r="AE92" s="319"/>
      <c r="AF92" s="319"/>
      <c r="AG92" s="319"/>
      <c r="AH92" s="1591"/>
      <c r="AI92" s="319"/>
      <c r="AJ92" s="319"/>
      <c r="AK92" s="319"/>
      <c r="AL92" s="319"/>
      <c r="AM92" s="319"/>
      <c r="AN92" s="319"/>
      <c r="AO92" s="319"/>
      <c r="AP92" s="319"/>
      <c r="AQ92" s="319"/>
      <c r="AR92" s="319"/>
      <c r="AS92" s="319"/>
      <c r="AT92" s="319"/>
      <c r="AV92" s="319"/>
      <c r="AW92" s="319"/>
      <c r="AX92" s="319"/>
      <c r="AY92" s="319"/>
      <c r="AZ92" s="319"/>
      <c r="BA92" s="319"/>
      <c r="BB92" s="319"/>
      <c r="BC92" s="319"/>
      <c r="BD92" s="319"/>
      <c r="BE92" s="319"/>
      <c r="BF92" s="319"/>
      <c r="BG92" s="319"/>
      <c r="BH92" s="319"/>
      <c r="BI92" s="319"/>
      <c r="BJ92" s="319"/>
      <c r="BK92" s="319"/>
      <c r="BL92" s="319"/>
      <c r="BM92" s="319"/>
      <c r="BN92" s="319"/>
      <c r="BO92" s="319"/>
      <c r="BP92" s="319"/>
      <c r="BQ92" s="319"/>
      <c r="BR92" s="319"/>
      <c r="BS92" s="319"/>
      <c r="BT92" s="319"/>
      <c r="BU92" s="319"/>
      <c r="BV92" s="319"/>
      <c r="BW92" s="319"/>
      <c r="BX92" s="319"/>
      <c r="BY92" s="319"/>
      <c r="BZ92" s="319"/>
      <c r="CA92" s="319"/>
      <c r="CB92" s="319"/>
      <c r="CC92" s="319"/>
      <c r="CD92" s="319"/>
      <c r="CE92" s="319"/>
      <c r="CF92" s="319"/>
      <c r="CG92" s="319"/>
      <c r="CH92" s="319"/>
      <c r="CI92" s="319"/>
      <c r="CJ92" s="319"/>
      <c r="CK92" s="319"/>
      <c r="CL92" s="319"/>
      <c r="CM92" s="319"/>
      <c r="CN92" s="319"/>
      <c r="CO92" s="330"/>
      <c r="CQ92" s="319"/>
      <c r="CR92" s="319"/>
      <c r="CS92" s="319"/>
      <c r="CT92" s="319"/>
      <c r="CU92" s="319"/>
      <c r="CV92" s="319"/>
      <c r="CW92" s="319"/>
      <c r="CX92" s="319"/>
      <c r="CY92" s="319"/>
      <c r="CZ92" s="319"/>
      <c r="DA92" s="319"/>
      <c r="DB92" s="319"/>
      <c r="DC92" s="319"/>
      <c r="DD92" s="319"/>
      <c r="DE92" s="319"/>
      <c r="DF92" s="319"/>
      <c r="DG92" s="319"/>
      <c r="DH92" s="319"/>
      <c r="DI92" s="319"/>
      <c r="DJ92" s="319"/>
      <c r="DK92" s="319"/>
      <c r="DL92" s="319"/>
      <c r="DM92" s="319"/>
      <c r="DN92" s="319"/>
      <c r="DO92" s="319"/>
      <c r="DP92" s="319"/>
      <c r="DQ92" s="319"/>
      <c r="DR92" s="319"/>
      <c r="DS92" s="319"/>
      <c r="DT92" s="319"/>
      <c r="DU92" s="319"/>
      <c r="DV92" s="319"/>
      <c r="DW92" s="319"/>
      <c r="DX92" s="319"/>
      <c r="DY92" s="319"/>
      <c r="DZ92" s="319"/>
      <c r="EA92" s="319"/>
      <c r="EB92" s="319"/>
      <c r="EC92" s="319"/>
      <c r="ED92" s="319"/>
      <c r="EE92" s="319"/>
      <c r="EF92" s="319"/>
      <c r="EG92" s="319"/>
      <c r="EH92" s="319"/>
      <c r="EI92" s="319"/>
      <c r="EJ92" s="330"/>
      <c r="EK92" s="354"/>
      <c r="ES92" s="331" t="s">
        <v>54</v>
      </c>
      <c r="FF92" s="1448"/>
      <c r="FG92" s="1448"/>
      <c r="FH92" s="1448"/>
      <c r="FI92" s="1448"/>
      <c r="FJ92" s="1448"/>
      <c r="FK92" s="1448"/>
      <c r="FL92" s="1441">
        <f t="shared" si="1674"/>
        <v>0</v>
      </c>
    </row>
    <row r="93" spans="1:172" s="331" customFormat="1" ht="15" customHeight="1" outlineLevel="1">
      <c r="A93" s="415">
        <v>54</v>
      </c>
      <c r="B93" s="311" t="s">
        <v>556</v>
      </c>
      <c r="C93" s="312" t="s">
        <v>596</v>
      </c>
      <c r="D93" s="312" t="s">
        <v>11</v>
      </c>
      <c r="E93" s="315">
        <v>3166.38</v>
      </c>
      <c r="F93" s="314">
        <v>250</v>
      </c>
      <c r="G93" s="1988">
        <f t="shared" ref="G93:G98" si="1675">+E93+F93</f>
        <v>3416.38</v>
      </c>
      <c r="H93" s="1971">
        <v>30</v>
      </c>
      <c r="I93" s="318">
        <v>0</v>
      </c>
      <c r="J93" s="1580">
        <v>1</v>
      </c>
      <c r="K93" s="318">
        <v>0</v>
      </c>
      <c r="L93" s="317">
        <v>0</v>
      </c>
      <c r="M93" s="317">
        <v>0</v>
      </c>
      <c r="N93" s="318">
        <f t="shared" ref="N93:N98" si="1676">SUM(I93:M93)</f>
        <v>1</v>
      </c>
      <c r="P93" s="320"/>
      <c r="Q93" s="315">
        <f t="shared" ref="Q93:Q98" si="1677">($E93/30/8*1.5)*P93</f>
        <v>0</v>
      </c>
      <c r="R93" s="321"/>
      <c r="S93" s="315">
        <f t="shared" ref="S93:S98" si="1678">($E93/30/8*2)*R93</f>
        <v>0</v>
      </c>
      <c r="T93" s="321"/>
      <c r="U93" s="315">
        <f t="shared" ref="U93:U98" si="1679">($E93/30/8*1.5)*T93</f>
        <v>0</v>
      </c>
      <c r="V93" s="320"/>
      <c r="W93" s="315">
        <f t="shared" ref="W93:W98" si="1680">($E93/30/8*2)*V93</f>
        <v>0</v>
      </c>
      <c r="X93" s="321"/>
      <c r="Y93" s="315">
        <f t="shared" ref="Y93:Y98" si="1681">(($E93/30/8)*1.5)*X93</f>
        <v>0</v>
      </c>
      <c r="Z93" s="322">
        <v>0</v>
      </c>
      <c r="AA93" s="315">
        <f t="shared" ref="AA93:AA98" si="1682">(($E93/30/8)*2)*Z93</f>
        <v>0</v>
      </c>
      <c r="AB93" s="323"/>
      <c r="AC93" s="324">
        <f t="shared" ref="AC93:AC97" si="1683">(($E93/30/8)*1.5)*AB93</f>
        <v>0</v>
      </c>
      <c r="AD93" s="323"/>
      <c r="AE93" s="324">
        <f t="shared" ref="AE93:AE97" si="1684">(($E93/30/8)*2)*AD93</f>
        <v>0</v>
      </c>
      <c r="AF93" s="324"/>
      <c r="AG93" s="324">
        <f>(($E93/30/8)*1.5)*AF93</f>
        <v>0</v>
      </c>
      <c r="AH93" s="323"/>
      <c r="AI93" s="324">
        <f>(($E93/30/8)*2)*AH93</f>
        <v>0</v>
      </c>
      <c r="AJ93" s="325"/>
      <c r="AK93" s="325"/>
      <c r="AL93" s="325"/>
      <c r="AM93" s="325"/>
      <c r="AN93" s="325"/>
      <c r="AO93" s="325"/>
      <c r="AP93" s="325"/>
      <c r="AQ93" s="325"/>
      <c r="AR93" s="325"/>
      <c r="AS93" s="325"/>
      <c r="AT93" s="314"/>
      <c r="AU93" s="359"/>
      <c r="AV93" s="315">
        <f t="shared" ref="AV93:AV98" si="1685">((E93/30)*H93)*$I93</f>
        <v>0</v>
      </c>
      <c r="AW93" s="358">
        <f t="shared" ref="AW93" si="1686">((F93/30)*H93)*$I93</f>
        <v>0</v>
      </c>
      <c r="AX93" s="315">
        <f t="shared" ref="AX93:AX98" si="1687">P93</f>
        <v>0</v>
      </c>
      <c r="AY93" s="315">
        <f t="shared" ref="AY93:AY98" si="1688">Q93</f>
        <v>0</v>
      </c>
      <c r="AZ93" s="315">
        <f t="shared" ref="AZ93:AZ98" si="1689">R93</f>
        <v>0</v>
      </c>
      <c r="BA93" s="315">
        <f t="shared" ref="BA93:BA98" si="1690">S93</f>
        <v>0</v>
      </c>
      <c r="BB93" s="315">
        <f t="shared" ref="BB93:BB98" si="1691">AJ93+AO93</f>
        <v>0</v>
      </c>
      <c r="BC93" s="315">
        <f t="shared" ref="BC93:BC98" si="1692">(AV93+AY93+BA93)*0.1267</f>
        <v>0</v>
      </c>
      <c r="BD93" s="315">
        <f t="shared" ref="BD93:BD98" si="1693">SUM(AV93:BC93)-AX93-AZ93</f>
        <v>0</v>
      </c>
      <c r="BE93" s="315">
        <f t="shared" ref="BE93:BE97" si="1694">(($E93/30)*$H93)*$J93</f>
        <v>3166.38</v>
      </c>
      <c r="BF93" s="906">
        <f>(($F93/30)*$H93)*$J93</f>
        <v>250.00000000000003</v>
      </c>
      <c r="BG93" s="315">
        <f t="shared" ref="BG93:BG98" si="1695">T93</f>
        <v>0</v>
      </c>
      <c r="BH93" s="315">
        <f t="shared" ref="BH93:BH98" si="1696">U93</f>
        <v>0</v>
      </c>
      <c r="BI93" s="315">
        <f t="shared" ref="BI93:BI98" si="1697">V93</f>
        <v>0</v>
      </c>
      <c r="BJ93" s="315">
        <f t="shared" ref="BJ93:BJ98" si="1698">W93</f>
        <v>0</v>
      </c>
      <c r="BK93" s="315">
        <f t="shared" ref="BK93:BK98" si="1699">AK93+AP93</f>
        <v>0</v>
      </c>
      <c r="BL93" s="315">
        <f t="shared" ref="BL93:BL98" si="1700">(+BE93+BH93+BJ93+BK93)*0.1267</f>
        <v>401.18034600000004</v>
      </c>
      <c r="BM93" s="314">
        <f t="shared" ref="BM93:BM98" si="1701">SUM(BE93:BL93)-BG93-BI93</f>
        <v>3817.5603460000002</v>
      </c>
      <c r="BN93" s="315">
        <f t="shared" ref="BN93:BN97" si="1702">(($E93/30)*$H93)*$K93</f>
        <v>0</v>
      </c>
      <c r="BO93" s="315">
        <f t="shared" ref="BO93:BO98" si="1703">(($F93/30)*$H93)*$K93</f>
        <v>0</v>
      </c>
      <c r="BP93" s="315">
        <f t="shared" ref="BP93:BP98" si="1704">X93</f>
        <v>0</v>
      </c>
      <c r="BQ93" s="315">
        <f t="shared" ref="BQ93:BQ98" si="1705">Y93</f>
        <v>0</v>
      </c>
      <c r="BR93" s="315">
        <f t="shared" ref="BR93:BR98" si="1706">Z93</f>
        <v>0</v>
      </c>
      <c r="BS93" s="315">
        <f t="shared" ref="BS93:BS98" si="1707">AA93</f>
        <v>0</v>
      </c>
      <c r="BT93" s="315">
        <f t="shared" ref="BT93:BT98" si="1708">AL93+AQ93</f>
        <v>0</v>
      </c>
      <c r="BU93" s="315">
        <f t="shared" ref="BU93:BU98" si="1709">(BN93+BQ93+BS93)*0.1267</f>
        <v>0</v>
      </c>
      <c r="BV93" s="315">
        <f t="shared" ref="BV93:BV98" si="1710">SUM(BN93:BU93)-BP93-BR93</f>
        <v>0</v>
      </c>
      <c r="BW93" s="327">
        <f>(($E93/30)*$H93)*$L93</f>
        <v>0</v>
      </c>
      <c r="BX93" s="328">
        <f t="shared" ref="BX93:BX98" si="1711">(($F93/30)*$H93)*$L93</f>
        <v>0</v>
      </c>
      <c r="BY93" s="328">
        <f t="shared" ref="BY93:CB93" si="1712">AB93</f>
        <v>0</v>
      </c>
      <c r="BZ93" s="328">
        <f t="shared" si="1712"/>
        <v>0</v>
      </c>
      <c r="CA93" s="328">
        <f t="shared" si="1712"/>
        <v>0</v>
      </c>
      <c r="CB93" s="328">
        <f t="shared" si="1712"/>
        <v>0</v>
      </c>
      <c r="CC93" s="328">
        <f>AM93+AR93</f>
        <v>0</v>
      </c>
      <c r="CD93" s="328">
        <f>(BW93+BZ93+CB93)*0.1267</f>
        <v>0</v>
      </c>
      <c r="CE93" s="328">
        <f>SUM(BW93:CD93)-BY93-CA93</f>
        <v>0</v>
      </c>
      <c r="CF93" s="328">
        <f>(($E93/30)*$H93)*M93</f>
        <v>0</v>
      </c>
      <c r="CG93" s="328">
        <f>(($F93/30)*$H93)*$M93</f>
        <v>0</v>
      </c>
      <c r="CH93" s="328">
        <f>+AF93</f>
        <v>0</v>
      </c>
      <c r="CI93" s="328">
        <f t="shared" ref="CI93:CK93" si="1713">AG93</f>
        <v>0</v>
      </c>
      <c r="CJ93" s="328">
        <f t="shared" si="1713"/>
        <v>0</v>
      </c>
      <c r="CK93" s="328">
        <f t="shared" si="1713"/>
        <v>0</v>
      </c>
      <c r="CL93" s="328">
        <f>AN93+AS93</f>
        <v>0</v>
      </c>
      <c r="CM93" s="328">
        <f>(CF93+CI93+CK93)*0.1267</f>
        <v>0</v>
      </c>
      <c r="CN93" s="329">
        <f>SUM(CF93:CM93)-CH93-CJ93</f>
        <v>0</v>
      </c>
      <c r="CO93" s="330"/>
      <c r="CP93" s="313" t="s">
        <v>11</v>
      </c>
      <c r="CQ93" s="315">
        <f t="shared" ref="CQ93:CQ115" si="1714">IF($CP93="PROQUIMA",$AV93+$BE93+$BN93+$BW93+$CF93,0)</f>
        <v>0</v>
      </c>
      <c r="CR93" s="315">
        <f t="shared" ref="CR93:CR115" si="1715">IF($CP93="PROQUIMA",$AW93+$BF93+$BO93+$BX93+$CG93,0)</f>
        <v>0</v>
      </c>
      <c r="CS93" s="315">
        <f t="shared" ref="CS93:CS115" si="1716">IF($CP93="PROQUIMA",$AX93+$BG93+$BP93+$BY93+$CH93,0)</f>
        <v>0</v>
      </c>
      <c r="CT93" s="315">
        <f t="shared" ref="CT93:CT115" si="1717">IF($CP93="PROQUIMA",$AY93+$BH93+$BQ93+$BZ93+$CI93,0)</f>
        <v>0</v>
      </c>
      <c r="CU93" s="315">
        <f t="shared" ref="CU93:CU115" si="1718">IF($CP93="PROQUIMA",$AZ93+$BI93+$BR93+$CA93+$CJ93,0)</f>
        <v>0</v>
      </c>
      <c r="CV93" s="315">
        <f t="shared" ref="CV93:CV97" si="1719">IF($CP93="PROQUIMA",$BA93+$BJ93+$BS93+$CB93+$CK93,0)</f>
        <v>0</v>
      </c>
      <c r="CW93" s="315">
        <f t="shared" ref="CW93:CW115" si="1720">IF($CP93="PROQUIMA",$BB93+$BK93+$BT93+$CC93+$CL93,0)</f>
        <v>0</v>
      </c>
      <c r="CX93" s="315">
        <f t="shared" ref="CX93:CX98" si="1721">IF($CP93="PROQUIMA",$BC93+$BL93+$BU93+$CD93+CM93,0)</f>
        <v>0</v>
      </c>
      <c r="CY93" s="315">
        <f t="shared" ref="CY93:CY98" si="1722">SUM(CQ93:CX93)-CS93-CU93</f>
        <v>0</v>
      </c>
      <c r="CZ93" s="315">
        <f t="shared" ref="CZ93:CZ115" si="1723">IF($CP93="UNHESA",$AV93+$BE93+$BN93+$BW93+$CF93,0)</f>
        <v>3166.38</v>
      </c>
      <c r="DA93" s="315">
        <f t="shared" ref="DA93:DA97" si="1724">IF($CP93="UNHESA",$AW93+$BF93+$BO93+$BX93+$CG93,0)</f>
        <v>250.00000000000003</v>
      </c>
      <c r="DB93" s="315">
        <f t="shared" ref="DB93:DB115" si="1725">IF($CP93="UNHESA",$AX93+$BG93+$BP93+$BY93+$CH93,0)</f>
        <v>0</v>
      </c>
      <c r="DC93" s="315">
        <f t="shared" ref="DC93:DC115" si="1726">IF($CP93="UNHESA",$AY93+$BH93+$BQ93+$BZ93+$CI93,0)</f>
        <v>0</v>
      </c>
      <c r="DD93" s="315">
        <f t="shared" ref="DD93:DD115" si="1727">IF($CP93="UNHESA",$AZ93+$BI93+$BR93+$CA93+$CJ93,0)</f>
        <v>0</v>
      </c>
      <c r="DE93" s="315">
        <f t="shared" ref="DE93:DE115" si="1728">IF($CP93="UNHESA",$BA93+$BJ93+$BS93+$CB93+$CK93,0)</f>
        <v>0</v>
      </c>
      <c r="DF93" s="315">
        <f t="shared" ref="DF93:DF115" si="1729">IF($CP93="UNHESA",$BB93+$BK93+$BT93+$CC93+$CL93,0)</f>
        <v>0</v>
      </c>
      <c r="DG93" s="315">
        <f t="shared" ref="DG93:DG115" si="1730">IF($CP93="UNHESA",$BC93+$BL93+$BU93+$CD93+$CM93,0)</f>
        <v>401.18034600000004</v>
      </c>
      <c r="DH93" s="315">
        <f t="shared" ref="DH93:DH98" si="1731">SUM(CZ93:DG93)-DB93-DD93</f>
        <v>3817.5603460000002</v>
      </c>
      <c r="DI93" s="315">
        <f>IF($CP93="UNHESA LIQUIDOS",$AV93+$BE93+$BN93+$BW93+$CF93,0)</f>
        <v>0</v>
      </c>
      <c r="DJ93" s="315">
        <f>IF($CP93="UNHESA LIQUIDOS",$AW93+$BF93+$BO93+$BX93+$CG93,0)</f>
        <v>0</v>
      </c>
      <c r="DK93" s="315">
        <f>IF($CP93="UNHESA LIQUIDOS",$AX93+$BG93+$BP93+$BY93+$CH93,0)</f>
        <v>0</v>
      </c>
      <c r="DL93" s="315">
        <f>IF($CP93="UNHESA LIQUIDOS",$AY93+$BH93+$BQ93+$BZ93+$CI93,0)</f>
        <v>0</v>
      </c>
      <c r="DM93" s="315">
        <f>IF($CP93="UNHESA LIQUIDOS",$AZ93+$BI93+$BR93+$CA93+$CJ93,0)</f>
        <v>0</v>
      </c>
      <c r="DN93" s="315">
        <f>IF($CP93="UNHESA LIQUIDOS",$BA93+$BJ93+$BS93+$CB93+$CK93,0)</f>
        <v>0</v>
      </c>
      <c r="DO93" s="315">
        <f>IF($CP93="UNHESA LIQUIDOS",$BB93+$BK93+$BT93+$CC93+$CL93,0)</f>
        <v>0</v>
      </c>
      <c r="DP93" s="315">
        <f>IF($CP93="UNHESA LIQUIDOS",$BC93+$BL93+$BU93+$CD93+$CM93,0)</f>
        <v>0</v>
      </c>
      <c r="DQ93" s="315">
        <f>SUM(DI93:DP93)-DK93-DM93</f>
        <v>0</v>
      </c>
      <c r="DR93" s="360">
        <f t="shared" ref="DR93:DR115" si="1732">IF($CP93="ECONACIONAL",$AV93+$BE93+$BN93+$BW93+$CF93,0)</f>
        <v>0</v>
      </c>
      <c r="DS93" s="361">
        <f t="shared" ref="DS93:DS115" si="1733">IF($CP93="ECONACIONAL",$AW93+$BF93+$BO93+$BX93+$CG93,0)</f>
        <v>0</v>
      </c>
      <c r="DT93" s="361">
        <f t="shared" ref="DT93:DT115" si="1734">IF($CP93="ECONACIONAL",$AX93+$BG93+$BP93+$BY93+$CH93,0)</f>
        <v>0</v>
      </c>
      <c r="DU93" s="361">
        <f t="shared" ref="DU93:DU115" si="1735">IF($CP93="ECONACIONAL",$AY93+$BH93+$BQ93+$BZ93+$CI93,0)</f>
        <v>0</v>
      </c>
      <c r="DV93" s="361">
        <f t="shared" ref="DV93:DV115" si="1736">IF($CP93="ECONACIONAL",$AZ93+$BI93+$BR93+$CA93+$CJ93,0)</f>
        <v>0</v>
      </c>
      <c r="DW93" s="361">
        <f t="shared" ref="DW93:DW115" si="1737">IF($CP93="ECONACIONAL",$BA93+$BJ93+$BS93+$CB93+$CK93,0)</f>
        <v>0</v>
      </c>
      <c r="DX93" s="361">
        <f t="shared" ref="DX93:DX115" si="1738">IF($CP93="ECONACIONAL",$BB93+$BK93+$BT93+$CC93+$CL93,0)</f>
        <v>0</v>
      </c>
      <c r="DY93" s="361">
        <f t="shared" ref="DY93:DY115" si="1739">IF($CP93="ECONACIONAL",$BC93+$BL93+$BU93+$CD93+$CM93,0)</f>
        <v>0</v>
      </c>
      <c r="DZ93" s="361">
        <f>SUM(DR93:DY93)-DT93-DV93</f>
        <v>0</v>
      </c>
      <c r="EA93" s="361">
        <f t="shared" ref="EA93:EA115" si="1740">IF($CP93="CLEARTEC",$AV93+$BE93+$BN93+$BW93+$CF93,0)</f>
        <v>0</v>
      </c>
      <c r="EB93" s="361">
        <f t="shared" ref="EB93:EB115" si="1741">IF($CP93="CLEARTEC",$AW93+$BF93+$BO93+$BX93+$CG93,0)</f>
        <v>0</v>
      </c>
      <c r="EC93" s="361">
        <f t="shared" ref="EC93:EC115" si="1742">IF($CP93="CLEARTEC",$AX93+$BG93+$BP93+$BY93+$CH93,0)</f>
        <v>0</v>
      </c>
      <c r="ED93" s="361">
        <f t="shared" ref="ED93:ED115" si="1743">IF($CP93="CLEARTEC",$AY93+$BH93+$BQ93+$BZ93+$CI93,0)</f>
        <v>0</v>
      </c>
      <c r="EE93" s="361">
        <f t="shared" ref="EE93:EE115" si="1744">IF($CP93="CLEARTEC",$AZ93+$BI93+$BR93+$CA93+$CJ93,0)</f>
        <v>0</v>
      </c>
      <c r="EF93" s="361">
        <f t="shared" ref="EF93:EF115" si="1745">IF($CP93="CLEARTEC",$BA93+$BJ93+$BS93+$CB93+$CK93,0)</f>
        <v>0</v>
      </c>
      <c r="EG93" s="361">
        <f t="shared" ref="EG93:EG115" si="1746">IF($CP93="CLEARTEC",$BB93+$BK93+$BT93+$CC93+$CL93,0)</f>
        <v>0</v>
      </c>
      <c r="EH93" s="361">
        <f t="shared" ref="EH93:EH115" si="1747">IF($CP93="CLEARTEC",$BC93+$BL93+$BU93+$CD93+$CM93,0)</f>
        <v>0</v>
      </c>
      <c r="EI93" s="362">
        <f>SUM(EA93:EH93)-EC93-EE93</f>
        <v>0</v>
      </c>
      <c r="EJ93" s="330"/>
      <c r="EK93" s="312"/>
      <c r="EL93" s="312"/>
      <c r="EM93" s="313"/>
      <c r="EN93" s="312"/>
      <c r="EO93" s="313"/>
      <c r="EP93" s="313">
        <v>50</v>
      </c>
      <c r="EQ93" s="1969">
        <f>250</f>
        <v>250</v>
      </c>
      <c r="ER93" s="313"/>
      <c r="ES93" s="1425"/>
      <c r="ET93" s="313">
        <f t="shared" ref="ET93:ET97" si="1748">+EO93+EP93+EQ93</f>
        <v>300</v>
      </c>
      <c r="EV93" s="321">
        <f t="shared" ref="EV93:FD97" si="1749">IF($H93&lt;=15,EK93/2,EK93)</f>
        <v>0</v>
      </c>
      <c r="EW93" s="321">
        <f t="shared" si="1749"/>
        <v>0</v>
      </c>
      <c r="EX93" s="321">
        <f t="shared" si="1749"/>
        <v>0</v>
      </c>
      <c r="EY93" s="321">
        <f t="shared" si="1749"/>
        <v>0</v>
      </c>
      <c r="EZ93" s="321">
        <f t="shared" si="1749"/>
        <v>0</v>
      </c>
      <c r="FA93" s="321">
        <f t="shared" si="1749"/>
        <v>50</v>
      </c>
      <c r="FB93" s="321">
        <f t="shared" si="1749"/>
        <v>250</v>
      </c>
      <c r="FC93" s="321">
        <f t="shared" si="1749"/>
        <v>0</v>
      </c>
      <c r="FD93" s="321">
        <f t="shared" si="1749"/>
        <v>0</v>
      </c>
      <c r="FE93" s="321">
        <f t="shared" ref="FE93:FE98" si="1750">IF($H93&lt;=15,ET93/2,ET93)</f>
        <v>300</v>
      </c>
      <c r="FF93" s="332">
        <v>0</v>
      </c>
      <c r="FG93" s="332">
        <v>1</v>
      </c>
      <c r="FH93" s="332">
        <v>0</v>
      </c>
      <c r="FI93" s="332">
        <v>0</v>
      </c>
      <c r="FJ93" s="332">
        <v>0</v>
      </c>
      <c r="FK93" s="332">
        <v>1</v>
      </c>
      <c r="FL93" s="331">
        <f t="shared" si="1674"/>
        <v>0</v>
      </c>
    </row>
    <row r="94" spans="1:172" s="331" customFormat="1" ht="15" customHeight="1" outlineLevel="1">
      <c r="A94" s="415">
        <f>+A93+1</f>
        <v>55</v>
      </c>
      <c r="B94" s="311" t="s">
        <v>790</v>
      </c>
      <c r="C94" s="312" t="s">
        <v>94</v>
      </c>
      <c r="D94" s="312" t="s">
        <v>11</v>
      </c>
      <c r="E94" s="1971">
        <v>3166.38</v>
      </c>
      <c r="F94" s="314">
        <v>250</v>
      </c>
      <c r="G94" s="1988">
        <f t="shared" ref="G94" si="1751">+E94+F94</f>
        <v>3416.38</v>
      </c>
      <c r="H94" s="1971">
        <v>30</v>
      </c>
      <c r="I94" s="318">
        <v>0</v>
      </c>
      <c r="J94" s="1580">
        <v>1</v>
      </c>
      <c r="K94" s="318">
        <v>0</v>
      </c>
      <c r="L94" s="317">
        <v>0</v>
      </c>
      <c r="M94" s="317">
        <v>0</v>
      </c>
      <c r="N94" s="318">
        <f t="shared" ref="N94" si="1752">SUM(I94:M94)</f>
        <v>1</v>
      </c>
      <c r="P94" s="320"/>
      <c r="Q94" s="315">
        <f t="shared" ref="Q94" si="1753">($E94/30/8*1.5)*P94</f>
        <v>0</v>
      </c>
      <c r="R94" s="321"/>
      <c r="S94" s="315">
        <f t="shared" ref="S94" si="1754">($E94/30/8*2)*R94</f>
        <v>0</v>
      </c>
      <c r="T94" s="321">
        <v>33</v>
      </c>
      <c r="U94" s="315">
        <f t="shared" ref="U94" si="1755">($E94/30/8*1.5)*T94</f>
        <v>653.06587500000012</v>
      </c>
      <c r="V94" s="320"/>
      <c r="W94" s="315">
        <f t="shared" ref="W94" si="1756">($E94/30/8*2)*V94</f>
        <v>0</v>
      </c>
      <c r="X94" s="321"/>
      <c r="Y94" s="315">
        <f t="shared" ref="Y94" si="1757">(($E94/30/8)*1.5)*X94</f>
        <v>0</v>
      </c>
      <c r="Z94" s="322">
        <v>0</v>
      </c>
      <c r="AA94" s="315">
        <f t="shared" ref="AA94" si="1758">(($E94/30/8)*2)*Z94</f>
        <v>0</v>
      </c>
      <c r="AB94" s="323"/>
      <c r="AC94" s="324">
        <f t="shared" ref="AC94" si="1759">(($E94/30/8)*1.5)*AB94</f>
        <v>0</v>
      </c>
      <c r="AD94" s="323"/>
      <c r="AE94" s="324">
        <f t="shared" ref="AE94" si="1760">(($E94/30/8)*2)*AD94</f>
        <v>0</v>
      </c>
      <c r="AF94" s="324"/>
      <c r="AG94" s="324">
        <f>(($E94/30/8)*1.5)*AF94</f>
        <v>0</v>
      </c>
      <c r="AH94" s="323"/>
      <c r="AI94" s="324">
        <f>(($E94/30/8)*2)*AH94</f>
        <v>0</v>
      </c>
      <c r="AJ94" s="325"/>
      <c r="AK94" s="325"/>
      <c r="AL94" s="325"/>
      <c r="AM94" s="325"/>
      <c r="AN94" s="325"/>
      <c r="AO94" s="325"/>
      <c r="AP94" s="325"/>
      <c r="AQ94" s="325"/>
      <c r="AR94" s="325"/>
      <c r="AS94" s="325"/>
      <c r="AT94" s="314"/>
      <c r="AU94" s="359"/>
      <c r="AV94" s="315">
        <f t="shared" ref="AV94" si="1761">((E94/30)*H94)*$I94</f>
        <v>0</v>
      </c>
      <c r="AW94" s="358">
        <f t="shared" ref="AW94:AW95" si="1762">((F94/30)*H94)*$I94</f>
        <v>0</v>
      </c>
      <c r="AX94" s="315">
        <f t="shared" ref="AX94" si="1763">P94</f>
        <v>0</v>
      </c>
      <c r="AY94" s="315">
        <f t="shared" ref="AY94" si="1764">Q94</f>
        <v>0</v>
      </c>
      <c r="AZ94" s="315">
        <f t="shared" ref="AZ94" si="1765">R94</f>
        <v>0</v>
      </c>
      <c r="BA94" s="315">
        <f t="shared" ref="BA94" si="1766">S94</f>
        <v>0</v>
      </c>
      <c r="BB94" s="315">
        <f t="shared" ref="BB94" si="1767">AJ94+AO94</f>
        <v>0</v>
      </c>
      <c r="BC94" s="315">
        <f t="shared" ref="BC94:BC95" si="1768">(AV94+AY94+BA94)*0.1267</f>
        <v>0</v>
      </c>
      <c r="BD94" s="315">
        <f t="shared" ref="BD94:BD95" si="1769">SUM(AV94:BC94)-AX94-AZ94</f>
        <v>0</v>
      </c>
      <c r="BE94" s="315">
        <f t="shared" si="1694"/>
        <v>3166.38</v>
      </c>
      <c r="BF94" s="906">
        <f>(($F94/30)*$H94)*$J94+1350</f>
        <v>1600</v>
      </c>
      <c r="BG94" s="315">
        <f t="shared" ref="BG94" si="1770">T94</f>
        <v>33</v>
      </c>
      <c r="BH94" s="315">
        <f t="shared" ref="BH94" si="1771">U94</f>
        <v>653.06587500000012</v>
      </c>
      <c r="BI94" s="315">
        <f t="shared" ref="BI94" si="1772">V94</f>
        <v>0</v>
      </c>
      <c r="BJ94" s="315">
        <f t="shared" ref="BJ94" si="1773">W94</f>
        <v>0</v>
      </c>
      <c r="BK94" s="315">
        <f t="shared" ref="BK94:BK95" si="1774">AK94+AP94</f>
        <v>0</v>
      </c>
      <c r="BL94" s="315">
        <f t="shared" ref="BL94:BL95" si="1775">(+BE94+BH94+BJ94+BK94)*0.1267</f>
        <v>483.92379236250008</v>
      </c>
      <c r="BM94" s="314">
        <f t="shared" ref="BM94:BM95" si="1776">SUM(BE94:BL94)-BG94-BI94</f>
        <v>5903.3696673625</v>
      </c>
      <c r="BN94" s="315">
        <f t="shared" si="1702"/>
        <v>0</v>
      </c>
      <c r="BO94" s="315">
        <f t="shared" si="1703"/>
        <v>0</v>
      </c>
      <c r="BP94" s="315">
        <f t="shared" ref="BP94:BP95" si="1777">X94</f>
        <v>0</v>
      </c>
      <c r="BQ94" s="315">
        <f t="shared" ref="BQ94:BQ95" si="1778">Y94</f>
        <v>0</v>
      </c>
      <c r="BR94" s="315">
        <f t="shared" ref="BR94:BR95" si="1779">Z94</f>
        <v>0</v>
      </c>
      <c r="BS94" s="315">
        <f t="shared" ref="BS94:BS95" si="1780">AA94</f>
        <v>0</v>
      </c>
      <c r="BT94" s="315">
        <f t="shared" ref="BT94:BT95" si="1781">AL94+AQ94</f>
        <v>0</v>
      </c>
      <c r="BU94" s="315">
        <f t="shared" ref="BU94:BU95" si="1782">(BN94+BQ94+BS94)*0.1267</f>
        <v>0</v>
      </c>
      <c r="BV94" s="315">
        <f t="shared" ref="BV94:BV95" si="1783">SUM(BN94:BU94)-BP94-BR94</f>
        <v>0</v>
      </c>
      <c r="BW94" s="327">
        <f>(($E94/30)*$H94)*$L94</f>
        <v>0</v>
      </c>
      <c r="BX94" s="328">
        <f t="shared" si="1711"/>
        <v>0</v>
      </c>
      <c r="BY94" s="328">
        <f t="shared" ref="BY94:BY95" si="1784">AB94</f>
        <v>0</v>
      </c>
      <c r="BZ94" s="328">
        <f t="shared" ref="BZ94:BZ95" si="1785">AC94</f>
        <v>0</v>
      </c>
      <c r="CA94" s="328">
        <f t="shared" ref="CA94:CA95" si="1786">AD94</f>
        <v>0</v>
      </c>
      <c r="CB94" s="328">
        <f t="shared" ref="CB94:CB95" si="1787">AE94</f>
        <v>0</v>
      </c>
      <c r="CC94" s="328">
        <f>AM94+AR94</f>
        <v>0</v>
      </c>
      <c r="CD94" s="328">
        <f>(BW94+BZ94+CB94)*0.1267</f>
        <v>0</v>
      </c>
      <c r="CE94" s="328">
        <f>SUM(BW94:CD94)-BY94-CA94</f>
        <v>0</v>
      </c>
      <c r="CF94" s="328">
        <f>(($E94/30)*$H94)*M94</f>
        <v>0</v>
      </c>
      <c r="CG94" s="328">
        <f>(($F94/30)*$H94)*$M94</f>
        <v>0</v>
      </c>
      <c r="CH94" s="328">
        <f>+AF94</f>
        <v>0</v>
      </c>
      <c r="CI94" s="328">
        <f t="shared" ref="CI94:CI95" si="1788">AG94</f>
        <v>0</v>
      </c>
      <c r="CJ94" s="328">
        <f t="shared" ref="CJ94:CJ95" si="1789">AH94</f>
        <v>0</v>
      </c>
      <c r="CK94" s="328">
        <f t="shared" ref="CK94:CK95" si="1790">AI94</f>
        <v>0</v>
      </c>
      <c r="CL94" s="328">
        <f>AN94+AS94</f>
        <v>0</v>
      </c>
      <c r="CM94" s="328">
        <f>(CF94+CI94+CK94)*0.1267</f>
        <v>0</v>
      </c>
      <c r="CN94" s="329">
        <f>SUM(CF94:CM94)-CH94-CJ94</f>
        <v>0</v>
      </c>
      <c r="CO94" s="330"/>
      <c r="CP94" s="313" t="s">
        <v>11</v>
      </c>
      <c r="CQ94" s="315">
        <f t="shared" si="1714"/>
        <v>0</v>
      </c>
      <c r="CR94" s="315">
        <f t="shared" si="1715"/>
        <v>0</v>
      </c>
      <c r="CS94" s="315">
        <f t="shared" si="1716"/>
        <v>0</v>
      </c>
      <c r="CT94" s="315">
        <f t="shared" si="1717"/>
        <v>0</v>
      </c>
      <c r="CU94" s="315">
        <f t="shared" si="1718"/>
        <v>0</v>
      </c>
      <c r="CV94" s="315">
        <f t="shared" si="1719"/>
        <v>0</v>
      </c>
      <c r="CW94" s="315">
        <f t="shared" si="1720"/>
        <v>0</v>
      </c>
      <c r="CX94" s="315">
        <f t="shared" ref="CX94:CX95" si="1791">IF($CP94="PROQUIMA",$BC94+$BL94+$BU94+$CD94+CM94,0)</f>
        <v>0</v>
      </c>
      <c r="CY94" s="315">
        <f t="shared" ref="CY94:CY95" si="1792">SUM(CQ94:CX94)-CS94-CU94</f>
        <v>0</v>
      </c>
      <c r="CZ94" s="315">
        <f t="shared" si="1723"/>
        <v>3166.38</v>
      </c>
      <c r="DA94" s="315">
        <f t="shared" si="1724"/>
        <v>1600</v>
      </c>
      <c r="DB94" s="315">
        <f t="shared" si="1725"/>
        <v>33</v>
      </c>
      <c r="DC94" s="315">
        <f t="shared" si="1726"/>
        <v>653.06587500000012</v>
      </c>
      <c r="DD94" s="315">
        <f t="shared" si="1727"/>
        <v>0</v>
      </c>
      <c r="DE94" s="315">
        <f t="shared" si="1728"/>
        <v>0</v>
      </c>
      <c r="DF94" s="315">
        <f t="shared" si="1729"/>
        <v>0</v>
      </c>
      <c r="DG94" s="315">
        <f t="shared" si="1730"/>
        <v>483.92379236250008</v>
      </c>
      <c r="DH94" s="315">
        <f t="shared" ref="DH94" si="1793">SUM(CZ94:DG94)-DB94-DD94</f>
        <v>5903.3696673625</v>
      </c>
      <c r="DI94" s="315">
        <f>IF($CP94="UNHESA LIQUIDOS",$AV94+$BE94+$BN94+$BW94+$CF94,0)</f>
        <v>0</v>
      </c>
      <c r="DJ94" s="315">
        <f>IF($CP94="UNHESA LIQUIDOS",$AW94+$BF94+$BO94+$BX94+$CG94,0)</f>
        <v>0</v>
      </c>
      <c r="DK94" s="315">
        <f>IF($CP94="UNHESA LIQUIDOS",$AX94+$BG94+$BP94+$BY94+$CH94,0)</f>
        <v>0</v>
      </c>
      <c r="DL94" s="315">
        <f>IF($CP94="UNHESA LIQUIDOS",$AY94+$BH94+$BQ94+$BZ94+$CI94,0)</f>
        <v>0</v>
      </c>
      <c r="DM94" s="315">
        <f>IF($CP94="UNHESA LIQUIDOS",$AZ94+$BI94+$BR94+$CA94+$CJ94,0)</f>
        <v>0</v>
      </c>
      <c r="DN94" s="315">
        <f>IF($CP94="UNHESA LIQUIDOS",$BA94+$BJ94+$BS94+$CB94+$CK94,0)</f>
        <v>0</v>
      </c>
      <c r="DO94" s="315">
        <f>IF($CP94="UNHESA LIQUIDOS",$BB94+$BK94+$BT94+$CC94+$CL94,0)</f>
        <v>0</v>
      </c>
      <c r="DP94" s="315">
        <f>IF($CP94="UNHESA LIQUIDOS",$BC94+$BL94+$BU94+$CD94+$CM94,0)</f>
        <v>0</v>
      </c>
      <c r="DQ94" s="315">
        <f>SUM(DI94:DP94)-DK94-DM94</f>
        <v>0</v>
      </c>
      <c r="DR94" s="360">
        <f t="shared" si="1732"/>
        <v>0</v>
      </c>
      <c r="DS94" s="361">
        <f t="shared" si="1733"/>
        <v>0</v>
      </c>
      <c r="DT94" s="361">
        <f t="shared" si="1734"/>
        <v>0</v>
      </c>
      <c r="DU94" s="361">
        <f t="shared" si="1735"/>
        <v>0</v>
      </c>
      <c r="DV94" s="361">
        <f t="shared" si="1736"/>
        <v>0</v>
      </c>
      <c r="DW94" s="361">
        <f t="shared" si="1737"/>
        <v>0</v>
      </c>
      <c r="DX94" s="361">
        <f t="shared" si="1738"/>
        <v>0</v>
      </c>
      <c r="DY94" s="361">
        <f t="shared" si="1739"/>
        <v>0</v>
      </c>
      <c r="DZ94" s="361">
        <f>SUM(DR94:DY94)-DT94-DV94</f>
        <v>0</v>
      </c>
      <c r="EA94" s="361">
        <f t="shared" si="1740"/>
        <v>0</v>
      </c>
      <c r="EB94" s="361">
        <f t="shared" si="1741"/>
        <v>0</v>
      </c>
      <c r="EC94" s="361">
        <f t="shared" si="1742"/>
        <v>0</v>
      </c>
      <c r="ED94" s="361">
        <f t="shared" si="1743"/>
        <v>0</v>
      </c>
      <c r="EE94" s="361">
        <f t="shared" si="1744"/>
        <v>0</v>
      </c>
      <c r="EF94" s="361">
        <f t="shared" si="1745"/>
        <v>0</v>
      </c>
      <c r="EG94" s="361">
        <f t="shared" si="1746"/>
        <v>0</v>
      </c>
      <c r="EH94" s="361">
        <f t="shared" si="1747"/>
        <v>0</v>
      </c>
      <c r="EI94" s="362">
        <f>SUM(EA94:EH94)-EC94-EE94</f>
        <v>0</v>
      </c>
      <c r="EJ94" s="330"/>
      <c r="EK94" s="312"/>
      <c r="EL94" s="312"/>
      <c r="EM94" s="313"/>
      <c r="EN94" s="312"/>
      <c r="EO94" s="313"/>
      <c r="EP94" s="1969">
        <v>50</v>
      </c>
      <c r="EQ94" s="313"/>
      <c r="ER94" s="313"/>
      <c r="ES94" s="1425"/>
      <c r="ET94" s="313">
        <f t="shared" ref="ET94" si="1794">+EO94+EP94+EQ94</f>
        <v>50</v>
      </c>
      <c r="EV94" s="321">
        <f t="shared" ref="EV94:EV95" si="1795">IF($H94&lt;=15,EK94/2,EK94)</f>
        <v>0</v>
      </c>
      <c r="EW94" s="321">
        <f t="shared" ref="EW94:EW95" si="1796">IF($H94&lt;=15,EL94/2,EL94)</f>
        <v>0</v>
      </c>
      <c r="EX94" s="321">
        <f t="shared" ref="EX94:EX95" si="1797">IF($H94&lt;=15,EM94/2,EM94)</f>
        <v>0</v>
      </c>
      <c r="EY94" s="321">
        <f t="shared" ref="EY94:EY95" si="1798">IF($H94&lt;=15,EN94/2,EN94)</f>
        <v>0</v>
      </c>
      <c r="EZ94" s="321">
        <f t="shared" ref="EZ94:EZ95" si="1799">IF($H94&lt;=15,EO94/2,EO94)</f>
        <v>0</v>
      </c>
      <c r="FA94" s="321">
        <f t="shared" ref="FA94:FA95" si="1800">IF($H94&lt;=15,EP94/2,EP94)</f>
        <v>50</v>
      </c>
      <c r="FB94" s="321">
        <f t="shared" ref="FB94:FB95" si="1801">IF($H94&lt;=15,EQ94/2,EQ94)</f>
        <v>0</v>
      </c>
      <c r="FC94" s="321">
        <f t="shared" ref="FC94:FC95" si="1802">IF($H94&lt;=15,ER94/2,ER94)</f>
        <v>0</v>
      </c>
      <c r="FD94" s="321">
        <f t="shared" ref="FD94:FD95" si="1803">IF($H94&lt;=15,ES94/2,ES94)</f>
        <v>0</v>
      </c>
      <c r="FE94" s="321">
        <f t="shared" ref="FE94:FE95" si="1804">IF($H94&lt;=15,ET94/2,ET94)</f>
        <v>50</v>
      </c>
      <c r="FF94" s="332"/>
      <c r="FG94" s="332"/>
      <c r="FH94" s="332"/>
      <c r="FI94" s="332"/>
      <c r="FJ94" s="332"/>
      <c r="FK94" s="332"/>
    </row>
    <row r="95" spans="1:172" s="1977" customFormat="1" ht="15" customHeight="1" outlineLevel="1">
      <c r="A95" s="1984">
        <f>+A94+1</f>
        <v>56</v>
      </c>
      <c r="B95" s="1967" t="s">
        <v>620</v>
      </c>
      <c r="C95" s="1968" t="s">
        <v>94</v>
      </c>
      <c r="D95" s="1968" t="s">
        <v>11</v>
      </c>
      <c r="E95" s="1971">
        <v>3166.38</v>
      </c>
      <c r="F95" s="1970">
        <v>250</v>
      </c>
      <c r="G95" s="1988">
        <v>3209.24</v>
      </c>
      <c r="H95" s="1979">
        <v>3</v>
      </c>
      <c r="I95" s="1972">
        <v>0</v>
      </c>
      <c r="J95" s="1987">
        <v>1</v>
      </c>
      <c r="K95" s="1972">
        <v>0</v>
      </c>
      <c r="L95" s="317">
        <v>0</v>
      </c>
      <c r="M95" s="317">
        <v>0</v>
      </c>
      <c r="N95" s="1972">
        <v>1</v>
      </c>
      <c r="O95" s="1977" t="s">
        <v>864</v>
      </c>
      <c r="P95" s="1973"/>
      <c r="Q95" s="1971">
        <v>0</v>
      </c>
      <c r="R95" s="1974"/>
      <c r="S95" s="1971">
        <v>0</v>
      </c>
      <c r="T95" s="1974"/>
      <c r="U95" s="1971">
        <f>($E95/30/8*1.5)*T95</f>
        <v>0</v>
      </c>
      <c r="V95" s="1973"/>
      <c r="W95" s="1971">
        <f>($E95/30/8*2)*V95</f>
        <v>0</v>
      </c>
      <c r="X95" s="1974"/>
      <c r="Y95" s="1971">
        <v>0</v>
      </c>
      <c r="Z95" s="1975"/>
      <c r="AA95" s="1971">
        <v>0</v>
      </c>
      <c r="AB95" s="323">
        <v>0</v>
      </c>
      <c r="AC95" s="324">
        <v>0</v>
      </c>
      <c r="AD95" s="323"/>
      <c r="AE95" s="324">
        <v>0</v>
      </c>
      <c r="AF95" s="324">
        <v>0</v>
      </c>
      <c r="AG95" s="324">
        <v>0</v>
      </c>
      <c r="AH95" s="323"/>
      <c r="AI95" s="324">
        <v>0</v>
      </c>
      <c r="AJ95" s="325"/>
      <c r="AK95" s="325"/>
      <c r="AL95" s="325"/>
      <c r="AM95" s="325"/>
      <c r="AN95" s="325"/>
      <c r="AO95" s="325"/>
      <c r="AP95" s="325"/>
      <c r="AQ95" s="325"/>
      <c r="AR95" s="325"/>
      <c r="AS95" s="325"/>
      <c r="AT95" s="1970"/>
      <c r="AU95" s="1980"/>
      <c r="AV95" s="1971">
        <f>((E95/30)*H95)*$I95</f>
        <v>0</v>
      </c>
      <c r="AW95" s="1979">
        <f t="shared" si="1762"/>
        <v>0</v>
      </c>
      <c r="AX95" s="1971">
        <v>0</v>
      </c>
      <c r="AY95" s="1971">
        <v>0</v>
      </c>
      <c r="AZ95" s="1971">
        <v>0</v>
      </c>
      <c r="BA95" s="1971">
        <v>0</v>
      </c>
      <c r="BB95" s="1971">
        <v>0</v>
      </c>
      <c r="BC95" s="1971">
        <f t="shared" si="1768"/>
        <v>0</v>
      </c>
      <c r="BD95" s="1971">
        <f t="shared" si="1769"/>
        <v>0</v>
      </c>
      <c r="BE95" s="1971">
        <f>(($E95/30)*$H95)*$J95</f>
        <v>316.63800000000003</v>
      </c>
      <c r="BF95" s="2011">
        <f>(($F95/30)*$H95)*$J95</f>
        <v>25</v>
      </c>
      <c r="BG95" s="1971">
        <f>T95</f>
        <v>0</v>
      </c>
      <c r="BH95" s="1971">
        <f>U95</f>
        <v>0</v>
      </c>
      <c r="BI95" s="1971">
        <f>V95</f>
        <v>0</v>
      </c>
      <c r="BJ95" s="1971">
        <f>W95</f>
        <v>0</v>
      </c>
      <c r="BK95" s="1971">
        <f t="shared" si="1774"/>
        <v>0</v>
      </c>
      <c r="BL95" s="1971">
        <f t="shared" si="1775"/>
        <v>40.118034600000009</v>
      </c>
      <c r="BM95" s="1970">
        <f t="shared" si="1776"/>
        <v>381.75603460000002</v>
      </c>
      <c r="BN95" s="1971">
        <f t="shared" si="1702"/>
        <v>0</v>
      </c>
      <c r="BO95" s="1971">
        <f t="shared" si="1703"/>
        <v>0</v>
      </c>
      <c r="BP95" s="1971">
        <f t="shared" si="1777"/>
        <v>0</v>
      </c>
      <c r="BQ95" s="1971">
        <f t="shared" si="1778"/>
        <v>0</v>
      </c>
      <c r="BR95" s="1971">
        <f t="shared" si="1779"/>
        <v>0</v>
      </c>
      <c r="BS95" s="1971">
        <f t="shared" si="1780"/>
        <v>0</v>
      </c>
      <c r="BT95" s="1971">
        <f t="shared" si="1781"/>
        <v>0</v>
      </c>
      <c r="BU95" s="1971">
        <f t="shared" si="1782"/>
        <v>0</v>
      </c>
      <c r="BV95" s="1971">
        <f t="shared" si="1783"/>
        <v>0</v>
      </c>
      <c r="BW95" s="327">
        <f>(($E95/30)*$H95)*$L95</f>
        <v>0</v>
      </c>
      <c r="BX95" s="328">
        <f t="shared" si="1711"/>
        <v>0</v>
      </c>
      <c r="BY95" s="328">
        <f t="shared" si="1784"/>
        <v>0</v>
      </c>
      <c r="BZ95" s="328">
        <f t="shared" si="1785"/>
        <v>0</v>
      </c>
      <c r="CA95" s="328">
        <f t="shared" si="1786"/>
        <v>0</v>
      </c>
      <c r="CB95" s="328">
        <f t="shared" si="1787"/>
        <v>0</v>
      </c>
      <c r="CC95" s="328">
        <f>AM95+AR95</f>
        <v>0</v>
      </c>
      <c r="CD95" s="328">
        <f>(BW95+BZ95+CB95)*0.1267</f>
        <v>0</v>
      </c>
      <c r="CE95" s="328">
        <f>SUM(BW95:CD95)-BY95-CA95</f>
        <v>0</v>
      </c>
      <c r="CF95" s="328">
        <f>(($E95/30)*$H95)*M95</f>
        <v>0</v>
      </c>
      <c r="CG95" s="328">
        <f>(($F95/30)*$H95)*$M95</f>
        <v>0</v>
      </c>
      <c r="CH95" s="328">
        <f>+AF95</f>
        <v>0</v>
      </c>
      <c r="CI95" s="328">
        <f t="shared" si="1788"/>
        <v>0</v>
      </c>
      <c r="CJ95" s="328">
        <f t="shared" si="1789"/>
        <v>0</v>
      </c>
      <c r="CK95" s="328">
        <f t="shared" si="1790"/>
        <v>0</v>
      </c>
      <c r="CL95" s="328">
        <f>AN95+AS95</f>
        <v>0</v>
      </c>
      <c r="CM95" s="328">
        <f>(CF95+CI95+CK95)*0.1267</f>
        <v>0</v>
      </c>
      <c r="CN95" s="329">
        <f>SUM(CF95:CM95)-CH95-CJ95</f>
        <v>0</v>
      </c>
      <c r="CO95" s="1976"/>
      <c r="CP95" s="1969" t="s">
        <v>11</v>
      </c>
      <c r="CQ95" s="1971">
        <f>IF($CP95="PROQUIMA",$AV95+$BE95+$BN95+$BW95+$CF95,0)</f>
        <v>0</v>
      </c>
      <c r="CR95" s="1971">
        <f>IF($CP95="PROQUIMA",$AW95+$BF95+$BO95+$BX95+$CG95,0)</f>
        <v>0</v>
      </c>
      <c r="CS95" s="1971">
        <f t="shared" si="1716"/>
        <v>0</v>
      </c>
      <c r="CT95" s="1971">
        <f t="shared" si="1717"/>
        <v>0</v>
      </c>
      <c r="CU95" s="1971">
        <f t="shared" si="1718"/>
        <v>0</v>
      </c>
      <c r="CV95" s="1971">
        <f t="shared" si="1719"/>
        <v>0</v>
      </c>
      <c r="CW95" s="1971">
        <f t="shared" si="1720"/>
        <v>0</v>
      </c>
      <c r="CX95" s="1971">
        <f t="shared" si="1791"/>
        <v>0</v>
      </c>
      <c r="CY95" s="1971">
        <f t="shared" si="1792"/>
        <v>0</v>
      </c>
      <c r="CZ95" s="1971">
        <f>IF($CP95="UNHESA",$AV95+$BE95+$BN95+$BW95+$CF95,0)</f>
        <v>316.63800000000003</v>
      </c>
      <c r="DA95" s="1971">
        <f>IF($CP95="UNHESA",$AW95+$BF95+$BO95+$BX95+$CG95,0)</f>
        <v>25</v>
      </c>
      <c r="DB95" s="1971">
        <f>IF($CP95="UNHESA",$AX95+$BG95+$BP95+$BY95+$CH95,0)</f>
        <v>0</v>
      </c>
      <c r="DC95" s="1971">
        <f>IF($CP95="UNHESA",$AY95+$BH95+$BQ95+$BZ95+$CI95,0)</f>
        <v>0</v>
      </c>
      <c r="DD95" s="1971">
        <f>IF($CP95="UNHESA",$AZ95+$BI95+$BR95+$CA95+$CJ95,0)</f>
        <v>0</v>
      </c>
      <c r="DE95" s="1971">
        <f>IF($CP95="UNHESA",$BA95+$BJ95+$BS95+$CB95+$CK95,0)</f>
        <v>0</v>
      </c>
      <c r="DF95" s="1971">
        <f>IF($CP95="UNHESA",$BB95+$BK95+$BT95+$CC95+$CL95,0)</f>
        <v>0</v>
      </c>
      <c r="DG95" s="1971">
        <f t="shared" si="1730"/>
        <v>40.118034600000009</v>
      </c>
      <c r="DH95" s="1971">
        <f t="shared" ref="DH95" si="1805">SUM(CZ95:DG95)-DB95-DD95</f>
        <v>381.75603460000002</v>
      </c>
      <c r="DI95" s="1971">
        <f>IF($CP95="UNHESA LIQUIDOS",$AV95+$BE95+$BN95+$BW95+$CF95,0)</f>
        <v>0</v>
      </c>
      <c r="DJ95" s="1971">
        <f>IF($CP95="UNHESA LIQUIDOS",$AW95+$BF95+$BO95+$BX95+$CG95,0)</f>
        <v>0</v>
      </c>
      <c r="DK95" s="1971">
        <f>IF($CP95="UNHESA LIQUIDOS",$AX95+$BG95+$BP95+$BY95+$CH95,0)</f>
        <v>0</v>
      </c>
      <c r="DL95" s="1971">
        <f>IF($CP95="UNHESA LIQUIDOS",$AY95+$BH95+$BQ95+$BZ95+$CI95,0)</f>
        <v>0</v>
      </c>
      <c r="DM95" s="1971">
        <f>IF($CP95="UNHESA LIQUIDOS",$AZ95+$BI95+$BR95+$CA95+$CJ95,0)</f>
        <v>0</v>
      </c>
      <c r="DN95" s="1971">
        <f>IF($CP95="UNHESA LIQUIDOS",$BA95+$BJ95+$BS95+$CB95+$CK95,0)</f>
        <v>0</v>
      </c>
      <c r="DO95" s="1971">
        <f>IF($CP95="UNHESA LIQUIDOS",$BB95+$BK95+$BT95+$CC95+$CL95,0)</f>
        <v>0</v>
      </c>
      <c r="DP95" s="1971">
        <f>IF($CP95="UNHESA LIQUIDOS",$BC95+$BL95+$BU95+$CD95+$CM95,0)</f>
        <v>0</v>
      </c>
      <c r="DQ95" s="1971">
        <f>SUM(DI95:DP95)-DK95-DM95</f>
        <v>0</v>
      </c>
      <c r="DR95" s="1981">
        <f t="shared" si="1732"/>
        <v>0</v>
      </c>
      <c r="DS95" s="1982">
        <f t="shared" si="1733"/>
        <v>0</v>
      </c>
      <c r="DT95" s="1982">
        <f t="shared" si="1734"/>
        <v>0</v>
      </c>
      <c r="DU95" s="1982">
        <f t="shared" si="1735"/>
        <v>0</v>
      </c>
      <c r="DV95" s="1982">
        <f t="shared" si="1736"/>
        <v>0</v>
      </c>
      <c r="DW95" s="1982">
        <f t="shared" si="1737"/>
        <v>0</v>
      </c>
      <c r="DX95" s="1982">
        <f t="shared" si="1738"/>
        <v>0</v>
      </c>
      <c r="DY95" s="1982">
        <f t="shared" si="1739"/>
        <v>0</v>
      </c>
      <c r="DZ95" s="1982">
        <f>SUM(DR95:DY95)-DT95-DV95</f>
        <v>0</v>
      </c>
      <c r="EA95" s="1982">
        <f t="shared" si="1740"/>
        <v>0</v>
      </c>
      <c r="EB95" s="1982">
        <f t="shared" si="1741"/>
        <v>0</v>
      </c>
      <c r="EC95" s="1982">
        <f t="shared" si="1742"/>
        <v>0</v>
      </c>
      <c r="ED95" s="1982">
        <f t="shared" si="1743"/>
        <v>0</v>
      </c>
      <c r="EE95" s="1982">
        <f t="shared" si="1744"/>
        <v>0</v>
      </c>
      <c r="EF95" s="1982">
        <f t="shared" si="1745"/>
        <v>0</v>
      </c>
      <c r="EG95" s="1982">
        <f t="shared" si="1746"/>
        <v>0</v>
      </c>
      <c r="EH95" s="1982">
        <f t="shared" si="1747"/>
        <v>0</v>
      </c>
      <c r="EI95" s="1983">
        <f>SUM(EA95:EH95)-EC95-EE95</f>
        <v>0</v>
      </c>
      <c r="EJ95" s="1976"/>
      <c r="EK95" s="1968"/>
      <c r="EL95" s="1968"/>
      <c r="EM95" s="1969"/>
      <c r="EN95" s="1968"/>
      <c r="EO95" s="1969"/>
      <c r="EP95" s="1969"/>
      <c r="EQ95" s="1969"/>
      <c r="ER95" s="1969"/>
      <c r="ES95" s="1969"/>
      <c r="ET95" s="1969">
        <f>+EO95+EP95+EQ95</f>
        <v>0</v>
      </c>
      <c r="EV95" s="1974">
        <f t="shared" si="1795"/>
        <v>0</v>
      </c>
      <c r="EW95" s="1974">
        <f t="shared" si="1796"/>
        <v>0</v>
      </c>
      <c r="EX95" s="1974">
        <f t="shared" si="1797"/>
        <v>0</v>
      </c>
      <c r="EY95" s="1974">
        <f t="shared" si="1798"/>
        <v>0</v>
      </c>
      <c r="EZ95" s="1974">
        <f t="shared" si="1799"/>
        <v>0</v>
      </c>
      <c r="FA95" s="1974">
        <f t="shared" si="1800"/>
        <v>0</v>
      </c>
      <c r="FB95" s="1974">
        <f t="shared" si="1801"/>
        <v>0</v>
      </c>
      <c r="FC95" s="1974">
        <f t="shared" si="1802"/>
        <v>0</v>
      </c>
      <c r="FD95" s="1974">
        <f t="shared" si="1803"/>
        <v>0</v>
      </c>
      <c r="FE95" s="1974">
        <f t="shared" si="1804"/>
        <v>0</v>
      </c>
      <c r="FF95" s="1978">
        <v>1</v>
      </c>
      <c r="FG95" s="1978">
        <v>0</v>
      </c>
      <c r="FH95" s="1978">
        <v>0</v>
      </c>
      <c r="FI95" s="1978">
        <v>0</v>
      </c>
      <c r="FJ95" s="1978">
        <v>0</v>
      </c>
      <c r="FK95" s="1978">
        <v>1</v>
      </c>
      <c r="FL95" s="1977">
        <v>0</v>
      </c>
    </row>
    <row r="96" spans="1:172" s="331" customFormat="1" ht="15" customHeight="1" outlineLevel="1">
      <c r="A96" s="415" t="e">
        <f>+#REF!+1</f>
        <v>#REF!</v>
      </c>
      <c r="B96" s="311" t="s">
        <v>574</v>
      </c>
      <c r="C96" s="312" t="s">
        <v>595</v>
      </c>
      <c r="D96" s="312" t="s">
        <v>11</v>
      </c>
      <c r="E96" s="1971">
        <v>3166.38</v>
      </c>
      <c r="F96" s="314">
        <f>250</f>
        <v>250</v>
      </c>
      <c r="G96" s="1988">
        <f t="shared" si="1675"/>
        <v>3416.38</v>
      </c>
      <c r="H96" s="1971">
        <v>30</v>
      </c>
      <c r="I96" s="318">
        <v>0</v>
      </c>
      <c r="J96" s="1498">
        <v>1</v>
      </c>
      <c r="K96" s="417">
        <v>0</v>
      </c>
      <c r="L96" s="318">
        <v>0</v>
      </c>
      <c r="M96" s="318">
        <v>0</v>
      </c>
      <c r="N96" s="318">
        <f t="shared" ref="N96" si="1806">SUM(I96:M96)</f>
        <v>1</v>
      </c>
      <c r="O96" s="1122"/>
      <c r="P96" s="320"/>
      <c r="Q96" s="315">
        <f t="shared" si="1677"/>
        <v>0</v>
      </c>
      <c r="R96" s="321"/>
      <c r="S96" s="315">
        <f t="shared" si="1678"/>
        <v>0</v>
      </c>
      <c r="T96" s="321">
        <v>6</v>
      </c>
      <c r="U96" s="315">
        <f t="shared" si="1679"/>
        <v>118.73925000000001</v>
      </c>
      <c r="V96" s="320"/>
      <c r="W96" s="315">
        <f>($E96/30/8*2)*V96</f>
        <v>0</v>
      </c>
      <c r="X96" s="321"/>
      <c r="Y96" s="315">
        <f t="shared" si="1681"/>
        <v>0</v>
      </c>
      <c r="Z96" s="322"/>
      <c r="AA96" s="315">
        <f t="shared" si="1682"/>
        <v>0</v>
      </c>
      <c r="AB96" s="322"/>
      <c r="AC96" s="315">
        <f t="shared" si="1683"/>
        <v>0</v>
      </c>
      <c r="AD96" s="322"/>
      <c r="AE96" s="315">
        <f t="shared" si="1684"/>
        <v>0</v>
      </c>
      <c r="AF96" s="315"/>
      <c r="AG96" s="315">
        <f t="shared" ref="AG96" si="1807">(($E96/30/8)*1.5)*AF96</f>
        <v>0</v>
      </c>
      <c r="AH96" s="322"/>
      <c r="AI96" s="315">
        <f t="shared" ref="AI96" si="1808">(($E96/30/8)*2)*AH96</f>
        <v>0</v>
      </c>
      <c r="AJ96" s="314"/>
      <c r="AK96" s="314"/>
      <c r="AL96" s="314"/>
      <c r="AM96" s="314"/>
      <c r="AN96" s="314"/>
      <c r="AO96" s="314"/>
      <c r="AP96" s="314"/>
      <c r="AQ96" s="314"/>
      <c r="AR96" s="314"/>
      <c r="AS96" s="314"/>
      <c r="AT96" s="314"/>
      <c r="AU96" s="326"/>
      <c r="AV96" s="315">
        <f t="shared" si="1685"/>
        <v>0</v>
      </c>
      <c r="AW96" s="906">
        <f>((F96/30)*H96)*$I96+450</f>
        <v>450</v>
      </c>
      <c r="AX96" s="315">
        <f t="shared" si="1687"/>
        <v>0</v>
      </c>
      <c r="AY96" s="315">
        <f t="shared" si="1688"/>
        <v>0</v>
      </c>
      <c r="AZ96" s="315">
        <f t="shared" si="1689"/>
        <v>0</v>
      </c>
      <c r="BA96" s="315">
        <f t="shared" si="1690"/>
        <v>0</v>
      </c>
      <c r="BB96" s="315">
        <f t="shared" si="1691"/>
        <v>0</v>
      </c>
      <c r="BC96" s="315">
        <f t="shared" si="1692"/>
        <v>0</v>
      </c>
      <c r="BD96" s="315">
        <f t="shared" si="1693"/>
        <v>450</v>
      </c>
      <c r="BE96" s="315">
        <f t="shared" si="1694"/>
        <v>3166.38</v>
      </c>
      <c r="BF96" s="906">
        <f>(($F96/30)*$H96)*$J96+225</f>
        <v>475</v>
      </c>
      <c r="BG96" s="315">
        <f t="shared" si="1695"/>
        <v>6</v>
      </c>
      <c r="BH96" s="315">
        <f t="shared" si="1696"/>
        <v>118.73925000000001</v>
      </c>
      <c r="BI96" s="315">
        <f t="shared" si="1697"/>
        <v>0</v>
      </c>
      <c r="BJ96" s="315">
        <f t="shared" si="1698"/>
        <v>0</v>
      </c>
      <c r="BK96" s="315">
        <f t="shared" si="1699"/>
        <v>0</v>
      </c>
      <c r="BL96" s="315">
        <f t="shared" si="1700"/>
        <v>416.22460897500002</v>
      </c>
      <c r="BM96" s="314">
        <f t="shared" si="1701"/>
        <v>4176.3438589750003</v>
      </c>
      <c r="BN96" s="315">
        <f t="shared" si="1702"/>
        <v>0</v>
      </c>
      <c r="BO96" s="906">
        <f t="shared" si="1703"/>
        <v>0</v>
      </c>
      <c r="BP96" s="315">
        <f t="shared" si="1704"/>
        <v>0</v>
      </c>
      <c r="BQ96" s="315">
        <f t="shared" si="1705"/>
        <v>0</v>
      </c>
      <c r="BR96" s="315">
        <f t="shared" si="1706"/>
        <v>0</v>
      </c>
      <c r="BS96" s="315">
        <f t="shared" si="1707"/>
        <v>0</v>
      </c>
      <c r="BT96" s="315">
        <f t="shared" si="1708"/>
        <v>0</v>
      </c>
      <c r="BU96" s="315">
        <f t="shared" si="1709"/>
        <v>0</v>
      </c>
      <c r="BV96" s="315">
        <f t="shared" si="1710"/>
        <v>0</v>
      </c>
      <c r="BW96" s="327">
        <f t="shared" ref="BW96" si="1809">(($E96/30)*$H96)*$L96</f>
        <v>0</v>
      </c>
      <c r="BX96" s="328">
        <f t="shared" si="1711"/>
        <v>0</v>
      </c>
      <c r="BY96" s="328">
        <f t="shared" ref="BY96" si="1810">AB96</f>
        <v>0</v>
      </c>
      <c r="BZ96" s="328">
        <f t="shared" ref="BZ96" si="1811">AC96</f>
        <v>0</v>
      </c>
      <c r="CA96" s="328">
        <f t="shared" ref="CA96" si="1812">AD96</f>
        <v>0</v>
      </c>
      <c r="CB96" s="328">
        <f t="shared" ref="CB96" si="1813">AE96</f>
        <v>0</v>
      </c>
      <c r="CC96" s="328">
        <f t="shared" ref="CC96" si="1814">AM96+AR96</f>
        <v>0</v>
      </c>
      <c r="CD96" s="328">
        <f t="shared" ref="CD96" si="1815">(BW96+BZ96+CB96)*0.1267</f>
        <v>0</v>
      </c>
      <c r="CE96" s="328">
        <f t="shared" ref="CE96" si="1816">SUM(BW96:CD96)-BY96-CA96</f>
        <v>0</v>
      </c>
      <c r="CF96" s="361"/>
      <c r="CG96" s="361"/>
      <c r="CH96" s="361"/>
      <c r="CI96" s="361"/>
      <c r="CJ96" s="361"/>
      <c r="CK96" s="361"/>
      <c r="CL96" s="361"/>
      <c r="CM96" s="361"/>
      <c r="CN96" s="362"/>
      <c r="CO96" s="330"/>
      <c r="CP96" s="313" t="s">
        <v>11</v>
      </c>
      <c r="CQ96" s="315">
        <f t="shared" si="1714"/>
        <v>0</v>
      </c>
      <c r="CR96" s="315">
        <f t="shared" si="1715"/>
        <v>0</v>
      </c>
      <c r="CS96" s="315">
        <f t="shared" si="1716"/>
        <v>0</v>
      </c>
      <c r="CT96" s="315">
        <f t="shared" si="1717"/>
        <v>0</v>
      </c>
      <c r="CU96" s="315">
        <f t="shared" si="1718"/>
        <v>0</v>
      </c>
      <c r="CV96" s="315">
        <f t="shared" si="1719"/>
        <v>0</v>
      </c>
      <c r="CW96" s="315">
        <f t="shared" si="1720"/>
        <v>0</v>
      </c>
      <c r="CX96" s="315">
        <f t="shared" si="1721"/>
        <v>0</v>
      </c>
      <c r="CY96" s="315">
        <f t="shared" si="1722"/>
        <v>0</v>
      </c>
      <c r="CZ96" s="315">
        <f t="shared" si="1723"/>
        <v>3166.38</v>
      </c>
      <c r="DA96" s="315">
        <f t="shared" si="1724"/>
        <v>925</v>
      </c>
      <c r="DB96" s="315">
        <f t="shared" si="1725"/>
        <v>6</v>
      </c>
      <c r="DC96" s="315">
        <f t="shared" si="1726"/>
        <v>118.73925000000001</v>
      </c>
      <c r="DD96" s="315">
        <f t="shared" si="1727"/>
        <v>0</v>
      </c>
      <c r="DE96" s="315">
        <f t="shared" si="1728"/>
        <v>0</v>
      </c>
      <c r="DF96" s="315">
        <f t="shared" si="1729"/>
        <v>0</v>
      </c>
      <c r="DG96" s="315">
        <f t="shared" si="1730"/>
        <v>416.22460897500002</v>
      </c>
      <c r="DH96" s="315">
        <f t="shared" si="1731"/>
        <v>4626.3438589749994</v>
      </c>
      <c r="DI96" s="315">
        <f t="shared" ref="DI96" si="1817">IF($CP96="UNHESA LIQUIDOS",$AV96+$BE96+$BN96+$BW96+$CF96,0)</f>
        <v>0</v>
      </c>
      <c r="DJ96" s="315">
        <f t="shared" ref="DJ96" si="1818">IF($CP96="UNHESA LIQUIDOS",$AW96+$BF96+$BO96+$BX96+$CG96,0)</f>
        <v>0</v>
      </c>
      <c r="DK96" s="315">
        <f t="shared" ref="DK96" si="1819">IF($CP96="UNHESA LIQUIDOS",$AX96+$BG96+$BP96+$BY96+$CH96,0)</f>
        <v>0</v>
      </c>
      <c r="DL96" s="315">
        <f t="shared" ref="DL96" si="1820">IF($CP96="UNHESA LIQUIDOS",$AY96+$BH96+$BQ96+$BZ96+$CI96,0)</f>
        <v>0</v>
      </c>
      <c r="DM96" s="315">
        <f t="shared" ref="DM96" si="1821">IF($CP96="UNHESA LIQUIDOS",$AZ96+$BI96+$BR96+$CA96+$CJ96,0)</f>
        <v>0</v>
      </c>
      <c r="DN96" s="315">
        <f t="shared" ref="DN96" si="1822">IF($CP96="UNHESA LIQUIDOS",$BA96+$BJ96+$BS96+$CB96+$CK96,0)</f>
        <v>0</v>
      </c>
      <c r="DO96" s="315">
        <f t="shared" ref="DO96" si="1823">IF($CP96="UNHESA LIQUIDOS",$BB96+$BK96+$BT96+$CC96+$CL96,0)</f>
        <v>0</v>
      </c>
      <c r="DP96" s="315">
        <f t="shared" ref="DP96" si="1824">IF($CP96="UNHESA LIQUIDOS",$BC96+$BL96+$BU96+$CD96+$CM96,0)</f>
        <v>0</v>
      </c>
      <c r="DQ96" s="315">
        <f t="shared" ref="DQ96" si="1825">SUM(DI96:DP96)-DK96-DM96</f>
        <v>0</v>
      </c>
      <c r="DR96" s="1593"/>
      <c r="DS96" s="1594"/>
      <c r="DT96" s="1594"/>
      <c r="DU96" s="1594"/>
      <c r="DV96" s="1594"/>
      <c r="DW96" s="1594"/>
      <c r="DX96" s="1594"/>
      <c r="DY96" s="1594"/>
      <c r="DZ96" s="1594"/>
      <c r="EA96" s="1594"/>
      <c r="EB96" s="1594"/>
      <c r="EC96" s="1594"/>
      <c r="ED96" s="1594"/>
      <c r="EE96" s="1594"/>
      <c r="EF96" s="1594"/>
      <c r="EG96" s="1594"/>
      <c r="EH96" s="1594"/>
      <c r="EI96" s="1595"/>
      <c r="EJ96" s="330"/>
      <c r="EK96" s="1969">
        <v>39.979999999999997</v>
      </c>
      <c r="EL96" s="313"/>
      <c r="EM96" s="313"/>
      <c r="EN96" s="1969">
        <f>185.5+180.75</f>
        <v>366.25</v>
      </c>
      <c r="EO96" s="313"/>
      <c r="EP96" s="1969">
        <v>50</v>
      </c>
      <c r="EQ96" s="1969"/>
      <c r="ER96" s="313"/>
      <c r="ES96" s="1425"/>
      <c r="ET96" s="313">
        <f>+EO96+EP96+EQ96</f>
        <v>50</v>
      </c>
      <c r="EV96" s="321">
        <f t="shared" si="1749"/>
        <v>39.979999999999997</v>
      </c>
      <c r="EW96" s="321">
        <f t="shared" si="1749"/>
        <v>0</v>
      </c>
      <c r="EX96" s="321">
        <f t="shared" si="1749"/>
        <v>0</v>
      </c>
      <c r="EY96" s="321">
        <f t="shared" si="1749"/>
        <v>366.25</v>
      </c>
      <c r="EZ96" s="321">
        <f t="shared" si="1749"/>
        <v>0</v>
      </c>
      <c r="FA96" s="321">
        <f t="shared" si="1749"/>
        <v>50</v>
      </c>
      <c r="FB96" s="321">
        <f>IF($H96&lt;=15,EQ96/2,EQ96)</f>
        <v>0</v>
      </c>
      <c r="FC96" s="321">
        <f t="shared" si="1749"/>
        <v>0</v>
      </c>
      <c r="FD96" s="321">
        <f t="shared" si="1749"/>
        <v>0</v>
      </c>
      <c r="FE96" s="321">
        <f t="shared" si="1750"/>
        <v>50</v>
      </c>
      <c r="FF96" s="332">
        <v>0</v>
      </c>
      <c r="FG96" s="332">
        <v>0</v>
      </c>
      <c r="FH96" s="332">
        <v>1</v>
      </c>
      <c r="FI96" s="332">
        <v>0</v>
      </c>
      <c r="FJ96" s="332">
        <v>0</v>
      </c>
      <c r="FK96" s="332">
        <f>SUM(FF96:FJ96)</f>
        <v>1</v>
      </c>
      <c r="FL96" s="331">
        <f t="shared" si="1674"/>
        <v>0</v>
      </c>
    </row>
    <row r="97" spans="1:169" s="331" customFormat="1" ht="15" customHeight="1" outlineLevel="1">
      <c r="A97" s="415" t="e">
        <f>+#REF!+1</f>
        <v>#REF!</v>
      </c>
      <c r="B97" s="311" t="s">
        <v>590</v>
      </c>
      <c r="C97" s="312" t="s">
        <v>599</v>
      </c>
      <c r="D97" s="312" t="s">
        <v>11</v>
      </c>
      <c r="E97" s="1971">
        <v>3166.38</v>
      </c>
      <c r="F97" s="1526">
        <v>250</v>
      </c>
      <c r="G97" s="1598">
        <f t="shared" si="1675"/>
        <v>3416.38</v>
      </c>
      <c r="H97" s="1971">
        <v>30</v>
      </c>
      <c r="I97" s="1580">
        <v>0</v>
      </c>
      <c r="J97" s="417">
        <v>1</v>
      </c>
      <c r="K97" s="417">
        <v>0</v>
      </c>
      <c r="L97" s="318">
        <v>0</v>
      </c>
      <c r="M97" s="318">
        <v>0</v>
      </c>
      <c r="N97" s="318">
        <f t="shared" si="1676"/>
        <v>1</v>
      </c>
      <c r="O97" s="1122" t="s">
        <v>54</v>
      </c>
      <c r="P97" s="357">
        <v>3</v>
      </c>
      <c r="Q97" s="358">
        <f t="shared" si="1677"/>
        <v>59.369625000000006</v>
      </c>
      <c r="R97" s="321"/>
      <c r="S97" s="315">
        <f t="shared" si="1678"/>
        <v>0</v>
      </c>
      <c r="T97" s="321">
        <v>11</v>
      </c>
      <c r="U97" s="315">
        <f t="shared" si="1679"/>
        <v>217.68862500000003</v>
      </c>
      <c r="V97" s="321"/>
      <c r="W97" s="315">
        <f t="shared" si="1680"/>
        <v>0</v>
      </c>
      <c r="X97" s="321"/>
      <c r="Y97" s="315">
        <f t="shared" si="1681"/>
        <v>0</v>
      </c>
      <c r="Z97" s="322"/>
      <c r="AA97" s="315">
        <f t="shared" si="1682"/>
        <v>0</v>
      </c>
      <c r="AB97" s="1528"/>
      <c r="AC97" s="315">
        <f t="shared" si="1683"/>
        <v>0</v>
      </c>
      <c r="AD97" s="322"/>
      <c r="AE97" s="315">
        <f t="shared" si="1684"/>
        <v>0</v>
      </c>
      <c r="AF97" s="315"/>
      <c r="AG97" s="315"/>
      <c r="AH97" s="322"/>
      <c r="AI97" s="315"/>
      <c r="AJ97" s="314"/>
      <c r="AK97" s="314"/>
      <c r="AL97" s="314"/>
      <c r="AM97" s="314"/>
      <c r="AN97" s="314"/>
      <c r="AO97" s="314"/>
      <c r="AP97" s="314"/>
      <c r="AQ97" s="314"/>
      <c r="AR97" s="314"/>
      <c r="AS97" s="314"/>
      <c r="AT97" s="314"/>
      <c r="AU97" s="326"/>
      <c r="AV97" s="315">
        <f t="shared" si="1685"/>
        <v>0</v>
      </c>
      <c r="AW97" s="358">
        <f>((F97/30)*H97)*$I97+225</f>
        <v>225</v>
      </c>
      <c r="AX97" s="315">
        <f t="shared" si="1687"/>
        <v>3</v>
      </c>
      <c r="AY97" s="315">
        <f t="shared" si="1688"/>
        <v>59.369625000000006</v>
      </c>
      <c r="AZ97" s="315">
        <f t="shared" si="1689"/>
        <v>0</v>
      </c>
      <c r="BA97" s="315">
        <f t="shared" si="1690"/>
        <v>0</v>
      </c>
      <c r="BB97" s="315">
        <f t="shared" si="1691"/>
        <v>0</v>
      </c>
      <c r="BC97" s="315">
        <f t="shared" si="1692"/>
        <v>7.5221314875000012</v>
      </c>
      <c r="BD97" s="315">
        <f t="shared" si="1693"/>
        <v>291.8917564875</v>
      </c>
      <c r="BE97" s="315">
        <f t="shared" si="1694"/>
        <v>3166.38</v>
      </c>
      <c r="BF97" s="906">
        <f>(($F97/30)*$H97)*$J97+225</f>
        <v>475</v>
      </c>
      <c r="BG97" s="315">
        <f t="shared" si="1695"/>
        <v>11</v>
      </c>
      <c r="BH97" s="315">
        <f t="shared" si="1696"/>
        <v>217.68862500000003</v>
      </c>
      <c r="BI97" s="315">
        <f t="shared" si="1697"/>
        <v>0</v>
      </c>
      <c r="BJ97" s="315">
        <f t="shared" si="1698"/>
        <v>0</v>
      </c>
      <c r="BK97" s="315">
        <f t="shared" si="1699"/>
        <v>0</v>
      </c>
      <c r="BL97" s="315">
        <f t="shared" si="1700"/>
        <v>428.76149478750006</v>
      </c>
      <c r="BM97" s="314">
        <f t="shared" si="1701"/>
        <v>4287.8301197875007</v>
      </c>
      <c r="BN97" s="315">
        <f t="shared" si="1702"/>
        <v>0</v>
      </c>
      <c r="BO97" s="315">
        <f t="shared" si="1703"/>
        <v>0</v>
      </c>
      <c r="BP97" s="315">
        <f t="shared" si="1704"/>
        <v>0</v>
      </c>
      <c r="BQ97" s="315">
        <f t="shared" si="1705"/>
        <v>0</v>
      </c>
      <c r="BR97" s="315">
        <f t="shared" si="1706"/>
        <v>0</v>
      </c>
      <c r="BS97" s="315">
        <f t="shared" si="1707"/>
        <v>0</v>
      </c>
      <c r="BT97" s="315">
        <f t="shared" si="1708"/>
        <v>0</v>
      </c>
      <c r="BU97" s="315">
        <f t="shared" si="1709"/>
        <v>0</v>
      </c>
      <c r="BV97" s="315">
        <f t="shared" si="1710"/>
        <v>0</v>
      </c>
      <c r="BW97" s="360">
        <f t="shared" ref="BW97:BW98" si="1826">(($E97/30)*$H97)*$L97</f>
        <v>0</v>
      </c>
      <c r="BX97" s="361">
        <f t="shared" si="1711"/>
        <v>0</v>
      </c>
      <c r="BY97" s="361">
        <f t="shared" ref="BY97:BY98" si="1827">AB97</f>
        <v>0</v>
      </c>
      <c r="BZ97" s="361">
        <f t="shared" ref="BZ97:BZ98" si="1828">AC97</f>
        <v>0</v>
      </c>
      <c r="CA97" s="361">
        <f t="shared" ref="CA97:CA98" si="1829">AD97</f>
        <v>0</v>
      </c>
      <c r="CB97" s="361">
        <f t="shared" ref="CB97:CB98" si="1830">AE97</f>
        <v>0</v>
      </c>
      <c r="CC97" s="361">
        <f t="shared" ref="CC97:CC98" si="1831">AM97+AR97</f>
        <v>0</v>
      </c>
      <c r="CD97" s="361">
        <f t="shared" ref="CD97:CD98" si="1832">(BW97+BZ97+CB97)*0.1267</f>
        <v>0</v>
      </c>
      <c r="CE97" s="361">
        <f t="shared" ref="CE97:CE98" si="1833">SUM(BW97:CD97)-BY97-CA97</f>
        <v>0</v>
      </c>
      <c r="CF97" s="361"/>
      <c r="CG97" s="361"/>
      <c r="CH97" s="361"/>
      <c r="CI97" s="361"/>
      <c r="CJ97" s="361"/>
      <c r="CK97" s="361"/>
      <c r="CL97" s="361"/>
      <c r="CM97" s="361"/>
      <c r="CN97" s="362"/>
      <c r="CO97" s="330"/>
      <c r="CP97" s="313" t="str">
        <f>D97</f>
        <v>UNHESA</v>
      </c>
      <c r="CQ97" s="315">
        <f>IF($CP97="PROQUIMA",$AV97+$BE97+$BN97+$BW97+$CF97,0)</f>
        <v>0</v>
      </c>
      <c r="CR97" s="315">
        <f>IF($CP97="PROQUIMA",$AW97+$BF97+$BO97+$BX97+$CG97,0)</f>
        <v>0</v>
      </c>
      <c r="CS97" s="315">
        <f>IF($CP97="PROQUIMA",$AX97+$BG97+$BP97+$BY97+$CH97,0)</f>
        <v>0</v>
      </c>
      <c r="CT97" s="315">
        <f>IF($CP97="PROQUIMA",$AY97+$BH97+$BQ97+$BZ97+$CI97,0)</f>
        <v>0</v>
      </c>
      <c r="CU97" s="315">
        <f>IF($CP97="PROQUIMA",$AZ97+$BI97+$BR97+$CA97+$CJ97,0)</f>
        <v>0</v>
      </c>
      <c r="CV97" s="315">
        <f t="shared" si="1719"/>
        <v>0</v>
      </c>
      <c r="CW97" s="315">
        <f>IF($CP97="PROQUIMA",$BB97+$BK97+$BT97+$CC97+$CL97,0)</f>
        <v>0</v>
      </c>
      <c r="CX97" s="315">
        <f t="shared" si="1721"/>
        <v>0</v>
      </c>
      <c r="CY97" s="315">
        <f t="shared" si="1722"/>
        <v>0</v>
      </c>
      <c r="CZ97" s="315">
        <f>IF($CP97="UNHESA",$AV97+$BE97+$BN97+$BW97+$CF97,0)</f>
        <v>3166.38</v>
      </c>
      <c r="DA97" s="315">
        <f t="shared" si="1724"/>
        <v>700</v>
      </c>
      <c r="DB97" s="315">
        <f>IF($CP97="UNHESA",$AX97+$BG97+$BP97+$BY97+$CH97,0)</f>
        <v>14</v>
      </c>
      <c r="DC97" s="315">
        <f>IF($CP97="UNHESA",$AY97+$BH97+$BQ97+$BZ97+$CI97,0)</f>
        <v>277.05825000000004</v>
      </c>
      <c r="DD97" s="315">
        <f>IF($CP97="UNHESA",$AZ97+$BI97+$BR97+$CA97+$CJ97,0)</f>
        <v>0</v>
      </c>
      <c r="DE97" s="315">
        <f>IF($CP97="UNHESA",$BA97+$BJ97+$BS97+$CB97+$CK97,0)</f>
        <v>0</v>
      </c>
      <c r="DF97" s="315">
        <f>IF($CP97="UNHESA",$BB97+$BK97+$BT97+$CC97+$CL97,0)</f>
        <v>0</v>
      </c>
      <c r="DG97" s="315">
        <f>IF($CP97="UNHESA",$BC97+$BL97+$BU97+$CD97+$CM97,0)</f>
        <v>436.28362627500007</v>
      </c>
      <c r="DH97" s="315">
        <f t="shared" si="1731"/>
        <v>4579.7218762749999</v>
      </c>
      <c r="DI97" s="315"/>
      <c r="DJ97" s="315"/>
      <c r="DK97" s="315"/>
      <c r="DL97" s="315"/>
      <c r="DM97" s="315"/>
      <c r="DN97" s="315"/>
      <c r="DO97" s="315"/>
      <c r="DP97" s="315"/>
      <c r="DQ97" s="315"/>
      <c r="DR97" s="360"/>
      <c r="DS97" s="361"/>
      <c r="DT97" s="361"/>
      <c r="DU97" s="361"/>
      <c r="DV97" s="361"/>
      <c r="DW97" s="361"/>
      <c r="DX97" s="361"/>
      <c r="DY97" s="361"/>
      <c r="DZ97" s="361"/>
      <c r="EA97" s="361"/>
      <c r="EB97" s="361"/>
      <c r="EC97" s="361"/>
      <c r="ED97" s="361"/>
      <c r="EE97" s="361"/>
      <c r="EF97" s="361"/>
      <c r="EG97" s="361"/>
      <c r="EH97" s="361"/>
      <c r="EI97" s="362"/>
      <c r="EJ97" s="330"/>
      <c r="EK97" s="313"/>
      <c r="EL97" s="1597">
        <v>544.61</v>
      </c>
      <c r="EM97" s="313"/>
      <c r="EN97" s="1969"/>
      <c r="EO97" s="313"/>
      <c r="EP97" s="1969">
        <v>50</v>
      </c>
      <c r="EQ97" s="1969"/>
      <c r="ER97" s="1969"/>
      <c r="ES97" s="312"/>
      <c r="ET97" s="321">
        <f t="shared" si="1748"/>
        <v>50</v>
      </c>
      <c r="EV97" s="321">
        <f t="shared" ref="EV97:FB97" si="1834">IF($H97&lt;=15,EK97/2,EK97)</f>
        <v>0</v>
      </c>
      <c r="EW97" s="321">
        <f t="shared" si="1834"/>
        <v>544.61</v>
      </c>
      <c r="EX97" s="321">
        <f t="shared" si="1834"/>
        <v>0</v>
      </c>
      <c r="EY97" s="321">
        <f t="shared" si="1834"/>
        <v>0</v>
      </c>
      <c r="EZ97" s="321">
        <f t="shared" si="1834"/>
        <v>0</v>
      </c>
      <c r="FA97" s="321">
        <f t="shared" si="1834"/>
        <v>50</v>
      </c>
      <c r="FB97" s="321">
        <f t="shared" si="1834"/>
        <v>0</v>
      </c>
      <c r="FC97" s="321">
        <f t="shared" si="1749"/>
        <v>0</v>
      </c>
      <c r="FD97" s="321">
        <f t="shared" ref="FD97:FD98" si="1835">IF($H97&lt;=15,ES97/2,ES97)</f>
        <v>0</v>
      </c>
      <c r="FE97" s="321">
        <f>IF($H97&lt;=15,ET97/2,ET97)</f>
        <v>50</v>
      </c>
      <c r="FF97" s="1599">
        <v>1</v>
      </c>
      <c r="FG97" s="332">
        <v>0</v>
      </c>
      <c r="FH97" s="332">
        <v>0</v>
      </c>
      <c r="FI97" s="332">
        <v>0</v>
      </c>
      <c r="FJ97" s="332">
        <v>0</v>
      </c>
      <c r="FK97" s="332">
        <f>SUM(FF97:FJ97)</f>
        <v>1</v>
      </c>
    </row>
    <row r="98" spans="1:169" s="354" customFormat="1" ht="15" customHeight="1" outlineLevel="1">
      <c r="A98" s="415" t="e">
        <f t="shared" ref="A98" si="1836">+A97+1</f>
        <v>#REF!</v>
      </c>
      <c r="B98" s="311" t="s">
        <v>639</v>
      </c>
      <c r="C98" s="312" t="s">
        <v>93</v>
      </c>
      <c r="D98" s="312" t="s">
        <v>11</v>
      </c>
      <c r="E98" s="1971">
        <v>3166.38</v>
      </c>
      <c r="F98" s="1526">
        <v>250</v>
      </c>
      <c r="G98" s="1598">
        <f t="shared" si="1675"/>
        <v>3416.38</v>
      </c>
      <c r="H98" s="1971">
        <v>30</v>
      </c>
      <c r="I98" s="417">
        <v>0</v>
      </c>
      <c r="J98" s="1580">
        <v>1</v>
      </c>
      <c r="K98" s="417">
        <v>0</v>
      </c>
      <c r="L98" s="318">
        <v>0</v>
      </c>
      <c r="M98" s="318">
        <v>0</v>
      </c>
      <c r="N98" s="318">
        <f t="shared" si="1676"/>
        <v>1</v>
      </c>
      <c r="O98" s="1477" t="s">
        <v>54</v>
      </c>
      <c r="P98" s="357"/>
      <c r="Q98" s="358">
        <f t="shared" si="1677"/>
        <v>0</v>
      </c>
      <c r="R98" s="404"/>
      <c r="S98" s="358">
        <f t="shared" si="1678"/>
        <v>0</v>
      </c>
      <c r="T98" s="404">
        <v>5</v>
      </c>
      <c r="U98" s="358">
        <f t="shared" si="1679"/>
        <v>98.949375000000003</v>
      </c>
      <c r="V98" s="357"/>
      <c r="W98" s="358">
        <f t="shared" si="1680"/>
        <v>0</v>
      </c>
      <c r="X98" s="404">
        <v>0</v>
      </c>
      <c r="Y98" s="358">
        <f t="shared" si="1681"/>
        <v>0</v>
      </c>
      <c r="Z98" s="1528"/>
      <c r="AA98" s="358">
        <f t="shared" si="1682"/>
        <v>0</v>
      </c>
      <c r="AB98" s="322"/>
      <c r="AC98" s="315">
        <f t="shared" ref="AC98" si="1837">(($E98/30/8)*1.5)*AB98</f>
        <v>0</v>
      </c>
      <c r="AD98" s="322"/>
      <c r="AE98" s="315">
        <f t="shared" ref="AE98" si="1838">(($E98/30/8)*2)*AD98</f>
        <v>0</v>
      </c>
      <c r="AF98" s="315"/>
      <c r="AG98" s="315"/>
      <c r="AH98" s="322"/>
      <c r="AI98" s="315"/>
      <c r="AJ98" s="314"/>
      <c r="AK98" s="314"/>
      <c r="AL98" s="314"/>
      <c r="AM98" s="314"/>
      <c r="AN98" s="314"/>
      <c r="AO98" s="314"/>
      <c r="AP98" s="314"/>
      <c r="AQ98" s="314"/>
      <c r="AR98" s="314"/>
      <c r="AS98" s="314"/>
      <c r="AT98" s="314"/>
      <c r="AU98" s="359"/>
      <c r="AV98" s="358">
        <f t="shared" si="1685"/>
        <v>0</v>
      </c>
      <c r="AW98" s="416">
        <f>((F98/30)*H98)*$I98</f>
        <v>0</v>
      </c>
      <c r="AX98" s="358">
        <f t="shared" si="1687"/>
        <v>0</v>
      </c>
      <c r="AY98" s="358">
        <f t="shared" si="1688"/>
        <v>0</v>
      </c>
      <c r="AZ98" s="358">
        <f t="shared" si="1689"/>
        <v>0</v>
      </c>
      <c r="BA98" s="358">
        <f t="shared" si="1690"/>
        <v>0</v>
      </c>
      <c r="BB98" s="358">
        <f t="shared" si="1691"/>
        <v>0</v>
      </c>
      <c r="BC98" s="358">
        <f t="shared" si="1692"/>
        <v>0</v>
      </c>
      <c r="BD98" s="358">
        <f t="shared" si="1693"/>
        <v>0</v>
      </c>
      <c r="BE98" s="358">
        <f t="shared" ref="BE98" si="1839">(($E98/30)*$H98)*$J98</f>
        <v>3166.38</v>
      </c>
      <c r="BF98" s="416">
        <f>(($F98/30)*$H98)*$J98+225</f>
        <v>475</v>
      </c>
      <c r="BG98" s="358">
        <f t="shared" si="1695"/>
        <v>5</v>
      </c>
      <c r="BH98" s="358">
        <f t="shared" si="1696"/>
        <v>98.949375000000003</v>
      </c>
      <c r="BI98" s="358">
        <f t="shared" si="1697"/>
        <v>0</v>
      </c>
      <c r="BJ98" s="358">
        <f t="shared" si="1698"/>
        <v>0</v>
      </c>
      <c r="BK98" s="358">
        <f t="shared" si="1699"/>
        <v>0</v>
      </c>
      <c r="BL98" s="358">
        <f t="shared" si="1700"/>
        <v>413.71723181250007</v>
      </c>
      <c r="BM98" s="1526">
        <f t="shared" si="1701"/>
        <v>4154.0466068125006</v>
      </c>
      <c r="BN98" s="358">
        <f t="shared" ref="BN98" si="1840">(($E98/30)*$H98)*$K98</f>
        <v>0</v>
      </c>
      <c r="BO98" s="358">
        <f t="shared" si="1703"/>
        <v>0</v>
      </c>
      <c r="BP98" s="358">
        <f t="shared" si="1704"/>
        <v>0</v>
      </c>
      <c r="BQ98" s="358">
        <f t="shared" si="1705"/>
        <v>0</v>
      </c>
      <c r="BR98" s="358">
        <f t="shared" si="1706"/>
        <v>0</v>
      </c>
      <c r="BS98" s="358">
        <f t="shared" si="1707"/>
        <v>0</v>
      </c>
      <c r="BT98" s="358">
        <f t="shared" si="1708"/>
        <v>0</v>
      </c>
      <c r="BU98" s="358">
        <f t="shared" si="1709"/>
        <v>0</v>
      </c>
      <c r="BV98" s="358">
        <f t="shared" si="1710"/>
        <v>0</v>
      </c>
      <c r="BW98" s="360">
        <f t="shared" si="1826"/>
        <v>0</v>
      </c>
      <c r="BX98" s="361">
        <f t="shared" si="1711"/>
        <v>0</v>
      </c>
      <c r="BY98" s="361">
        <f t="shared" si="1827"/>
        <v>0</v>
      </c>
      <c r="BZ98" s="361">
        <f t="shared" si="1828"/>
        <v>0</v>
      </c>
      <c r="CA98" s="361">
        <f t="shared" si="1829"/>
        <v>0</v>
      </c>
      <c r="CB98" s="361">
        <f t="shared" si="1830"/>
        <v>0</v>
      </c>
      <c r="CC98" s="361">
        <f t="shared" si="1831"/>
        <v>0</v>
      </c>
      <c r="CD98" s="361">
        <f t="shared" si="1832"/>
        <v>0</v>
      </c>
      <c r="CE98" s="361">
        <f t="shared" si="1833"/>
        <v>0</v>
      </c>
      <c r="CF98" s="361"/>
      <c r="CG98" s="361"/>
      <c r="CH98" s="361"/>
      <c r="CI98" s="361"/>
      <c r="CJ98" s="361"/>
      <c r="CK98" s="361"/>
      <c r="CL98" s="361"/>
      <c r="CM98" s="361"/>
      <c r="CN98" s="362"/>
      <c r="CO98" s="1418"/>
      <c r="CP98" s="312" t="s">
        <v>11</v>
      </c>
      <c r="CQ98" s="358">
        <f t="shared" si="1714"/>
        <v>0</v>
      </c>
      <c r="CR98" s="358">
        <f t="shared" si="1715"/>
        <v>0</v>
      </c>
      <c r="CS98" s="358">
        <f t="shared" si="1716"/>
        <v>0</v>
      </c>
      <c r="CT98" s="358">
        <f t="shared" si="1717"/>
        <v>0</v>
      </c>
      <c r="CU98" s="358">
        <f t="shared" si="1718"/>
        <v>0</v>
      </c>
      <c r="CV98" s="358">
        <f t="shared" ref="CV98" si="1841">IF($CP98="PROQUIMA",$BA98+$BJ98+$BS98+$CB98+$CK98,0)</f>
        <v>0</v>
      </c>
      <c r="CW98" s="358">
        <f t="shared" si="1720"/>
        <v>0</v>
      </c>
      <c r="CX98" s="358">
        <f t="shared" si="1721"/>
        <v>0</v>
      </c>
      <c r="CY98" s="358">
        <f t="shared" si="1722"/>
        <v>0</v>
      </c>
      <c r="CZ98" s="358">
        <f t="shared" si="1723"/>
        <v>3166.38</v>
      </c>
      <c r="DA98" s="358">
        <f t="shared" ref="DA98" si="1842">IF($CP98="UNHESA",$AW98+$BF98+$BO98+$BX98+$CG98,0)</f>
        <v>475</v>
      </c>
      <c r="DB98" s="358">
        <f t="shared" si="1725"/>
        <v>5</v>
      </c>
      <c r="DC98" s="358">
        <f t="shared" si="1726"/>
        <v>98.949375000000003</v>
      </c>
      <c r="DD98" s="358">
        <f t="shared" si="1727"/>
        <v>0</v>
      </c>
      <c r="DE98" s="358">
        <f t="shared" si="1728"/>
        <v>0</v>
      </c>
      <c r="DF98" s="358">
        <f t="shared" si="1729"/>
        <v>0</v>
      </c>
      <c r="DG98" s="358">
        <f t="shared" si="1730"/>
        <v>413.71723181250007</v>
      </c>
      <c r="DH98" s="358">
        <f t="shared" si="1731"/>
        <v>4154.0466068125006</v>
      </c>
      <c r="DI98" s="358">
        <f t="shared" ref="DI98" si="1843">IF($CP98="UNHESA LIQUIDOS",$AV98+$BE98+$BN98+$BW98+$CF98,0)</f>
        <v>0</v>
      </c>
      <c r="DJ98" s="358">
        <f t="shared" ref="DJ98" si="1844">IF($CP98="UNHESA LIQUIDOS",$AW98+$BF98+$BO98+$BX98+$CG98,0)</f>
        <v>0</v>
      </c>
      <c r="DK98" s="358">
        <f t="shared" ref="DK98" si="1845">IF($CP98="UNHESA LIQUIDOS",$AX98+$BG98+$BP98+$BY98+$CH98,0)</f>
        <v>0</v>
      </c>
      <c r="DL98" s="358">
        <f t="shared" ref="DL98" si="1846">IF($CP98="UNHESA LIQUIDOS",$AY98+$BH98+$BQ98+$BZ98+$CI98,0)</f>
        <v>0</v>
      </c>
      <c r="DM98" s="358">
        <f t="shared" ref="DM98" si="1847">IF($CP98="UNHESA LIQUIDOS",$AZ98+$BI98+$BR98+$CA98+$CJ98,0)</f>
        <v>0</v>
      </c>
      <c r="DN98" s="358">
        <f t="shared" ref="DN98" si="1848">IF($CP98="UNHESA LIQUIDOS",$BA98+$BJ98+$BS98+$CB98+$CK98,0)</f>
        <v>0</v>
      </c>
      <c r="DO98" s="358">
        <f t="shared" ref="DO98" si="1849">IF($CP98="UNHESA LIQUIDOS",$BB98+$BK98+$BT98+$CC98+$CL98,0)</f>
        <v>0</v>
      </c>
      <c r="DP98" s="358">
        <f t="shared" ref="DP98" si="1850">IF($CP98="UNHESA LIQUIDOS",$BC98+$BL98+$BU98+$CD98+$CM98,0)</f>
        <v>0</v>
      </c>
      <c r="DQ98" s="358">
        <f t="shared" ref="DQ98" si="1851">SUM(DI98:DP98)-DK98-DM98</f>
        <v>0</v>
      </c>
      <c r="DR98" s="360"/>
      <c r="DS98" s="361"/>
      <c r="DT98" s="361"/>
      <c r="DU98" s="361"/>
      <c r="DV98" s="361"/>
      <c r="DW98" s="361"/>
      <c r="DX98" s="361"/>
      <c r="DY98" s="361"/>
      <c r="DZ98" s="361"/>
      <c r="EA98" s="361"/>
      <c r="EB98" s="361"/>
      <c r="EC98" s="361"/>
      <c r="ED98" s="361"/>
      <c r="EE98" s="361"/>
      <c r="EF98" s="361"/>
      <c r="EG98" s="361"/>
      <c r="EH98" s="361"/>
      <c r="EI98" s="362"/>
      <c r="EJ98" s="1418"/>
      <c r="EK98" s="1969">
        <v>34.81</v>
      </c>
      <c r="EL98" s="312"/>
      <c r="EM98" s="312"/>
      <c r="EN98" s="1968">
        <f>241.75+276</f>
        <v>517.75</v>
      </c>
      <c r="EO98" s="312"/>
      <c r="EP98" s="1969">
        <v>50</v>
      </c>
      <c r="EQ98" s="1543">
        <v>75</v>
      </c>
      <c r="ER98" s="1969"/>
      <c r="ES98" s="312"/>
      <c r="ET98" s="312">
        <f>+EO98+EP98+EQ98</f>
        <v>125</v>
      </c>
      <c r="EV98" s="404">
        <f t="shared" ref="EV98:FB98" si="1852">IF($H98&lt;=15,EK98/2,EK98)</f>
        <v>34.81</v>
      </c>
      <c r="EW98" s="404">
        <f t="shared" si="1852"/>
        <v>0</v>
      </c>
      <c r="EX98" s="404">
        <f t="shared" si="1852"/>
        <v>0</v>
      </c>
      <c r="EY98" s="404">
        <f t="shared" si="1852"/>
        <v>517.75</v>
      </c>
      <c r="EZ98" s="404">
        <f t="shared" si="1852"/>
        <v>0</v>
      </c>
      <c r="FA98" s="404">
        <f t="shared" si="1852"/>
        <v>50</v>
      </c>
      <c r="FB98" s="404">
        <f t="shared" si="1852"/>
        <v>75</v>
      </c>
      <c r="FC98" s="404">
        <f>IF($H98&lt;=15,ER98/2,ER98)</f>
        <v>0</v>
      </c>
      <c r="FD98" s="404">
        <f t="shared" si="1835"/>
        <v>0</v>
      </c>
      <c r="FE98" s="321">
        <f t="shared" si="1750"/>
        <v>125</v>
      </c>
      <c r="FF98" s="332"/>
      <c r="FG98" s="332"/>
      <c r="FH98" s="332"/>
      <c r="FI98" s="332"/>
      <c r="FJ98" s="332"/>
      <c r="FK98" s="332"/>
    </row>
    <row r="99" spans="1:169" s="1534" customFormat="1" ht="12" customHeight="1" outlineLevel="1" thickBot="1">
      <c r="A99" s="1418"/>
      <c r="B99" s="1600"/>
      <c r="C99" s="1582" t="s">
        <v>96</v>
      </c>
      <c r="D99" s="1582"/>
      <c r="E99" s="1583">
        <f>SUM(E93:E98)</f>
        <v>18998.280000000002</v>
      </c>
      <c r="F99" s="1583">
        <f>SUM(F93:F98)</f>
        <v>1500</v>
      </c>
      <c r="G99" s="1583">
        <f>SUM(G93:G98)</f>
        <v>20291.140000000003</v>
      </c>
      <c r="H99" s="1508"/>
      <c r="I99" s="1585"/>
      <c r="J99" s="1585"/>
      <c r="K99" s="1585"/>
      <c r="L99" s="1585"/>
      <c r="M99" s="1601"/>
      <c r="N99" s="1601"/>
      <c r="O99" s="1553"/>
      <c r="P99" s="1587">
        <f t="shared" ref="P99:AU99" si="1853">SUM(P93:P98)</f>
        <v>3</v>
      </c>
      <c r="Q99" s="1587">
        <f t="shared" si="1853"/>
        <v>59.369625000000006</v>
      </c>
      <c r="R99" s="1587">
        <f t="shared" si="1853"/>
        <v>0</v>
      </c>
      <c r="S99" s="1587">
        <f t="shared" si="1853"/>
        <v>0</v>
      </c>
      <c r="T99" s="1587">
        <f t="shared" si="1853"/>
        <v>55</v>
      </c>
      <c r="U99" s="1587">
        <f t="shared" si="1853"/>
        <v>1088.443125</v>
      </c>
      <c r="V99" s="1587">
        <f t="shared" si="1853"/>
        <v>0</v>
      </c>
      <c r="W99" s="1587">
        <f t="shared" si="1853"/>
        <v>0</v>
      </c>
      <c r="X99" s="1587">
        <f t="shared" si="1853"/>
        <v>0</v>
      </c>
      <c r="Y99" s="1587">
        <f t="shared" si="1853"/>
        <v>0</v>
      </c>
      <c r="Z99" s="1587">
        <f t="shared" si="1853"/>
        <v>0</v>
      </c>
      <c r="AA99" s="1587">
        <f t="shared" si="1853"/>
        <v>0</v>
      </c>
      <c r="AB99" s="1587">
        <f t="shared" si="1853"/>
        <v>0</v>
      </c>
      <c r="AC99" s="1587">
        <f t="shared" si="1853"/>
        <v>0</v>
      </c>
      <c r="AD99" s="1587">
        <f t="shared" si="1853"/>
        <v>0</v>
      </c>
      <c r="AE99" s="1587">
        <f t="shared" si="1853"/>
        <v>0</v>
      </c>
      <c r="AF99" s="1587">
        <f t="shared" si="1853"/>
        <v>0</v>
      </c>
      <c r="AG99" s="1587">
        <f t="shared" si="1853"/>
        <v>0</v>
      </c>
      <c r="AH99" s="1587">
        <f t="shared" si="1853"/>
        <v>0</v>
      </c>
      <c r="AI99" s="1587">
        <f t="shared" si="1853"/>
        <v>0</v>
      </c>
      <c r="AJ99" s="1587">
        <f t="shared" si="1853"/>
        <v>0</v>
      </c>
      <c r="AK99" s="1587">
        <f t="shared" si="1853"/>
        <v>0</v>
      </c>
      <c r="AL99" s="1587">
        <f t="shared" si="1853"/>
        <v>0</v>
      </c>
      <c r="AM99" s="1587">
        <f t="shared" si="1853"/>
        <v>0</v>
      </c>
      <c r="AN99" s="1587">
        <f t="shared" si="1853"/>
        <v>0</v>
      </c>
      <c r="AO99" s="1587">
        <f t="shared" si="1853"/>
        <v>0</v>
      </c>
      <c r="AP99" s="1587">
        <f t="shared" si="1853"/>
        <v>0</v>
      </c>
      <c r="AQ99" s="1587">
        <f t="shared" si="1853"/>
        <v>0</v>
      </c>
      <c r="AR99" s="1587">
        <f t="shared" si="1853"/>
        <v>0</v>
      </c>
      <c r="AS99" s="1587">
        <f t="shared" si="1853"/>
        <v>0</v>
      </c>
      <c r="AT99" s="1587">
        <f t="shared" si="1853"/>
        <v>0</v>
      </c>
      <c r="AU99" s="1587">
        <f t="shared" si="1853"/>
        <v>0</v>
      </c>
      <c r="AV99" s="1587">
        <f t="shared" ref="AV99:BV99" si="1854">SUM(AV93:AV98)</f>
        <v>0</v>
      </c>
      <c r="AW99" s="1587">
        <f t="shared" si="1854"/>
        <v>675</v>
      </c>
      <c r="AX99" s="1587">
        <f t="shared" si="1854"/>
        <v>3</v>
      </c>
      <c r="AY99" s="1587">
        <f t="shared" si="1854"/>
        <v>59.369625000000006</v>
      </c>
      <c r="AZ99" s="1587">
        <f t="shared" si="1854"/>
        <v>0</v>
      </c>
      <c r="BA99" s="1587">
        <f t="shared" si="1854"/>
        <v>0</v>
      </c>
      <c r="BB99" s="1587">
        <f t="shared" si="1854"/>
        <v>0</v>
      </c>
      <c r="BC99" s="1587">
        <f t="shared" si="1854"/>
        <v>7.5221314875000012</v>
      </c>
      <c r="BD99" s="1587">
        <f t="shared" si="1854"/>
        <v>741.89175648750006</v>
      </c>
      <c r="BE99" s="1587">
        <f t="shared" si="1854"/>
        <v>16148.538</v>
      </c>
      <c r="BF99" s="1587">
        <f t="shared" si="1854"/>
        <v>3300</v>
      </c>
      <c r="BG99" s="1587">
        <f t="shared" si="1854"/>
        <v>55</v>
      </c>
      <c r="BH99" s="1587">
        <f t="shared" si="1854"/>
        <v>1088.443125</v>
      </c>
      <c r="BI99" s="1587">
        <f t="shared" si="1854"/>
        <v>0</v>
      </c>
      <c r="BJ99" s="1587">
        <f t="shared" si="1854"/>
        <v>0</v>
      </c>
      <c r="BK99" s="1587">
        <f t="shared" si="1854"/>
        <v>0</v>
      </c>
      <c r="BL99" s="1587">
        <f t="shared" si="1854"/>
        <v>2183.9255085375003</v>
      </c>
      <c r="BM99" s="1587">
        <f t="shared" si="1854"/>
        <v>22720.906633537503</v>
      </c>
      <c r="BN99" s="1587">
        <f t="shared" si="1854"/>
        <v>0</v>
      </c>
      <c r="BO99" s="1587">
        <f t="shared" si="1854"/>
        <v>0</v>
      </c>
      <c r="BP99" s="1587">
        <f t="shared" si="1854"/>
        <v>0</v>
      </c>
      <c r="BQ99" s="1587">
        <f t="shared" si="1854"/>
        <v>0</v>
      </c>
      <c r="BR99" s="1587">
        <f t="shared" si="1854"/>
        <v>0</v>
      </c>
      <c r="BS99" s="1587">
        <f t="shared" si="1854"/>
        <v>0</v>
      </c>
      <c r="BT99" s="1587">
        <f t="shared" si="1854"/>
        <v>0</v>
      </c>
      <c r="BU99" s="1587">
        <f t="shared" si="1854"/>
        <v>0</v>
      </c>
      <c r="BV99" s="1587">
        <f t="shared" si="1854"/>
        <v>0</v>
      </c>
      <c r="BW99" s="1587">
        <f t="shared" ref="BW99:CN99" si="1855">SUM(BW93:BW97)</f>
        <v>0</v>
      </c>
      <c r="BX99" s="1587">
        <f t="shared" si="1855"/>
        <v>0</v>
      </c>
      <c r="BY99" s="1587">
        <f t="shared" si="1855"/>
        <v>0</v>
      </c>
      <c r="BZ99" s="1587">
        <f t="shared" si="1855"/>
        <v>0</v>
      </c>
      <c r="CA99" s="1587">
        <f t="shared" si="1855"/>
        <v>0</v>
      </c>
      <c r="CB99" s="1587">
        <f t="shared" si="1855"/>
        <v>0</v>
      </c>
      <c r="CC99" s="1587">
        <f t="shared" si="1855"/>
        <v>0</v>
      </c>
      <c r="CD99" s="1587">
        <f t="shared" si="1855"/>
        <v>0</v>
      </c>
      <c r="CE99" s="1587">
        <f t="shared" si="1855"/>
        <v>0</v>
      </c>
      <c r="CF99" s="1587">
        <f t="shared" si="1855"/>
        <v>0</v>
      </c>
      <c r="CG99" s="1587">
        <f t="shared" si="1855"/>
        <v>0</v>
      </c>
      <c r="CH99" s="1587">
        <f t="shared" si="1855"/>
        <v>0</v>
      </c>
      <c r="CI99" s="1587">
        <f t="shared" si="1855"/>
        <v>0</v>
      </c>
      <c r="CJ99" s="1587">
        <f t="shared" si="1855"/>
        <v>0</v>
      </c>
      <c r="CK99" s="1587">
        <f t="shared" si="1855"/>
        <v>0</v>
      </c>
      <c r="CL99" s="1587">
        <f t="shared" si="1855"/>
        <v>0</v>
      </c>
      <c r="CM99" s="1587">
        <f t="shared" si="1855"/>
        <v>0</v>
      </c>
      <c r="CN99" s="1587">
        <f t="shared" si="1855"/>
        <v>0</v>
      </c>
      <c r="CP99" s="1602"/>
      <c r="CQ99" s="1587">
        <f t="shared" ref="CQ99:DQ99" si="1856">SUM(CQ93:CQ98)</f>
        <v>0</v>
      </c>
      <c r="CR99" s="1587">
        <f t="shared" si="1856"/>
        <v>0</v>
      </c>
      <c r="CS99" s="1587">
        <f t="shared" si="1856"/>
        <v>0</v>
      </c>
      <c r="CT99" s="1587">
        <f t="shared" si="1856"/>
        <v>0</v>
      </c>
      <c r="CU99" s="1587">
        <f t="shared" si="1856"/>
        <v>0</v>
      </c>
      <c r="CV99" s="1587">
        <f t="shared" si="1856"/>
        <v>0</v>
      </c>
      <c r="CW99" s="1587">
        <f t="shared" si="1856"/>
        <v>0</v>
      </c>
      <c r="CX99" s="1587">
        <f t="shared" si="1856"/>
        <v>0</v>
      </c>
      <c r="CY99" s="1587">
        <f t="shared" si="1856"/>
        <v>0</v>
      </c>
      <c r="CZ99" s="1587">
        <f t="shared" si="1856"/>
        <v>16148.538</v>
      </c>
      <c r="DA99" s="1587">
        <f t="shared" si="1856"/>
        <v>3975</v>
      </c>
      <c r="DB99" s="1587">
        <f t="shared" si="1856"/>
        <v>58</v>
      </c>
      <c r="DC99" s="1587">
        <f t="shared" si="1856"/>
        <v>1147.8127500000001</v>
      </c>
      <c r="DD99" s="1587">
        <f t="shared" si="1856"/>
        <v>0</v>
      </c>
      <c r="DE99" s="1587">
        <f t="shared" si="1856"/>
        <v>0</v>
      </c>
      <c r="DF99" s="1587">
        <f t="shared" si="1856"/>
        <v>0</v>
      </c>
      <c r="DG99" s="1587">
        <f t="shared" si="1856"/>
        <v>2191.4476400250001</v>
      </c>
      <c r="DH99" s="1587">
        <f t="shared" si="1856"/>
        <v>23462.798390025004</v>
      </c>
      <c r="DI99" s="1587">
        <f t="shared" si="1856"/>
        <v>0</v>
      </c>
      <c r="DJ99" s="1587">
        <f t="shared" si="1856"/>
        <v>0</v>
      </c>
      <c r="DK99" s="1587">
        <f t="shared" si="1856"/>
        <v>0</v>
      </c>
      <c r="DL99" s="1587">
        <f t="shared" si="1856"/>
        <v>0</v>
      </c>
      <c r="DM99" s="1587">
        <f t="shared" si="1856"/>
        <v>0</v>
      </c>
      <c r="DN99" s="1587">
        <f t="shared" si="1856"/>
        <v>0</v>
      </c>
      <c r="DO99" s="1587">
        <f t="shared" si="1856"/>
        <v>0</v>
      </c>
      <c r="DP99" s="1587">
        <f t="shared" si="1856"/>
        <v>0</v>
      </c>
      <c r="DQ99" s="1587">
        <f t="shared" si="1856"/>
        <v>0</v>
      </c>
      <c r="DR99" s="1587">
        <f t="shared" ref="DR99:EI99" si="1857">SUM(DR93:DR97)</f>
        <v>0</v>
      </c>
      <c r="DS99" s="1587">
        <f t="shared" si="1857"/>
        <v>0</v>
      </c>
      <c r="DT99" s="1587">
        <f t="shared" si="1857"/>
        <v>0</v>
      </c>
      <c r="DU99" s="1587">
        <f t="shared" si="1857"/>
        <v>0</v>
      </c>
      <c r="DV99" s="1587">
        <f t="shared" si="1857"/>
        <v>0</v>
      </c>
      <c r="DW99" s="1587">
        <f t="shared" si="1857"/>
        <v>0</v>
      </c>
      <c r="DX99" s="1587">
        <f t="shared" si="1857"/>
        <v>0</v>
      </c>
      <c r="DY99" s="1587">
        <f t="shared" si="1857"/>
        <v>0</v>
      </c>
      <c r="DZ99" s="1587">
        <f t="shared" si="1857"/>
        <v>0</v>
      </c>
      <c r="EA99" s="1587">
        <f t="shared" si="1857"/>
        <v>0</v>
      </c>
      <c r="EB99" s="1587">
        <f t="shared" si="1857"/>
        <v>0</v>
      </c>
      <c r="EC99" s="1587">
        <f t="shared" si="1857"/>
        <v>0</v>
      </c>
      <c r="ED99" s="1587">
        <f t="shared" si="1857"/>
        <v>0</v>
      </c>
      <c r="EE99" s="1587">
        <f t="shared" si="1857"/>
        <v>0</v>
      </c>
      <c r="EF99" s="1587">
        <f t="shared" si="1857"/>
        <v>0</v>
      </c>
      <c r="EG99" s="1587">
        <f t="shared" si="1857"/>
        <v>0</v>
      </c>
      <c r="EH99" s="1587">
        <f t="shared" si="1857"/>
        <v>0</v>
      </c>
      <c r="EI99" s="1587">
        <f t="shared" si="1857"/>
        <v>0</v>
      </c>
      <c r="EK99" s="1583">
        <f t="shared" ref="EK99:ET99" si="1858">SUM(EK93:EK98)</f>
        <v>74.789999999999992</v>
      </c>
      <c r="EL99" s="1583">
        <f t="shared" si="1858"/>
        <v>544.61</v>
      </c>
      <c r="EM99" s="1583">
        <f t="shared" si="1858"/>
        <v>0</v>
      </c>
      <c r="EN99" s="1583">
        <f t="shared" si="1858"/>
        <v>884</v>
      </c>
      <c r="EO99" s="1583">
        <f t="shared" si="1858"/>
        <v>0</v>
      </c>
      <c r="EP99" s="1583">
        <f t="shared" si="1858"/>
        <v>250</v>
      </c>
      <c r="EQ99" s="1583">
        <f t="shared" si="1858"/>
        <v>325</v>
      </c>
      <c r="ER99" s="1583">
        <f t="shared" si="1858"/>
        <v>0</v>
      </c>
      <c r="ES99" s="1583">
        <f t="shared" si="1858"/>
        <v>0</v>
      </c>
      <c r="ET99" s="1583">
        <f t="shared" si="1858"/>
        <v>575</v>
      </c>
      <c r="EV99" s="1587">
        <f t="shared" ref="EV99:FK99" si="1859">SUM(EV93:EV98)</f>
        <v>74.789999999999992</v>
      </c>
      <c r="EW99" s="1587">
        <f t="shared" si="1859"/>
        <v>544.61</v>
      </c>
      <c r="EX99" s="1587">
        <f t="shared" si="1859"/>
        <v>0</v>
      </c>
      <c r="EY99" s="1587">
        <f t="shared" si="1859"/>
        <v>884</v>
      </c>
      <c r="EZ99" s="1587">
        <f t="shared" si="1859"/>
        <v>0</v>
      </c>
      <c r="FA99" s="1587">
        <f t="shared" si="1859"/>
        <v>250</v>
      </c>
      <c r="FB99" s="1587">
        <f t="shared" si="1859"/>
        <v>325</v>
      </c>
      <c r="FC99" s="1587">
        <f t="shared" si="1859"/>
        <v>0</v>
      </c>
      <c r="FD99" s="1587">
        <f t="shared" si="1859"/>
        <v>0</v>
      </c>
      <c r="FE99" s="1587">
        <f t="shared" si="1859"/>
        <v>575</v>
      </c>
      <c r="FF99" s="1587">
        <f t="shared" si="1859"/>
        <v>2</v>
      </c>
      <c r="FG99" s="1587">
        <f t="shared" si="1859"/>
        <v>1</v>
      </c>
      <c r="FH99" s="1587">
        <f t="shared" si="1859"/>
        <v>1</v>
      </c>
      <c r="FI99" s="1587">
        <f t="shared" si="1859"/>
        <v>0</v>
      </c>
      <c r="FJ99" s="1587">
        <f t="shared" si="1859"/>
        <v>0</v>
      </c>
      <c r="FK99" s="1587">
        <f t="shared" si="1859"/>
        <v>4</v>
      </c>
      <c r="FL99" s="1603">
        <f t="shared" si="1674"/>
        <v>0</v>
      </c>
    </row>
    <row r="100" spans="1:169" s="1414" customFormat="1" ht="15.75" customHeight="1" outlineLevel="1" thickTop="1">
      <c r="A100" s="1403"/>
      <c r="B100" s="1442"/>
      <c r="C100" s="1339"/>
      <c r="D100" s="1403"/>
      <c r="E100" s="1450"/>
      <c r="F100" s="1444"/>
      <c r="G100" s="1444"/>
      <c r="H100" s="1444"/>
      <c r="I100" s="1563"/>
      <c r="J100" s="1563"/>
      <c r="K100" s="1563"/>
      <c r="L100" s="1563"/>
      <c r="M100" s="1546"/>
      <c r="N100" s="1546"/>
      <c r="O100" s="1417"/>
      <c r="P100" s="1491"/>
      <c r="Q100" s="1444"/>
      <c r="R100" s="1444"/>
      <c r="S100" s="1444"/>
      <c r="T100" s="1444"/>
      <c r="U100" s="1444"/>
      <c r="V100" s="1444"/>
      <c r="W100" s="1444"/>
      <c r="X100" s="1444"/>
      <c r="Y100" s="1444"/>
      <c r="Z100" s="1444"/>
      <c r="AA100" s="1444"/>
      <c r="AB100" s="1444"/>
      <c r="AC100" s="1444"/>
      <c r="AD100" s="1444"/>
      <c r="AE100" s="1444"/>
      <c r="AF100" s="1444"/>
      <c r="AG100" s="1444"/>
      <c r="AH100" s="1444"/>
      <c r="AI100" s="1444"/>
      <c r="AJ100" s="1444"/>
      <c r="AK100" s="1444"/>
      <c r="AL100" s="1444"/>
      <c r="AM100" s="1444"/>
      <c r="AN100" s="1444"/>
      <c r="AO100" s="1444"/>
      <c r="AP100" s="1444"/>
      <c r="AQ100" s="1444"/>
      <c r="AR100" s="1444"/>
      <c r="AS100" s="1444"/>
      <c r="AT100" s="1444"/>
      <c r="AU100" s="1604"/>
      <c r="AV100" s="1444"/>
      <c r="AW100" s="1444"/>
      <c r="AX100" s="1444"/>
      <c r="AY100" s="1444"/>
      <c r="AZ100" s="1444"/>
      <c r="BA100" s="1444"/>
      <c r="BB100" s="1444"/>
      <c r="BC100" s="1444"/>
      <c r="BD100" s="1444"/>
      <c r="BE100" s="1444"/>
      <c r="BF100" s="1444"/>
      <c r="BG100" s="1444"/>
      <c r="BH100" s="1444"/>
      <c r="BI100" s="1444"/>
      <c r="BJ100" s="1444"/>
      <c r="BK100" s="1444"/>
      <c r="BL100" s="1444"/>
      <c r="BM100" s="1444"/>
      <c r="BN100" s="1444"/>
      <c r="BO100" s="1444"/>
      <c r="BP100" s="1444"/>
      <c r="BQ100" s="1444"/>
      <c r="BR100" s="1444"/>
      <c r="BS100" s="1444"/>
      <c r="BT100" s="1444"/>
      <c r="BU100" s="1444"/>
      <c r="BV100" s="1444"/>
      <c r="BW100" s="1444"/>
      <c r="BX100" s="1444"/>
      <c r="BY100" s="1444"/>
      <c r="BZ100" s="1444"/>
      <c r="CA100" s="1444"/>
      <c r="CB100" s="1444"/>
      <c r="CC100" s="1444"/>
      <c r="CD100" s="1444"/>
      <c r="CE100" s="1444"/>
      <c r="CF100" s="1444"/>
      <c r="CG100" s="1444"/>
      <c r="CH100" s="1444"/>
      <c r="CI100" s="1444"/>
      <c r="CJ100" s="1444"/>
      <c r="CK100" s="1444"/>
      <c r="CL100" s="1444"/>
      <c r="CM100" s="1444"/>
      <c r="CN100" s="1444"/>
      <c r="CQ100" s="1491"/>
      <c r="CR100" s="1491"/>
      <c r="CS100" s="1491"/>
      <c r="CT100" s="1491"/>
      <c r="CU100" s="1491"/>
      <c r="CV100" s="1491"/>
      <c r="CW100" s="1491"/>
      <c r="CX100" s="1491"/>
      <c r="CY100" s="1491"/>
      <c r="CZ100" s="1491"/>
      <c r="DA100" s="1491"/>
      <c r="DB100" s="1491"/>
      <c r="DC100" s="1491"/>
      <c r="DD100" s="1491"/>
      <c r="DE100" s="1491"/>
      <c r="DF100" s="1491"/>
      <c r="DG100" s="1491"/>
      <c r="DH100" s="1491"/>
      <c r="DI100" s="1491"/>
      <c r="DJ100" s="1491"/>
      <c r="DK100" s="1491"/>
      <c r="DL100" s="1491"/>
      <c r="DM100" s="1491"/>
      <c r="DN100" s="1491"/>
      <c r="DO100" s="1491"/>
      <c r="DP100" s="1491"/>
      <c r="DQ100" s="1491"/>
      <c r="DR100" s="1491"/>
      <c r="DS100" s="1491"/>
      <c r="DT100" s="1491"/>
      <c r="DU100" s="1491"/>
      <c r="DV100" s="1491"/>
      <c r="DW100" s="1491"/>
      <c r="DX100" s="1491"/>
      <c r="DY100" s="1491"/>
      <c r="DZ100" s="1491"/>
      <c r="EA100" s="1491"/>
      <c r="EB100" s="1491"/>
      <c r="EC100" s="1491"/>
      <c r="ED100" s="1491"/>
      <c r="EE100" s="1491"/>
      <c r="EF100" s="1491"/>
      <c r="EG100" s="1491"/>
      <c r="EH100" s="1491"/>
      <c r="EI100" s="1491"/>
      <c r="EK100" s="1491"/>
      <c r="EL100" s="1491"/>
      <c r="EM100" s="1491"/>
      <c r="EN100" s="1584"/>
      <c r="EO100" s="1491"/>
      <c r="EP100" s="1491"/>
      <c r="EQ100" s="1584"/>
      <c r="ER100" s="1491"/>
      <c r="ES100" s="1491"/>
      <c r="ET100" s="1491"/>
      <c r="EV100" s="1491"/>
      <c r="EW100" s="1491"/>
      <c r="EX100" s="1491"/>
      <c r="EY100" s="1491"/>
      <c r="EZ100" s="1491"/>
      <c r="FA100" s="1491"/>
      <c r="FB100" s="1491"/>
      <c r="FC100" s="1491"/>
      <c r="FD100" s="1491"/>
      <c r="FE100" s="1491"/>
      <c r="FF100" s="1448"/>
      <c r="FG100" s="1448"/>
      <c r="FH100" s="1448"/>
      <c r="FI100" s="1448"/>
      <c r="FJ100" s="1448"/>
      <c r="FK100" s="1448"/>
      <c r="FL100" s="1441">
        <f t="shared" si="1674"/>
        <v>0</v>
      </c>
    </row>
    <row r="101" spans="1:169" s="1414" customFormat="1" ht="15.75" customHeight="1" outlineLevel="1">
      <c r="A101" s="1403"/>
      <c r="B101" s="1404" t="s">
        <v>383</v>
      </c>
      <c r="C101" s="1403"/>
      <c r="D101" s="1403"/>
      <c r="E101" s="1564"/>
      <c r="F101" s="1451"/>
      <c r="G101" s="1451"/>
      <c r="H101" s="1444"/>
      <c r="I101" s="1563"/>
      <c r="J101" s="1563"/>
      <c r="K101" s="1563"/>
      <c r="L101" s="1563"/>
      <c r="M101" s="1546"/>
      <c r="N101" s="1546"/>
      <c r="O101" s="1417"/>
      <c r="P101" s="1565"/>
      <c r="Q101" s="1444"/>
      <c r="R101" s="1452"/>
      <c r="S101" s="1444"/>
      <c r="T101" s="1452"/>
      <c r="U101" s="1444"/>
      <c r="V101" s="1452"/>
      <c r="W101" s="1444"/>
      <c r="X101" s="1452"/>
      <c r="Y101" s="1444"/>
      <c r="Z101" s="1453"/>
      <c r="AA101" s="1444"/>
      <c r="AB101" s="1605"/>
      <c r="AC101" s="1444"/>
      <c r="AD101" s="1453"/>
      <c r="AE101" s="1444"/>
      <c r="AF101" s="1444"/>
      <c r="AG101" s="1444"/>
      <c r="AH101" s="1453"/>
      <c r="AI101" s="1444"/>
      <c r="AJ101" s="1451"/>
      <c r="AK101" s="1451"/>
      <c r="AL101" s="1451"/>
      <c r="AM101" s="1451"/>
      <c r="AN101" s="1451"/>
      <c r="AO101" s="1451"/>
      <c r="AP101" s="1451"/>
      <c r="AQ101" s="1451"/>
      <c r="AR101" s="1451"/>
      <c r="AS101" s="1451"/>
      <c r="AT101" s="1451"/>
      <c r="AU101" s="1604"/>
      <c r="AV101" s="1444"/>
      <c r="AW101" s="1444"/>
      <c r="AX101" s="1444"/>
      <c r="AY101" s="1444"/>
      <c r="AZ101" s="1444"/>
      <c r="BA101" s="1444"/>
      <c r="BB101" s="1444"/>
      <c r="BC101" s="1444"/>
      <c r="BD101" s="1444"/>
      <c r="BE101" s="1444"/>
      <c r="BF101" s="1444"/>
      <c r="BG101" s="1444"/>
      <c r="BH101" s="1444"/>
      <c r="BI101" s="1444"/>
      <c r="BJ101" s="1444"/>
      <c r="BK101" s="1444"/>
      <c r="BL101" s="1444"/>
      <c r="BM101" s="1451"/>
      <c r="BN101" s="1444"/>
      <c r="BO101" s="1444"/>
      <c r="BP101" s="1444"/>
      <c r="BQ101" s="1444"/>
      <c r="BR101" s="1444"/>
      <c r="BS101" s="1444"/>
      <c r="BT101" s="1444"/>
      <c r="BU101" s="1444"/>
      <c r="BV101" s="1444"/>
      <c r="BW101" s="1444"/>
      <c r="BX101" s="1444"/>
      <c r="BY101" s="1444"/>
      <c r="BZ101" s="1444"/>
      <c r="CA101" s="1444"/>
      <c r="CB101" s="1444"/>
      <c r="CC101" s="1444"/>
      <c r="CD101" s="1444"/>
      <c r="CE101" s="1444"/>
      <c r="CF101" s="1444"/>
      <c r="CG101" s="1444"/>
      <c r="CH101" s="1444"/>
      <c r="CI101" s="1444"/>
      <c r="CJ101" s="1444"/>
      <c r="CK101" s="1444"/>
      <c r="CL101" s="1444"/>
      <c r="CM101" s="1444"/>
      <c r="CN101" s="1444"/>
      <c r="CQ101" s="1444"/>
      <c r="CR101" s="1444"/>
      <c r="CS101" s="1444"/>
      <c r="CT101" s="1444"/>
      <c r="CU101" s="1444"/>
      <c r="CV101" s="1444"/>
      <c r="CW101" s="1444"/>
      <c r="CX101" s="1444"/>
      <c r="CY101" s="1444"/>
      <c r="CZ101" s="1444"/>
      <c r="DA101" s="1444"/>
      <c r="DB101" s="1444"/>
      <c r="DC101" s="1444"/>
      <c r="DD101" s="1444"/>
      <c r="DE101" s="1444"/>
      <c r="DF101" s="1444"/>
      <c r="DG101" s="1444"/>
      <c r="DH101" s="1444"/>
      <c r="DI101" s="1444"/>
      <c r="DJ101" s="1444"/>
      <c r="DK101" s="1444"/>
      <c r="DL101" s="1444"/>
      <c r="DM101" s="1444"/>
      <c r="DN101" s="1444"/>
      <c r="DO101" s="1444"/>
      <c r="DP101" s="1444"/>
      <c r="DQ101" s="1444"/>
      <c r="DR101" s="1444"/>
      <c r="DS101" s="1444"/>
      <c r="DT101" s="1444"/>
      <c r="DU101" s="1444"/>
      <c r="DV101" s="1444"/>
      <c r="DW101" s="1444"/>
      <c r="DX101" s="1444"/>
      <c r="DY101" s="1444"/>
      <c r="DZ101" s="1444"/>
      <c r="EA101" s="1444"/>
      <c r="EB101" s="1444"/>
      <c r="EC101" s="1444"/>
      <c r="ED101" s="1444"/>
      <c r="EE101" s="1444"/>
      <c r="EF101" s="1444"/>
      <c r="EG101" s="1444"/>
      <c r="EH101" s="1444"/>
      <c r="EI101" s="1444"/>
      <c r="EK101" s="1403"/>
      <c r="EL101" s="1403"/>
      <c r="EN101" s="330"/>
      <c r="EQ101" s="330"/>
      <c r="FF101" s="1448"/>
      <c r="FG101" s="1448"/>
      <c r="FH101" s="1448"/>
      <c r="FI101" s="1448"/>
      <c r="FJ101" s="1448"/>
      <c r="FK101" s="1448"/>
      <c r="FL101" s="1441">
        <f t="shared" si="1674"/>
        <v>0</v>
      </c>
    </row>
    <row r="102" spans="1:169" s="331" customFormat="1" ht="15" customHeight="1" outlineLevel="1">
      <c r="A102" s="415">
        <v>62</v>
      </c>
      <c r="B102" s="311" t="s">
        <v>531</v>
      </c>
      <c r="C102" s="312" t="s">
        <v>94</v>
      </c>
      <c r="D102" s="313" t="s">
        <v>10</v>
      </c>
      <c r="E102" s="1971">
        <v>3166.38</v>
      </c>
      <c r="F102" s="314">
        <v>250</v>
      </c>
      <c r="G102" s="1592">
        <f t="shared" ref="G102:G115" si="1860">+E102+F102</f>
        <v>3416.38</v>
      </c>
      <c r="H102" s="1971">
        <v>30</v>
      </c>
      <c r="I102" s="1498">
        <v>1</v>
      </c>
      <c r="J102" s="318">
        <v>0</v>
      </c>
      <c r="K102" s="318">
        <v>0</v>
      </c>
      <c r="L102" s="318">
        <v>0</v>
      </c>
      <c r="M102" s="318">
        <v>0</v>
      </c>
      <c r="N102" s="318">
        <f t="shared" ref="N102:N115" si="1861">SUM(I102:M102)</f>
        <v>1</v>
      </c>
      <c r="O102" s="1480"/>
      <c r="P102" s="357"/>
      <c r="Q102" s="358">
        <f t="shared" ref="Q102:Q115" si="1862">($E102/30/8*1.5)*P102</f>
        <v>0</v>
      </c>
      <c r="R102" s="404"/>
      <c r="S102" s="358">
        <f t="shared" ref="S102:S115" si="1863">($E102/30/8*2)*R102</f>
        <v>0</v>
      </c>
      <c r="T102" s="404"/>
      <c r="U102" s="358">
        <f t="shared" ref="U102:U115" si="1864">($E102/30/8*1.5)*T102</f>
        <v>0</v>
      </c>
      <c r="V102" s="404"/>
      <c r="W102" s="358">
        <f>($E102/30/8*2)*V102</f>
        <v>0</v>
      </c>
      <c r="X102" s="404"/>
      <c r="Y102" s="358">
        <f t="shared" ref="Y102:Y115" si="1865">(($E102/30/8)*1.5)*X102</f>
        <v>0</v>
      </c>
      <c r="Z102" s="1528"/>
      <c r="AA102" s="315">
        <f t="shared" ref="AA102:AA115" si="1866">(($E102/30/8)*2)*Z102</f>
        <v>0</v>
      </c>
      <c r="AB102" s="322"/>
      <c r="AC102" s="315">
        <f t="shared" ref="AC102:AC115" si="1867">(($E102/30/8)*1.5)*AB102</f>
        <v>0</v>
      </c>
      <c r="AD102" s="322"/>
      <c r="AE102" s="315">
        <f t="shared" ref="AE102:AE115" si="1868">(($E102/30/8)*2)*AD102</f>
        <v>0</v>
      </c>
      <c r="AF102" s="315"/>
      <c r="AG102" s="315">
        <f t="shared" ref="AG102:AG115" si="1869">(($E102/30/8)*1.5)*AF102</f>
        <v>0</v>
      </c>
      <c r="AH102" s="322"/>
      <c r="AI102" s="315">
        <f t="shared" ref="AI102:AI115" si="1870">(($E102/30/8)*2)*AH102</f>
        <v>0</v>
      </c>
      <c r="AJ102" s="314"/>
      <c r="AK102" s="314"/>
      <c r="AL102" s="314"/>
      <c r="AM102" s="314"/>
      <c r="AN102" s="314"/>
      <c r="AO102" s="314"/>
      <c r="AP102" s="314"/>
      <c r="AQ102" s="314"/>
      <c r="AR102" s="314"/>
      <c r="AS102" s="314"/>
      <c r="AT102" s="314"/>
      <c r="AU102" s="326"/>
      <c r="AV102" s="315">
        <f>((E102/30)*H102)*$I102</f>
        <v>3166.38</v>
      </c>
      <c r="AW102" s="1979">
        <f>((F102/30)*H102)*$I102+1125</f>
        <v>1375</v>
      </c>
      <c r="AX102" s="315">
        <f t="shared" ref="AX102:AX115" si="1871">P102</f>
        <v>0</v>
      </c>
      <c r="AY102" s="315">
        <f t="shared" ref="AY102:AY115" si="1872">Q102</f>
        <v>0</v>
      </c>
      <c r="AZ102" s="315">
        <f t="shared" ref="AZ102:AZ115" si="1873">R102</f>
        <v>0</v>
      </c>
      <c r="BA102" s="315">
        <f t="shared" ref="BA102:BA115" si="1874">S102</f>
        <v>0</v>
      </c>
      <c r="BB102" s="315">
        <f t="shared" ref="BB102:BB115" si="1875">AJ102+AO102</f>
        <v>0</v>
      </c>
      <c r="BC102" s="315">
        <f t="shared" ref="BC102:BC115" si="1876">(AV102+AY102+BA102)*0.1267</f>
        <v>401.18034600000004</v>
      </c>
      <c r="BD102" s="315">
        <f t="shared" ref="BD102:BD115" si="1877">SUM(AV102:BC102)-AX102-AZ102</f>
        <v>4942.5603460000002</v>
      </c>
      <c r="BE102" s="315">
        <f t="shared" ref="BE102:BE115" si="1878">(($E102/30)*$H102)*$J102</f>
        <v>0</v>
      </c>
      <c r="BF102" s="315">
        <f t="shared" ref="BF102" si="1879">(($F102/30)*$H102)*$J102</f>
        <v>0</v>
      </c>
      <c r="BG102" s="315">
        <f t="shared" ref="BG102:BG115" si="1880">T102</f>
        <v>0</v>
      </c>
      <c r="BH102" s="315">
        <f t="shared" ref="BH102:BH115" si="1881">U102</f>
        <v>0</v>
      </c>
      <c r="BI102" s="315">
        <f t="shared" ref="BI102:BI115" si="1882">V102</f>
        <v>0</v>
      </c>
      <c r="BJ102" s="315">
        <f t="shared" ref="BJ102:BJ115" si="1883">W102</f>
        <v>0</v>
      </c>
      <c r="BK102" s="315">
        <f t="shared" ref="BK102:BK115" si="1884">AK102+AP102</f>
        <v>0</v>
      </c>
      <c r="BL102" s="315">
        <f t="shared" ref="BL102:BL115" si="1885">(+BE102+BH102+BJ102+BK102)*0.1267</f>
        <v>0</v>
      </c>
      <c r="BM102" s="314">
        <f t="shared" ref="BM102:BM115" si="1886">SUM(BE102:BL102)-BG102-BI102</f>
        <v>0</v>
      </c>
      <c r="BN102" s="315">
        <f t="shared" ref="BN102:BN111" si="1887">(($E102/30)*$H102)*$K102</f>
        <v>0</v>
      </c>
      <c r="BO102" s="315">
        <f t="shared" ref="BO102:BO115" si="1888">(($F102/30)*$H102)*$K102</f>
        <v>0</v>
      </c>
      <c r="BP102" s="315">
        <f t="shared" ref="BP102:BP115" si="1889">X102</f>
        <v>0</v>
      </c>
      <c r="BQ102" s="315">
        <f t="shared" ref="BQ102:BQ115" si="1890">Y102</f>
        <v>0</v>
      </c>
      <c r="BR102" s="315">
        <f t="shared" ref="BR102:BR115" si="1891">Z102</f>
        <v>0</v>
      </c>
      <c r="BS102" s="315">
        <f t="shared" ref="BS102:BS115" si="1892">AA102</f>
        <v>0</v>
      </c>
      <c r="BT102" s="315">
        <f t="shared" ref="BT102:BT115" si="1893">AL102+AQ102</f>
        <v>0</v>
      </c>
      <c r="BU102" s="315">
        <f t="shared" ref="BU102:BU115" si="1894">(BN102+BQ102+BS102)*0.1267</f>
        <v>0</v>
      </c>
      <c r="BV102" s="315">
        <f t="shared" ref="BV102:BV115" si="1895">SUM(BN102:BU102)-BP102-BR102</f>
        <v>0</v>
      </c>
      <c r="BW102" s="360">
        <f t="shared" ref="BW102:BW115" si="1896">(($E102/30)*$H102)*$L102</f>
        <v>0</v>
      </c>
      <c r="BX102" s="361">
        <f t="shared" ref="BX102:BX115" si="1897">(($F102/30)*$H102)*$L102</f>
        <v>0</v>
      </c>
      <c r="BY102" s="361">
        <f t="shared" ref="BY102:CB110" si="1898">AB102</f>
        <v>0</v>
      </c>
      <c r="BZ102" s="361">
        <f t="shared" si="1898"/>
        <v>0</v>
      </c>
      <c r="CA102" s="361">
        <f t="shared" si="1898"/>
        <v>0</v>
      </c>
      <c r="CB102" s="361">
        <f t="shared" si="1898"/>
        <v>0</v>
      </c>
      <c r="CC102" s="361">
        <f t="shared" ref="CC102:CC115" si="1899">AM102+AR102</f>
        <v>0</v>
      </c>
      <c r="CD102" s="361">
        <f t="shared" ref="CD102:CD115" si="1900">(BW102+BZ102+CB102)*0.1267</f>
        <v>0</v>
      </c>
      <c r="CE102" s="361">
        <f t="shared" ref="CE102:CE115" si="1901">SUM(BW102:CD102)-BY102-CA102</f>
        <v>0</v>
      </c>
      <c r="CF102" s="361">
        <f t="shared" ref="CF102:CF115" si="1902">(($E102/30)*$H102)*M102</f>
        <v>0</v>
      </c>
      <c r="CG102" s="361">
        <f t="shared" ref="CG102:CG108" si="1903">(($F102/30)*$H102)*$M102</f>
        <v>0</v>
      </c>
      <c r="CH102" s="361">
        <f t="shared" ref="CH102:CH115" si="1904">+AF102</f>
        <v>0</v>
      </c>
      <c r="CI102" s="361">
        <f t="shared" ref="CI102:CK110" si="1905">AG102</f>
        <v>0</v>
      </c>
      <c r="CJ102" s="361">
        <f t="shared" si="1905"/>
        <v>0</v>
      </c>
      <c r="CK102" s="361">
        <f t="shared" si="1905"/>
        <v>0</v>
      </c>
      <c r="CL102" s="361">
        <f t="shared" ref="CL102:CL115" si="1906">AN102+AS102</f>
        <v>0</v>
      </c>
      <c r="CM102" s="361">
        <f t="shared" ref="CM102:CM115" si="1907">(CF102+CI102+CK102)*0.1267</f>
        <v>0</v>
      </c>
      <c r="CN102" s="362">
        <f t="shared" ref="CN102:CN115" si="1908">SUM(CF102:CM102)-CH102-CJ102</f>
        <v>0</v>
      </c>
      <c r="CO102" s="330"/>
      <c r="CP102" s="313" t="s">
        <v>10</v>
      </c>
      <c r="CQ102" s="315">
        <f t="shared" si="1714"/>
        <v>3166.38</v>
      </c>
      <c r="CR102" s="315">
        <f t="shared" si="1715"/>
        <v>1375</v>
      </c>
      <c r="CS102" s="315">
        <f t="shared" si="1716"/>
        <v>0</v>
      </c>
      <c r="CT102" s="315">
        <f t="shared" si="1717"/>
        <v>0</v>
      </c>
      <c r="CU102" s="315">
        <f t="shared" si="1718"/>
        <v>0</v>
      </c>
      <c r="CV102" s="315">
        <f t="shared" ref="CV102:CV111" si="1909">IF($CP102="PROQUIMA",$BA102+$BJ102+$BS102+$CB102+$CK102,0)</f>
        <v>0</v>
      </c>
      <c r="CW102" s="315">
        <f t="shared" si="1720"/>
        <v>0</v>
      </c>
      <c r="CX102" s="315">
        <f t="shared" ref="CX102:CX115" si="1910">IF($CP102="PROQUIMA",$BC102+$BL102+$BU102+$CD102+CM102,0)</f>
        <v>401.18034600000004</v>
      </c>
      <c r="CY102" s="315">
        <f t="shared" ref="CY102:CY115" si="1911">SUM(CQ102:CX102)-CS102-CU102</f>
        <v>4942.5603460000002</v>
      </c>
      <c r="CZ102" s="315">
        <f t="shared" si="1723"/>
        <v>0</v>
      </c>
      <c r="DA102" s="315">
        <f t="shared" ref="DA102:DA115" si="1912">IF($CP102="UNHESA",$AW102+$BF102+$BO102+$BX102+$CG102,0)</f>
        <v>0</v>
      </c>
      <c r="DB102" s="315">
        <f t="shared" si="1725"/>
        <v>0</v>
      </c>
      <c r="DC102" s="315">
        <f t="shared" si="1726"/>
        <v>0</v>
      </c>
      <c r="DD102" s="315">
        <f t="shared" si="1727"/>
        <v>0</v>
      </c>
      <c r="DE102" s="315">
        <f t="shared" si="1728"/>
        <v>0</v>
      </c>
      <c r="DF102" s="315">
        <f t="shared" si="1729"/>
        <v>0</v>
      </c>
      <c r="DG102" s="315">
        <f t="shared" si="1730"/>
        <v>0</v>
      </c>
      <c r="DH102" s="315">
        <f t="shared" ref="DH102:DH115" si="1913">SUM(CZ102:DG102)-DB102-DD102</f>
        <v>0</v>
      </c>
      <c r="DI102" s="315">
        <f t="shared" ref="DI102:DI111" si="1914">IF($CP102="UNHESA LIQUIDOS",$AV102+$BE102+$BN102+$BW102+$CF102,0)</f>
        <v>0</v>
      </c>
      <c r="DJ102" s="315">
        <f t="shared" ref="DJ102:DJ111" si="1915">IF($CP102="UNHESA LIQUIDOS",$AW102+$BF102+$BO102+$BX102+$CG102,0)</f>
        <v>0</v>
      </c>
      <c r="DK102" s="315">
        <f t="shared" ref="DK102:DK111" si="1916">IF($CP102="UNHESA LIQUIDOS",$AX102+$BG102+$BP102+$BY102+$CH102,0)</f>
        <v>0</v>
      </c>
      <c r="DL102" s="315">
        <f t="shared" ref="DL102:DL111" si="1917">IF($CP102="UNHESA LIQUIDOS",$AY102+$BH102+$BQ102+$BZ102+$CI102,0)</f>
        <v>0</v>
      </c>
      <c r="DM102" s="315">
        <f t="shared" ref="DM102:DM111" si="1918">IF($CP102="UNHESA LIQUIDOS",$AZ102+$BI102+$BR102+$CA102+$CJ102,0)</f>
        <v>0</v>
      </c>
      <c r="DN102" s="315">
        <f t="shared" ref="DN102:DN111" si="1919">IF($CP102="UNHESA LIQUIDOS",$BA102+$BJ102+$BS102+$CB102+$CK102,0)</f>
        <v>0</v>
      </c>
      <c r="DO102" s="315">
        <f t="shared" ref="DO102:DO111" si="1920">IF($CP102="UNHESA LIQUIDOS",$BB102+$BK102+$BT102+$CC102+$CL102,0)</f>
        <v>0</v>
      </c>
      <c r="DP102" s="315">
        <f t="shared" ref="DP102:DP111" si="1921">IF($CP102="UNHESA LIQUIDOS",$BC102+$BL102+$BU102+$CD102+$CM102,0)</f>
        <v>0</v>
      </c>
      <c r="DQ102" s="315">
        <f t="shared" ref="DQ102:DQ115" si="1922">SUM(DI102:DP102)-DK102-DM102</f>
        <v>0</v>
      </c>
      <c r="DR102" s="360">
        <f t="shared" si="1732"/>
        <v>0</v>
      </c>
      <c r="DS102" s="361">
        <f t="shared" si="1733"/>
        <v>0</v>
      </c>
      <c r="DT102" s="361">
        <f t="shared" si="1734"/>
        <v>0</v>
      </c>
      <c r="DU102" s="361">
        <f t="shared" si="1735"/>
        <v>0</v>
      </c>
      <c r="DV102" s="361">
        <f t="shared" si="1736"/>
        <v>0</v>
      </c>
      <c r="DW102" s="361">
        <f t="shared" si="1737"/>
        <v>0</v>
      </c>
      <c r="DX102" s="361">
        <f t="shared" si="1738"/>
        <v>0</v>
      </c>
      <c r="DY102" s="361">
        <f t="shared" si="1739"/>
        <v>0</v>
      </c>
      <c r="DZ102" s="361">
        <f t="shared" ref="DZ102:DZ115" si="1923">SUM(DR102:DY102)-DT102-DV102</f>
        <v>0</v>
      </c>
      <c r="EA102" s="361">
        <f t="shared" si="1740"/>
        <v>0</v>
      </c>
      <c r="EB102" s="361">
        <f t="shared" si="1741"/>
        <v>0</v>
      </c>
      <c r="EC102" s="361">
        <f t="shared" si="1742"/>
        <v>0</v>
      </c>
      <c r="ED102" s="361">
        <f t="shared" si="1743"/>
        <v>0</v>
      </c>
      <c r="EE102" s="361">
        <f t="shared" si="1744"/>
        <v>0</v>
      </c>
      <c r="EF102" s="361">
        <f t="shared" si="1745"/>
        <v>0</v>
      </c>
      <c r="EG102" s="361">
        <f t="shared" si="1746"/>
        <v>0</v>
      </c>
      <c r="EH102" s="361">
        <f t="shared" si="1747"/>
        <v>0</v>
      </c>
      <c r="EI102" s="362">
        <f t="shared" ref="EI102:EI115" si="1924">SUM(EA102:EH102)-EC102-EE102</f>
        <v>0</v>
      </c>
      <c r="EJ102" s="330"/>
      <c r="EK102" s="2200">
        <v>38.17</v>
      </c>
      <c r="EL102" s="1941">
        <f>882.63+1242.01</f>
        <v>2124.64</v>
      </c>
      <c r="EM102" s="313"/>
      <c r="EN102" s="1969">
        <f>173.25+258</f>
        <v>431.25</v>
      </c>
      <c r="EO102" s="313"/>
      <c r="EP102" s="313">
        <v>50</v>
      </c>
      <c r="EQ102" s="1969"/>
      <c r="ER102" s="1969"/>
      <c r="ES102" s="1425"/>
      <c r="ET102" s="313">
        <f t="shared" ref="ET102:ET115" si="1925">+EO102+EP102+EQ102</f>
        <v>50</v>
      </c>
      <c r="EV102" s="321">
        <f>IF($H102&lt;=15,EK102/2,EK102)</f>
        <v>38.17</v>
      </c>
      <c r="EW102" s="321">
        <f>IF($H102&lt;=15,EL102/2,EL102)</f>
        <v>2124.64</v>
      </c>
      <c r="EX102" s="321">
        <f t="shared" ref="EV102:FE110" si="1926">IF($H102&lt;=15,EM102/2,EM102)</f>
        <v>0</v>
      </c>
      <c r="EY102" s="321">
        <f>IF($H102&lt;=15,EN102/2,EN102)</f>
        <v>431.25</v>
      </c>
      <c r="EZ102" s="321">
        <f t="shared" si="1926"/>
        <v>0</v>
      </c>
      <c r="FA102" s="321">
        <f t="shared" si="1926"/>
        <v>50</v>
      </c>
      <c r="FB102" s="321">
        <f t="shared" si="1926"/>
        <v>0</v>
      </c>
      <c r="FC102" s="321">
        <f t="shared" si="1926"/>
        <v>0</v>
      </c>
      <c r="FD102" s="321">
        <f t="shared" si="1926"/>
        <v>0</v>
      </c>
      <c r="FE102" s="321">
        <f t="shared" si="1926"/>
        <v>50</v>
      </c>
      <c r="FF102" s="1599">
        <v>1</v>
      </c>
      <c r="FG102" s="332">
        <v>0</v>
      </c>
      <c r="FH102" s="332">
        <v>0</v>
      </c>
      <c r="FI102" s="332">
        <v>0</v>
      </c>
      <c r="FJ102" s="332">
        <v>0</v>
      </c>
      <c r="FK102" s="332">
        <f>SUM(FF102:FJ102)</f>
        <v>1</v>
      </c>
      <c r="FL102" s="331">
        <f t="shared" si="1674"/>
        <v>0</v>
      </c>
    </row>
    <row r="103" spans="1:169" s="331" customFormat="1" ht="15" customHeight="1" outlineLevel="1">
      <c r="A103" s="415">
        <f>+A102+1</f>
        <v>63</v>
      </c>
      <c r="B103" s="311" t="s">
        <v>816</v>
      </c>
      <c r="C103" s="312" t="s">
        <v>93</v>
      </c>
      <c r="D103" s="313" t="s">
        <v>10</v>
      </c>
      <c r="E103" s="1971">
        <v>3166.38</v>
      </c>
      <c r="F103" s="314">
        <v>250</v>
      </c>
      <c r="G103" s="1592">
        <f t="shared" si="1860"/>
        <v>3416.38</v>
      </c>
      <c r="H103" s="1971">
        <v>30</v>
      </c>
      <c r="I103" s="1498">
        <v>1</v>
      </c>
      <c r="J103" s="318">
        <v>0</v>
      </c>
      <c r="K103" s="318">
        <v>0</v>
      </c>
      <c r="L103" s="317">
        <v>0</v>
      </c>
      <c r="M103" s="317">
        <v>0</v>
      </c>
      <c r="N103" s="318">
        <f t="shared" si="1861"/>
        <v>1</v>
      </c>
      <c r="P103" s="320"/>
      <c r="Q103" s="315">
        <f t="shared" si="1862"/>
        <v>0</v>
      </c>
      <c r="R103" s="321"/>
      <c r="S103" s="315">
        <f t="shared" si="1863"/>
        <v>0</v>
      </c>
      <c r="T103" s="321"/>
      <c r="U103" s="315">
        <f t="shared" si="1864"/>
        <v>0</v>
      </c>
      <c r="V103" s="320"/>
      <c r="W103" s="358">
        <f t="shared" ref="W103:W111" si="1927">($E103/30/8*2)*V103</f>
        <v>0</v>
      </c>
      <c r="X103" s="321"/>
      <c r="Y103" s="315">
        <f t="shared" si="1865"/>
        <v>0</v>
      </c>
      <c r="Z103" s="322">
        <v>0</v>
      </c>
      <c r="AA103" s="315">
        <f t="shared" si="1866"/>
        <v>0</v>
      </c>
      <c r="AB103" s="323"/>
      <c r="AC103" s="324">
        <f t="shared" si="1867"/>
        <v>0</v>
      </c>
      <c r="AD103" s="323"/>
      <c r="AE103" s="324">
        <f t="shared" si="1868"/>
        <v>0</v>
      </c>
      <c r="AF103" s="324"/>
      <c r="AG103" s="324">
        <f>(($E103/30/8)*1.5)*AF103</f>
        <v>0</v>
      </c>
      <c r="AH103" s="323"/>
      <c r="AI103" s="324">
        <f>(($E103/30/8)*2)*AH103</f>
        <v>0</v>
      </c>
      <c r="AJ103" s="325"/>
      <c r="AK103" s="325"/>
      <c r="AL103" s="325"/>
      <c r="AM103" s="325"/>
      <c r="AN103" s="325"/>
      <c r="AO103" s="325"/>
      <c r="AP103" s="325"/>
      <c r="AQ103" s="325"/>
      <c r="AR103" s="325"/>
      <c r="AS103" s="325"/>
      <c r="AT103" s="314"/>
      <c r="AU103" s="359"/>
      <c r="AV103" s="315">
        <f>((E103/30)*H103)*$I103</f>
        <v>3166.38</v>
      </c>
      <c r="AW103" s="1979">
        <f>((F103/30)*H103)*$I103+675</f>
        <v>925</v>
      </c>
      <c r="AX103" s="315">
        <f t="shared" si="1871"/>
        <v>0</v>
      </c>
      <c r="AY103" s="315">
        <f t="shared" si="1872"/>
        <v>0</v>
      </c>
      <c r="AZ103" s="315">
        <f t="shared" si="1873"/>
        <v>0</v>
      </c>
      <c r="BA103" s="315">
        <f t="shared" si="1874"/>
        <v>0</v>
      </c>
      <c r="BB103" s="315">
        <f t="shared" si="1875"/>
        <v>0</v>
      </c>
      <c r="BC103" s="315">
        <f t="shared" si="1876"/>
        <v>401.18034600000004</v>
      </c>
      <c r="BD103" s="315">
        <f t="shared" si="1877"/>
        <v>4492.5603460000002</v>
      </c>
      <c r="BE103" s="315">
        <f t="shared" si="1878"/>
        <v>0</v>
      </c>
      <c r="BF103" s="906">
        <f>(($F103/30)*$H103)*$J103+225</f>
        <v>225</v>
      </c>
      <c r="BG103" s="315">
        <f t="shared" si="1880"/>
        <v>0</v>
      </c>
      <c r="BH103" s="315">
        <f t="shared" si="1881"/>
        <v>0</v>
      </c>
      <c r="BI103" s="315">
        <f t="shared" si="1882"/>
        <v>0</v>
      </c>
      <c r="BJ103" s="315">
        <f t="shared" si="1883"/>
        <v>0</v>
      </c>
      <c r="BK103" s="315">
        <f t="shared" si="1884"/>
        <v>0</v>
      </c>
      <c r="BL103" s="315">
        <f t="shared" si="1885"/>
        <v>0</v>
      </c>
      <c r="BM103" s="314">
        <f t="shared" si="1886"/>
        <v>225</v>
      </c>
      <c r="BN103" s="315">
        <f t="shared" si="1887"/>
        <v>0</v>
      </c>
      <c r="BO103" s="315">
        <f t="shared" si="1888"/>
        <v>0</v>
      </c>
      <c r="BP103" s="315">
        <f t="shared" si="1889"/>
        <v>0</v>
      </c>
      <c r="BQ103" s="315">
        <f t="shared" si="1890"/>
        <v>0</v>
      </c>
      <c r="BR103" s="315">
        <f t="shared" si="1891"/>
        <v>0</v>
      </c>
      <c r="BS103" s="315">
        <f t="shared" si="1892"/>
        <v>0</v>
      </c>
      <c r="BT103" s="315">
        <f t="shared" si="1893"/>
        <v>0</v>
      </c>
      <c r="BU103" s="315">
        <f t="shared" si="1894"/>
        <v>0</v>
      </c>
      <c r="BV103" s="315">
        <f t="shared" si="1895"/>
        <v>0</v>
      </c>
      <c r="BW103" s="327">
        <f>(($E103/30)*$H103)*$L103</f>
        <v>0</v>
      </c>
      <c r="BX103" s="328">
        <f t="shared" si="1897"/>
        <v>0</v>
      </c>
      <c r="BY103" s="328">
        <f t="shared" si="1898"/>
        <v>0</v>
      </c>
      <c r="BZ103" s="328">
        <f t="shared" si="1898"/>
        <v>0</v>
      </c>
      <c r="CA103" s="328">
        <f t="shared" si="1898"/>
        <v>0</v>
      </c>
      <c r="CB103" s="328">
        <f t="shared" si="1898"/>
        <v>0</v>
      </c>
      <c r="CC103" s="328">
        <f>AM103+AR103</f>
        <v>0</v>
      </c>
      <c r="CD103" s="328">
        <f>(BW103+BZ103+CB103)*0.1267</f>
        <v>0</v>
      </c>
      <c r="CE103" s="328">
        <f>SUM(BW103:CD103)-BY103-CA103</f>
        <v>0</v>
      </c>
      <c r="CF103" s="328">
        <f t="shared" ref="CF103:CF108" si="1928">(($E103/30)*$H103)*M103</f>
        <v>0</v>
      </c>
      <c r="CG103" s="328">
        <f t="shared" si="1903"/>
        <v>0</v>
      </c>
      <c r="CH103" s="328">
        <f>+AF103</f>
        <v>0</v>
      </c>
      <c r="CI103" s="328">
        <f t="shared" si="1905"/>
        <v>0</v>
      </c>
      <c r="CJ103" s="328">
        <f t="shared" si="1905"/>
        <v>0</v>
      </c>
      <c r="CK103" s="328">
        <f t="shared" si="1905"/>
        <v>0</v>
      </c>
      <c r="CL103" s="328">
        <f>AN103+AS103</f>
        <v>0</v>
      </c>
      <c r="CM103" s="328">
        <f>(CF103+CI103+CK103)*0.1267</f>
        <v>0</v>
      </c>
      <c r="CN103" s="329">
        <f>SUM(CF103:CM103)-CH103-CJ103</f>
        <v>0</v>
      </c>
      <c r="CO103" s="330"/>
      <c r="CP103" s="313" t="s">
        <v>10</v>
      </c>
      <c r="CQ103" s="315">
        <f t="shared" si="1714"/>
        <v>3166.38</v>
      </c>
      <c r="CR103" s="315">
        <f t="shared" si="1715"/>
        <v>1150</v>
      </c>
      <c r="CS103" s="315">
        <f t="shared" si="1716"/>
        <v>0</v>
      </c>
      <c r="CT103" s="315">
        <f t="shared" si="1717"/>
        <v>0</v>
      </c>
      <c r="CU103" s="315">
        <f t="shared" si="1718"/>
        <v>0</v>
      </c>
      <c r="CV103" s="315">
        <f t="shared" si="1909"/>
        <v>0</v>
      </c>
      <c r="CW103" s="315">
        <f t="shared" si="1720"/>
        <v>0</v>
      </c>
      <c r="CX103" s="315">
        <f t="shared" si="1910"/>
        <v>401.18034600000004</v>
      </c>
      <c r="CY103" s="315">
        <f t="shared" si="1911"/>
        <v>4717.5603460000002</v>
      </c>
      <c r="CZ103" s="315">
        <f t="shared" si="1723"/>
        <v>0</v>
      </c>
      <c r="DA103" s="315">
        <f t="shared" si="1912"/>
        <v>0</v>
      </c>
      <c r="DB103" s="315">
        <f t="shared" si="1725"/>
        <v>0</v>
      </c>
      <c r="DC103" s="315">
        <f t="shared" si="1726"/>
        <v>0</v>
      </c>
      <c r="DD103" s="315">
        <f t="shared" si="1727"/>
        <v>0</v>
      </c>
      <c r="DE103" s="315">
        <f t="shared" si="1728"/>
        <v>0</v>
      </c>
      <c r="DF103" s="315">
        <f t="shared" si="1729"/>
        <v>0</v>
      </c>
      <c r="DG103" s="315">
        <f t="shared" si="1730"/>
        <v>0</v>
      </c>
      <c r="DH103" s="315">
        <f t="shared" ref="DH103" si="1929">SUM(CZ103:DG103)-DB103-DD103</f>
        <v>0</v>
      </c>
      <c r="DI103" s="315">
        <f>IF($CP103="UNHESA LIQUIDOS",$AV103+$BE103+$BN103+$BW103+$CF103,0)</f>
        <v>0</v>
      </c>
      <c r="DJ103" s="315">
        <f>IF($CP103="UNHESA LIQUIDOS",$AW103+$BF103+$BO103+$BX103+$CG103,0)</f>
        <v>0</v>
      </c>
      <c r="DK103" s="315">
        <f>IF($CP103="UNHESA LIQUIDOS",$AX103+$BG103+$BP103+$BY103+$CH103,0)</f>
        <v>0</v>
      </c>
      <c r="DL103" s="315">
        <f>IF($CP103="UNHESA LIQUIDOS",$AY103+$BH103+$BQ103+$BZ103+$CI103,0)</f>
        <v>0</v>
      </c>
      <c r="DM103" s="315">
        <f>IF($CP103="UNHESA LIQUIDOS",$AZ103+$BI103+$BR103+$CA103+$CJ103,0)</f>
        <v>0</v>
      </c>
      <c r="DN103" s="315">
        <f>IF($CP103="UNHESA LIQUIDOS",$BA103+$BJ103+$BS103+$CB103+$CK103,0)</f>
        <v>0</v>
      </c>
      <c r="DO103" s="315">
        <f>IF($CP103="UNHESA LIQUIDOS",$BB103+$BK103+$BT103+$CC103+$CL103,0)</f>
        <v>0</v>
      </c>
      <c r="DP103" s="315">
        <f>IF($CP103="UNHESA LIQUIDOS",$BC103+$BL103+$BU103+$CD103+$CM103,0)</f>
        <v>0</v>
      </c>
      <c r="DQ103" s="315">
        <f>SUM(DI103:DP103)-DK103-DM103</f>
        <v>0</v>
      </c>
      <c r="DR103" s="360">
        <f t="shared" si="1732"/>
        <v>0</v>
      </c>
      <c r="DS103" s="361">
        <f t="shared" si="1733"/>
        <v>0</v>
      </c>
      <c r="DT103" s="361">
        <f t="shared" si="1734"/>
        <v>0</v>
      </c>
      <c r="DU103" s="361">
        <f t="shared" si="1735"/>
        <v>0</v>
      </c>
      <c r="DV103" s="361">
        <f t="shared" si="1736"/>
        <v>0</v>
      </c>
      <c r="DW103" s="361">
        <f t="shared" si="1737"/>
        <v>0</v>
      </c>
      <c r="DX103" s="361">
        <f t="shared" si="1738"/>
        <v>0</v>
      </c>
      <c r="DY103" s="361">
        <f t="shared" si="1739"/>
        <v>0</v>
      </c>
      <c r="DZ103" s="361">
        <f>SUM(DR103:DY103)-DT103-DV103</f>
        <v>0</v>
      </c>
      <c r="EA103" s="361">
        <f t="shared" si="1740"/>
        <v>0</v>
      </c>
      <c r="EB103" s="361">
        <f t="shared" si="1741"/>
        <v>0</v>
      </c>
      <c r="EC103" s="361">
        <f t="shared" si="1742"/>
        <v>0</v>
      </c>
      <c r="ED103" s="361">
        <f t="shared" si="1743"/>
        <v>0</v>
      </c>
      <c r="EE103" s="361">
        <f t="shared" si="1744"/>
        <v>0</v>
      </c>
      <c r="EF103" s="361">
        <f t="shared" si="1745"/>
        <v>0</v>
      </c>
      <c r="EG103" s="361">
        <f t="shared" si="1746"/>
        <v>0</v>
      </c>
      <c r="EH103" s="361">
        <f t="shared" si="1747"/>
        <v>0</v>
      </c>
      <c r="EI103" s="362">
        <f>SUM(EA103:EH103)-EC103-EE103</f>
        <v>0</v>
      </c>
      <c r="EJ103" s="330"/>
      <c r="EK103" s="312"/>
      <c r="EL103" s="312"/>
      <c r="EM103" s="313"/>
      <c r="EN103" s="312"/>
      <c r="EO103" s="313">
        <v>82.5</v>
      </c>
      <c r="EP103" s="1969">
        <v>50</v>
      </c>
      <c r="EQ103" s="1969"/>
      <c r="ER103" s="313"/>
      <c r="ES103" s="313"/>
      <c r="ET103" s="313">
        <f>+EO103+EP103+EQ103</f>
        <v>132.5</v>
      </c>
      <c r="EV103" s="321">
        <f t="shared" ref="EV103" si="1930">IF($H103&lt;=15,EK103/2,EK103)</f>
        <v>0</v>
      </c>
      <c r="EW103" s="321">
        <f t="shared" ref="EW103" si="1931">IF($H103&lt;=15,EL103/2,EL103)</f>
        <v>0</v>
      </c>
      <c r="EX103" s="321">
        <f t="shared" si="1926"/>
        <v>0</v>
      </c>
      <c r="EY103" s="321">
        <f t="shared" ref="EY103" si="1932">IF($H103&lt;=15,EN103/2,EN103)</f>
        <v>0</v>
      </c>
      <c r="EZ103" s="321">
        <f t="shared" si="1926"/>
        <v>82.5</v>
      </c>
      <c r="FA103" s="321">
        <f t="shared" si="1926"/>
        <v>50</v>
      </c>
      <c r="FB103" s="321">
        <f t="shared" si="1926"/>
        <v>0</v>
      </c>
      <c r="FC103" s="321">
        <f t="shared" si="1926"/>
        <v>0</v>
      </c>
      <c r="FD103" s="321">
        <f t="shared" si="1926"/>
        <v>0</v>
      </c>
      <c r="FE103" s="321">
        <f t="shared" si="1926"/>
        <v>132.5</v>
      </c>
      <c r="FF103" s="332"/>
      <c r="FG103" s="332"/>
      <c r="FH103" s="332"/>
      <c r="FI103" s="332"/>
      <c r="FJ103" s="332"/>
      <c r="FK103" s="332"/>
      <c r="FM103" s="331">
        <v>2819954431213</v>
      </c>
    </row>
    <row r="104" spans="1:169" s="331" customFormat="1" ht="15" customHeight="1" outlineLevel="1">
      <c r="A104" s="415">
        <f t="shared" ref="A104:A115" si="1933">+A103+1</f>
        <v>64</v>
      </c>
      <c r="B104" s="311" t="s">
        <v>817</v>
      </c>
      <c r="C104" s="312" t="s">
        <v>624</v>
      </c>
      <c r="D104" s="313" t="s">
        <v>10</v>
      </c>
      <c r="E104" s="1971">
        <v>3166.38</v>
      </c>
      <c r="F104" s="314">
        <v>250</v>
      </c>
      <c r="G104" s="1592">
        <v>3209.24</v>
      </c>
      <c r="H104" s="1971">
        <v>30</v>
      </c>
      <c r="I104" s="1498">
        <v>1</v>
      </c>
      <c r="J104" s="318">
        <v>0</v>
      </c>
      <c r="K104" s="318">
        <v>0</v>
      </c>
      <c r="L104" s="317">
        <v>0</v>
      </c>
      <c r="M104" s="317">
        <v>0</v>
      </c>
      <c r="N104" s="318">
        <v>1</v>
      </c>
      <c r="P104" s="320"/>
      <c r="Q104" s="315">
        <v>0</v>
      </c>
      <c r="R104" s="321"/>
      <c r="S104" s="315">
        <v>0</v>
      </c>
      <c r="T104" s="321"/>
      <c r="U104" s="315">
        <f t="shared" si="1864"/>
        <v>0</v>
      </c>
      <c r="V104" s="320"/>
      <c r="W104" s="358">
        <f t="shared" si="1927"/>
        <v>0</v>
      </c>
      <c r="X104" s="321"/>
      <c r="Y104" s="315">
        <v>0</v>
      </c>
      <c r="Z104" s="322"/>
      <c r="AA104" s="315">
        <v>0</v>
      </c>
      <c r="AB104" s="323"/>
      <c r="AC104" s="324">
        <v>0</v>
      </c>
      <c r="AD104" s="323"/>
      <c r="AE104" s="324">
        <v>0</v>
      </c>
      <c r="AF104" s="324"/>
      <c r="AG104" s="324">
        <v>0</v>
      </c>
      <c r="AH104" s="323"/>
      <c r="AI104" s="324">
        <v>0</v>
      </c>
      <c r="AJ104" s="325"/>
      <c r="AK104" s="325"/>
      <c r="AL104" s="325"/>
      <c r="AM104" s="325"/>
      <c r="AN104" s="325"/>
      <c r="AO104" s="325"/>
      <c r="AP104" s="325"/>
      <c r="AQ104" s="325"/>
      <c r="AR104" s="325"/>
      <c r="AS104" s="325"/>
      <c r="AT104" s="314"/>
      <c r="AU104" s="359"/>
      <c r="AV104" s="315">
        <f>((E104/30)*H104)*$I104</f>
        <v>3166.38</v>
      </c>
      <c r="AW104" s="1979">
        <f>((F104/30)*H104)*$I104+675</f>
        <v>925</v>
      </c>
      <c r="AX104" s="315">
        <f t="shared" ref="AX104" si="1934">P104</f>
        <v>0</v>
      </c>
      <c r="AY104" s="315">
        <f t="shared" ref="AY104" si="1935">Q104</f>
        <v>0</v>
      </c>
      <c r="AZ104" s="315">
        <f t="shared" ref="AZ104" si="1936">R104</f>
        <v>0</v>
      </c>
      <c r="BA104" s="315">
        <f t="shared" ref="BA104" si="1937">S104</f>
        <v>0</v>
      </c>
      <c r="BB104" s="315">
        <f t="shared" ref="BB104" si="1938">AJ104+AO104</f>
        <v>0</v>
      </c>
      <c r="BC104" s="315">
        <f t="shared" ref="BC104" si="1939">(AV104+AY104+BA104)*0.1267</f>
        <v>401.18034600000004</v>
      </c>
      <c r="BD104" s="315">
        <f t="shared" ref="BD104" si="1940">SUM(AV104:BC104)-AX104-AZ104</f>
        <v>4492.5603460000002</v>
      </c>
      <c r="BE104" s="315">
        <f t="shared" si="1878"/>
        <v>0</v>
      </c>
      <c r="BF104" s="906">
        <f>(($F104/30)*$H104)*$J104</f>
        <v>0</v>
      </c>
      <c r="BG104" s="315">
        <f t="shared" ref="BG104" si="1941">T104</f>
        <v>0</v>
      </c>
      <c r="BH104" s="315">
        <f t="shared" ref="BH104" si="1942">U104</f>
        <v>0</v>
      </c>
      <c r="BI104" s="315">
        <f t="shared" ref="BI104" si="1943">V104</f>
        <v>0</v>
      </c>
      <c r="BJ104" s="315">
        <f t="shared" ref="BJ104" si="1944">W104</f>
        <v>0</v>
      </c>
      <c r="BK104" s="315">
        <f t="shared" ref="BK104" si="1945">AK104+AP104</f>
        <v>0</v>
      </c>
      <c r="BL104" s="315">
        <f t="shared" ref="BL104" si="1946">(+BE104+BH104+BJ104+BK104)*0.1267</f>
        <v>0</v>
      </c>
      <c r="BM104" s="314">
        <f t="shared" ref="BM104" si="1947">SUM(BE104:BL104)-BG104-BI104</f>
        <v>0</v>
      </c>
      <c r="BN104" s="315">
        <f t="shared" si="1887"/>
        <v>0</v>
      </c>
      <c r="BO104" s="315">
        <f t="shared" si="1888"/>
        <v>0</v>
      </c>
      <c r="BP104" s="315">
        <f t="shared" ref="BP104" si="1948">X104</f>
        <v>0</v>
      </c>
      <c r="BQ104" s="315">
        <f t="shared" ref="BQ104" si="1949">Y104</f>
        <v>0</v>
      </c>
      <c r="BR104" s="315">
        <f t="shared" ref="BR104" si="1950">Z104</f>
        <v>0</v>
      </c>
      <c r="BS104" s="315">
        <f t="shared" ref="BS104" si="1951">AA104</f>
        <v>0</v>
      </c>
      <c r="BT104" s="315">
        <f t="shared" ref="BT104" si="1952">AL104+AQ104</f>
        <v>0</v>
      </c>
      <c r="BU104" s="315">
        <f t="shared" ref="BU104" si="1953">(BN104+BQ104+BS104)*0.1267</f>
        <v>0</v>
      </c>
      <c r="BV104" s="315">
        <f t="shared" ref="BV104" si="1954">SUM(BN104:BU104)-BP104-BR104</f>
        <v>0</v>
      </c>
      <c r="BW104" s="327">
        <f>(($E104/30)*$H104)*$L104</f>
        <v>0</v>
      </c>
      <c r="BX104" s="328">
        <f t="shared" si="1897"/>
        <v>0</v>
      </c>
      <c r="BY104" s="328">
        <f t="shared" ref="BY104" si="1955">AB104</f>
        <v>0</v>
      </c>
      <c r="BZ104" s="328">
        <f t="shared" ref="BZ104" si="1956">AC104</f>
        <v>0</v>
      </c>
      <c r="CA104" s="328">
        <f t="shared" ref="CA104" si="1957">AD104</f>
        <v>0</v>
      </c>
      <c r="CB104" s="328">
        <f t="shared" ref="CB104" si="1958">AE104</f>
        <v>0</v>
      </c>
      <c r="CC104" s="328">
        <f>AM104+AR104</f>
        <v>0</v>
      </c>
      <c r="CD104" s="328">
        <f>(BW104+BZ104+CB104)*0.1267</f>
        <v>0</v>
      </c>
      <c r="CE104" s="328">
        <f>SUM(BW104:CD104)-BY104-CA104</f>
        <v>0</v>
      </c>
      <c r="CF104" s="328">
        <f t="shared" si="1928"/>
        <v>0</v>
      </c>
      <c r="CG104" s="328">
        <f t="shared" si="1903"/>
        <v>0</v>
      </c>
      <c r="CH104" s="328">
        <f>+AF104</f>
        <v>0</v>
      </c>
      <c r="CI104" s="328">
        <f t="shared" ref="CI104" si="1959">AG104</f>
        <v>0</v>
      </c>
      <c r="CJ104" s="328">
        <f t="shared" ref="CJ104" si="1960">AH104</f>
        <v>0</v>
      </c>
      <c r="CK104" s="328">
        <f t="shared" ref="CK104" si="1961">AI104</f>
        <v>0</v>
      </c>
      <c r="CL104" s="328">
        <f>AN104+AS104</f>
        <v>0</v>
      </c>
      <c r="CM104" s="328">
        <f>(CF104+CI104+CK104)*0.1267</f>
        <v>0</v>
      </c>
      <c r="CN104" s="329">
        <f>SUM(CF104:CM104)-CH104-CJ104</f>
        <v>0</v>
      </c>
      <c r="CO104" s="330"/>
      <c r="CP104" s="313" t="s">
        <v>10</v>
      </c>
      <c r="CQ104" s="315">
        <f t="shared" si="1714"/>
        <v>3166.38</v>
      </c>
      <c r="CR104" s="315">
        <f t="shared" si="1715"/>
        <v>925</v>
      </c>
      <c r="CS104" s="315">
        <f t="shared" si="1716"/>
        <v>0</v>
      </c>
      <c r="CT104" s="315">
        <f t="shared" si="1717"/>
        <v>0</v>
      </c>
      <c r="CU104" s="315">
        <f t="shared" si="1718"/>
        <v>0</v>
      </c>
      <c r="CV104" s="315">
        <f t="shared" si="1909"/>
        <v>0</v>
      </c>
      <c r="CW104" s="315">
        <f t="shared" si="1720"/>
        <v>0</v>
      </c>
      <c r="CX104" s="315">
        <f t="shared" ref="CX104" si="1962">IF($CP104="PROQUIMA",$BC104+$BL104+$BU104+$CD104+CM104,0)</f>
        <v>401.18034600000004</v>
      </c>
      <c r="CY104" s="315">
        <f t="shared" ref="CY104" si="1963">SUM(CQ104:CX104)-CS104-CU104</f>
        <v>4492.5603460000002</v>
      </c>
      <c r="CZ104" s="315">
        <f t="shared" si="1723"/>
        <v>0</v>
      </c>
      <c r="DA104" s="315">
        <f t="shared" si="1912"/>
        <v>0</v>
      </c>
      <c r="DB104" s="315">
        <f t="shared" si="1725"/>
        <v>0</v>
      </c>
      <c r="DC104" s="315">
        <f t="shared" si="1726"/>
        <v>0</v>
      </c>
      <c r="DD104" s="315">
        <f t="shared" si="1727"/>
        <v>0</v>
      </c>
      <c r="DE104" s="315">
        <f t="shared" si="1728"/>
        <v>0</v>
      </c>
      <c r="DF104" s="315">
        <f t="shared" si="1729"/>
        <v>0</v>
      </c>
      <c r="DG104" s="315">
        <f t="shared" si="1730"/>
        <v>0</v>
      </c>
      <c r="DH104" s="315">
        <f t="shared" ref="DH104" si="1964">SUM(CZ104:DG104)-DB104-DD104</f>
        <v>0</v>
      </c>
      <c r="DI104" s="315">
        <f>IF($CP104="UNHESA LIQUIDOS",$AV104+$BE104+$BN104+$BW104+$CF104,0)</f>
        <v>0</v>
      </c>
      <c r="DJ104" s="315">
        <f>IF($CP104="UNHESA LIQUIDOS",$AW104+$BF104+$BO104+$BX104+$CG104,0)</f>
        <v>0</v>
      </c>
      <c r="DK104" s="315">
        <f>IF($CP104="UNHESA LIQUIDOS",$AX104+$BG104+$BP104+$BY104+$CH104,0)</f>
        <v>0</v>
      </c>
      <c r="DL104" s="315">
        <f>IF($CP104="UNHESA LIQUIDOS",$AY104+$BH104+$BQ104+$BZ104+$CI104,0)</f>
        <v>0</v>
      </c>
      <c r="DM104" s="315">
        <f>IF($CP104="UNHESA LIQUIDOS",$AZ104+$BI104+$BR104+$CA104+$CJ104,0)</f>
        <v>0</v>
      </c>
      <c r="DN104" s="315">
        <f>IF($CP104="UNHESA LIQUIDOS",$BA104+$BJ104+$BS104+$CB104+$CK104,0)</f>
        <v>0</v>
      </c>
      <c r="DO104" s="315">
        <f>IF($CP104="UNHESA LIQUIDOS",$BB104+$BK104+$BT104+$CC104+$CL104,0)</f>
        <v>0</v>
      </c>
      <c r="DP104" s="315">
        <f>IF($CP104="UNHESA LIQUIDOS",$BC104+$BL104+$BU104+$CD104+$CM104,0)</f>
        <v>0</v>
      </c>
      <c r="DQ104" s="315">
        <f>SUM(DI104:DP104)-DK104-DM104</f>
        <v>0</v>
      </c>
      <c r="DR104" s="360">
        <f t="shared" si="1732"/>
        <v>0</v>
      </c>
      <c r="DS104" s="361">
        <f t="shared" si="1733"/>
        <v>0</v>
      </c>
      <c r="DT104" s="361">
        <f t="shared" si="1734"/>
        <v>0</v>
      </c>
      <c r="DU104" s="361">
        <f t="shared" si="1735"/>
        <v>0</v>
      </c>
      <c r="DV104" s="361">
        <f t="shared" si="1736"/>
        <v>0</v>
      </c>
      <c r="DW104" s="361">
        <f t="shared" si="1737"/>
        <v>0</v>
      </c>
      <c r="DX104" s="361">
        <f t="shared" si="1738"/>
        <v>0</v>
      </c>
      <c r="DY104" s="361">
        <f t="shared" si="1739"/>
        <v>0</v>
      </c>
      <c r="DZ104" s="361">
        <f>SUM(DR104:DY104)-DT104-DV104</f>
        <v>0</v>
      </c>
      <c r="EA104" s="361">
        <f t="shared" si="1740"/>
        <v>0</v>
      </c>
      <c r="EB104" s="361">
        <f t="shared" si="1741"/>
        <v>0</v>
      </c>
      <c r="EC104" s="361">
        <f t="shared" si="1742"/>
        <v>0</v>
      </c>
      <c r="ED104" s="361">
        <f t="shared" si="1743"/>
        <v>0</v>
      </c>
      <c r="EE104" s="361">
        <f t="shared" si="1744"/>
        <v>0</v>
      </c>
      <c r="EF104" s="361">
        <f t="shared" si="1745"/>
        <v>0</v>
      </c>
      <c r="EG104" s="361">
        <f t="shared" si="1746"/>
        <v>0</v>
      </c>
      <c r="EH104" s="361">
        <f t="shared" si="1747"/>
        <v>0</v>
      </c>
      <c r="EI104" s="362">
        <f>SUM(EA104:EH104)-EC104-EE104</f>
        <v>0</v>
      </c>
      <c r="EJ104" s="330"/>
      <c r="EK104" s="1969"/>
      <c r="EL104" s="312"/>
      <c r="EM104" s="313"/>
      <c r="EN104" s="1969">
        <f>373.25+405</f>
        <v>778.25</v>
      </c>
      <c r="EO104" s="313"/>
      <c r="EP104" s="1969">
        <v>50</v>
      </c>
      <c r="EQ104" s="1969"/>
      <c r="ER104" s="313"/>
      <c r="ES104" s="313"/>
      <c r="ET104" s="1974">
        <f>+EO104+EP104+EQ104</f>
        <v>50</v>
      </c>
      <c r="EV104" s="1974">
        <f t="shared" ref="EV104" si="1965">IF($H104&lt;=15,EK104/2,EK104)</f>
        <v>0</v>
      </c>
      <c r="EW104" s="1974">
        <f t="shared" ref="EW104" si="1966">IF($H104&lt;=15,EL104/2,EL104)</f>
        <v>0</v>
      </c>
      <c r="EX104" s="1974">
        <f t="shared" ref="EX104" si="1967">IF($H104&lt;=15,EM104/2,EM104)</f>
        <v>0</v>
      </c>
      <c r="EY104" s="1974">
        <f t="shared" ref="EY104" si="1968">IF($H104&lt;=15,EN104/2,EN104)</f>
        <v>778.25</v>
      </c>
      <c r="EZ104" s="1974">
        <f t="shared" ref="EZ104" si="1969">IF($H104&lt;=15,EO104/2,EO104)</f>
        <v>0</v>
      </c>
      <c r="FA104" s="1974">
        <f t="shared" ref="FA104" si="1970">IF($H104&lt;=15,EP104/2,EP104)</f>
        <v>50</v>
      </c>
      <c r="FB104" s="1974">
        <f>IF($H104&lt;=15,EQ104/2,EQ104)</f>
        <v>0</v>
      </c>
      <c r="FC104" s="1974">
        <f>IF($H104&lt;=15,ER104/2,ER104)</f>
        <v>0</v>
      </c>
      <c r="FD104" s="1974">
        <f t="shared" ref="FD104" si="1971">IF($H104&lt;=15,ES104/2,ES104)</f>
        <v>0</v>
      </c>
      <c r="FE104" s="1974">
        <f>IF($H104&lt;=15,ET104/2,ET104)</f>
        <v>50</v>
      </c>
      <c r="FF104" s="1599">
        <v>0</v>
      </c>
      <c r="FG104" s="332">
        <v>1</v>
      </c>
      <c r="FH104" s="332">
        <v>0</v>
      </c>
      <c r="FI104" s="332">
        <v>0</v>
      </c>
      <c r="FJ104" s="332">
        <v>0</v>
      </c>
      <c r="FK104" s="332">
        <v>1</v>
      </c>
      <c r="FL104" s="331">
        <v>0</v>
      </c>
    </row>
    <row r="105" spans="1:169" s="331" customFormat="1" ht="15" customHeight="1" outlineLevel="1">
      <c r="A105" s="415">
        <f t="shared" si="1933"/>
        <v>65</v>
      </c>
      <c r="B105" s="311" t="s">
        <v>588</v>
      </c>
      <c r="C105" s="312" t="s">
        <v>599</v>
      </c>
      <c r="D105" s="313" t="s">
        <v>10</v>
      </c>
      <c r="E105" s="1971">
        <v>3166.38</v>
      </c>
      <c r="F105" s="314">
        <v>250</v>
      </c>
      <c r="G105" s="1592">
        <f t="shared" si="1860"/>
        <v>3416.38</v>
      </c>
      <c r="H105" s="1971">
        <v>30</v>
      </c>
      <c r="I105" s="1498">
        <v>1</v>
      </c>
      <c r="J105" s="318">
        <v>0</v>
      </c>
      <c r="K105" s="318">
        <v>0</v>
      </c>
      <c r="L105" s="317">
        <v>0</v>
      </c>
      <c r="M105" s="317">
        <v>0</v>
      </c>
      <c r="N105" s="318">
        <f t="shared" ref="N105" si="1972">SUM(I105:M105)</f>
        <v>1</v>
      </c>
      <c r="O105" s="1122"/>
      <c r="P105" s="357"/>
      <c r="Q105" s="315">
        <f t="shared" si="1862"/>
        <v>0</v>
      </c>
      <c r="R105" s="321"/>
      <c r="S105" s="315">
        <f t="shared" si="1863"/>
        <v>0</v>
      </c>
      <c r="T105" s="321"/>
      <c r="U105" s="315">
        <f t="shared" si="1864"/>
        <v>0</v>
      </c>
      <c r="V105" s="321"/>
      <c r="W105" s="358">
        <f t="shared" si="1927"/>
        <v>0</v>
      </c>
      <c r="X105" s="321"/>
      <c r="Y105" s="315">
        <f t="shared" si="1865"/>
        <v>0</v>
      </c>
      <c r="Z105" s="322"/>
      <c r="AA105" s="315">
        <f t="shared" si="1866"/>
        <v>0</v>
      </c>
      <c r="AB105" s="1606"/>
      <c r="AC105" s="315">
        <f t="shared" si="1867"/>
        <v>0</v>
      </c>
      <c r="AD105" s="1607"/>
      <c r="AE105" s="315">
        <f t="shared" si="1868"/>
        <v>0</v>
      </c>
      <c r="AF105" s="1608"/>
      <c r="AG105" s="1608"/>
      <c r="AH105" s="1607"/>
      <c r="AI105" s="1608"/>
      <c r="AJ105" s="1609"/>
      <c r="AK105" s="1609"/>
      <c r="AL105" s="1609"/>
      <c r="AM105" s="1609"/>
      <c r="AN105" s="1609"/>
      <c r="AO105" s="1609"/>
      <c r="AP105" s="1609"/>
      <c r="AQ105" s="1609"/>
      <c r="AR105" s="1609"/>
      <c r="AS105" s="1609"/>
      <c r="AT105" s="1610"/>
      <c r="AU105" s="1611"/>
      <c r="AV105" s="315">
        <f t="shared" ref="AV105" si="1973">((E105/30)*H105)*$I105</f>
        <v>3166.38</v>
      </c>
      <c r="AW105" s="1979">
        <f>((F105/30)*H105)*$I105+2475</f>
        <v>2725</v>
      </c>
      <c r="AX105" s="315">
        <f t="shared" si="1871"/>
        <v>0</v>
      </c>
      <c r="AY105" s="315">
        <f t="shared" si="1872"/>
        <v>0</v>
      </c>
      <c r="AZ105" s="315">
        <f t="shared" si="1873"/>
        <v>0</v>
      </c>
      <c r="BA105" s="315">
        <f t="shared" si="1874"/>
        <v>0</v>
      </c>
      <c r="BB105" s="315">
        <f t="shared" si="1875"/>
        <v>0</v>
      </c>
      <c r="BC105" s="315">
        <f t="shared" si="1876"/>
        <v>401.18034600000004</v>
      </c>
      <c r="BD105" s="315">
        <f t="shared" si="1877"/>
        <v>6292.5603460000002</v>
      </c>
      <c r="BE105" s="315">
        <f t="shared" si="1878"/>
        <v>0</v>
      </c>
      <c r="BF105" s="906">
        <f t="shared" ref="BF105:BF112" si="1974">(($F105/30)*$H105)*$J105</f>
        <v>0</v>
      </c>
      <c r="BG105" s="315">
        <f t="shared" si="1880"/>
        <v>0</v>
      </c>
      <c r="BH105" s="315">
        <f t="shared" si="1881"/>
        <v>0</v>
      </c>
      <c r="BI105" s="315">
        <f t="shared" si="1882"/>
        <v>0</v>
      </c>
      <c r="BJ105" s="315">
        <f t="shared" si="1883"/>
        <v>0</v>
      </c>
      <c r="BK105" s="315">
        <f t="shared" si="1884"/>
        <v>0</v>
      </c>
      <c r="BL105" s="315">
        <f t="shared" si="1885"/>
        <v>0</v>
      </c>
      <c r="BM105" s="314">
        <f t="shared" si="1886"/>
        <v>0</v>
      </c>
      <c r="BN105" s="315">
        <f t="shared" si="1887"/>
        <v>0</v>
      </c>
      <c r="BO105" s="315">
        <f t="shared" si="1888"/>
        <v>0</v>
      </c>
      <c r="BP105" s="315">
        <f t="shared" si="1889"/>
        <v>0</v>
      </c>
      <c r="BQ105" s="315">
        <f t="shared" si="1890"/>
        <v>0</v>
      </c>
      <c r="BR105" s="315">
        <f t="shared" si="1891"/>
        <v>0</v>
      </c>
      <c r="BS105" s="315">
        <f t="shared" si="1892"/>
        <v>0</v>
      </c>
      <c r="BT105" s="315">
        <f t="shared" si="1893"/>
        <v>0</v>
      </c>
      <c r="BU105" s="315">
        <f t="shared" si="1894"/>
        <v>0</v>
      </c>
      <c r="BV105" s="315">
        <f t="shared" si="1895"/>
        <v>0</v>
      </c>
      <c r="BW105" s="360">
        <f t="shared" si="1896"/>
        <v>0</v>
      </c>
      <c r="BX105" s="361">
        <f t="shared" si="1897"/>
        <v>0</v>
      </c>
      <c r="BY105" s="361">
        <f t="shared" ref="BY105" si="1975">AB105</f>
        <v>0</v>
      </c>
      <c r="BZ105" s="361">
        <f t="shared" ref="BZ105" si="1976">AC105</f>
        <v>0</v>
      </c>
      <c r="CA105" s="361">
        <f t="shared" ref="CA105" si="1977">AD105</f>
        <v>0</v>
      </c>
      <c r="CB105" s="361">
        <f t="shared" ref="CB105" si="1978">AE105</f>
        <v>0</v>
      </c>
      <c r="CC105" s="361">
        <f t="shared" ref="CC105" si="1979">AM105+AR105</f>
        <v>0</v>
      </c>
      <c r="CD105" s="361">
        <f t="shared" ref="CD105" si="1980">(BW105+BZ105+CB105)*0.1267</f>
        <v>0</v>
      </c>
      <c r="CE105" s="361">
        <f t="shared" ref="CE105" si="1981">SUM(BW105:CD105)-BY105-CA105</f>
        <v>0</v>
      </c>
      <c r="CF105" s="1612">
        <f t="shared" si="1928"/>
        <v>0</v>
      </c>
      <c r="CG105" s="1612">
        <f t="shared" si="1903"/>
        <v>0</v>
      </c>
      <c r="CH105" s="1612"/>
      <c r="CI105" s="1612"/>
      <c r="CJ105" s="1612"/>
      <c r="CK105" s="1612"/>
      <c r="CL105" s="1612"/>
      <c r="CM105" s="1612"/>
      <c r="CN105" s="1613"/>
      <c r="CO105" s="330"/>
      <c r="CP105" s="313" t="s">
        <v>10</v>
      </c>
      <c r="CQ105" s="315">
        <f>IF($CP105="PROQUIMA",$AV105+$BE105+$BN105+$BW105+$CF105,0)</f>
        <v>3166.38</v>
      </c>
      <c r="CR105" s="315">
        <f>IF($CP105="PROQUIMA",$AW105+$BF105+$BO105+$BX105+$CG105,0)</f>
        <v>2725</v>
      </c>
      <c r="CS105" s="315">
        <f>IF($CP105="PROQUIMA",$AX105+$BG105+$BP105+$BY105+$CH105,0)</f>
        <v>0</v>
      </c>
      <c r="CT105" s="315">
        <f>IF($CP105="PROQUIMA",$AY105+$BH105+$BQ105+$BZ105+$CI105,0)</f>
        <v>0</v>
      </c>
      <c r="CU105" s="315">
        <f>IF($CP105="PROQUIMA",$AZ105+$BI105+$BR105+$CA105+$CJ105,0)</f>
        <v>0</v>
      </c>
      <c r="CV105" s="315">
        <f t="shared" si="1909"/>
        <v>0</v>
      </c>
      <c r="CW105" s="315">
        <f>IF($CP105="PROQUIMA",$BB105+$BK105+$BT105+$CC105+$CL105,0)</f>
        <v>0</v>
      </c>
      <c r="CX105" s="315">
        <f t="shared" si="1910"/>
        <v>401.18034600000004</v>
      </c>
      <c r="CY105" s="315">
        <f t="shared" si="1911"/>
        <v>6292.5603460000002</v>
      </c>
      <c r="CZ105" s="315">
        <f>IF($CP105="UNHESA",$AV105+$BE105+$BN105+$BW105+$CF105,0)</f>
        <v>0</v>
      </c>
      <c r="DA105" s="315">
        <f t="shared" si="1912"/>
        <v>0</v>
      </c>
      <c r="DB105" s="315">
        <f>IF($CP105="UNHESA",$AX105+$BG105+$BP105+$BY105+$CH105,0)</f>
        <v>0</v>
      </c>
      <c r="DC105" s="315">
        <f>IF($CP105="UNHESA",$AY105+$BH105+$BQ105+$BZ105+$CI105,0)</f>
        <v>0</v>
      </c>
      <c r="DD105" s="315">
        <f>IF($CP105="UNHESA",$AZ105+$BI105+$BR105+$CA105+$CJ105,0)</f>
        <v>0</v>
      </c>
      <c r="DE105" s="315">
        <f>IF($CP105="UNHESA",$BA105+$BJ105+$BS105+$CB105+$CK105,0)</f>
        <v>0</v>
      </c>
      <c r="DF105" s="315">
        <f>IF($CP105="UNHESA",$BB105+$BK105+$BT105+$CC105+$CL105,0)</f>
        <v>0</v>
      </c>
      <c r="DG105" s="315">
        <f>IF($CP105="UNHESA",$BC105+$BL105+$BU105+$CD105+$CM105,0)</f>
        <v>0</v>
      </c>
      <c r="DH105" s="315">
        <f t="shared" si="1913"/>
        <v>0</v>
      </c>
      <c r="DI105" s="324"/>
      <c r="DJ105" s="324"/>
      <c r="DK105" s="324"/>
      <c r="DL105" s="324"/>
      <c r="DM105" s="324"/>
      <c r="DN105" s="324"/>
      <c r="DO105" s="324"/>
      <c r="DP105" s="324"/>
      <c r="DQ105" s="324"/>
      <c r="DR105" s="1614"/>
      <c r="DS105" s="1612"/>
      <c r="DT105" s="1612"/>
      <c r="DU105" s="1612"/>
      <c r="DV105" s="1612"/>
      <c r="DW105" s="1612"/>
      <c r="DX105" s="1612"/>
      <c r="DY105" s="1612"/>
      <c r="DZ105" s="1612"/>
      <c r="EA105" s="1612"/>
      <c r="EB105" s="1612"/>
      <c r="EC105" s="1612"/>
      <c r="ED105" s="1612"/>
      <c r="EE105" s="1612"/>
      <c r="EF105" s="1612"/>
      <c r="EG105" s="1612"/>
      <c r="EH105" s="1612"/>
      <c r="EI105" s="1613"/>
      <c r="EJ105" s="330"/>
      <c r="EK105" s="2200">
        <v>78.17</v>
      </c>
      <c r="EL105" s="313"/>
      <c r="EM105" s="313"/>
      <c r="EN105" s="1969">
        <f>156.25+194.25</f>
        <v>350.5</v>
      </c>
      <c r="EO105" s="313"/>
      <c r="EP105" s="1969">
        <v>50</v>
      </c>
      <c r="EQ105" s="1969"/>
      <c r="ER105" s="313"/>
      <c r="ES105" s="1425"/>
      <c r="ET105" s="321">
        <f t="shared" si="1925"/>
        <v>50</v>
      </c>
      <c r="EV105" s="321">
        <f t="shared" ref="EV105:FC105" si="1982">IF($H105&lt;=15,EK105/2,EK105)</f>
        <v>78.17</v>
      </c>
      <c r="EW105" s="321">
        <f t="shared" si="1982"/>
        <v>0</v>
      </c>
      <c r="EX105" s="321">
        <f t="shared" si="1982"/>
        <v>0</v>
      </c>
      <c r="EY105" s="321">
        <f t="shared" si="1982"/>
        <v>350.5</v>
      </c>
      <c r="EZ105" s="321">
        <f t="shared" si="1982"/>
        <v>0</v>
      </c>
      <c r="FA105" s="321">
        <f t="shared" si="1982"/>
        <v>50</v>
      </c>
      <c r="FB105" s="321">
        <f t="shared" si="1982"/>
        <v>0</v>
      </c>
      <c r="FC105" s="321">
        <f t="shared" si="1982"/>
        <v>0</v>
      </c>
      <c r="FD105" s="321">
        <f t="shared" si="1926"/>
        <v>0</v>
      </c>
      <c r="FE105" s="321">
        <f t="shared" si="1926"/>
        <v>50</v>
      </c>
      <c r="FF105" s="1615">
        <v>1</v>
      </c>
      <c r="FG105" s="1616">
        <v>0</v>
      </c>
      <c r="FH105" s="1616">
        <v>0</v>
      </c>
      <c r="FI105" s="1616">
        <v>0</v>
      </c>
      <c r="FJ105" s="1616">
        <v>0</v>
      </c>
      <c r="FK105" s="1617">
        <f>SUM(FF105:FJ105)</f>
        <v>1</v>
      </c>
    </row>
    <row r="106" spans="1:169" s="331" customFormat="1" ht="15" customHeight="1" outlineLevel="1">
      <c r="A106" s="415">
        <f t="shared" si="1933"/>
        <v>66</v>
      </c>
      <c r="B106" s="311" t="s">
        <v>763</v>
      </c>
      <c r="C106" s="312" t="s">
        <v>624</v>
      </c>
      <c r="D106" s="313" t="s">
        <v>10</v>
      </c>
      <c r="E106" s="1971">
        <v>3166.38</v>
      </c>
      <c r="F106" s="314">
        <v>250</v>
      </c>
      <c r="G106" s="1592">
        <f t="shared" ref="G106" si="1983">+E106+F106</f>
        <v>3416.38</v>
      </c>
      <c r="H106" s="1971">
        <v>30</v>
      </c>
      <c r="I106" s="1498">
        <v>1</v>
      </c>
      <c r="J106" s="318">
        <v>0</v>
      </c>
      <c r="K106" s="318">
        <v>0</v>
      </c>
      <c r="L106" s="317">
        <v>0</v>
      </c>
      <c r="M106" s="317">
        <v>0</v>
      </c>
      <c r="N106" s="318">
        <f t="shared" ref="N106" si="1984">SUM(I106:M106)</f>
        <v>1</v>
      </c>
      <c r="O106" s="1122"/>
      <c r="P106" s="357"/>
      <c r="Q106" s="315">
        <f t="shared" ref="Q106" si="1985">($E106/30/8*1.5)*P106</f>
        <v>0</v>
      </c>
      <c r="R106" s="321"/>
      <c r="S106" s="315">
        <f t="shared" ref="S106" si="1986">($E106/30/8*2)*R106</f>
        <v>0</v>
      </c>
      <c r="T106" s="321"/>
      <c r="U106" s="315">
        <f t="shared" si="1864"/>
        <v>0</v>
      </c>
      <c r="V106" s="321"/>
      <c r="W106" s="358">
        <f t="shared" si="1927"/>
        <v>0</v>
      </c>
      <c r="X106" s="321"/>
      <c r="Y106" s="315">
        <f t="shared" ref="Y106" si="1987">(($E106/30/8)*1.5)*X106</f>
        <v>0</v>
      </c>
      <c r="Z106" s="322"/>
      <c r="AA106" s="315">
        <f t="shared" ref="AA106" si="1988">(($E106/30/8)*2)*Z106</f>
        <v>0</v>
      </c>
      <c r="AB106" s="1606"/>
      <c r="AC106" s="315">
        <f t="shared" ref="AC106" si="1989">(($E106/30/8)*1.5)*AB106</f>
        <v>0</v>
      </c>
      <c r="AD106" s="1607"/>
      <c r="AE106" s="315">
        <f t="shared" ref="AE106" si="1990">(($E106/30/8)*2)*AD106</f>
        <v>0</v>
      </c>
      <c r="AF106" s="1608"/>
      <c r="AG106" s="1608"/>
      <c r="AH106" s="1607"/>
      <c r="AI106" s="1608"/>
      <c r="AJ106" s="1609"/>
      <c r="AK106" s="1609"/>
      <c r="AL106" s="1609"/>
      <c r="AM106" s="1609"/>
      <c r="AN106" s="1609"/>
      <c r="AO106" s="1609"/>
      <c r="AP106" s="1609"/>
      <c r="AQ106" s="1609"/>
      <c r="AR106" s="1609"/>
      <c r="AS106" s="1609"/>
      <c r="AT106" s="1610"/>
      <c r="AU106" s="1611"/>
      <c r="AV106" s="315">
        <f t="shared" ref="AV106" si="1991">((E106/30)*H106)*$I106</f>
        <v>3166.38</v>
      </c>
      <c r="AW106" s="1979">
        <f>((F106/30)*H106)*$I106+1125</f>
        <v>1375</v>
      </c>
      <c r="AX106" s="315">
        <f t="shared" ref="AX106" si="1992">P106</f>
        <v>0</v>
      </c>
      <c r="AY106" s="315">
        <f t="shared" ref="AY106" si="1993">Q106</f>
        <v>0</v>
      </c>
      <c r="AZ106" s="315">
        <f t="shared" ref="AZ106" si="1994">R106</f>
        <v>0</v>
      </c>
      <c r="BA106" s="315">
        <f t="shared" ref="BA106" si="1995">S106</f>
        <v>0</v>
      </c>
      <c r="BB106" s="315">
        <f t="shared" ref="BB106" si="1996">AJ106+AO106</f>
        <v>0</v>
      </c>
      <c r="BC106" s="315">
        <f t="shared" ref="BC106" si="1997">(AV106+AY106+BA106)*0.1267</f>
        <v>401.18034600000004</v>
      </c>
      <c r="BD106" s="315">
        <f t="shared" ref="BD106" si="1998">SUM(AV106:BC106)-AX106-AZ106</f>
        <v>4942.5603460000002</v>
      </c>
      <c r="BE106" s="315">
        <f t="shared" si="1878"/>
        <v>0</v>
      </c>
      <c r="BF106" s="906">
        <f>(($F106/30)*$H106)*$J106</f>
        <v>0</v>
      </c>
      <c r="BG106" s="315">
        <f t="shared" ref="BG106" si="1999">T106</f>
        <v>0</v>
      </c>
      <c r="BH106" s="315">
        <f t="shared" ref="BH106" si="2000">U106</f>
        <v>0</v>
      </c>
      <c r="BI106" s="315">
        <f t="shared" ref="BI106" si="2001">V106</f>
        <v>0</v>
      </c>
      <c r="BJ106" s="315">
        <f t="shared" ref="BJ106" si="2002">W106</f>
        <v>0</v>
      </c>
      <c r="BK106" s="315">
        <f t="shared" ref="BK106" si="2003">AK106+AP106</f>
        <v>0</v>
      </c>
      <c r="BL106" s="315">
        <f t="shared" ref="BL106" si="2004">(+BE106+BH106+BJ106+BK106)*0.1267</f>
        <v>0</v>
      </c>
      <c r="BM106" s="314">
        <f t="shared" ref="BM106" si="2005">SUM(BE106:BL106)-BG106-BI106</f>
        <v>0</v>
      </c>
      <c r="BN106" s="315">
        <f t="shared" si="1887"/>
        <v>0</v>
      </c>
      <c r="BO106" s="315">
        <f t="shared" si="1888"/>
        <v>0</v>
      </c>
      <c r="BP106" s="315">
        <f t="shared" ref="BP106" si="2006">X106</f>
        <v>0</v>
      </c>
      <c r="BQ106" s="315">
        <f t="shared" ref="BQ106" si="2007">Y106</f>
        <v>0</v>
      </c>
      <c r="BR106" s="315">
        <f t="shared" ref="BR106" si="2008">Z106</f>
        <v>0</v>
      </c>
      <c r="BS106" s="315">
        <f t="shared" ref="BS106" si="2009">AA106</f>
        <v>0</v>
      </c>
      <c r="BT106" s="315">
        <f t="shared" ref="BT106" si="2010">AL106+AQ106</f>
        <v>0</v>
      </c>
      <c r="BU106" s="315">
        <f t="shared" ref="BU106" si="2011">(BN106+BQ106+BS106)*0.1267</f>
        <v>0</v>
      </c>
      <c r="BV106" s="315">
        <f t="shared" ref="BV106" si="2012">SUM(BN106:BU106)-BP106-BR106</f>
        <v>0</v>
      </c>
      <c r="BW106" s="360">
        <f t="shared" si="1896"/>
        <v>0</v>
      </c>
      <c r="BX106" s="361">
        <f t="shared" si="1897"/>
        <v>0</v>
      </c>
      <c r="BY106" s="361">
        <f t="shared" ref="BY106" si="2013">AB106</f>
        <v>0</v>
      </c>
      <c r="BZ106" s="361">
        <f t="shared" ref="BZ106" si="2014">AC106</f>
        <v>0</v>
      </c>
      <c r="CA106" s="361">
        <f t="shared" ref="CA106" si="2015">AD106</f>
        <v>0</v>
      </c>
      <c r="CB106" s="361">
        <f t="shared" ref="CB106" si="2016">AE106</f>
        <v>0</v>
      </c>
      <c r="CC106" s="361">
        <f t="shared" ref="CC106" si="2017">AM106+AR106</f>
        <v>0</v>
      </c>
      <c r="CD106" s="361">
        <f t="shared" ref="CD106" si="2018">(BW106+BZ106+CB106)*0.1267</f>
        <v>0</v>
      </c>
      <c r="CE106" s="361">
        <f t="shared" ref="CE106" si="2019">SUM(BW106:CD106)-BY106-CA106</f>
        <v>0</v>
      </c>
      <c r="CF106" s="1612">
        <f t="shared" si="1928"/>
        <v>0</v>
      </c>
      <c r="CG106" s="1612">
        <f t="shared" si="1903"/>
        <v>0</v>
      </c>
      <c r="CH106" s="1612"/>
      <c r="CI106" s="1612"/>
      <c r="CJ106" s="1612"/>
      <c r="CK106" s="1612"/>
      <c r="CL106" s="1612"/>
      <c r="CM106" s="1612"/>
      <c r="CN106" s="1613"/>
      <c r="CO106" s="330"/>
      <c r="CP106" s="313" t="s">
        <v>10</v>
      </c>
      <c r="CQ106" s="315">
        <f>IF($CP106="PROQUIMA",$AV106+$BE106+$BN106+$BW106+$CF106,0)</f>
        <v>3166.38</v>
      </c>
      <c r="CR106" s="315">
        <f>IF($CP106="PROQUIMA",$AW106+$BF106+$BO106+$BX106+$CG106,0)</f>
        <v>1375</v>
      </c>
      <c r="CS106" s="315">
        <f>IF($CP106="PROQUIMA",$AX106+$BG106+$BP106+$BY106+$CH106,0)</f>
        <v>0</v>
      </c>
      <c r="CT106" s="315">
        <f>IF($CP106="PROQUIMA",$AY106+$BH106+$BQ106+$BZ106+$CI106,0)</f>
        <v>0</v>
      </c>
      <c r="CU106" s="315">
        <f>IF($CP106="PROQUIMA",$AZ106+$BI106+$BR106+$CA106+$CJ106,0)</f>
        <v>0</v>
      </c>
      <c r="CV106" s="315">
        <f t="shared" si="1909"/>
        <v>0</v>
      </c>
      <c r="CW106" s="315">
        <f>IF($CP106="PROQUIMA",$BB106+$BK106+$BT106+$CC106+$CL106,0)</f>
        <v>0</v>
      </c>
      <c r="CX106" s="315">
        <f t="shared" ref="CX106" si="2020">IF($CP106="PROQUIMA",$BC106+$BL106+$BU106+$CD106+CM106,0)</f>
        <v>401.18034600000004</v>
      </c>
      <c r="CY106" s="315">
        <f t="shared" ref="CY106" si="2021">SUM(CQ106:CX106)-CS106-CU106</f>
        <v>4942.5603460000002</v>
      </c>
      <c r="CZ106" s="315">
        <f>IF($CP106="UNHESA",$AV106+$BE106+$BN106+$BW106+$CF106,0)</f>
        <v>0</v>
      </c>
      <c r="DA106" s="315">
        <f t="shared" si="1912"/>
        <v>0</v>
      </c>
      <c r="DB106" s="315">
        <f>IF($CP106="UNHESA",$AX106+$BG106+$BP106+$BY106+$CH106,0)</f>
        <v>0</v>
      </c>
      <c r="DC106" s="315">
        <f>IF($CP106="UNHESA",$AY106+$BH106+$BQ106+$BZ106+$CI106,0)</f>
        <v>0</v>
      </c>
      <c r="DD106" s="315">
        <f>IF($CP106="UNHESA",$AZ106+$BI106+$BR106+$CA106+$CJ106,0)</f>
        <v>0</v>
      </c>
      <c r="DE106" s="315">
        <f>IF($CP106="UNHESA",$BA106+$BJ106+$BS106+$CB106+$CK106,0)</f>
        <v>0</v>
      </c>
      <c r="DF106" s="315">
        <f>IF($CP106="UNHESA",$BB106+$BK106+$BT106+$CC106+$CL106,0)</f>
        <v>0</v>
      </c>
      <c r="DG106" s="315">
        <f>IF($CP106="UNHESA",$BC106+$BL106+$BU106+$CD106+$CM106,0)</f>
        <v>0</v>
      </c>
      <c r="DH106" s="315">
        <f t="shared" ref="DH106" si="2022">SUM(CZ106:DG106)-DB106-DD106</f>
        <v>0</v>
      </c>
      <c r="DI106" s="324"/>
      <c r="DJ106" s="324"/>
      <c r="DK106" s="324"/>
      <c r="DL106" s="324"/>
      <c r="DM106" s="324"/>
      <c r="DN106" s="324"/>
      <c r="DO106" s="324"/>
      <c r="DP106" s="324"/>
      <c r="DQ106" s="324"/>
      <c r="DR106" s="1614"/>
      <c r="DS106" s="1612"/>
      <c r="DT106" s="1612"/>
      <c r="DU106" s="1612"/>
      <c r="DV106" s="1612"/>
      <c r="DW106" s="1612"/>
      <c r="DX106" s="1612"/>
      <c r="DY106" s="1612"/>
      <c r="DZ106" s="1612"/>
      <c r="EA106" s="1612"/>
      <c r="EB106" s="1612"/>
      <c r="EC106" s="1612"/>
      <c r="ED106" s="1612"/>
      <c r="EE106" s="1612"/>
      <c r="EF106" s="1612"/>
      <c r="EG106" s="1612"/>
      <c r="EH106" s="1612"/>
      <c r="EI106" s="1613"/>
      <c r="EJ106" s="330"/>
      <c r="EK106" s="313"/>
      <c r="EL106" s="313"/>
      <c r="EM106" s="313"/>
      <c r="EN106" s="1969"/>
      <c r="EO106" s="313"/>
      <c r="EP106" s="1969">
        <v>50</v>
      </c>
      <c r="EQ106" s="1969"/>
      <c r="ER106" s="313"/>
      <c r="ES106" s="1425"/>
      <c r="ET106" s="321">
        <f t="shared" ref="ET106" si="2023">+EO106+EP106+EQ106</f>
        <v>50</v>
      </c>
      <c r="EV106" s="321">
        <f t="shared" ref="EV106" si="2024">IF($H106&lt;=15,EK106/2,EK106)</f>
        <v>0</v>
      </c>
      <c r="EW106" s="321">
        <f t="shared" ref="EW106" si="2025">IF($H106&lt;=15,EL106/2,EL106)</f>
        <v>0</v>
      </c>
      <c r="EX106" s="321">
        <f t="shared" ref="EX106" si="2026">IF($H106&lt;=15,EM106/2,EM106)</f>
        <v>0</v>
      </c>
      <c r="EY106" s="321">
        <f t="shared" ref="EY106" si="2027">IF($H106&lt;=15,EN106/2,EN106)</f>
        <v>0</v>
      </c>
      <c r="EZ106" s="321">
        <f t="shared" ref="EZ106" si="2028">IF($H106&lt;=15,EO106/2,EO106)</f>
        <v>0</v>
      </c>
      <c r="FA106" s="321">
        <f t="shared" ref="FA106" si="2029">IF($H106&lt;=15,EP106/2,EP106)</f>
        <v>50</v>
      </c>
      <c r="FB106" s="321">
        <f t="shared" ref="FB106" si="2030">IF($H106&lt;=15,EQ106/2,EQ106)</f>
        <v>0</v>
      </c>
      <c r="FC106" s="321">
        <f t="shared" ref="FC106" si="2031">IF($H106&lt;=15,ER106/2,ER106)</f>
        <v>0</v>
      </c>
      <c r="FD106" s="321">
        <f t="shared" ref="FD106" si="2032">IF($H106&lt;=15,ES106/2,ES106)</f>
        <v>0</v>
      </c>
      <c r="FE106" s="321">
        <f t="shared" ref="FE106" si="2033">IF($H106&lt;=15,ET106/2,ET106)</f>
        <v>50</v>
      </c>
      <c r="FF106" s="1615"/>
      <c r="FG106" s="1616"/>
      <c r="FH106" s="1616"/>
      <c r="FI106" s="1616"/>
      <c r="FJ106" s="1616"/>
      <c r="FK106" s="1617"/>
    </row>
    <row r="107" spans="1:169" s="331" customFormat="1" ht="15" customHeight="1" outlineLevel="1">
      <c r="A107" s="415">
        <f t="shared" si="1933"/>
        <v>67</v>
      </c>
      <c r="B107" s="311" t="s">
        <v>719</v>
      </c>
      <c r="C107" s="312" t="s">
        <v>720</v>
      </c>
      <c r="D107" s="313" t="s">
        <v>10</v>
      </c>
      <c r="E107" s="1971">
        <v>3166.38</v>
      </c>
      <c r="F107" s="314">
        <v>250</v>
      </c>
      <c r="G107" s="1592">
        <f t="shared" si="1860"/>
        <v>3416.38</v>
      </c>
      <c r="H107" s="1971">
        <v>30</v>
      </c>
      <c r="I107" s="1498">
        <v>1</v>
      </c>
      <c r="J107" s="318">
        <v>0</v>
      </c>
      <c r="K107" s="318">
        <v>0</v>
      </c>
      <c r="L107" s="317">
        <v>0</v>
      </c>
      <c r="M107" s="317">
        <v>0</v>
      </c>
      <c r="N107" s="318">
        <f t="shared" ref="N107" si="2034">SUM(I107:M107)</f>
        <v>1</v>
      </c>
      <c r="O107" s="1122"/>
      <c r="P107" s="357"/>
      <c r="Q107" s="315">
        <f t="shared" ref="Q107" si="2035">($E107/30/8*1.5)*P107</f>
        <v>0</v>
      </c>
      <c r="R107" s="321"/>
      <c r="S107" s="315">
        <f t="shared" ref="S107" si="2036">($E107/30/8*2)*R107</f>
        <v>0</v>
      </c>
      <c r="T107" s="321"/>
      <c r="U107" s="315">
        <f t="shared" si="1864"/>
        <v>0</v>
      </c>
      <c r="V107" s="321"/>
      <c r="W107" s="358">
        <f t="shared" si="1927"/>
        <v>0</v>
      </c>
      <c r="X107" s="321"/>
      <c r="Y107" s="315">
        <f t="shared" ref="Y107" si="2037">(($E107/30/8)*1.5)*X107</f>
        <v>0</v>
      </c>
      <c r="Z107" s="322"/>
      <c r="AA107" s="315">
        <f t="shared" ref="AA107" si="2038">(($E107/30/8)*2)*Z107</f>
        <v>0</v>
      </c>
      <c r="AB107" s="1606"/>
      <c r="AC107" s="315">
        <f t="shared" ref="AC107" si="2039">(($E107/30/8)*1.5)*AB107</f>
        <v>0</v>
      </c>
      <c r="AD107" s="1607"/>
      <c r="AE107" s="315">
        <f t="shared" ref="AE107" si="2040">(($E107/30/8)*2)*AD107</f>
        <v>0</v>
      </c>
      <c r="AF107" s="1608"/>
      <c r="AG107" s="1608"/>
      <c r="AH107" s="1607"/>
      <c r="AI107" s="1608"/>
      <c r="AJ107" s="1609"/>
      <c r="AK107" s="1609"/>
      <c r="AL107" s="1609"/>
      <c r="AM107" s="1609"/>
      <c r="AN107" s="1609"/>
      <c r="AO107" s="1609"/>
      <c r="AP107" s="1609"/>
      <c r="AQ107" s="1609"/>
      <c r="AR107" s="1609"/>
      <c r="AS107" s="1609"/>
      <c r="AT107" s="1610"/>
      <c r="AU107" s="1611"/>
      <c r="AV107" s="315">
        <f t="shared" ref="AV107" si="2041">((E107/30)*H107)*$I107</f>
        <v>3166.38</v>
      </c>
      <c r="AW107" s="2012">
        <f>((F107/30)*H107)*$I107+450</f>
        <v>700</v>
      </c>
      <c r="AX107" s="315">
        <f t="shared" ref="AX107" si="2042">P107</f>
        <v>0</v>
      </c>
      <c r="AY107" s="315">
        <f t="shared" ref="AY107" si="2043">Q107</f>
        <v>0</v>
      </c>
      <c r="AZ107" s="315">
        <f t="shared" ref="AZ107" si="2044">R107</f>
        <v>0</v>
      </c>
      <c r="BA107" s="315">
        <f t="shared" ref="BA107" si="2045">S107</f>
        <v>0</v>
      </c>
      <c r="BB107" s="315">
        <f t="shared" ref="BB107" si="2046">AJ107+AO107</f>
        <v>0</v>
      </c>
      <c r="BC107" s="315">
        <f t="shared" ref="BC107" si="2047">(AV107+AY107+BA107)*0.1267</f>
        <v>401.18034600000004</v>
      </c>
      <c r="BD107" s="315">
        <f t="shared" ref="BD107" si="2048">SUM(AV107:BC107)-AX107-AZ107</f>
        <v>4267.5603460000002</v>
      </c>
      <c r="BE107" s="315">
        <f t="shared" si="1878"/>
        <v>0</v>
      </c>
      <c r="BF107" s="1618">
        <f t="shared" si="1974"/>
        <v>0</v>
      </c>
      <c r="BG107" s="315">
        <f t="shared" ref="BG107" si="2049">T107</f>
        <v>0</v>
      </c>
      <c r="BH107" s="315">
        <f t="shared" ref="BH107" si="2050">U107</f>
        <v>0</v>
      </c>
      <c r="BI107" s="315">
        <f t="shared" ref="BI107" si="2051">V107</f>
        <v>0</v>
      </c>
      <c r="BJ107" s="315">
        <f t="shared" ref="BJ107" si="2052">W107</f>
        <v>0</v>
      </c>
      <c r="BK107" s="315">
        <f t="shared" ref="BK107" si="2053">AK107+AP107</f>
        <v>0</v>
      </c>
      <c r="BL107" s="315">
        <f t="shared" ref="BL107" si="2054">(+BE107+BH107+BJ107+BK107)*0.1267</f>
        <v>0</v>
      </c>
      <c r="BM107" s="314">
        <f t="shared" ref="BM107" si="2055">SUM(BE107:BL107)-BG107-BI107</f>
        <v>0</v>
      </c>
      <c r="BN107" s="315">
        <f t="shared" si="1887"/>
        <v>0</v>
      </c>
      <c r="BO107" s="315">
        <f t="shared" si="1888"/>
        <v>0</v>
      </c>
      <c r="BP107" s="315">
        <f t="shared" ref="BP107" si="2056">X107</f>
        <v>0</v>
      </c>
      <c r="BQ107" s="315">
        <f t="shared" ref="BQ107" si="2057">Y107</f>
        <v>0</v>
      </c>
      <c r="BR107" s="315">
        <f t="shared" ref="BR107" si="2058">Z107</f>
        <v>0</v>
      </c>
      <c r="BS107" s="315">
        <f t="shared" ref="BS107" si="2059">AA107</f>
        <v>0</v>
      </c>
      <c r="BT107" s="315">
        <f t="shared" ref="BT107" si="2060">AL107+AQ107</f>
        <v>0</v>
      </c>
      <c r="BU107" s="315">
        <f t="shared" ref="BU107" si="2061">(BN107+BQ107+BS107)*0.1267</f>
        <v>0</v>
      </c>
      <c r="BV107" s="315">
        <f t="shared" ref="BV107" si="2062">SUM(BN107:BU107)-BP107-BR107</f>
        <v>0</v>
      </c>
      <c r="BW107" s="360">
        <f t="shared" si="1896"/>
        <v>0</v>
      </c>
      <c r="BX107" s="361">
        <f t="shared" si="1897"/>
        <v>0</v>
      </c>
      <c r="BY107" s="361">
        <f t="shared" ref="BY107" si="2063">AB107</f>
        <v>0</v>
      </c>
      <c r="BZ107" s="361">
        <f t="shared" ref="BZ107" si="2064">AC107</f>
        <v>0</v>
      </c>
      <c r="CA107" s="361">
        <f t="shared" ref="CA107" si="2065">AD107</f>
        <v>0</v>
      </c>
      <c r="CB107" s="361">
        <f t="shared" ref="CB107" si="2066">AE107</f>
        <v>0</v>
      </c>
      <c r="CC107" s="361">
        <f t="shared" ref="CC107" si="2067">AM107+AR107</f>
        <v>0</v>
      </c>
      <c r="CD107" s="361">
        <f t="shared" ref="CD107" si="2068">(BW107+BZ107+CB107)*0.1267</f>
        <v>0</v>
      </c>
      <c r="CE107" s="361">
        <f t="shared" ref="CE107" si="2069">SUM(BW107:CD107)-BY107-CA107</f>
        <v>0</v>
      </c>
      <c r="CF107" s="1612">
        <f t="shared" si="1928"/>
        <v>0</v>
      </c>
      <c r="CG107" s="1612">
        <f t="shared" si="1903"/>
        <v>0</v>
      </c>
      <c r="CH107" s="1612"/>
      <c r="CI107" s="1612"/>
      <c r="CJ107" s="1612"/>
      <c r="CK107" s="1612"/>
      <c r="CL107" s="1612"/>
      <c r="CM107" s="1612"/>
      <c r="CN107" s="1613"/>
      <c r="CO107" s="330"/>
      <c r="CP107" s="313" t="s">
        <v>10</v>
      </c>
      <c r="CQ107" s="315">
        <f>IF($CP107="PROQUIMA",$AV107+$BE107+$BN107+$BW107+$CF107,0)</f>
        <v>3166.38</v>
      </c>
      <c r="CR107" s="315">
        <f>IF($CP107="PROQUIMA",$AW107+$BF107+$BO107+$BX107+$CG107,0)</f>
        <v>700</v>
      </c>
      <c r="CS107" s="315">
        <f>IF($CP107="PROQUIMA",$AX107+$BG107+$BP107+$BY107+$CH107,0)</f>
        <v>0</v>
      </c>
      <c r="CT107" s="315">
        <f>IF($CP107="PROQUIMA",$AY107+$BH107+$BQ107+$BZ107+$CI107,0)</f>
        <v>0</v>
      </c>
      <c r="CU107" s="315">
        <f>IF($CP107="PROQUIMA",$AZ107+$BI107+$BR107+$CA107+$CJ107,0)</f>
        <v>0</v>
      </c>
      <c r="CV107" s="315">
        <f t="shared" si="1909"/>
        <v>0</v>
      </c>
      <c r="CW107" s="315">
        <f>IF($CP107="PROQUIMA",$BB107+$BK107+$BT107+$CC107+$CL107,0)</f>
        <v>0</v>
      </c>
      <c r="CX107" s="315">
        <f t="shared" ref="CX107" si="2070">IF($CP107="PROQUIMA",$BC107+$BL107+$BU107+$CD107+CM107,0)</f>
        <v>401.18034600000004</v>
      </c>
      <c r="CY107" s="315">
        <f t="shared" ref="CY107" si="2071">SUM(CQ107:CX107)-CS107-CU107</f>
        <v>4267.5603460000002</v>
      </c>
      <c r="CZ107" s="315">
        <f>IF($CP107="UNHESA",$AV107+$BE107+$BN107+$BW107+$CF107,0)</f>
        <v>0</v>
      </c>
      <c r="DA107" s="315">
        <f t="shared" si="1912"/>
        <v>0</v>
      </c>
      <c r="DB107" s="315">
        <f>IF($CP107="UNHESA",$AX107+$BG107+$BP107+$BY107+$CH107,0)</f>
        <v>0</v>
      </c>
      <c r="DC107" s="315">
        <f>IF($CP107="UNHESA",$AY107+$BH107+$BQ107+$BZ107+$CI107,0)</f>
        <v>0</v>
      </c>
      <c r="DD107" s="315">
        <f>IF($CP107="UNHESA",$AZ107+$BI107+$BR107+$CA107+$CJ107,0)</f>
        <v>0</v>
      </c>
      <c r="DE107" s="315">
        <f>IF($CP107="UNHESA",$BA107+$BJ107+$BS107+$CB107+$CK107,0)</f>
        <v>0</v>
      </c>
      <c r="DF107" s="315">
        <f>IF($CP107="UNHESA",$BB107+$BK107+$BT107+$CC107+$CL107,0)</f>
        <v>0</v>
      </c>
      <c r="DG107" s="315">
        <f>IF($CP107="UNHESA",$BC107+$BL107+$BU107+$CD107+$CM107,0)</f>
        <v>0</v>
      </c>
      <c r="DH107" s="315">
        <f t="shared" ref="DH107" si="2072">SUM(CZ107:DG107)-DB107-DD107</f>
        <v>0</v>
      </c>
      <c r="DI107" s="324"/>
      <c r="DJ107" s="324"/>
      <c r="DK107" s="324"/>
      <c r="DL107" s="324"/>
      <c r="DM107" s="324"/>
      <c r="DN107" s="324"/>
      <c r="DO107" s="324"/>
      <c r="DP107" s="324"/>
      <c r="DQ107" s="324"/>
      <c r="DR107" s="1614"/>
      <c r="DS107" s="1612"/>
      <c r="DT107" s="1612"/>
      <c r="DU107" s="1612"/>
      <c r="DV107" s="1612"/>
      <c r="DW107" s="1612"/>
      <c r="DX107" s="1612"/>
      <c r="DY107" s="1612"/>
      <c r="DZ107" s="1612"/>
      <c r="EA107" s="1612"/>
      <c r="EB107" s="1612"/>
      <c r="EC107" s="1612"/>
      <c r="ED107" s="1612"/>
      <c r="EE107" s="1612"/>
      <c r="EF107" s="1612"/>
      <c r="EG107" s="1612"/>
      <c r="EH107" s="1612"/>
      <c r="EI107" s="1613"/>
      <c r="EJ107" s="330"/>
      <c r="EK107" s="313"/>
      <c r="EL107" s="313"/>
      <c r="EM107" s="313"/>
      <c r="EN107" s="1969">
        <f>356.5+340.5</f>
        <v>697</v>
      </c>
      <c r="EO107" s="313"/>
      <c r="EP107" s="1969">
        <v>50</v>
      </c>
      <c r="EQ107" s="1969"/>
      <c r="ER107" s="1969"/>
      <c r="ES107" s="1969"/>
      <c r="ET107" s="321">
        <f>+EO107+EP107+EQ107</f>
        <v>50</v>
      </c>
      <c r="EV107" s="321">
        <f t="shared" ref="EV107" si="2073">IF($H107&lt;=15,EK107/2,EK107)</f>
        <v>0</v>
      </c>
      <c r="EW107" s="321">
        <f t="shared" ref="EW107" si="2074">IF($H107&lt;=15,EL107/2,EL107)</f>
        <v>0</v>
      </c>
      <c r="EX107" s="321">
        <f t="shared" ref="EX107" si="2075">IF($H107&lt;=15,EM107/2,EM107)</f>
        <v>0</v>
      </c>
      <c r="EY107" s="321">
        <f t="shared" ref="EY107" si="2076">IF($H107&lt;=15,EN107/2,EN107)</f>
        <v>697</v>
      </c>
      <c r="EZ107" s="321">
        <f t="shared" ref="EZ107" si="2077">IF($H107&lt;=15,EO107/2,EO107)</f>
        <v>0</v>
      </c>
      <c r="FA107" s="321">
        <f t="shared" ref="FA107" si="2078">IF($H107&lt;=15,EP107/2,EP107)</f>
        <v>50</v>
      </c>
      <c r="FB107" s="321">
        <f t="shared" ref="FB107" si="2079">IF($H107&lt;=15,EQ107/2,EQ107)</f>
        <v>0</v>
      </c>
      <c r="FC107" s="321">
        <f t="shared" ref="FC107" si="2080">IF($H107&lt;=15,ER107/2,ER107)</f>
        <v>0</v>
      </c>
      <c r="FD107" s="321">
        <f t="shared" ref="FD107" si="2081">IF($H107&lt;=15,ES107/2,ES107)</f>
        <v>0</v>
      </c>
      <c r="FE107" s="321">
        <f t="shared" ref="FE107" si="2082">IF($H107&lt;=15,ET107/2,ET107)</f>
        <v>50</v>
      </c>
      <c r="FF107" s="1615"/>
      <c r="FG107" s="1616"/>
      <c r="FH107" s="1616"/>
      <c r="FI107" s="1616"/>
      <c r="FJ107" s="1616"/>
      <c r="FK107" s="1617"/>
    </row>
    <row r="108" spans="1:169" s="331" customFormat="1" ht="15" customHeight="1" outlineLevel="1">
      <c r="A108" s="415">
        <f t="shared" si="1933"/>
        <v>68</v>
      </c>
      <c r="B108" s="311" t="s">
        <v>721</v>
      </c>
      <c r="C108" s="312" t="s">
        <v>720</v>
      </c>
      <c r="D108" s="313" t="s">
        <v>10</v>
      </c>
      <c r="E108" s="1971">
        <v>3166.38</v>
      </c>
      <c r="F108" s="314">
        <v>250</v>
      </c>
      <c r="G108" s="1592">
        <f t="shared" si="1860"/>
        <v>3416.38</v>
      </c>
      <c r="H108" s="1971">
        <v>30</v>
      </c>
      <c r="I108" s="1498">
        <v>1</v>
      </c>
      <c r="J108" s="318">
        <v>0</v>
      </c>
      <c r="K108" s="318">
        <v>0</v>
      </c>
      <c r="L108" s="317">
        <v>0</v>
      </c>
      <c r="M108" s="317">
        <v>0</v>
      </c>
      <c r="N108" s="318">
        <f t="shared" ref="N108" si="2083">SUM(I108:M108)</f>
        <v>1</v>
      </c>
      <c r="O108" s="1122"/>
      <c r="P108" s="357"/>
      <c r="Q108" s="315">
        <f t="shared" ref="Q108" si="2084">($E108/30/8*1.5)*P108</f>
        <v>0</v>
      </c>
      <c r="R108" s="321"/>
      <c r="S108" s="315">
        <f t="shared" ref="S108" si="2085">($E108/30/8*2)*R108</f>
        <v>0</v>
      </c>
      <c r="T108" s="321"/>
      <c r="U108" s="315">
        <f t="shared" si="1864"/>
        <v>0</v>
      </c>
      <c r="V108" s="321"/>
      <c r="W108" s="358">
        <f t="shared" si="1927"/>
        <v>0</v>
      </c>
      <c r="X108" s="321"/>
      <c r="Y108" s="315">
        <f t="shared" ref="Y108" si="2086">(($E108/30/8)*1.5)*X108</f>
        <v>0</v>
      </c>
      <c r="Z108" s="322"/>
      <c r="AA108" s="315">
        <f t="shared" ref="AA108" si="2087">(($E108/30/8)*2)*Z108</f>
        <v>0</v>
      </c>
      <c r="AB108" s="1606"/>
      <c r="AC108" s="315">
        <f t="shared" ref="AC108" si="2088">(($E108/30/8)*1.5)*AB108</f>
        <v>0</v>
      </c>
      <c r="AD108" s="1607"/>
      <c r="AE108" s="315">
        <f t="shared" ref="AE108" si="2089">(($E108/30/8)*2)*AD108</f>
        <v>0</v>
      </c>
      <c r="AF108" s="1608"/>
      <c r="AG108" s="1608"/>
      <c r="AH108" s="1607"/>
      <c r="AI108" s="1608"/>
      <c r="AJ108" s="1609"/>
      <c r="AK108" s="1609"/>
      <c r="AL108" s="1609"/>
      <c r="AM108" s="1609"/>
      <c r="AN108" s="1609"/>
      <c r="AO108" s="1609"/>
      <c r="AP108" s="1609"/>
      <c r="AQ108" s="1609"/>
      <c r="AR108" s="1609"/>
      <c r="AS108" s="1609"/>
      <c r="AT108" s="1610"/>
      <c r="AU108" s="1611"/>
      <c r="AV108" s="315">
        <f t="shared" ref="AV108" si="2090">((E108/30)*H108)*$I108</f>
        <v>3166.38</v>
      </c>
      <c r="AW108" s="1979">
        <f>((F108/30)*H108)*$I108+450</f>
        <v>700</v>
      </c>
      <c r="AX108" s="315">
        <f t="shared" ref="AX108" si="2091">P108</f>
        <v>0</v>
      </c>
      <c r="AY108" s="315">
        <f t="shared" ref="AY108" si="2092">Q108</f>
        <v>0</v>
      </c>
      <c r="AZ108" s="315">
        <f t="shared" ref="AZ108" si="2093">R108</f>
        <v>0</v>
      </c>
      <c r="BA108" s="315">
        <f t="shared" ref="BA108" si="2094">S108</f>
        <v>0</v>
      </c>
      <c r="BB108" s="315">
        <f t="shared" ref="BB108" si="2095">AJ108+AO108</f>
        <v>0</v>
      </c>
      <c r="BC108" s="315">
        <f t="shared" ref="BC108" si="2096">(AV108+AY108+BA108)*0.1267</f>
        <v>401.18034600000004</v>
      </c>
      <c r="BD108" s="315">
        <f t="shared" ref="BD108" si="2097">SUM(AV108:BC108)-AX108-AZ108</f>
        <v>4267.5603460000002</v>
      </c>
      <c r="BE108" s="315">
        <f t="shared" si="1878"/>
        <v>0</v>
      </c>
      <c r="BF108" s="906">
        <f t="shared" si="1974"/>
        <v>0</v>
      </c>
      <c r="BG108" s="315">
        <f t="shared" ref="BG108" si="2098">T108</f>
        <v>0</v>
      </c>
      <c r="BH108" s="315">
        <f t="shared" ref="BH108" si="2099">U108</f>
        <v>0</v>
      </c>
      <c r="BI108" s="315">
        <f t="shared" ref="BI108" si="2100">V108</f>
        <v>0</v>
      </c>
      <c r="BJ108" s="315">
        <f t="shared" ref="BJ108" si="2101">W108</f>
        <v>0</v>
      </c>
      <c r="BK108" s="315">
        <f t="shared" ref="BK108" si="2102">AK108+AP108</f>
        <v>0</v>
      </c>
      <c r="BL108" s="315">
        <f t="shared" ref="BL108" si="2103">(+BE108+BH108+BJ108+BK108)*0.1267</f>
        <v>0</v>
      </c>
      <c r="BM108" s="314">
        <f t="shared" ref="BM108" si="2104">SUM(BE108:BL108)-BG108-BI108</f>
        <v>0</v>
      </c>
      <c r="BN108" s="315">
        <f t="shared" si="1887"/>
        <v>0</v>
      </c>
      <c r="BO108" s="315">
        <f t="shared" si="1888"/>
        <v>0</v>
      </c>
      <c r="BP108" s="315">
        <f t="shared" ref="BP108" si="2105">X108</f>
        <v>0</v>
      </c>
      <c r="BQ108" s="315">
        <f t="shared" ref="BQ108" si="2106">Y108</f>
        <v>0</v>
      </c>
      <c r="BR108" s="315">
        <f t="shared" ref="BR108" si="2107">Z108</f>
        <v>0</v>
      </c>
      <c r="BS108" s="315">
        <f t="shared" ref="BS108" si="2108">AA108</f>
        <v>0</v>
      </c>
      <c r="BT108" s="315">
        <f t="shared" ref="BT108" si="2109">AL108+AQ108</f>
        <v>0</v>
      </c>
      <c r="BU108" s="315">
        <f t="shared" ref="BU108" si="2110">(BN108+BQ108+BS108)*0.1267</f>
        <v>0</v>
      </c>
      <c r="BV108" s="315">
        <f t="shared" ref="BV108" si="2111">SUM(BN108:BU108)-BP108-BR108</f>
        <v>0</v>
      </c>
      <c r="BW108" s="360">
        <f t="shared" si="1896"/>
        <v>0</v>
      </c>
      <c r="BX108" s="361">
        <f t="shared" si="1897"/>
        <v>0</v>
      </c>
      <c r="BY108" s="361">
        <f t="shared" ref="BY108" si="2112">AB108</f>
        <v>0</v>
      </c>
      <c r="BZ108" s="361">
        <f t="shared" ref="BZ108" si="2113">AC108</f>
        <v>0</v>
      </c>
      <c r="CA108" s="361">
        <f t="shared" ref="CA108" si="2114">AD108</f>
        <v>0</v>
      </c>
      <c r="CB108" s="361">
        <f t="shared" ref="CB108" si="2115">AE108</f>
        <v>0</v>
      </c>
      <c r="CC108" s="361">
        <f t="shared" ref="CC108" si="2116">AM108+AR108</f>
        <v>0</v>
      </c>
      <c r="CD108" s="361">
        <f t="shared" ref="CD108" si="2117">(BW108+BZ108+CB108)*0.1267</f>
        <v>0</v>
      </c>
      <c r="CE108" s="361">
        <f t="shared" ref="CE108" si="2118">SUM(BW108:CD108)-BY108-CA108</f>
        <v>0</v>
      </c>
      <c r="CF108" s="1612">
        <f t="shared" si="1928"/>
        <v>0</v>
      </c>
      <c r="CG108" s="1612">
        <f t="shared" si="1903"/>
        <v>0</v>
      </c>
      <c r="CH108" s="1612"/>
      <c r="CI108" s="1612"/>
      <c r="CJ108" s="1612"/>
      <c r="CK108" s="1612"/>
      <c r="CL108" s="1612"/>
      <c r="CM108" s="1612"/>
      <c r="CN108" s="1613"/>
      <c r="CO108" s="330"/>
      <c r="CP108" s="313" t="s">
        <v>10</v>
      </c>
      <c r="CQ108" s="315">
        <f>IF($CP108="PROQUIMA",$AV108+$BE108+$BN108+$BW108+$CF108,0)</f>
        <v>3166.38</v>
      </c>
      <c r="CR108" s="315">
        <f>IF($CP108="PROQUIMA",$AW108+$BF108+$BO108+$BX108+$CG108,0)</f>
        <v>700</v>
      </c>
      <c r="CS108" s="315">
        <f>IF($CP108="PROQUIMA",$AX108+$BG108+$BP108+$BY108+$CH108,0)</f>
        <v>0</v>
      </c>
      <c r="CT108" s="315">
        <f>IF($CP108="PROQUIMA",$AY108+$BH108+$BQ108+$BZ108+$CI108,0)</f>
        <v>0</v>
      </c>
      <c r="CU108" s="315">
        <f>IF($CP108="PROQUIMA",$AZ108+$BI108+$BR108+$CA108+$CJ108,0)</f>
        <v>0</v>
      </c>
      <c r="CV108" s="315">
        <f t="shared" si="1909"/>
        <v>0</v>
      </c>
      <c r="CW108" s="315">
        <f>IF($CP108="PROQUIMA",$BB108+$BK108+$BT108+$CC108+$CL108,0)</f>
        <v>0</v>
      </c>
      <c r="CX108" s="315">
        <f t="shared" ref="CX108" si="2119">IF($CP108="PROQUIMA",$BC108+$BL108+$BU108+$CD108+CM108,0)</f>
        <v>401.18034600000004</v>
      </c>
      <c r="CY108" s="315">
        <f t="shared" ref="CY108" si="2120">SUM(CQ108:CX108)-CS108-CU108</f>
        <v>4267.5603460000002</v>
      </c>
      <c r="CZ108" s="315">
        <f>IF($CP108="UNHESA",$AV108+$BE108+$BN108+$BW108+$CF108,0)</f>
        <v>0</v>
      </c>
      <c r="DA108" s="315">
        <f t="shared" si="1912"/>
        <v>0</v>
      </c>
      <c r="DB108" s="315">
        <f>IF($CP108="UNHESA",$AX108+$BG108+$BP108+$BY108+$CH108,0)</f>
        <v>0</v>
      </c>
      <c r="DC108" s="315">
        <f>IF($CP108="UNHESA",$AY108+$BH108+$BQ108+$BZ108+$CI108,0)</f>
        <v>0</v>
      </c>
      <c r="DD108" s="315">
        <f>IF($CP108="UNHESA",$AZ108+$BI108+$BR108+$CA108+$CJ108,0)</f>
        <v>0</v>
      </c>
      <c r="DE108" s="315">
        <f>IF($CP108="UNHESA",$BA108+$BJ108+$BS108+$CB108+$CK108,0)</f>
        <v>0</v>
      </c>
      <c r="DF108" s="315">
        <f>IF($CP108="UNHESA",$BB108+$BK108+$BT108+$CC108+$CL108,0)</f>
        <v>0</v>
      </c>
      <c r="DG108" s="315">
        <f>IF($CP108="UNHESA",$BC108+$BL108+$BU108+$CD108+$CM108,0)</f>
        <v>0</v>
      </c>
      <c r="DH108" s="315">
        <f t="shared" ref="DH108" si="2121">SUM(CZ108:DG108)-DB108-DD108</f>
        <v>0</v>
      </c>
      <c r="DI108" s="324"/>
      <c r="DJ108" s="324"/>
      <c r="DK108" s="324"/>
      <c r="DL108" s="324"/>
      <c r="DM108" s="324"/>
      <c r="DN108" s="324"/>
      <c r="DO108" s="324"/>
      <c r="DP108" s="324"/>
      <c r="DQ108" s="324"/>
      <c r="DR108" s="1614"/>
      <c r="DS108" s="1612"/>
      <c r="DT108" s="1612"/>
      <c r="DU108" s="1612"/>
      <c r="DV108" s="1612"/>
      <c r="DW108" s="1612"/>
      <c r="DX108" s="1612"/>
      <c r="DY108" s="1612"/>
      <c r="DZ108" s="1612"/>
      <c r="EA108" s="1612"/>
      <c r="EB108" s="1612"/>
      <c r="EC108" s="1612"/>
      <c r="ED108" s="1612"/>
      <c r="EE108" s="1612"/>
      <c r="EF108" s="1612"/>
      <c r="EG108" s="1612"/>
      <c r="EH108" s="1612"/>
      <c r="EI108" s="1613"/>
      <c r="EJ108" s="330"/>
      <c r="EK108" s="313"/>
      <c r="EL108" s="313"/>
      <c r="EM108" s="313"/>
      <c r="EN108" s="1969">
        <f>285.25+296.25</f>
        <v>581.5</v>
      </c>
      <c r="EO108" s="313"/>
      <c r="EP108" s="1969">
        <v>50</v>
      </c>
      <c r="EQ108" s="1969"/>
      <c r="ER108" s="1969"/>
      <c r="ES108" s="313"/>
      <c r="ET108" s="321">
        <f>+EO108+EP108+EQ108</f>
        <v>50</v>
      </c>
      <c r="EV108" s="321">
        <f t="shared" ref="EV108" si="2122">IF($H108&lt;=15,EK108/2,EK108)</f>
        <v>0</v>
      </c>
      <c r="EW108" s="321">
        <f t="shared" ref="EW108" si="2123">IF($H108&lt;=15,EL108/2,EL108)</f>
        <v>0</v>
      </c>
      <c r="EX108" s="321">
        <f t="shared" ref="EX108" si="2124">IF($H108&lt;=15,EM108/2,EM108)</f>
        <v>0</v>
      </c>
      <c r="EY108" s="321">
        <f t="shared" ref="EY108" si="2125">IF($H108&lt;=15,EN108/2,EN108)</f>
        <v>581.5</v>
      </c>
      <c r="EZ108" s="321">
        <f t="shared" ref="EZ108" si="2126">IF($H108&lt;=15,EO108/2,EO108)</f>
        <v>0</v>
      </c>
      <c r="FA108" s="321">
        <f t="shared" ref="FA108" si="2127">IF($H108&lt;=15,EP108/2,EP108)</f>
        <v>50</v>
      </c>
      <c r="FB108" s="321">
        <f t="shared" ref="FB108" si="2128">IF($H108&lt;=15,EQ108/2,EQ108)</f>
        <v>0</v>
      </c>
      <c r="FC108" s="321">
        <f t="shared" ref="FC108" si="2129">IF($H108&lt;=15,ER108/2,ER108)</f>
        <v>0</v>
      </c>
      <c r="FD108" s="321">
        <f t="shared" ref="FD108" si="2130">IF($H108&lt;=15,ES108/2,ES108)</f>
        <v>0</v>
      </c>
      <c r="FE108" s="321">
        <f t="shared" ref="FE108" si="2131">IF($H108&lt;=15,ET108/2,ET108)</f>
        <v>50</v>
      </c>
      <c r="FF108" s="1615"/>
      <c r="FG108" s="1616"/>
      <c r="FH108" s="1616"/>
      <c r="FI108" s="1616"/>
      <c r="FJ108" s="1616"/>
      <c r="FK108" s="1617"/>
    </row>
    <row r="109" spans="1:169" s="331" customFormat="1" ht="15" customHeight="1" outlineLevel="1">
      <c r="A109" s="1984">
        <f t="shared" si="1933"/>
        <v>69</v>
      </c>
      <c r="B109" s="311" t="s">
        <v>533</v>
      </c>
      <c r="C109" s="312" t="s">
        <v>94</v>
      </c>
      <c r="D109" s="313" t="s">
        <v>10</v>
      </c>
      <c r="E109" s="1971">
        <v>3166.38</v>
      </c>
      <c r="F109" s="314">
        <v>250</v>
      </c>
      <c r="G109" s="1592">
        <f t="shared" si="1860"/>
        <v>3416.38</v>
      </c>
      <c r="H109" s="1971">
        <v>3</v>
      </c>
      <c r="I109" s="1498">
        <v>1</v>
      </c>
      <c r="J109" s="318">
        <v>0</v>
      </c>
      <c r="K109" s="318">
        <v>0</v>
      </c>
      <c r="L109" s="318">
        <v>0</v>
      </c>
      <c r="M109" s="318">
        <v>0</v>
      </c>
      <c r="N109" s="318">
        <f t="shared" si="1861"/>
        <v>1</v>
      </c>
      <c r="O109" s="1619" t="s">
        <v>864</v>
      </c>
      <c r="P109" s="357"/>
      <c r="Q109" s="358">
        <f t="shared" si="1862"/>
        <v>0</v>
      </c>
      <c r="R109" s="404"/>
      <c r="S109" s="358">
        <f t="shared" si="1863"/>
        <v>0</v>
      </c>
      <c r="T109" s="404"/>
      <c r="U109" s="315">
        <f t="shared" si="1864"/>
        <v>0</v>
      </c>
      <c r="V109" s="404"/>
      <c r="W109" s="358">
        <f t="shared" si="1927"/>
        <v>0</v>
      </c>
      <c r="X109" s="404"/>
      <c r="Y109" s="358">
        <f t="shared" si="1865"/>
        <v>0</v>
      </c>
      <c r="Z109" s="1528"/>
      <c r="AA109" s="315">
        <f t="shared" si="1866"/>
        <v>0</v>
      </c>
      <c r="AB109" s="322"/>
      <c r="AC109" s="315">
        <f t="shared" si="1867"/>
        <v>0</v>
      </c>
      <c r="AD109" s="322"/>
      <c r="AE109" s="315">
        <f t="shared" si="1868"/>
        <v>0</v>
      </c>
      <c r="AF109" s="315"/>
      <c r="AG109" s="315">
        <f t="shared" si="1869"/>
        <v>0</v>
      </c>
      <c r="AH109" s="322"/>
      <c r="AI109" s="315">
        <f t="shared" si="1870"/>
        <v>0</v>
      </c>
      <c r="AJ109" s="314"/>
      <c r="AK109" s="314"/>
      <c r="AL109" s="314"/>
      <c r="AM109" s="314"/>
      <c r="AN109" s="314"/>
      <c r="AO109" s="314"/>
      <c r="AP109" s="314"/>
      <c r="AQ109" s="314"/>
      <c r="AR109" s="314"/>
      <c r="AS109" s="314"/>
      <c r="AT109" s="314"/>
      <c r="AU109" s="326"/>
      <c r="AV109" s="315">
        <f t="shared" ref="AV109:AV115" si="2132">((E109/30)*H109)*$I109</f>
        <v>316.63800000000003</v>
      </c>
      <c r="AW109" s="1979">
        <f>((F109/30)*H109)*$I109+675</f>
        <v>700</v>
      </c>
      <c r="AX109" s="315">
        <f t="shared" si="1871"/>
        <v>0</v>
      </c>
      <c r="AY109" s="315">
        <f t="shared" si="1872"/>
        <v>0</v>
      </c>
      <c r="AZ109" s="315">
        <f t="shared" si="1873"/>
        <v>0</v>
      </c>
      <c r="BA109" s="315">
        <f t="shared" si="1874"/>
        <v>0</v>
      </c>
      <c r="BB109" s="315">
        <f t="shared" si="1875"/>
        <v>0</v>
      </c>
      <c r="BC109" s="315">
        <f t="shared" si="1876"/>
        <v>40.118034600000009</v>
      </c>
      <c r="BD109" s="315">
        <f t="shared" si="1877"/>
        <v>1056.7560346</v>
      </c>
      <c r="BE109" s="315">
        <f t="shared" si="1878"/>
        <v>0</v>
      </c>
      <c r="BF109" s="315">
        <f t="shared" si="1974"/>
        <v>0</v>
      </c>
      <c r="BG109" s="315">
        <f t="shared" si="1880"/>
        <v>0</v>
      </c>
      <c r="BH109" s="315">
        <f t="shared" si="1881"/>
        <v>0</v>
      </c>
      <c r="BI109" s="315">
        <f t="shared" si="1882"/>
        <v>0</v>
      </c>
      <c r="BJ109" s="315">
        <f t="shared" si="1883"/>
        <v>0</v>
      </c>
      <c r="BK109" s="315">
        <f t="shared" si="1884"/>
        <v>0</v>
      </c>
      <c r="BL109" s="315">
        <f t="shared" si="1885"/>
        <v>0</v>
      </c>
      <c r="BM109" s="314">
        <f t="shared" si="1886"/>
        <v>0</v>
      </c>
      <c r="BN109" s="315">
        <f t="shared" si="1887"/>
        <v>0</v>
      </c>
      <c r="BO109" s="315">
        <f t="shared" si="1888"/>
        <v>0</v>
      </c>
      <c r="BP109" s="315">
        <f t="shared" si="1889"/>
        <v>0</v>
      </c>
      <c r="BQ109" s="315">
        <f t="shared" si="1890"/>
        <v>0</v>
      </c>
      <c r="BR109" s="315">
        <f t="shared" si="1891"/>
        <v>0</v>
      </c>
      <c r="BS109" s="315">
        <f t="shared" si="1892"/>
        <v>0</v>
      </c>
      <c r="BT109" s="315">
        <f t="shared" si="1893"/>
        <v>0</v>
      </c>
      <c r="BU109" s="315">
        <f t="shared" si="1894"/>
        <v>0</v>
      </c>
      <c r="BV109" s="315">
        <f t="shared" si="1895"/>
        <v>0</v>
      </c>
      <c r="BW109" s="360">
        <f t="shared" si="1896"/>
        <v>0</v>
      </c>
      <c r="BX109" s="361">
        <f t="shared" si="1897"/>
        <v>0</v>
      </c>
      <c r="BY109" s="361">
        <f t="shared" si="1898"/>
        <v>0</v>
      </c>
      <c r="BZ109" s="361">
        <f t="shared" si="1898"/>
        <v>0</v>
      </c>
      <c r="CA109" s="361">
        <f t="shared" si="1898"/>
        <v>0</v>
      </c>
      <c r="CB109" s="361">
        <f t="shared" si="1898"/>
        <v>0</v>
      </c>
      <c r="CC109" s="361">
        <f t="shared" si="1899"/>
        <v>0</v>
      </c>
      <c r="CD109" s="361">
        <f t="shared" si="1900"/>
        <v>0</v>
      </c>
      <c r="CE109" s="361">
        <f t="shared" si="1901"/>
        <v>0</v>
      </c>
      <c r="CF109" s="361">
        <f t="shared" si="1902"/>
        <v>0</v>
      </c>
      <c r="CG109" s="361">
        <f t="shared" ref="CG109:CG115" si="2133">(($F109/30)*$H109)*$M109</f>
        <v>0</v>
      </c>
      <c r="CH109" s="361">
        <f t="shared" si="1904"/>
        <v>0</v>
      </c>
      <c r="CI109" s="361">
        <f t="shared" si="1905"/>
        <v>0</v>
      </c>
      <c r="CJ109" s="361">
        <f t="shared" si="1905"/>
        <v>0</v>
      </c>
      <c r="CK109" s="361">
        <f t="shared" si="1905"/>
        <v>0</v>
      </c>
      <c r="CL109" s="361">
        <f t="shared" si="1906"/>
        <v>0</v>
      </c>
      <c r="CM109" s="361">
        <f t="shared" si="1907"/>
        <v>0</v>
      </c>
      <c r="CN109" s="362">
        <f t="shared" si="1908"/>
        <v>0</v>
      </c>
      <c r="CO109" s="330"/>
      <c r="CP109" s="313" t="s">
        <v>10</v>
      </c>
      <c r="CQ109" s="315">
        <f t="shared" si="1714"/>
        <v>316.63800000000003</v>
      </c>
      <c r="CR109" s="315">
        <f t="shared" si="1715"/>
        <v>700</v>
      </c>
      <c r="CS109" s="315">
        <f t="shared" si="1716"/>
        <v>0</v>
      </c>
      <c r="CT109" s="315">
        <f t="shared" si="1717"/>
        <v>0</v>
      </c>
      <c r="CU109" s="315">
        <f t="shared" si="1718"/>
        <v>0</v>
      </c>
      <c r="CV109" s="315">
        <f t="shared" si="1909"/>
        <v>0</v>
      </c>
      <c r="CW109" s="315">
        <f t="shared" si="1720"/>
        <v>0</v>
      </c>
      <c r="CX109" s="315">
        <f t="shared" si="1910"/>
        <v>40.118034600000009</v>
      </c>
      <c r="CY109" s="315">
        <f t="shared" si="1911"/>
        <v>1056.7560346</v>
      </c>
      <c r="CZ109" s="315">
        <f t="shared" si="1723"/>
        <v>0</v>
      </c>
      <c r="DA109" s="315">
        <f t="shared" si="1912"/>
        <v>0</v>
      </c>
      <c r="DB109" s="315">
        <f t="shared" si="1725"/>
        <v>0</v>
      </c>
      <c r="DC109" s="315">
        <f t="shared" si="1726"/>
        <v>0</v>
      </c>
      <c r="DD109" s="315">
        <f t="shared" si="1727"/>
        <v>0</v>
      </c>
      <c r="DE109" s="315">
        <f t="shared" si="1728"/>
        <v>0</v>
      </c>
      <c r="DF109" s="315">
        <f t="shared" si="1729"/>
        <v>0</v>
      </c>
      <c r="DG109" s="315">
        <f t="shared" si="1730"/>
        <v>0</v>
      </c>
      <c r="DH109" s="315">
        <f t="shared" si="1913"/>
        <v>0</v>
      </c>
      <c r="DI109" s="315">
        <f t="shared" si="1914"/>
        <v>0</v>
      </c>
      <c r="DJ109" s="315">
        <f t="shared" si="1915"/>
        <v>0</v>
      </c>
      <c r="DK109" s="315">
        <f t="shared" si="1916"/>
        <v>0</v>
      </c>
      <c r="DL109" s="315">
        <f t="shared" si="1917"/>
        <v>0</v>
      </c>
      <c r="DM109" s="315">
        <f t="shared" si="1918"/>
        <v>0</v>
      </c>
      <c r="DN109" s="315">
        <f t="shared" si="1919"/>
        <v>0</v>
      </c>
      <c r="DO109" s="315">
        <f t="shared" si="1920"/>
        <v>0</v>
      </c>
      <c r="DP109" s="315">
        <f t="shared" si="1921"/>
        <v>0</v>
      </c>
      <c r="DQ109" s="315">
        <f t="shared" si="1922"/>
        <v>0</v>
      </c>
      <c r="DR109" s="360">
        <f t="shared" si="1732"/>
        <v>0</v>
      </c>
      <c r="DS109" s="361">
        <f t="shared" si="1733"/>
        <v>0</v>
      </c>
      <c r="DT109" s="361">
        <f t="shared" si="1734"/>
        <v>0</v>
      </c>
      <c r="DU109" s="361">
        <f t="shared" si="1735"/>
        <v>0</v>
      </c>
      <c r="DV109" s="361">
        <f t="shared" si="1736"/>
        <v>0</v>
      </c>
      <c r="DW109" s="361">
        <f t="shared" si="1737"/>
        <v>0</v>
      </c>
      <c r="DX109" s="361">
        <f t="shared" si="1738"/>
        <v>0</v>
      </c>
      <c r="DY109" s="361">
        <f t="shared" si="1739"/>
        <v>0</v>
      </c>
      <c r="DZ109" s="361">
        <f t="shared" si="1923"/>
        <v>0</v>
      </c>
      <c r="EA109" s="361">
        <f t="shared" si="1740"/>
        <v>0</v>
      </c>
      <c r="EB109" s="361">
        <f t="shared" si="1741"/>
        <v>0</v>
      </c>
      <c r="EC109" s="361">
        <f t="shared" si="1742"/>
        <v>0</v>
      </c>
      <c r="ED109" s="361">
        <f t="shared" si="1743"/>
        <v>0</v>
      </c>
      <c r="EE109" s="361">
        <f t="shared" si="1744"/>
        <v>0</v>
      </c>
      <c r="EF109" s="361">
        <f t="shared" si="1745"/>
        <v>0</v>
      </c>
      <c r="EG109" s="361">
        <f t="shared" si="1746"/>
        <v>0</v>
      </c>
      <c r="EH109" s="361">
        <f t="shared" si="1747"/>
        <v>0</v>
      </c>
      <c r="EI109" s="362">
        <f t="shared" si="1924"/>
        <v>0</v>
      </c>
      <c r="EJ109" s="330"/>
      <c r="EK109" s="1969"/>
      <c r="EL109" s="313">
        <v>955.15</v>
      </c>
      <c r="EM109" s="313"/>
      <c r="EN109" s="1969"/>
      <c r="EO109" s="313"/>
      <c r="EP109" s="1969"/>
      <c r="EQ109" s="1969"/>
      <c r="ER109" s="1969"/>
      <c r="ES109" s="312"/>
      <c r="ET109" s="313">
        <f t="shared" si="1925"/>
        <v>0</v>
      </c>
      <c r="EV109" s="321">
        <f t="shared" si="1926"/>
        <v>0</v>
      </c>
      <c r="EW109" s="321">
        <f>IF($H109&lt;=15,EL109/2,EL109)</f>
        <v>477.57499999999999</v>
      </c>
      <c r="EX109" s="321">
        <f t="shared" si="1926"/>
        <v>0</v>
      </c>
      <c r="EY109" s="321">
        <f>IF($H109&lt;=15,EN109/2,EN109)</f>
        <v>0</v>
      </c>
      <c r="EZ109" s="321">
        <f t="shared" si="1926"/>
        <v>0</v>
      </c>
      <c r="FA109" s="321">
        <f t="shared" si="1926"/>
        <v>0</v>
      </c>
      <c r="FB109" s="321">
        <f t="shared" si="1926"/>
        <v>0</v>
      </c>
      <c r="FC109" s="321">
        <f t="shared" si="1926"/>
        <v>0</v>
      </c>
      <c r="FD109" s="321">
        <f t="shared" si="1926"/>
        <v>0</v>
      </c>
      <c r="FE109" s="321">
        <f t="shared" si="1926"/>
        <v>0</v>
      </c>
      <c r="FF109" s="1599">
        <v>1</v>
      </c>
      <c r="FG109" s="332">
        <v>0</v>
      </c>
      <c r="FH109" s="332">
        <v>0</v>
      </c>
      <c r="FI109" s="332">
        <v>0</v>
      </c>
      <c r="FJ109" s="332">
        <v>0</v>
      </c>
      <c r="FK109" s="332">
        <f>SUM(FF109:FJ109)</f>
        <v>1</v>
      </c>
      <c r="FL109" s="331">
        <f t="shared" si="1674"/>
        <v>0</v>
      </c>
    </row>
    <row r="110" spans="1:169" s="331" customFormat="1" ht="15" customHeight="1" outlineLevel="1">
      <c r="A110" s="1984">
        <f t="shared" si="1933"/>
        <v>70</v>
      </c>
      <c r="B110" s="311" t="s">
        <v>534</v>
      </c>
      <c r="C110" s="312" t="s">
        <v>94</v>
      </c>
      <c r="D110" s="313" t="s">
        <v>10</v>
      </c>
      <c r="E110" s="1971">
        <v>3166.38</v>
      </c>
      <c r="F110" s="314">
        <v>250</v>
      </c>
      <c r="G110" s="1592">
        <f t="shared" si="1860"/>
        <v>3416.38</v>
      </c>
      <c r="H110" s="1971">
        <v>9</v>
      </c>
      <c r="I110" s="1498">
        <v>1</v>
      </c>
      <c r="J110" s="318">
        <v>0</v>
      </c>
      <c r="K110" s="318">
        <v>0</v>
      </c>
      <c r="L110" s="318">
        <v>0</v>
      </c>
      <c r="M110" s="318">
        <v>0</v>
      </c>
      <c r="N110" s="318">
        <f t="shared" si="1861"/>
        <v>1</v>
      </c>
      <c r="O110" s="1619" t="s">
        <v>874</v>
      </c>
      <c r="P110" s="357">
        <v>1</v>
      </c>
      <c r="Q110" s="358">
        <f t="shared" si="1862"/>
        <v>19.789875000000002</v>
      </c>
      <c r="R110" s="404"/>
      <c r="S110" s="358">
        <f t="shared" si="1863"/>
        <v>0</v>
      </c>
      <c r="T110" s="404"/>
      <c r="U110" s="315">
        <f t="shared" si="1864"/>
        <v>0</v>
      </c>
      <c r="V110" s="404"/>
      <c r="W110" s="358">
        <f t="shared" si="1927"/>
        <v>0</v>
      </c>
      <c r="X110" s="404"/>
      <c r="Y110" s="358">
        <f t="shared" si="1865"/>
        <v>0</v>
      </c>
      <c r="Z110" s="1528"/>
      <c r="AA110" s="315">
        <f t="shared" si="1866"/>
        <v>0</v>
      </c>
      <c r="AB110" s="322"/>
      <c r="AC110" s="315">
        <f t="shared" si="1867"/>
        <v>0</v>
      </c>
      <c r="AD110" s="322"/>
      <c r="AE110" s="315">
        <f t="shared" si="1868"/>
        <v>0</v>
      </c>
      <c r="AF110" s="315"/>
      <c r="AG110" s="315">
        <f t="shared" si="1869"/>
        <v>0</v>
      </c>
      <c r="AH110" s="322"/>
      <c r="AI110" s="315">
        <f t="shared" si="1870"/>
        <v>0</v>
      </c>
      <c r="AJ110" s="314"/>
      <c r="AK110" s="314"/>
      <c r="AL110" s="314"/>
      <c r="AM110" s="314"/>
      <c r="AN110" s="314"/>
      <c r="AO110" s="314"/>
      <c r="AP110" s="314"/>
      <c r="AQ110" s="314"/>
      <c r="AR110" s="314"/>
      <c r="AS110" s="314"/>
      <c r="AT110" s="314"/>
      <c r="AU110" s="326"/>
      <c r="AV110" s="315">
        <f>((E110/30)*H110)*$I110</f>
        <v>949.9140000000001</v>
      </c>
      <c r="AW110" s="416">
        <f>((F110/30)*H110)*$I110+450</f>
        <v>525</v>
      </c>
      <c r="AX110" s="315">
        <f t="shared" si="1871"/>
        <v>1</v>
      </c>
      <c r="AY110" s="315">
        <f t="shared" si="1872"/>
        <v>19.789875000000002</v>
      </c>
      <c r="AZ110" s="315">
        <f t="shared" si="1873"/>
        <v>0</v>
      </c>
      <c r="BA110" s="315">
        <f t="shared" si="1874"/>
        <v>0</v>
      </c>
      <c r="BB110" s="315">
        <f t="shared" si="1875"/>
        <v>0</v>
      </c>
      <c r="BC110" s="315">
        <f t="shared" si="1876"/>
        <v>122.86148096250002</v>
      </c>
      <c r="BD110" s="315">
        <f t="shared" si="1877"/>
        <v>1617.5653559625002</v>
      </c>
      <c r="BE110" s="315">
        <f t="shared" si="1878"/>
        <v>0</v>
      </c>
      <c r="BF110" s="906">
        <f t="shared" si="1974"/>
        <v>0</v>
      </c>
      <c r="BG110" s="315">
        <f t="shared" si="1880"/>
        <v>0</v>
      </c>
      <c r="BH110" s="315">
        <f t="shared" si="1881"/>
        <v>0</v>
      </c>
      <c r="BI110" s="315">
        <f t="shared" si="1882"/>
        <v>0</v>
      </c>
      <c r="BJ110" s="315">
        <f t="shared" si="1883"/>
        <v>0</v>
      </c>
      <c r="BK110" s="315">
        <f t="shared" si="1884"/>
        <v>0</v>
      </c>
      <c r="BL110" s="315">
        <f t="shared" si="1885"/>
        <v>0</v>
      </c>
      <c r="BM110" s="314">
        <f t="shared" si="1886"/>
        <v>0</v>
      </c>
      <c r="BN110" s="315">
        <f t="shared" si="1887"/>
        <v>0</v>
      </c>
      <c r="BO110" s="315">
        <f t="shared" si="1888"/>
        <v>0</v>
      </c>
      <c r="BP110" s="315">
        <f t="shared" si="1889"/>
        <v>0</v>
      </c>
      <c r="BQ110" s="315">
        <f t="shared" si="1890"/>
        <v>0</v>
      </c>
      <c r="BR110" s="315">
        <f t="shared" si="1891"/>
        <v>0</v>
      </c>
      <c r="BS110" s="315">
        <f t="shared" si="1892"/>
        <v>0</v>
      </c>
      <c r="BT110" s="315">
        <f t="shared" si="1893"/>
        <v>0</v>
      </c>
      <c r="BU110" s="315">
        <f t="shared" si="1894"/>
        <v>0</v>
      </c>
      <c r="BV110" s="315">
        <f t="shared" si="1895"/>
        <v>0</v>
      </c>
      <c r="BW110" s="360">
        <f t="shared" si="1896"/>
        <v>0</v>
      </c>
      <c r="BX110" s="361">
        <f t="shared" si="1897"/>
        <v>0</v>
      </c>
      <c r="BY110" s="361">
        <f t="shared" si="1898"/>
        <v>0</v>
      </c>
      <c r="BZ110" s="361">
        <f t="shared" si="1898"/>
        <v>0</v>
      </c>
      <c r="CA110" s="361">
        <f t="shared" si="1898"/>
        <v>0</v>
      </c>
      <c r="CB110" s="361">
        <f t="shared" si="1898"/>
        <v>0</v>
      </c>
      <c r="CC110" s="361">
        <f t="shared" si="1899"/>
        <v>0</v>
      </c>
      <c r="CD110" s="361">
        <f t="shared" si="1900"/>
        <v>0</v>
      </c>
      <c r="CE110" s="361">
        <f t="shared" si="1901"/>
        <v>0</v>
      </c>
      <c r="CF110" s="361">
        <f t="shared" si="1902"/>
        <v>0</v>
      </c>
      <c r="CG110" s="361">
        <f t="shared" si="2133"/>
        <v>0</v>
      </c>
      <c r="CH110" s="361">
        <f t="shared" si="1904"/>
        <v>0</v>
      </c>
      <c r="CI110" s="361">
        <f t="shared" si="1905"/>
        <v>0</v>
      </c>
      <c r="CJ110" s="361">
        <f t="shared" si="1905"/>
        <v>0</v>
      </c>
      <c r="CK110" s="361">
        <f t="shared" si="1905"/>
        <v>0</v>
      </c>
      <c r="CL110" s="361">
        <f t="shared" si="1906"/>
        <v>0</v>
      </c>
      <c r="CM110" s="361">
        <f t="shared" si="1907"/>
        <v>0</v>
      </c>
      <c r="CN110" s="362">
        <f t="shared" si="1908"/>
        <v>0</v>
      </c>
      <c r="CO110" s="330"/>
      <c r="CP110" s="313" t="s">
        <v>10</v>
      </c>
      <c r="CQ110" s="315">
        <f t="shared" si="1714"/>
        <v>949.9140000000001</v>
      </c>
      <c r="CR110" s="315">
        <f t="shared" si="1715"/>
        <v>525</v>
      </c>
      <c r="CS110" s="315">
        <f t="shared" si="1716"/>
        <v>1</v>
      </c>
      <c r="CT110" s="315">
        <f t="shared" si="1717"/>
        <v>19.789875000000002</v>
      </c>
      <c r="CU110" s="315">
        <f t="shared" si="1718"/>
        <v>0</v>
      </c>
      <c r="CV110" s="315">
        <f t="shared" si="1909"/>
        <v>0</v>
      </c>
      <c r="CW110" s="315">
        <f t="shared" si="1720"/>
        <v>0</v>
      </c>
      <c r="CX110" s="315">
        <f t="shared" si="1910"/>
        <v>122.86148096250002</v>
      </c>
      <c r="CY110" s="315">
        <f t="shared" si="1911"/>
        <v>1617.5653559625002</v>
      </c>
      <c r="CZ110" s="315">
        <f t="shared" si="1723"/>
        <v>0</v>
      </c>
      <c r="DA110" s="315">
        <f t="shared" si="1912"/>
        <v>0</v>
      </c>
      <c r="DB110" s="315">
        <f t="shared" si="1725"/>
        <v>0</v>
      </c>
      <c r="DC110" s="315">
        <f t="shared" si="1726"/>
        <v>0</v>
      </c>
      <c r="DD110" s="315">
        <f t="shared" si="1727"/>
        <v>0</v>
      </c>
      <c r="DE110" s="315">
        <f t="shared" si="1728"/>
        <v>0</v>
      </c>
      <c r="DF110" s="315">
        <f t="shared" si="1729"/>
        <v>0</v>
      </c>
      <c r="DG110" s="315">
        <f t="shared" si="1730"/>
        <v>0</v>
      </c>
      <c r="DH110" s="315">
        <f t="shared" si="1913"/>
        <v>0</v>
      </c>
      <c r="DI110" s="315">
        <f t="shared" si="1914"/>
        <v>0</v>
      </c>
      <c r="DJ110" s="315">
        <f t="shared" si="1915"/>
        <v>0</v>
      </c>
      <c r="DK110" s="315">
        <f t="shared" si="1916"/>
        <v>0</v>
      </c>
      <c r="DL110" s="315">
        <f t="shared" si="1917"/>
        <v>0</v>
      </c>
      <c r="DM110" s="315">
        <f t="shared" si="1918"/>
        <v>0</v>
      </c>
      <c r="DN110" s="315">
        <f t="shared" si="1919"/>
        <v>0</v>
      </c>
      <c r="DO110" s="315">
        <f t="shared" si="1920"/>
        <v>0</v>
      </c>
      <c r="DP110" s="315">
        <f t="shared" si="1921"/>
        <v>0</v>
      </c>
      <c r="DQ110" s="315">
        <f t="shared" si="1922"/>
        <v>0</v>
      </c>
      <c r="DR110" s="360">
        <f t="shared" si="1732"/>
        <v>0</v>
      </c>
      <c r="DS110" s="361">
        <f t="shared" si="1733"/>
        <v>0</v>
      </c>
      <c r="DT110" s="361">
        <f t="shared" si="1734"/>
        <v>0</v>
      </c>
      <c r="DU110" s="361">
        <f t="shared" si="1735"/>
        <v>0</v>
      </c>
      <c r="DV110" s="361">
        <f t="shared" si="1736"/>
        <v>0</v>
      </c>
      <c r="DW110" s="361">
        <f t="shared" si="1737"/>
        <v>0</v>
      </c>
      <c r="DX110" s="361">
        <f t="shared" si="1738"/>
        <v>0</v>
      </c>
      <c r="DY110" s="361">
        <f t="shared" si="1739"/>
        <v>0</v>
      </c>
      <c r="DZ110" s="361">
        <f t="shared" si="1923"/>
        <v>0</v>
      </c>
      <c r="EA110" s="361">
        <f t="shared" si="1740"/>
        <v>0</v>
      </c>
      <c r="EB110" s="361">
        <f t="shared" si="1741"/>
        <v>0</v>
      </c>
      <c r="EC110" s="361">
        <f t="shared" si="1742"/>
        <v>0</v>
      </c>
      <c r="ED110" s="361">
        <f t="shared" si="1743"/>
        <v>0</v>
      </c>
      <c r="EE110" s="361">
        <f t="shared" si="1744"/>
        <v>0</v>
      </c>
      <c r="EF110" s="361">
        <f t="shared" si="1745"/>
        <v>0</v>
      </c>
      <c r="EG110" s="361">
        <f t="shared" si="1746"/>
        <v>0</v>
      </c>
      <c r="EH110" s="361">
        <f t="shared" si="1747"/>
        <v>0</v>
      </c>
      <c r="EI110" s="362">
        <f t="shared" si="1924"/>
        <v>0</v>
      </c>
      <c r="EJ110" s="330"/>
      <c r="EK110" s="1969"/>
      <c r="EL110" s="313">
        <f>591.06</f>
        <v>591.05999999999995</v>
      </c>
      <c r="EM110" s="313"/>
      <c r="EN110" s="1969">
        <f>152+60</f>
        <v>212</v>
      </c>
      <c r="EO110" s="313"/>
      <c r="EP110" s="1969">
        <v>50</v>
      </c>
      <c r="EQ110" s="1969"/>
      <c r="ER110" s="1969"/>
      <c r="ES110" s="312"/>
      <c r="ET110" s="313">
        <f t="shared" si="1925"/>
        <v>50</v>
      </c>
      <c r="EV110" s="321">
        <f>IF($H110&lt;=15,EK110/2,EK110)+56.99</f>
        <v>56.99</v>
      </c>
      <c r="EW110" s="321">
        <f>IF($H110&lt;=15,EL110/2,EL110)+295.53</f>
        <v>591.05999999999995</v>
      </c>
      <c r="EX110" s="321">
        <f t="shared" si="1926"/>
        <v>0</v>
      </c>
      <c r="EY110" s="321">
        <f>IF($H110&lt;=15,EN110/2,EN110)+106</f>
        <v>212</v>
      </c>
      <c r="EZ110" s="321">
        <f t="shared" si="1926"/>
        <v>0</v>
      </c>
      <c r="FA110" s="321">
        <f>IF($H110&lt;=15,EP110/2,EP110)+25</f>
        <v>50</v>
      </c>
      <c r="FB110" s="321">
        <f t="shared" si="1926"/>
        <v>0</v>
      </c>
      <c r="FC110" s="321">
        <f t="shared" si="1926"/>
        <v>0</v>
      </c>
      <c r="FD110" s="321">
        <f t="shared" si="1926"/>
        <v>0</v>
      </c>
      <c r="FE110" s="321">
        <f t="shared" si="1926"/>
        <v>25</v>
      </c>
      <c r="FF110" s="1599">
        <v>1</v>
      </c>
      <c r="FG110" s="332">
        <v>0</v>
      </c>
      <c r="FH110" s="332">
        <v>0</v>
      </c>
      <c r="FI110" s="332">
        <v>0</v>
      </c>
      <c r="FJ110" s="332">
        <v>0</v>
      </c>
      <c r="FK110" s="332">
        <f>SUM(FF110:FJ110)</f>
        <v>1</v>
      </c>
      <c r="FL110" s="331">
        <f t="shared" si="1674"/>
        <v>0</v>
      </c>
    </row>
    <row r="111" spans="1:169" s="1977" customFormat="1" ht="15" customHeight="1" outlineLevel="1">
      <c r="A111" s="1984" t="e">
        <f>+#REF!+1</f>
        <v>#REF!</v>
      </c>
      <c r="B111" s="1967" t="s">
        <v>554</v>
      </c>
      <c r="C111" s="1968" t="s">
        <v>93</v>
      </c>
      <c r="D111" s="1968" t="s">
        <v>10</v>
      </c>
      <c r="E111" s="1971">
        <v>3166.38</v>
      </c>
      <c r="F111" s="1970">
        <v>250</v>
      </c>
      <c r="G111" s="1988">
        <f t="shared" si="1860"/>
        <v>3416.38</v>
      </c>
      <c r="H111" s="1971">
        <v>30</v>
      </c>
      <c r="I111" s="417">
        <v>1</v>
      </c>
      <c r="J111" s="1498">
        <v>0</v>
      </c>
      <c r="K111" s="1972">
        <v>0</v>
      </c>
      <c r="L111" s="1972">
        <v>0</v>
      </c>
      <c r="M111" s="1972">
        <v>0</v>
      </c>
      <c r="N111" s="1972">
        <f t="shared" si="1861"/>
        <v>1</v>
      </c>
      <c r="O111" s="1122"/>
      <c r="P111" s="357"/>
      <c r="Q111" s="1979">
        <f t="shared" si="1862"/>
        <v>0</v>
      </c>
      <c r="R111" s="404"/>
      <c r="S111" s="1979">
        <f t="shared" si="1863"/>
        <v>0</v>
      </c>
      <c r="T111" s="404"/>
      <c r="U111" s="1971">
        <f t="shared" si="1864"/>
        <v>0</v>
      </c>
      <c r="V111" s="357"/>
      <c r="W111" s="1979">
        <f t="shared" si="1927"/>
        <v>0</v>
      </c>
      <c r="X111" s="404"/>
      <c r="Y111" s="1979">
        <f t="shared" si="1865"/>
        <v>0</v>
      </c>
      <c r="Z111" s="1528"/>
      <c r="AA111" s="1979">
        <f t="shared" si="1866"/>
        <v>0</v>
      </c>
      <c r="AB111" s="1975"/>
      <c r="AC111" s="1971">
        <f t="shared" si="1867"/>
        <v>0</v>
      </c>
      <c r="AD111" s="1975"/>
      <c r="AE111" s="1971">
        <f t="shared" si="1868"/>
        <v>0</v>
      </c>
      <c r="AF111" s="1971"/>
      <c r="AG111" s="1971">
        <f t="shared" si="1869"/>
        <v>0</v>
      </c>
      <c r="AH111" s="1975"/>
      <c r="AI111" s="1971">
        <f t="shared" si="1870"/>
        <v>0</v>
      </c>
      <c r="AJ111" s="1970"/>
      <c r="AK111" s="1970"/>
      <c r="AL111" s="1970"/>
      <c r="AM111" s="1970"/>
      <c r="AN111" s="1970"/>
      <c r="AO111" s="1970"/>
      <c r="AP111" s="1970"/>
      <c r="AQ111" s="1970"/>
      <c r="AR111" s="1970"/>
      <c r="AS111" s="1970"/>
      <c r="AT111" s="1970"/>
      <c r="AU111" s="1980"/>
      <c r="AV111" s="1971">
        <f t="shared" si="2132"/>
        <v>3166.38</v>
      </c>
      <c r="AW111" s="1979">
        <f>((F111/30)*H111)*$I111+1125</f>
        <v>1375</v>
      </c>
      <c r="AX111" s="1971">
        <f t="shared" si="1871"/>
        <v>0</v>
      </c>
      <c r="AY111" s="1971">
        <f t="shared" si="1872"/>
        <v>0</v>
      </c>
      <c r="AZ111" s="1971">
        <f t="shared" si="1873"/>
        <v>0</v>
      </c>
      <c r="BA111" s="1971">
        <f t="shared" si="1874"/>
        <v>0</v>
      </c>
      <c r="BB111" s="1971">
        <f t="shared" si="1875"/>
        <v>0</v>
      </c>
      <c r="BC111" s="1971">
        <f t="shared" si="1876"/>
        <v>401.18034600000004</v>
      </c>
      <c r="BD111" s="1971">
        <f t="shared" si="1877"/>
        <v>4942.5603460000002</v>
      </c>
      <c r="BE111" s="1971">
        <f t="shared" si="1878"/>
        <v>0</v>
      </c>
      <c r="BF111" s="1971">
        <f t="shared" si="1974"/>
        <v>0</v>
      </c>
      <c r="BG111" s="1971">
        <f t="shared" si="1880"/>
        <v>0</v>
      </c>
      <c r="BH111" s="1971">
        <f t="shared" si="1881"/>
        <v>0</v>
      </c>
      <c r="BI111" s="1971">
        <f t="shared" si="1882"/>
        <v>0</v>
      </c>
      <c r="BJ111" s="1971">
        <f t="shared" si="1883"/>
        <v>0</v>
      </c>
      <c r="BK111" s="1971">
        <f t="shared" si="1884"/>
        <v>0</v>
      </c>
      <c r="BL111" s="1971">
        <f t="shared" si="1885"/>
        <v>0</v>
      </c>
      <c r="BM111" s="1970">
        <f t="shared" si="1886"/>
        <v>0</v>
      </c>
      <c r="BN111" s="1971">
        <f t="shared" si="1887"/>
        <v>0</v>
      </c>
      <c r="BO111" s="1971">
        <f t="shared" si="1888"/>
        <v>0</v>
      </c>
      <c r="BP111" s="1971">
        <f t="shared" si="1889"/>
        <v>0</v>
      </c>
      <c r="BQ111" s="1971">
        <f t="shared" si="1890"/>
        <v>0</v>
      </c>
      <c r="BR111" s="1971">
        <f t="shared" si="1891"/>
        <v>0</v>
      </c>
      <c r="BS111" s="1971">
        <f t="shared" si="1892"/>
        <v>0</v>
      </c>
      <c r="BT111" s="1971">
        <f t="shared" si="1893"/>
        <v>0</v>
      </c>
      <c r="BU111" s="1971">
        <f t="shared" si="1894"/>
        <v>0</v>
      </c>
      <c r="BV111" s="1971">
        <f t="shared" si="1895"/>
        <v>0</v>
      </c>
      <c r="BW111" s="1981">
        <f t="shared" si="1896"/>
        <v>0</v>
      </c>
      <c r="BX111" s="1982">
        <f t="shared" si="1897"/>
        <v>0</v>
      </c>
      <c r="BY111" s="1982">
        <f t="shared" ref="BY111:CB111" si="2134">AB111</f>
        <v>0</v>
      </c>
      <c r="BZ111" s="1982">
        <f t="shared" si="2134"/>
        <v>0</v>
      </c>
      <c r="CA111" s="1982">
        <f t="shared" si="2134"/>
        <v>0</v>
      </c>
      <c r="CB111" s="1982">
        <f t="shared" si="2134"/>
        <v>0</v>
      </c>
      <c r="CC111" s="1982">
        <f t="shared" si="1899"/>
        <v>0</v>
      </c>
      <c r="CD111" s="1982">
        <f t="shared" si="1900"/>
        <v>0</v>
      </c>
      <c r="CE111" s="1982">
        <f t="shared" si="1901"/>
        <v>0</v>
      </c>
      <c r="CF111" s="1982">
        <f t="shared" si="1902"/>
        <v>0</v>
      </c>
      <c r="CG111" s="1982">
        <f t="shared" si="2133"/>
        <v>0</v>
      </c>
      <c r="CH111" s="1982">
        <f t="shared" si="1904"/>
        <v>0</v>
      </c>
      <c r="CI111" s="1982">
        <f t="shared" ref="CI111:CK111" si="2135">AG111</f>
        <v>0</v>
      </c>
      <c r="CJ111" s="1982">
        <f t="shared" si="2135"/>
        <v>0</v>
      </c>
      <c r="CK111" s="1982">
        <f t="shared" si="2135"/>
        <v>0</v>
      </c>
      <c r="CL111" s="1982">
        <f t="shared" si="1906"/>
        <v>0</v>
      </c>
      <c r="CM111" s="1982">
        <f t="shared" si="1907"/>
        <v>0</v>
      </c>
      <c r="CN111" s="1983">
        <f t="shared" si="1908"/>
        <v>0</v>
      </c>
      <c r="CO111" s="1976"/>
      <c r="CP111" s="1969" t="str">
        <f>D111</f>
        <v>PROQUIMA</v>
      </c>
      <c r="CQ111" s="1971">
        <f>IF($CP111="PROQUIMA",$AV111+$BE111+$BN111+$BW111+$CF111,0)</f>
        <v>3166.38</v>
      </c>
      <c r="CR111" s="1971">
        <f>IF($CP111="PROQUIMA",$AW111+$BF111+$BO111+$BX111+$CG111,0)</f>
        <v>1375</v>
      </c>
      <c r="CS111" s="1971">
        <f>IF($CP111="PROQUIMA",$AX111+$BG111+$BP111+$BY111+$CH111,0)</f>
        <v>0</v>
      </c>
      <c r="CT111" s="1971">
        <f>IF($CP111="PROQUIMA",$AY111+$BH111+$BQ111+$BZ111+$CI111,0)</f>
        <v>0</v>
      </c>
      <c r="CU111" s="1971">
        <f>IF($CP111="PROQUIMA",$AZ111+$BI111+$BR111+$CA111+$CJ111,0)</f>
        <v>0</v>
      </c>
      <c r="CV111" s="1971">
        <f t="shared" si="1909"/>
        <v>0</v>
      </c>
      <c r="CW111" s="1971">
        <f>IF($CP111="PROQUIMA",$BB111+$BK111+$BT111+$CC111+$CL111,0)</f>
        <v>0</v>
      </c>
      <c r="CX111" s="1971">
        <f t="shared" si="1910"/>
        <v>401.18034600000004</v>
      </c>
      <c r="CY111" s="1971">
        <f t="shared" si="1911"/>
        <v>4942.5603460000002</v>
      </c>
      <c r="CZ111" s="1971">
        <f>IF($CP111="UNHESA",$AV111+$BE111+$BN111+$BW111+$CF111,0)</f>
        <v>0</v>
      </c>
      <c r="DA111" s="1971">
        <f t="shared" si="1912"/>
        <v>0</v>
      </c>
      <c r="DB111" s="1971">
        <f>IF($CP111="UNHESA",$AX111+$BG111+$BP111+$BY111+$CH111,0)</f>
        <v>0</v>
      </c>
      <c r="DC111" s="1971">
        <f>IF($CP111="UNHESA",$AY111+$BH111+$BQ111+$BZ111+$CI111,0)</f>
        <v>0</v>
      </c>
      <c r="DD111" s="1971">
        <f>IF($CP111="UNHESA",$AZ111+$BI111+$BR111+$CA111+$CJ111,0)</f>
        <v>0</v>
      </c>
      <c r="DE111" s="1971">
        <f>IF($CP111="UNHESA",$BA111+$BJ111+$BS111+$CB111+$CK111,0)</f>
        <v>0</v>
      </c>
      <c r="DF111" s="1971">
        <f>IF($CP111="UNHESA",$BB111+$BK111+$BT111+$CC111+$CL111,0)</f>
        <v>0</v>
      </c>
      <c r="DG111" s="1971">
        <f>IF($CP111="UNHESA",$BC111+$BL111+$BU111+$CD111+$CM111,0)</f>
        <v>0</v>
      </c>
      <c r="DH111" s="1971">
        <f t="shared" si="1913"/>
        <v>0</v>
      </c>
      <c r="DI111" s="1971">
        <f t="shared" si="1914"/>
        <v>0</v>
      </c>
      <c r="DJ111" s="1971">
        <f t="shared" si="1915"/>
        <v>0</v>
      </c>
      <c r="DK111" s="1971">
        <f t="shared" si="1916"/>
        <v>0</v>
      </c>
      <c r="DL111" s="1971">
        <f t="shared" si="1917"/>
        <v>0</v>
      </c>
      <c r="DM111" s="1971">
        <f t="shared" si="1918"/>
        <v>0</v>
      </c>
      <c r="DN111" s="1971">
        <f t="shared" si="1919"/>
        <v>0</v>
      </c>
      <c r="DO111" s="1971">
        <f t="shared" si="1920"/>
        <v>0</v>
      </c>
      <c r="DP111" s="1971">
        <f t="shared" si="1921"/>
        <v>0</v>
      </c>
      <c r="DQ111" s="1971">
        <f t="shared" si="1922"/>
        <v>0</v>
      </c>
      <c r="DR111" s="1981">
        <f>IF($CP111="ECONACIONAL",$AV111+$BE111+$BN111+$BW111+$CF111,0)</f>
        <v>0</v>
      </c>
      <c r="DS111" s="1982">
        <f>IF($CP111="ECONACIONAL",$AW111+$BF111+$BO111+$BX111+$CG111,0)</f>
        <v>0</v>
      </c>
      <c r="DT111" s="1982">
        <f>IF($CP111="ECONACIONAL",$AX111+$BG111+$BP111+$BY111+$CH111,0)</f>
        <v>0</v>
      </c>
      <c r="DU111" s="1982">
        <f>IF($CP111="ECONACIONAL",$AY111+$BH111+$BQ111+$BZ111+$CI111,0)</f>
        <v>0</v>
      </c>
      <c r="DV111" s="1982">
        <f>IF($CP111="ECONACIONAL",$AZ111+$BI111+$BR111+$CA111+$CJ111,0)</f>
        <v>0</v>
      </c>
      <c r="DW111" s="1982">
        <f>IF($CP111="ECONACIONAL",$BA111+$BJ111+$BS111+$CB111+$CK111,0)</f>
        <v>0</v>
      </c>
      <c r="DX111" s="1982">
        <f>IF($CP111="ECONACIONAL",$BB111+$BK111+$BT111+$CC111+$CL111,0)</f>
        <v>0</v>
      </c>
      <c r="DY111" s="1982">
        <f>IF($CP111="ECONACIONAL",$BC111+$BL111+$BU111+$CD111+$CM111,0)</f>
        <v>0</v>
      </c>
      <c r="DZ111" s="1982">
        <f t="shared" si="1923"/>
        <v>0</v>
      </c>
      <c r="EA111" s="1982">
        <f>IF($CP111="CLEARTEC",$AV111+$BE111+$BN111+$BW111+$CF111,0)</f>
        <v>0</v>
      </c>
      <c r="EB111" s="1982">
        <f>IF($CP111="CLEARTEC",$AW111+$BF111+$BO111+$BX111+$CG111,0)</f>
        <v>0</v>
      </c>
      <c r="EC111" s="1982">
        <f>IF($CP111="CLEARTEC",$AX111+$BG111+$BP111+$BY111+$CH111,0)</f>
        <v>0</v>
      </c>
      <c r="ED111" s="1982">
        <f>IF($CP111="CLEARTEC",$AY111+$BH111+$BQ111+$BZ111+$CI111,0)</f>
        <v>0</v>
      </c>
      <c r="EE111" s="1982">
        <f>IF($CP111="CLEARTEC",$AZ111+$BI111+$BR111+$CA111+$CJ111,0)</f>
        <v>0</v>
      </c>
      <c r="EF111" s="1982">
        <f>IF($CP111="CLEARTEC",$BA111+$BJ111+$BS111+$CB111+$CK111,0)</f>
        <v>0</v>
      </c>
      <c r="EG111" s="1982">
        <f>IF($CP111="CLEARTEC",$BB111+$BK111+$BT111+$CC111+$CL111,0)</f>
        <v>0</v>
      </c>
      <c r="EH111" s="1982">
        <f>IF($CP111="CLEARTEC",$BC111+$BL111+$BU111+$CD111+$CM111,0)</f>
        <v>0</v>
      </c>
      <c r="EI111" s="1983">
        <f t="shared" si="1924"/>
        <v>0</v>
      </c>
      <c r="EJ111" s="1976"/>
      <c r="EK111" s="2200">
        <v>0</v>
      </c>
      <c r="EL111" s="1968"/>
      <c r="EM111" s="1969"/>
      <c r="EN111" s="1969"/>
      <c r="EO111" s="1969"/>
      <c r="EP111" s="1969">
        <v>50</v>
      </c>
      <c r="EQ111" s="1969"/>
      <c r="ER111" s="1969"/>
      <c r="ES111" s="1968"/>
      <c r="ET111" s="1969">
        <f t="shared" si="1925"/>
        <v>50</v>
      </c>
      <c r="EV111" s="1974">
        <f t="shared" ref="EV111:FE111" si="2136">IF($H111&lt;=15,EK111/2,EK111)</f>
        <v>0</v>
      </c>
      <c r="EW111" s="1974">
        <f t="shared" si="2136"/>
        <v>0</v>
      </c>
      <c r="EX111" s="1974">
        <f t="shared" si="2136"/>
        <v>0</v>
      </c>
      <c r="EY111" s="1974">
        <f t="shared" si="2136"/>
        <v>0</v>
      </c>
      <c r="EZ111" s="1974">
        <f t="shared" si="2136"/>
        <v>0</v>
      </c>
      <c r="FA111" s="1974">
        <f t="shared" si="2136"/>
        <v>50</v>
      </c>
      <c r="FB111" s="1974">
        <f t="shared" si="2136"/>
        <v>0</v>
      </c>
      <c r="FC111" s="1974">
        <f t="shared" si="2136"/>
        <v>0</v>
      </c>
      <c r="FD111" s="1974">
        <f t="shared" si="2136"/>
        <v>0</v>
      </c>
      <c r="FE111" s="1974">
        <f t="shared" si="2136"/>
        <v>50</v>
      </c>
      <c r="FF111" s="1978">
        <v>0</v>
      </c>
      <c r="FG111" s="1978">
        <v>1</v>
      </c>
      <c r="FH111" s="1978">
        <v>0</v>
      </c>
      <c r="FI111" s="1978">
        <v>0</v>
      </c>
      <c r="FJ111" s="1978">
        <v>0</v>
      </c>
      <c r="FK111" s="1978">
        <v>1</v>
      </c>
      <c r="FL111" s="1977">
        <f>+EP111-FA111</f>
        <v>0</v>
      </c>
    </row>
    <row r="112" spans="1:169" s="330" customFormat="1" ht="15" customHeight="1" outlineLevel="1">
      <c r="A112" s="1984" t="e">
        <f t="shared" si="1933"/>
        <v>#REF!</v>
      </c>
      <c r="B112" s="311" t="s">
        <v>525</v>
      </c>
      <c r="C112" s="312" t="s">
        <v>94</v>
      </c>
      <c r="D112" s="313" t="s">
        <v>10</v>
      </c>
      <c r="E112" s="1971">
        <v>3166.38</v>
      </c>
      <c r="F112" s="314">
        <f>250</f>
        <v>250</v>
      </c>
      <c r="G112" s="1592">
        <f t="shared" si="1860"/>
        <v>3416.38</v>
      </c>
      <c r="H112" s="1971">
        <v>30</v>
      </c>
      <c r="I112" s="1498">
        <v>1</v>
      </c>
      <c r="J112" s="318">
        <v>0</v>
      </c>
      <c r="K112" s="318">
        <v>0</v>
      </c>
      <c r="L112" s="1498">
        <v>0</v>
      </c>
      <c r="M112" s="318">
        <v>0</v>
      </c>
      <c r="N112" s="318">
        <f t="shared" si="1861"/>
        <v>1</v>
      </c>
      <c r="O112" s="319"/>
      <c r="P112" s="357"/>
      <c r="Q112" s="358">
        <f t="shared" si="1862"/>
        <v>0</v>
      </c>
      <c r="R112" s="404"/>
      <c r="S112" s="358">
        <f t="shared" si="1863"/>
        <v>0</v>
      </c>
      <c r="T112" s="404"/>
      <c r="U112" s="315">
        <f t="shared" si="1864"/>
        <v>0</v>
      </c>
      <c r="V112" s="357"/>
      <c r="W112" s="358">
        <f t="shared" ref="W112:W115" si="2137">($E112/30/8*2)*V112</f>
        <v>0</v>
      </c>
      <c r="X112" s="404"/>
      <c r="Y112" s="358">
        <f t="shared" si="1865"/>
        <v>0</v>
      </c>
      <c r="Z112" s="1528"/>
      <c r="AA112" s="358">
        <f t="shared" si="1866"/>
        <v>0</v>
      </c>
      <c r="AB112" s="322"/>
      <c r="AC112" s="315">
        <f t="shared" si="1867"/>
        <v>0</v>
      </c>
      <c r="AD112" s="322"/>
      <c r="AE112" s="315">
        <f t="shared" si="1868"/>
        <v>0</v>
      </c>
      <c r="AF112" s="315">
        <v>0</v>
      </c>
      <c r="AG112" s="315">
        <f t="shared" si="1869"/>
        <v>0</v>
      </c>
      <c r="AH112" s="322"/>
      <c r="AI112" s="315">
        <f t="shared" si="1870"/>
        <v>0</v>
      </c>
      <c r="AJ112" s="314"/>
      <c r="AK112" s="314"/>
      <c r="AL112" s="314"/>
      <c r="AM112" s="314"/>
      <c r="AN112" s="314"/>
      <c r="AO112" s="314"/>
      <c r="AP112" s="314"/>
      <c r="AQ112" s="314"/>
      <c r="AR112" s="314"/>
      <c r="AS112" s="314"/>
      <c r="AT112" s="314"/>
      <c r="AU112" s="359"/>
      <c r="AV112" s="315">
        <f t="shared" si="2132"/>
        <v>3166.38</v>
      </c>
      <c r="AW112" s="1979">
        <f>((F112/30)*H112)*$I112+1125</f>
        <v>1375</v>
      </c>
      <c r="AX112" s="315">
        <f t="shared" si="1871"/>
        <v>0</v>
      </c>
      <c r="AY112" s="315">
        <f t="shared" si="1872"/>
        <v>0</v>
      </c>
      <c r="AZ112" s="315">
        <f t="shared" si="1873"/>
        <v>0</v>
      </c>
      <c r="BA112" s="315">
        <f t="shared" si="1874"/>
        <v>0</v>
      </c>
      <c r="BB112" s="315">
        <f t="shared" si="1875"/>
        <v>0</v>
      </c>
      <c r="BC112" s="315">
        <f t="shared" si="1876"/>
        <v>401.18034600000004</v>
      </c>
      <c r="BD112" s="315">
        <f t="shared" si="1877"/>
        <v>4942.5603460000002</v>
      </c>
      <c r="BE112" s="315">
        <f t="shared" si="1878"/>
        <v>0</v>
      </c>
      <c r="BF112" s="906">
        <f t="shared" si="1974"/>
        <v>0</v>
      </c>
      <c r="BG112" s="315">
        <f t="shared" si="1880"/>
        <v>0</v>
      </c>
      <c r="BH112" s="315">
        <f t="shared" si="1881"/>
        <v>0</v>
      </c>
      <c r="BI112" s="315">
        <f t="shared" si="1882"/>
        <v>0</v>
      </c>
      <c r="BJ112" s="315">
        <f t="shared" si="1883"/>
        <v>0</v>
      </c>
      <c r="BK112" s="315">
        <f t="shared" si="1884"/>
        <v>0</v>
      </c>
      <c r="BL112" s="315">
        <f t="shared" si="1885"/>
        <v>0</v>
      </c>
      <c r="BM112" s="314">
        <f t="shared" si="1886"/>
        <v>0</v>
      </c>
      <c r="BN112" s="315">
        <f t="shared" ref="BN112:BN115" si="2138">(($E112/30)*$H112)*$K112</f>
        <v>0</v>
      </c>
      <c r="BO112" s="315">
        <f t="shared" si="1888"/>
        <v>0</v>
      </c>
      <c r="BP112" s="315">
        <f t="shared" si="1889"/>
        <v>0</v>
      </c>
      <c r="BQ112" s="315">
        <f t="shared" si="1890"/>
        <v>0</v>
      </c>
      <c r="BR112" s="315">
        <f t="shared" si="1891"/>
        <v>0</v>
      </c>
      <c r="BS112" s="315">
        <f t="shared" si="1892"/>
        <v>0</v>
      </c>
      <c r="BT112" s="315">
        <f t="shared" si="1893"/>
        <v>0</v>
      </c>
      <c r="BU112" s="315">
        <f t="shared" si="1894"/>
        <v>0</v>
      </c>
      <c r="BV112" s="315">
        <f t="shared" si="1895"/>
        <v>0</v>
      </c>
      <c r="BW112" s="360">
        <f t="shared" si="1896"/>
        <v>0</v>
      </c>
      <c r="BX112" s="361">
        <f t="shared" si="1897"/>
        <v>0</v>
      </c>
      <c r="BY112" s="361">
        <f t="shared" ref="BY112:CB115" si="2139">AB112</f>
        <v>0</v>
      </c>
      <c r="BZ112" s="361">
        <f t="shared" si="2139"/>
        <v>0</v>
      </c>
      <c r="CA112" s="361">
        <f t="shared" si="2139"/>
        <v>0</v>
      </c>
      <c r="CB112" s="361">
        <f t="shared" si="2139"/>
        <v>0</v>
      </c>
      <c r="CC112" s="361">
        <f t="shared" si="1899"/>
        <v>0</v>
      </c>
      <c r="CD112" s="361">
        <f t="shared" si="1900"/>
        <v>0</v>
      </c>
      <c r="CE112" s="361">
        <f t="shared" si="1901"/>
        <v>0</v>
      </c>
      <c r="CF112" s="361">
        <f t="shared" si="1902"/>
        <v>0</v>
      </c>
      <c r="CG112" s="361">
        <f t="shared" si="2133"/>
        <v>0</v>
      </c>
      <c r="CH112" s="361">
        <f t="shared" si="1904"/>
        <v>0</v>
      </c>
      <c r="CI112" s="361">
        <f t="shared" ref="CI112:CK115" si="2140">AG112</f>
        <v>0</v>
      </c>
      <c r="CJ112" s="361">
        <f t="shared" si="2140"/>
        <v>0</v>
      </c>
      <c r="CK112" s="361">
        <f t="shared" si="2140"/>
        <v>0</v>
      </c>
      <c r="CL112" s="361">
        <f t="shared" si="1906"/>
        <v>0</v>
      </c>
      <c r="CM112" s="361">
        <f t="shared" si="1907"/>
        <v>0</v>
      </c>
      <c r="CN112" s="362">
        <f t="shared" si="1908"/>
        <v>0</v>
      </c>
      <c r="CP112" s="313" t="s">
        <v>10</v>
      </c>
      <c r="CQ112" s="315">
        <f t="shared" si="1714"/>
        <v>3166.38</v>
      </c>
      <c r="CR112" s="315">
        <f t="shared" si="1715"/>
        <v>1375</v>
      </c>
      <c r="CS112" s="315">
        <f t="shared" si="1716"/>
        <v>0</v>
      </c>
      <c r="CT112" s="315">
        <f t="shared" si="1717"/>
        <v>0</v>
      </c>
      <c r="CU112" s="315">
        <f t="shared" si="1718"/>
        <v>0</v>
      </c>
      <c r="CV112" s="315">
        <f t="shared" ref="CV112:CV115" si="2141">IF($CP112="PROQUIMA",$BA112+$BJ112+$BS112+$CB112+$CK112,0)</f>
        <v>0</v>
      </c>
      <c r="CW112" s="315">
        <f t="shared" si="1720"/>
        <v>0</v>
      </c>
      <c r="CX112" s="315">
        <f t="shared" si="1910"/>
        <v>401.18034600000004</v>
      </c>
      <c r="CY112" s="315">
        <f t="shared" si="1911"/>
        <v>4942.5603460000002</v>
      </c>
      <c r="CZ112" s="315">
        <f t="shared" si="1723"/>
        <v>0</v>
      </c>
      <c r="DA112" s="315">
        <f t="shared" si="1912"/>
        <v>0</v>
      </c>
      <c r="DB112" s="315">
        <f t="shared" si="1725"/>
        <v>0</v>
      </c>
      <c r="DC112" s="315">
        <f t="shared" si="1726"/>
        <v>0</v>
      </c>
      <c r="DD112" s="315">
        <f t="shared" si="1727"/>
        <v>0</v>
      </c>
      <c r="DE112" s="315">
        <f t="shared" si="1728"/>
        <v>0</v>
      </c>
      <c r="DF112" s="315">
        <f t="shared" si="1729"/>
        <v>0</v>
      </c>
      <c r="DG112" s="315">
        <f t="shared" si="1730"/>
        <v>0</v>
      </c>
      <c r="DH112" s="315">
        <f t="shared" si="1913"/>
        <v>0</v>
      </c>
      <c r="DI112" s="315">
        <f t="shared" ref="DI112:DI115" si="2142">IF($CP112="UNHESA LIQUIDOS",$AV112+$BE112+$BN112+$BW112+$CF112,0)</f>
        <v>0</v>
      </c>
      <c r="DJ112" s="315">
        <f t="shared" ref="DJ112:DJ115" si="2143">IF($CP112="UNHESA LIQUIDOS",$AW112+$BF112+$BO112+$BX112+$CG112,0)</f>
        <v>0</v>
      </c>
      <c r="DK112" s="315">
        <f t="shared" ref="DK112:DK115" si="2144">IF($CP112="UNHESA LIQUIDOS",$AX112+$BG112+$BP112+$BY112+$CH112,0)</f>
        <v>0</v>
      </c>
      <c r="DL112" s="315">
        <f t="shared" ref="DL112:DL115" si="2145">IF($CP112="UNHESA LIQUIDOS",$AY112+$BH112+$BQ112+$BZ112+$CI112,0)</f>
        <v>0</v>
      </c>
      <c r="DM112" s="315">
        <f t="shared" ref="DM112:DM115" si="2146">IF($CP112="UNHESA LIQUIDOS",$AZ112+$BI112+$BR112+$CA112+$CJ112,0)</f>
        <v>0</v>
      </c>
      <c r="DN112" s="315">
        <f t="shared" ref="DN112:DN115" si="2147">IF($CP112="UNHESA LIQUIDOS",$BA112+$BJ112+$BS112+$CB112+$CK112,0)</f>
        <v>0</v>
      </c>
      <c r="DO112" s="315">
        <f t="shared" ref="DO112:DO115" si="2148">IF($CP112="UNHESA LIQUIDOS",$BB112+$BK112+$BT112+$CC112+$CL112,0)</f>
        <v>0</v>
      </c>
      <c r="DP112" s="315">
        <f t="shared" ref="DP112:DP115" si="2149">IF($CP112="UNHESA LIQUIDOS",$BC112+$BL112+$BU112+$CD112+$CM112,0)</f>
        <v>0</v>
      </c>
      <c r="DQ112" s="315">
        <f t="shared" si="1922"/>
        <v>0</v>
      </c>
      <c r="DR112" s="360">
        <f t="shared" si="1732"/>
        <v>0</v>
      </c>
      <c r="DS112" s="361">
        <f t="shared" si="1733"/>
        <v>0</v>
      </c>
      <c r="DT112" s="361">
        <f t="shared" si="1734"/>
        <v>0</v>
      </c>
      <c r="DU112" s="361">
        <f t="shared" si="1735"/>
        <v>0</v>
      </c>
      <c r="DV112" s="361">
        <f t="shared" si="1736"/>
        <v>0</v>
      </c>
      <c r="DW112" s="361">
        <f t="shared" si="1737"/>
        <v>0</v>
      </c>
      <c r="DX112" s="361">
        <f t="shared" si="1738"/>
        <v>0</v>
      </c>
      <c r="DY112" s="361">
        <f t="shared" si="1739"/>
        <v>0</v>
      </c>
      <c r="DZ112" s="361">
        <f t="shared" si="1923"/>
        <v>0</v>
      </c>
      <c r="EA112" s="361">
        <f t="shared" si="1740"/>
        <v>0</v>
      </c>
      <c r="EB112" s="361">
        <f t="shared" si="1741"/>
        <v>0</v>
      </c>
      <c r="EC112" s="361">
        <f t="shared" si="1742"/>
        <v>0</v>
      </c>
      <c r="ED112" s="361">
        <f t="shared" si="1743"/>
        <v>0</v>
      </c>
      <c r="EE112" s="361">
        <f t="shared" si="1744"/>
        <v>0</v>
      </c>
      <c r="EF112" s="361">
        <f t="shared" si="1745"/>
        <v>0</v>
      </c>
      <c r="EG112" s="361">
        <f t="shared" si="1746"/>
        <v>0</v>
      </c>
      <c r="EH112" s="361">
        <f t="shared" si="1747"/>
        <v>0</v>
      </c>
      <c r="EI112" s="362">
        <f t="shared" si="1924"/>
        <v>0</v>
      </c>
      <c r="EK112" s="2200">
        <v>113.97</v>
      </c>
      <c r="EL112" s="313">
        <f>762.59</f>
        <v>762.59</v>
      </c>
      <c r="EM112" s="313"/>
      <c r="EN112" s="1969">
        <f>370</f>
        <v>370</v>
      </c>
      <c r="EO112" s="313"/>
      <c r="EP112" s="1969">
        <v>50</v>
      </c>
      <c r="EQ112" s="1969"/>
      <c r="ER112" s="1969"/>
      <c r="ES112" s="313"/>
      <c r="ET112" s="313">
        <f t="shared" si="1925"/>
        <v>50</v>
      </c>
      <c r="EU112" s="1501"/>
      <c r="EV112" s="321">
        <f t="shared" ref="EV112:FE115" si="2150">IF($H112&lt;=15,EK112/2,EK112)</f>
        <v>113.97</v>
      </c>
      <c r="EW112" s="321">
        <f t="shared" si="2150"/>
        <v>762.59</v>
      </c>
      <c r="EX112" s="321">
        <f t="shared" si="2150"/>
        <v>0</v>
      </c>
      <c r="EY112" s="321">
        <f t="shared" si="2150"/>
        <v>370</v>
      </c>
      <c r="EZ112" s="321">
        <f t="shared" si="2150"/>
        <v>0</v>
      </c>
      <c r="FA112" s="321">
        <f t="shared" si="2150"/>
        <v>50</v>
      </c>
      <c r="FB112" s="321">
        <f t="shared" si="2150"/>
        <v>0</v>
      </c>
      <c r="FC112" s="321">
        <f t="shared" si="2150"/>
        <v>0</v>
      </c>
      <c r="FD112" s="321">
        <f t="shared" si="2150"/>
        <v>0</v>
      </c>
      <c r="FE112" s="321">
        <f t="shared" si="2150"/>
        <v>50</v>
      </c>
      <c r="FF112" s="332">
        <v>1</v>
      </c>
      <c r="FG112" s="332">
        <v>0</v>
      </c>
      <c r="FH112" s="332">
        <v>0</v>
      </c>
      <c r="FI112" s="332">
        <v>0</v>
      </c>
      <c r="FJ112" s="332">
        <v>0</v>
      </c>
      <c r="FK112" s="332">
        <v>1</v>
      </c>
      <c r="FL112" s="331">
        <f t="shared" si="1674"/>
        <v>0</v>
      </c>
    </row>
    <row r="113" spans="1:172" s="330" customFormat="1" ht="15" customHeight="1" outlineLevel="1">
      <c r="A113" s="1984" t="e">
        <f t="shared" si="1933"/>
        <v>#REF!</v>
      </c>
      <c r="B113" s="311" t="s">
        <v>526</v>
      </c>
      <c r="C113" s="312" t="s">
        <v>94</v>
      </c>
      <c r="D113" s="313" t="s">
        <v>10</v>
      </c>
      <c r="E113" s="1971">
        <v>3166.38</v>
      </c>
      <c r="F113" s="314">
        <f>250</f>
        <v>250</v>
      </c>
      <c r="G113" s="1592">
        <f t="shared" si="1860"/>
        <v>3416.38</v>
      </c>
      <c r="H113" s="1971">
        <v>30</v>
      </c>
      <c r="I113" s="1498">
        <v>1</v>
      </c>
      <c r="J113" s="318">
        <v>0</v>
      </c>
      <c r="K113" s="318">
        <v>0</v>
      </c>
      <c r="L113" s="1498">
        <v>0</v>
      </c>
      <c r="M113" s="318">
        <v>0</v>
      </c>
      <c r="N113" s="318">
        <f t="shared" si="1861"/>
        <v>1</v>
      </c>
      <c r="O113" s="319"/>
      <c r="P113" s="357"/>
      <c r="Q113" s="358">
        <f t="shared" si="1862"/>
        <v>0</v>
      </c>
      <c r="R113" s="404"/>
      <c r="S113" s="358">
        <f t="shared" si="1863"/>
        <v>0</v>
      </c>
      <c r="T113" s="404"/>
      <c r="U113" s="315">
        <f t="shared" si="1864"/>
        <v>0</v>
      </c>
      <c r="V113" s="357"/>
      <c r="W113" s="358">
        <f t="shared" si="2137"/>
        <v>0</v>
      </c>
      <c r="X113" s="404"/>
      <c r="Y113" s="358">
        <f t="shared" si="1865"/>
        <v>0</v>
      </c>
      <c r="Z113" s="1528"/>
      <c r="AA113" s="358">
        <f t="shared" si="1866"/>
        <v>0</v>
      </c>
      <c r="AB113" s="322"/>
      <c r="AC113" s="315">
        <f t="shared" si="1867"/>
        <v>0</v>
      </c>
      <c r="AD113" s="322"/>
      <c r="AE113" s="315">
        <f t="shared" si="1868"/>
        <v>0</v>
      </c>
      <c r="AF113" s="315">
        <v>0</v>
      </c>
      <c r="AG113" s="315">
        <f t="shared" si="1869"/>
        <v>0</v>
      </c>
      <c r="AH113" s="322"/>
      <c r="AI113" s="315">
        <f t="shared" si="1870"/>
        <v>0</v>
      </c>
      <c r="AJ113" s="314"/>
      <c r="AK113" s="314"/>
      <c r="AL113" s="314"/>
      <c r="AM113" s="314"/>
      <c r="AN113" s="314"/>
      <c r="AO113" s="314"/>
      <c r="AP113" s="314"/>
      <c r="AQ113" s="314"/>
      <c r="AR113" s="314"/>
      <c r="AS113" s="314"/>
      <c r="AT113" s="314"/>
      <c r="AU113" s="359"/>
      <c r="AV113" s="315">
        <f t="shared" si="2132"/>
        <v>3166.38</v>
      </c>
      <c r="AW113" s="1979">
        <f>((F113/30)*H113)*$I113+900</f>
        <v>1150</v>
      </c>
      <c r="AX113" s="315">
        <f t="shared" si="1871"/>
        <v>0</v>
      </c>
      <c r="AY113" s="315">
        <f t="shared" si="1872"/>
        <v>0</v>
      </c>
      <c r="AZ113" s="315">
        <f t="shared" si="1873"/>
        <v>0</v>
      </c>
      <c r="BA113" s="315">
        <f t="shared" si="1874"/>
        <v>0</v>
      </c>
      <c r="BB113" s="315">
        <f t="shared" si="1875"/>
        <v>0</v>
      </c>
      <c r="BC113" s="315">
        <f t="shared" si="1876"/>
        <v>401.18034600000004</v>
      </c>
      <c r="BD113" s="315">
        <f t="shared" si="1877"/>
        <v>4717.5603460000002</v>
      </c>
      <c r="BE113" s="315">
        <f t="shared" si="1878"/>
        <v>0</v>
      </c>
      <c r="BF113" s="315">
        <f>(($F113/30)*$H113)*$J113+225</f>
        <v>225</v>
      </c>
      <c r="BG113" s="315">
        <f t="shared" si="1880"/>
        <v>0</v>
      </c>
      <c r="BH113" s="315">
        <f t="shared" si="1881"/>
        <v>0</v>
      </c>
      <c r="BI113" s="315">
        <f t="shared" si="1882"/>
        <v>0</v>
      </c>
      <c r="BJ113" s="315">
        <f t="shared" si="1883"/>
        <v>0</v>
      </c>
      <c r="BK113" s="315">
        <f t="shared" si="1884"/>
        <v>0</v>
      </c>
      <c r="BL113" s="315">
        <f t="shared" si="1885"/>
        <v>0</v>
      </c>
      <c r="BM113" s="314">
        <f t="shared" si="1886"/>
        <v>225</v>
      </c>
      <c r="BN113" s="315">
        <f t="shared" si="2138"/>
        <v>0</v>
      </c>
      <c r="BO113" s="315">
        <f t="shared" si="1888"/>
        <v>0</v>
      </c>
      <c r="BP113" s="315">
        <f t="shared" si="1889"/>
        <v>0</v>
      </c>
      <c r="BQ113" s="315">
        <f t="shared" si="1890"/>
        <v>0</v>
      </c>
      <c r="BR113" s="315">
        <f t="shared" si="1891"/>
        <v>0</v>
      </c>
      <c r="BS113" s="315">
        <f t="shared" si="1892"/>
        <v>0</v>
      </c>
      <c r="BT113" s="315">
        <f t="shared" si="1893"/>
        <v>0</v>
      </c>
      <c r="BU113" s="315">
        <f t="shared" si="1894"/>
        <v>0</v>
      </c>
      <c r="BV113" s="315">
        <f t="shared" si="1895"/>
        <v>0</v>
      </c>
      <c r="BW113" s="360">
        <f t="shared" si="1896"/>
        <v>0</v>
      </c>
      <c r="BX113" s="361">
        <f t="shared" si="1897"/>
        <v>0</v>
      </c>
      <c r="BY113" s="361">
        <f t="shared" si="2139"/>
        <v>0</v>
      </c>
      <c r="BZ113" s="361">
        <f t="shared" si="2139"/>
        <v>0</v>
      </c>
      <c r="CA113" s="361">
        <f t="shared" si="2139"/>
        <v>0</v>
      </c>
      <c r="CB113" s="361">
        <f t="shared" si="2139"/>
        <v>0</v>
      </c>
      <c r="CC113" s="361">
        <f t="shared" si="1899"/>
        <v>0</v>
      </c>
      <c r="CD113" s="361">
        <f t="shared" si="1900"/>
        <v>0</v>
      </c>
      <c r="CE113" s="361">
        <f t="shared" si="1901"/>
        <v>0</v>
      </c>
      <c r="CF113" s="361">
        <f t="shared" si="1902"/>
        <v>0</v>
      </c>
      <c r="CG113" s="361">
        <f t="shared" si="2133"/>
        <v>0</v>
      </c>
      <c r="CH113" s="361">
        <f t="shared" si="1904"/>
        <v>0</v>
      </c>
      <c r="CI113" s="361">
        <f t="shared" si="2140"/>
        <v>0</v>
      </c>
      <c r="CJ113" s="361">
        <f t="shared" si="2140"/>
        <v>0</v>
      </c>
      <c r="CK113" s="361">
        <f t="shared" si="2140"/>
        <v>0</v>
      </c>
      <c r="CL113" s="361">
        <f t="shared" si="1906"/>
        <v>0</v>
      </c>
      <c r="CM113" s="361">
        <f t="shared" si="1907"/>
        <v>0</v>
      </c>
      <c r="CN113" s="362">
        <f t="shared" si="1908"/>
        <v>0</v>
      </c>
      <c r="CP113" s="313" t="s">
        <v>10</v>
      </c>
      <c r="CQ113" s="315">
        <f t="shared" si="1714"/>
        <v>3166.38</v>
      </c>
      <c r="CR113" s="315">
        <f t="shared" si="1715"/>
        <v>1375</v>
      </c>
      <c r="CS113" s="315">
        <f t="shared" si="1716"/>
        <v>0</v>
      </c>
      <c r="CT113" s="315">
        <f t="shared" si="1717"/>
        <v>0</v>
      </c>
      <c r="CU113" s="315">
        <f t="shared" si="1718"/>
        <v>0</v>
      </c>
      <c r="CV113" s="315">
        <f t="shared" si="2141"/>
        <v>0</v>
      </c>
      <c r="CW113" s="315">
        <f t="shared" si="1720"/>
        <v>0</v>
      </c>
      <c r="CX113" s="315">
        <f t="shared" si="1910"/>
        <v>401.18034600000004</v>
      </c>
      <c r="CY113" s="315">
        <f t="shared" si="1911"/>
        <v>4942.5603460000002</v>
      </c>
      <c r="CZ113" s="315">
        <f t="shared" si="1723"/>
        <v>0</v>
      </c>
      <c r="DA113" s="315">
        <f t="shared" si="1912"/>
        <v>0</v>
      </c>
      <c r="DB113" s="315">
        <f t="shared" si="1725"/>
        <v>0</v>
      </c>
      <c r="DC113" s="315">
        <f t="shared" si="1726"/>
        <v>0</v>
      </c>
      <c r="DD113" s="315">
        <f t="shared" si="1727"/>
        <v>0</v>
      </c>
      <c r="DE113" s="315">
        <f t="shared" si="1728"/>
        <v>0</v>
      </c>
      <c r="DF113" s="315">
        <f t="shared" si="1729"/>
        <v>0</v>
      </c>
      <c r="DG113" s="315">
        <f t="shared" si="1730"/>
        <v>0</v>
      </c>
      <c r="DH113" s="315">
        <f t="shared" si="1913"/>
        <v>0</v>
      </c>
      <c r="DI113" s="315">
        <f t="shared" si="2142"/>
        <v>0</v>
      </c>
      <c r="DJ113" s="315">
        <f t="shared" si="2143"/>
        <v>0</v>
      </c>
      <c r="DK113" s="315">
        <f t="shared" si="2144"/>
        <v>0</v>
      </c>
      <c r="DL113" s="315">
        <f t="shared" si="2145"/>
        <v>0</v>
      </c>
      <c r="DM113" s="315">
        <f t="shared" si="2146"/>
        <v>0</v>
      </c>
      <c r="DN113" s="315">
        <f t="shared" si="2147"/>
        <v>0</v>
      </c>
      <c r="DO113" s="315">
        <f t="shared" si="2148"/>
        <v>0</v>
      </c>
      <c r="DP113" s="315">
        <f t="shared" si="2149"/>
        <v>0</v>
      </c>
      <c r="DQ113" s="315">
        <f t="shared" si="1922"/>
        <v>0</v>
      </c>
      <c r="DR113" s="360">
        <f t="shared" si="1732"/>
        <v>0</v>
      </c>
      <c r="DS113" s="361">
        <f t="shared" si="1733"/>
        <v>0</v>
      </c>
      <c r="DT113" s="361">
        <f t="shared" si="1734"/>
        <v>0</v>
      </c>
      <c r="DU113" s="361">
        <f t="shared" si="1735"/>
        <v>0</v>
      </c>
      <c r="DV113" s="361">
        <f t="shared" si="1736"/>
        <v>0</v>
      </c>
      <c r="DW113" s="361">
        <f t="shared" si="1737"/>
        <v>0</v>
      </c>
      <c r="DX113" s="361">
        <f t="shared" si="1738"/>
        <v>0</v>
      </c>
      <c r="DY113" s="361">
        <f t="shared" si="1739"/>
        <v>0</v>
      </c>
      <c r="DZ113" s="361">
        <f t="shared" si="1923"/>
        <v>0</v>
      </c>
      <c r="EA113" s="361">
        <f t="shared" si="1740"/>
        <v>0</v>
      </c>
      <c r="EB113" s="361">
        <f t="shared" si="1741"/>
        <v>0</v>
      </c>
      <c r="EC113" s="361">
        <f t="shared" si="1742"/>
        <v>0</v>
      </c>
      <c r="ED113" s="361">
        <f t="shared" si="1743"/>
        <v>0</v>
      </c>
      <c r="EE113" s="361">
        <f t="shared" si="1744"/>
        <v>0</v>
      </c>
      <c r="EF113" s="361">
        <f t="shared" si="1745"/>
        <v>0</v>
      </c>
      <c r="EG113" s="361">
        <f t="shared" si="1746"/>
        <v>0</v>
      </c>
      <c r="EH113" s="361">
        <f t="shared" si="1747"/>
        <v>0</v>
      </c>
      <c r="EI113" s="362">
        <f t="shared" si="1924"/>
        <v>0</v>
      </c>
      <c r="EK113" s="2200">
        <v>98.17</v>
      </c>
      <c r="EL113" s="313">
        <v>746.75</v>
      </c>
      <c r="EM113" s="313"/>
      <c r="EN113" s="1969">
        <f>276.75+323.75</f>
        <v>600.5</v>
      </c>
      <c r="EO113" s="313"/>
      <c r="EP113" s="1969">
        <v>50</v>
      </c>
      <c r="EQ113" s="1969"/>
      <c r="ER113" s="1969"/>
      <c r="ES113" s="313"/>
      <c r="ET113" s="313">
        <f t="shared" si="1925"/>
        <v>50</v>
      </c>
      <c r="EU113" s="1501"/>
      <c r="EV113" s="321">
        <f t="shared" si="2150"/>
        <v>98.17</v>
      </c>
      <c r="EW113" s="321">
        <f t="shared" si="2150"/>
        <v>746.75</v>
      </c>
      <c r="EX113" s="321">
        <f t="shared" si="2150"/>
        <v>0</v>
      </c>
      <c r="EY113" s="321">
        <f t="shared" si="2150"/>
        <v>600.5</v>
      </c>
      <c r="EZ113" s="321">
        <f t="shared" si="2150"/>
        <v>0</v>
      </c>
      <c r="FA113" s="321">
        <f t="shared" si="2150"/>
        <v>50</v>
      </c>
      <c r="FB113" s="321">
        <f t="shared" si="2150"/>
        <v>0</v>
      </c>
      <c r="FC113" s="321">
        <f t="shared" si="2150"/>
        <v>0</v>
      </c>
      <c r="FD113" s="321">
        <f t="shared" si="2150"/>
        <v>0</v>
      </c>
      <c r="FE113" s="321">
        <f t="shared" si="2150"/>
        <v>50</v>
      </c>
      <c r="FF113" s="332">
        <v>1</v>
      </c>
      <c r="FG113" s="332">
        <v>0</v>
      </c>
      <c r="FH113" s="332">
        <v>0</v>
      </c>
      <c r="FI113" s="332">
        <v>0</v>
      </c>
      <c r="FJ113" s="332">
        <v>0</v>
      </c>
      <c r="FK113" s="332">
        <v>1</v>
      </c>
      <c r="FL113" s="331">
        <f t="shared" si="1674"/>
        <v>0</v>
      </c>
    </row>
    <row r="114" spans="1:172" s="1534" customFormat="1" ht="15" customHeight="1" outlineLevel="1">
      <c r="A114" s="1984" t="e">
        <f t="shared" si="1933"/>
        <v>#REF!</v>
      </c>
      <c r="B114" s="311" t="s">
        <v>617</v>
      </c>
      <c r="C114" s="312" t="s">
        <v>94</v>
      </c>
      <c r="D114" s="312" t="s">
        <v>10</v>
      </c>
      <c r="E114" s="1971">
        <v>3166.38</v>
      </c>
      <c r="F114" s="325">
        <f>250</f>
        <v>250</v>
      </c>
      <c r="G114" s="1620">
        <f t="shared" si="1860"/>
        <v>3416.38</v>
      </c>
      <c r="H114" s="1971">
        <v>30</v>
      </c>
      <c r="I114" s="316">
        <v>1</v>
      </c>
      <c r="J114" s="317">
        <v>0</v>
      </c>
      <c r="K114" s="317">
        <v>0</v>
      </c>
      <c r="L114" s="316">
        <v>0</v>
      </c>
      <c r="M114" s="317">
        <v>0</v>
      </c>
      <c r="N114" s="317">
        <f t="shared" si="1861"/>
        <v>1</v>
      </c>
      <c r="O114" s="1603"/>
      <c r="P114" s="408">
        <v>1</v>
      </c>
      <c r="Q114" s="324">
        <f t="shared" si="1862"/>
        <v>19.789875000000002</v>
      </c>
      <c r="R114" s="409"/>
      <c r="S114" s="324">
        <f t="shared" si="1863"/>
        <v>0</v>
      </c>
      <c r="T114" s="409"/>
      <c r="U114" s="315">
        <f t="shared" si="1864"/>
        <v>0</v>
      </c>
      <c r="V114" s="408"/>
      <c r="W114" s="324">
        <f t="shared" si="2137"/>
        <v>0</v>
      </c>
      <c r="X114" s="409"/>
      <c r="Y114" s="324">
        <f t="shared" si="1865"/>
        <v>0</v>
      </c>
      <c r="Z114" s="323"/>
      <c r="AA114" s="324">
        <f t="shared" si="1866"/>
        <v>0</v>
      </c>
      <c r="AB114" s="323">
        <v>0</v>
      </c>
      <c r="AC114" s="324">
        <f t="shared" si="1867"/>
        <v>0</v>
      </c>
      <c r="AD114" s="323"/>
      <c r="AE114" s="324">
        <f t="shared" si="1868"/>
        <v>0</v>
      </c>
      <c r="AF114" s="324">
        <v>0</v>
      </c>
      <c r="AG114" s="324">
        <f t="shared" si="1869"/>
        <v>0</v>
      </c>
      <c r="AH114" s="323"/>
      <c r="AI114" s="324">
        <f t="shared" si="1870"/>
        <v>0</v>
      </c>
      <c r="AJ114" s="325"/>
      <c r="AK114" s="325"/>
      <c r="AL114" s="325"/>
      <c r="AM114" s="325"/>
      <c r="AN114" s="325"/>
      <c r="AO114" s="325"/>
      <c r="AP114" s="325"/>
      <c r="AQ114" s="325"/>
      <c r="AR114" s="325"/>
      <c r="AS114" s="325"/>
      <c r="AT114" s="325"/>
      <c r="AU114" s="1621"/>
      <c r="AV114" s="324">
        <f t="shared" si="2132"/>
        <v>3166.38</v>
      </c>
      <c r="AW114" s="1979">
        <f>((F114/30)*H114)*$I114+1350</f>
        <v>1600</v>
      </c>
      <c r="AX114" s="324">
        <f t="shared" si="1871"/>
        <v>1</v>
      </c>
      <c r="AY114" s="324">
        <f t="shared" si="1872"/>
        <v>19.789875000000002</v>
      </c>
      <c r="AZ114" s="324">
        <f t="shared" si="1873"/>
        <v>0</v>
      </c>
      <c r="BA114" s="324">
        <f t="shared" si="1874"/>
        <v>0</v>
      </c>
      <c r="BB114" s="324">
        <f t="shared" si="1875"/>
        <v>0</v>
      </c>
      <c r="BC114" s="324">
        <f t="shared" si="1876"/>
        <v>403.68772316250005</v>
      </c>
      <c r="BD114" s="324">
        <f t="shared" si="1877"/>
        <v>5189.8575981625008</v>
      </c>
      <c r="BE114" s="324">
        <f t="shared" si="1878"/>
        <v>0</v>
      </c>
      <c r="BF114" s="324">
        <f>(($F114/30)*$H114)*$J114</f>
        <v>0</v>
      </c>
      <c r="BG114" s="324">
        <f t="shared" si="1880"/>
        <v>0</v>
      </c>
      <c r="BH114" s="324">
        <f t="shared" si="1881"/>
        <v>0</v>
      </c>
      <c r="BI114" s="324">
        <f t="shared" si="1882"/>
        <v>0</v>
      </c>
      <c r="BJ114" s="324">
        <f t="shared" si="1883"/>
        <v>0</v>
      </c>
      <c r="BK114" s="324">
        <f t="shared" si="1884"/>
        <v>0</v>
      </c>
      <c r="BL114" s="324">
        <f t="shared" si="1885"/>
        <v>0</v>
      </c>
      <c r="BM114" s="325">
        <f t="shared" si="1886"/>
        <v>0</v>
      </c>
      <c r="BN114" s="324">
        <f t="shared" si="2138"/>
        <v>0</v>
      </c>
      <c r="BO114" s="324">
        <f t="shared" si="1888"/>
        <v>0</v>
      </c>
      <c r="BP114" s="324">
        <f t="shared" si="1889"/>
        <v>0</v>
      </c>
      <c r="BQ114" s="324">
        <f t="shared" si="1890"/>
        <v>0</v>
      </c>
      <c r="BR114" s="324">
        <f t="shared" si="1891"/>
        <v>0</v>
      </c>
      <c r="BS114" s="324">
        <f t="shared" si="1892"/>
        <v>0</v>
      </c>
      <c r="BT114" s="324">
        <f t="shared" si="1893"/>
        <v>0</v>
      </c>
      <c r="BU114" s="324">
        <f t="shared" si="1894"/>
        <v>0</v>
      </c>
      <c r="BV114" s="324">
        <f t="shared" si="1895"/>
        <v>0</v>
      </c>
      <c r="BW114" s="327">
        <f t="shared" si="1896"/>
        <v>0</v>
      </c>
      <c r="BX114" s="328">
        <f t="shared" si="1897"/>
        <v>0</v>
      </c>
      <c r="BY114" s="328">
        <f t="shared" si="2139"/>
        <v>0</v>
      </c>
      <c r="BZ114" s="328">
        <f t="shared" si="2139"/>
        <v>0</v>
      </c>
      <c r="CA114" s="328">
        <f t="shared" si="2139"/>
        <v>0</v>
      </c>
      <c r="CB114" s="328">
        <f t="shared" si="2139"/>
        <v>0</v>
      </c>
      <c r="CC114" s="328">
        <f t="shared" si="1899"/>
        <v>0</v>
      </c>
      <c r="CD114" s="328">
        <f t="shared" si="1900"/>
        <v>0</v>
      </c>
      <c r="CE114" s="328">
        <f t="shared" si="1901"/>
        <v>0</v>
      </c>
      <c r="CF114" s="328">
        <f t="shared" si="1902"/>
        <v>0</v>
      </c>
      <c r="CG114" s="328">
        <f t="shared" si="2133"/>
        <v>0</v>
      </c>
      <c r="CH114" s="328">
        <f t="shared" si="1904"/>
        <v>0</v>
      </c>
      <c r="CI114" s="328">
        <f t="shared" si="2140"/>
        <v>0</v>
      </c>
      <c r="CJ114" s="328">
        <f t="shared" si="2140"/>
        <v>0</v>
      </c>
      <c r="CK114" s="328">
        <f t="shared" si="2140"/>
        <v>0</v>
      </c>
      <c r="CL114" s="328">
        <f t="shared" si="1906"/>
        <v>0</v>
      </c>
      <c r="CM114" s="328">
        <f t="shared" si="1907"/>
        <v>0</v>
      </c>
      <c r="CN114" s="329">
        <f t="shared" si="1908"/>
        <v>0</v>
      </c>
      <c r="CP114" s="1543" t="s">
        <v>10</v>
      </c>
      <c r="CQ114" s="324">
        <f t="shared" si="1714"/>
        <v>3166.38</v>
      </c>
      <c r="CR114" s="324">
        <f t="shared" si="1715"/>
        <v>1600</v>
      </c>
      <c r="CS114" s="324">
        <f t="shared" si="1716"/>
        <v>1</v>
      </c>
      <c r="CT114" s="324">
        <f t="shared" si="1717"/>
        <v>19.789875000000002</v>
      </c>
      <c r="CU114" s="324">
        <f t="shared" si="1718"/>
        <v>0</v>
      </c>
      <c r="CV114" s="324">
        <f t="shared" si="2141"/>
        <v>0</v>
      </c>
      <c r="CW114" s="324">
        <f t="shared" si="1720"/>
        <v>0</v>
      </c>
      <c r="CX114" s="324">
        <f t="shared" si="1910"/>
        <v>403.68772316250005</v>
      </c>
      <c r="CY114" s="324">
        <f t="shared" si="1911"/>
        <v>5189.8575981625008</v>
      </c>
      <c r="CZ114" s="324">
        <f t="shared" si="1723"/>
        <v>0</v>
      </c>
      <c r="DA114" s="324">
        <f t="shared" si="1912"/>
        <v>0</v>
      </c>
      <c r="DB114" s="324">
        <f t="shared" si="1725"/>
        <v>0</v>
      </c>
      <c r="DC114" s="324">
        <f t="shared" si="1726"/>
        <v>0</v>
      </c>
      <c r="DD114" s="324">
        <f t="shared" si="1727"/>
        <v>0</v>
      </c>
      <c r="DE114" s="324">
        <f t="shared" si="1728"/>
        <v>0</v>
      </c>
      <c r="DF114" s="324">
        <f t="shared" si="1729"/>
        <v>0</v>
      </c>
      <c r="DG114" s="324">
        <f t="shared" si="1730"/>
        <v>0</v>
      </c>
      <c r="DH114" s="324">
        <f t="shared" si="1913"/>
        <v>0</v>
      </c>
      <c r="DI114" s="324">
        <f t="shared" si="2142"/>
        <v>0</v>
      </c>
      <c r="DJ114" s="324">
        <f t="shared" si="2143"/>
        <v>0</v>
      </c>
      <c r="DK114" s="324">
        <f t="shared" si="2144"/>
        <v>0</v>
      </c>
      <c r="DL114" s="324">
        <f t="shared" si="2145"/>
        <v>0</v>
      </c>
      <c r="DM114" s="324">
        <f t="shared" si="2146"/>
        <v>0</v>
      </c>
      <c r="DN114" s="324">
        <f t="shared" si="2147"/>
        <v>0</v>
      </c>
      <c r="DO114" s="324">
        <f t="shared" si="2148"/>
        <v>0</v>
      </c>
      <c r="DP114" s="324">
        <f t="shared" si="2149"/>
        <v>0</v>
      </c>
      <c r="DQ114" s="324">
        <f t="shared" si="1922"/>
        <v>0</v>
      </c>
      <c r="DR114" s="327">
        <f t="shared" si="1732"/>
        <v>0</v>
      </c>
      <c r="DS114" s="328">
        <f t="shared" si="1733"/>
        <v>0</v>
      </c>
      <c r="DT114" s="328">
        <f t="shared" si="1734"/>
        <v>0</v>
      </c>
      <c r="DU114" s="328">
        <f t="shared" si="1735"/>
        <v>0</v>
      </c>
      <c r="DV114" s="328">
        <f t="shared" si="1736"/>
        <v>0</v>
      </c>
      <c r="DW114" s="328">
        <f t="shared" si="1737"/>
        <v>0</v>
      </c>
      <c r="DX114" s="328">
        <f t="shared" si="1738"/>
        <v>0</v>
      </c>
      <c r="DY114" s="328">
        <f t="shared" si="1739"/>
        <v>0</v>
      </c>
      <c r="DZ114" s="328">
        <f t="shared" si="1923"/>
        <v>0</v>
      </c>
      <c r="EA114" s="328">
        <f t="shared" si="1740"/>
        <v>0</v>
      </c>
      <c r="EB114" s="328">
        <f t="shared" si="1741"/>
        <v>0</v>
      </c>
      <c r="EC114" s="328">
        <f t="shared" si="1742"/>
        <v>0</v>
      </c>
      <c r="ED114" s="328">
        <f t="shared" si="1743"/>
        <v>0</v>
      </c>
      <c r="EE114" s="328">
        <f t="shared" si="1744"/>
        <v>0</v>
      </c>
      <c r="EF114" s="328">
        <f t="shared" si="1745"/>
        <v>0</v>
      </c>
      <c r="EG114" s="328">
        <f t="shared" si="1746"/>
        <v>0</v>
      </c>
      <c r="EH114" s="328">
        <f t="shared" si="1747"/>
        <v>0</v>
      </c>
      <c r="EI114" s="329">
        <f t="shared" si="1924"/>
        <v>0</v>
      </c>
      <c r="EK114" s="2200">
        <v>60.67</v>
      </c>
      <c r="EL114" s="1543"/>
      <c r="EM114" s="1543"/>
      <c r="EN114" s="1543"/>
      <c r="EO114" s="313"/>
      <c r="EP114" s="1969">
        <v>50</v>
      </c>
      <c r="EQ114" s="1969"/>
      <c r="ER114" s="1969"/>
      <c r="ES114" s="313"/>
      <c r="ET114" s="313">
        <f t="shared" si="1925"/>
        <v>50</v>
      </c>
      <c r="EU114" s="1501"/>
      <c r="EV114" s="409">
        <f t="shared" si="2150"/>
        <v>60.67</v>
      </c>
      <c r="EW114" s="409">
        <f t="shared" si="2150"/>
        <v>0</v>
      </c>
      <c r="EX114" s="409">
        <f t="shared" si="2150"/>
        <v>0</v>
      </c>
      <c r="EY114" s="404">
        <f t="shared" si="2150"/>
        <v>0</v>
      </c>
      <c r="EZ114" s="409">
        <f t="shared" si="2150"/>
        <v>0</v>
      </c>
      <c r="FA114" s="409">
        <f t="shared" si="2150"/>
        <v>50</v>
      </c>
      <c r="FB114" s="409">
        <f t="shared" si="2150"/>
        <v>0</v>
      </c>
      <c r="FC114" s="409">
        <f t="shared" si="2150"/>
        <v>0</v>
      </c>
      <c r="FD114" s="409">
        <f t="shared" si="2150"/>
        <v>0</v>
      </c>
      <c r="FE114" s="409">
        <f t="shared" si="2150"/>
        <v>50</v>
      </c>
      <c r="FF114" s="333">
        <v>1</v>
      </c>
      <c r="FG114" s="333">
        <v>0</v>
      </c>
      <c r="FH114" s="333">
        <v>0</v>
      </c>
      <c r="FI114" s="333">
        <v>0</v>
      </c>
      <c r="FJ114" s="333">
        <v>0</v>
      </c>
      <c r="FK114" s="333">
        <v>1</v>
      </c>
      <c r="FL114" s="1603">
        <f>+EP114-FA114</f>
        <v>0</v>
      </c>
    </row>
    <row r="115" spans="1:172" s="1534" customFormat="1" ht="15" customHeight="1" outlineLevel="1">
      <c r="A115" s="1984" t="e">
        <f t="shared" si="1933"/>
        <v>#REF!</v>
      </c>
      <c r="B115" s="311" t="s">
        <v>621</v>
      </c>
      <c r="C115" s="312" t="s">
        <v>94</v>
      </c>
      <c r="D115" s="312" t="s">
        <v>10</v>
      </c>
      <c r="E115" s="1971">
        <v>3166.38</v>
      </c>
      <c r="F115" s="325">
        <f>250</f>
        <v>250</v>
      </c>
      <c r="G115" s="1620">
        <f t="shared" si="1860"/>
        <v>3416.38</v>
      </c>
      <c r="H115" s="1971">
        <v>30</v>
      </c>
      <c r="I115" s="316">
        <v>1</v>
      </c>
      <c r="J115" s="317">
        <v>0</v>
      </c>
      <c r="K115" s="317">
        <v>0</v>
      </c>
      <c r="L115" s="316">
        <v>0</v>
      </c>
      <c r="M115" s="317">
        <v>0</v>
      </c>
      <c r="N115" s="317">
        <f t="shared" si="1861"/>
        <v>1</v>
      </c>
      <c r="O115" s="1603"/>
      <c r="P115" s="357">
        <v>2</v>
      </c>
      <c r="Q115" s="324">
        <f t="shared" si="1862"/>
        <v>39.579750000000004</v>
      </c>
      <c r="R115" s="409"/>
      <c r="S115" s="324">
        <f t="shared" si="1863"/>
        <v>0</v>
      </c>
      <c r="T115" s="409"/>
      <c r="U115" s="315">
        <f t="shared" si="1864"/>
        <v>0</v>
      </c>
      <c r="V115" s="408"/>
      <c r="W115" s="324">
        <f t="shared" si="2137"/>
        <v>0</v>
      </c>
      <c r="X115" s="409"/>
      <c r="Y115" s="324">
        <f t="shared" si="1865"/>
        <v>0</v>
      </c>
      <c r="Z115" s="323"/>
      <c r="AA115" s="324">
        <f t="shared" si="1866"/>
        <v>0</v>
      </c>
      <c r="AB115" s="323">
        <v>0</v>
      </c>
      <c r="AC115" s="324">
        <f t="shared" si="1867"/>
        <v>0</v>
      </c>
      <c r="AD115" s="323"/>
      <c r="AE115" s="324">
        <f t="shared" si="1868"/>
        <v>0</v>
      </c>
      <c r="AF115" s="324">
        <v>0</v>
      </c>
      <c r="AG115" s="324">
        <f t="shared" si="1869"/>
        <v>0</v>
      </c>
      <c r="AH115" s="323"/>
      <c r="AI115" s="324">
        <f t="shared" si="1870"/>
        <v>0</v>
      </c>
      <c r="AJ115" s="325"/>
      <c r="AK115" s="325"/>
      <c r="AL115" s="325"/>
      <c r="AM115" s="325"/>
      <c r="AN115" s="325"/>
      <c r="AO115" s="325"/>
      <c r="AP115" s="325"/>
      <c r="AQ115" s="325"/>
      <c r="AR115" s="325"/>
      <c r="AS115" s="325"/>
      <c r="AT115" s="325"/>
      <c r="AU115" s="1621"/>
      <c r="AV115" s="324">
        <f t="shared" si="2132"/>
        <v>3166.38</v>
      </c>
      <c r="AW115" s="1979">
        <f>((F115/30)*H115)*$I115+2025</f>
        <v>2275</v>
      </c>
      <c r="AX115" s="324">
        <f t="shared" si="1871"/>
        <v>2</v>
      </c>
      <c r="AY115" s="324">
        <f t="shared" si="1872"/>
        <v>39.579750000000004</v>
      </c>
      <c r="AZ115" s="324">
        <f t="shared" si="1873"/>
        <v>0</v>
      </c>
      <c r="BA115" s="324">
        <f t="shared" si="1874"/>
        <v>0</v>
      </c>
      <c r="BB115" s="324">
        <f t="shared" si="1875"/>
        <v>0</v>
      </c>
      <c r="BC115" s="324">
        <f t="shared" si="1876"/>
        <v>406.195100325</v>
      </c>
      <c r="BD115" s="324">
        <f t="shared" si="1877"/>
        <v>5887.1548503249996</v>
      </c>
      <c r="BE115" s="324">
        <f t="shared" si="1878"/>
        <v>0</v>
      </c>
      <c r="BF115" s="324">
        <f>(($F115/30)*$H115)*$J115+225</f>
        <v>225</v>
      </c>
      <c r="BG115" s="324">
        <f t="shared" si="1880"/>
        <v>0</v>
      </c>
      <c r="BH115" s="324">
        <f t="shared" si="1881"/>
        <v>0</v>
      </c>
      <c r="BI115" s="324">
        <f t="shared" si="1882"/>
        <v>0</v>
      </c>
      <c r="BJ115" s="324">
        <f t="shared" si="1883"/>
        <v>0</v>
      </c>
      <c r="BK115" s="324">
        <f t="shared" si="1884"/>
        <v>0</v>
      </c>
      <c r="BL115" s="324">
        <f t="shared" si="1885"/>
        <v>0</v>
      </c>
      <c r="BM115" s="325">
        <f t="shared" si="1886"/>
        <v>225</v>
      </c>
      <c r="BN115" s="324">
        <f t="shared" si="2138"/>
        <v>0</v>
      </c>
      <c r="BO115" s="324">
        <f t="shared" si="1888"/>
        <v>0</v>
      </c>
      <c r="BP115" s="324">
        <f t="shared" si="1889"/>
        <v>0</v>
      </c>
      <c r="BQ115" s="324">
        <f t="shared" si="1890"/>
        <v>0</v>
      </c>
      <c r="BR115" s="324">
        <f t="shared" si="1891"/>
        <v>0</v>
      </c>
      <c r="BS115" s="324">
        <f t="shared" si="1892"/>
        <v>0</v>
      </c>
      <c r="BT115" s="324">
        <f t="shared" si="1893"/>
        <v>0</v>
      </c>
      <c r="BU115" s="324">
        <f t="shared" si="1894"/>
        <v>0</v>
      </c>
      <c r="BV115" s="324">
        <f t="shared" si="1895"/>
        <v>0</v>
      </c>
      <c r="BW115" s="327">
        <f t="shared" si="1896"/>
        <v>0</v>
      </c>
      <c r="BX115" s="328">
        <f t="shared" si="1897"/>
        <v>0</v>
      </c>
      <c r="BY115" s="328">
        <f t="shared" si="2139"/>
        <v>0</v>
      </c>
      <c r="BZ115" s="328">
        <f t="shared" si="2139"/>
        <v>0</v>
      </c>
      <c r="CA115" s="328">
        <f t="shared" si="2139"/>
        <v>0</v>
      </c>
      <c r="CB115" s="328">
        <f t="shared" si="2139"/>
        <v>0</v>
      </c>
      <c r="CC115" s="328">
        <f t="shared" si="1899"/>
        <v>0</v>
      </c>
      <c r="CD115" s="328">
        <f t="shared" si="1900"/>
        <v>0</v>
      </c>
      <c r="CE115" s="328">
        <f t="shared" si="1901"/>
        <v>0</v>
      </c>
      <c r="CF115" s="328">
        <f t="shared" si="1902"/>
        <v>0</v>
      </c>
      <c r="CG115" s="328">
        <f t="shared" si="2133"/>
        <v>0</v>
      </c>
      <c r="CH115" s="328">
        <f t="shared" si="1904"/>
        <v>0</v>
      </c>
      <c r="CI115" s="328">
        <f t="shared" si="2140"/>
        <v>0</v>
      </c>
      <c r="CJ115" s="328">
        <f t="shared" si="2140"/>
        <v>0</v>
      </c>
      <c r="CK115" s="328">
        <f t="shared" si="2140"/>
        <v>0</v>
      </c>
      <c r="CL115" s="328">
        <f t="shared" si="1906"/>
        <v>0</v>
      </c>
      <c r="CM115" s="328">
        <f t="shared" si="1907"/>
        <v>0</v>
      </c>
      <c r="CN115" s="329">
        <f t="shared" si="1908"/>
        <v>0</v>
      </c>
      <c r="CP115" s="1543" t="s">
        <v>10</v>
      </c>
      <c r="CQ115" s="324">
        <f t="shared" si="1714"/>
        <v>3166.38</v>
      </c>
      <c r="CR115" s="324">
        <f t="shared" si="1715"/>
        <v>2500</v>
      </c>
      <c r="CS115" s="324">
        <f t="shared" si="1716"/>
        <v>2</v>
      </c>
      <c r="CT115" s="324">
        <f t="shared" si="1717"/>
        <v>39.579750000000004</v>
      </c>
      <c r="CU115" s="324">
        <f t="shared" si="1718"/>
        <v>0</v>
      </c>
      <c r="CV115" s="324">
        <f t="shared" si="2141"/>
        <v>0</v>
      </c>
      <c r="CW115" s="324">
        <f t="shared" si="1720"/>
        <v>0</v>
      </c>
      <c r="CX115" s="324">
        <f t="shared" si="1910"/>
        <v>406.195100325</v>
      </c>
      <c r="CY115" s="324">
        <f t="shared" si="1911"/>
        <v>6112.1548503249996</v>
      </c>
      <c r="CZ115" s="324">
        <f t="shared" si="1723"/>
        <v>0</v>
      </c>
      <c r="DA115" s="324">
        <f t="shared" si="1912"/>
        <v>0</v>
      </c>
      <c r="DB115" s="324">
        <f t="shared" si="1725"/>
        <v>0</v>
      </c>
      <c r="DC115" s="324">
        <f t="shared" si="1726"/>
        <v>0</v>
      </c>
      <c r="DD115" s="324">
        <f t="shared" si="1727"/>
        <v>0</v>
      </c>
      <c r="DE115" s="324">
        <f t="shared" si="1728"/>
        <v>0</v>
      </c>
      <c r="DF115" s="324">
        <f t="shared" si="1729"/>
        <v>0</v>
      </c>
      <c r="DG115" s="324">
        <f t="shared" si="1730"/>
        <v>0</v>
      </c>
      <c r="DH115" s="324">
        <f t="shared" si="1913"/>
        <v>0</v>
      </c>
      <c r="DI115" s="324">
        <f t="shared" si="2142"/>
        <v>0</v>
      </c>
      <c r="DJ115" s="324">
        <f t="shared" si="2143"/>
        <v>0</v>
      </c>
      <c r="DK115" s="324">
        <f t="shared" si="2144"/>
        <v>0</v>
      </c>
      <c r="DL115" s="324">
        <f t="shared" si="2145"/>
        <v>0</v>
      </c>
      <c r="DM115" s="324">
        <f t="shared" si="2146"/>
        <v>0</v>
      </c>
      <c r="DN115" s="324">
        <f t="shared" si="2147"/>
        <v>0</v>
      </c>
      <c r="DO115" s="324">
        <f t="shared" si="2148"/>
        <v>0</v>
      </c>
      <c r="DP115" s="324">
        <f t="shared" si="2149"/>
        <v>0</v>
      </c>
      <c r="DQ115" s="324">
        <f t="shared" si="1922"/>
        <v>0</v>
      </c>
      <c r="DR115" s="327">
        <f t="shared" si="1732"/>
        <v>0</v>
      </c>
      <c r="DS115" s="328">
        <f t="shared" si="1733"/>
        <v>0</v>
      </c>
      <c r="DT115" s="328">
        <f t="shared" si="1734"/>
        <v>0</v>
      </c>
      <c r="DU115" s="328">
        <f t="shared" si="1735"/>
        <v>0</v>
      </c>
      <c r="DV115" s="328">
        <f t="shared" si="1736"/>
        <v>0</v>
      </c>
      <c r="DW115" s="328">
        <f t="shared" si="1737"/>
        <v>0</v>
      </c>
      <c r="DX115" s="328">
        <f t="shared" si="1738"/>
        <v>0</v>
      </c>
      <c r="DY115" s="328">
        <f t="shared" si="1739"/>
        <v>0</v>
      </c>
      <c r="DZ115" s="328">
        <f t="shared" si="1923"/>
        <v>0</v>
      </c>
      <c r="EA115" s="328">
        <f t="shared" si="1740"/>
        <v>0</v>
      </c>
      <c r="EB115" s="328">
        <f t="shared" si="1741"/>
        <v>0</v>
      </c>
      <c r="EC115" s="328">
        <f t="shared" si="1742"/>
        <v>0</v>
      </c>
      <c r="ED115" s="328">
        <f t="shared" si="1743"/>
        <v>0</v>
      </c>
      <c r="EE115" s="328">
        <f t="shared" si="1744"/>
        <v>0</v>
      </c>
      <c r="EF115" s="328">
        <f t="shared" si="1745"/>
        <v>0</v>
      </c>
      <c r="EG115" s="328">
        <f t="shared" si="1746"/>
        <v>0</v>
      </c>
      <c r="EH115" s="328">
        <f t="shared" si="1747"/>
        <v>0</v>
      </c>
      <c r="EI115" s="329">
        <f t="shared" si="1924"/>
        <v>0</v>
      </c>
      <c r="EK115" s="2200">
        <v>128.16999999999999</v>
      </c>
      <c r="EL115" s="1543"/>
      <c r="EM115" s="1543"/>
      <c r="EN115" s="1543">
        <f>353.75+341</f>
        <v>694.75</v>
      </c>
      <c r="EO115" s="313"/>
      <c r="EP115" s="1969">
        <v>50</v>
      </c>
      <c r="EQ115" s="1969"/>
      <c r="ER115" s="313"/>
      <c r="ES115" s="313"/>
      <c r="ET115" s="313">
        <f t="shared" si="1925"/>
        <v>50</v>
      </c>
      <c r="EU115" s="1501"/>
      <c r="EV115" s="409">
        <f t="shared" si="2150"/>
        <v>128.16999999999999</v>
      </c>
      <c r="EW115" s="409">
        <f t="shared" si="2150"/>
        <v>0</v>
      </c>
      <c r="EX115" s="409">
        <f t="shared" si="2150"/>
        <v>0</v>
      </c>
      <c r="EY115" s="404">
        <f t="shared" si="2150"/>
        <v>694.75</v>
      </c>
      <c r="EZ115" s="409">
        <f t="shared" si="2150"/>
        <v>0</v>
      </c>
      <c r="FA115" s="409">
        <f t="shared" si="2150"/>
        <v>50</v>
      </c>
      <c r="FB115" s="409">
        <f t="shared" si="2150"/>
        <v>0</v>
      </c>
      <c r="FC115" s="409">
        <f t="shared" si="2150"/>
        <v>0</v>
      </c>
      <c r="FD115" s="409">
        <f t="shared" si="2150"/>
        <v>0</v>
      </c>
      <c r="FE115" s="409">
        <f t="shared" si="2150"/>
        <v>50</v>
      </c>
      <c r="FF115" s="333">
        <v>1</v>
      </c>
      <c r="FG115" s="333">
        <v>0</v>
      </c>
      <c r="FH115" s="333">
        <v>0</v>
      </c>
      <c r="FI115" s="333">
        <v>0</v>
      </c>
      <c r="FJ115" s="333">
        <v>0</v>
      </c>
      <c r="FK115" s="333">
        <v>1</v>
      </c>
      <c r="FL115" s="1603">
        <f>+EP115-FA115</f>
        <v>0</v>
      </c>
    </row>
    <row r="116" spans="1:172" s="1501" customFormat="1" ht="15.75" customHeight="1" outlineLevel="1" thickBot="1">
      <c r="A116" s="354"/>
      <c r="B116" s="1600"/>
      <c r="C116" s="1582" t="s">
        <v>97</v>
      </c>
      <c r="D116" s="1582"/>
      <c r="E116" s="1583">
        <f>SUM(E102:E115)</f>
        <v>44329.32</v>
      </c>
      <c r="F116" s="1583">
        <f>SUM(F102:F115)</f>
        <v>3500</v>
      </c>
      <c r="G116" s="1583">
        <f>SUM(G102:G115)</f>
        <v>47622.179999999993</v>
      </c>
      <c r="H116" s="1584"/>
      <c r="I116" s="1585"/>
      <c r="J116" s="1585"/>
      <c r="K116" s="1585"/>
      <c r="L116" s="1585"/>
      <c r="M116" s="1585"/>
      <c r="N116" s="1585"/>
      <c r="O116" s="1477"/>
      <c r="P116" s="1587">
        <f t="shared" ref="P116:AA116" si="2151">SUM(P102:P115)</f>
        <v>4</v>
      </c>
      <c r="Q116" s="1587">
        <f t="shared" si="2151"/>
        <v>79.159500000000008</v>
      </c>
      <c r="R116" s="1587">
        <f t="shared" si="2151"/>
        <v>0</v>
      </c>
      <c r="S116" s="1587">
        <f t="shared" si="2151"/>
        <v>0</v>
      </c>
      <c r="T116" s="1587">
        <f t="shared" si="2151"/>
        <v>0</v>
      </c>
      <c r="U116" s="1587">
        <f t="shared" si="2151"/>
        <v>0</v>
      </c>
      <c r="V116" s="1587">
        <f t="shared" si="2151"/>
        <v>0</v>
      </c>
      <c r="W116" s="1587">
        <f t="shared" si="2151"/>
        <v>0</v>
      </c>
      <c r="X116" s="1587">
        <f t="shared" si="2151"/>
        <v>0</v>
      </c>
      <c r="Y116" s="1587">
        <f t="shared" si="2151"/>
        <v>0</v>
      </c>
      <c r="Z116" s="1587">
        <f t="shared" si="2151"/>
        <v>0</v>
      </c>
      <c r="AA116" s="1587">
        <f t="shared" si="2151"/>
        <v>0</v>
      </c>
      <c r="AB116" s="1587">
        <f t="shared" ref="AB116:AS116" si="2152">SUM(AB102:AB113)</f>
        <v>0</v>
      </c>
      <c r="AC116" s="1587">
        <f t="shared" si="2152"/>
        <v>0</v>
      </c>
      <c r="AD116" s="1587">
        <f t="shared" si="2152"/>
        <v>0</v>
      </c>
      <c r="AE116" s="1587">
        <f t="shared" si="2152"/>
        <v>0</v>
      </c>
      <c r="AF116" s="1587">
        <f t="shared" si="2152"/>
        <v>0</v>
      </c>
      <c r="AG116" s="1587">
        <f t="shared" si="2152"/>
        <v>0</v>
      </c>
      <c r="AH116" s="1587">
        <f t="shared" si="2152"/>
        <v>0</v>
      </c>
      <c r="AI116" s="1587">
        <f t="shared" si="2152"/>
        <v>0</v>
      </c>
      <c r="AJ116" s="1587">
        <f t="shared" si="2152"/>
        <v>0</v>
      </c>
      <c r="AK116" s="1587">
        <f t="shared" si="2152"/>
        <v>0</v>
      </c>
      <c r="AL116" s="1587">
        <f t="shared" si="2152"/>
        <v>0</v>
      </c>
      <c r="AM116" s="1587">
        <f t="shared" si="2152"/>
        <v>0</v>
      </c>
      <c r="AN116" s="1587">
        <f t="shared" si="2152"/>
        <v>0</v>
      </c>
      <c r="AO116" s="1587">
        <f t="shared" si="2152"/>
        <v>0</v>
      </c>
      <c r="AP116" s="1587">
        <f t="shared" si="2152"/>
        <v>0</v>
      </c>
      <c r="AQ116" s="1587">
        <f t="shared" si="2152"/>
        <v>0</v>
      </c>
      <c r="AR116" s="1587">
        <f t="shared" si="2152"/>
        <v>0</v>
      </c>
      <c r="AS116" s="1587">
        <f t="shared" si="2152"/>
        <v>0</v>
      </c>
      <c r="AT116" s="1587">
        <f>SUM(AT99:AT113)</f>
        <v>0</v>
      </c>
      <c r="AU116" s="1622"/>
      <c r="AV116" s="1587">
        <f t="shared" ref="AV116:BV116" si="2153">+SUM(AV102:AV115)</f>
        <v>39263.112000000001</v>
      </c>
      <c r="AW116" s="1587">
        <f t="shared" si="2153"/>
        <v>17725</v>
      </c>
      <c r="AX116" s="1587">
        <f t="shared" si="2153"/>
        <v>4</v>
      </c>
      <c r="AY116" s="1587">
        <f t="shared" si="2153"/>
        <v>79.159500000000008</v>
      </c>
      <c r="AZ116" s="1587">
        <f t="shared" si="2153"/>
        <v>0</v>
      </c>
      <c r="BA116" s="1587">
        <f t="shared" si="2153"/>
        <v>0</v>
      </c>
      <c r="BB116" s="1587">
        <f t="shared" si="2153"/>
        <v>0</v>
      </c>
      <c r="BC116" s="1587">
        <f t="shared" si="2153"/>
        <v>4984.6657990500007</v>
      </c>
      <c r="BD116" s="1587">
        <f t="shared" si="2153"/>
        <v>62051.937299049998</v>
      </c>
      <c r="BE116" s="1587">
        <f t="shared" si="2153"/>
        <v>0</v>
      </c>
      <c r="BF116" s="1587">
        <f t="shared" si="2153"/>
        <v>675</v>
      </c>
      <c r="BG116" s="1587">
        <f t="shared" si="2153"/>
        <v>0</v>
      </c>
      <c r="BH116" s="1587">
        <f t="shared" si="2153"/>
        <v>0</v>
      </c>
      <c r="BI116" s="1587">
        <f t="shared" si="2153"/>
        <v>0</v>
      </c>
      <c r="BJ116" s="1587">
        <f t="shared" si="2153"/>
        <v>0</v>
      </c>
      <c r="BK116" s="1587">
        <f t="shared" si="2153"/>
        <v>0</v>
      </c>
      <c r="BL116" s="1587">
        <f t="shared" si="2153"/>
        <v>0</v>
      </c>
      <c r="BM116" s="1587">
        <f t="shared" si="2153"/>
        <v>675</v>
      </c>
      <c r="BN116" s="1587">
        <f t="shared" si="2153"/>
        <v>0</v>
      </c>
      <c r="BO116" s="1587">
        <f t="shared" si="2153"/>
        <v>0</v>
      </c>
      <c r="BP116" s="1587">
        <f t="shared" si="2153"/>
        <v>0</v>
      </c>
      <c r="BQ116" s="1587">
        <f t="shared" si="2153"/>
        <v>0</v>
      </c>
      <c r="BR116" s="1587">
        <f t="shared" si="2153"/>
        <v>0</v>
      </c>
      <c r="BS116" s="1587">
        <f t="shared" si="2153"/>
        <v>0</v>
      </c>
      <c r="BT116" s="1587">
        <f t="shared" si="2153"/>
        <v>0</v>
      </c>
      <c r="BU116" s="1587">
        <f t="shared" si="2153"/>
        <v>0</v>
      </c>
      <c r="BV116" s="1587">
        <f t="shared" si="2153"/>
        <v>0</v>
      </c>
      <c r="BW116" s="1623">
        <f t="shared" ref="BW116:CN116" si="2154">SUM(BW99:BW113)</f>
        <v>0</v>
      </c>
      <c r="BX116" s="1623">
        <f t="shared" si="2154"/>
        <v>0</v>
      </c>
      <c r="BY116" s="1623">
        <f t="shared" si="2154"/>
        <v>0</v>
      </c>
      <c r="BZ116" s="1623">
        <f t="shared" si="2154"/>
        <v>0</v>
      </c>
      <c r="CA116" s="1623">
        <f t="shared" si="2154"/>
        <v>0</v>
      </c>
      <c r="CB116" s="1623">
        <f t="shared" si="2154"/>
        <v>0</v>
      </c>
      <c r="CC116" s="1623">
        <f t="shared" si="2154"/>
        <v>0</v>
      </c>
      <c r="CD116" s="1623">
        <f t="shared" si="2154"/>
        <v>0</v>
      </c>
      <c r="CE116" s="1623">
        <f t="shared" si="2154"/>
        <v>0</v>
      </c>
      <c r="CF116" s="1623">
        <f t="shared" si="2154"/>
        <v>0</v>
      </c>
      <c r="CG116" s="1623">
        <f t="shared" si="2154"/>
        <v>0</v>
      </c>
      <c r="CH116" s="1623">
        <f t="shared" si="2154"/>
        <v>0</v>
      </c>
      <c r="CI116" s="1623">
        <f t="shared" si="2154"/>
        <v>0</v>
      </c>
      <c r="CJ116" s="1623">
        <f t="shared" si="2154"/>
        <v>0</v>
      </c>
      <c r="CK116" s="1623">
        <f t="shared" si="2154"/>
        <v>0</v>
      </c>
      <c r="CL116" s="1623">
        <f t="shared" si="2154"/>
        <v>0</v>
      </c>
      <c r="CM116" s="1623">
        <f t="shared" si="2154"/>
        <v>0</v>
      </c>
      <c r="CN116" s="1623">
        <f t="shared" si="2154"/>
        <v>0</v>
      </c>
      <c r="CO116" s="1582"/>
      <c r="CP116" s="1602"/>
      <c r="CQ116" s="1587">
        <f t="shared" ref="CQ116:EI116" si="2155">+SUM(CQ102:CQ115)</f>
        <v>39263.112000000001</v>
      </c>
      <c r="CR116" s="1587">
        <f t="shared" si="2155"/>
        <v>18400</v>
      </c>
      <c r="CS116" s="1587">
        <f t="shared" si="2155"/>
        <v>4</v>
      </c>
      <c r="CT116" s="1587">
        <f t="shared" si="2155"/>
        <v>79.159500000000008</v>
      </c>
      <c r="CU116" s="1587">
        <f t="shared" si="2155"/>
        <v>0</v>
      </c>
      <c r="CV116" s="1587">
        <f t="shared" si="2155"/>
        <v>0</v>
      </c>
      <c r="CW116" s="1587">
        <f t="shared" si="2155"/>
        <v>0</v>
      </c>
      <c r="CX116" s="1587">
        <f t="shared" si="2155"/>
        <v>4984.6657990500007</v>
      </c>
      <c r="CY116" s="1587">
        <f t="shared" si="2155"/>
        <v>62726.937299049998</v>
      </c>
      <c r="CZ116" s="1587">
        <f t="shared" si="2155"/>
        <v>0</v>
      </c>
      <c r="DA116" s="1587">
        <f t="shared" si="2155"/>
        <v>0</v>
      </c>
      <c r="DB116" s="1587">
        <f t="shared" si="2155"/>
        <v>0</v>
      </c>
      <c r="DC116" s="1587">
        <f t="shared" si="2155"/>
        <v>0</v>
      </c>
      <c r="DD116" s="1587">
        <f t="shared" si="2155"/>
        <v>0</v>
      </c>
      <c r="DE116" s="1587">
        <f t="shared" si="2155"/>
        <v>0</v>
      </c>
      <c r="DF116" s="1587">
        <f t="shared" si="2155"/>
        <v>0</v>
      </c>
      <c r="DG116" s="1587">
        <f t="shared" si="2155"/>
        <v>0</v>
      </c>
      <c r="DH116" s="1587">
        <f t="shared" si="2155"/>
        <v>0</v>
      </c>
      <c r="DI116" s="1587">
        <f t="shared" si="2155"/>
        <v>0</v>
      </c>
      <c r="DJ116" s="1587">
        <f t="shared" si="2155"/>
        <v>0</v>
      </c>
      <c r="DK116" s="1587">
        <f t="shared" si="2155"/>
        <v>0</v>
      </c>
      <c r="DL116" s="1587">
        <f t="shared" si="2155"/>
        <v>0</v>
      </c>
      <c r="DM116" s="1587">
        <f t="shared" si="2155"/>
        <v>0</v>
      </c>
      <c r="DN116" s="1587">
        <f t="shared" si="2155"/>
        <v>0</v>
      </c>
      <c r="DO116" s="1587">
        <f t="shared" si="2155"/>
        <v>0</v>
      </c>
      <c r="DP116" s="1587">
        <f t="shared" si="2155"/>
        <v>0</v>
      </c>
      <c r="DQ116" s="1587">
        <f t="shared" si="2155"/>
        <v>0</v>
      </c>
      <c r="DR116" s="1587">
        <f t="shared" si="2155"/>
        <v>0</v>
      </c>
      <c r="DS116" s="1587">
        <f t="shared" si="2155"/>
        <v>0</v>
      </c>
      <c r="DT116" s="1587">
        <f t="shared" si="2155"/>
        <v>0</v>
      </c>
      <c r="DU116" s="1587">
        <f t="shared" si="2155"/>
        <v>0</v>
      </c>
      <c r="DV116" s="1587">
        <f t="shared" si="2155"/>
        <v>0</v>
      </c>
      <c r="DW116" s="1587">
        <f t="shared" si="2155"/>
        <v>0</v>
      </c>
      <c r="DX116" s="1587">
        <f t="shared" si="2155"/>
        <v>0</v>
      </c>
      <c r="DY116" s="1587">
        <f t="shared" si="2155"/>
        <v>0</v>
      </c>
      <c r="DZ116" s="1587">
        <f t="shared" si="2155"/>
        <v>0</v>
      </c>
      <c r="EA116" s="1587">
        <f t="shared" si="2155"/>
        <v>0</v>
      </c>
      <c r="EB116" s="1587">
        <f t="shared" si="2155"/>
        <v>0</v>
      </c>
      <c r="EC116" s="1587">
        <f t="shared" si="2155"/>
        <v>0</v>
      </c>
      <c r="ED116" s="1587">
        <f t="shared" si="2155"/>
        <v>0</v>
      </c>
      <c r="EE116" s="1587">
        <f t="shared" si="2155"/>
        <v>0</v>
      </c>
      <c r="EF116" s="1587">
        <f t="shared" si="2155"/>
        <v>0</v>
      </c>
      <c r="EG116" s="1587">
        <f t="shared" si="2155"/>
        <v>0</v>
      </c>
      <c r="EH116" s="1587">
        <f t="shared" si="2155"/>
        <v>0</v>
      </c>
      <c r="EI116" s="1587">
        <f t="shared" si="2155"/>
        <v>0</v>
      </c>
      <c r="EJ116" s="1582"/>
      <c r="EK116" s="1586">
        <f t="shared" ref="EK116:ET116" si="2156">+SUM(EK102:EK115)</f>
        <v>517.32000000000005</v>
      </c>
      <c r="EL116" s="1586">
        <f t="shared" si="2156"/>
        <v>5180.1899999999996</v>
      </c>
      <c r="EM116" s="1586">
        <f t="shared" si="2156"/>
        <v>0</v>
      </c>
      <c r="EN116" s="1586">
        <f t="shared" si="2156"/>
        <v>4715.75</v>
      </c>
      <c r="EO116" s="1586">
        <f t="shared" si="2156"/>
        <v>82.5</v>
      </c>
      <c r="EP116" s="1586">
        <f t="shared" si="2156"/>
        <v>650</v>
      </c>
      <c r="EQ116" s="1586">
        <f t="shared" si="2156"/>
        <v>0</v>
      </c>
      <c r="ER116" s="1586">
        <f t="shared" si="2156"/>
        <v>0</v>
      </c>
      <c r="ES116" s="1586">
        <f t="shared" si="2156"/>
        <v>0</v>
      </c>
      <c r="ET116" s="1586">
        <f t="shared" si="2156"/>
        <v>732.5</v>
      </c>
      <c r="EV116" s="1586">
        <f t="shared" ref="EV116:FE116" si="2157">+SUM(EV102:EV115)</f>
        <v>574.31000000000006</v>
      </c>
      <c r="EW116" s="1586">
        <f t="shared" si="2157"/>
        <v>4702.6149999999998</v>
      </c>
      <c r="EX116" s="1586">
        <f t="shared" si="2157"/>
        <v>0</v>
      </c>
      <c r="EY116" s="1586">
        <f t="shared" si="2157"/>
        <v>4715.75</v>
      </c>
      <c r="EZ116" s="1586">
        <f t="shared" si="2157"/>
        <v>82.5</v>
      </c>
      <c r="FA116" s="1586">
        <f t="shared" si="2157"/>
        <v>650</v>
      </c>
      <c r="FB116" s="1586">
        <f t="shared" si="2157"/>
        <v>0</v>
      </c>
      <c r="FC116" s="1586">
        <f t="shared" si="2157"/>
        <v>0</v>
      </c>
      <c r="FD116" s="1586">
        <f t="shared" si="2157"/>
        <v>0</v>
      </c>
      <c r="FE116" s="1586">
        <f t="shared" si="2157"/>
        <v>707.5</v>
      </c>
      <c r="FF116" s="1586">
        <f t="shared" ref="FF116:FK116" si="2158">+SUM(FF102:FF114)</f>
        <v>7</v>
      </c>
      <c r="FG116" s="1586">
        <f t="shared" si="2158"/>
        <v>2</v>
      </c>
      <c r="FH116" s="1586">
        <f t="shared" si="2158"/>
        <v>0</v>
      </c>
      <c r="FI116" s="1586">
        <f t="shared" si="2158"/>
        <v>0</v>
      </c>
      <c r="FJ116" s="1586">
        <f t="shared" si="2158"/>
        <v>0</v>
      </c>
      <c r="FK116" s="1586">
        <f t="shared" si="2158"/>
        <v>9</v>
      </c>
      <c r="FL116" s="1624">
        <f>+EP116-FA116</f>
        <v>0</v>
      </c>
    </row>
    <row r="117" spans="1:172" s="331" customFormat="1" ht="15.75" customHeight="1" outlineLevel="1" thickTop="1">
      <c r="A117" s="354"/>
      <c r="B117" s="1442"/>
      <c r="C117" s="1582"/>
      <c r="D117" s="330"/>
      <c r="E117" s="1570"/>
      <c r="F117" s="1570"/>
      <c r="G117" s="1570"/>
      <c r="H117" s="1570"/>
      <c r="I117" s="1589"/>
      <c r="J117" s="1589"/>
      <c r="K117" s="1589"/>
      <c r="L117" s="1589"/>
      <c r="M117" s="1589"/>
      <c r="N117" s="1589"/>
      <c r="O117" s="319"/>
      <c r="P117" s="1570"/>
      <c r="Q117" s="1570"/>
      <c r="R117" s="1570"/>
      <c r="S117" s="1570"/>
      <c r="T117" s="1570"/>
      <c r="U117" s="1570"/>
      <c r="V117" s="1570"/>
      <c r="W117" s="1570"/>
      <c r="X117" s="1570"/>
      <c r="Y117" s="1570"/>
      <c r="Z117" s="1570"/>
      <c r="AA117" s="1570"/>
      <c r="AB117" s="1570"/>
      <c r="AC117" s="1570"/>
      <c r="AD117" s="1570"/>
      <c r="AE117" s="1570"/>
      <c r="AF117" s="1570"/>
      <c r="AG117" s="1570"/>
      <c r="AH117" s="1570"/>
      <c r="AI117" s="1570"/>
      <c r="AJ117" s="1570"/>
      <c r="AK117" s="1570"/>
      <c r="AL117" s="1570"/>
      <c r="AM117" s="1570"/>
      <c r="AN117" s="1570"/>
      <c r="AO117" s="1570"/>
      <c r="AP117" s="1570"/>
      <c r="AQ117" s="1570"/>
      <c r="AR117" s="1570"/>
      <c r="AS117" s="1570"/>
      <c r="AT117" s="1570"/>
      <c r="AU117" s="1570"/>
      <c r="AV117" s="1570"/>
      <c r="AW117" s="1570"/>
      <c r="AX117" s="1570"/>
      <c r="AY117" s="1570"/>
      <c r="AZ117" s="1570"/>
      <c r="BA117" s="1570"/>
      <c r="BB117" s="1570"/>
      <c r="BC117" s="1570"/>
      <c r="BD117" s="1570"/>
      <c r="BE117" s="1570"/>
      <c r="BF117" s="1570"/>
      <c r="BG117" s="1570"/>
      <c r="BH117" s="1570"/>
      <c r="BI117" s="1570"/>
      <c r="BJ117" s="1570"/>
      <c r="BK117" s="1570"/>
      <c r="BL117" s="1570"/>
      <c r="BM117" s="1570"/>
      <c r="BN117" s="1570"/>
      <c r="BO117" s="1570"/>
      <c r="BP117" s="1570"/>
      <c r="BQ117" s="1570"/>
      <c r="BR117" s="1570"/>
      <c r="BS117" s="1570"/>
      <c r="BT117" s="1570"/>
      <c r="BU117" s="1570"/>
      <c r="BV117" s="1570"/>
      <c r="BW117" s="1570"/>
      <c r="BX117" s="1570"/>
      <c r="BY117" s="1570"/>
      <c r="BZ117" s="1570"/>
      <c r="CA117" s="1570"/>
      <c r="CB117" s="1570"/>
      <c r="CC117" s="1570"/>
      <c r="CD117" s="1570"/>
      <c r="CE117" s="1570"/>
      <c r="CF117" s="1570"/>
      <c r="CG117" s="1570"/>
      <c r="CH117" s="1570"/>
      <c r="CI117" s="1570"/>
      <c r="CJ117" s="1570"/>
      <c r="CK117" s="1570"/>
      <c r="CL117" s="1570"/>
      <c r="CM117" s="1570"/>
      <c r="CN117" s="1570"/>
      <c r="CO117" s="1570"/>
      <c r="CP117" s="1570"/>
      <c r="CQ117" s="1570"/>
      <c r="CR117" s="1570"/>
      <c r="CS117" s="1570"/>
      <c r="CT117" s="1570"/>
      <c r="CU117" s="1570"/>
      <c r="CV117" s="1570"/>
      <c r="CW117" s="1570"/>
      <c r="CX117" s="1570"/>
      <c r="CY117" s="1570"/>
      <c r="CZ117" s="1570"/>
      <c r="DA117" s="1570"/>
      <c r="DB117" s="1570"/>
      <c r="DC117" s="1570"/>
      <c r="DD117" s="1570"/>
      <c r="DE117" s="1570"/>
      <c r="DF117" s="1570"/>
      <c r="DG117" s="1570"/>
      <c r="DH117" s="1570"/>
      <c r="DI117" s="1570"/>
      <c r="DJ117" s="1570"/>
      <c r="DK117" s="1570"/>
      <c r="DL117" s="1570"/>
      <c r="DM117" s="1570"/>
      <c r="DN117" s="1570"/>
      <c r="DO117" s="1570"/>
      <c r="DP117" s="1570"/>
      <c r="DQ117" s="1570"/>
      <c r="DR117" s="1570"/>
      <c r="DS117" s="1570"/>
      <c r="DT117" s="1570"/>
      <c r="DU117" s="1570"/>
      <c r="DV117" s="1570"/>
      <c r="DW117" s="1570"/>
      <c r="DX117" s="1570"/>
      <c r="DY117" s="1570"/>
      <c r="DZ117" s="1570"/>
      <c r="EA117" s="1570"/>
      <c r="EB117" s="1570"/>
      <c r="EC117" s="1570"/>
      <c r="ED117" s="1570"/>
      <c r="EE117" s="1570"/>
      <c r="EF117" s="1570"/>
      <c r="EG117" s="1570"/>
      <c r="EH117" s="1570"/>
      <c r="EI117" s="1570"/>
      <c r="EJ117" s="1570"/>
      <c r="EK117" s="1570"/>
      <c r="EL117" s="1570"/>
      <c r="EM117" s="1570"/>
      <c r="EN117" s="1570"/>
      <c r="EO117" s="1570"/>
      <c r="EP117" s="1570"/>
      <c r="EQ117" s="1570"/>
      <c r="ER117" s="1570"/>
      <c r="ES117" s="1570"/>
      <c r="ET117" s="1570"/>
      <c r="EU117" s="1501"/>
      <c r="EV117" s="1570"/>
      <c r="EW117" s="1570"/>
      <c r="EX117" s="1570"/>
      <c r="EY117" s="1570"/>
      <c r="EZ117" s="1570"/>
      <c r="FA117" s="1570"/>
      <c r="FB117" s="1570"/>
      <c r="FC117" s="1570"/>
      <c r="FD117" s="1570"/>
      <c r="FE117" s="1570"/>
      <c r="FF117" s="1448"/>
      <c r="FG117" s="1448"/>
      <c r="FH117" s="1448"/>
      <c r="FI117" s="1448"/>
      <c r="FJ117" s="1448"/>
      <c r="FK117" s="1448"/>
      <c r="FL117" s="1441">
        <f t="shared" si="1674"/>
        <v>0</v>
      </c>
    </row>
    <row r="118" spans="1:172" s="331" customFormat="1" ht="15.75" customHeight="1" outlineLevel="1">
      <c r="A118" s="354"/>
      <c r="B118" s="1404" t="s">
        <v>418</v>
      </c>
      <c r="C118" s="1582"/>
      <c r="D118" s="330"/>
      <c r="E118" s="1570"/>
      <c r="F118" s="1570"/>
      <c r="G118" s="1570"/>
      <c r="H118" s="1570"/>
      <c r="I118" s="1589"/>
      <c r="J118" s="1589"/>
      <c r="K118" s="1589"/>
      <c r="L118" s="1589"/>
      <c r="M118" s="1589"/>
      <c r="N118" s="1589"/>
      <c r="O118" s="319"/>
      <c r="P118" s="1570"/>
      <c r="Q118" s="1570"/>
      <c r="R118" s="1570"/>
      <c r="S118" s="1570"/>
      <c r="T118" s="1570"/>
      <c r="U118" s="1570"/>
      <c r="V118" s="1570"/>
      <c r="W118" s="1570"/>
      <c r="X118" s="1570"/>
      <c r="Y118" s="1570"/>
      <c r="Z118" s="1570"/>
      <c r="AA118" s="1570"/>
      <c r="AB118" s="1570"/>
      <c r="AC118" s="1570"/>
      <c r="AD118" s="1570"/>
      <c r="AE118" s="1570"/>
      <c r="AF118" s="1570"/>
      <c r="AG118" s="1570"/>
      <c r="AH118" s="1570"/>
      <c r="AI118" s="1570"/>
      <c r="AJ118" s="1570"/>
      <c r="AK118" s="1570"/>
      <c r="AL118" s="1570"/>
      <c r="AM118" s="1570"/>
      <c r="AN118" s="1570"/>
      <c r="AO118" s="1570"/>
      <c r="AP118" s="1570"/>
      <c r="AQ118" s="1570"/>
      <c r="AR118" s="1570"/>
      <c r="AS118" s="1570"/>
      <c r="AT118" s="1570"/>
      <c r="AU118" s="1570"/>
      <c r="AV118" s="1570"/>
      <c r="AW118" s="1570"/>
      <c r="AX118" s="1570"/>
      <c r="AY118" s="1570"/>
      <c r="AZ118" s="1570"/>
      <c r="BA118" s="1570"/>
      <c r="BB118" s="1570"/>
      <c r="BC118" s="1570"/>
      <c r="BD118" s="1570"/>
      <c r="BE118" s="1570"/>
      <c r="BF118" s="1570"/>
      <c r="BG118" s="1570"/>
      <c r="BH118" s="1570"/>
      <c r="BI118" s="1570"/>
      <c r="BJ118" s="1570"/>
      <c r="BK118" s="1570"/>
      <c r="BL118" s="1570"/>
      <c r="BM118" s="1570"/>
      <c r="BN118" s="1570"/>
      <c r="BO118" s="1570"/>
      <c r="BP118" s="1570"/>
      <c r="BQ118" s="1570"/>
      <c r="BR118" s="1570"/>
      <c r="BS118" s="1570"/>
      <c r="BT118" s="1570"/>
      <c r="BU118" s="1570"/>
      <c r="BV118" s="1570"/>
      <c r="BW118" s="1570"/>
      <c r="BX118" s="1570"/>
      <c r="BY118" s="1570"/>
      <c r="BZ118" s="1570"/>
      <c r="CA118" s="1570"/>
      <c r="CB118" s="1570"/>
      <c r="CC118" s="1570"/>
      <c r="CD118" s="1570"/>
      <c r="CE118" s="1570"/>
      <c r="CF118" s="1570"/>
      <c r="CG118" s="1570"/>
      <c r="CH118" s="1570"/>
      <c r="CI118" s="1570"/>
      <c r="CJ118" s="1570"/>
      <c r="CK118" s="1570"/>
      <c r="CL118" s="1570"/>
      <c r="CM118" s="1570"/>
      <c r="CN118" s="1570"/>
      <c r="CO118" s="1570"/>
      <c r="CP118" s="1570"/>
      <c r="CQ118" s="1570"/>
      <c r="CR118" s="1570"/>
      <c r="CS118" s="1570"/>
      <c r="CT118" s="1570"/>
      <c r="CU118" s="1570"/>
      <c r="CV118" s="1570"/>
      <c r="CW118" s="1570"/>
      <c r="CX118" s="1570"/>
      <c r="CY118" s="1570"/>
      <c r="CZ118" s="1570"/>
      <c r="DA118" s="1570"/>
      <c r="DB118" s="1570"/>
      <c r="DC118" s="1570"/>
      <c r="DD118" s="1570"/>
      <c r="DE118" s="1570"/>
      <c r="DF118" s="1570"/>
      <c r="DG118" s="1570"/>
      <c r="DH118" s="1570"/>
      <c r="DI118" s="1570"/>
      <c r="DJ118" s="1570"/>
      <c r="DK118" s="1570"/>
      <c r="DL118" s="1570"/>
      <c r="DM118" s="1570"/>
      <c r="DN118" s="1570"/>
      <c r="DO118" s="1570"/>
      <c r="DP118" s="1570"/>
      <c r="DQ118" s="1570"/>
      <c r="DR118" s="1570"/>
      <c r="DS118" s="1570"/>
      <c r="DT118" s="1570"/>
      <c r="DU118" s="1570"/>
      <c r="DV118" s="1570"/>
      <c r="DW118" s="1570"/>
      <c r="DX118" s="1570"/>
      <c r="DY118" s="1570"/>
      <c r="DZ118" s="1570"/>
      <c r="EA118" s="1570"/>
      <c r="EB118" s="1570"/>
      <c r="EC118" s="1570"/>
      <c r="ED118" s="1570"/>
      <c r="EE118" s="1570"/>
      <c r="EF118" s="1570"/>
      <c r="EG118" s="1570"/>
      <c r="EH118" s="1570"/>
      <c r="EI118" s="1570"/>
      <c r="EJ118" s="1570"/>
      <c r="EK118" s="1570"/>
      <c r="EL118" s="1570"/>
      <c r="EM118" s="1570"/>
      <c r="EN118" s="1570"/>
      <c r="EO118" s="1570"/>
      <c r="EP118" s="1570"/>
      <c r="EQ118" s="1570"/>
      <c r="ER118" s="1570"/>
      <c r="ES118" s="1570"/>
      <c r="ET118" s="1570"/>
      <c r="EU118" s="1501"/>
      <c r="EV118" s="1570"/>
      <c r="EW118" s="1570"/>
      <c r="EX118" s="1570"/>
      <c r="EY118" s="1570"/>
      <c r="EZ118" s="1570"/>
      <c r="FA118" s="1570"/>
      <c r="FB118" s="1570"/>
      <c r="FC118" s="1570"/>
      <c r="FD118" s="1570"/>
      <c r="FE118" s="1570"/>
      <c r="FF118" s="1448"/>
      <c r="FG118" s="1448"/>
      <c r="FH118" s="1448"/>
      <c r="FI118" s="1448"/>
      <c r="FJ118" s="1448"/>
      <c r="FK118" s="1448"/>
      <c r="FL118" s="1441">
        <f t="shared" si="1674"/>
        <v>0</v>
      </c>
    </row>
    <row r="119" spans="1:172" s="331" customFormat="1" ht="15" customHeight="1" outlineLevel="1">
      <c r="A119" s="1625">
        <v>77</v>
      </c>
      <c r="B119" s="213" t="s">
        <v>549</v>
      </c>
      <c r="C119" s="312" t="s">
        <v>419</v>
      </c>
      <c r="D119" s="313" t="s">
        <v>11</v>
      </c>
      <c r="E119" s="1971">
        <v>3166.38</v>
      </c>
      <c r="F119" s="314">
        <v>250</v>
      </c>
      <c r="G119" s="1988">
        <f>+E119+F119</f>
        <v>3416.38</v>
      </c>
      <c r="H119" s="1971">
        <v>30</v>
      </c>
      <c r="I119" s="318">
        <v>0</v>
      </c>
      <c r="J119" s="1498">
        <v>1</v>
      </c>
      <c r="K119" s="318">
        <v>0</v>
      </c>
      <c r="L119" s="318">
        <v>0</v>
      </c>
      <c r="M119" s="318">
        <v>0</v>
      </c>
      <c r="N119" s="318">
        <f>SUM(I119:M119)</f>
        <v>1</v>
      </c>
      <c r="O119" s="1477" t="s">
        <v>54</v>
      </c>
      <c r="P119" s="320"/>
      <c r="Q119" s="315">
        <f>($E119/30/8*1.5)*P119</f>
        <v>0</v>
      </c>
      <c r="R119" s="321"/>
      <c r="S119" s="315">
        <f>($E119/30/8*2)*R119</f>
        <v>0</v>
      </c>
      <c r="T119" s="321"/>
      <c r="U119" s="315">
        <f>($E119/30/8*1.5)*T119</f>
        <v>0</v>
      </c>
      <c r="V119" s="321"/>
      <c r="W119" s="315">
        <f>($E119/30/8*2)*V119</f>
        <v>0</v>
      </c>
      <c r="X119" s="321"/>
      <c r="Y119" s="315">
        <f>(($E119/30/8)*1.5)*X119</f>
        <v>0</v>
      </c>
      <c r="Z119" s="322"/>
      <c r="AA119" s="315">
        <f>(($E119/30/8)*2)*Z119</f>
        <v>0</v>
      </c>
      <c r="AB119" s="322"/>
      <c r="AC119" s="315">
        <f>(($E119/30/8)*1.5)*AB119</f>
        <v>0</v>
      </c>
      <c r="AD119" s="322"/>
      <c r="AE119" s="358">
        <f>(($E119/30/8)*2)*AD119</f>
        <v>0</v>
      </c>
      <c r="AF119" s="315"/>
      <c r="AG119" s="315">
        <f>(($E119/30/8)*1.5)*AF119</f>
        <v>0</v>
      </c>
      <c r="AH119" s="322"/>
      <c r="AI119" s="315">
        <f>(($E119/30/8)*2)*AH119</f>
        <v>0</v>
      </c>
      <c r="AJ119" s="314"/>
      <c r="AK119" s="314"/>
      <c r="AL119" s="314"/>
      <c r="AM119" s="314"/>
      <c r="AN119" s="314"/>
      <c r="AO119" s="1526"/>
      <c r="AP119" s="314">
        <v>0</v>
      </c>
      <c r="AQ119" s="314"/>
      <c r="AR119" s="314"/>
      <c r="AS119" s="314"/>
      <c r="AT119" s="314"/>
      <c r="AU119" s="326"/>
      <c r="AV119" s="315">
        <f>((E119/30)*H119)*$I119</f>
        <v>0</v>
      </c>
      <c r="AW119" s="315">
        <f>((F119/30)*H119)*$I119</f>
        <v>0</v>
      </c>
      <c r="AX119" s="315">
        <f t="shared" ref="AX119:BA120" si="2159">P119</f>
        <v>0</v>
      </c>
      <c r="AY119" s="315">
        <f t="shared" si="2159"/>
        <v>0</v>
      </c>
      <c r="AZ119" s="315">
        <f t="shared" si="2159"/>
        <v>0</v>
      </c>
      <c r="BA119" s="315">
        <f t="shared" si="2159"/>
        <v>0</v>
      </c>
      <c r="BB119" s="315">
        <f>AJ119+AO119</f>
        <v>0</v>
      </c>
      <c r="BC119" s="315">
        <f>(AV119+AY119+BA119)*0.1267</f>
        <v>0</v>
      </c>
      <c r="BD119" s="315">
        <f>SUM(AV119:BC119)-AX119-AZ119</f>
        <v>0</v>
      </c>
      <c r="BE119" s="315">
        <f>(($E119/30)*$H119)*$J119</f>
        <v>3166.38</v>
      </c>
      <c r="BF119" s="906">
        <f>(($F119/30)*$H119)*$J119</f>
        <v>250.00000000000003</v>
      </c>
      <c r="BG119" s="315">
        <f t="shared" ref="BG119:BJ120" si="2160">T119</f>
        <v>0</v>
      </c>
      <c r="BH119" s="315">
        <f t="shared" si="2160"/>
        <v>0</v>
      </c>
      <c r="BI119" s="315">
        <f t="shared" si="2160"/>
        <v>0</v>
      </c>
      <c r="BJ119" s="315">
        <f t="shared" si="2160"/>
        <v>0</v>
      </c>
      <c r="BK119" s="315">
        <f>AK119+AP119</f>
        <v>0</v>
      </c>
      <c r="BL119" s="315">
        <f>(+BE119+BH119+BJ119+BK119)*0.1267</f>
        <v>401.18034600000004</v>
      </c>
      <c r="BM119" s="314">
        <f>SUM(BE119:BL119)-BG119-BI119</f>
        <v>3817.5603460000002</v>
      </c>
      <c r="BN119" s="315">
        <f>(($E119/30)*$H119)*$K119</f>
        <v>0</v>
      </c>
      <c r="BO119" s="315">
        <f>(($F119/30)*$H119)*$K119</f>
        <v>0</v>
      </c>
      <c r="BP119" s="315">
        <f t="shared" ref="BP119:BR120" si="2161">X119</f>
        <v>0</v>
      </c>
      <c r="BQ119" s="315">
        <f t="shared" si="2161"/>
        <v>0</v>
      </c>
      <c r="BR119" s="315">
        <f t="shared" si="2161"/>
        <v>0</v>
      </c>
      <c r="BS119" s="315">
        <f>AA119</f>
        <v>0</v>
      </c>
      <c r="BT119" s="315">
        <f>AL119+AQ119</f>
        <v>0</v>
      </c>
      <c r="BU119" s="315">
        <f>(BN119+BQ119+BS119)*0.1267</f>
        <v>0</v>
      </c>
      <c r="BV119" s="315">
        <f>SUM(BN119:BU119)-BP119-BR119</f>
        <v>0</v>
      </c>
      <c r="BW119" s="360">
        <f>(($E119/30)*$H119)*$L119</f>
        <v>0</v>
      </c>
      <c r="BX119" s="361">
        <f>(($F119/30)*$H119)*$L119</f>
        <v>0</v>
      </c>
      <c r="BY119" s="361">
        <f t="shared" ref="BY119:CB120" si="2162">AB119</f>
        <v>0</v>
      </c>
      <c r="BZ119" s="361">
        <f t="shared" si="2162"/>
        <v>0</v>
      </c>
      <c r="CA119" s="361">
        <f t="shared" si="2162"/>
        <v>0</v>
      </c>
      <c r="CB119" s="361">
        <f t="shared" si="2162"/>
        <v>0</v>
      </c>
      <c r="CC119" s="361">
        <f>AM119+AR119</f>
        <v>0</v>
      </c>
      <c r="CD119" s="361">
        <f>(BW119+BZ119+CB119)*0.1267</f>
        <v>0</v>
      </c>
      <c r="CE119" s="361">
        <f>SUM(BW119:CD119)-BY119-CA119</f>
        <v>0</v>
      </c>
      <c r="CF119" s="361">
        <f>(($E119/30)*$H119)*M119</f>
        <v>0</v>
      </c>
      <c r="CG119" s="361">
        <f>(($F119/30)*$H119)*$M119</f>
        <v>0</v>
      </c>
      <c r="CH119" s="361">
        <f>+AF119</f>
        <v>0</v>
      </c>
      <c r="CI119" s="361">
        <f>AG119</f>
        <v>0</v>
      </c>
      <c r="CJ119" s="361">
        <f>AH119</f>
        <v>0</v>
      </c>
      <c r="CK119" s="361">
        <f>AI119</f>
        <v>0</v>
      </c>
      <c r="CL119" s="361">
        <f>AN119+AS119</f>
        <v>0</v>
      </c>
      <c r="CM119" s="361">
        <f>(CF119+CI119+CK119)*0.1267</f>
        <v>0</v>
      </c>
      <c r="CN119" s="362">
        <f>SUM(CF119:CM119)-CH119-CJ119</f>
        <v>0</v>
      </c>
      <c r="CO119" s="330"/>
      <c r="CP119" s="313" t="s">
        <v>11</v>
      </c>
      <c r="CQ119" s="315">
        <f>IF($CP119="PROQUIMA",$AV119+$BE119+$BN119+$BW119+$CF119,0)</f>
        <v>0</v>
      </c>
      <c r="CR119" s="315">
        <f>IF($CP119="PROQUIMA",$AW119+$BF119+$BO119+$BX119+$CG119,0)</f>
        <v>0</v>
      </c>
      <c r="CS119" s="315">
        <f>IF($CP119="PROQUIMA",$AX119+$BG119+$BP119+$BY119+$CH119,0)</f>
        <v>0</v>
      </c>
      <c r="CT119" s="315">
        <f>IF($CP119="PROQUIMA",$AY119+$BH119+$BQ119+$BZ119+$CI119,0)</f>
        <v>0</v>
      </c>
      <c r="CU119" s="315">
        <f>IF($CP119="PROQUIMA",$AZ119+$BI119+$BR119+$CA119+$CJ119,0)</f>
        <v>0</v>
      </c>
      <c r="CV119" s="315">
        <f>IF($CP119="PROQUIMA",$BA119+$BJ119+$BS119+$CB119+$CK119,0)</f>
        <v>0</v>
      </c>
      <c r="CW119" s="315">
        <f>IF($CP119="PROQUIMA",$BB119+$BK119+$BT119+$CC119+$CL119,0)</f>
        <v>0</v>
      </c>
      <c r="CX119" s="315">
        <f>IF($CP119="PROQUIMA",$BC119+$BL119+$BU119+$CD119+CM119,0)</f>
        <v>0</v>
      </c>
      <c r="CY119" s="315">
        <f>SUM(CQ119:CX119)-CS119-CU119</f>
        <v>0</v>
      </c>
      <c r="CZ119" s="315">
        <f>IF($CP119="UNHESA",$AV119+$BE119+$BN119+$BW119+$CF119,0)</f>
        <v>3166.38</v>
      </c>
      <c r="DA119" s="315">
        <f>IF($CP119="UNHESA",$AW119+$BF119+$BO119+$BX119+$CG119,0)</f>
        <v>250.00000000000003</v>
      </c>
      <c r="DB119" s="315">
        <f>IF($CP119="UNHESA",$AX119+$BG119+$BP119+$BY119+$CH119,0)</f>
        <v>0</v>
      </c>
      <c r="DC119" s="315">
        <f>IF($CP119="UNHESA",$AY119+$BH119+$BQ119+$BZ119+$CI119,0)</f>
        <v>0</v>
      </c>
      <c r="DD119" s="315">
        <f>IF($CP119="UNHESA",$AZ119+$BI119+$BR119+$CA119+$CJ119,0)</f>
        <v>0</v>
      </c>
      <c r="DE119" s="315">
        <f>IF($CP119="UNHESA",$BA119+$BJ119+$BS119+$CB119+$CK119,0)</f>
        <v>0</v>
      </c>
      <c r="DF119" s="315">
        <f>IF($CP119="UNHESA",$BB119+$BK119+$BT119+$CC119+$CL119,0)</f>
        <v>0</v>
      </c>
      <c r="DG119" s="315">
        <f>IF($CP119="UNHESA",$BC119+$BL119+$BU119+$CD119+$CM119,0)</f>
        <v>401.18034600000004</v>
      </c>
      <c r="DH119" s="315">
        <f>SUM(CZ119:DG119)-DB119-DD119</f>
        <v>3817.5603460000002</v>
      </c>
      <c r="DI119" s="315">
        <f>IF($CP119="UNHESA LIQUIDOS",$AV119+$BE119+$BN119+$BW119+$CF119,0)</f>
        <v>0</v>
      </c>
      <c r="DJ119" s="315">
        <f>IF($CP119="UNHESA LIQUIDOS",$AW119+$BF119+$BO119+$BX119+$CG119,0)</f>
        <v>0</v>
      </c>
      <c r="DK119" s="315">
        <f>IF($CP119="UNHESA LIQUIDOS",$AX119+$BG119+$BP119+$BY119+$CH119,0)</f>
        <v>0</v>
      </c>
      <c r="DL119" s="315">
        <f>IF($CP119="UNHESA LIQUIDOS",$AY119+$BH119+$BQ119+$BZ119+$CI119,0)</f>
        <v>0</v>
      </c>
      <c r="DM119" s="315">
        <f>IF($CP119="UNHESA LIQUIDOS",$AZ119+$BI119+$BR119+$CA119+$CJ119,0)</f>
        <v>0</v>
      </c>
      <c r="DN119" s="315">
        <f>IF($CP119="UNHESA LIQUIDOS",$BA119+$BJ119+$BS119+$CB119+$CK119,0)</f>
        <v>0</v>
      </c>
      <c r="DO119" s="315">
        <f>IF($CP119="UNHESA LIQUIDOS",$BB119+$BK119+$BT119+$CC119+$CL119,0)</f>
        <v>0</v>
      </c>
      <c r="DP119" s="315">
        <f>IF($CP119="UNHESA LIQUIDOS",$BC119+$BL119+$BU119+$CD119+$CM119,0)</f>
        <v>0</v>
      </c>
      <c r="DQ119" s="315">
        <f>SUM(DI119:DP119)-DK119-DM119</f>
        <v>0</v>
      </c>
      <c r="DR119" s="360">
        <f>IF($CP119="ECONACIONAL",$AV119+$BE119+$BN119+$BW119+$CF119,0)</f>
        <v>0</v>
      </c>
      <c r="DS119" s="361">
        <f>IF($CP119="ECONACIONAL",$AW119+$BF119+$BO119+$BX119+$CG119,0)</f>
        <v>0</v>
      </c>
      <c r="DT119" s="361">
        <f>IF($CP119="ECONACIONAL",$AX119+$BG119+$BP119+$BY119+$CH119,0)</f>
        <v>0</v>
      </c>
      <c r="DU119" s="361">
        <f>IF($CP119="ECONACIONAL",$AY119+$BH119+$BQ119+$BZ119+$CI119,0)</f>
        <v>0</v>
      </c>
      <c r="DV119" s="361">
        <f>IF($CP119="ECONACIONAL",$AZ119+$BI119+$BR119+$CA119+$CJ119,0)</f>
        <v>0</v>
      </c>
      <c r="DW119" s="361">
        <f>IF($CP119="ECONACIONAL",$BA119+$BJ119+$BS119+$CB119+$CK119,0)</f>
        <v>0</v>
      </c>
      <c r="DX119" s="361">
        <f>IF($CP119="ECONACIONAL",$BB119+$BK119+$BT119+$CC119+$CL119,0)</f>
        <v>0</v>
      </c>
      <c r="DY119" s="361">
        <f>IF($CP119="ECONACIONAL",$BC119+$BL119+$BU119+$CD119+$CM119,0)</f>
        <v>0</v>
      </c>
      <c r="DZ119" s="361">
        <f>SUM(DR119:DY119)-DT119-DV119</f>
        <v>0</v>
      </c>
      <c r="EA119" s="361">
        <f>IF($CP119="CLEARTEC",$AV119+$BE119+$BN119+$BW119+$CF119,0)</f>
        <v>0</v>
      </c>
      <c r="EB119" s="361">
        <f>IF($CP119="CLEARTEC",$AW119+$BF119+$BO119+$BX119+$CG119,0)</f>
        <v>0</v>
      </c>
      <c r="EC119" s="361">
        <f>IF($CP119="CLEARTEC",$AX119+$BG119+$BP119+$BY119+$CH119,0)</f>
        <v>0</v>
      </c>
      <c r="ED119" s="361">
        <f>IF($CP119="CLEARTEC",$AY119+$BH119+$BQ119+$BZ119+$CI119,0)</f>
        <v>0</v>
      </c>
      <c r="EE119" s="361">
        <f>IF($CP119="CLEARTEC",$AZ119+$BI119+$BR119+$CA119+$CJ119,0)</f>
        <v>0</v>
      </c>
      <c r="EF119" s="361">
        <f>IF($CP119="CLEARTEC",$BA119+$BJ119+$BS119+$CB119+$CK119,0)</f>
        <v>0</v>
      </c>
      <c r="EG119" s="361">
        <f>IF($CP119="CLEARTEC",$BB119+$BK119+$BT119+$CC119+$CL119,0)</f>
        <v>0</v>
      </c>
      <c r="EH119" s="361">
        <f>IF($CP119="CLEARTEC",$BC119+$BL119+$BU119+$CD119+$CM119,0)</f>
        <v>0</v>
      </c>
      <c r="EI119" s="362">
        <f>SUM(EA119:EH119)-EC119-EE119</f>
        <v>0</v>
      </c>
      <c r="EJ119" s="330"/>
      <c r="EK119" s="312"/>
      <c r="EL119" s="313"/>
      <c r="EM119" s="313"/>
      <c r="EN119" s="1969">
        <f>77.5+65</f>
        <v>142.5</v>
      </c>
      <c r="EO119" s="313"/>
      <c r="EP119" s="313">
        <v>50</v>
      </c>
      <c r="EQ119" s="1969"/>
      <c r="ER119" s="1969"/>
      <c r="ES119" s="313"/>
      <c r="ET119" s="363">
        <f>+EO119+EP119+EQ119</f>
        <v>50</v>
      </c>
      <c r="EU119" s="1501"/>
      <c r="EV119" s="321">
        <f t="shared" ref="EV119:FE119" si="2163">IF($H119&lt;=15,EK119/2,EK119)</f>
        <v>0</v>
      </c>
      <c r="EW119" s="321">
        <f t="shared" si="2163"/>
        <v>0</v>
      </c>
      <c r="EX119" s="321">
        <f t="shared" si="2163"/>
        <v>0</v>
      </c>
      <c r="EY119" s="321">
        <f t="shared" si="2163"/>
        <v>142.5</v>
      </c>
      <c r="EZ119" s="321">
        <f t="shared" si="2163"/>
        <v>0</v>
      </c>
      <c r="FA119" s="321">
        <f t="shared" si="2163"/>
        <v>50</v>
      </c>
      <c r="FB119" s="321">
        <f t="shared" si="2163"/>
        <v>0</v>
      </c>
      <c r="FC119" s="321">
        <f t="shared" si="2163"/>
        <v>0</v>
      </c>
      <c r="FD119" s="321">
        <f t="shared" si="2163"/>
        <v>0</v>
      </c>
      <c r="FE119" s="321">
        <f t="shared" si="2163"/>
        <v>50</v>
      </c>
      <c r="FF119" s="364">
        <v>0</v>
      </c>
      <c r="FG119" s="364">
        <v>1</v>
      </c>
      <c r="FH119" s="364">
        <v>0</v>
      </c>
      <c r="FI119" s="364">
        <v>0</v>
      </c>
      <c r="FJ119" s="364">
        <v>0</v>
      </c>
      <c r="FK119" s="364">
        <v>1</v>
      </c>
      <c r="FL119" s="1441">
        <f t="shared" si="1674"/>
        <v>0</v>
      </c>
    </row>
    <row r="120" spans="1:172" s="331" customFormat="1" ht="15" customHeight="1" outlineLevel="1">
      <c r="A120" s="415">
        <v>78</v>
      </c>
      <c r="B120" s="311" t="s">
        <v>629</v>
      </c>
      <c r="C120" s="311" t="s">
        <v>419</v>
      </c>
      <c r="D120" s="312" t="s">
        <v>10</v>
      </c>
      <c r="E120" s="1971">
        <v>3166.38</v>
      </c>
      <c r="F120" s="314">
        <f>250</f>
        <v>250</v>
      </c>
      <c r="G120" s="1592">
        <f>+E120+F120</f>
        <v>3416.38</v>
      </c>
      <c r="H120" s="1971">
        <v>30</v>
      </c>
      <c r="I120" s="417">
        <v>1</v>
      </c>
      <c r="J120" s="1498">
        <v>0</v>
      </c>
      <c r="K120" s="318">
        <v>0</v>
      </c>
      <c r="L120" s="318">
        <v>0</v>
      </c>
      <c r="M120" s="318">
        <v>0</v>
      </c>
      <c r="N120" s="318">
        <f>SUM(I120:M120)</f>
        <v>1</v>
      </c>
      <c r="O120" s="1122"/>
      <c r="P120" s="320">
        <v>0</v>
      </c>
      <c r="Q120" s="315">
        <f>($E120/30/8*1.5)*P120</f>
        <v>0</v>
      </c>
      <c r="R120" s="321"/>
      <c r="S120" s="315">
        <f>($E120/30/8*2)*R120</f>
        <v>0</v>
      </c>
      <c r="T120" s="321"/>
      <c r="U120" s="315">
        <f>($E120/30/8*1.5)*T120</f>
        <v>0</v>
      </c>
      <c r="V120" s="320">
        <v>0</v>
      </c>
      <c r="W120" s="315">
        <f>($E120/30/8*2)*V120</f>
        <v>0</v>
      </c>
      <c r="X120" s="321"/>
      <c r="Y120" s="315">
        <f>(($E120/30/8)*1.5)*X120</f>
        <v>0</v>
      </c>
      <c r="Z120" s="322"/>
      <c r="AA120" s="315">
        <f>(($E120/30/8)*2)*Z120</f>
        <v>0</v>
      </c>
      <c r="AB120" s="322"/>
      <c r="AC120" s="315"/>
      <c r="AD120" s="322"/>
      <c r="AE120" s="315"/>
      <c r="AF120" s="315"/>
      <c r="AG120" s="315"/>
      <c r="AH120" s="322"/>
      <c r="AI120" s="315"/>
      <c r="AJ120" s="314"/>
      <c r="AK120" s="314"/>
      <c r="AL120" s="314"/>
      <c r="AM120" s="314"/>
      <c r="AN120" s="314"/>
      <c r="AO120" s="314"/>
      <c r="AP120" s="314"/>
      <c r="AQ120" s="314"/>
      <c r="AR120" s="314"/>
      <c r="AS120" s="314"/>
      <c r="AT120" s="314"/>
      <c r="AU120" s="1626"/>
      <c r="AV120" s="315">
        <f>((E120/30)*H120)*$I120</f>
        <v>3166.38</v>
      </c>
      <c r="AW120" s="906">
        <f>((F120/30)*H120)*$I120+225</f>
        <v>475</v>
      </c>
      <c r="AX120" s="315">
        <f t="shared" si="2159"/>
        <v>0</v>
      </c>
      <c r="AY120" s="315">
        <f t="shared" si="2159"/>
        <v>0</v>
      </c>
      <c r="AZ120" s="315">
        <f t="shared" si="2159"/>
        <v>0</v>
      </c>
      <c r="BA120" s="315">
        <f t="shared" si="2159"/>
        <v>0</v>
      </c>
      <c r="BB120" s="315">
        <f>AJ120+AO120</f>
        <v>0</v>
      </c>
      <c r="BC120" s="315">
        <f>(AV120+AY120+BA120)*0.1267</f>
        <v>401.18034600000004</v>
      </c>
      <c r="BD120" s="315">
        <f>SUM(AV120:BC120)-AX120-AZ120</f>
        <v>4042.5603460000002</v>
      </c>
      <c r="BE120" s="315">
        <f>(($E120/30)*$H120)*$J120</f>
        <v>0</v>
      </c>
      <c r="BF120" s="906">
        <f>(($F120/30)*$H120)*$J120</f>
        <v>0</v>
      </c>
      <c r="BG120" s="315">
        <f t="shared" si="2160"/>
        <v>0</v>
      </c>
      <c r="BH120" s="315">
        <f t="shared" si="2160"/>
        <v>0</v>
      </c>
      <c r="BI120" s="315">
        <f t="shared" si="2160"/>
        <v>0</v>
      </c>
      <c r="BJ120" s="315">
        <f t="shared" si="2160"/>
        <v>0</v>
      </c>
      <c r="BK120" s="315">
        <f>AK120+AP120</f>
        <v>0</v>
      </c>
      <c r="BL120" s="315">
        <f>(+BE120+BH120+BJ120+BK120)*0.1267</f>
        <v>0</v>
      </c>
      <c r="BM120" s="314">
        <f>SUM(BE120:BL120)-BG120-BI120</f>
        <v>0</v>
      </c>
      <c r="BN120" s="315">
        <f>(($E120/30)*$H120)*$K120</f>
        <v>0</v>
      </c>
      <c r="BO120" s="315">
        <f>(($F120/30)*$H120)*$K120</f>
        <v>0</v>
      </c>
      <c r="BP120" s="315">
        <f t="shared" si="2161"/>
        <v>0</v>
      </c>
      <c r="BQ120" s="315">
        <f t="shared" si="2161"/>
        <v>0</v>
      </c>
      <c r="BR120" s="315">
        <f t="shared" si="2161"/>
        <v>0</v>
      </c>
      <c r="BS120" s="315">
        <f>AA120</f>
        <v>0</v>
      </c>
      <c r="BT120" s="315">
        <f>AL120+AQ120</f>
        <v>0</v>
      </c>
      <c r="BU120" s="315">
        <f>(BN120+BQ120+BS120)*0.1267</f>
        <v>0</v>
      </c>
      <c r="BV120" s="315">
        <f>SUM(BN120:BU120)-BP120-BR120</f>
        <v>0</v>
      </c>
      <c r="BW120" s="360">
        <f>(($E120/30)*$H120)*$L120</f>
        <v>0</v>
      </c>
      <c r="BX120" s="361">
        <f>(($F120/30)*$H120)*$L120</f>
        <v>0</v>
      </c>
      <c r="BY120" s="361">
        <f t="shared" si="2162"/>
        <v>0</v>
      </c>
      <c r="BZ120" s="361">
        <f t="shared" si="2162"/>
        <v>0</v>
      </c>
      <c r="CA120" s="361">
        <f t="shared" si="2162"/>
        <v>0</v>
      </c>
      <c r="CB120" s="361">
        <f t="shared" si="2162"/>
        <v>0</v>
      </c>
      <c r="CC120" s="361">
        <f>AM120+AR120</f>
        <v>0</v>
      </c>
      <c r="CD120" s="361">
        <f>(BW120+BZ120+CB120)*0.1267</f>
        <v>0</v>
      </c>
      <c r="CE120" s="361">
        <f>SUM(BW120:CD120)-BY120-CA120</f>
        <v>0</v>
      </c>
      <c r="CF120" s="1508"/>
      <c r="CG120" s="1508"/>
      <c r="CH120" s="1508"/>
      <c r="CI120" s="1508"/>
      <c r="CJ120" s="1508"/>
      <c r="CK120" s="1508"/>
      <c r="CL120" s="1508"/>
      <c r="CM120" s="1508"/>
      <c r="CN120" s="1508"/>
      <c r="CO120" s="330"/>
      <c r="CP120" s="313" t="str">
        <f>D120</f>
        <v>PROQUIMA</v>
      </c>
      <c r="CQ120" s="315">
        <f>IF($CP120="PROQUIMA",$AV120+$BE120+$BN120+$BW120+$CF120,0)</f>
        <v>3166.38</v>
      </c>
      <c r="CR120" s="315">
        <f>IF($CP120="PROQUIMA",$AW120+$BF120+$BO120+$BX120+$CG120,0)</f>
        <v>475</v>
      </c>
      <c r="CS120" s="315">
        <f>IF($CP120="PROQUIMA",$AX120+$BG120+$BP120+$BY120+$CH120,0)</f>
        <v>0</v>
      </c>
      <c r="CT120" s="315">
        <f>IF($CP120="PROQUIMA",$AY120+$BH120+$BQ120+$BZ120+$CI120,0)</f>
        <v>0</v>
      </c>
      <c r="CU120" s="315">
        <f>IF($CP120="PROQUIMA",$AZ120+$BI120+$BR120+$CA120+$CJ120,0)</f>
        <v>0</v>
      </c>
      <c r="CV120" s="315">
        <f>IF($CP120="PROQUIMA",$BA120+$BJ120+$BS120+$CB120+$CK120,0)</f>
        <v>0</v>
      </c>
      <c r="CW120" s="315">
        <f>IF($CP120="PROQUIMA",$BB120+$BK120+$BT120+$CC120+$CL120,0)</f>
        <v>0</v>
      </c>
      <c r="CX120" s="315">
        <f>IF($CP120="PROQUIMA",$BC120+$BL120+$BU120+$CD120+CM120,0)</f>
        <v>401.18034600000004</v>
      </c>
      <c r="CY120" s="315">
        <f>SUM(CQ120:CX120)-CS120-CU120</f>
        <v>4042.5603460000002</v>
      </c>
      <c r="CZ120" s="315">
        <f>IF($CP120="UNHESA",$AV120+$BE120+$BN120+$BW120+$CF120,0)</f>
        <v>0</v>
      </c>
      <c r="DA120" s="315">
        <f>IF($CP120="UNHESA",$AW120+$BF120+$BO120+$BX120+$CG120,0)</f>
        <v>0</v>
      </c>
      <c r="DB120" s="315">
        <f>IF($CP120="UNHESA",$AX120+$BG120+$BP120+$BY120+$CH120,0)</f>
        <v>0</v>
      </c>
      <c r="DC120" s="315">
        <f>IF($CP120="UNHESA",$AY120+$BH120+$BQ120+$BZ120+$CI120,0)</f>
        <v>0</v>
      </c>
      <c r="DD120" s="315">
        <f>IF($CP120="UNHESA",$AZ120+$BI120+$BR120+$CA120+$CJ120,0)</f>
        <v>0</v>
      </c>
      <c r="DE120" s="315">
        <f>IF($CP120="UNHESA",$BA120+$BJ120+$BS120+$CB120+$CK120,0)</f>
        <v>0</v>
      </c>
      <c r="DF120" s="315">
        <f>IF($CP120="UNHESA",$BB120+$BK120+$BT120+$CC120+$CL120,0)</f>
        <v>0</v>
      </c>
      <c r="DG120" s="315">
        <f>IF($CP120="UNHESA",$BC120+$BL120+$BU120+$CD120+$CM120,0)</f>
        <v>0</v>
      </c>
      <c r="DH120" s="315">
        <f>SUM(CZ120:DG120)-DB120-DD120</f>
        <v>0</v>
      </c>
      <c r="DI120" s="1627"/>
      <c r="DJ120" s="1627"/>
      <c r="DK120" s="1627"/>
      <c r="DL120" s="1627"/>
      <c r="DM120" s="1627"/>
      <c r="DN120" s="1627"/>
      <c r="DO120" s="1627"/>
      <c r="DP120" s="1627"/>
      <c r="DQ120" s="1627"/>
      <c r="DR120" s="1593"/>
      <c r="DS120" s="1594"/>
      <c r="DT120" s="1594"/>
      <c r="DU120" s="1594"/>
      <c r="DV120" s="1594"/>
      <c r="DW120" s="1594"/>
      <c r="DX120" s="1594"/>
      <c r="DY120" s="1594"/>
      <c r="DZ120" s="1594"/>
      <c r="EA120" s="1594"/>
      <c r="EB120" s="1594"/>
      <c r="EC120" s="1594"/>
      <c r="ED120" s="1594"/>
      <c r="EE120" s="1594"/>
      <c r="EF120" s="1594"/>
      <c r="EG120" s="1594"/>
      <c r="EH120" s="1594"/>
      <c r="EI120" s="1595"/>
      <c r="EJ120" s="330"/>
      <c r="EK120" s="1968"/>
      <c r="EL120" s="313">
        <v>489.63</v>
      </c>
      <c r="EM120" s="313"/>
      <c r="EN120" s="1969">
        <f>149.5+195.5</f>
        <v>345</v>
      </c>
      <c r="EO120" s="313"/>
      <c r="EP120" s="313">
        <v>50</v>
      </c>
      <c r="EQ120" s="1969"/>
      <c r="ER120" s="1969"/>
      <c r="ES120" s="313"/>
      <c r="ET120" s="313">
        <f>+EO120+EP120+EQ120</f>
        <v>50</v>
      </c>
      <c r="EV120" s="321">
        <f t="shared" ref="EV120:FA120" si="2164">IF($H120&lt;=15,EK120/2,EK120)</f>
        <v>0</v>
      </c>
      <c r="EW120" s="321">
        <f t="shared" si="2164"/>
        <v>489.63</v>
      </c>
      <c r="EX120" s="321">
        <f t="shared" si="2164"/>
        <v>0</v>
      </c>
      <c r="EY120" s="321">
        <f t="shared" si="2164"/>
        <v>345</v>
      </c>
      <c r="EZ120" s="321">
        <f t="shared" si="2164"/>
        <v>0</v>
      </c>
      <c r="FA120" s="321">
        <f t="shared" si="2164"/>
        <v>50</v>
      </c>
      <c r="FB120" s="321">
        <f>IF($H120&lt;=15,EQ120/2,EQ120)</f>
        <v>0</v>
      </c>
      <c r="FC120" s="321">
        <f>IF($H120&lt;=15,ER120/2,ER120)</f>
        <v>0</v>
      </c>
      <c r="FD120" s="321">
        <f>IF($H120&lt;=15,ES120/2,ES120)</f>
        <v>0</v>
      </c>
      <c r="FE120" s="321">
        <f>IF($H120&lt;=15,ET120/2,ET120)</f>
        <v>50</v>
      </c>
      <c r="FF120" s="332">
        <v>0</v>
      </c>
      <c r="FG120" s="332">
        <v>1</v>
      </c>
      <c r="FH120" s="332">
        <v>0</v>
      </c>
      <c r="FI120" s="332">
        <v>0</v>
      </c>
      <c r="FJ120" s="332">
        <v>0</v>
      </c>
      <c r="FK120" s="332">
        <f>SUM(FF120:FJ120)</f>
        <v>1</v>
      </c>
    </row>
    <row r="121" spans="1:172" s="1501" customFormat="1" ht="15.75" customHeight="1" outlineLevel="1" thickBot="1">
      <c r="A121" s="354"/>
      <c r="B121" s="1348"/>
      <c r="C121" s="1582" t="s">
        <v>420</v>
      </c>
      <c r="D121" s="1582"/>
      <c r="E121" s="1584">
        <f>SUM(E119:E120)</f>
        <v>6332.76</v>
      </c>
      <c r="F121" s="1584">
        <f>SUM(F119:F120)</f>
        <v>500</v>
      </c>
      <c r="G121" s="1584">
        <f>SUM(G119:G120)</f>
        <v>6832.76</v>
      </c>
      <c r="H121" s="1584"/>
      <c r="I121" s="1585"/>
      <c r="J121" s="1585"/>
      <c r="K121" s="1585"/>
      <c r="L121" s="1585"/>
      <c r="M121" s="1585"/>
      <c r="N121" s="1585"/>
      <c r="O121" s="1477"/>
      <c r="P121" s="1587">
        <f t="shared" ref="P121:AT121" si="2165">SUM(P119:P120)</f>
        <v>0</v>
      </c>
      <c r="Q121" s="1587">
        <f t="shared" si="2165"/>
        <v>0</v>
      </c>
      <c r="R121" s="1587">
        <f t="shared" si="2165"/>
        <v>0</v>
      </c>
      <c r="S121" s="1587">
        <f t="shared" si="2165"/>
        <v>0</v>
      </c>
      <c r="T121" s="1587">
        <f t="shared" si="2165"/>
        <v>0</v>
      </c>
      <c r="U121" s="1587">
        <f t="shared" si="2165"/>
        <v>0</v>
      </c>
      <c r="V121" s="1587">
        <f t="shared" si="2165"/>
        <v>0</v>
      </c>
      <c r="W121" s="1587">
        <f t="shared" si="2165"/>
        <v>0</v>
      </c>
      <c r="X121" s="1587">
        <f t="shared" si="2165"/>
        <v>0</v>
      </c>
      <c r="Y121" s="1587">
        <f t="shared" si="2165"/>
        <v>0</v>
      </c>
      <c r="Z121" s="1587">
        <f t="shared" si="2165"/>
        <v>0</v>
      </c>
      <c r="AA121" s="1587">
        <f t="shared" si="2165"/>
        <v>0</v>
      </c>
      <c r="AB121" s="1587">
        <f t="shared" si="2165"/>
        <v>0</v>
      </c>
      <c r="AC121" s="1587">
        <f t="shared" si="2165"/>
        <v>0</v>
      </c>
      <c r="AD121" s="1587">
        <f t="shared" si="2165"/>
        <v>0</v>
      </c>
      <c r="AE121" s="1587">
        <f t="shared" si="2165"/>
        <v>0</v>
      </c>
      <c r="AF121" s="1587">
        <f t="shared" si="2165"/>
        <v>0</v>
      </c>
      <c r="AG121" s="1587">
        <f t="shared" si="2165"/>
        <v>0</v>
      </c>
      <c r="AH121" s="1587">
        <f t="shared" si="2165"/>
        <v>0</v>
      </c>
      <c r="AI121" s="1587">
        <f t="shared" si="2165"/>
        <v>0</v>
      </c>
      <c r="AJ121" s="1587">
        <f t="shared" si="2165"/>
        <v>0</v>
      </c>
      <c r="AK121" s="1587">
        <f t="shared" si="2165"/>
        <v>0</v>
      </c>
      <c r="AL121" s="1587">
        <f t="shared" si="2165"/>
        <v>0</v>
      </c>
      <c r="AM121" s="1587">
        <f t="shared" si="2165"/>
        <v>0</v>
      </c>
      <c r="AN121" s="1587">
        <f t="shared" si="2165"/>
        <v>0</v>
      </c>
      <c r="AO121" s="1587">
        <f t="shared" si="2165"/>
        <v>0</v>
      </c>
      <c r="AP121" s="1587">
        <f t="shared" si="2165"/>
        <v>0</v>
      </c>
      <c r="AQ121" s="1587">
        <f t="shared" si="2165"/>
        <v>0</v>
      </c>
      <c r="AR121" s="1587">
        <f t="shared" si="2165"/>
        <v>0</v>
      </c>
      <c r="AS121" s="1587">
        <f t="shared" si="2165"/>
        <v>0</v>
      </c>
      <c r="AT121" s="1587">
        <f t="shared" si="2165"/>
        <v>0</v>
      </c>
      <c r="AU121" s="1587" t="s">
        <v>54</v>
      </c>
      <c r="AV121" s="1587">
        <f t="shared" ref="AV121:CO121" si="2166">SUM(AV119:AV120)</f>
        <v>3166.38</v>
      </c>
      <c r="AW121" s="1587">
        <f t="shared" si="2166"/>
        <v>475</v>
      </c>
      <c r="AX121" s="1587">
        <f t="shared" si="2166"/>
        <v>0</v>
      </c>
      <c r="AY121" s="1587">
        <f t="shared" si="2166"/>
        <v>0</v>
      </c>
      <c r="AZ121" s="1587">
        <f t="shared" si="2166"/>
        <v>0</v>
      </c>
      <c r="BA121" s="1587">
        <f t="shared" si="2166"/>
        <v>0</v>
      </c>
      <c r="BB121" s="1587">
        <f t="shared" si="2166"/>
        <v>0</v>
      </c>
      <c r="BC121" s="1587">
        <f t="shared" si="2166"/>
        <v>401.18034600000004</v>
      </c>
      <c r="BD121" s="1587">
        <f t="shared" si="2166"/>
        <v>4042.5603460000002</v>
      </c>
      <c r="BE121" s="1587">
        <f t="shared" si="2166"/>
        <v>3166.38</v>
      </c>
      <c r="BF121" s="1587">
        <f t="shared" si="2166"/>
        <v>250.00000000000003</v>
      </c>
      <c r="BG121" s="1587">
        <f t="shared" si="2166"/>
        <v>0</v>
      </c>
      <c r="BH121" s="1587">
        <f t="shared" si="2166"/>
        <v>0</v>
      </c>
      <c r="BI121" s="1587">
        <f t="shared" si="2166"/>
        <v>0</v>
      </c>
      <c r="BJ121" s="1587">
        <f t="shared" si="2166"/>
        <v>0</v>
      </c>
      <c r="BK121" s="1587">
        <f t="shared" si="2166"/>
        <v>0</v>
      </c>
      <c r="BL121" s="1587">
        <f t="shared" si="2166"/>
        <v>401.18034600000004</v>
      </c>
      <c r="BM121" s="1587">
        <f t="shared" si="2166"/>
        <v>3817.5603460000002</v>
      </c>
      <c r="BN121" s="1587">
        <f t="shared" si="2166"/>
        <v>0</v>
      </c>
      <c r="BO121" s="1587">
        <f t="shared" si="2166"/>
        <v>0</v>
      </c>
      <c r="BP121" s="1587">
        <f t="shared" si="2166"/>
        <v>0</v>
      </c>
      <c r="BQ121" s="1587">
        <f t="shared" si="2166"/>
        <v>0</v>
      </c>
      <c r="BR121" s="1587">
        <f t="shared" si="2166"/>
        <v>0</v>
      </c>
      <c r="BS121" s="1587">
        <f t="shared" si="2166"/>
        <v>0</v>
      </c>
      <c r="BT121" s="1587">
        <f t="shared" si="2166"/>
        <v>0</v>
      </c>
      <c r="BU121" s="1587">
        <f t="shared" si="2166"/>
        <v>0</v>
      </c>
      <c r="BV121" s="1587">
        <f t="shared" si="2166"/>
        <v>0</v>
      </c>
      <c r="BW121" s="1623">
        <f t="shared" si="2166"/>
        <v>0</v>
      </c>
      <c r="BX121" s="1623">
        <f t="shared" si="2166"/>
        <v>0</v>
      </c>
      <c r="BY121" s="1623">
        <f t="shared" si="2166"/>
        <v>0</v>
      </c>
      <c r="BZ121" s="1623">
        <f t="shared" si="2166"/>
        <v>0</v>
      </c>
      <c r="CA121" s="1623">
        <f t="shared" si="2166"/>
        <v>0</v>
      </c>
      <c r="CB121" s="1623">
        <f t="shared" si="2166"/>
        <v>0</v>
      </c>
      <c r="CC121" s="1623">
        <f t="shared" si="2166"/>
        <v>0</v>
      </c>
      <c r="CD121" s="1623">
        <f t="shared" si="2166"/>
        <v>0</v>
      </c>
      <c r="CE121" s="1623">
        <f t="shared" si="2166"/>
        <v>0</v>
      </c>
      <c r="CF121" s="1623">
        <f t="shared" si="2166"/>
        <v>0</v>
      </c>
      <c r="CG121" s="1623">
        <f t="shared" si="2166"/>
        <v>0</v>
      </c>
      <c r="CH121" s="1623">
        <f t="shared" si="2166"/>
        <v>0</v>
      </c>
      <c r="CI121" s="1623">
        <f t="shared" si="2166"/>
        <v>0</v>
      </c>
      <c r="CJ121" s="1623">
        <f t="shared" si="2166"/>
        <v>0</v>
      </c>
      <c r="CK121" s="1623">
        <f t="shared" si="2166"/>
        <v>0</v>
      </c>
      <c r="CL121" s="1623">
        <f t="shared" si="2166"/>
        <v>0</v>
      </c>
      <c r="CM121" s="1623">
        <f t="shared" si="2166"/>
        <v>0</v>
      </c>
      <c r="CN121" s="1623">
        <f t="shared" si="2166"/>
        <v>0</v>
      </c>
      <c r="CO121" s="1584">
        <f t="shared" si="2166"/>
        <v>0</v>
      </c>
      <c r="CP121" s="1551"/>
      <c r="CQ121" s="1586">
        <f t="shared" ref="CQ121:DV121" si="2167">SUM(CQ119:CQ120)</f>
        <v>3166.38</v>
      </c>
      <c r="CR121" s="1586">
        <f t="shared" si="2167"/>
        <v>475</v>
      </c>
      <c r="CS121" s="1586">
        <f t="shared" si="2167"/>
        <v>0</v>
      </c>
      <c r="CT121" s="1586">
        <f t="shared" si="2167"/>
        <v>0</v>
      </c>
      <c r="CU121" s="1586">
        <f t="shared" si="2167"/>
        <v>0</v>
      </c>
      <c r="CV121" s="1586">
        <f t="shared" si="2167"/>
        <v>0</v>
      </c>
      <c r="CW121" s="1586">
        <f t="shared" si="2167"/>
        <v>0</v>
      </c>
      <c r="CX121" s="1586">
        <f t="shared" si="2167"/>
        <v>401.18034600000004</v>
      </c>
      <c r="CY121" s="1586">
        <f t="shared" si="2167"/>
        <v>4042.5603460000002</v>
      </c>
      <c r="CZ121" s="1586">
        <f t="shared" si="2167"/>
        <v>3166.38</v>
      </c>
      <c r="DA121" s="1586">
        <f t="shared" si="2167"/>
        <v>250.00000000000003</v>
      </c>
      <c r="DB121" s="1586">
        <f t="shared" si="2167"/>
        <v>0</v>
      </c>
      <c r="DC121" s="1586">
        <f t="shared" si="2167"/>
        <v>0</v>
      </c>
      <c r="DD121" s="1586">
        <f t="shared" si="2167"/>
        <v>0</v>
      </c>
      <c r="DE121" s="1586">
        <f t="shared" si="2167"/>
        <v>0</v>
      </c>
      <c r="DF121" s="1586">
        <f t="shared" si="2167"/>
        <v>0</v>
      </c>
      <c r="DG121" s="1586">
        <f t="shared" si="2167"/>
        <v>401.18034600000004</v>
      </c>
      <c r="DH121" s="1586">
        <f t="shared" si="2167"/>
        <v>3817.5603460000002</v>
      </c>
      <c r="DI121" s="1586">
        <f t="shared" si="2167"/>
        <v>0</v>
      </c>
      <c r="DJ121" s="1586">
        <f t="shared" si="2167"/>
        <v>0</v>
      </c>
      <c r="DK121" s="1586">
        <f t="shared" si="2167"/>
        <v>0</v>
      </c>
      <c r="DL121" s="1586">
        <f t="shared" si="2167"/>
        <v>0</v>
      </c>
      <c r="DM121" s="1586">
        <f t="shared" si="2167"/>
        <v>0</v>
      </c>
      <c r="DN121" s="1586">
        <f t="shared" si="2167"/>
        <v>0</v>
      </c>
      <c r="DO121" s="1586">
        <f t="shared" si="2167"/>
        <v>0</v>
      </c>
      <c r="DP121" s="1586">
        <f t="shared" si="2167"/>
        <v>0</v>
      </c>
      <c r="DQ121" s="1586">
        <f t="shared" si="2167"/>
        <v>0</v>
      </c>
      <c r="DR121" s="1623">
        <f t="shared" si="2167"/>
        <v>0</v>
      </c>
      <c r="DS121" s="1623">
        <f t="shared" si="2167"/>
        <v>0</v>
      </c>
      <c r="DT121" s="1623">
        <f t="shared" si="2167"/>
        <v>0</v>
      </c>
      <c r="DU121" s="1623">
        <f t="shared" si="2167"/>
        <v>0</v>
      </c>
      <c r="DV121" s="1623">
        <f t="shared" si="2167"/>
        <v>0</v>
      </c>
      <c r="DW121" s="1623">
        <f t="shared" ref="DW121:FB121" si="2168">SUM(DW119:DW120)</f>
        <v>0</v>
      </c>
      <c r="DX121" s="1623">
        <f t="shared" si="2168"/>
        <v>0</v>
      </c>
      <c r="DY121" s="1623">
        <f t="shared" si="2168"/>
        <v>0</v>
      </c>
      <c r="DZ121" s="1623">
        <f t="shared" si="2168"/>
        <v>0</v>
      </c>
      <c r="EA121" s="1623">
        <f t="shared" si="2168"/>
        <v>0</v>
      </c>
      <c r="EB121" s="1623">
        <f t="shared" si="2168"/>
        <v>0</v>
      </c>
      <c r="EC121" s="1623">
        <f t="shared" si="2168"/>
        <v>0</v>
      </c>
      <c r="ED121" s="1623">
        <f t="shared" si="2168"/>
        <v>0</v>
      </c>
      <c r="EE121" s="1623">
        <f t="shared" si="2168"/>
        <v>0</v>
      </c>
      <c r="EF121" s="1623">
        <f t="shared" si="2168"/>
        <v>0</v>
      </c>
      <c r="EG121" s="1623">
        <f t="shared" si="2168"/>
        <v>0</v>
      </c>
      <c r="EH121" s="1623">
        <f t="shared" si="2168"/>
        <v>0</v>
      </c>
      <c r="EI121" s="1623">
        <f t="shared" si="2168"/>
        <v>0</v>
      </c>
      <c r="EJ121" s="1584">
        <f t="shared" si="2168"/>
        <v>0</v>
      </c>
      <c r="EK121" s="1586">
        <f t="shared" si="2168"/>
        <v>0</v>
      </c>
      <c r="EL121" s="1586">
        <f t="shared" si="2168"/>
        <v>489.63</v>
      </c>
      <c r="EM121" s="1586">
        <f t="shared" si="2168"/>
        <v>0</v>
      </c>
      <c r="EN121" s="1586">
        <f t="shared" si="2168"/>
        <v>487.5</v>
      </c>
      <c r="EO121" s="1586">
        <f t="shared" si="2168"/>
        <v>0</v>
      </c>
      <c r="EP121" s="1586">
        <f t="shared" si="2168"/>
        <v>100</v>
      </c>
      <c r="EQ121" s="1586">
        <f t="shared" si="2168"/>
        <v>0</v>
      </c>
      <c r="ER121" s="1586">
        <f t="shared" si="2168"/>
        <v>0</v>
      </c>
      <c r="ES121" s="1586">
        <f t="shared" si="2168"/>
        <v>0</v>
      </c>
      <c r="ET121" s="1586">
        <f t="shared" si="2168"/>
        <v>100</v>
      </c>
      <c r="EU121" s="1623">
        <f t="shared" si="2168"/>
        <v>0</v>
      </c>
      <c r="EV121" s="1583">
        <f t="shared" si="2168"/>
        <v>0</v>
      </c>
      <c r="EW121" s="1583">
        <f t="shared" si="2168"/>
        <v>489.63</v>
      </c>
      <c r="EX121" s="1583">
        <f t="shared" si="2168"/>
        <v>0</v>
      </c>
      <c r="EY121" s="1583">
        <f t="shared" si="2168"/>
        <v>487.5</v>
      </c>
      <c r="EZ121" s="1583">
        <f t="shared" si="2168"/>
        <v>0</v>
      </c>
      <c r="FA121" s="1583">
        <f t="shared" si="2168"/>
        <v>100</v>
      </c>
      <c r="FB121" s="1583">
        <f t="shared" si="2168"/>
        <v>0</v>
      </c>
      <c r="FC121" s="1583">
        <f t="shared" ref="FC121:FE121" si="2169">SUM(FC119:FC120)</f>
        <v>0</v>
      </c>
      <c r="FD121" s="1583">
        <f t="shared" si="2169"/>
        <v>0</v>
      </c>
      <c r="FE121" s="1583">
        <f t="shared" si="2169"/>
        <v>100</v>
      </c>
      <c r="FF121" s="1448"/>
      <c r="FG121" s="1448"/>
      <c r="FH121" s="1448"/>
      <c r="FI121" s="1448"/>
      <c r="FJ121" s="1448"/>
      <c r="FK121" s="1448"/>
      <c r="FL121" s="1441">
        <f t="shared" si="1674"/>
        <v>0</v>
      </c>
    </row>
    <row r="122" spans="1:172" s="331" customFormat="1" ht="16.5" customHeight="1" outlineLevel="1" thickTop="1" thickBot="1">
      <c r="A122" s="354"/>
      <c r="B122" s="1442"/>
      <c r="C122" s="1582" t="s">
        <v>421</v>
      </c>
      <c r="D122" s="330"/>
      <c r="E122" s="1628">
        <f>SUM(E99+E116+E121)</f>
        <v>69660.36</v>
      </c>
      <c r="F122" s="1628">
        <f>SUM(F99+F116+F121)</f>
        <v>5500</v>
      </c>
      <c r="G122" s="1628">
        <f>SUM(G99+G116+G121)</f>
        <v>74746.079999999987</v>
      </c>
      <c r="H122" s="1570"/>
      <c r="I122" s="1589"/>
      <c r="J122" s="1589"/>
      <c r="K122" s="1589"/>
      <c r="L122" s="1589"/>
      <c r="M122" s="1589"/>
      <c r="N122" s="1589"/>
      <c r="O122" s="319"/>
      <c r="P122" s="1570"/>
      <c r="Q122" s="1570"/>
      <c r="R122" s="1570"/>
      <c r="S122" s="1570"/>
      <c r="T122" s="1570"/>
      <c r="U122" s="1570"/>
      <c r="V122" s="1570"/>
      <c r="W122" s="1570"/>
      <c r="X122" s="1570"/>
      <c r="Y122" s="1570"/>
      <c r="Z122" s="1570"/>
      <c r="AA122" s="1570"/>
      <c r="AB122" s="1570"/>
      <c r="AC122" s="1570"/>
      <c r="AD122" s="1570"/>
      <c r="AE122" s="1570"/>
      <c r="AF122" s="1570"/>
      <c r="AG122" s="1570"/>
      <c r="AH122" s="1570"/>
      <c r="AI122" s="1570"/>
      <c r="AJ122" s="1570"/>
      <c r="AK122" s="1570"/>
      <c r="AL122" s="1570"/>
      <c r="AM122" s="1570"/>
      <c r="AN122" s="1570"/>
      <c r="AO122" s="1570"/>
      <c r="AP122" s="1570"/>
      <c r="AQ122" s="1570"/>
      <c r="AR122" s="1570"/>
      <c r="AS122" s="1570"/>
      <c r="AT122" s="1570"/>
      <c r="AU122" s="1570"/>
      <c r="AV122" s="1570"/>
      <c r="AW122" s="1570"/>
      <c r="AX122" s="1570"/>
      <c r="AY122" s="1570"/>
      <c r="AZ122" s="1570"/>
      <c r="BA122" s="1570"/>
      <c r="BB122" s="1570"/>
      <c r="BC122" s="1570"/>
      <c r="BD122" s="1570"/>
      <c r="BE122" s="1570"/>
      <c r="BF122" s="1570"/>
      <c r="BG122" s="1570"/>
      <c r="BH122" s="1570"/>
      <c r="BI122" s="1570"/>
      <c r="BJ122" s="1570"/>
      <c r="BK122" s="1570"/>
      <c r="BL122" s="1570"/>
      <c r="BM122" s="1570"/>
      <c r="BN122" s="1570"/>
      <c r="BO122" s="1570"/>
      <c r="BP122" s="1570"/>
      <c r="BQ122" s="1570"/>
      <c r="BR122" s="1570"/>
      <c r="BS122" s="1570"/>
      <c r="BT122" s="1570"/>
      <c r="BU122" s="1570"/>
      <c r="BV122" s="1570"/>
      <c r="BW122" s="1570"/>
      <c r="BX122" s="1570"/>
      <c r="BY122" s="1570"/>
      <c r="BZ122" s="1570"/>
      <c r="CA122" s="1570"/>
      <c r="CB122" s="1570"/>
      <c r="CC122" s="1570"/>
      <c r="CD122" s="1570"/>
      <c r="CE122" s="1570"/>
      <c r="CF122" s="1570"/>
      <c r="CG122" s="1570"/>
      <c r="CH122" s="1570"/>
      <c r="CI122" s="1570"/>
      <c r="CJ122" s="1570"/>
      <c r="CK122" s="1570"/>
      <c r="CL122" s="1570"/>
      <c r="CM122" s="1570"/>
      <c r="CN122" s="1570"/>
      <c r="CO122" s="1570"/>
      <c r="CP122" s="1570"/>
      <c r="CQ122" s="1570"/>
      <c r="CR122" s="1570"/>
      <c r="CS122" s="1570"/>
      <c r="CT122" s="1570"/>
      <c r="CU122" s="1570"/>
      <c r="CV122" s="1570"/>
      <c r="CW122" s="1570"/>
      <c r="CX122" s="1570"/>
      <c r="CY122" s="1570"/>
      <c r="CZ122" s="1570"/>
      <c r="DA122" s="1570"/>
      <c r="DB122" s="1570"/>
      <c r="DC122" s="1570"/>
      <c r="DD122" s="1570"/>
      <c r="DE122" s="1570"/>
      <c r="DF122" s="1570"/>
      <c r="DG122" s="1570"/>
      <c r="DH122" s="1570"/>
      <c r="DI122" s="1570"/>
      <c r="DJ122" s="1570"/>
      <c r="DK122" s="1570"/>
      <c r="DL122" s="1570"/>
      <c r="DM122" s="1570"/>
      <c r="DN122" s="1570"/>
      <c r="DO122" s="1570"/>
      <c r="DP122" s="1570"/>
      <c r="DQ122" s="1570"/>
      <c r="DR122" s="1570"/>
      <c r="DS122" s="1570"/>
      <c r="DT122" s="1570"/>
      <c r="DU122" s="1570"/>
      <c r="DV122" s="1570"/>
      <c r="DW122" s="1570"/>
      <c r="DX122" s="1570"/>
      <c r="DY122" s="1570"/>
      <c r="DZ122" s="1570"/>
      <c r="EA122" s="1570"/>
      <c r="EB122" s="1570"/>
      <c r="EC122" s="1570"/>
      <c r="ED122" s="1570"/>
      <c r="EE122" s="1570"/>
      <c r="EF122" s="1570"/>
      <c r="EG122" s="1570"/>
      <c r="EH122" s="1570"/>
      <c r="EI122" s="1570"/>
      <c r="EJ122" s="1570"/>
      <c r="EK122" s="1570"/>
      <c r="EL122" s="1570"/>
      <c r="EM122" s="1570"/>
      <c r="EN122" s="1570"/>
      <c r="EO122" s="1570"/>
      <c r="EP122" s="1570"/>
      <c r="EQ122" s="1570"/>
      <c r="ER122" s="1570"/>
      <c r="ES122" s="1570"/>
      <c r="ET122" s="1570"/>
      <c r="EU122" s="1501"/>
      <c r="EV122" s="1570"/>
      <c r="EW122" s="1570"/>
      <c r="EX122" s="1570"/>
      <c r="EY122" s="1570"/>
      <c r="EZ122" s="1570"/>
      <c r="FA122" s="1570"/>
      <c r="FB122" s="1570"/>
      <c r="FC122" s="1570"/>
      <c r="FD122" s="1570"/>
      <c r="FE122" s="1570"/>
      <c r="FF122" s="1448"/>
      <c r="FG122" s="1448"/>
      <c r="FH122" s="1448"/>
      <c r="FI122" s="1448"/>
      <c r="FJ122" s="1448"/>
      <c r="FK122" s="1448"/>
      <c r="FL122" s="1441">
        <f t="shared" si="1674"/>
        <v>0</v>
      </c>
    </row>
    <row r="123" spans="1:172" s="1564" customFormat="1" ht="15.75" customHeight="1" outlineLevel="1" thickTop="1">
      <c r="A123" s="1629"/>
      <c r="B123" s="1416" t="s">
        <v>104</v>
      </c>
      <c r="C123" s="1418"/>
      <c r="D123" s="330"/>
      <c r="I123" s="1589"/>
      <c r="J123" s="1589"/>
      <c r="K123" s="1589"/>
      <c r="L123" s="1589"/>
      <c r="M123" s="1589"/>
      <c r="N123" s="1589"/>
      <c r="O123" s="330"/>
      <c r="P123" s="1630"/>
      <c r="R123" s="1630"/>
      <c r="T123" s="1630"/>
      <c r="V123" s="1630"/>
      <c r="X123" s="1630"/>
      <c r="Z123" s="1631"/>
      <c r="AB123" s="1631"/>
      <c r="AD123" s="1631"/>
      <c r="AH123" s="1631"/>
      <c r="AU123" s="1632"/>
      <c r="CO123" s="330"/>
      <c r="CP123" s="330"/>
      <c r="EJ123" s="330"/>
      <c r="EK123" s="1418"/>
      <c r="EL123" s="330"/>
      <c r="EM123" s="330"/>
      <c r="EN123" s="330"/>
      <c r="EO123" s="330"/>
      <c r="EP123" s="330"/>
      <c r="EQ123" s="330"/>
      <c r="ER123" s="330"/>
      <c r="ES123" s="330"/>
      <c r="ET123" s="330"/>
      <c r="EU123" s="330"/>
      <c r="EV123" s="330"/>
      <c r="EW123" s="330"/>
      <c r="EX123" s="330"/>
      <c r="EY123" s="330"/>
      <c r="EZ123" s="330"/>
      <c r="FA123" s="330"/>
      <c r="FB123" s="330"/>
      <c r="FC123" s="330"/>
      <c r="FD123" s="330"/>
      <c r="FE123" s="330"/>
      <c r="FF123" s="1448"/>
      <c r="FG123" s="1448"/>
      <c r="FH123" s="1448"/>
      <c r="FI123" s="1448"/>
      <c r="FJ123" s="1448"/>
      <c r="FK123" s="1448"/>
      <c r="FL123" s="1441">
        <f t="shared" si="1674"/>
        <v>0</v>
      </c>
      <c r="FM123" s="330"/>
      <c r="FN123" s="330"/>
      <c r="FO123" s="330"/>
      <c r="FP123" s="330"/>
    </row>
    <row r="124" spans="1:172" s="1564" customFormat="1" ht="15" customHeight="1" outlineLevel="1">
      <c r="A124" s="1629"/>
      <c r="B124" s="1633" t="s">
        <v>105</v>
      </c>
      <c r="C124" s="1418"/>
      <c r="D124" s="330"/>
      <c r="I124" s="1589"/>
      <c r="J124" s="1589"/>
      <c r="K124" s="1589"/>
      <c r="L124" s="1589"/>
      <c r="M124" s="1589"/>
      <c r="N124" s="1589"/>
      <c r="O124" s="1480"/>
      <c r="P124" s="1630"/>
      <c r="R124" s="1630"/>
      <c r="T124" s="1630"/>
      <c r="V124" s="1630"/>
      <c r="X124" s="1630"/>
      <c r="Z124" s="1631"/>
      <c r="AB124" s="1631"/>
      <c r="AD124" s="1631"/>
      <c r="AH124" s="1631"/>
      <c r="AU124" s="1632"/>
      <c r="CO124" s="330"/>
      <c r="CP124" s="330"/>
      <c r="EJ124" s="330"/>
      <c r="EK124" s="1418"/>
      <c r="EL124" s="330"/>
      <c r="EM124" s="330"/>
      <c r="EN124" s="330"/>
      <c r="EO124" s="330"/>
      <c r="EP124" s="330"/>
      <c r="EQ124" s="330"/>
      <c r="ER124" s="330"/>
      <c r="ES124" s="330"/>
      <c r="ET124" s="330"/>
      <c r="EU124" s="330"/>
      <c r="EV124" s="330"/>
      <c r="EW124" s="330"/>
      <c r="EX124" s="330"/>
      <c r="EY124" s="330"/>
      <c r="EZ124" s="330"/>
      <c r="FA124" s="330"/>
      <c r="FB124" s="330"/>
      <c r="FC124" s="330"/>
      <c r="FD124" s="330"/>
      <c r="FE124" s="330"/>
      <c r="FF124" s="1448"/>
      <c r="FG124" s="1448"/>
      <c r="FH124" s="1448"/>
      <c r="FI124" s="1448"/>
      <c r="FJ124" s="1448"/>
      <c r="FK124" s="1448"/>
      <c r="FL124" s="1441">
        <f t="shared" si="1674"/>
        <v>0</v>
      </c>
      <c r="FM124" s="330"/>
      <c r="FN124" s="330"/>
      <c r="FO124" s="330"/>
      <c r="FP124" s="330"/>
    </row>
    <row r="125" spans="1:172" s="331" customFormat="1" ht="15" customHeight="1" outlineLevel="1">
      <c r="A125" s="1625" t="e">
        <f>+#REF!+1</f>
        <v>#REF!</v>
      </c>
      <c r="B125" s="311" t="s">
        <v>731</v>
      </c>
      <c r="C125" s="312" t="s">
        <v>732</v>
      </c>
      <c r="D125" s="312" t="s">
        <v>11</v>
      </c>
      <c r="E125" s="1971">
        <v>3166.38</v>
      </c>
      <c r="F125" s="1526">
        <v>250</v>
      </c>
      <c r="G125" s="1526">
        <f t="shared" ref="G125:G133" si="2170">+E125+F125</f>
        <v>3416.38</v>
      </c>
      <c r="H125" s="1971">
        <v>30</v>
      </c>
      <c r="I125" s="1580">
        <v>0</v>
      </c>
      <c r="J125" s="1580">
        <v>1</v>
      </c>
      <c r="K125" s="1580">
        <v>0</v>
      </c>
      <c r="L125" s="318">
        <v>0</v>
      </c>
      <c r="M125" s="318">
        <v>0</v>
      </c>
      <c r="N125" s="318">
        <f t="shared" ref="N125" si="2171">SUM(I125:M125)</f>
        <v>1</v>
      </c>
      <c r="O125" s="1619"/>
      <c r="P125" s="1639"/>
      <c r="Q125" s="358">
        <f t="shared" ref="Q125" si="2172">($E125/30/8*1.5)*P125</f>
        <v>0</v>
      </c>
      <c r="R125" s="404"/>
      <c r="S125" s="358">
        <f t="shared" ref="S125" si="2173">($E125/30/8*2)*R125</f>
        <v>0</v>
      </c>
      <c r="T125" s="357">
        <v>22</v>
      </c>
      <c r="U125" s="358">
        <f t="shared" ref="U125" si="2174">($E125/30/8*1.5)*T125</f>
        <v>435.37725000000006</v>
      </c>
      <c r="V125" s="404"/>
      <c r="W125" s="358">
        <f t="shared" ref="W125" si="2175">($E125/30/8*2)*V125</f>
        <v>0</v>
      </c>
      <c r="X125" s="404"/>
      <c r="Y125" s="358">
        <f t="shared" ref="Y125" si="2176">(($E125/30/8)*1.5)*X125</f>
        <v>0</v>
      </c>
      <c r="Z125" s="1528"/>
      <c r="AA125" s="358">
        <f t="shared" ref="AA125" si="2177">(($E125/30/8)*2)*Z125</f>
        <v>0</v>
      </c>
      <c r="AB125" s="1526"/>
      <c r="AC125" s="1526">
        <f t="shared" ref="AC125" si="2178">(($E125/30/8)*1.5)*AB125</f>
        <v>0</v>
      </c>
      <c r="AD125" s="1526"/>
      <c r="AE125" s="1526">
        <f t="shared" ref="AE125" si="2179">(($E125/30/8)*2)*AD125</f>
        <v>0</v>
      </c>
      <c r="AF125" s="1526"/>
      <c r="AG125" s="1526">
        <f t="shared" ref="AG125" si="2180">(($E125/30/8)*1.5)*AF125</f>
        <v>0</v>
      </c>
      <c r="AH125" s="1635"/>
      <c r="AI125" s="404">
        <f t="shared" ref="AI125" si="2181">(($E125/30/8)*2)*AH125</f>
        <v>0</v>
      </c>
      <c r="AJ125" s="358"/>
      <c r="AK125" s="1528"/>
      <c r="AL125" s="358"/>
      <c r="AM125" s="1526"/>
      <c r="AN125" s="1526"/>
      <c r="AO125" s="1526"/>
      <c r="AP125" s="1526"/>
      <c r="AQ125" s="1526"/>
      <c r="AR125" s="1526"/>
      <c r="AS125" s="1635"/>
      <c r="AT125" s="404"/>
      <c r="AU125" s="358"/>
      <c r="AV125" s="1528">
        <f t="shared" ref="AV125" si="2182">((E125/30)*H125)*$I125</f>
        <v>0</v>
      </c>
      <c r="AW125" s="416">
        <f>((F125/30)*H125)*$I125</f>
        <v>0</v>
      </c>
      <c r="AX125" s="1526">
        <f t="shared" ref="AX125" si="2183">P125</f>
        <v>0</v>
      </c>
      <c r="AY125" s="1526">
        <f t="shared" ref="AY125" si="2184">Q125</f>
        <v>0</v>
      </c>
      <c r="AZ125" s="1526">
        <f t="shared" ref="AZ125" si="2185">R125</f>
        <v>0</v>
      </c>
      <c r="BA125" s="1526">
        <f t="shared" ref="BA125" si="2186">S125</f>
        <v>0</v>
      </c>
      <c r="BB125" s="1526">
        <f t="shared" ref="BB125" si="2187">AJ125+AO125</f>
        <v>0</v>
      </c>
      <c r="BC125" s="1526">
        <f t="shared" ref="BC125" si="2188">(AV125+AY125+BA125)*0.1267</f>
        <v>0</v>
      </c>
      <c r="BD125" s="1635">
        <f t="shared" ref="BD125" si="2189">SUM(AV125:BC125)-AX125-AZ125</f>
        <v>0</v>
      </c>
      <c r="BE125" s="358">
        <f t="shared" ref="BE125:BE133" si="2190">(($E125/30)*$H125)*$J125</f>
        <v>3166.38</v>
      </c>
      <c r="BF125" s="358">
        <f t="shared" ref="BF125:BF132" si="2191">(($F125/30)*$H125)*$J125</f>
        <v>250.00000000000003</v>
      </c>
      <c r="BG125" s="358">
        <f t="shared" ref="BG125" si="2192">T125</f>
        <v>22</v>
      </c>
      <c r="BH125" s="358">
        <f t="shared" ref="BH125" si="2193">U125</f>
        <v>435.37725000000006</v>
      </c>
      <c r="BI125" s="358">
        <f t="shared" ref="BI125" si="2194">V125</f>
        <v>0</v>
      </c>
      <c r="BJ125" s="358">
        <f t="shared" ref="BJ125" si="2195">W125</f>
        <v>0</v>
      </c>
      <c r="BK125" s="358">
        <v>0</v>
      </c>
      <c r="BL125" s="358">
        <f t="shared" ref="BL125" si="2196">(+BE125+BH125+BJ125+BK125)*0.1267</f>
        <v>456.34264357500007</v>
      </c>
      <c r="BM125" s="1526">
        <f t="shared" ref="BM125" si="2197">SUM(BE125:BL125)-BG125-BI125</f>
        <v>4308.0998935750004</v>
      </c>
      <c r="BN125" s="358">
        <f t="shared" ref="BN125:BN133" si="2198">(($E125/30)*$H125)*$K125</f>
        <v>0</v>
      </c>
      <c r="BO125" s="358">
        <f t="shared" ref="BO125:BO133" si="2199">(($F125/30)*$H125)*$K125</f>
        <v>0</v>
      </c>
      <c r="BP125" s="358">
        <f t="shared" ref="BP125" si="2200">X125</f>
        <v>0</v>
      </c>
      <c r="BQ125" s="358">
        <f t="shared" ref="BQ125" si="2201">Y125</f>
        <v>0</v>
      </c>
      <c r="BR125" s="358">
        <f t="shared" ref="BR125" si="2202">Z125</f>
        <v>0</v>
      </c>
      <c r="BS125" s="358">
        <f t="shared" ref="BS125" si="2203">AA125</f>
        <v>0</v>
      </c>
      <c r="BT125" s="358">
        <f t="shared" ref="BT125" si="2204">AL125+AQ125</f>
        <v>0</v>
      </c>
      <c r="BU125" s="358">
        <f t="shared" ref="BU125" si="2205">(BN125+BQ125+BS125)*0.1267</f>
        <v>0</v>
      </c>
      <c r="BV125" s="358">
        <f t="shared" ref="BV125" si="2206">SUM(BN125:BU125)-BP125-BR125</f>
        <v>0</v>
      </c>
      <c r="BW125" s="1636">
        <f t="shared" ref="BW125:BW133" si="2207">(($E125/30)*$H125)*$L125</f>
        <v>0</v>
      </c>
      <c r="BX125" s="1637">
        <f t="shared" ref="BX125:BX133" si="2208">(($F125/30)*$H125)*$L125</f>
        <v>0</v>
      </c>
      <c r="BY125" s="1637">
        <f t="shared" ref="BY125" si="2209">AB125</f>
        <v>0</v>
      </c>
      <c r="BZ125" s="1637">
        <f t="shared" ref="BZ125" si="2210">AC125</f>
        <v>0</v>
      </c>
      <c r="CA125" s="1637">
        <f t="shared" ref="CA125" si="2211">AD125</f>
        <v>0</v>
      </c>
      <c r="CB125" s="1637">
        <f t="shared" ref="CB125" si="2212">AE125</f>
        <v>0</v>
      </c>
      <c r="CC125" s="1637">
        <f t="shared" ref="CC125" si="2213">AM125+AR125</f>
        <v>0</v>
      </c>
      <c r="CD125" s="1637">
        <f t="shared" ref="CD125" si="2214">(BW125+BZ125+CB125)*0.1267</f>
        <v>0</v>
      </c>
      <c r="CE125" s="1637">
        <f t="shared" ref="CE125" si="2215">SUM(BW125:CD125)-BY125-CA125</f>
        <v>0</v>
      </c>
      <c r="CF125" s="1637">
        <f t="shared" ref="CF125" si="2216">(($E125/30)*$H125)*M125</f>
        <v>0</v>
      </c>
      <c r="CG125" s="1637">
        <f t="shared" ref="CG125:CG133" si="2217">(($F125/30)*$H125)*$M125</f>
        <v>0</v>
      </c>
      <c r="CH125" s="1637">
        <f>+AF125</f>
        <v>0</v>
      </c>
      <c r="CI125" s="1637">
        <f t="shared" ref="CI125" si="2218">AG125</f>
        <v>0</v>
      </c>
      <c r="CJ125" s="1637">
        <f t="shared" ref="CJ125" si="2219">AH125</f>
        <v>0</v>
      </c>
      <c r="CK125" s="1637">
        <f t="shared" ref="CK125" si="2220">AI125</f>
        <v>0</v>
      </c>
      <c r="CL125" s="1637">
        <f t="shared" ref="CL125" si="2221">AN125+AS125</f>
        <v>0</v>
      </c>
      <c r="CM125" s="1637">
        <f t="shared" ref="CM125" si="2222">(CF125+CI125+CK125)*0.1267</f>
        <v>0</v>
      </c>
      <c r="CN125" s="1638">
        <f t="shared" ref="CN125" si="2223">SUM(CF125:CM125)-CH125-CJ125</f>
        <v>0</v>
      </c>
      <c r="CO125" s="1418"/>
      <c r="CP125" s="312" t="s">
        <v>11</v>
      </c>
      <c r="CQ125" s="358">
        <f>IF($CP125="PROQUIMA",$AV125+$BE125+$BN125+$BW125+$CF125,0)</f>
        <v>0</v>
      </c>
      <c r="CR125" s="358">
        <f>IF($CP125="PROQUIMA",$AW125+$BF125+$BO125+$BX125+$CG125,0)</f>
        <v>0</v>
      </c>
      <c r="CS125" s="358">
        <f>IF($CP125="PROQUIMA",$AX125+$BG125+$BP125+$BY125+$CH125,0)</f>
        <v>0</v>
      </c>
      <c r="CT125" s="358">
        <f>IF($CP125="PROQUIMA",$AY125+$BH125+$BQ125+$BZ125+$CI125,0)</f>
        <v>0</v>
      </c>
      <c r="CU125" s="358">
        <f>IF($CP125="PROQUIMA",$AZ125+$BI125+$BR125+$CA125+$CJ125,0)</f>
        <v>0</v>
      </c>
      <c r="CV125" s="358">
        <f>IF($CP125="PROQUIMA",$BA125+$BJ125+$BS125+$CB125+$CK125,0)</f>
        <v>0</v>
      </c>
      <c r="CW125" s="358">
        <f>IF($CP125="PROQUIMA",$BB125+$BK125+$BT125+$CC125+$CL125,0)</f>
        <v>0</v>
      </c>
      <c r="CX125" s="358">
        <f t="shared" ref="CX125" si="2224">IF($CP125="PROQUIMA",$BC125+$BL125+$BU125+$CD125+CM125,0)</f>
        <v>0</v>
      </c>
      <c r="CY125" s="315">
        <f t="shared" ref="CY125" si="2225">SUM(CQ125:CX125)-CS125-CU125</f>
        <v>0</v>
      </c>
      <c r="CZ125" s="358">
        <f>IF($CP125="UNHESA",$AV125+$BE125+$BN125+$BW125+$CF125,0)</f>
        <v>3166.38</v>
      </c>
      <c r="DA125" s="358">
        <f>IF($CP125="UNHESA",$AW125+$BF125+$BO125+$BX125+$CG125,0)</f>
        <v>250.00000000000003</v>
      </c>
      <c r="DB125" s="358">
        <f>IF($CP125="UNHESA",$AX125+$BG125+$BP125+$BY125+$CH125,0)</f>
        <v>22</v>
      </c>
      <c r="DC125" s="358">
        <f>IF($CP125="UNHESA",$AY125+$BH125+$BQ125+$BZ125+$CI125,0)</f>
        <v>435.37725000000006</v>
      </c>
      <c r="DD125" s="358">
        <f>IF($CP125="UNHESA",$AZ125+$BI125+$BR125+$CA125+$CJ125,0)</f>
        <v>0</v>
      </c>
      <c r="DE125" s="358">
        <f>IF($CP125="UNHESA",$BA125+$BJ125+$BS125+$CB125+$CK125,0)</f>
        <v>0</v>
      </c>
      <c r="DF125" s="358">
        <f>IF($CP125="UNHESA",$BB125+$BK125+$BT125+$CC125+$CL125,0)</f>
        <v>0</v>
      </c>
      <c r="DG125" s="358">
        <f>IF($CP125="UNHESA",$BC125+$BL125+$BU125+$CD125+$CM125,0)</f>
        <v>456.34264357500007</v>
      </c>
      <c r="DH125" s="358">
        <f t="shared" ref="DH125" si="2226">SUM(CZ125:DG125)-DB125-DD125</f>
        <v>4308.0998935750004</v>
      </c>
      <c r="DI125" s="358">
        <f t="shared" ref="DI125:DI133" si="2227">IF($CP125="UNHESA LIQUIDOS",$AV125+$BE125+$BN125+$BW125+$CF125,0)</f>
        <v>0</v>
      </c>
      <c r="DJ125" s="358">
        <f t="shared" ref="DJ125:DJ133" si="2228">IF($CP125="UNHESA LIQUIDOS",$AW125+$BF125+$BO125+$BX125+$CG125,0)</f>
        <v>0</v>
      </c>
      <c r="DK125" s="358">
        <f t="shared" ref="DK125:DK133" si="2229">IF($CP125="UNHESA LIQUIDOS",$AX125+$BG125+$BP125+$BY125+$CH125,0)</f>
        <v>0</v>
      </c>
      <c r="DL125" s="358">
        <f t="shared" ref="DL125:DL133" si="2230">IF($CP125="UNHESA LIQUIDOS",$AY125+$BH125+$BQ125+$BZ125+$CI125,0)</f>
        <v>0</v>
      </c>
      <c r="DM125" s="358">
        <f t="shared" ref="DM125:DM133" si="2231">IF($CP125="UNHESA LIQUIDOS",$AZ125+$BI125+$BR125+$CA125+$CJ125,0)</f>
        <v>0</v>
      </c>
      <c r="DN125" s="358">
        <f t="shared" ref="DN125:DN133" si="2232">IF($CP125="UNHESA LIQUIDOS",$BA125+$BJ125+$BS125+$CB125+$CK125,0)</f>
        <v>0</v>
      </c>
      <c r="DO125" s="358">
        <f t="shared" ref="DO125:DO133" si="2233">IF($CP125="UNHESA LIQUIDOS",$BB125+$BK125+$BT125+$CC125+$CL125,0)</f>
        <v>0</v>
      </c>
      <c r="DP125" s="358">
        <f t="shared" ref="DP125:DP133" si="2234">IF($CP125="UNHESA LIQUIDOS",$BC125+$BL125+$BU125+$CD125+$CM125,0)</f>
        <v>0</v>
      </c>
      <c r="DQ125" s="358">
        <f t="shared" ref="DQ125" si="2235">SUM(DI125:DP125)-DK125-DM125</f>
        <v>0</v>
      </c>
      <c r="DR125" s="1636">
        <f>IF($CP125="ECONACIONAL",$AV125+$BE125+$BN125+$BW125+$CF125,0)</f>
        <v>0</v>
      </c>
      <c r="DS125" s="1637">
        <f>IF($CP125="ECONACIONAL",$AW125+$BF125+$BO125+$BX125+$CG125,0)</f>
        <v>0</v>
      </c>
      <c r="DT125" s="1637">
        <f>IF($CP125="ECONACIONAL",$AX125+$BG125+$BP125+$BY125+$CH125,0)</f>
        <v>0</v>
      </c>
      <c r="DU125" s="1637">
        <f>IF($CP125="ECONACIONAL",$AY125+$BH125+$BQ125+$BZ125+$CI125,0)</f>
        <v>0</v>
      </c>
      <c r="DV125" s="1637">
        <f>IF($CP125="ECONACIONAL",$AZ125+$BI125+$BR125+$CA125+$CJ125,0)</f>
        <v>0</v>
      </c>
      <c r="DW125" s="1637">
        <f>IF($CP125="ECONACIONAL",$BA125+$BJ125+$BS125+$CB125+$CK125,0)</f>
        <v>0</v>
      </c>
      <c r="DX125" s="1637">
        <f>IF($CP125="ECONACIONAL",$BB125+$BK125+$BT125+$CC125+$CL125,0)</f>
        <v>0</v>
      </c>
      <c r="DY125" s="1637">
        <f>IF($CP125="ECONACIONAL",$BC125+$BL125+$BU125+$CD125+$CM125,0)</f>
        <v>0</v>
      </c>
      <c r="DZ125" s="1637">
        <f t="shared" ref="DZ125" si="2236">SUM(DR125:DY125)-DT125-DV125</f>
        <v>0</v>
      </c>
      <c r="EA125" s="1637">
        <f>IF($CP125="CLEARTEC",$AV125+$BE125+$BN125+$BW125+$CF125,0)</f>
        <v>0</v>
      </c>
      <c r="EB125" s="1637">
        <f>IF($CP125="CLEARTEC",$AW125+$BF125+$BO125+$BX125+$CG125,0)</f>
        <v>0</v>
      </c>
      <c r="EC125" s="1637">
        <f>IF($CP125="CLEARTEC",$AX125+$BG125+$BP125+$BY125+$CH125,0)</f>
        <v>0</v>
      </c>
      <c r="ED125" s="1637">
        <f>IF($CP125="CLEARTEC",$AY125+$BH125+$BQ125+$BZ125+$CI125,0)</f>
        <v>0</v>
      </c>
      <c r="EE125" s="1637">
        <f>IF($CP125="CLEARTEC",$AZ125+$BI125+$BR125+$CA125+$CJ125,0)</f>
        <v>0</v>
      </c>
      <c r="EF125" s="1637">
        <f>IF($CP125="CLEARTEC",$BA125+$BJ125+$BS125+$CB125+$CK125,0)</f>
        <v>0</v>
      </c>
      <c r="EG125" s="1637">
        <f>IF($CP125="CLEARTEC",$BB125+$BK125+$BT125+$CC125+$CL125,0)</f>
        <v>0</v>
      </c>
      <c r="EH125" s="1637">
        <f>IF($CP125="CLEARTEC",$BC125+$BL125+$BU125+$CD125+$CM125,0)</f>
        <v>0</v>
      </c>
      <c r="EI125" s="1638">
        <f t="shared" ref="EI125" si="2237">SUM(EA125:EH125)-EC125-EE125</f>
        <v>0</v>
      </c>
      <c r="EJ125" s="1418"/>
      <c r="EK125" s="312"/>
      <c r="EL125" s="312"/>
      <c r="EM125" s="313"/>
      <c r="EN125" s="312"/>
      <c r="EO125" s="313"/>
      <c r="EP125" s="313">
        <v>50</v>
      </c>
      <c r="EQ125" s="1969"/>
      <c r="ER125" s="313"/>
      <c r="ES125" s="313"/>
      <c r="ET125" s="313">
        <f>+EO125+EP125+EQ125</f>
        <v>50</v>
      </c>
      <c r="EU125" s="1501"/>
      <c r="EV125" s="321">
        <f t="shared" ref="EV125" si="2238">IF($H125&lt;=15,EK125/2,EK125)</f>
        <v>0</v>
      </c>
      <c r="EW125" s="321">
        <f t="shared" ref="EW125" si="2239">IF($H125&lt;=15,EL125/2,EL125)</f>
        <v>0</v>
      </c>
      <c r="EX125" s="321">
        <f t="shared" ref="EX125" si="2240">IF($H125&lt;=15,EM125/2,EM125)</f>
        <v>0</v>
      </c>
      <c r="EY125" s="321">
        <f t="shared" ref="EY125" si="2241">IF($H125&lt;=15,EN125/2,EN125)</f>
        <v>0</v>
      </c>
      <c r="EZ125" s="321">
        <f t="shared" ref="EZ125" si="2242">IF($H125&lt;=15,EO125/2,EO125)</f>
        <v>0</v>
      </c>
      <c r="FA125" s="321">
        <f t="shared" ref="FA125" si="2243">IF($H125&lt;=15,EP125/2,EP125)</f>
        <v>50</v>
      </c>
      <c r="FB125" s="321">
        <f t="shared" ref="FB125" si="2244">IF($H125&lt;=15,EQ125/2,EQ125)</f>
        <v>0</v>
      </c>
      <c r="FC125" s="321">
        <f t="shared" ref="FC125" si="2245">IF($H125&lt;=15,ER125/2,ER125)</f>
        <v>0</v>
      </c>
      <c r="FD125" s="1640">
        <f>IF($H125&lt;=15,ES125/2,ES125)</f>
        <v>0</v>
      </c>
      <c r="FE125" s="321">
        <f t="shared" ref="FE125" si="2246">IF($H125&lt;=15,ET125/2,ET125)</f>
        <v>50</v>
      </c>
      <c r="FF125" s="332"/>
      <c r="FG125" s="332"/>
      <c r="FH125" s="332"/>
      <c r="FI125" s="332"/>
      <c r="FJ125" s="332"/>
      <c r="FK125" s="332"/>
    </row>
    <row r="126" spans="1:172" s="331" customFormat="1" ht="15" customHeight="1" outlineLevel="1">
      <c r="A126" s="1625" t="e">
        <f>+A125+1</f>
        <v>#REF!</v>
      </c>
      <c r="B126" s="311" t="s">
        <v>744</v>
      </c>
      <c r="C126" s="1968" t="s">
        <v>380</v>
      </c>
      <c r="D126" s="312" t="s">
        <v>10</v>
      </c>
      <c r="E126" s="1526">
        <v>3166.38</v>
      </c>
      <c r="F126" s="1526">
        <v>542.86</v>
      </c>
      <c r="G126" s="1526">
        <f t="shared" ref="G126" si="2247">+E126+F126</f>
        <v>3709.2400000000002</v>
      </c>
      <c r="H126" s="1971">
        <v>30</v>
      </c>
      <c r="I126" s="1987">
        <v>1</v>
      </c>
      <c r="J126" s="1987">
        <v>0</v>
      </c>
      <c r="K126" s="1580">
        <v>0</v>
      </c>
      <c r="L126" s="318">
        <v>0</v>
      </c>
      <c r="M126" s="318">
        <v>0</v>
      </c>
      <c r="N126" s="318">
        <f t="shared" ref="N126" si="2248">SUM(I126:M126)</f>
        <v>1</v>
      </c>
      <c r="O126" s="1619"/>
      <c r="P126" s="1639"/>
      <c r="Q126" s="358">
        <f t="shared" ref="Q126" si="2249">($E126/30/8*1.5)*P126</f>
        <v>0</v>
      </c>
      <c r="R126" s="404"/>
      <c r="S126" s="358">
        <f t="shared" ref="S126" si="2250">($E126/30/8*2)*R126</f>
        <v>0</v>
      </c>
      <c r="T126" s="357"/>
      <c r="U126" s="358">
        <f t="shared" ref="U126" si="2251">($E126/30/8*1.5)*T126</f>
        <v>0</v>
      </c>
      <c r="V126" s="404"/>
      <c r="W126" s="358">
        <f t="shared" ref="W126" si="2252">($E126/30/8*2)*V126</f>
        <v>0</v>
      </c>
      <c r="X126" s="404"/>
      <c r="Y126" s="358">
        <f t="shared" ref="Y126" si="2253">(($E126/30/8)*1.5)*X126</f>
        <v>0</v>
      </c>
      <c r="Z126" s="1528"/>
      <c r="AA126" s="358">
        <f t="shared" ref="AA126" si="2254">(($E126/30/8)*2)*Z126</f>
        <v>0</v>
      </c>
      <c r="AB126" s="1526"/>
      <c r="AC126" s="1526">
        <f t="shared" ref="AC126" si="2255">(($E126/30/8)*1.5)*AB126</f>
        <v>0</v>
      </c>
      <c r="AD126" s="1526"/>
      <c r="AE126" s="1526">
        <f t="shared" ref="AE126" si="2256">(($E126/30/8)*2)*AD126</f>
        <v>0</v>
      </c>
      <c r="AF126" s="1526"/>
      <c r="AG126" s="1526">
        <f t="shared" ref="AG126" si="2257">(($E126/30/8)*1.5)*AF126</f>
        <v>0</v>
      </c>
      <c r="AH126" s="1635"/>
      <c r="AI126" s="404">
        <f t="shared" ref="AI126" si="2258">(($E126/30/8)*2)*AH126</f>
        <v>0</v>
      </c>
      <c r="AJ126" s="358"/>
      <c r="AK126" s="1528"/>
      <c r="AL126" s="358"/>
      <c r="AM126" s="1526"/>
      <c r="AN126" s="1526"/>
      <c r="AO126" s="1526"/>
      <c r="AP126" s="1526"/>
      <c r="AQ126" s="1526"/>
      <c r="AR126" s="1526"/>
      <c r="AS126" s="1635"/>
      <c r="AT126" s="404"/>
      <c r="AU126" s="358"/>
      <c r="AV126" s="1528">
        <f t="shared" ref="AV126" si="2259">((E126/30)*H126)*$I126</f>
        <v>3166.38</v>
      </c>
      <c r="AW126" s="416">
        <f>((F126/30)*H126)*$I126</f>
        <v>542.86</v>
      </c>
      <c r="AX126" s="1526">
        <f t="shared" ref="AX126" si="2260">P126</f>
        <v>0</v>
      </c>
      <c r="AY126" s="1526">
        <f t="shared" ref="AY126" si="2261">Q126</f>
        <v>0</v>
      </c>
      <c r="AZ126" s="1526">
        <f t="shared" ref="AZ126" si="2262">R126</f>
        <v>0</v>
      </c>
      <c r="BA126" s="1526">
        <f t="shared" ref="BA126" si="2263">S126</f>
        <v>0</v>
      </c>
      <c r="BB126" s="1526">
        <f t="shared" ref="BB126" si="2264">AJ126+AO126</f>
        <v>0</v>
      </c>
      <c r="BC126" s="1526">
        <f t="shared" ref="BC126" si="2265">(AV126+AY126+BA126)*0.1267</f>
        <v>401.18034600000004</v>
      </c>
      <c r="BD126" s="1635">
        <f t="shared" ref="BD126" si="2266">SUM(AV126:BC126)-AX126-AZ126</f>
        <v>4110.4203459999999</v>
      </c>
      <c r="BE126" s="358">
        <f t="shared" si="2190"/>
        <v>0</v>
      </c>
      <c r="BF126" s="416">
        <f t="shared" si="2191"/>
        <v>0</v>
      </c>
      <c r="BG126" s="358">
        <f t="shared" ref="BG126" si="2267">T126</f>
        <v>0</v>
      </c>
      <c r="BH126" s="358">
        <f t="shared" ref="BH126" si="2268">U126</f>
        <v>0</v>
      </c>
      <c r="BI126" s="358">
        <f t="shared" ref="BI126" si="2269">V126</f>
        <v>0</v>
      </c>
      <c r="BJ126" s="358">
        <f t="shared" ref="BJ126" si="2270">W126</f>
        <v>0</v>
      </c>
      <c r="BK126" s="358">
        <v>0</v>
      </c>
      <c r="BL126" s="358">
        <f t="shared" ref="BL126" si="2271">(+BE126+BH126+BJ126+BK126)*0.1267</f>
        <v>0</v>
      </c>
      <c r="BM126" s="1526">
        <f t="shared" ref="BM126" si="2272">SUM(BE126:BL126)-BG126-BI126</f>
        <v>0</v>
      </c>
      <c r="BN126" s="358">
        <f t="shared" si="2198"/>
        <v>0</v>
      </c>
      <c r="BO126" s="358">
        <f t="shared" si="2199"/>
        <v>0</v>
      </c>
      <c r="BP126" s="358">
        <f t="shared" ref="BP126" si="2273">X126</f>
        <v>0</v>
      </c>
      <c r="BQ126" s="358">
        <f t="shared" ref="BQ126" si="2274">Y126</f>
        <v>0</v>
      </c>
      <c r="BR126" s="358">
        <f t="shared" ref="BR126" si="2275">Z126</f>
        <v>0</v>
      </c>
      <c r="BS126" s="358">
        <f t="shared" ref="BS126" si="2276">AA126</f>
        <v>0</v>
      </c>
      <c r="BT126" s="358">
        <f t="shared" ref="BT126" si="2277">AL126+AQ126</f>
        <v>0</v>
      </c>
      <c r="BU126" s="358">
        <f t="shared" ref="BU126" si="2278">(BN126+BQ126+BS126)*0.1267</f>
        <v>0</v>
      </c>
      <c r="BV126" s="358">
        <f t="shared" ref="BV126" si="2279">SUM(BN126:BU126)-BP126-BR126</f>
        <v>0</v>
      </c>
      <c r="BW126" s="1636">
        <f t="shared" si="2207"/>
        <v>0</v>
      </c>
      <c r="BX126" s="1637">
        <f t="shared" si="2208"/>
        <v>0</v>
      </c>
      <c r="BY126" s="1637">
        <f t="shared" ref="BY126" si="2280">AB126</f>
        <v>0</v>
      </c>
      <c r="BZ126" s="1637">
        <f t="shared" ref="BZ126" si="2281">AC126</f>
        <v>0</v>
      </c>
      <c r="CA126" s="1637">
        <f t="shared" ref="CA126" si="2282">AD126</f>
        <v>0</v>
      </c>
      <c r="CB126" s="1637">
        <f t="shared" ref="CB126" si="2283">AE126</f>
        <v>0</v>
      </c>
      <c r="CC126" s="1637">
        <f t="shared" ref="CC126" si="2284">AM126+AR126</f>
        <v>0</v>
      </c>
      <c r="CD126" s="1637">
        <f t="shared" ref="CD126" si="2285">(BW126+BZ126+CB126)*0.1267</f>
        <v>0</v>
      </c>
      <c r="CE126" s="1637">
        <f t="shared" ref="CE126" si="2286">SUM(BW126:CD126)-BY126-CA126</f>
        <v>0</v>
      </c>
      <c r="CF126" s="1637">
        <f t="shared" ref="CF126" si="2287">(($E126/30)*$H126)*M126</f>
        <v>0</v>
      </c>
      <c r="CG126" s="1637">
        <f t="shared" si="2217"/>
        <v>0</v>
      </c>
      <c r="CH126" s="1637">
        <f>+AF126</f>
        <v>0</v>
      </c>
      <c r="CI126" s="1637">
        <f t="shared" ref="CI126" si="2288">AG126</f>
        <v>0</v>
      </c>
      <c r="CJ126" s="1637">
        <f t="shared" ref="CJ126" si="2289">AH126</f>
        <v>0</v>
      </c>
      <c r="CK126" s="1637">
        <f t="shared" ref="CK126" si="2290">AI126</f>
        <v>0</v>
      </c>
      <c r="CL126" s="1637">
        <f t="shared" ref="CL126" si="2291">AN126+AS126</f>
        <v>0</v>
      </c>
      <c r="CM126" s="1637">
        <f t="shared" ref="CM126" si="2292">(CF126+CI126+CK126)*0.1267</f>
        <v>0</v>
      </c>
      <c r="CN126" s="1638">
        <f t="shared" ref="CN126" si="2293">SUM(CF126:CM126)-CH126-CJ126</f>
        <v>0</v>
      </c>
      <c r="CO126" s="1418"/>
      <c r="CP126" s="1968" t="s">
        <v>10</v>
      </c>
      <c r="CQ126" s="358">
        <f>IF($CP126="PROQUIMA",$AV126+$BE126+$BN126+$BW126+$CF126,0)</f>
        <v>3166.38</v>
      </c>
      <c r="CR126" s="358">
        <f>IF($CP126="PROQUIMA",$AW126+$BF126+$BO126+$BX126+$CG126,0)</f>
        <v>542.86</v>
      </c>
      <c r="CS126" s="358">
        <f>IF($CP126="PROQUIMA",$AX126+$BG126+$BP126+$BY126+$CH126,0)</f>
        <v>0</v>
      </c>
      <c r="CT126" s="358">
        <f>IF($CP126="PROQUIMA",$AY126+$BH126+$BQ126+$BZ126+$CI126,0)</f>
        <v>0</v>
      </c>
      <c r="CU126" s="358">
        <f>IF($CP126="PROQUIMA",$AZ126+$BI126+$BR126+$CA126+$CJ126,0)</f>
        <v>0</v>
      </c>
      <c r="CV126" s="358">
        <f>IF($CP126="PROQUIMA",$BA126+$BJ126+$BS126+$CB126+$CK126,0)</f>
        <v>0</v>
      </c>
      <c r="CW126" s="358">
        <f>IF($CP126="PROQUIMA",$BB126+$BK126+$BT126+$CC126+$CL126,0)</f>
        <v>0</v>
      </c>
      <c r="CX126" s="358">
        <f t="shared" ref="CX126" si="2294">IF($CP126="PROQUIMA",$BC126+$BL126+$BU126+$CD126+CM126,0)</f>
        <v>401.18034600000004</v>
      </c>
      <c r="CY126" s="315">
        <f t="shared" ref="CY126" si="2295">SUM(CQ126:CX126)-CS126-CU126</f>
        <v>4110.4203459999999</v>
      </c>
      <c r="CZ126" s="358">
        <f>IF($CP126="UNHESA",$AV126+$BE126+$BN126+$BW126+$CF126,0)</f>
        <v>0</v>
      </c>
      <c r="DA126" s="358">
        <f>IF($CP126="UNHESA",$AW126+$BF126+$BO126+$BX126+$CG126,0)</f>
        <v>0</v>
      </c>
      <c r="DB126" s="358">
        <f>IF($CP126="UNHESA",$AX126+$BG126+$BP126+$BY126+$CH126,0)</f>
        <v>0</v>
      </c>
      <c r="DC126" s="358">
        <f>IF($CP126="UNHESA",$AY126+$BH126+$BQ126+$BZ126+$CI126,0)</f>
        <v>0</v>
      </c>
      <c r="DD126" s="358">
        <f>IF($CP126="UNHESA",$AZ126+$BI126+$BR126+$CA126+$CJ126,0)</f>
        <v>0</v>
      </c>
      <c r="DE126" s="358">
        <f>IF($CP126="UNHESA",$BA126+$BJ126+$BS126+$CB126+$CK126,0)</f>
        <v>0</v>
      </c>
      <c r="DF126" s="358">
        <f>IF($CP126="UNHESA",$BB126+$BK126+$BT126+$CC126+$CL126,0)</f>
        <v>0</v>
      </c>
      <c r="DG126" s="358">
        <f>IF($CP126="UNHESA",$BC126+$BL126+$BU126+$CD126+$CM126,0)</f>
        <v>0</v>
      </c>
      <c r="DH126" s="358">
        <f t="shared" ref="DH126" si="2296">SUM(CZ126:DG126)-DB126-DD126</f>
        <v>0</v>
      </c>
      <c r="DI126" s="358">
        <f t="shared" si="2227"/>
        <v>0</v>
      </c>
      <c r="DJ126" s="358">
        <f t="shared" si="2228"/>
        <v>0</v>
      </c>
      <c r="DK126" s="358">
        <f t="shared" si="2229"/>
        <v>0</v>
      </c>
      <c r="DL126" s="358">
        <f t="shared" si="2230"/>
        <v>0</v>
      </c>
      <c r="DM126" s="358">
        <f t="shared" si="2231"/>
        <v>0</v>
      </c>
      <c r="DN126" s="358">
        <f t="shared" si="2232"/>
        <v>0</v>
      </c>
      <c r="DO126" s="358">
        <f t="shared" si="2233"/>
        <v>0</v>
      </c>
      <c r="DP126" s="358">
        <f t="shared" si="2234"/>
        <v>0</v>
      </c>
      <c r="DQ126" s="358">
        <f t="shared" ref="DQ126" si="2297">SUM(DI126:DP126)-DK126-DM126</f>
        <v>0</v>
      </c>
      <c r="DR126" s="1636">
        <f>IF($CP126="ECONACIONAL",$AV126+$BE126+$BN126+$BW126+$CF126,0)</f>
        <v>0</v>
      </c>
      <c r="DS126" s="1637">
        <f>IF($CP126="ECONACIONAL",$AW126+$BF126+$BO126+$BX126+$CG126,0)</f>
        <v>0</v>
      </c>
      <c r="DT126" s="1637">
        <f>IF($CP126="ECONACIONAL",$AX126+$BG126+$BP126+$BY126+$CH126,0)</f>
        <v>0</v>
      </c>
      <c r="DU126" s="1637">
        <f>IF($CP126="ECONACIONAL",$AY126+$BH126+$BQ126+$BZ126+$CI126,0)</f>
        <v>0</v>
      </c>
      <c r="DV126" s="1637">
        <f>IF($CP126="ECONACIONAL",$AZ126+$BI126+$BR126+$CA126+$CJ126,0)</f>
        <v>0</v>
      </c>
      <c r="DW126" s="1637">
        <f>IF($CP126="ECONACIONAL",$BA126+$BJ126+$BS126+$CB126+$CK126,0)</f>
        <v>0</v>
      </c>
      <c r="DX126" s="1637">
        <f>IF($CP126="ECONACIONAL",$BB126+$BK126+$BT126+$CC126+$CL126,0)</f>
        <v>0</v>
      </c>
      <c r="DY126" s="1637">
        <f>IF($CP126="ECONACIONAL",$BC126+$BL126+$BU126+$CD126+$CM126,0)</f>
        <v>0</v>
      </c>
      <c r="DZ126" s="1637">
        <f t="shared" ref="DZ126" si="2298">SUM(DR126:DY126)-DT126-DV126</f>
        <v>0</v>
      </c>
      <c r="EA126" s="1637">
        <f>IF($CP126="CLEARTEC",$AV126+$BE126+$BN126+$BW126+$CF126,0)</f>
        <v>0</v>
      </c>
      <c r="EB126" s="1637">
        <f>IF($CP126="CLEARTEC",$AW126+$BF126+$BO126+$BX126+$CG126,0)</f>
        <v>0</v>
      </c>
      <c r="EC126" s="1637">
        <f>IF($CP126="CLEARTEC",$AX126+$BG126+$BP126+$BY126+$CH126,0)</f>
        <v>0</v>
      </c>
      <c r="ED126" s="1637">
        <f>IF($CP126="CLEARTEC",$AY126+$BH126+$BQ126+$BZ126+$CI126,0)</f>
        <v>0</v>
      </c>
      <c r="EE126" s="1637">
        <f>IF($CP126="CLEARTEC",$AZ126+$BI126+$BR126+$CA126+$CJ126,0)</f>
        <v>0</v>
      </c>
      <c r="EF126" s="1637">
        <f>IF($CP126="CLEARTEC",$BA126+$BJ126+$BS126+$CB126+$CK126,0)</f>
        <v>0</v>
      </c>
      <c r="EG126" s="1637">
        <f>IF($CP126="CLEARTEC",$BB126+$BK126+$BT126+$CC126+$CL126,0)</f>
        <v>0</v>
      </c>
      <c r="EH126" s="1637">
        <f>IF($CP126="CLEARTEC",$BC126+$BL126+$BU126+$CD126+$CM126,0)</f>
        <v>0</v>
      </c>
      <c r="EI126" s="1638">
        <f t="shared" ref="EI126" si="2299">SUM(EA126:EH126)-EC126-EE126</f>
        <v>0</v>
      </c>
      <c r="EJ126" s="1418"/>
      <c r="EK126" s="312"/>
      <c r="EL126" s="312"/>
      <c r="EM126" s="313"/>
      <c r="EN126" s="312">
        <f>98+128</f>
        <v>226</v>
      </c>
      <c r="EO126" s="313">
        <v>324</v>
      </c>
      <c r="EP126" s="313">
        <v>50</v>
      </c>
      <c r="EQ126" s="1969"/>
      <c r="ER126" s="1969"/>
      <c r="ES126" s="313"/>
      <c r="ET126" s="313">
        <f>+EO126+EP126+EQ126</f>
        <v>374</v>
      </c>
      <c r="EU126" s="1501"/>
      <c r="EV126" s="321">
        <f t="shared" ref="EV126" si="2300">IF($H126&lt;=15,EK126/2,EK126)</f>
        <v>0</v>
      </c>
      <c r="EW126" s="321">
        <f t="shared" ref="EW126" si="2301">IF($H126&lt;=15,EL126/2,EL126)</f>
        <v>0</v>
      </c>
      <c r="EX126" s="321">
        <f t="shared" ref="EX126" si="2302">IF($H126&lt;=15,EM126/2,EM126)</f>
        <v>0</v>
      </c>
      <c r="EY126" s="321">
        <f t="shared" ref="EY126" si="2303">IF($H126&lt;=15,EN126/2,EN126)</f>
        <v>226</v>
      </c>
      <c r="EZ126" s="321">
        <f t="shared" ref="EZ126" si="2304">IF($H126&lt;=15,EO126/2,EO126)</f>
        <v>324</v>
      </c>
      <c r="FA126" s="321">
        <f t="shared" ref="FA126" si="2305">IF($H126&lt;=15,EP126/2,EP126)</f>
        <v>50</v>
      </c>
      <c r="FB126" s="321">
        <f t="shared" ref="FB126" si="2306">IF($H126&lt;=15,EQ126/2,EQ126)</f>
        <v>0</v>
      </c>
      <c r="FC126" s="321">
        <f t="shared" ref="FC126" si="2307">IF($H126&lt;=15,ER126/2,ER126)</f>
        <v>0</v>
      </c>
      <c r="FD126" s="1640">
        <f>IF($H126&lt;=15,ES126/2,ES126)</f>
        <v>0</v>
      </c>
      <c r="FE126" s="321">
        <f t="shared" ref="FE126" si="2308">IF($H126&lt;=15,ET126/2,ET126)</f>
        <v>374</v>
      </c>
      <c r="FF126" s="332"/>
      <c r="FG126" s="332"/>
      <c r="FH126" s="332"/>
      <c r="FI126" s="332"/>
      <c r="FJ126" s="332"/>
      <c r="FK126" s="332"/>
    </row>
    <row r="127" spans="1:172" s="331" customFormat="1" ht="15" customHeight="1" outlineLevel="1">
      <c r="A127" s="1625" t="e">
        <f t="shared" ref="A127:A133" si="2309">+A126+1</f>
        <v>#REF!</v>
      </c>
      <c r="B127" s="311" t="s">
        <v>511</v>
      </c>
      <c r="C127" s="312" t="s">
        <v>112</v>
      </c>
      <c r="D127" s="313" t="s">
        <v>10</v>
      </c>
      <c r="E127" s="1526">
        <v>3166.38</v>
      </c>
      <c r="F127" s="314">
        <v>450</v>
      </c>
      <c r="G127" s="314">
        <f t="shared" si="2170"/>
        <v>3616.38</v>
      </c>
      <c r="H127" s="1971">
        <v>30</v>
      </c>
      <c r="I127" s="318">
        <v>0.7</v>
      </c>
      <c r="J127" s="318">
        <v>0.3</v>
      </c>
      <c r="K127" s="318">
        <v>0</v>
      </c>
      <c r="L127" s="1498">
        <v>0</v>
      </c>
      <c r="M127" s="318">
        <v>0</v>
      </c>
      <c r="N127" s="318">
        <f t="shared" ref="N127:N133" si="2310">SUM(I127:M127)</f>
        <v>1</v>
      </c>
      <c r="O127" s="1480"/>
      <c r="P127" s="357">
        <v>3</v>
      </c>
      <c r="Q127" s="315">
        <f t="shared" ref="Q127:Q133" si="2311">($E127/30/8*1.5)*P127</f>
        <v>59.369625000000006</v>
      </c>
      <c r="R127" s="321"/>
      <c r="S127" s="358">
        <f t="shared" ref="S127:S133" si="2312">($E127/30/8*2)*R127</f>
        <v>0</v>
      </c>
      <c r="T127" s="321">
        <v>16</v>
      </c>
      <c r="U127" s="358">
        <f t="shared" ref="U127:U133" si="2313">($E127/30/8*1.5)*T127</f>
        <v>316.63800000000003</v>
      </c>
      <c r="V127" s="320"/>
      <c r="W127" s="315">
        <f t="shared" ref="W127:W133" si="2314">($E127/30/8*2)*V127</f>
        <v>0</v>
      </c>
      <c r="X127" s="321"/>
      <c r="Y127" s="315">
        <f t="shared" ref="Y127:Y133" si="2315">(($E127/30/8)*1.5)*X127</f>
        <v>0</v>
      </c>
      <c r="Z127" s="322">
        <v>0</v>
      </c>
      <c r="AA127" s="315">
        <f t="shared" ref="AA127:AA133" si="2316">(($E127/30/8)*2)*Z127</f>
        <v>0</v>
      </c>
      <c r="AB127" s="1528"/>
      <c r="AC127" s="315">
        <f t="shared" ref="AC127:AC133" si="2317">(($E127/30/8)*1.5)*AB127</f>
        <v>0</v>
      </c>
      <c r="AD127" s="322">
        <v>0</v>
      </c>
      <c r="AE127" s="315">
        <f t="shared" ref="AE127:AE133" si="2318">(($E127/30/8)*2)*AD127</f>
        <v>0</v>
      </c>
      <c r="AF127" s="315"/>
      <c r="AG127" s="315">
        <f t="shared" ref="AG127:AG133" si="2319">(($E127/30/8)*1.5)*AF127</f>
        <v>0</v>
      </c>
      <c r="AH127" s="322"/>
      <c r="AI127" s="315">
        <f t="shared" ref="AI127:AI133" si="2320">(($E127/30/8)*2)*AH127</f>
        <v>0</v>
      </c>
      <c r="AJ127" s="314"/>
      <c r="AK127" s="314"/>
      <c r="AL127" s="314"/>
      <c r="AM127" s="314"/>
      <c r="AN127" s="314"/>
      <c r="AO127" s="314"/>
      <c r="AP127" s="314"/>
      <c r="AQ127" s="314"/>
      <c r="AR127" s="314"/>
      <c r="AS127" s="314"/>
      <c r="AT127" s="314"/>
      <c r="AU127" s="359"/>
      <c r="AV127" s="358">
        <f t="shared" ref="AV127:AV133" si="2321">((E127/30)*H127)*$I127</f>
        <v>2216.4659999999999</v>
      </c>
      <c r="AW127" s="416">
        <f>((F127/30)*H127)*$I127-210</f>
        <v>105</v>
      </c>
      <c r="AX127" s="315">
        <f t="shared" ref="AX127:AX133" si="2322">P127</f>
        <v>3</v>
      </c>
      <c r="AY127" s="315">
        <f t="shared" ref="AY127:AY133" si="2323">Q127</f>
        <v>59.369625000000006</v>
      </c>
      <c r="AZ127" s="315">
        <f t="shared" ref="AZ127:AZ133" si="2324">R127</f>
        <v>0</v>
      </c>
      <c r="BA127" s="315">
        <f t="shared" ref="BA127:BA133" si="2325">S127</f>
        <v>0</v>
      </c>
      <c r="BB127" s="315">
        <f t="shared" ref="BB127:BB133" si="2326">AJ127+AO127</f>
        <v>0</v>
      </c>
      <c r="BC127" s="315">
        <f t="shared" ref="BC127:BC133" si="2327">(AV127+AY127+BA127)*0.1267</f>
        <v>288.34837368749999</v>
      </c>
      <c r="BD127" s="315">
        <f t="shared" ref="BD127:BD133" si="2328">SUM(AV127:BC127)-AX127-AZ127</f>
        <v>2669.1839986874998</v>
      </c>
      <c r="BE127" s="315">
        <f t="shared" si="2190"/>
        <v>949.91399999999999</v>
      </c>
      <c r="BF127" s="358">
        <f>(($F127/30)*$H127)*$J127-90</f>
        <v>45</v>
      </c>
      <c r="BG127" s="315">
        <f t="shared" ref="BG127:BG132" si="2329">T127</f>
        <v>16</v>
      </c>
      <c r="BH127" s="315">
        <f t="shared" ref="BH127:BH133" si="2330">U127</f>
        <v>316.63800000000003</v>
      </c>
      <c r="BI127" s="315">
        <f t="shared" ref="BI127:BI133" si="2331">V127</f>
        <v>0</v>
      </c>
      <c r="BJ127" s="315">
        <f t="shared" ref="BJ127:BJ133" si="2332">W127</f>
        <v>0</v>
      </c>
      <c r="BK127" s="315">
        <f t="shared" ref="BK127:BK133" si="2333">AK127+AP127</f>
        <v>0</v>
      </c>
      <c r="BL127" s="315">
        <f t="shared" ref="BL127:BL133" si="2334">(+BE127+BH127+BJ127+BK127)*0.1267</f>
        <v>160.47213840000003</v>
      </c>
      <c r="BM127" s="314">
        <f t="shared" ref="BM127:BM133" si="2335">SUM(BE127:BL127)-BG127-BI127</f>
        <v>1472.0241384000001</v>
      </c>
      <c r="BN127" s="315">
        <f t="shared" si="2198"/>
        <v>0</v>
      </c>
      <c r="BO127" s="315">
        <f t="shared" si="2199"/>
        <v>0</v>
      </c>
      <c r="BP127" s="315">
        <f t="shared" ref="BP127:BR133" si="2336">X127</f>
        <v>0</v>
      </c>
      <c r="BQ127" s="315">
        <f t="shared" si="2336"/>
        <v>0</v>
      </c>
      <c r="BR127" s="315">
        <f t="shared" si="2336"/>
        <v>0</v>
      </c>
      <c r="BS127" s="315">
        <f t="shared" ref="BS127:BS133" si="2337">AA127</f>
        <v>0</v>
      </c>
      <c r="BT127" s="315">
        <f t="shared" ref="BT127:BT133" si="2338">AL127+AQ127</f>
        <v>0</v>
      </c>
      <c r="BU127" s="315">
        <f t="shared" ref="BU127:BU133" si="2339">(BN127+BQ127+BS127)*0.1267</f>
        <v>0</v>
      </c>
      <c r="BV127" s="315">
        <f t="shared" ref="BV127:BV133" si="2340">SUM(BN127:BU127)-BP127-BR127</f>
        <v>0</v>
      </c>
      <c r="BW127" s="360">
        <f t="shared" si="2207"/>
        <v>0</v>
      </c>
      <c r="BX127" s="361">
        <f t="shared" si="2208"/>
        <v>0</v>
      </c>
      <c r="BY127" s="361">
        <f t="shared" ref="BY127:CB127" si="2341">AB127</f>
        <v>0</v>
      </c>
      <c r="BZ127" s="361">
        <f t="shared" si="2341"/>
        <v>0</v>
      </c>
      <c r="CA127" s="361">
        <f t="shared" si="2341"/>
        <v>0</v>
      </c>
      <c r="CB127" s="361">
        <f t="shared" si="2341"/>
        <v>0</v>
      </c>
      <c r="CC127" s="361">
        <f t="shared" ref="CC127:CC133" si="2342">AM127+AR127</f>
        <v>0</v>
      </c>
      <c r="CD127" s="361">
        <f t="shared" ref="CD127:CD133" si="2343">(BW127+BZ127+CB127)*0.1267</f>
        <v>0</v>
      </c>
      <c r="CE127" s="361">
        <f t="shared" ref="CE127:CE133" si="2344">SUM(BW127:CD127)-BY127-CA127</f>
        <v>0</v>
      </c>
      <c r="CF127" s="361">
        <f t="shared" ref="CF127:CF133" si="2345">(($E127/30)*$H127)*M127</f>
        <v>0</v>
      </c>
      <c r="CG127" s="361">
        <f t="shared" si="2217"/>
        <v>0</v>
      </c>
      <c r="CH127" s="361">
        <f>+AF127</f>
        <v>0</v>
      </c>
      <c r="CI127" s="361">
        <f t="shared" ref="CI127:CK127" si="2346">AG127</f>
        <v>0</v>
      </c>
      <c r="CJ127" s="361">
        <f t="shared" si="2346"/>
        <v>0</v>
      </c>
      <c r="CK127" s="361">
        <f t="shared" si="2346"/>
        <v>0</v>
      </c>
      <c r="CL127" s="361">
        <f t="shared" ref="CL127:CL133" si="2347">AN127+AS127</f>
        <v>0</v>
      </c>
      <c r="CM127" s="361">
        <f t="shared" ref="CM127:CM133" si="2348">(CF127+CI127+CK127)*0.1267</f>
        <v>0</v>
      </c>
      <c r="CN127" s="362">
        <f t="shared" ref="CN127:CN133" si="2349">SUM(CF127:CM127)-CH127-CJ127</f>
        <v>0</v>
      </c>
      <c r="CO127" s="330"/>
      <c r="CP127" s="312" t="s">
        <v>10</v>
      </c>
      <c r="CQ127" s="315">
        <f t="shared" ref="CQ127:CQ133" si="2350">IF($CP127="PROQUIMA",$AV127+$BE127+$BN127+$BW127+$CF127,0)</f>
        <v>3166.38</v>
      </c>
      <c r="CR127" s="315">
        <f t="shared" ref="CR127:CR133" si="2351">IF($CP127="PROQUIMA",$AW127+$BF127+$BO127+$BX127+$CG127,0)</f>
        <v>150</v>
      </c>
      <c r="CS127" s="315">
        <f t="shared" ref="CS127:CS133" si="2352">IF($CP127="PROQUIMA",$AX127+$BG127+$BP127+$BY127+$CH127,0)</f>
        <v>19</v>
      </c>
      <c r="CT127" s="315">
        <f t="shared" ref="CT127:CT133" si="2353">IF($CP127="PROQUIMA",$AY127+$BH127+$BQ127+$BZ127+$CI127,0)</f>
        <v>376.00762500000002</v>
      </c>
      <c r="CU127" s="315">
        <f t="shared" ref="CU127:CU133" si="2354">IF($CP127="PROQUIMA",$AZ127+$BI127+$BR127+$CA127+$CJ127,0)</f>
        <v>0</v>
      </c>
      <c r="CV127" s="315">
        <f t="shared" ref="CV127:CV133" si="2355">IF($CP127="PROQUIMA",$BA127+$BJ127+$BS127+$CB127+$CK127,0)</f>
        <v>0</v>
      </c>
      <c r="CW127" s="315">
        <f t="shared" ref="CW127:CW133" si="2356">IF($CP127="PROQUIMA",$BB127+$BK127+$BT127+$CC127+$CL127,0)</f>
        <v>0</v>
      </c>
      <c r="CX127" s="315">
        <f t="shared" ref="CX127:CX133" si="2357">IF($CP127="PROQUIMA",$BC127+$BL127+$BU127+$CD127+CM127,0)</f>
        <v>448.82051208749999</v>
      </c>
      <c r="CY127" s="315">
        <f t="shared" ref="CY127:CY133" si="2358">SUM(CQ127:CX127)-CS127-CU127</f>
        <v>4141.2081370875003</v>
      </c>
      <c r="CZ127" s="315">
        <f t="shared" ref="CZ127:CZ133" si="2359">IF($CP127="UNHESA",$AV127+$BE127+$BN127+$BW127+$CF127,0)</f>
        <v>0</v>
      </c>
      <c r="DA127" s="315">
        <f t="shared" ref="DA127:DA133" si="2360">IF($CP127="UNHESA",$AW127+$BF127+$BO127+$BX127+$CG127,0)</f>
        <v>0</v>
      </c>
      <c r="DB127" s="315">
        <f t="shared" ref="DB127:DB133" si="2361">IF($CP127="UNHESA",$AX127+$BG127+$BP127+$BY127+$CH127,0)</f>
        <v>0</v>
      </c>
      <c r="DC127" s="315">
        <f t="shared" ref="DC127:DC133" si="2362">IF($CP127="UNHESA",$AY127+$BH127+$BQ127+$BZ127+$CI127,0)</f>
        <v>0</v>
      </c>
      <c r="DD127" s="315">
        <f t="shared" ref="DD127:DD133" si="2363">IF($CP127="UNHESA",$AZ127+$BI127+$BR127+$CA127+$CJ127,0)</f>
        <v>0</v>
      </c>
      <c r="DE127" s="315">
        <f t="shared" ref="DE127:DE133" si="2364">IF($CP127="UNHESA",$BA127+$BJ127+$BS127+$CB127+$CK127,0)</f>
        <v>0</v>
      </c>
      <c r="DF127" s="315">
        <f t="shared" ref="DF127:DF133" si="2365">IF($CP127="UNHESA",$BB127+$BK127+$BT127+$CC127+$CL127,0)</f>
        <v>0</v>
      </c>
      <c r="DG127" s="315">
        <f t="shared" ref="DG127:DG133" si="2366">IF($CP127="UNHESA",$BC127+$BL127+$BU127+$CD127+$CM127,0)</f>
        <v>0</v>
      </c>
      <c r="DH127" s="315">
        <f t="shared" ref="DH127:DH133" si="2367">SUM(CZ127:DG127)-DB127-DD127</f>
        <v>0</v>
      </c>
      <c r="DI127" s="315">
        <f t="shared" si="2227"/>
        <v>0</v>
      </c>
      <c r="DJ127" s="315">
        <f t="shared" si="2228"/>
        <v>0</v>
      </c>
      <c r="DK127" s="315">
        <f t="shared" si="2229"/>
        <v>0</v>
      </c>
      <c r="DL127" s="315">
        <f t="shared" si="2230"/>
        <v>0</v>
      </c>
      <c r="DM127" s="315">
        <f t="shared" si="2231"/>
        <v>0</v>
      </c>
      <c r="DN127" s="315">
        <f t="shared" si="2232"/>
        <v>0</v>
      </c>
      <c r="DO127" s="315">
        <f t="shared" si="2233"/>
        <v>0</v>
      </c>
      <c r="DP127" s="315">
        <f t="shared" si="2234"/>
        <v>0</v>
      </c>
      <c r="DQ127" s="315">
        <f t="shared" ref="DQ127:DQ133" si="2368">SUM(DI127:DP127)-DK127-DM127</f>
        <v>0</v>
      </c>
      <c r="DR127" s="360">
        <f t="shared" ref="DR127:DR133" si="2369">IF($CP127="ECONACIONAL",$AV127+$BE127+$BN127+$BW127+$CF127,0)</f>
        <v>0</v>
      </c>
      <c r="DS127" s="361">
        <f t="shared" ref="DS127:DS133" si="2370">IF($CP127="ECONACIONAL",$AW127+$BF127+$BO127+$BX127+$CG127,0)</f>
        <v>0</v>
      </c>
      <c r="DT127" s="361">
        <f t="shared" ref="DT127:DT133" si="2371">IF($CP127="ECONACIONAL",$AX127+$BG127+$BP127+$BY127+$CH127,0)</f>
        <v>0</v>
      </c>
      <c r="DU127" s="361">
        <f t="shared" ref="DU127:DU133" si="2372">IF($CP127="ECONACIONAL",$AY127+$BH127+$BQ127+$BZ127+$CI127,0)</f>
        <v>0</v>
      </c>
      <c r="DV127" s="361">
        <f t="shared" ref="DV127:DV133" si="2373">IF($CP127="ECONACIONAL",$AZ127+$BI127+$BR127+$CA127+$CJ127,0)</f>
        <v>0</v>
      </c>
      <c r="DW127" s="361">
        <f t="shared" ref="DW127:DW133" si="2374">IF($CP127="ECONACIONAL",$BA127+$BJ127+$BS127+$CB127+$CK127,0)</f>
        <v>0</v>
      </c>
      <c r="DX127" s="361">
        <f t="shared" ref="DX127:DX133" si="2375">IF($CP127="ECONACIONAL",$BB127+$BK127+$BT127+$CC127+$CL127,0)</f>
        <v>0</v>
      </c>
      <c r="DY127" s="361">
        <f t="shared" ref="DY127:DY133" si="2376">IF($CP127="ECONACIONAL",$BC127+$BL127+$BU127+$CD127+$CM127,0)</f>
        <v>0</v>
      </c>
      <c r="DZ127" s="361">
        <f t="shared" ref="DZ127:DZ133" si="2377">SUM(DR127:DY127)-DT127-DV127</f>
        <v>0</v>
      </c>
      <c r="EA127" s="361">
        <f t="shared" ref="EA127:EA133" si="2378">IF($CP127="CLEARTEC",$AV127+$BE127+$BN127+$BW127+$CF127,0)</f>
        <v>0</v>
      </c>
      <c r="EB127" s="361">
        <f t="shared" ref="EB127:EB133" si="2379">IF($CP127="CLEARTEC",$AW127+$BF127+$BO127+$BX127+$CG127,0)</f>
        <v>0</v>
      </c>
      <c r="EC127" s="361">
        <f t="shared" ref="EC127:EC133" si="2380">IF($CP127="CLEARTEC",$AX127+$BG127+$BP127+$BY127+$CH127,0)</f>
        <v>0</v>
      </c>
      <c r="ED127" s="361">
        <f t="shared" ref="ED127:ED133" si="2381">IF($CP127="CLEARTEC",$AY127+$BH127+$BQ127+$BZ127+$CI127,0)</f>
        <v>0</v>
      </c>
      <c r="EE127" s="361">
        <f t="shared" ref="EE127:EE133" si="2382">IF($CP127="CLEARTEC",$AZ127+$BI127+$BR127+$CA127+$CJ127,0)</f>
        <v>0</v>
      </c>
      <c r="EF127" s="361">
        <f t="shared" ref="EF127:EF133" si="2383">IF($CP127="CLEARTEC",$BA127+$BJ127+$BS127+$CB127+$CK127,0)</f>
        <v>0</v>
      </c>
      <c r="EG127" s="361">
        <f t="shared" ref="EG127:EG133" si="2384">IF($CP127="CLEARTEC",$BB127+$BK127+$BT127+$CC127+$CL127,0)</f>
        <v>0</v>
      </c>
      <c r="EH127" s="361">
        <f t="shared" ref="EH127:EH133" si="2385">IF($CP127="CLEARTEC",$BC127+$BL127+$BU127+$CD127+$CM127,0)</f>
        <v>0</v>
      </c>
      <c r="EI127" s="362">
        <f t="shared" ref="EI127:EI133" si="2386">SUM(EA127:EH127)-EC127-EE127</f>
        <v>0</v>
      </c>
      <c r="EJ127" s="330"/>
      <c r="EK127" s="2199"/>
      <c r="EL127" s="313"/>
      <c r="EM127" s="313"/>
      <c r="EN127" s="313">
        <f>104+112.5</f>
        <v>216.5</v>
      </c>
      <c r="EO127" s="313"/>
      <c r="EP127" s="313">
        <v>50</v>
      </c>
      <c r="EQ127" s="1968">
        <v>1265.73</v>
      </c>
      <c r="ER127" s="1969"/>
      <c r="ES127" s="313"/>
      <c r="ET127" s="313">
        <f t="shared" ref="ET127:ET133" si="2387">+EO127+EP127+EQ127</f>
        <v>1315.73</v>
      </c>
      <c r="EU127" s="1501"/>
      <c r="EV127" s="321">
        <f>IF($H127&lt;=15,EK127/2,EK127)</f>
        <v>0</v>
      </c>
      <c r="EW127" s="321">
        <f>IF($H127&lt;=15,EL127/2,EL127)</f>
        <v>0</v>
      </c>
      <c r="EX127" s="321">
        <f t="shared" ref="EX127:EX133" si="2388">IF($H127&lt;=15,EM127/2,EM127)</f>
        <v>0</v>
      </c>
      <c r="EY127" s="321">
        <f t="shared" ref="EY127:EY133" si="2389">IF($H127&lt;=15,EN127/2,EN127)</f>
        <v>216.5</v>
      </c>
      <c r="EZ127" s="321">
        <f t="shared" ref="EZ127:EZ133" si="2390">IF($H127&lt;=15,EO127/2,EO127)</f>
        <v>0</v>
      </c>
      <c r="FA127" s="321">
        <f t="shared" ref="FA127:FA133" si="2391">IF($H127&lt;=15,EP127/2,EP127)</f>
        <v>50</v>
      </c>
      <c r="FB127" s="321">
        <f t="shared" ref="FB127:FB130" si="2392">IF($H127&lt;=15,EQ127/2,EQ127)</f>
        <v>1265.73</v>
      </c>
      <c r="FC127" s="321">
        <f t="shared" ref="FC127:FC133" si="2393">IF($H127&lt;=15,ER127/2,ER127)</f>
        <v>0</v>
      </c>
      <c r="FD127" s="321">
        <f t="shared" ref="FD127:FD133" si="2394">IF($H127&lt;=15,ES127/2,ES127)</f>
        <v>0</v>
      </c>
      <c r="FE127" s="321">
        <f t="shared" ref="FE127:FE133" si="2395">IF($H127&lt;=15,ET127/2,ET127)</f>
        <v>1315.73</v>
      </c>
      <c r="FF127" s="332">
        <v>0.6</v>
      </c>
      <c r="FG127" s="332">
        <v>0.2</v>
      </c>
      <c r="FH127" s="332">
        <v>0.2</v>
      </c>
      <c r="FI127" s="332">
        <v>0</v>
      </c>
      <c r="FJ127" s="332">
        <v>0</v>
      </c>
      <c r="FK127" s="332">
        <v>1</v>
      </c>
      <c r="FL127" s="331">
        <f t="shared" si="1674"/>
        <v>0</v>
      </c>
    </row>
    <row r="128" spans="1:172" s="331" customFormat="1" ht="15" customHeight="1" outlineLevel="1">
      <c r="A128" s="1625" t="e">
        <f t="shared" si="2309"/>
        <v>#REF!</v>
      </c>
      <c r="B128" s="311" t="s">
        <v>521</v>
      </c>
      <c r="C128" s="312" t="s">
        <v>58</v>
      </c>
      <c r="D128" s="313" t="s">
        <v>10</v>
      </c>
      <c r="E128" s="1526">
        <v>3166.38</v>
      </c>
      <c r="F128" s="314">
        <v>1400</v>
      </c>
      <c r="G128" s="1970">
        <f t="shared" si="2170"/>
        <v>4566.38</v>
      </c>
      <c r="H128" s="1971">
        <v>30</v>
      </c>
      <c r="I128" s="318">
        <v>1</v>
      </c>
      <c r="J128" s="1498">
        <v>0</v>
      </c>
      <c r="K128" s="318">
        <v>0</v>
      </c>
      <c r="L128" s="318">
        <v>0</v>
      </c>
      <c r="M128" s="318">
        <v>0</v>
      </c>
      <c r="N128" s="318">
        <f t="shared" si="2310"/>
        <v>1</v>
      </c>
      <c r="O128" s="1619"/>
      <c r="P128" s="320"/>
      <c r="Q128" s="315">
        <f t="shared" si="2311"/>
        <v>0</v>
      </c>
      <c r="R128" s="321"/>
      <c r="S128" s="315">
        <f t="shared" si="2312"/>
        <v>0</v>
      </c>
      <c r="T128" s="321"/>
      <c r="U128" s="315">
        <f t="shared" si="2313"/>
        <v>0</v>
      </c>
      <c r="V128" s="320"/>
      <c r="W128" s="315">
        <f t="shared" si="2314"/>
        <v>0</v>
      </c>
      <c r="X128" s="321"/>
      <c r="Y128" s="315">
        <f t="shared" si="2315"/>
        <v>0</v>
      </c>
      <c r="Z128" s="322"/>
      <c r="AA128" s="315">
        <f t="shared" si="2316"/>
        <v>0</v>
      </c>
      <c r="AB128" s="322"/>
      <c r="AC128" s="315">
        <f t="shared" si="2317"/>
        <v>0</v>
      </c>
      <c r="AD128" s="322"/>
      <c r="AE128" s="315">
        <f t="shared" si="2318"/>
        <v>0</v>
      </c>
      <c r="AF128" s="315">
        <v>0</v>
      </c>
      <c r="AG128" s="315">
        <f t="shared" si="2319"/>
        <v>0</v>
      </c>
      <c r="AH128" s="322"/>
      <c r="AI128" s="315">
        <f t="shared" si="2320"/>
        <v>0</v>
      </c>
      <c r="AJ128" s="314"/>
      <c r="AK128" s="314"/>
      <c r="AL128" s="314"/>
      <c r="AM128" s="314"/>
      <c r="AN128" s="314"/>
      <c r="AO128" s="314"/>
      <c r="AP128" s="314"/>
      <c r="AQ128" s="314"/>
      <c r="AR128" s="314"/>
      <c r="AS128" s="314"/>
      <c r="AT128" s="314"/>
      <c r="AU128" s="359"/>
      <c r="AV128" s="358">
        <f t="shared" si="2321"/>
        <v>3166.38</v>
      </c>
      <c r="AW128" s="416">
        <f>((F128/30)*H128)*$I128</f>
        <v>1400</v>
      </c>
      <c r="AX128" s="315">
        <f t="shared" si="2322"/>
        <v>0</v>
      </c>
      <c r="AY128" s="315">
        <f t="shared" si="2323"/>
        <v>0</v>
      </c>
      <c r="AZ128" s="315">
        <f t="shared" si="2324"/>
        <v>0</v>
      </c>
      <c r="BA128" s="315">
        <f t="shared" si="2325"/>
        <v>0</v>
      </c>
      <c r="BB128" s="315">
        <f t="shared" si="2326"/>
        <v>0</v>
      </c>
      <c r="BC128" s="315">
        <f t="shared" si="2327"/>
        <v>401.18034600000004</v>
      </c>
      <c r="BD128" s="315">
        <f t="shared" si="2328"/>
        <v>4967.5603460000002</v>
      </c>
      <c r="BE128" s="315">
        <f t="shared" si="2190"/>
        <v>0</v>
      </c>
      <c r="BF128" s="315">
        <f t="shared" si="2191"/>
        <v>0</v>
      </c>
      <c r="BG128" s="315">
        <f t="shared" si="2329"/>
        <v>0</v>
      </c>
      <c r="BH128" s="315">
        <f t="shared" si="2330"/>
        <v>0</v>
      </c>
      <c r="BI128" s="315">
        <f t="shared" si="2331"/>
        <v>0</v>
      </c>
      <c r="BJ128" s="315">
        <f t="shared" si="2332"/>
        <v>0</v>
      </c>
      <c r="BK128" s="315">
        <f t="shared" si="2333"/>
        <v>0</v>
      </c>
      <c r="BL128" s="315">
        <f t="shared" si="2334"/>
        <v>0</v>
      </c>
      <c r="BM128" s="314">
        <f t="shared" si="2335"/>
        <v>0</v>
      </c>
      <c r="BN128" s="315">
        <f t="shared" si="2198"/>
        <v>0</v>
      </c>
      <c r="BO128" s="315">
        <f t="shared" si="2199"/>
        <v>0</v>
      </c>
      <c r="BP128" s="315">
        <f t="shared" si="2336"/>
        <v>0</v>
      </c>
      <c r="BQ128" s="315">
        <f t="shared" si="2336"/>
        <v>0</v>
      </c>
      <c r="BR128" s="315">
        <f t="shared" si="2336"/>
        <v>0</v>
      </c>
      <c r="BS128" s="315">
        <f t="shared" si="2337"/>
        <v>0</v>
      </c>
      <c r="BT128" s="315">
        <f t="shared" si="2338"/>
        <v>0</v>
      </c>
      <c r="BU128" s="315">
        <f t="shared" si="2339"/>
        <v>0</v>
      </c>
      <c r="BV128" s="315">
        <f t="shared" si="2340"/>
        <v>0</v>
      </c>
      <c r="BW128" s="360">
        <f t="shared" si="2207"/>
        <v>0</v>
      </c>
      <c r="BX128" s="361">
        <f t="shared" si="2208"/>
        <v>0</v>
      </c>
      <c r="BY128" s="361">
        <f t="shared" ref="BY128:CB128" si="2396">AB128</f>
        <v>0</v>
      </c>
      <c r="BZ128" s="361">
        <f t="shared" si="2396"/>
        <v>0</v>
      </c>
      <c r="CA128" s="361">
        <f t="shared" si="2396"/>
        <v>0</v>
      </c>
      <c r="CB128" s="361">
        <f t="shared" si="2396"/>
        <v>0</v>
      </c>
      <c r="CC128" s="361">
        <f t="shared" si="2342"/>
        <v>0</v>
      </c>
      <c r="CD128" s="361">
        <f t="shared" si="2343"/>
        <v>0</v>
      </c>
      <c r="CE128" s="361">
        <f t="shared" si="2344"/>
        <v>0</v>
      </c>
      <c r="CF128" s="361">
        <f t="shared" si="2345"/>
        <v>0</v>
      </c>
      <c r="CG128" s="361">
        <f t="shared" si="2217"/>
        <v>0</v>
      </c>
      <c r="CH128" s="361">
        <v>0</v>
      </c>
      <c r="CI128" s="361">
        <f t="shared" ref="CI128:CK128" si="2397">AG128</f>
        <v>0</v>
      </c>
      <c r="CJ128" s="361">
        <f t="shared" si="2397"/>
        <v>0</v>
      </c>
      <c r="CK128" s="361">
        <f t="shared" si="2397"/>
        <v>0</v>
      </c>
      <c r="CL128" s="361">
        <f t="shared" si="2347"/>
        <v>0</v>
      </c>
      <c r="CM128" s="361">
        <f t="shared" si="2348"/>
        <v>0</v>
      </c>
      <c r="CN128" s="362">
        <f t="shared" si="2349"/>
        <v>0</v>
      </c>
      <c r="CO128" s="330"/>
      <c r="CP128" s="313" t="s">
        <v>10</v>
      </c>
      <c r="CQ128" s="315">
        <f t="shared" si="2350"/>
        <v>3166.38</v>
      </c>
      <c r="CR128" s="315">
        <f t="shared" si="2351"/>
        <v>1400</v>
      </c>
      <c r="CS128" s="315">
        <f t="shared" si="2352"/>
        <v>0</v>
      </c>
      <c r="CT128" s="315">
        <f t="shared" si="2353"/>
        <v>0</v>
      </c>
      <c r="CU128" s="315">
        <f t="shared" si="2354"/>
        <v>0</v>
      </c>
      <c r="CV128" s="315">
        <f t="shared" si="2355"/>
        <v>0</v>
      </c>
      <c r="CW128" s="315">
        <f t="shared" si="2356"/>
        <v>0</v>
      </c>
      <c r="CX128" s="315">
        <f t="shared" si="2357"/>
        <v>401.18034600000004</v>
      </c>
      <c r="CY128" s="315">
        <f t="shared" si="2358"/>
        <v>4967.5603460000002</v>
      </c>
      <c r="CZ128" s="315">
        <f t="shared" si="2359"/>
        <v>0</v>
      </c>
      <c r="DA128" s="315">
        <f t="shared" si="2360"/>
        <v>0</v>
      </c>
      <c r="DB128" s="315">
        <f t="shared" si="2361"/>
        <v>0</v>
      </c>
      <c r="DC128" s="315">
        <f t="shared" si="2362"/>
        <v>0</v>
      </c>
      <c r="DD128" s="315">
        <f t="shared" si="2363"/>
        <v>0</v>
      </c>
      <c r="DE128" s="315">
        <f t="shared" si="2364"/>
        <v>0</v>
      </c>
      <c r="DF128" s="315">
        <f t="shared" si="2365"/>
        <v>0</v>
      </c>
      <c r="DG128" s="315">
        <f t="shared" si="2366"/>
        <v>0</v>
      </c>
      <c r="DH128" s="315">
        <f t="shared" si="2367"/>
        <v>0</v>
      </c>
      <c r="DI128" s="315">
        <f t="shared" si="2227"/>
        <v>0</v>
      </c>
      <c r="DJ128" s="315">
        <f t="shared" si="2228"/>
        <v>0</v>
      </c>
      <c r="DK128" s="315">
        <f t="shared" si="2229"/>
        <v>0</v>
      </c>
      <c r="DL128" s="315">
        <f t="shared" si="2230"/>
        <v>0</v>
      </c>
      <c r="DM128" s="315">
        <f t="shared" si="2231"/>
        <v>0</v>
      </c>
      <c r="DN128" s="315">
        <f t="shared" si="2232"/>
        <v>0</v>
      </c>
      <c r="DO128" s="315">
        <f t="shared" si="2233"/>
        <v>0</v>
      </c>
      <c r="DP128" s="315">
        <f t="shared" si="2234"/>
        <v>0</v>
      </c>
      <c r="DQ128" s="315">
        <f t="shared" si="2368"/>
        <v>0</v>
      </c>
      <c r="DR128" s="360">
        <f t="shared" si="2369"/>
        <v>0</v>
      </c>
      <c r="DS128" s="361">
        <f t="shared" si="2370"/>
        <v>0</v>
      </c>
      <c r="DT128" s="361">
        <f t="shared" si="2371"/>
        <v>0</v>
      </c>
      <c r="DU128" s="361">
        <f t="shared" si="2372"/>
        <v>0</v>
      </c>
      <c r="DV128" s="361">
        <f t="shared" si="2373"/>
        <v>0</v>
      </c>
      <c r="DW128" s="361">
        <f t="shared" si="2374"/>
        <v>0</v>
      </c>
      <c r="DX128" s="361">
        <f t="shared" si="2375"/>
        <v>0</v>
      </c>
      <c r="DY128" s="361">
        <f t="shared" si="2376"/>
        <v>0</v>
      </c>
      <c r="DZ128" s="361">
        <f t="shared" si="2377"/>
        <v>0</v>
      </c>
      <c r="EA128" s="361">
        <f t="shared" si="2378"/>
        <v>0</v>
      </c>
      <c r="EB128" s="361">
        <f t="shared" si="2379"/>
        <v>0</v>
      </c>
      <c r="EC128" s="361">
        <f t="shared" si="2380"/>
        <v>0</v>
      </c>
      <c r="ED128" s="361">
        <f t="shared" si="2381"/>
        <v>0</v>
      </c>
      <c r="EE128" s="361">
        <f t="shared" si="2382"/>
        <v>0</v>
      </c>
      <c r="EF128" s="361">
        <f t="shared" si="2383"/>
        <v>0</v>
      </c>
      <c r="EG128" s="361">
        <f t="shared" si="2384"/>
        <v>0</v>
      </c>
      <c r="EH128" s="361">
        <f t="shared" si="2385"/>
        <v>0</v>
      </c>
      <c r="EI128" s="362">
        <f t="shared" si="2386"/>
        <v>0</v>
      </c>
      <c r="EJ128" s="330"/>
      <c r="EK128" s="2200">
        <v>36.770000000000003</v>
      </c>
      <c r="EL128" s="313"/>
      <c r="EM128" s="313"/>
      <c r="EN128" s="313">
        <f>78.5+99.25</f>
        <v>177.75</v>
      </c>
      <c r="EO128" s="313"/>
      <c r="EP128" s="313">
        <v>50</v>
      </c>
      <c r="EQ128" s="1969">
        <f>240</f>
        <v>240</v>
      </c>
      <c r="ER128" s="313"/>
      <c r="ES128" s="313"/>
      <c r="ET128" s="313">
        <f t="shared" si="2387"/>
        <v>290</v>
      </c>
      <c r="EV128" s="321">
        <f t="shared" ref="EV128:EV133" si="2398">IF($H128&lt;=15,EK128/2,EK128)</f>
        <v>36.770000000000003</v>
      </c>
      <c r="EW128" s="321">
        <f t="shared" ref="EW128:EW133" si="2399">IF($H128&lt;=15,EL128/2,EL128)</f>
        <v>0</v>
      </c>
      <c r="EX128" s="321">
        <f t="shared" si="2388"/>
        <v>0</v>
      </c>
      <c r="EY128" s="321">
        <f t="shared" si="2389"/>
        <v>177.75</v>
      </c>
      <c r="EZ128" s="321">
        <f t="shared" si="2390"/>
        <v>0</v>
      </c>
      <c r="FA128" s="321">
        <f t="shared" si="2391"/>
        <v>50</v>
      </c>
      <c r="FB128" s="321">
        <f t="shared" si="2392"/>
        <v>240</v>
      </c>
      <c r="FC128" s="321">
        <f t="shared" si="2393"/>
        <v>0</v>
      </c>
      <c r="FD128" s="321">
        <f t="shared" si="2394"/>
        <v>0</v>
      </c>
      <c r="FE128" s="321">
        <f t="shared" si="2395"/>
        <v>290</v>
      </c>
      <c r="FF128" s="332">
        <v>1</v>
      </c>
      <c r="FG128" s="332">
        <v>0</v>
      </c>
      <c r="FH128" s="332">
        <v>0</v>
      </c>
      <c r="FI128" s="332">
        <v>0</v>
      </c>
      <c r="FJ128" s="332">
        <v>0</v>
      </c>
      <c r="FK128" s="332">
        <v>1</v>
      </c>
      <c r="FL128" s="331">
        <f t="shared" si="1674"/>
        <v>0</v>
      </c>
    </row>
    <row r="129" spans="1:168" s="1977" customFormat="1" ht="15" customHeight="1" outlineLevel="1">
      <c r="A129" s="1625" t="e">
        <f t="shared" si="2309"/>
        <v>#REF!</v>
      </c>
      <c r="B129" s="1967" t="s">
        <v>820</v>
      </c>
      <c r="C129" s="1968" t="s">
        <v>58</v>
      </c>
      <c r="D129" s="1969" t="s">
        <v>10</v>
      </c>
      <c r="E129" s="1526">
        <v>3166.38</v>
      </c>
      <c r="F129" s="1970">
        <v>1040.76</v>
      </c>
      <c r="G129" s="1970">
        <f t="shared" ref="G129" si="2400">+E129+F129</f>
        <v>4207.1400000000003</v>
      </c>
      <c r="H129" s="1971">
        <v>30</v>
      </c>
      <c r="I129" s="1972">
        <v>1</v>
      </c>
      <c r="J129" s="1498">
        <v>0</v>
      </c>
      <c r="K129" s="1972">
        <v>0</v>
      </c>
      <c r="L129" s="1972">
        <v>0</v>
      </c>
      <c r="M129" s="1972">
        <v>0</v>
      </c>
      <c r="N129" s="1972">
        <f t="shared" ref="N129" si="2401">SUM(I129:M129)</f>
        <v>1</v>
      </c>
      <c r="O129" s="1619"/>
      <c r="P129" s="1973"/>
      <c r="Q129" s="1971">
        <f t="shared" ref="Q129" si="2402">($E129/30/8*1.5)*P129</f>
        <v>0</v>
      </c>
      <c r="R129" s="1974"/>
      <c r="S129" s="1971">
        <f t="shared" ref="S129" si="2403">($E129/30/8*2)*R129</f>
        <v>0</v>
      </c>
      <c r="T129" s="1974"/>
      <c r="U129" s="1971">
        <f t="shared" ref="U129" si="2404">($E129/30/8*1.5)*T129</f>
        <v>0</v>
      </c>
      <c r="V129" s="1973"/>
      <c r="W129" s="1971">
        <f t="shared" ref="W129" si="2405">($E129/30/8*2)*V129</f>
        <v>0</v>
      </c>
      <c r="X129" s="1974"/>
      <c r="Y129" s="1971">
        <f t="shared" ref="Y129" si="2406">(($E129/30/8)*1.5)*X129</f>
        <v>0</v>
      </c>
      <c r="Z129" s="1975"/>
      <c r="AA129" s="1971">
        <f t="shared" ref="AA129" si="2407">(($E129/30/8)*2)*Z129</f>
        <v>0</v>
      </c>
      <c r="AB129" s="1975"/>
      <c r="AC129" s="1971">
        <f t="shared" ref="AC129" si="2408">(($E129/30/8)*1.5)*AB129</f>
        <v>0</v>
      </c>
      <c r="AD129" s="1975"/>
      <c r="AE129" s="1971">
        <f t="shared" ref="AE129" si="2409">(($E129/30/8)*2)*AD129</f>
        <v>0</v>
      </c>
      <c r="AF129" s="1971">
        <v>0</v>
      </c>
      <c r="AG129" s="1971">
        <f t="shared" ref="AG129" si="2410">(($E129/30/8)*1.5)*AF129</f>
        <v>0</v>
      </c>
      <c r="AH129" s="1975"/>
      <c r="AI129" s="1971">
        <f t="shared" ref="AI129" si="2411">(($E129/30/8)*2)*AH129</f>
        <v>0</v>
      </c>
      <c r="AJ129" s="1970"/>
      <c r="AK129" s="1970"/>
      <c r="AL129" s="1970"/>
      <c r="AM129" s="1970"/>
      <c r="AN129" s="1970"/>
      <c r="AO129" s="1970"/>
      <c r="AP129" s="1970"/>
      <c r="AQ129" s="1970"/>
      <c r="AR129" s="1970"/>
      <c r="AS129" s="1970"/>
      <c r="AT129" s="1970"/>
      <c r="AU129" s="1980"/>
      <c r="AV129" s="1979">
        <f>((E129/30)*H129)*$I129</f>
        <v>3166.38</v>
      </c>
      <c r="AW129" s="416">
        <f t="shared" ref="AW129" si="2412">((F129/30)*H129)*$I129</f>
        <v>1040.76</v>
      </c>
      <c r="AX129" s="1971">
        <f t="shared" ref="AX129" si="2413">P129</f>
        <v>0</v>
      </c>
      <c r="AY129" s="1971">
        <f t="shared" ref="AY129" si="2414">Q129</f>
        <v>0</v>
      </c>
      <c r="AZ129" s="1971">
        <f t="shared" ref="AZ129" si="2415">R129</f>
        <v>0</v>
      </c>
      <c r="BA129" s="1971">
        <f t="shared" ref="BA129" si="2416">S129</f>
        <v>0</v>
      </c>
      <c r="BB129" s="1971">
        <f t="shared" ref="BB129" si="2417">AJ129+AO129</f>
        <v>0</v>
      </c>
      <c r="BC129" s="1971">
        <f t="shared" ref="BC129" si="2418">(AV129+AY129+BA129)*0.1267</f>
        <v>401.18034600000004</v>
      </c>
      <c r="BD129" s="1971">
        <f t="shared" ref="BD129" si="2419">SUM(AV129:BC129)-AX129-AZ129</f>
        <v>4608.3203460000004</v>
      </c>
      <c r="BE129" s="1971">
        <f t="shared" si="2190"/>
        <v>0</v>
      </c>
      <c r="BF129" s="1971">
        <f t="shared" si="2191"/>
        <v>0</v>
      </c>
      <c r="BG129" s="1971">
        <f t="shared" ref="BG129" si="2420">T129</f>
        <v>0</v>
      </c>
      <c r="BH129" s="1971">
        <f t="shared" ref="BH129" si="2421">U129</f>
        <v>0</v>
      </c>
      <c r="BI129" s="1971">
        <f t="shared" ref="BI129" si="2422">V129</f>
        <v>0</v>
      </c>
      <c r="BJ129" s="1971">
        <f t="shared" ref="BJ129" si="2423">W129</f>
        <v>0</v>
      </c>
      <c r="BK129" s="1971">
        <f t="shared" ref="BK129" si="2424">AK129+AP129</f>
        <v>0</v>
      </c>
      <c r="BL129" s="1971">
        <f t="shared" ref="BL129" si="2425">(+BE129+BH129+BJ129+BK129)*0.1267</f>
        <v>0</v>
      </c>
      <c r="BM129" s="1970">
        <f t="shared" ref="BM129" si="2426">SUM(BE129:BL129)-BG129-BI129</f>
        <v>0</v>
      </c>
      <c r="BN129" s="1971">
        <f t="shared" si="2198"/>
        <v>0</v>
      </c>
      <c r="BO129" s="1971">
        <f t="shared" si="2199"/>
        <v>0</v>
      </c>
      <c r="BP129" s="1971">
        <f t="shared" ref="BP129" si="2427">X129</f>
        <v>0</v>
      </c>
      <c r="BQ129" s="1971">
        <f t="shared" ref="BQ129" si="2428">Y129</f>
        <v>0</v>
      </c>
      <c r="BR129" s="1971">
        <f t="shared" ref="BR129" si="2429">Z129</f>
        <v>0</v>
      </c>
      <c r="BS129" s="1971">
        <f t="shared" ref="BS129" si="2430">AA129</f>
        <v>0</v>
      </c>
      <c r="BT129" s="1971">
        <f t="shared" ref="BT129" si="2431">AL129+AQ129</f>
        <v>0</v>
      </c>
      <c r="BU129" s="1971">
        <f t="shared" ref="BU129" si="2432">(BN129+BQ129+BS129)*0.1267</f>
        <v>0</v>
      </c>
      <c r="BV129" s="1971">
        <f t="shared" ref="BV129" si="2433">SUM(BN129:BU129)-BP129-BR129</f>
        <v>0</v>
      </c>
      <c r="BW129" s="1981">
        <f t="shared" si="2207"/>
        <v>0</v>
      </c>
      <c r="BX129" s="1982">
        <f t="shared" si="2208"/>
        <v>0</v>
      </c>
      <c r="BY129" s="1982">
        <f t="shared" ref="BY129" si="2434">AB129</f>
        <v>0</v>
      </c>
      <c r="BZ129" s="1982">
        <f t="shared" ref="BZ129" si="2435">AC129</f>
        <v>0</v>
      </c>
      <c r="CA129" s="1982">
        <f t="shared" ref="CA129" si="2436">AD129</f>
        <v>0</v>
      </c>
      <c r="CB129" s="1982">
        <f t="shared" ref="CB129" si="2437">AE129</f>
        <v>0</v>
      </c>
      <c r="CC129" s="1982">
        <f t="shared" ref="CC129" si="2438">AM129+AR129</f>
        <v>0</v>
      </c>
      <c r="CD129" s="1982">
        <f t="shared" ref="CD129" si="2439">(BW129+BZ129+CB129)*0.1267</f>
        <v>0</v>
      </c>
      <c r="CE129" s="1982">
        <f t="shared" ref="CE129" si="2440">SUM(BW129:CD129)-BY129-CA129</f>
        <v>0</v>
      </c>
      <c r="CF129" s="1982">
        <f t="shared" ref="CF129" si="2441">(($E129/30)*$H129)*M129</f>
        <v>0</v>
      </c>
      <c r="CG129" s="1982">
        <f t="shared" si="2217"/>
        <v>0</v>
      </c>
      <c r="CH129" s="1982">
        <v>0</v>
      </c>
      <c r="CI129" s="1982">
        <f t="shared" ref="CI129" si="2442">AG129</f>
        <v>0</v>
      </c>
      <c r="CJ129" s="1982">
        <f t="shared" ref="CJ129" si="2443">AH129</f>
        <v>0</v>
      </c>
      <c r="CK129" s="1982">
        <f t="shared" ref="CK129" si="2444">AI129</f>
        <v>0</v>
      </c>
      <c r="CL129" s="1982">
        <f t="shared" ref="CL129" si="2445">AN129+AS129</f>
        <v>0</v>
      </c>
      <c r="CM129" s="1982">
        <f t="shared" ref="CM129" si="2446">(CF129+CI129+CK129)*0.1267</f>
        <v>0</v>
      </c>
      <c r="CN129" s="1983">
        <f t="shared" ref="CN129" si="2447">SUM(CF129:CM129)-CH129-CJ129</f>
        <v>0</v>
      </c>
      <c r="CO129" s="1976"/>
      <c r="CP129" s="1969" t="s">
        <v>10</v>
      </c>
      <c r="CQ129" s="1971">
        <f t="shared" si="2350"/>
        <v>3166.38</v>
      </c>
      <c r="CR129" s="1971">
        <f t="shared" si="2351"/>
        <v>1040.76</v>
      </c>
      <c r="CS129" s="1971">
        <f t="shared" si="2352"/>
        <v>0</v>
      </c>
      <c r="CT129" s="1971">
        <f t="shared" si="2353"/>
        <v>0</v>
      </c>
      <c r="CU129" s="1971">
        <f t="shared" si="2354"/>
        <v>0</v>
      </c>
      <c r="CV129" s="1971">
        <f t="shared" si="2355"/>
        <v>0</v>
      </c>
      <c r="CW129" s="1971">
        <f t="shared" si="2356"/>
        <v>0</v>
      </c>
      <c r="CX129" s="1971">
        <f t="shared" ref="CX129" si="2448">IF($CP129="PROQUIMA",$BC129+$BL129+$BU129+$CD129+CM129,0)</f>
        <v>401.18034600000004</v>
      </c>
      <c r="CY129" s="1971">
        <f t="shared" ref="CY129" si="2449">SUM(CQ129:CX129)-CS129-CU129</f>
        <v>4608.3203460000004</v>
      </c>
      <c r="CZ129" s="1971">
        <f t="shared" si="2359"/>
        <v>0</v>
      </c>
      <c r="DA129" s="1971">
        <f t="shared" si="2360"/>
        <v>0</v>
      </c>
      <c r="DB129" s="1971">
        <f t="shared" si="2361"/>
        <v>0</v>
      </c>
      <c r="DC129" s="1971">
        <f t="shared" si="2362"/>
        <v>0</v>
      </c>
      <c r="DD129" s="1971">
        <f t="shared" si="2363"/>
        <v>0</v>
      </c>
      <c r="DE129" s="1971">
        <f t="shared" si="2364"/>
        <v>0</v>
      </c>
      <c r="DF129" s="1971">
        <f t="shared" si="2365"/>
        <v>0</v>
      </c>
      <c r="DG129" s="1971">
        <f t="shared" si="2366"/>
        <v>0</v>
      </c>
      <c r="DH129" s="1971">
        <f t="shared" ref="DH129" si="2450">SUM(CZ129:DG129)-DB129-DD129</f>
        <v>0</v>
      </c>
      <c r="DI129" s="1971">
        <f t="shared" si="2227"/>
        <v>0</v>
      </c>
      <c r="DJ129" s="1971">
        <f t="shared" si="2228"/>
        <v>0</v>
      </c>
      <c r="DK129" s="1971">
        <f t="shared" si="2229"/>
        <v>0</v>
      </c>
      <c r="DL129" s="1971">
        <f t="shared" si="2230"/>
        <v>0</v>
      </c>
      <c r="DM129" s="1971">
        <f t="shared" si="2231"/>
        <v>0</v>
      </c>
      <c r="DN129" s="1971">
        <f t="shared" si="2232"/>
        <v>0</v>
      </c>
      <c r="DO129" s="1971">
        <f t="shared" si="2233"/>
        <v>0</v>
      </c>
      <c r="DP129" s="1971">
        <f t="shared" si="2234"/>
        <v>0</v>
      </c>
      <c r="DQ129" s="1971">
        <f t="shared" ref="DQ129" si="2451">SUM(DI129:DP129)-DK129-DM129</f>
        <v>0</v>
      </c>
      <c r="DR129" s="1981">
        <f t="shared" si="2369"/>
        <v>0</v>
      </c>
      <c r="DS129" s="1982">
        <f t="shared" si="2370"/>
        <v>0</v>
      </c>
      <c r="DT129" s="1982">
        <f t="shared" si="2371"/>
        <v>0</v>
      </c>
      <c r="DU129" s="1982">
        <f t="shared" si="2372"/>
        <v>0</v>
      </c>
      <c r="DV129" s="1982">
        <f t="shared" si="2373"/>
        <v>0</v>
      </c>
      <c r="DW129" s="1982">
        <f t="shared" si="2374"/>
        <v>0</v>
      </c>
      <c r="DX129" s="1982">
        <f t="shared" si="2375"/>
        <v>0</v>
      </c>
      <c r="DY129" s="1982">
        <f t="shared" si="2376"/>
        <v>0</v>
      </c>
      <c r="DZ129" s="1982">
        <f t="shared" ref="DZ129" si="2452">SUM(DR129:DY129)-DT129-DV129</f>
        <v>0</v>
      </c>
      <c r="EA129" s="1982">
        <f t="shared" si="2378"/>
        <v>0</v>
      </c>
      <c r="EB129" s="1982">
        <f t="shared" si="2379"/>
        <v>0</v>
      </c>
      <c r="EC129" s="1982">
        <f t="shared" si="2380"/>
        <v>0</v>
      </c>
      <c r="ED129" s="1982">
        <f t="shared" si="2381"/>
        <v>0</v>
      </c>
      <c r="EE129" s="1982">
        <f t="shared" si="2382"/>
        <v>0</v>
      </c>
      <c r="EF129" s="1982">
        <f t="shared" si="2383"/>
        <v>0</v>
      </c>
      <c r="EG129" s="1982">
        <f t="shared" si="2384"/>
        <v>0</v>
      </c>
      <c r="EH129" s="1982">
        <f t="shared" si="2385"/>
        <v>0</v>
      </c>
      <c r="EI129" s="1983">
        <f t="shared" ref="EI129" si="2453">SUM(EA129:EH129)-EC129-EE129</f>
        <v>0</v>
      </c>
      <c r="EJ129" s="1976"/>
      <c r="EK129" s="2200">
        <v>2.71</v>
      </c>
      <c r="EL129" s="1969"/>
      <c r="EM129" s="1969"/>
      <c r="EN129" s="1969">
        <f>79.75+166</f>
        <v>245.75</v>
      </c>
      <c r="EO129" s="1969"/>
      <c r="EP129" s="1969">
        <v>50</v>
      </c>
      <c r="EQ129" s="1969"/>
      <c r="ER129" s="1969"/>
      <c r="ES129" s="1969"/>
      <c r="ET129" s="1969">
        <f>+EO129+EP129+EQ129</f>
        <v>50</v>
      </c>
      <c r="EV129" s="1974">
        <f t="shared" ref="EV129" si="2454">IF($H129&lt;=15,EK129/2,EK129)</f>
        <v>2.71</v>
      </c>
      <c r="EW129" s="1974">
        <f t="shared" ref="EW129" si="2455">IF($H129&lt;=15,EL129/2,EL129)</f>
        <v>0</v>
      </c>
      <c r="EX129" s="1974">
        <f t="shared" ref="EX129" si="2456">IF($H129&lt;=15,EM129/2,EM129)</f>
        <v>0</v>
      </c>
      <c r="EY129" s="1974">
        <f t="shared" ref="EY129" si="2457">IF($H129&lt;=15,EN129/2,EN129)</f>
        <v>245.75</v>
      </c>
      <c r="EZ129" s="1974">
        <f t="shared" ref="EZ129" si="2458">IF($H129&lt;=15,EO129/2,EO129)</f>
        <v>0</v>
      </c>
      <c r="FA129" s="1974">
        <f t="shared" ref="FA129" si="2459">IF($H129&lt;=15,EP129/2,EP129)</f>
        <v>50</v>
      </c>
      <c r="FB129" s="1974">
        <f t="shared" ref="FB129" si="2460">IF($H129&lt;=15,EQ129/2,EQ129)</f>
        <v>0</v>
      </c>
      <c r="FC129" s="1974">
        <f t="shared" ref="FC129" si="2461">IF($H129&lt;=15,ER129/2,ER129)</f>
        <v>0</v>
      </c>
      <c r="FD129" s="1974">
        <f t="shared" ref="FD129" si="2462">IF($H129&lt;=15,ES129/2,ES129)</f>
        <v>0</v>
      </c>
      <c r="FE129" s="1974">
        <f t="shared" ref="FE129" si="2463">IF($H129&lt;=15,ET129/2,ET129)</f>
        <v>50</v>
      </c>
      <c r="FF129" s="1978"/>
      <c r="FG129" s="1978"/>
      <c r="FH129" s="1978"/>
      <c r="FI129" s="1978"/>
      <c r="FJ129" s="1978"/>
      <c r="FK129" s="1978"/>
    </row>
    <row r="130" spans="1:168" s="331" customFormat="1" ht="15" customHeight="1" outlineLevel="1">
      <c r="A130" s="1625" t="e">
        <f t="shared" si="2309"/>
        <v>#REF!</v>
      </c>
      <c r="B130" s="311" t="s">
        <v>512</v>
      </c>
      <c r="C130" s="312" t="s">
        <v>380</v>
      </c>
      <c r="D130" s="313" t="s">
        <v>10</v>
      </c>
      <c r="E130" s="1526">
        <v>3166.38</v>
      </c>
      <c r="F130" s="314">
        <v>750</v>
      </c>
      <c r="G130" s="1592">
        <f t="shared" si="2170"/>
        <v>3916.38</v>
      </c>
      <c r="H130" s="1971">
        <v>30</v>
      </c>
      <c r="I130" s="318">
        <v>1</v>
      </c>
      <c r="J130" s="1498">
        <v>0</v>
      </c>
      <c r="K130" s="318">
        <v>0</v>
      </c>
      <c r="L130" s="318">
        <v>0</v>
      </c>
      <c r="M130" s="318">
        <v>0</v>
      </c>
      <c r="N130" s="318">
        <f t="shared" si="2310"/>
        <v>1</v>
      </c>
      <c r="O130" s="1619"/>
      <c r="P130" s="357"/>
      <c r="Q130" s="315">
        <f t="shared" si="2311"/>
        <v>0</v>
      </c>
      <c r="R130" s="321"/>
      <c r="S130" s="315">
        <f t="shared" si="2312"/>
        <v>0</v>
      </c>
      <c r="T130" s="321"/>
      <c r="U130" s="315">
        <f t="shared" si="2313"/>
        <v>0</v>
      </c>
      <c r="V130" s="320"/>
      <c r="W130" s="315">
        <f t="shared" si="2314"/>
        <v>0</v>
      </c>
      <c r="X130" s="321"/>
      <c r="Y130" s="315">
        <f t="shared" si="2315"/>
        <v>0</v>
      </c>
      <c r="Z130" s="322"/>
      <c r="AA130" s="315">
        <f t="shared" si="2316"/>
        <v>0</v>
      </c>
      <c r="AB130" s="322"/>
      <c r="AC130" s="315">
        <f t="shared" si="2317"/>
        <v>0</v>
      </c>
      <c r="AD130" s="322"/>
      <c r="AE130" s="315">
        <f t="shared" si="2318"/>
        <v>0</v>
      </c>
      <c r="AF130" s="315"/>
      <c r="AG130" s="315">
        <f t="shared" si="2319"/>
        <v>0</v>
      </c>
      <c r="AH130" s="322"/>
      <c r="AI130" s="315">
        <f t="shared" si="2320"/>
        <v>0</v>
      </c>
      <c r="AJ130" s="314"/>
      <c r="AK130" s="314"/>
      <c r="AL130" s="314"/>
      <c r="AM130" s="314"/>
      <c r="AN130" s="314"/>
      <c r="AO130" s="314"/>
      <c r="AP130" s="314"/>
      <c r="AQ130" s="314"/>
      <c r="AR130" s="314"/>
      <c r="AS130" s="314"/>
      <c r="AT130" s="314"/>
      <c r="AU130" s="359"/>
      <c r="AV130" s="358">
        <f t="shared" si="2321"/>
        <v>3166.38</v>
      </c>
      <c r="AW130" s="416">
        <f>((F130/30)*H130)*$I130</f>
        <v>750</v>
      </c>
      <c r="AX130" s="315">
        <f t="shared" si="2322"/>
        <v>0</v>
      </c>
      <c r="AY130" s="315">
        <f t="shared" si="2323"/>
        <v>0</v>
      </c>
      <c r="AZ130" s="315">
        <f t="shared" si="2324"/>
        <v>0</v>
      </c>
      <c r="BA130" s="315">
        <f t="shared" si="2325"/>
        <v>0</v>
      </c>
      <c r="BB130" s="315">
        <f t="shared" si="2326"/>
        <v>0</v>
      </c>
      <c r="BC130" s="315">
        <f t="shared" si="2327"/>
        <v>401.18034600000004</v>
      </c>
      <c r="BD130" s="315">
        <f t="shared" si="2328"/>
        <v>4317.5603460000002</v>
      </c>
      <c r="BE130" s="315">
        <f t="shared" si="2190"/>
        <v>0</v>
      </c>
      <c r="BF130" s="315">
        <f t="shared" si="2191"/>
        <v>0</v>
      </c>
      <c r="BG130" s="315">
        <f t="shared" si="2329"/>
        <v>0</v>
      </c>
      <c r="BH130" s="315">
        <f t="shared" si="2330"/>
        <v>0</v>
      </c>
      <c r="BI130" s="315">
        <f t="shared" si="2331"/>
        <v>0</v>
      </c>
      <c r="BJ130" s="315">
        <f t="shared" si="2332"/>
        <v>0</v>
      </c>
      <c r="BK130" s="315">
        <f t="shared" si="2333"/>
        <v>0</v>
      </c>
      <c r="BL130" s="315">
        <f t="shared" si="2334"/>
        <v>0</v>
      </c>
      <c r="BM130" s="314">
        <f t="shared" si="2335"/>
        <v>0</v>
      </c>
      <c r="BN130" s="315">
        <f t="shared" si="2198"/>
        <v>0</v>
      </c>
      <c r="BO130" s="315">
        <f t="shared" si="2199"/>
        <v>0</v>
      </c>
      <c r="BP130" s="315">
        <f t="shared" si="2336"/>
        <v>0</v>
      </c>
      <c r="BQ130" s="315">
        <f t="shared" si="2336"/>
        <v>0</v>
      </c>
      <c r="BR130" s="315">
        <f t="shared" si="2336"/>
        <v>0</v>
      </c>
      <c r="BS130" s="315">
        <f t="shared" si="2337"/>
        <v>0</v>
      </c>
      <c r="BT130" s="315">
        <f t="shared" si="2338"/>
        <v>0</v>
      </c>
      <c r="BU130" s="315">
        <f t="shared" si="2339"/>
        <v>0</v>
      </c>
      <c r="BV130" s="315">
        <f t="shared" si="2340"/>
        <v>0</v>
      </c>
      <c r="BW130" s="360">
        <f t="shared" si="2207"/>
        <v>0</v>
      </c>
      <c r="BX130" s="361">
        <f t="shared" si="2208"/>
        <v>0</v>
      </c>
      <c r="BY130" s="361">
        <f t="shared" ref="BY130:CB133" si="2464">AB130</f>
        <v>0</v>
      </c>
      <c r="BZ130" s="361">
        <f t="shared" si="2464"/>
        <v>0</v>
      </c>
      <c r="CA130" s="361">
        <f t="shared" si="2464"/>
        <v>0</v>
      </c>
      <c r="CB130" s="361">
        <f t="shared" si="2464"/>
        <v>0</v>
      </c>
      <c r="CC130" s="361">
        <f t="shared" si="2342"/>
        <v>0</v>
      </c>
      <c r="CD130" s="361">
        <f t="shared" si="2343"/>
        <v>0</v>
      </c>
      <c r="CE130" s="361">
        <f t="shared" si="2344"/>
        <v>0</v>
      </c>
      <c r="CF130" s="361">
        <f t="shared" si="2345"/>
        <v>0</v>
      </c>
      <c r="CG130" s="361">
        <f t="shared" si="2217"/>
        <v>0</v>
      </c>
      <c r="CH130" s="361">
        <f>+AF130</f>
        <v>0</v>
      </c>
      <c r="CI130" s="361">
        <f t="shared" ref="CI130:CK133" si="2465">AG130</f>
        <v>0</v>
      </c>
      <c r="CJ130" s="361">
        <f t="shared" si="2465"/>
        <v>0</v>
      </c>
      <c r="CK130" s="361">
        <f t="shared" si="2465"/>
        <v>0</v>
      </c>
      <c r="CL130" s="361">
        <f t="shared" si="2347"/>
        <v>0</v>
      </c>
      <c r="CM130" s="361">
        <f t="shared" si="2348"/>
        <v>0</v>
      </c>
      <c r="CN130" s="362">
        <f t="shared" si="2349"/>
        <v>0</v>
      </c>
      <c r="CO130" s="330"/>
      <c r="CP130" s="313" t="s">
        <v>10</v>
      </c>
      <c r="CQ130" s="315">
        <f t="shared" si="2350"/>
        <v>3166.38</v>
      </c>
      <c r="CR130" s="315">
        <f t="shared" si="2351"/>
        <v>750</v>
      </c>
      <c r="CS130" s="315">
        <f t="shared" si="2352"/>
        <v>0</v>
      </c>
      <c r="CT130" s="315">
        <f t="shared" si="2353"/>
        <v>0</v>
      </c>
      <c r="CU130" s="315">
        <f t="shared" si="2354"/>
        <v>0</v>
      </c>
      <c r="CV130" s="315">
        <f t="shared" si="2355"/>
        <v>0</v>
      </c>
      <c r="CW130" s="315">
        <f t="shared" si="2356"/>
        <v>0</v>
      </c>
      <c r="CX130" s="315">
        <f t="shared" si="2357"/>
        <v>401.18034600000004</v>
      </c>
      <c r="CY130" s="315">
        <f t="shared" si="2358"/>
        <v>4317.5603460000002</v>
      </c>
      <c r="CZ130" s="315">
        <f t="shared" si="2359"/>
        <v>0</v>
      </c>
      <c r="DA130" s="315">
        <f t="shared" si="2360"/>
        <v>0</v>
      </c>
      <c r="DB130" s="315">
        <f t="shared" si="2361"/>
        <v>0</v>
      </c>
      <c r="DC130" s="315">
        <f t="shared" si="2362"/>
        <v>0</v>
      </c>
      <c r="DD130" s="315">
        <f t="shared" si="2363"/>
        <v>0</v>
      </c>
      <c r="DE130" s="315">
        <f t="shared" si="2364"/>
        <v>0</v>
      </c>
      <c r="DF130" s="315">
        <f t="shared" si="2365"/>
        <v>0</v>
      </c>
      <c r="DG130" s="315">
        <f t="shared" si="2366"/>
        <v>0</v>
      </c>
      <c r="DH130" s="315">
        <f t="shared" si="2367"/>
        <v>0</v>
      </c>
      <c r="DI130" s="315">
        <f t="shared" si="2227"/>
        <v>0</v>
      </c>
      <c r="DJ130" s="315">
        <f t="shared" si="2228"/>
        <v>0</v>
      </c>
      <c r="DK130" s="315">
        <f t="shared" si="2229"/>
        <v>0</v>
      </c>
      <c r="DL130" s="315">
        <f t="shared" si="2230"/>
        <v>0</v>
      </c>
      <c r="DM130" s="315">
        <f t="shared" si="2231"/>
        <v>0</v>
      </c>
      <c r="DN130" s="315">
        <f t="shared" si="2232"/>
        <v>0</v>
      </c>
      <c r="DO130" s="315">
        <f t="shared" si="2233"/>
        <v>0</v>
      </c>
      <c r="DP130" s="315">
        <f t="shared" si="2234"/>
        <v>0</v>
      </c>
      <c r="DQ130" s="315">
        <f t="shared" si="2368"/>
        <v>0</v>
      </c>
      <c r="DR130" s="360">
        <f t="shared" si="2369"/>
        <v>0</v>
      </c>
      <c r="DS130" s="361">
        <f t="shared" si="2370"/>
        <v>0</v>
      </c>
      <c r="DT130" s="361">
        <f t="shared" si="2371"/>
        <v>0</v>
      </c>
      <c r="DU130" s="361">
        <f t="shared" si="2372"/>
        <v>0</v>
      </c>
      <c r="DV130" s="361">
        <f t="shared" si="2373"/>
        <v>0</v>
      </c>
      <c r="DW130" s="361">
        <f t="shared" si="2374"/>
        <v>0</v>
      </c>
      <c r="DX130" s="361">
        <f t="shared" si="2375"/>
        <v>0</v>
      </c>
      <c r="DY130" s="361">
        <f t="shared" si="2376"/>
        <v>0</v>
      </c>
      <c r="DZ130" s="361">
        <f t="shared" si="2377"/>
        <v>0</v>
      </c>
      <c r="EA130" s="361">
        <f t="shared" si="2378"/>
        <v>0</v>
      </c>
      <c r="EB130" s="361">
        <f t="shared" si="2379"/>
        <v>0</v>
      </c>
      <c r="EC130" s="361">
        <f t="shared" si="2380"/>
        <v>0</v>
      </c>
      <c r="ED130" s="361">
        <f t="shared" si="2381"/>
        <v>0</v>
      </c>
      <c r="EE130" s="361">
        <f t="shared" si="2382"/>
        <v>0</v>
      </c>
      <c r="EF130" s="361">
        <f t="shared" si="2383"/>
        <v>0</v>
      </c>
      <c r="EG130" s="361">
        <f t="shared" si="2384"/>
        <v>0</v>
      </c>
      <c r="EH130" s="361">
        <f t="shared" si="2385"/>
        <v>0</v>
      </c>
      <c r="EI130" s="362">
        <f t="shared" si="2386"/>
        <v>0</v>
      </c>
      <c r="EJ130" s="330"/>
      <c r="EK130" s="2199"/>
      <c r="EL130" s="313"/>
      <c r="EM130" s="313"/>
      <c r="EN130" s="313">
        <f>123+177</f>
        <v>300</v>
      </c>
      <c r="EO130" s="1475"/>
      <c r="EP130" s="313">
        <v>50</v>
      </c>
      <c r="EQ130" s="1969"/>
      <c r="ER130" s="1969"/>
      <c r="ES130" s="313"/>
      <c r="ET130" s="313">
        <f t="shared" si="2387"/>
        <v>50</v>
      </c>
      <c r="EV130" s="321">
        <f t="shared" si="2398"/>
        <v>0</v>
      </c>
      <c r="EW130" s="321">
        <f t="shared" si="2399"/>
        <v>0</v>
      </c>
      <c r="EX130" s="321">
        <f t="shared" si="2388"/>
        <v>0</v>
      </c>
      <c r="EY130" s="321">
        <f t="shared" si="2389"/>
        <v>300</v>
      </c>
      <c r="EZ130" s="321">
        <f t="shared" si="2390"/>
        <v>0</v>
      </c>
      <c r="FA130" s="321">
        <f t="shared" si="2391"/>
        <v>50</v>
      </c>
      <c r="FB130" s="321">
        <f t="shared" si="2392"/>
        <v>0</v>
      </c>
      <c r="FC130" s="321">
        <f t="shared" si="2393"/>
        <v>0</v>
      </c>
      <c r="FD130" s="321">
        <f t="shared" si="2394"/>
        <v>0</v>
      </c>
      <c r="FE130" s="321">
        <f t="shared" si="2395"/>
        <v>50</v>
      </c>
      <c r="FF130" s="332">
        <v>1</v>
      </c>
      <c r="FG130" s="332">
        <v>0</v>
      </c>
      <c r="FH130" s="332">
        <v>0</v>
      </c>
      <c r="FI130" s="332">
        <v>0</v>
      </c>
      <c r="FJ130" s="332">
        <v>0</v>
      </c>
      <c r="FK130" s="332">
        <v>1</v>
      </c>
      <c r="FL130" s="331">
        <f>+EP130-FA130</f>
        <v>0</v>
      </c>
    </row>
    <row r="131" spans="1:168" s="1603" customFormat="1" ht="15" customHeight="1" outlineLevel="1">
      <c r="A131" s="1625" t="e">
        <f t="shared" si="2309"/>
        <v>#REF!</v>
      </c>
      <c r="B131" s="311" t="s">
        <v>579</v>
      </c>
      <c r="C131" s="312" t="s">
        <v>818</v>
      </c>
      <c r="D131" s="312" t="s">
        <v>11</v>
      </c>
      <c r="E131" s="1526">
        <v>3166.38</v>
      </c>
      <c r="F131" s="325">
        <v>1000</v>
      </c>
      <c r="G131" s="325">
        <f t="shared" si="2170"/>
        <v>4166.38</v>
      </c>
      <c r="H131" s="1971">
        <v>30</v>
      </c>
      <c r="I131" s="317">
        <v>0.4</v>
      </c>
      <c r="J131" s="317">
        <v>0.6</v>
      </c>
      <c r="K131" s="317">
        <v>0</v>
      </c>
      <c r="L131" s="1580">
        <v>0</v>
      </c>
      <c r="M131" s="317">
        <v>0</v>
      </c>
      <c r="N131" s="317">
        <f t="shared" si="2310"/>
        <v>1</v>
      </c>
      <c r="O131" s="1619"/>
      <c r="P131" s="357"/>
      <c r="Q131" s="358">
        <f t="shared" si="2311"/>
        <v>0</v>
      </c>
      <c r="R131" s="404"/>
      <c r="S131" s="358">
        <f t="shared" si="2312"/>
        <v>0</v>
      </c>
      <c r="T131" s="357">
        <v>20</v>
      </c>
      <c r="U131" s="358">
        <f t="shared" si="2313"/>
        <v>395.79750000000001</v>
      </c>
      <c r="V131" s="404"/>
      <c r="W131" s="358">
        <f t="shared" si="2314"/>
        <v>0</v>
      </c>
      <c r="X131" s="1579"/>
      <c r="Y131" s="358">
        <f t="shared" si="2315"/>
        <v>0</v>
      </c>
      <c r="Z131" s="1528">
        <v>0</v>
      </c>
      <c r="AA131" s="358">
        <f t="shared" si="2316"/>
        <v>0</v>
      </c>
      <c r="AB131" s="358"/>
      <c r="AC131" s="1528">
        <f t="shared" si="2317"/>
        <v>0</v>
      </c>
      <c r="AD131" s="1526">
        <v>0</v>
      </c>
      <c r="AE131" s="1526">
        <f t="shared" si="2318"/>
        <v>0</v>
      </c>
      <c r="AF131" s="1526"/>
      <c r="AG131" s="404">
        <f t="shared" si="2319"/>
        <v>0</v>
      </c>
      <c r="AH131" s="358"/>
      <c r="AI131" s="404">
        <f t="shared" si="2320"/>
        <v>0</v>
      </c>
      <c r="AJ131" s="358"/>
      <c r="AK131" s="1528"/>
      <c r="AL131" s="358"/>
      <c r="AM131" s="358"/>
      <c r="AN131" s="1528"/>
      <c r="AO131" s="1526"/>
      <c r="AP131" s="1526"/>
      <c r="AQ131" s="1526"/>
      <c r="AR131" s="404"/>
      <c r="AS131" s="358"/>
      <c r="AT131" s="404"/>
      <c r="AU131" s="358"/>
      <c r="AV131" s="358">
        <f>((E131/30)*H131)*$I131</f>
        <v>1266.5520000000001</v>
      </c>
      <c r="AW131" s="416">
        <f>((F131/30)*H131)*$I131</f>
        <v>400.00000000000006</v>
      </c>
      <c r="AX131" s="358">
        <f t="shared" si="2322"/>
        <v>0</v>
      </c>
      <c r="AY131" s="1528">
        <f t="shared" si="2323"/>
        <v>0</v>
      </c>
      <c r="AZ131" s="1526">
        <f t="shared" si="2324"/>
        <v>0</v>
      </c>
      <c r="BA131" s="1526">
        <f t="shared" si="2325"/>
        <v>0</v>
      </c>
      <c r="BB131" s="1526">
        <f t="shared" si="2326"/>
        <v>0</v>
      </c>
      <c r="BC131" s="404">
        <f t="shared" si="2327"/>
        <v>160.47213840000003</v>
      </c>
      <c r="BD131" s="358">
        <f t="shared" si="2328"/>
        <v>1827.0241384000001</v>
      </c>
      <c r="BE131" s="358">
        <f t="shared" si="2190"/>
        <v>1899.828</v>
      </c>
      <c r="BF131" s="358">
        <f t="shared" si="2191"/>
        <v>600</v>
      </c>
      <c r="BG131" s="358">
        <f t="shared" si="2329"/>
        <v>20</v>
      </c>
      <c r="BH131" s="358">
        <f t="shared" si="2330"/>
        <v>395.79750000000001</v>
      </c>
      <c r="BI131" s="358">
        <f t="shared" si="2331"/>
        <v>0</v>
      </c>
      <c r="BJ131" s="358">
        <f t="shared" si="2332"/>
        <v>0</v>
      </c>
      <c r="BK131" s="358">
        <f t="shared" si="2333"/>
        <v>0</v>
      </c>
      <c r="BL131" s="358">
        <f t="shared" si="2334"/>
        <v>290.85575085000005</v>
      </c>
      <c r="BM131" s="1526">
        <f t="shared" si="2335"/>
        <v>3186.4812508499999</v>
      </c>
      <c r="BN131" s="358">
        <f t="shared" si="2198"/>
        <v>0</v>
      </c>
      <c r="BO131" s="416">
        <f>(($F131/30)*$H131)*$K131</f>
        <v>0</v>
      </c>
      <c r="BP131" s="358">
        <f t="shared" si="2336"/>
        <v>0</v>
      </c>
      <c r="BQ131" s="358">
        <f t="shared" si="2336"/>
        <v>0</v>
      </c>
      <c r="BR131" s="358">
        <f t="shared" si="2336"/>
        <v>0</v>
      </c>
      <c r="BS131" s="358">
        <f t="shared" si="2337"/>
        <v>0</v>
      </c>
      <c r="BT131" s="358">
        <f t="shared" si="2338"/>
        <v>0</v>
      </c>
      <c r="BU131" s="358">
        <f t="shared" si="2339"/>
        <v>0</v>
      </c>
      <c r="BV131" s="358">
        <f t="shared" si="2340"/>
        <v>0</v>
      </c>
      <c r="BW131" s="1636">
        <f t="shared" si="2207"/>
        <v>0</v>
      </c>
      <c r="BX131" s="1637">
        <f t="shared" si="2208"/>
        <v>0</v>
      </c>
      <c r="BY131" s="1637">
        <f t="shared" si="2464"/>
        <v>0</v>
      </c>
      <c r="BZ131" s="1637">
        <f t="shared" si="2464"/>
        <v>0</v>
      </c>
      <c r="CA131" s="1637">
        <f t="shared" si="2464"/>
        <v>0</v>
      </c>
      <c r="CB131" s="1637">
        <f t="shared" si="2464"/>
        <v>0</v>
      </c>
      <c r="CC131" s="1637">
        <f t="shared" si="2342"/>
        <v>0</v>
      </c>
      <c r="CD131" s="1637">
        <f t="shared" si="2343"/>
        <v>0</v>
      </c>
      <c r="CE131" s="1637">
        <f t="shared" si="2344"/>
        <v>0</v>
      </c>
      <c r="CF131" s="1637">
        <f t="shared" si="2345"/>
        <v>0</v>
      </c>
      <c r="CG131" s="1637">
        <f t="shared" si="2217"/>
        <v>0</v>
      </c>
      <c r="CH131" s="1637">
        <f>+AF131</f>
        <v>0</v>
      </c>
      <c r="CI131" s="1637">
        <f t="shared" si="2465"/>
        <v>0</v>
      </c>
      <c r="CJ131" s="1637">
        <f t="shared" si="2465"/>
        <v>0</v>
      </c>
      <c r="CK131" s="1637">
        <f t="shared" si="2465"/>
        <v>0</v>
      </c>
      <c r="CL131" s="1637">
        <f t="shared" si="2347"/>
        <v>0</v>
      </c>
      <c r="CM131" s="1637">
        <f t="shared" si="2348"/>
        <v>0</v>
      </c>
      <c r="CN131" s="1638">
        <f t="shared" si="2349"/>
        <v>0</v>
      </c>
      <c r="CO131" s="1418"/>
      <c r="CP131" s="312" t="s">
        <v>11</v>
      </c>
      <c r="CQ131" s="358">
        <f t="shared" si="2350"/>
        <v>0</v>
      </c>
      <c r="CR131" s="358">
        <f t="shared" si="2351"/>
        <v>0</v>
      </c>
      <c r="CS131" s="358">
        <f t="shared" si="2352"/>
        <v>0</v>
      </c>
      <c r="CT131" s="358">
        <f t="shared" si="2353"/>
        <v>0</v>
      </c>
      <c r="CU131" s="358">
        <f t="shared" si="2354"/>
        <v>0</v>
      </c>
      <c r="CV131" s="358">
        <f t="shared" si="2355"/>
        <v>0</v>
      </c>
      <c r="CW131" s="358">
        <f t="shared" si="2356"/>
        <v>0</v>
      </c>
      <c r="CX131" s="358">
        <f t="shared" si="2357"/>
        <v>0</v>
      </c>
      <c r="CY131" s="358">
        <f t="shared" si="2358"/>
        <v>0</v>
      </c>
      <c r="CZ131" s="358">
        <f t="shared" si="2359"/>
        <v>3166.38</v>
      </c>
      <c r="DA131" s="358">
        <f t="shared" si="2360"/>
        <v>1000</v>
      </c>
      <c r="DB131" s="358">
        <f t="shared" si="2361"/>
        <v>20</v>
      </c>
      <c r="DC131" s="358">
        <f t="shared" si="2362"/>
        <v>395.79750000000001</v>
      </c>
      <c r="DD131" s="358">
        <f t="shared" si="2363"/>
        <v>0</v>
      </c>
      <c r="DE131" s="358">
        <f t="shared" si="2364"/>
        <v>0</v>
      </c>
      <c r="DF131" s="358">
        <f t="shared" si="2365"/>
        <v>0</v>
      </c>
      <c r="DG131" s="358">
        <f t="shared" si="2366"/>
        <v>451.32788925000011</v>
      </c>
      <c r="DH131" s="358">
        <f t="shared" si="2367"/>
        <v>5013.50538925</v>
      </c>
      <c r="DI131" s="358">
        <f t="shared" si="2227"/>
        <v>0</v>
      </c>
      <c r="DJ131" s="358">
        <f t="shared" si="2228"/>
        <v>0</v>
      </c>
      <c r="DK131" s="358">
        <f t="shared" si="2229"/>
        <v>0</v>
      </c>
      <c r="DL131" s="358">
        <f t="shared" si="2230"/>
        <v>0</v>
      </c>
      <c r="DM131" s="358">
        <f t="shared" si="2231"/>
        <v>0</v>
      </c>
      <c r="DN131" s="358">
        <f t="shared" si="2232"/>
        <v>0</v>
      </c>
      <c r="DO131" s="358">
        <f t="shared" si="2233"/>
        <v>0</v>
      </c>
      <c r="DP131" s="358">
        <f t="shared" si="2234"/>
        <v>0</v>
      </c>
      <c r="DQ131" s="358">
        <f t="shared" si="2368"/>
        <v>0</v>
      </c>
      <c r="DR131" s="1636">
        <f t="shared" si="2369"/>
        <v>0</v>
      </c>
      <c r="DS131" s="1637">
        <f t="shared" si="2370"/>
        <v>0</v>
      </c>
      <c r="DT131" s="1637">
        <f t="shared" si="2371"/>
        <v>0</v>
      </c>
      <c r="DU131" s="1637">
        <f t="shared" si="2372"/>
        <v>0</v>
      </c>
      <c r="DV131" s="1637">
        <f t="shared" si="2373"/>
        <v>0</v>
      </c>
      <c r="DW131" s="1637">
        <f t="shared" si="2374"/>
        <v>0</v>
      </c>
      <c r="DX131" s="1637">
        <f t="shared" si="2375"/>
        <v>0</v>
      </c>
      <c r="DY131" s="1637">
        <f t="shared" si="2376"/>
        <v>0</v>
      </c>
      <c r="DZ131" s="1637">
        <f t="shared" si="2377"/>
        <v>0</v>
      </c>
      <c r="EA131" s="1637">
        <f t="shared" si="2378"/>
        <v>0</v>
      </c>
      <c r="EB131" s="1637">
        <f t="shared" si="2379"/>
        <v>0</v>
      </c>
      <c r="EC131" s="1637">
        <f t="shared" si="2380"/>
        <v>0</v>
      </c>
      <c r="ED131" s="1637">
        <f t="shared" si="2381"/>
        <v>0</v>
      </c>
      <c r="EE131" s="1637">
        <f t="shared" si="2382"/>
        <v>0</v>
      </c>
      <c r="EF131" s="1637">
        <f t="shared" si="2383"/>
        <v>0</v>
      </c>
      <c r="EG131" s="1637">
        <f t="shared" si="2384"/>
        <v>0</v>
      </c>
      <c r="EH131" s="1637">
        <f t="shared" si="2385"/>
        <v>0</v>
      </c>
      <c r="EI131" s="1638">
        <f t="shared" si="2386"/>
        <v>0</v>
      </c>
      <c r="EJ131" s="1582"/>
      <c r="EK131" s="1641">
        <v>19.670000000000002</v>
      </c>
      <c r="EL131" s="2004">
        <f>525.35+638.29</f>
        <v>1163.6399999999999</v>
      </c>
      <c r="EM131" s="1425">
        <f>29+29</f>
        <v>58</v>
      </c>
      <c r="EN131" s="313"/>
      <c r="EO131" s="313"/>
      <c r="EP131" s="1425">
        <v>50</v>
      </c>
      <c r="EQ131" s="1969"/>
      <c r="ER131" s="1425"/>
      <c r="ES131" s="1543">
        <v>160</v>
      </c>
      <c r="ET131" s="1543">
        <f>+EO131+EP131+EQ131</f>
        <v>50</v>
      </c>
      <c r="EV131" s="409">
        <f t="shared" si="2398"/>
        <v>19.670000000000002</v>
      </c>
      <c r="EW131" s="409">
        <f t="shared" si="2399"/>
        <v>1163.6399999999999</v>
      </c>
      <c r="EX131" s="409">
        <f t="shared" si="2388"/>
        <v>58</v>
      </c>
      <c r="EY131" s="409">
        <f t="shared" si="2389"/>
        <v>0</v>
      </c>
      <c r="EZ131" s="409">
        <f t="shared" si="2390"/>
        <v>0</v>
      </c>
      <c r="FA131" s="409">
        <f t="shared" si="2391"/>
        <v>50</v>
      </c>
      <c r="FB131" s="409">
        <f>IF($H131&lt;=15,EQ131/2,EQ131)</f>
        <v>0</v>
      </c>
      <c r="FC131" s="409">
        <f t="shared" si="2393"/>
        <v>0</v>
      </c>
      <c r="FD131" s="409">
        <f t="shared" si="2394"/>
        <v>160</v>
      </c>
      <c r="FE131" s="409">
        <f t="shared" si="2395"/>
        <v>50</v>
      </c>
      <c r="FF131" s="333">
        <v>0</v>
      </c>
      <c r="FG131" s="333">
        <v>1</v>
      </c>
      <c r="FH131" s="333">
        <v>0</v>
      </c>
      <c r="FI131" s="333">
        <v>0</v>
      </c>
      <c r="FJ131" s="333">
        <v>0</v>
      </c>
      <c r="FK131" s="333">
        <v>1</v>
      </c>
      <c r="FL131" s="1603">
        <f>+EP131-FA131</f>
        <v>0</v>
      </c>
    </row>
    <row r="132" spans="1:168" s="1464" customFormat="1" ht="15" customHeight="1" outlineLevel="1">
      <c r="A132" s="1625" t="e">
        <f t="shared" si="2309"/>
        <v>#REF!</v>
      </c>
      <c r="B132" s="213" t="s">
        <v>728</v>
      </c>
      <c r="C132" s="365" t="s">
        <v>573</v>
      </c>
      <c r="D132" s="365" t="s">
        <v>11</v>
      </c>
      <c r="E132" s="1526">
        <v>3166.38</v>
      </c>
      <c r="F132" s="1462">
        <v>250</v>
      </c>
      <c r="G132" s="1970">
        <f t="shared" si="2170"/>
        <v>3416.38</v>
      </c>
      <c r="H132" s="1971">
        <v>30</v>
      </c>
      <c r="I132" s="1567">
        <v>0.4</v>
      </c>
      <c r="J132" s="1567">
        <v>0.6</v>
      </c>
      <c r="K132" s="1567">
        <v>0</v>
      </c>
      <c r="L132" s="1463">
        <v>0</v>
      </c>
      <c r="M132" s="1567">
        <v>0</v>
      </c>
      <c r="N132" s="1463">
        <f t="shared" ref="N132" si="2466">SUM(I132:M132)</f>
        <v>1</v>
      </c>
      <c r="P132" s="1538"/>
      <c r="Q132" s="1466">
        <f t="shared" si="2311"/>
        <v>0</v>
      </c>
      <c r="R132" s="1465"/>
      <c r="S132" s="1466">
        <f t="shared" si="2312"/>
        <v>0</v>
      </c>
      <c r="T132" s="1465">
        <v>12</v>
      </c>
      <c r="U132" s="1466">
        <f t="shared" si="2313"/>
        <v>237.47850000000003</v>
      </c>
      <c r="V132" s="1465"/>
      <c r="W132" s="1466">
        <f t="shared" si="2314"/>
        <v>0</v>
      </c>
      <c r="X132" s="1465"/>
      <c r="Y132" s="1466">
        <f t="shared" si="2315"/>
        <v>0</v>
      </c>
      <c r="Z132" s="1467"/>
      <c r="AA132" s="1466">
        <f t="shared" si="2316"/>
        <v>0</v>
      </c>
      <c r="AB132" s="1467"/>
      <c r="AC132" s="1466">
        <f t="shared" si="2317"/>
        <v>0</v>
      </c>
      <c r="AD132" s="1467"/>
      <c r="AE132" s="1466">
        <f t="shared" si="2318"/>
        <v>0</v>
      </c>
      <c r="AF132" s="1466"/>
      <c r="AG132" s="1466">
        <f t="shared" si="2319"/>
        <v>0</v>
      </c>
      <c r="AH132" s="1467"/>
      <c r="AI132" s="1466">
        <f t="shared" si="2320"/>
        <v>0</v>
      </c>
      <c r="AJ132" s="1462"/>
      <c r="AK132" s="1462"/>
      <c r="AL132" s="1462"/>
      <c r="AM132" s="1462"/>
      <c r="AN132" s="1462"/>
      <c r="AO132" s="1462"/>
      <c r="AP132" s="1462"/>
      <c r="AQ132" s="1462"/>
      <c r="AR132" s="1462"/>
      <c r="AS132" s="1462"/>
      <c r="AT132" s="1462"/>
      <c r="AU132" s="1536"/>
      <c r="AV132" s="1466">
        <f t="shared" ref="AV132" si="2467">((E132/30)*H132)*$I132</f>
        <v>1266.5520000000001</v>
      </c>
      <c r="AW132" s="1539">
        <f>((F132/30)*H132)*$I132</f>
        <v>100.00000000000001</v>
      </c>
      <c r="AX132" s="1466">
        <f t="shared" si="2322"/>
        <v>0</v>
      </c>
      <c r="AY132" s="1466">
        <f t="shared" si="2323"/>
        <v>0</v>
      </c>
      <c r="AZ132" s="1466">
        <f t="shared" si="2324"/>
        <v>0</v>
      </c>
      <c r="BA132" s="1466">
        <f t="shared" si="2325"/>
        <v>0</v>
      </c>
      <c r="BB132" s="1466">
        <f>AJ132+AO132</f>
        <v>0</v>
      </c>
      <c r="BC132" s="1466">
        <f t="shared" si="2327"/>
        <v>160.47213840000003</v>
      </c>
      <c r="BD132" s="1466">
        <f t="shared" ref="BD132" si="2468">SUM(AV132:BC132)-AX132-AZ132</f>
        <v>1527.0241384000001</v>
      </c>
      <c r="BE132" s="1466">
        <f t="shared" si="2190"/>
        <v>1899.828</v>
      </c>
      <c r="BF132" s="324">
        <f t="shared" si="2191"/>
        <v>150</v>
      </c>
      <c r="BG132" s="1466">
        <f t="shared" si="2329"/>
        <v>12</v>
      </c>
      <c r="BH132" s="1466">
        <f t="shared" si="2330"/>
        <v>237.47850000000003</v>
      </c>
      <c r="BI132" s="1466">
        <f t="shared" si="2331"/>
        <v>0</v>
      </c>
      <c r="BJ132" s="1466">
        <f t="shared" si="2332"/>
        <v>0</v>
      </c>
      <c r="BK132" s="1466">
        <f t="shared" si="2333"/>
        <v>0</v>
      </c>
      <c r="BL132" s="1466">
        <f t="shared" si="2334"/>
        <v>270.79673355000006</v>
      </c>
      <c r="BM132" s="1462">
        <f t="shared" si="2335"/>
        <v>2558.1032335500004</v>
      </c>
      <c r="BN132" s="1466">
        <f t="shared" si="2198"/>
        <v>0</v>
      </c>
      <c r="BO132" s="1466">
        <f t="shared" ref="BO132" si="2469">(($F132/30)*$H132)*$K132</f>
        <v>0</v>
      </c>
      <c r="BP132" s="1466">
        <f t="shared" si="2336"/>
        <v>0</v>
      </c>
      <c r="BQ132" s="1466">
        <f t="shared" si="2336"/>
        <v>0</v>
      </c>
      <c r="BR132" s="1466">
        <f t="shared" si="2336"/>
        <v>0</v>
      </c>
      <c r="BS132" s="1466">
        <f t="shared" si="2337"/>
        <v>0</v>
      </c>
      <c r="BT132" s="1466">
        <f t="shared" si="2338"/>
        <v>0</v>
      </c>
      <c r="BU132" s="1466">
        <f t="shared" si="2339"/>
        <v>0</v>
      </c>
      <c r="BV132" s="1466">
        <f t="shared" si="2340"/>
        <v>0</v>
      </c>
      <c r="BW132" s="1540">
        <f t="shared" si="2207"/>
        <v>0</v>
      </c>
      <c r="BX132" s="1541">
        <f t="shared" si="2208"/>
        <v>0</v>
      </c>
      <c r="BY132" s="1541">
        <f t="shared" si="2464"/>
        <v>0</v>
      </c>
      <c r="BZ132" s="1541">
        <f t="shared" si="2464"/>
        <v>0</v>
      </c>
      <c r="CA132" s="1541">
        <f t="shared" si="2464"/>
        <v>0</v>
      </c>
      <c r="CB132" s="1541">
        <f t="shared" si="2464"/>
        <v>0</v>
      </c>
      <c r="CC132" s="1541">
        <f t="shared" si="2342"/>
        <v>0</v>
      </c>
      <c r="CD132" s="1541">
        <f t="shared" si="2343"/>
        <v>0</v>
      </c>
      <c r="CE132" s="1541">
        <f t="shared" si="2344"/>
        <v>0</v>
      </c>
      <c r="CF132" s="1541">
        <f t="shared" si="2345"/>
        <v>0</v>
      </c>
      <c r="CG132" s="1541">
        <f t="shared" si="2217"/>
        <v>0</v>
      </c>
      <c r="CH132" s="1541">
        <f t="shared" ref="CH132" si="2470">+AF132</f>
        <v>0</v>
      </c>
      <c r="CI132" s="1541">
        <f t="shared" si="2465"/>
        <v>0</v>
      </c>
      <c r="CJ132" s="1541">
        <f t="shared" si="2465"/>
        <v>0</v>
      </c>
      <c r="CK132" s="1541">
        <f t="shared" si="2465"/>
        <v>0</v>
      </c>
      <c r="CL132" s="1541">
        <f t="shared" si="2347"/>
        <v>0</v>
      </c>
      <c r="CM132" s="1541">
        <f t="shared" si="2348"/>
        <v>0</v>
      </c>
      <c r="CN132" s="1542">
        <f t="shared" si="2349"/>
        <v>0</v>
      </c>
      <c r="CO132" s="1474"/>
      <c r="CP132" s="312" t="s">
        <v>11</v>
      </c>
      <c r="CQ132" s="1466">
        <f t="shared" si="2350"/>
        <v>0</v>
      </c>
      <c r="CR132" s="1466">
        <f t="shared" si="2351"/>
        <v>0</v>
      </c>
      <c r="CS132" s="1466">
        <f t="shared" si="2352"/>
        <v>0</v>
      </c>
      <c r="CT132" s="1466">
        <f t="shared" si="2353"/>
        <v>0</v>
      </c>
      <c r="CU132" s="1466">
        <f t="shared" si="2354"/>
        <v>0</v>
      </c>
      <c r="CV132" s="1466">
        <f t="shared" si="2355"/>
        <v>0</v>
      </c>
      <c r="CW132" s="1466">
        <f t="shared" si="2356"/>
        <v>0</v>
      </c>
      <c r="CX132" s="1466">
        <f t="shared" si="2357"/>
        <v>0</v>
      </c>
      <c r="CY132" s="1466">
        <f t="shared" si="2358"/>
        <v>0</v>
      </c>
      <c r="CZ132" s="1466">
        <f t="shared" si="2359"/>
        <v>3166.38</v>
      </c>
      <c r="DA132" s="1466">
        <f t="shared" si="2360"/>
        <v>250</v>
      </c>
      <c r="DB132" s="1466">
        <f t="shared" si="2361"/>
        <v>12</v>
      </c>
      <c r="DC132" s="1466">
        <f t="shared" si="2362"/>
        <v>237.47850000000003</v>
      </c>
      <c r="DD132" s="1466">
        <f t="shared" si="2363"/>
        <v>0</v>
      </c>
      <c r="DE132" s="1466">
        <f t="shared" si="2364"/>
        <v>0</v>
      </c>
      <c r="DF132" s="1466">
        <f t="shared" si="2365"/>
        <v>0</v>
      </c>
      <c r="DG132" s="1466">
        <f t="shared" si="2366"/>
        <v>431.26887195000006</v>
      </c>
      <c r="DH132" s="1466">
        <f t="shared" si="2367"/>
        <v>4085.1273719500005</v>
      </c>
      <c r="DI132" s="1466">
        <f t="shared" si="2227"/>
        <v>0</v>
      </c>
      <c r="DJ132" s="1466">
        <f>IF($CP132="UNHESA LIQUIDOS",$AW132+$BF132+$BO132+$BX132+$CG132,0)</f>
        <v>0</v>
      </c>
      <c r="DK132" s="1466">
        <f>IF($CP132="UNHESA LIQUIDOS",$AX132+$BG132+$BP132+$BY132+$CH132,0)</f>
        <v>0</v>
      </c>
      <c r="DL132" s="1466">
        <f>IF($CP132="UNHESA LIQUIDOS",$AY132+$BH132+$BQ132+$BZ132+$CI132,0)</f>
        <v>0</v>
      </c>
      <c r="DM132" s="1466">
        <f>IF($CP132="UNHESA LIQUIDOS",$AZ132+$BI132+$BR132+$CA132+$CJ132,0)</f>
        <v>0</v>
      </c>
      <c r="DN132" s="1466">
        <f>IF($CP132="UNHESA LIQUIDOS",$BA132+$BJ132+$BS132+$CB132+$CK132,0)</f>
        <v>0</v>
      </c>
      <c r="DO132" s="1466">
        <f>IF($CP132="UNHESA LIQUIDOS",$BB132+$BK132+$BT132+$CC132+$CL132,0)</f>
        <v>0</v>
      </c>
      <c r="DP132" s="1466">
        <f>IF($CP132="UNHESA LIQUIDOS",$BC132+$BL132+$BU132+$CD132+$CM132,0)</f>
        <v>0</v>
      </c>
      <c r="DQ132" s="1466">
        <f t="shared" ref="DQ132" si="2471">SUM(DI132:DP132)-DK132-DM132</f>
        <v>0</v>
      </c>
      <c r="DR132" s="1540">
        <f t="shared" si="2369"/>
        <v>0</v>
      </c>
      <c r="DS132" s="1541">
        <f t="shared" si="2370"/>
        <v>0</v>
      </c>
      <c r="DT132" s="1541">
        <f t="shared" si="2371"/>
        <v>0</v>
      </c>
      <c r="DU132" s="1541">
        <f t="shared" si="2372"/>
        <v>0</v>
      </c>
      <c r="DV132" s="1541">
        <f t="shared" si="2373"/>
        <v>0</v>
      </c>
      <c r="DW132" s="1541">
        <f t="shared" si="2374"/>
        <v>0</v>
      </c>
      <c r="DX132" s="1541">
        <f t="shared" si="2375"/>
        <v>0</v>
      </c>
      <c r="DY132" s="1541">
        <f t="shared" si="2376"/>
        <v>0</v>
      </c>
      <c r="DZ132" s="1541">
        <f t="shared" si="2377"/>
        <v>0</v>
      </c>
      <c r="EA132" s="1541">
        <f t="shared" si="2378"/>
        <v>0</v>
      </c>
      <c r="EB132" s="1541">
        <f t="shared" si="2379"/>
        <v>0</v>
      </c>
      <c r="EC132" s="1541">
        <f t="shared" si="2380"/>
        <v>0</v>
      </c>
      <c r="ED132" s="1541">
        <f t="shared" si="2381"/>
        <v>0</v>
      </c>
      <c r="EE132" s="1541">
        <f t="shared" si="2382"/>
        <v>0</v>
      </c>
      <c r="EF132" s="1541">
        <f t="shared" si="2383"/>
        <v>0</v>
      </c>
      <c r="EG132" s="1541">
        <f t="shared" si="2384"/>
        <v>0</v>
      </c>
      <c r="EH132" s="1541">
        <f t="shared" si="2385"/>
        <v>0</v>
      </c>
      <c r="EI132" s="1542">
        <f t="shared" si="2386"/>
        <v>0</v>
      </c>
      <c r="EJ132" s="1474"/>
      <c r="EK132" s="1596"/>
      <c r="EL132" s="1475"/>
      <c r="EM132" s="1543"/>
      <c r="EN132" s="1543">
        <f>32+110.5</f>
        <v>142.5</v>
      </c>
      <c r="EO132" s="363"/>
      <c r="EP132" s="1475">
        <v>50</v>
      </c>
      <c r="EQ132" s="1969"/>
      <c r="ER132" s="1475"/>
      <c r="ES132" s="1475"/>
      <c r="ET132" s="1475">
        <f t="shared" ref="ET132" si="2472">+EO132+EP132+EQ132</f>
        <v>50</v>
      </c>
      <c r="EU132" s="1500"/>
      <c r="EV132" s="1465">
        <f t="shared" si="2398"/>
        <v>0</v>
      </c>
      <c r="EW132" s="1465">
        <f t="shared" si="2399"/>
        <v>0</v>
      </c>
      <c r="EX132" s="1465">
        <f t="shared" si="2388"/>
        <v>0</v>
      </c>
      <c r="EY132" s="1465">
        <f t="shared" si="2389"/>
        <v>142.5</v>
      </c>
      <c r="EZ132" s="1465">
        <f t="shared" si="2390"/>
        <v>0</v>
      </c>
      <c r="FA132" s="1465">
        <f t="shared" si="2391"/>
        <v>50</v>
      </c>
      <c r="FB132" s="1465">
        <f t="shared" ref="FB132" si="2473">IF($H132&lt;=15,EQ132/2,EQ132)</f>
        <v>0</v>
      </c>
      <c r="FC132" s="1465">
        <f t="shared" si="2393"/>
        <v>0</v>
      </c>
      <c r="FD132" s="1465">
        <f t="shared" si="2394"/>
        <v>0</v>
      </c>
      <c r="FE132" s="1465">
        <f>IF($H132&lt;=15,ET132/2,ET132)</f>
        <v>50</v>
      </c>
      <c r="FF132" s="1476"/>
      <c r="FG132" s="1476"/>
      <c r="FH132" s="1476"/>
      <c r="FI132" s="1476"/>
      <c r="FJ132" s="1476"/>
      <c r="FK132" s="1476"/>
      <c r="FL132" s="1464">
        <f>+EP132-FA132</f>
        <v>0</v>
      </c>
    </row>
    <row r="133" spans="1:168" s="331" customFormat="1" ht="15" customHeight="1" outlineLevel="1">
      <c r="A133" s="1625" t="e">
        <f t="shared" si="2309"/>
        <v>#REF!</v>
      </c>
      <c r="B133" s="311" t="s">
        <v>613</v>
      </c>
      <c r="C133" s="312" t="s">
        <v>112</v>
      </c>
      <c r="D133" s="312" t="s">
        <v>10</v>
      </c>
      <c r="E133" s="1526">
        <v>3166.38</v>
      </c>
      <c r="F133" s="314">
        <f>250+150</f>
        <v>400</v>
      </c>
      <c r="G133" s="1592">
        <f t="shared" si="2170"/>
        <v>3566.38</v>
      </c>
      <c r="H133" s="1971">
        <v>30</v>
      </c>
      <c r="I133" s="318">
        <v>0.3</v>
      </c>
      <c r="J133" s="318">
        <v>0.7</v>
      </c>
      <c r="K133" s="318">
        <v>0</v>
      </c>
      <c r="L133" s="1580">
        <v>0</v>
      </c>
      <c r="M133" s="318">
        <v>0</v>
      </c>
      <c r="N133" s="318">
        <f t="shared" si="2310"/>
        <v>1</v>
      </c>
      <c r="O133" s="1642"/>
      <c r="P133" s="357">
        <v>8</v>
      </c>
      <c r="Q133" s="358">
        <f t="shared" si="2311"/>
        <v>158.31900000000002</v>
      </c>
      <c r="R133" s="404"/>
      <c r="S133" s="358">
        <f t="shared" si="2312"/>
        <v>0</v>
      </c>
      <c r="T133" s="357">
        <v>31</v>
      </c>
      <c r="U133" s="358">
        <f t="shared" si="2313"/>
        <v>613.48612500000002</v>
      </c>
      <c r="V133" s="404"/>
      <c r="W133" s="358">
        <f t="shared" si="2314"/>
        <v>0</v>
      </c>
      <c r="X133" s="404"/>
      <c r="Y133" s="358">
        <f t="shared" si="2315"/>
        <v>0</v>
      </c>
      <c r="Z133" s="1528">
        <v>0</v>
      </c>
      <c r="AA133" s="358">
        <f t="shared" si="2316"/>
        <v>0</v>
      </c>
      <c r="AB133" s="358"/>
      <c r="AC133" s="1528">
        <f t="shared" si="2317"/>
        <v>0</v>
      </c>
      <c r="AD133" s="1526">
        <v>0</v>
      </c>
      <c r="AE133" s="1526">
        <f t="shared" si="2318"/>
        <v>0</v>
      </c>
      <c r="AF133" s="1526"/>
      <c r="AG133" s="404">
        <f t="shared" si="2319"/>
        <v>0</v>
      </c>
      <c r="AH133" s="358"/>
      <c r="AI133" s="404">
        <f t="shared" si="2320"/>
        <v>0</v>
      </c>
      <c r="AJ133" s="358"/>
      <c r="AK133" s="1528"/>
      <c r="AL133" s="358"/>
      <c r="AM133" s="358"/>
      <c r="AN133" s="1528"/>
      <c r="AO133" s="1526"/>
      <c r="AP133" s="1526"/>
      <c r="AQ133" s="1526"/>
      <c r="AR133" s="404"/>
      <c r="AS133" s="358"/>
      <c r="AT133" s="404"/>
      <c r="AU133" s="358"/>
      <c r="AV133" s="358">
        <f t="shared" si="2321"/>
        <v>949.91399999999999</v>
      </c>
      <c r="AW133" s="416">
        <f>((F133/30)*H133)*$I133-90+240</f>
        <v>270</v>
      </c>
      <c r="AX133" s="358">
        <f t="shared" si="2322"/>
        <v>8</v>
      </c>
      <c r="AY133" s="1528">
        <f t="shared" si="2323"/>
        <v>158.31900000000002</v>
      </c>
      <c r="AZ133" s="1526">
        <f t="shared" si="2324"/>
        <v>0</v>
      </c>
      <c r="BA133" s="1526">
        <f t="shared" si="2325"/>
        <v>0</v>
      </c>
      <c r="BB133" s="1526">
        <f t="shared" si="2326"/>
        <v>0</v>
      </c>
      <c r="BC133" s="404">
        <f t="shared" si="2327"/>
        <v>140.41312110000001</v>
      </c>
      <c r="BD133" s="358">
        <f t="shared" si="2328"/>
        <v>1518.6461211000001</v>
      </c>
      <c r="BE133" s="358">
        <f t="shared" si="2190"/>
        <v>2216.4659999999999</v>
      </c>
      <c r="BF133" s="358">
        <f>(($F133/30)*$H133)*$J133-210</f>
        <v>70</v>
      </c>
      <c r="BG133" s="358">
        <f>T133</f>
        <v>31</v>
      </c>
      <c r="BH133" s="358">
        <f t="shared" si="2330"/>
        <v>613.48612500000002</v>
      </c>
      <c r="BI133" s="358">
        <f t="shared" si="2331"/>
        <v>0</v>
      </c>
      <c r="BJ133" s="358">
        <f t="shared" si="2332"/>
        <v>0</v>
      </c>
      <c r="BK133" s="358">
        <f t="shared" si="2333"/>
        <v>0</v>
      </c>
      <c r="BL133" s="358">
        <f t="shared" si="2334"/>
        <v>358.55493423749999</v>
      </c>
      <c r="BM133" s="1526">
        <f t="shared" si="2335"/>
        <v>3258.5070592374996</v>
      </c>
      <c r="BN133" s="358">
        <f t="shared" si="2198"/>
        <v>0</v>
      </c>
      <c r="BO133" s="358">
        <f t="shared" si="2199"/>
        <v>0</v>
      </c>
      <c r="BP133" s="358">
        <f t="shared" si="2336"/>
        <v>0</v>
      </c>
      <c r="BQ133" s="358">
        <f t="shared" si="2336"/>
        <v>0</v>
      </c>
      <c r="BR133" s="358">
        <f t="shared" si="2336"/>
        <v>0</v>
      </c>
      <c r="BS133" s="358">
        <f t="shared" si="2337"/>
        <v>0</v>
      </c>
      <c r="BT133" s="358">
        <f t="shared" si="2338"/>
        <v>0</v>
      </c>
      <c r="BU133" s="358">
        <f t="shared" si="2339"/>
        <v>0</v>
      </c>
      <c r="BV133" s="358">
        <f t="shared" si="2340"/>
        <v>0</v>
      </c>
      <c r="BW133" s="1636">
        <f t="shared" si="2207"/>
        <v>0</v>
      </c>
      <c r="BX133" s="1637">
        <f t="shared" si="2208"/>
        <v>0</v>
      </c>
      <c r="BY133" s="1637">
        <f t="shared" si="2464"/>
        <v>0</v>
      </c>
      <c r="BZ133" s="1637">
        <f t="shared" si="2464"/>
        <v>0</v>
      </c>
      <c r="CA133" s="1637">
        <f t="shared" si="2464"/>
        <v>0</v>
      </c>
      <c r="CB133" s="1637">
        <f t="shared" si="2464"/>
        <v>0</v>
      </c>
      <c r="CC133" s="1637">
        <f t="shared" si="2342"/>
        <v>0</v>
      </c>
      <c r="CD133" s="1637">
        <f t="shared" si="2343"/>
        <v>0</v>
      </c>
      <c r="CE133" s="1637">
        <f t="shared" si="2344"/>
        <v>0</v>
      </c>
      <c r="CF133" s="1637">
        <f t="shared" si="2345"/>
        <v>0</v>
      </c>
      <c r="CG133" s="1637">
        <f t="shared" si="2217"/>
        <v>0</v>
      </c>
      <c r="CH133" s="1637">
        <f>+AF133</f>
        <v>0</v>
      </c>
      <c r="CI133" s="1637">
        <f t="shared" si="2465"/>
        <v>0</v>
      </c>
      <c r="CJ133" s="1637">
        <f t="shared" si="2465"/>
        <v>0</v>
      </c>
      <c r="CK133" s="1637">
        <f t="shared" si="2465"/>
        <v>0</v>
      </c>
      <c r="CL133" s="1637">
        <f t="shared" si="2347"/>
        <v>0</v>
      </c>
      <c r="CM133" s="1637">
        <f t="shared" si="2348"/>
        <v>0</v>
      </c>
      <c r="CN133" s="1638">
        <f t="shared" si="2349"/>
        <v>0</v>
      </c>
      <c r="CO133" s="1418"/>
      <c r="CP133" s="313" t="s">
        <v>10</v>
      </c>
      <c r="CQ133" s="358">
        <f t="shared" si="2350"/>
        <v>3166.38</v>
      </c>
      <c r="CR133" s="358">
        <f t="shared" si="2351"/>
        <v>340</v>
      </c>
      <c r="CS133" s="358">
        <f t="shared" si="2352"/>
        <v>39</v>
      </c>
      <c r="CT133" s="358">
        <f t="shared" si="2353"/>
        <v>771.80512500000009</v>
      </c>
      <c r="CU133" s="358">
        <f t="shared" si="2354"/>
        <v>0</v>
      </c>
      <c r="CV133" s="358">
        <f t="shared" si="2355"/>
        <v>0</v>
      </c>
      <c r="CW133" s="358">
        <f t="shared" si="2356"/>
        <v>0</v>
      </c>
      <c r="CX133" s="358">
        <f t="shared" si="2357"/>
        <v>498.9680553375</v>
      </c>
      <c r="CY133" s="315">
        <f t="shared" si="2358"/>
        <v>4777.1531803375001</v>
      </c>
      <c r="CZ133" s="358">
        <f t="shared" si="2359"/>
        <v>0</v>
      </c>
      <c r="DA133" s="358">
        <f t="shared" si="2360"/>
        <v>0</v>
      </c>
      <c r="DB133" s="358">
        <f t="shared" si="2361"/>
        <v>0</v>
      </c>
      <c r="DC133" s="358">
        <f t="shared" si="2362"/>
        <v>0</v>
      </c>
      <c r="DD133" s="358">
        <f t="shared" si="2363"/>
        <v>0</v>
      </c>
      <c r="DE133" s="358">
        <f t="shared" si="2364"/>
        <v>0</v>
      </c>
      <c r="DF133" s="358">
        <f t="shared" si="2365"/>
        <v>0</v>
      </c>
      <c r="DG133" s="358">
        <f t="shared" si="2366"/>
        <v>0</v>
      </c>
      <c r="DH133" s="358">
        <f t="shared" si="2367"/>
        <v>0</v>
      </c>
      <c r="DI133" s="358">
        <f t="shared" si="2227"/>
        <v>0</v>
      </c>
      <c r="DJ133" s="358">
        <f t="shared" si="2228"/>
        <v>0</v>
      </c>
      <c r="DK133" s="358">
        <f t="shared" si="2229"/>
        <v>0</v>
      </c>
      <c r="DL133" s="358">
        <f t="shared" si="2230"/>
        <v>0</v>
      </c>
      <c r="DM133" s="358">
        <f t="shared" si="2231"/>
        <v>0</v>
      </c>
      <c r="DN133" s="358">
        <f t="shared" si="2232"/>
        <v>0</v>
      </c>
      <c r="DO133" s="358">
        <f t="shared" si="2233"/>
        <v>0</v>
      </c>
      <c r="DP133" s="358">
        <f t="shared" si="2234"/>
        <v>0</v>
      </c>
      <c r="DQ133" s="358">
        <f t="shared" si="2368"/>
        <v>0</v>
      </c>
      <c r="DR133" s="1636">
        <f t="shared" si="2369"/>
        <v>0</v>
      </c>
      <c r="DS133" s="1637">
        <f t="shared" si="2370"/>
        <v>0</v>
      </c>
      <c r="DT133" s="1637">
        <f t="shared" si="2371"/>
        <v>0</v>
      </c>
      <c r="DU133" s="1637">
        <f t="shared" si="2372"/>
        <v>0</v>
      </c>
      <c r="DV133" s="1637">
        <f t="shared" si="2373"/>
        <v>0</v>
      </c>
      <c r="DW133" s="1637">
        <f t="shared" si="2374"/>
        <v>0</v>
      </c>
      <c r="DX133" s="1637">
        <f t="shared" si="2375"/>
        <v>0</v>
      </c>
      <c r="DY133" s="1637">
        <f t="shared" si="2376"/>
        <v>0</v>
      </c>
      <c r="DZ133" s="1637">
        <f t="shared" si="2377"/>
        <v>0</v>
      </c>
      <c r="EA133" s="1637">
        <f t="shared" si="2378"/>
        <v>0</v>
      </c>
      <c r="EB133" s="1637">
        <f t="shared" si="2379"/>
        <v>0</v>
      </c>
      <c r="EC133" s="1637">
        <f t="shared" si="2380"/>
        <v>0</v>
      </c>
      <c r="ED133" s="1637">
        <f t="shared" si="2381"/>
        <v>0</v>
      </c>
      <c r="EE133" s="1637">
        <f t="shared" si="2382"/>
        <v>0</v>
      </c>
      <c r="EF133" s="1637">
        <f t="shared" si="2383"/>
        <v>0</v>
      </c>
      <c r="EG133" s="1637">
        <f t="shared" si="2384"/>
        <v>0</v>
      </c>
      <c r="EH133" s="1637">
        <f t="shared" si="2385"/>
        <v>0</v>
      </c>
      <c r="EI133" s="1638">
        <f t="shared" si="2386"/>
        <v>0</v>
      </c>
      <c r="EJ133" s="1418"/>
      <c r="EK133" s="2201"/>
      <c r="EL133" s="312"/>
      <c r="EM133" s="312"/>
      <c r="EN133" s="313">
        <f>142.5+134</f>
        <v>276.5</v>
      </c>
      <c r="EO133" s="313"/>
      <c r="EP133" s="312">
        <v>50</v>
      </c>
      <c r="EQ133" s="365">
        <f>150</f>
        <v>150</v>
      </c>
      <c r="ER133" s="312"/>
      <c r="ES133" s="312"/>
      <c r="ET133" s="313">
        <f t="shared" si="2387"/>
        <v>200</v>
      </c>
      <c r="EV133" s="321">
        <f t="shared" si="2398"/>
        <v>0</v>
      </c>
      <c r="EW133" s="321">
        <f t="shared" si="2399"/>
        <v>0</v>
      </c>
      <c r="EX133" s="321">
        <f t="shared" si="2388"/>
        <v>0</v>
      </c>
      <c r="EY133" s="321">
        <f t="shared" si="2389"/>
        <v>276.5</v>
      </c>
      <c r="EZ133" s="321">
        <f t="shared" si="2390"/>
        <v>0</v>
      </c>
      <c r="FA133" s="321">
        <f t="shared" si="2391"/>
        <v>50</v>
      </c>
      <c r="FB133" s="321">
        <f>IF($H133&lt;=15,EQ133/2,EQ133)</f>
        <v>150</v>
      </c>
      <c r="FC133" s="321">
        <f t="shared" si="2393"/>
        <v>0</v>
      </c>
      <c r="FD133" s="321">
        <f t="shared" si="2394"/>
        <v>0</v>
      </c>
      <c r="FE133" s="321">
        <f t="shared" si="2395"/>
        <v>200</v>
      </c>
      <c r="FF133" s="332">
        <v>0</v>
      </c>
      <c r="FG133" s="332">
        <v>1</v>
      </c>
      <c r="FH133" s="332">
        <v>0</v>
      </c>
      <c r="FI133" s="332">
        <v>0</v>
      </c>
      <c r="FJ133" s="332">
        <v>0</v>
      </c>
      <c r="FK133" s="332">
        <v>1</v>
      </c>
      <c r="FL133" s="331">
        <f>+EP133-FA133</f>
        <v>0</v>
      </c>
    </row>
    <row r="134" spans="1:168" s="1603" customFormat="1" ht="15.75" customHeight="1" outlineLevel="1" thickBot="1">
      <c r="A134" s="1418"/>
      <c r="B134" s="1600"/>
      <c r="C134" s="1582" t="s">
        <v>110</v>
      </c>
      <c r="D134" s="1534"/>
      <c r="E134" s="1583">
        <f>SUM(E125:E133)</f>
        <v>28497.420000000006</v>
      </c>
      <c r="F134" s="1583">
        <f>SUM(F125:F133)</f>
        <v>6083.62</v>
      </c>
      <c r="G134" s="1583">
        <f>SUM(G125:G133)</f>
        <v>34581.040000000001</v>
      </c>
      <c r="H134" s="1508"/>
      <c r="I134" s="1508"/>
      <c r="J134" s="1508"/>
      <c r="K134" s="1508"/>
      <c r="L134" s="1508"/>
      <c r="M134" s="1508"/>
      <c r="N134" s="1508"/>
      <c r="O134" s="1480"/>
      <c r="P134" s="1587">
        <f t="shared" ref="P134:AA134" si="2474">SUM(P125:P133)</f>
        <v>11</v>
      </c>
      <c r="Q134" s="1587">
        <f t="shared" si="2474"/>
        <v>217.68862500000003</v>
      </c>
      <c r="R134" s="1587">
        <f t="shared" si="2474"/>
        <v>0</v>
      </c>
      <c r="S134" s="1587">
        <f t="shared" si="2474"/>
        <v>0</v>
      </c>
      <c r="T134" s="1587">
        <f t="shared" si="2474"/>
        <v>101</v>
      </c>
      <c r="U134" s="1587">
        <f t="shared" si="2474"/>
        <v>1998.7773750000001</v>
      </c>
      <c r="V134" s="1587">
        <f t="shared" si="2474"/>
        <v>0</v>
      </c>
      <c r="W134" s="1587">
        <f t="shared" si="2474"/>
        <v>0</v>
      </c>
      <c r="X134" s="1587">
        <f t="shared" si="2474"/>
        <v>0</v>
      </c>
      <c r="Y134" s="1587">
        <f t="shared" si="2474"/>
        <v>0</v>
      </c>
      <c r="Z134" s="1587">
        <f t="shared" si="2474"/>
        <v>0</v>
      </c>
      <c r="AA134" s="1587">
        <f t="shared" si="2474"/>
        <v>0</v>
      </c>
      <c r="AB134" s="1587">
        <f t="shared" ref="AB134:AT134" si="2475">SUM(AB125:AB131)</f>
        <v>0</v>
      </c>
      <c r="AC134" s="1587">
        <f t="shared" si="2475"/>
        <v>0</v>
      </c>
      <c r="AD134" s="1587">
        <f t="shared" si="2475"/>
        <v>0</v>
      </c>
      <c r="AE134" s="1587">
        <f t="shared" si="2475"/>
        <v>0</v>
      </c>
      <c r="AF134" s="1587">
        <f t="shared" si="2475"/>
        <v>0</v>
      </c>
      <c r="AG134" s="1587">
        <f t="shared" si="2475"/>
        <v>0</v>
      </c>
      <c r="AH134" s="1587">
        <f t="shared" si="2475"/>
        <v>0</v>
      </c>
      <c r="AI134" s="1587">
        <f t="shared" si="2475"/>
        <v>0</v>
      </c>
      <c r="AJ134" s="1587">
        <f t="shared" si="2475"/>
        <v>0</v>
      </c>
      <c r="AK134" s="1587">
        <f t="shared" si="2475"/>
        <v>0</v>
      </c>
      <c r="AL134" s="1587">
        <f t="shared" si="2475"/>
        <v>0</v>
      </c>
      <c r="AM134" s="1587">
        <f t="shared" si="2475"/>
        <v>0</v>
      </c>
      <c r="AN134" s="1587">
        <f t="shared" si="2475"/>
        <v>0</v>
      </c>
      <c r="AO134" s="1587">
        <f t="shared" si="2475"/>
        <v>0</v>
      </c>
      <c r="AP134" s="1587">
        <f t="shared" si="2475"/>
        <v>0</v>
      </c>
      <c r="AQ134" s="1587">
        <f t="shared" si="2475"/>
        <v>0</v>
      </c>
      <c r="AR134" s="1587">
        <f t="shared" si="2475"/>
        <v>0</v>
      </c>
      <c r="AS134" s="1587">
        <f t="shared" si="2475"/>
        <v>0</v>
      </c>
      <c r="AT134" s="1587">
        <f t="shared" si="2475"/>
        <v>0</v>
      </c>
      <c r="AU134" s="1622"/>
      <c r="AV134" s="1587">
        <f t="shared" ref="AV134:BV134" si="2476">SUM(AV125:AV133)</f>
        <v>18365.004000000001</v>
      </c>
      <c r="AW134" s="1587">
        <f t="shared" si="2476"/>
        <v>4608.62</v>
      </c>
      <c r="AX134" s="1587">
        <f t="shared" si="2476"/>
        <v>11</v>
      </c>
      <c r="AY134" s="1587">
        <f t="shared" si="2476"/>
        <v>217.68862500000003</v>
      </c>
      <c r="AZ134" s="1587">
        <f t="shared" si="2476"/>
        <v>0</v>
      </c>
      <c r="BA134" s="1587">
        <f t="shared" si="2476"/>
        <v>0</v>
      </c>
      <c r="BB134" s="1587">
        <f t="shared" si="2476"/>
        <v>0</v>
      </c>
      <c r="BC134" s="1587">
        <f t="shared" si="2476"/>
        <v>2354.4271555875002</v>
      </c>
      <c r="BD134" s="1587">
        <f t="shared" si="2476"/>
        <v>25545.739780587501</v>
      </c>
      <c r="BE134" s="1587">
        <f t="shared" si="2476"/>
        <v>10132.415999999999</v>
      </c>
      <c r="BF134" s="1587">
        <f t="shared" si="2476"/>
        <v>1115</v>
      </c>
      <c r="BG134" s="1587">
        <f t="shared" si="2476"/>
        <v>101</v>
      </c>
      <c r="BH134" s="1587">
        <f t="shared" si="2476"/>
        <v>1998.7773750000001</v>
      </c>
      <c r="BI134" s="1587">
        <f t="shared" si="2476"/>
        <v>0</v>
      </c>
      <c r="BJ134" s="1587">
        <f t="shared" si="2476"/>
        <v>0</v>
      </c>
      <c r="BK134" s="1587">
        <f t="shared" si="2476"/>
        <v>0</v>
      </c>
      <c r="BL134" s="1587">
        <f t="shared" si="2476"/>
        <v>1537.0222006125002</v>
      </c>
      <c r="BM134" s="1587">
        <f t="shared" si="2476"/>
        <v>14783.215575612499</v>
      </c>
      <c r="BN134" s="1587">
        <f t="shared" si="2476"/>
        <v>0</v>
      </c>
      <c r="BO134" s="1587">
        <f t="shared" si="2476"/>
        <v>0</v>
      </c>
      <c r="BP134" s="1587">
        <f t="shared" si="2476"/>
        <v>0</v>
      </c>
      <c r="BQ134" s="1587">
        <f t="shared" si="2476"/>
        <v>0</v>
      </c>
      <c r="BR134" s="1587">
        <f t="shared" si="2476"/>
        <v>0</v>
      </c>
      <c r="BS134" s="1587">
        <f t="shared" si="2476"/>
        <v>0</v>
      </c>
      <c r="BT134" s="1587">
        <f t="shared" si="2476"/>
        <v>0</v>
      </c>
      <c r="BU134" s="1587">
        <f t="shared" si="2476"/>
        <v>0</v>
      </c>
      <c r="BV134" s="1587">
        <f t="shared" si="2476"/>
        <v>0</v>
      </c>
      <c r="BW134" s="327">
        <f t="shared" ref="BW134:CN134" si="2477">SUM(BW125:BW131)</f>
        <v>0</v>
      </c>
      <c r="BX134" s="328">
        <f t="shared" si="2477"/>
        <v>0</v>
      </c>
      <c r="BY134" s="328">
        <f t="shared" si="2477"/>
        <v>0</v>
      </c>
      <c r="BZ134" s="328">
        <f t="shared" si="2477"/>
        <v>0</v>
      </c>
      <c r="CA134" s="328">
        <f t="shared" si="2477"/>
        <v>0</v>
      </c>
      <c r="CB134" s="328">
        <f t="shared" si="2477"/>
        <v>0</v>
      </c>
      <c r="CC134" s="328">
        <f t="shared" si="2477"/>
        <v>0</v>
      </c>
      <c r="CD134" s="328">
        <f t="shared" si="2477"/>
        <v>0</v>
      </c>
      <c r="CE134" s="328">
        <f t="shared" si="2477"/>
        <v>0</v>
      </c>
      <c r="CF134" s="328">
        <f t="shared" si="2477"/>
        <v>0</v>
      </c>
      <c r="CG134" s="328">
        <f t="shared" si="2477"/>
        <v>0</v>
      </c>
      <c r="CH134" s="328">
        <f t="shared" si="2477"/>
        <v>0</v>
      </c>
      <c r="CI134" s="328">
        <f t="shared" si="2477"/>
        <v>0</v>
      </c>
      <c r="CJ134" s="328">
        <f t="shared" si="2477"/>
        <v>0</v>
      </c>
      <c r="CK134" s="328">
        <f t="shared" si="2477"/>
        <v>0</v>
      </c>
      <c r="CL134" s="328">
        <f t="shared" si="2477"/>
        <v>0</v>
      </c>
      <c r="CM134" s="328">
        <f t="shared" si="2477"/>
        <v>0</v>
      </c>
      <c r="CN134" s="329">
        <f t="shared" si="2477"/>
        <v>0</v>
      </c>
      <c r="CO134" s="1534"/>
      <c r="CP134" s="1602"/>
      <c r="CQ134" s="1587">
        <f t="shared" ref="CQ134:DQ134" si="2478">SUM(CQ125:CQ133)</f>
        <v>18998.280000000002</v>
      </c>
      <c r="CR134" s="1587">
        <f t="shared" si="2478"/>
        <v>4223.62</v>
      </c>
      <c r="CS134" s="1587">
        <f t="shared" si="2478"/>
        <v>58</v>
      </c>
      <c r="CT134" s="1587">
        <f t="shared" si="2478"/>
        <v>1147.8127500000001</v>
      </c>
      <c r="CU134" s="1587">
        <f t="shared" si="2478"/>
        <v>0</v>
      </c>
      <c r="CV134" s="1587">
        <f t="shared" si="2478"/>
        <v>0</v>
      </c>
      <c r="CW134" s="1587">
        <f t="shared" si="2478"/>
        <v>0</v>
      </c>
      <c r="CX134" s="1587">
        <f t="shared" si="2478"/>
        <v>2552.5099514250005</v>
      </c>
      <c r="CY134" s="1587">
        <f t="shared" si="2478"/>
        <v>26922.222701424998</v>
      </c>
      <c r="CZ134" s="1587">
        <f t="shared" si="2478"/>
        <v>9499.14</v>
      </c>
      <c r="DA134" s="1587">
        <f t="shared" si="2478"/>
        <v>1500</v>
      </c>
      <c r="DB134" s="1587">
        <f t="shared" si="2478"/>
        <v>54</v>
      </c>
      <c r="DC134" s="1587">
        <f t="shared" si="2478"/>
        <v>1068.6532500000001</v>
      </c>
      <c r="DD134" s="1587">
        <f t="shared" si="2478"/>
        <v>0</v>
      </c>
      <c r="DE134" s="1587">
        <f t="shared" si="2478"/>
        <v>0</v>
      </c>
      <c r="DF134" s="1587">
        <f t="shared" si="2478"/>
        <v>0</v>
      </c>
      <c r="DG134" s="1587">
        <f t="shared" si="2478"/>
        <v>1338.9394047750002</v>
      </c>
      <c r="DH134" s="1587">
        <f t="shared" si="2478"/>
        <v>13406.732654775</v>
      </c>
      <c r="DI134" s="1587">
        <f t="shared" si="2478"/>
        <v>0</v>
      </c>
      <c r="DJ134" s="1587">
        <f t="shared" si="2478"/>
        <v>0</v>
      </c>
      <c r="DK134" s="1587">
        <f t="shared" si="2478"/>
        <v>0</v>
      </c>
      <c r="DL134" s="1587">
        <f t="shared" si="2478"/>
        <v>0</v>
      </c>
      <c r="DM134" s="1587">
        <f t="shared" si="2478"/>
        <v>0</v>
      </c>
      <c r="DN134" s="1587">
        <f t="shared" si="2478"/>
        <v>0</v>
      </c>
      <c r="DO134" s="1587">
        <f t="shared" si="2478"/>
        <v>0</v>
      </c>
      <c r="DP134" s="1587">
        <f t="shared" si="2478"/>
        <v>0</v>
      </c>
      <c r="DQ134" s="1587">
        <f t="shared" si="2478"/>
        <v>0</v>
      </c>
      <c r="DR134" s="1643">
        <f t="shared" ref="DR134:EI134" si="2479">SUM(DR125:DR131)</f>
        <v>0</v>
      </c>
      <c r="DS134" s="1644">
        <f t="shared" si="2479"/>
        <v>0</v>
      </c>
      <c r="DT134" s="1644">
        <f t="shared" si="2479"/>
        <v>0</v>
      </c>
      <c r="DU134" s="1644">
        <f t="shared" si="2479"/>
        <v>0</v>
      </c>
      <c r="DV134" s="1644">
        <f t="shared" si="2479"/>
        <v>0</v>
      </c>
      <c r="DW134" s="1644">
        <f t="shared" si="2479"/>
        <v>0</v>
      </c>
      <c r="DX134" s="1644">
        <f t="shared" si="2479"/>
        <v>0</v>
      </c>
      <c r="DY134" s="1644">
        <f t="shared" si="2479"/>
        <v>0</v>
      </c>
      <c r="DZ134" s="1644">
        <f t="shared" si="2479"/>
        <v>0</v>
      </c>
      <c r="EA134" s="1644">
        <f t="shared" si="2479"/>
        <v>0</v>
      </c>
      <c r="EB134" s="1644">
        <f t="shared" si="2479"/>
        <v>0</v>
      </c>
      <c r="EC134" s="1644">
        <f t="shared" si="2479"/>
        <v>0</v>
      </c>
      <c r="ED134" s="1644">
        <f t="shared" si="2479"/>
        <v>0</v>
      </c>
      <c r="EE134" s="1644">
        <f t="shared" si="2479"/>
        <v>0</v>
      </c>
      <c r="EF134" s="1644">
        <f t="shared" si="2479"/>
        <v>0</v>
      </c>
      <c r="EG134" s="1644">
        <f t="shared" si="2479"/>
        <v>0</v>
      </c>
      <c r="EH134" s="1644">
        <f t="shared" si="2479"/>
        <v>0</v>
      </c>
      <c r="EI134" s="1645">
        <f t="shared" si="2479"/>
        <v>0</v>
      </c>
      <c r="EJ134" s="1534"/>
      <c r="EK134" s="1587">
        <f t="shared" ref="EK134:ET134" si="2480">SUM(EK125:EK133)</f>
        <v>59.150000000000006</v>
      </c>
      <c r="EL134" s="1587">
        <f t="shared" si="2480"/>
        <v>1163.6399999999999</v>
      </c>
      <c r="EM134" s="1587">
        <f t="shared" si="2480"/>
        <v>58</v>
      </c>
      <c r="EN134" s="1587">
        <f t="shared" si="2480"/>
        <v>1585</v>
      </c>
      <c r="EO134" s="1587">
        <f t="shared" si="2480"/>
        <v>324</v>
      </c>
      <c r="EP134" s="1587">
        <f t="shared" si="2480"/>
        <v>450</v>
      </c>
      <c r="EQ134" s="1587">
        <f t="shared" si="2480"/>
        <v>1655.73</v>
      </c>
      <c r="ER134" s="1587">
        <f t="shared" si="2480"/>
        <v>0</v>
      </c>
      <c r="ES134" s="1587">
        <f t="shared" si="2480"/>
        <v>160</v>
      </c>
      <c r="ET134" s="1587">
        <f t="shared" si="2480"/>
        <v>2429.73</v>
      </c>
      <c r="EU134" s="1646"/>
      <c r="EV134" s="1647">
        <f t="shared" ref="EV134:FE134" si="2481">SUM(EV125:EV133)</f>
        <v>59.150000000000006</v>
      </c>
      <c r="EW134" s="1647">
        <f t="shared" si="2481"/>
        <v>1163.6399999999999</v>
      </c>
      <c r="EX134" s="1647">
        <f t="shared" si="2481"/>
        <v>58</v>
      </c>
      <c r="EY134" s="1647">
        <f t="shared" si="2481"/>
        <v>1585</v>
      </c>
      <c r="EZ134" s="1647">
        <f t="shared" si="2481"/>
        <v>324</v>
      </c>
      <c r="FA134" s="1647">
        <f t="shared" si="2481"/>
        <v>450</v>
      </c>
      <c r="FB134" s="1647">
        <f t="shared" si="2481"/>
        <v>1655.73</v>
      </c>
      <c r="FC134" s="1647">
        <f t="shared" si="2481"/>
        <v>0</v>
      </c>
      <c r="FD134" s="1647">
        <f t="shared" si="2481"/>
        <v>160</v>
      </c>
      <c r="FE134" s="1647">
        <f t="shared" si="2481"/>
        <v>2429.73</v>
      </c>
      <c r="FF134" s="1648"/>
      <c r="FG134" s="1648"/>
      <c r="FH134" s="1648"/>
      <c r="FI134" s="1648"/>
      <c r="FJ134" s="1648"/>
      <c r="FK134" s="1648"/>
      <c r="FL134" s="331">
        <f t="shared" si="1674"/>
        <v>0</v>
      </c>
    </row>
    <row r="135" spans="1:168" s="331" customFormat="1" ht="12" customHeight="1" outlineLevel="1" thickTop="1">
      <c r="A135" s="1418"/>
      <c r="B135" s="1633" t="s">
        <v>319</v>
      </c>
      <c r="C135" s="1418"/>
      <c r="D135" s="330"/>
      <c r="E135" s="1564"/>
      <c r="F135" s="1564"/>
      <c r="G135" s="1564"/>
      <c r="H135" s="1450"/>
      <c r="I135" s="1589"/>
      <c r="J135" s="1589"/>
      <c r="K135" s="1589"/>
      <c r="L135" s="1589"/>
      <c r="M135" s="1589"/>
      <c r="N135" s="1589"/>
      <c r="O135" s="1480"/>
      <c r="P135" s="1480"/>
      <c r="Q135" s="1480"/>
      <c r="R135" s="1480"/>
      <c r="S135" s="1480"/>
      <c r="T135" s="1480"/>
      <c r="U135" s="1480"/>
      <c r="V135" s="1480"/>
      <c r="W135" s="1480"/>
      <c r="X135" s="1480"/>
      <c r="Y135" s="1480"/>
      <c r="Z135" s="1480"/>
      <c r="AA135" s="1480"/>
      <c r="AB135" s="1480"/>
      <c r="AC135" s="1480"/>
      <c r="AD135" s="1480"/>
      <c r="AE135" s="1480"/>
      <c r="AF135" s="1480"/>
      <c r="AG135" s="1480"/>
      <c r="AH135" s="1480"/>
      <c r="AI135" s="1480"/>
      <c r="AJ135" s="1480"/>
      <c r="AK135" s="1480"/>
      <c r="AL135" s="1480"/>
      <c r="AM135" s="1480"/>
      <c r="AN135" s="1480"/>
      <c r="AO135" s="1480"/>
      <c r="AP135" s="1480"/>
      <c r="AQ135" s="1480"/>
      <c r="AR135" s="1480"/>
      <c r="AS135" s="1480"/>
      <c r="AT135" s="1480"/>
      <c r="AU135" s="1480"/>
      <c r="AV135" s="1480"/>
      <c r="AW135" s="1480"/>
      <c r="AX135" s="1480"/>
      <c r="AY135" s="1480"/>
      <c r="AZ135" s="1480"/>
      <c r="BA135" s="1480"/>
      <c r="BB135" s="1480"/>
      <c r="BC135" s="1480"/>
      <c r="BD135" s="1480"/>
      <c r="BE135" s="1480"/>
      <c r="BF135" s="1480"/>
      <c r="BG135" s="1480"/>
      <c r="BH135" s="1480"/>
      <c r="BI135" s="1480"/>
      <c r="BJ135" s="1480"/>
      <c r="BK135" s="1480"/>
      <c r="BL135" s="1480"/>
      <c r="BM135" s="1480"/>
      <c r="BN135" s="1480"/>
      <c r="BO135" s="1480"/>
      <c r="BP135" s="1480"/>
      <c r="BQ135" s="1480"/>
      <c r="BR135" s="1480"/>
      <c r="BS135" s="1480"/>
      <c r="BT135" s="1480"/>
      <c r="BU135" s="1480"/>
      <c r="BV135" s="1480"/>
      <c r="BW135" s="1480"/>
      <c r="BX135" s="1480"/>
      <c r="BY135" s="1480"/>
      <c r="BZ135" s="1480"/>
      <c r="CA135" s="1480"/>
      <c r="CB135" s="1480"/>
      <c r="CC135" s="1480"/>
      <c r="CD135" s="1480"/>
      <c r="CE135" s="1480"/>
      <c r="CF135" s="1480"/>
      <c r="CG135" s="1480"/>
      <c r="CH135" s="1480"/>
      <c r="CI135" s="1480"/>
      <c r="CJ135" s="1480"/>
      <c r="CK135" s="1480"/>
      <c r="CL135" s="1480"/>
      <c r="CM135" s="1480"/>
      <c r="CN135" s="1480"/>
      <c r="CO135" s="1480"/>
      <c r="CP135" s="1480"/>
      <c r="CQ135" s="1480"/>
      <c r="CR135" s="1480"/>
      <c r="CS135" s="1480"/>
      <c r="CT135" s="1480"/>
      <c r="CU135" s="1480"/>
      <c r="CV135" s="1480"/>
      <c r="CW135" s="1480"/>
      <c r="CX135" s="1480"/>
      <c r="CY135" s="1480"/>
      <c r="CZ135" s="1480"/>
      <c r="DA135" s="1480"/>
      <c r="DB135" s="1480"/>
      <c r="DC135" s="1480"/>
      <c r="DD135" s="1480"/>
      <c r="DE135" s="1480"/>
      <c r="DF135" s="1480"/>
      <c r="DG135" s="1480"/>
      <c r="DH135" s="1480"/>
      <c r="DI135" s="1480"/>
      <c r="DJ135" s="1480"/>
      <c r="DK135" s="1480"/>
      <c r="DL135" s="1480"/>
      <c r="DM135" s="1480"/>
      <c r="DN135" s="1480"/>
      <c r="DO135" s="1480"/>
      <c r="DP135" s="1480"/>
      <c r="DQ135" s="1480"/>
      <c r="DR135" s="1480"/>
      <c r="DS135" s="1480"/>
      <c r="DT135" s="1480"/>
      <c r="DU135" s="1480"/>
      <c r="DV135" s="1480"/>
      <c r="DW135" s="1480"/>
      <c r="DX135" s="1480"/>
      <c r="DY135" s="1480"/>
      <c r="DZ135" s="1480"/>
      <c r="EA135" s="1480"/>
      <c r="EB135" s="1480"/>
      <c r="EC135" s="1480"/>
      <c r="ED135" s="1480"/>
      <c r="EE135" s="1480"/>
      <c r="EF135" s="1480"/>
      <c r="EG135" s="1480"/>
      <c r="EH135" s="1480"/>
      <c r="EI135" s="1480"/>
      <c r="EJ135" s="1480"/>
      <c r="EK135" s="1480"/>
      <c r="EL135" s="1480"/>
      <c r="EM135" s="1480"/>
      <c r="EN135" s="1480"/>
      <c r="EO135" s="1480"/>
      <c r="EP135" s="1480"/>
      <c r="EQ135" s="1480"/>
      <c r="ER135" s="1480"/>
      <c r="ES135" s="1480"/>
      <c r="ET135" s="1480"/>
      <c r="EU135" s="1480"/>
      <c r="EV135" s="1480"/>
      <c r="EW135" s="1480"/>
      <c r="EX135" s="1480"/>
      <c r="EY135" s="1480"/>
      <c r="EZ135" s="1480"/>
      <c r="FA135" s="1480"/>
      <c r="FB135" s="1480"/>
      <c r="FC135" s="1480"/>
      <c r="FD135" s="1480"/>
      <c r="FE135" s="1480"/>
      <c r="FF135" s="1480"/>
      <c r="FG135" s="1480"/>
      <c r="FH135" s="1480"/>
      <c r="FI135" s="1480"/>
      <c r="FJ135" s="1480"/>
      <c r="FK135" s="1480"/>
      <c r="FL135" s="1441">
        <f t="shared" ref="FL135:FL202" si="2482">+EP135-FA135</f>
        <v>0</v>
      </c>
    </row>
    <row r="136" spans="1:168" s="1501" customFormat="1" ht="15" customHeight="1" outlineLevel="1">
      <c r="A136" s="1625" t="e">
        <f>A133+1</f>
        <v>#REF!</v>
      </c>
      <c r="B136" s="311" t="s">
        <v>508</v>
      </c>
      <c r="C136" s="312" t="s">
        <v>108</v>
      </c>
      <c r="D136" s="312" t="s">
        <v>10</v>
      </c>
      <c r="E136" s="1526">
        <v>3166.38</v>
      </c>
      <c r="F136" s="1526">
        <f>500</f>
        <v>500</v>
      </c>
      <c r="G136" s="1526">
        <f t="shared" ref="G136:G141" si="2483">+E136+F136</f>
        <v>3666.38</v>
      </c>
      <c r="H136" s="1971">
        <v>30</v>
      </c>
      <c r="I136" s="318">
        <v>0.7</v>
      </c>
      <c r="J136" s="318">
        <v>0.3</v>
      </c>
      <c r="K136" s="318">
        <v>0</v>
      </c>
      <c r="L136" s="1580">
        <v>0</v>
      </c>
      <c r="M136" s="318">
        <v>0</v>
      </c>
      <c r="N136" s="318">
        <f t="shared" ref="N136:N138" si="2484">SUM(I136:M136)</f>
        <v>1</v>
      </c>
      <c r="O136" s="319"/>
      <c r="P136" s="357">
        <f>9+3</f>
        <v>12</v>
      </c>
      <c r="Q136" s="358">
        <f t="shared" ref="Q136:Q138" si="2485">($E136/30/8*1.5)*P136</f>
        <v>237.47850000000003</v>
      </c>
      <c r="R136" s="404"/>
      <c r="S136" s="358">
        <f t="shared" ref="S136:S138" si="2486">($E136/30/8*2)*R136</f>
        <v>0</v>
      </c>
      <c r="T136" s="357">
        <v>8</v>
      </c>
      <c r="U136" s="358">
        <f t="shared" ref="U136:U138" si="2487">($E136/30/8*1.5)*T136</f>
        <v>158.31900000000002</v>
      </c>
      <c r="V136" s="404"/>
      <c r="W136" s="358">
        <f t="shared" ref="W136:W138" si="2488">($E136/30/8*2)*V136</f>
        <v>0</v>
      </c>
      <c r="X136" s="1579"/>
      <c r="Y136" s="315">
        <f t="shared" ref="Y136:Y138" si="2489">(($E136/30/8)*1.5)*X136</f>
        <v>0</v>
      </c>
      <c r="Z136" s="322"/>
      <c r="AA136" s="315">
        <f t="shared" ref="AA136:AA138" si="2490">(($E136/30/8)*2)*Z136</f>
        <v>0</v>
      </c>
      <c r="AB136" s="322"/>
      <c r="AC136" s="315">
        <f t="shared" ref="AC136:AC138" si="2491">(($E136/30/8)*1.5)*AB136</f>
        <v>0</v>
      </c>
      <c r="AD136" s="322"/>
      <c r="AE136" s="315">
        <f t="shared" ref="AE136:AE138" si="2492">(($E136/30/8)*2)*AD136</f>
        <v>0</v>
      </c>
      <c r="AF136" s="322"/>
      <c r="AG136" s="315">
        <f t="shared" ref="AG136:AG138" si="2493">(($E136/30/8)*1.5)*AF136</f>
        <v>0</v>
      </c>
      <c r="AH136" s="322"/>
      <c r="AI136" s="315">
        <f t="shared" ref="AI136:AI138" si="2494">(($E136/30/8)*2)*AH136</f>
        <v>0</v>
      </c>
      <c r="AJ136" s="314"/>
      <c r="AK136" s="314"/>
      <c r="AL136" s="314"/>
      <c r="AM136" s="314"/>
      <c r="AN136" s="314"/>
      <c r="AO136" s="314"/>
      <c r="AP136" s="314"/>
      <c r="AQ136" s="314"/>
      <c r="AR136" s="314"/>
      <c r="AS136" s="314"/>
      <c r="AT136" s="314"/>
      <c r="AU136" s="326"/>
      <c r="AV136" s="358">
        <f t="shared" ref="AV136:AV138" si="2495">((E136/30)*H136)*$I136</f>
        <v>2216.4659999999999</v>
      </c>
      <c r="AW136" s="1979">
        <f>((F136/30)*H136)*$I136+310+480+1680</f>
        <v>2820</v>
      </c>
      <c r="AX136" s="358">
        <f t="shared" ref="AX136:BA138" si="2496">P136</f>
        <v>12</v>
      </c>
      <c r="AY136" s="358">
        <f t="shared" si="2496"/>
        <v>237.47850000000003</v>
      </c>
      <c r="AZ136" s="358">
        <f t="shared" si="2496"/>
        <v>0</v>
      </c>
      <c r="BA136" s="358">
        <f t="shared" si="2496"/>
        <v>0</v>
      </c>
      <c r="BB136" s="358">
        <f t="shared" ref="BB136:BB138" si="2497">AJ136+AO136</f>
        <v>0</v>
      </c>
      <c r="BC136" s="358">
        <f t="shared" ref="BC136:BC138" si="2498">(AV136+AY136+BA136)*0.1267</f>
        <v>310.91476815000004</v>
      </c>
      <c r="BD136" s="358">
        <f t="shared" ref="BD136:BD138" si="2499">SUM(AV136:BC136)-AX136-AZ136</f>
        <v>5584.8592681500004</v>
      </c>
      <c r="BE136" s="358">
        <f t="shared" ref="BE136:BE141" si="2500">(($E136/30)*$H136)*$J136</f>
        <v>949.91399999999999</v>
      </c>
      <c r="BF136" s="358">
        <f t="shared" ref="BF136:BF141" si="2501">(($F136/30)*$H136)*$J136</f>
        <v>150</v>
      </c>
      <c r="BG136" s="358">
        <f t="shared" ref="BG136:BJ138" si="2502">T136</f>
        <v>8</v>
      </c>
      <c r="BH136" s="358">
        <f t="shared" si="2502"/>
        <v>158.31900000000002</v>
      </c>
      <c r="BI136" s="358">
        <f t="shared" si="2502"/>
        <v>0</v>
      </c>
      <c r="BJ136" s="358">
        <f t="shared" si="2502"/>
        <v>0</v>
      </c>
      <c r="BK136" s="358">
        <f t="shared" ref="BK136:BK138" si="2503">AK136+AP136</f>
        <v>0</v>
      </c>
      <c r="BL136" s="358">
        <f t="shared" ref="BL136:BL138" si="2504">(+BE136+BH136+BJ136+BK136)*0.1267</f>
        <v>140.41312110000001</v>
      </c>
      <c r="BM136" s="1526">
        <f t="shared" ref="BM136:BM138" si="2505">SUM(BE136:BL136)-BG136-BI136</f>
        <v>1398.6461211000001</v>
      </c>
      <c r="BN136" s="358">
        <f t="shared" ref="BN136:BN141" si="2506">(($E136/30)*$H136)*$K136</f>
        <v>0</v>
      </c>
      <c r="BO136" s="358">
        <f t="shared" ref="BO136:BO141" si="2507">(($F136/30)*$H136)*$K136</f>
        <v>0</v>
      </c>
      <c r="BP136" s="358">
        <f t="shared" ref="BP136:BR138" si="2508">X136</f>
        <v>0</v>
      </c>
      <c r="BQ136" s="358">
        <f t="shared" si="2508"/>
        <v>0</v>
      </c>
      <c r="BR136" s="358">
        <f t="shared" si="2508"/>
        <v>0</v>
      </c>
      <c r="BS136" s="358">
        <f t="shared" ref="BS136:BS138" si="2509">AA136</f>
        <v>0</v>
      </c>
      <c r="BT136" s="358">
        <f t="shared" ref="BT136:BT138" si="2510">AL136+AQ136</f>
        <v>0</v>
      </c>
      <c r="BU136" s="358">
        <f t="shared" ref="BU136:BU138" si="2511">(BN136+BQ136+BS136)*0.1267</f>
        <v>0</v>
      </c>
      <c r="BV136" s="358">
        <f t="shared" ref="BV136:BV138" si="2512">SUM(BN136:BU136)-BP136-BR136</f>
        <v>0</v>
      </c>
      <c r="BW136" s="1636">
        <f t="shared" ref="BW136:BW141" si="2513">(($E136/30)*$H136)*$L136</f>
        <v>0</v>
      </c>
      <c r="BX136" s="1637">
        <f t="shared" ref="BX136:BX141" si="2514">(($F136/30)*$H136)*$L136</f>
        <v>0</v>
      </c>
      <c r="BY136" s="1637">
        <f t="shared" ref="BY136:CB136" si="2515">AB136</f>
        <v>0</v>
      </c>
      <c r="BZ136" s="1637">
        <f t="shared" si="2515"/>
        <v>0</v>
      </c>
      <c r="CA136" s="1637">
        <f t="shared" si="2515"/>
        <v>0</v>
      </c>
      <c r="CB136" s="1637">
        <f t="shared" si="2515"/>
        <v>0</v>
      </c>
      <c r="CC136" s="1637">
        <f t="shared" ref="CC136:CC138" si="2516">AM136+AR136</f>
        <v>0</v>
      </c>
      <c r="CD136" s="1637">
        <f t="shared" ref="CD136:CD138" si="2517">(BW136+BZ136+CB136)*0.1267</f>
        <v>0</v>
      </c>
      <c r="CE136" s="1637">
        <f t="shared" ref="CE136:CE138" si="2518">SUM(BW136:CD136)-BY136-CA136</f>
        <v>0</v>
      </c>
      <c r="CF136" s="1637">
        <f t="shared" ref="CF136:CF138" si="2519">(($E136/30)*$H136)*M136</f>
        <v>0</v>
      </c>
      <c r="CG136" s="1637">
        <f t="shared" ref="CG136:CG141" si="2520">(($F136/30)*$H136)*$M136</f>
        <v>0</v>
      </c>
      <c r="CH136" s="1637">
        <f t="shared" ref="CH136:CH138" si="2521">+AF136</f>
        <v>0</v>
      </c>
      <c r="CI136" s="1637">
        <f t="shared" ref="CI136:CK136" si="2522">AG136</f>
        <v>0</v>
      </c>
      <c r="CJ136" s="1637">
        <f t="shared" si="2522"/>
        <v>0</v>
      </c>
      <c r="CK136" s="1637">
        <f t="shared" si="2522"/>
        <v>0</v>
      </c>
      <c r="CL136" s="1637">
        <f t="shared" ref="CL136:CL138" si="2523">AN136+AS136</f>
        <v>0</v>
      </c>
      <c r="CM136" s="1637">
        <f t="shared" ref="CM136:CM138" si="2524">(CF136+CI136+CK136)*0.1267</f>
        <v>0</v>
      </c>
      <c r="CN136" s="1638">
        <f t="shared" ref="CN136:CN138" si="2525">SUM(CF136:CM136)-CH136-CJ136</f>
        <v>0</v>
      </c>
      <c r="CO136" s="1418"/>
      <c r="CP136" s="313" t="s">
        <v>10</v>
      </c>
      <c r="CQ136" s="358">
        <f t="shared" ref="CQ136:CQ141" si="2526">IF($CP136="PROQUIMA",$AV136+$BE136+$BN136+$BW136+$CF136,0)</f>
        <v>3166.38</v>
      </c>
      <c r="CR136" s="358">
        <f>IF($CP136="PROQUIMA",$AW136+$BF136+$BO136+$BX136+$CG136,0)</f>
        <v>2970</v>
      </c>
      <c r="CS136" s="358">
        <f t="shared" ref="CS136:CS141" si="2527">IF($CP136="PROQUIMA",$AX136+$BG136+$BP136+$BY136+$CH136,0)</f>
        <v>20</v>
      </c>
      <c r="CT136" s="358">
        <f t="shared" ref="CT136:CT141" si="2528">IF($CP136="PROQUIMA",$AY136+$BH136+$BQ136+$BZ136+$CI136,0)</f>
        <v>395.79750000000001</v>
      </c>
      <c r="CU136" s="358">
        <f t="shared" ref="CU136:CU141" si="2529">IF($CP136="PROQUIMA",$AZ136+$BI136+$BR136+$CA136+$CJ136,0)</f>
        <v>0</v>
      </c>
      <c r="CV136" s="358">
        <f t="shared" ref="CV136:CV141" si="2530">IF($CP136="PROQUIMA",$BA136+$BJ136+$BS136+$CB136+$CK136,0)</f>
        <v>0</v>
      </c>
      <c r="CW136" s="358">
        <f t="shared" ref="CW136:CW141" si="2531">IF($CP136="PROQUIMA",$BB136+$BK136+$BT136+$CC136+$CL136,0)</f>
        <v>0</v>
      </c>
      <c r="CX136" s="358">
        <f t="shared" ref="CX136:CX138" si="2532">IF($CP136="PROQUIMA",$BC136+$BL136+$BU136+$CD136+CM136,0)</f>
        <v>451.32788925000006</v>
      </c>
      <c r="CY136" s="315">
        <f t="shared" ref="CY136:CY138" si="2533">SUM(CQ136:CX136)-CS136-CU136</f>
        <v>6983.50538925</v>
      </c>
      <c r="CZ136" s="358">
        <f t="shared" ref="CZ136:CZ141" si="2534">IF($CP136="UNHESA",$AV136+$BE136+$BN136+$BW136+$CF136,0)</f>
        <v>0</v>
      </c>
      <c r="DA136" s="358">
        <f t="shared" ref="DA136:DA141" si="2535">IF($CP136="UNHESA",$AW136+$BF136+$BO136+$BX136+$CG136,0)</f>
        <v>0</v>
      </c>
      <c r="DB136" s="358">
        <f t="shared" ref="DB136:DB141" si="2536">IF($CP136="UNHESA",$AX136+$BG136+$BP136+$BY136+$CH136,0)</f>
        <v>0</v>
      </c>
      <c r="DC136" s="358">
        <f t="shared" ref="DC136:DC141" si="2537">IF($CP136="UNHESA",$AY136+$BH136+$BQ136+$BZ136+$CI136,0)</f>
        <v>0</v>
      </c>
      <c r="DD136" s="358">
        <f t="shared" ref="DD136:DD141" si="2538">IF($CP136="UNHESA",$AZ136+$BI136+$BR136+$CA136+$CJ136,0)</f>
        <v>0</v>
      </c>
      <c r="DE136" s="358">
        <f t="shared" ref="DE136:DE141" si="2539">IF($CP136="UNHESA",$BA136+$BJ136+$BS136+$CB136+$CK136,0)</f>
        <v>0</v>
      </c>
      <c r="DF136" s="358">
        <f t="shared" ref="DF136:DF141" si="2540">IF($CP136="UNHESA",$BB136+$BK136+$BT136+$CC136+$CL136,0)</f>
        <v>0</v>
      </c>
      <c r="DG136" s="358">
        <f t="shared" ref="DG136:DG141" si="2541">IF($CP136="UNHESA",$BC136+$BL136+$BU136+$CD136+$CM136,0)</f>
        <v>0</v>
      </c>
      <c r="DH136" s="358">
        <f t="shared" ref="DH136:DH138" si="2542">SUM(CZ136:DG136)-DB136-DD136</f>
        <v>0</v>
      </c>
      <c r="DI136" s="358">
        <f t="shared" ref="DI136:DI141" si="2543">IF($CP136="UNHESA LIQUIDOS",$AV136+$BE136+$BN136+$BW136+$CF136,0)</f>
        <v>0</v>
      </c>
      <c r="DJ136" s="358">
        <f t="shared" ref="DJ136:DJ141" si="2544">IF($CP136="UNHESA LIQUIDOS",$AW136+$BF136+$BO136+$BX136+$CG136,0)</f>
        <v>0</v>
      </c>
      <c r="DK136" s="358">
        <f t="shared" ref="DK136:DK141" si="2545">IF($CP136="UNHESA LIQUIDOS",$AX136+$BG136+$BP136+$BY136+$CH136,0)</f>
        <v>0</v>
      </c>
      <c r="DL136" s="358">
        <f t="shared" ref="DL136:DL141" si="2546">IF($CP136="UNHESA LIQUIDOS",$AY136+$BH136+$BQ136+$BZ136+$CI136,0)</f>
        <v>0</v>
      </c>
      <c r="DM136" s="358">
        <f t="shared" ref="DM136:DM141" si="2547">IF($CP136="UNHESA LIQUIDOS",$AZ136+$BI136+$BR136+$CA136+$CJ136,0)</f>
        <v>0</v>
      </c>
      <c r="DN136" s="358">
        <f t="shared" ref="DN136:DN141" si="2548">IF($CP136="UNHESA LIQUIDOS",$BA136+$BJ136+$BS136+$CB136+$CK136,0)</f>
        <v>0</v>
      </c>
      <c r="DO136" s="358">
        <f t="shared" ref="DO136:DO141" si="2549">IF($CP136="UNHESA LIQUIDOS",$BB136+$BK136+$BT136+$CC136+$CL136,0)</f>
        <v>0</v>
      </c>
      <c r="DP136" s="358">
        <f t="shared" ref="DP136:DP141" si="2550">IF($CP136="UNHESA LIQUIDOS",$BC136+$BL136+$BU136+$CD136+$CM136,0)</f>
        <v>0</v>
      </c>
      <c r="DQ136" s="358">
        <f t="shared" ref="DQ136:DQ138" si="2551">SUM(DI136:DP136)-DK136-DM136</f>
        <v>0</v>
      </c>
      <c r="DR136" s="1636">
        <f t="shared" ref="DR136:DR141" si="2552">IF($CP136="ECONACIONAL",$AV136+$BE136+$BN136+$BW136+$CF136,0)</f>
        <v>0</v>
      </c>
      <c r="DS136" s="1637">
        <f t="shared" ref="DS136:DS141" si="2553">IF($CP136="ECONACIONAL",$AW136+$BF136+$BO136+$BX136+$CG136,0)</f>
        <v>0</v>
      </c>
      <c r="DT136" s="1637">
        <f t="shared" ref="DT136:DT141" si="2554">IF($CP136="ECONACIONAL",$AX136+$BG136+$BP136+$BY136+$CH136,0)</f>
        <v>0</v>
      </c>
      <c r="DU136" s="1637">
        <f t="shared" ref="DU136:DU141" si="2555">IF($CP136="ECONACIONAL",$AY136+$BH136+$BQ136+$BZ136+$CI136,0)</f>
        <v>0</v>
      </c>
      <c r="DV136" s="1637">
        <f t="shared" ref="DV136:DV141" si="2556">IF($CP136="ECONACIONAL",$AZ136+$BI136+$BR136+$CA136+$CJ136,0)</f>
        <v>0</v>
      </c>
      <c r="DW136" s="1637">
        <f t="shared" ref="DW136:DW141" si="2557">IF($CP136="ECONACIONAL",$BA136+$BJ136+$BS136+$CB136+$CK136,0)</f>
        <v>0</v>
      </c>
      <c r="DX136" s="1637">
        <f t="shared" ref="DX136:DX141" si="2558">IF($CP136="ECONACIONAL",$BB136+$BK136+$BT136+$CC136+$CL136,0)</f>
        <v>0</v>
      </c>
      <c r="DY136" s="1637">
        <f t="shared" ref="DY136:DY141" si="2559">IF($CP136="ECONACIONAL",$BC136+$BL136+$BU136+$CD136+$CM136,0)</f>
        <v>0</v>
      </c>
      <c r="DZ136" s="1637">
        <f t="shared" ref="DZ136:DZ138" si="2560">SUM(DR136:DY136)-DT136-DV136</f>
        <v>0</v>
      </c>
      <c r="EA136" s="1637">
        <f t="shared" ref="EA136:EA141" si="2561">IF($CP136="CLEARTEC",$AV136+$BE136+$BN136+$BW136+$CF136,0)</f>
        <v>0</v>
      </c>
      <c r="EB136" s="1637">
        <f t="shared" ref="EB136:EB141" si="2562">IF($CP136="CLEARTEC",$AW136+$BF136+$BO136+$BX136+$CG136,0)</f>
        <v>0</v>
      </c>
      <c r="EC136" s="1637">
        <f t="shared" ref="EC136:EC141" si="2563">IF($CP136="CLEARTEC",$AX136+$BG136+$BP136+$BY136+$CH136,0)</f>
        <v>0</v>
      </c>
      <c r="ED136" s="1637">
        <f t="shared" ref="ED136:ED141" si="2564">IF($CP136="CLEARTEC",$AY136+$BH136+$BQ136+$BZ136+$CI136,0)</f>
        <v>0</v>
      </c>
      <c r="EE136" s="1637">
        <f t="shared" ref="EE136:EE141" si="2565">IF($CP136="CLEARTEC",$AZ136+$BI136+$BR136+$CA136+$CJ136,0)</f>
        <v>0</v>
      </c>
      <c r="EF136" s="1637">
        <f t="shared" ref="EF136:EF141" si="2566">IF($CP136="CLEARTEC",$BA136+$BJ136+$BS136+$CB136+$CK136,0)</f>
        <v>0</v>
      </c>
      <c r="EG136" s="1637">
        <f t="shared" ref="EG136:EG141" si="2567">IF($CP136="CLEARTEC",$BB136+$BK136+$BT136+$CC136+$CL136,0)</f>
        <v>0</v>
      </c>
      <c r="EH136" s="1637">
        <f t="shared" ref="EH136:EH141" si="2568">IF($CP136="CLEARTEC",$BC136+$BL136+$BU136+$CD136+$CM136,0)</f>
        <v>0</v>
      </c>
      <c r="EI136" s="1638">
        <f t="shared" ref="EI136:EI138" si="2569">SUM(EA136:EH136)-EC136-EE136</f>
        <v>0</v>
      </c>
      <c r="EJ136" s="1418"/>
      <c r="EK136" s="1425">
        <v>143.16999999999999</v>
      </c>
      <c r="EL136" s="1425"/>
      <c r="EM136" s="1425"/>
      <c r="EN136" s="313"/>
      <c r="EO136" s="312"/>
      <c r="EP136" s="1968"/>
      <c r="EQ136" s="1968"/>
      <c r="ER136" s="1425"/>
      <c r="ES136" s="1425"/>
      <c r="ET136" s="313">
        <f t="shared" ref="ET136:ET138" si="2570">+EO136+EP136+EQ136</f>
        <v>0</v>
      </c>
      <c r="EV136" s="321">
        <f t="shared" ref="EV136:FE136" si="2571">IF($H136&lt;=15,EK136/2,EK136)</f>
        <v>143.16999999999999</v>
      </c>
      <c r="EW136" s="321">
        <f t="shared" si="2571"/>
        <v>0</v>
      </c>
      <c r="EX136" s="321">
        <f t="shared" si="2571"/>
        <v>0</v>
      </c>
      <c r="EY136" s="321">
        <f t="shared" si="2571"/>
        <v>0</v>
      </c>
      <c r="EZ136" s="321">
        <f t="shared" si="2571"/>
        <v>0</v>
      </c>
      <c r="FA136" s="321">
        <f t="shared" si="2571"/>
        <v>0</v>
      </c>
      <c r="FB136" s="321">
        <f t="shared" si="2571"/>
        <v>0</v>
      </c>
      <c r="FC136" s="321">
        <f t="shared" si="2571"/>
        <v>0</v>
      </c>
      <c r="FD136" s="321">
        <f t="shared" si="2571"/>
        <v>0</v>
      </c>
      <c r="FE136" s="321">
        <f t="shared" si="2571"/>
        <v>0</v>
      </c>
      <c r="FF136" s="332">
        <v>0.4</v>
      </c>
      <c r="FG136" s="332">
        <v>0.4</v>
      </c>
      <c r="FH136" s="332">
        <v>0.2</v>
      </c>
      <c r="FI136" s="332">
        <v>0</v>
      </c>
      <c r="FJ136" s="332">
        <v>0</v>
      </c>
      <c r="FK136" s="332">
        <f>FJ136+FI136+FH136+FG136+FF136</f>
        <v>1</v>
      </c>
      <c r="FL136" s="331">
        <f t="shared" si="2482"/>
        <v>0</v>
      </c>
    </row>
    <row r="137" spans="1:168" s="1501" customFormat="1" ht="15" customHeight="1" outlineLevel="1">
      <c r="A137" s="1625" t="e">
        <f>+A136+1</f>
        <v>#REF!</v>
      </c>
      <c r="B137" s="311" t="s">
        <v>726</v>
      </c>
      <c r="C137" s="312" t="s">
        <v>662</v>
      </c>
      <c r="D137" s="312" t="s">
        <v>10</v>
      </c>
      <c r="E137" s="1526">
        <v>3166.38</v>
      </c>
      <c r="F137" s="1526">
        <v>1000</v>
      </c>
      <c r="G137" s="1526">
        <f t="shared" si="2483"/>
        <v>4166.38</v>
      </c>
      <c r="H137" s="1971">
        <v>30</v>
      </c>
      <c r="I137" s="318">
        <v>0.6</v>
      </c>
      <c r="J137" s="318">
        <v>0.4</v>
      </c>
      <c r="K137" s="318">
        <v>0</v>
      </c>
      <c r="L137" s="1580">
        <v>0</v>
      </c>
      <c r="M137" s="318">
        <v>0</v>
      </c>
      <c r="N137" s="318">
        <f t="shared" ref="N137" si="2572">SUM(I137:M137)</f>
        <v>1</v>
      </c>
      <c r="O137" s="319"/>
      <c r="P137" s="357">
        <v>13</v>
      </c>
      <c r="Q137" s="358">
        <f>($E137/30/8*1.5)*P137</f>
        <v>257.26837500000005</v>
      </c>
      <c r="R137" s="404"/>
      <c r="S137" s="358">
        <f>($E137/30/8*2)*R137</f>
        <v>0</v>
      </c>
      <c r="T137" s="357">
        <v>11</v>
      </c>
      <c r="U137" s="358">
        <f>($E137/30/8*1.5)*T137</f>
        <v>217.68862500000003</v>
      </c>
      <c r="V137" s="404"/>
      <c r="W137" s="358">
        <f>($E137/30/8*2)*V137</f>
        <v>0</v>
      </c>
      <c r="X137" s="1579"/>
      <c r="Y137" s="315">
        <f t="shared" ref="Y137" si="2573">(($E137/30/8)*1.5)*X137</f>
        <v>0</v>
      </c>
      <c r="Z137" s="322"/>
      <c r="AA137" s="315">
        <f t="shared" ref="AA137" si="2574">(($E137/30/8)*2)*Z137</f>
        <v>0</v>
      </c>
      <c r="AB137" s="322"/>
      <c r="AC137" s="315">
        <f t="shared" ref="AC137" si="2575">(($E137/30/8)*1.5)*AB137</f>
        <v>0</v>
      </c>
      <c r="AD137" s="322"/>
      <c r="AE137" s="315">
        <f t="shared" ref="AE137" si="2576">(($E137/30/8)*2)*AD137</f>
        <v>0</v>
      </c>
      <c r="AF137" s="322"/>
      <c r="AG137" s="315">
        <f t="shared" ref="AG137" si="2577">(($E137/30/8)*1.5)*AF137</f>
        <v>0</v>
      </c>
      <c r="AH137" s="322"/>
      <c r="AI137" s="315">
        <f t="shared" ref="AI137" si="2578">(($E137/30/8)*2)*AH137</f>
        <v>0</v>
      </c>
      <c r="AJ137" s="314"/>
      <c r="AK137" s="314"/>
      <c r="AL137" s="314"/>
      <c r="AM137" s="314"/>
      <c r="AN137" s="314"/>
      <c r="AO137" s="314"/>
      <c r="AP137" s="314"/>
      <c r="AQ137" s="314"/>
      <c r="AR137" s="314"/>
      <c r="AS137" s="314"/>
      <c r="AT137" s="314"/>
      <c r="AU137" s="326"/>
      <c r="AV137" s="358">
        <f t="shared" ref="AV137" si="2579">((E137/30)*H137)*$I137</f>
        <v>1899.828</v>
      </c>
      <c r="AW137" s="1979">
        <f t="shared" ref="AW137" si="2580">((F137/30)*H137)*$I137</f>
        <v>600</v>
      </c>
      <c r="AX137" s="358">
        <f t="shared" ref="AX137" si="2581">P137</f>
        <v>13</v>
      </c>
      <c r="AY137" s="358">
        <f t="shared" ref="AY137" si="2582">Q137</f>
        <v>257.26837500000005</v>
      </c>
      <c r="AZ137" s="358">
        <f t="shared" ref="AZ137" si="2583">R137</f>
        <v>0</v>
      </c>
      <c r="BA137" s="358">
        <f t="shared" ref="BA137" si="2584">S137</f>
        <v>0</v>
      </c>
      <c r="BB137" s="358">
        <f t="shared" ref="BB137" si="2585">AJ137+AO137</f>
        <v>0</v>
      </c>
      <c r="BC137" s="358">
        <f t="shared" ref="BC137" si="2586">(AV137+AY137+BA137)*0.1267</f>
        <v>273.30411071250001</v>
      </c>
      <c r="BD137" s="358">
        <f t="shared" ref="BD137" si="2587">SUM(AV137:BC137)-AX137-AZ137</f>
        <v>3030.4004857125001</v>
      </c>
      <c r="BE137" s="358">
        <f t="shared" si="2500"/>
        <v>1266.5520000000001</v>
      </c>
      <c r="BF137" s="358">
        <f t="shared" si="2501"/>
        <v>400.00000000000006</v>
      </c>
      <c r="BG137" s="358">
        <f t="shared" ref="BG137" si="2588">T137</f>
        <v>11</v>
      </c>
      <c r="BH137" s="358">
        <f t="shared" ref="BH137" si="2589">U137</f>
        <v>217.68862500000003</v>
      </c>
      <c r="BI137" s="358">
        <f t="shared" ref="BI137" si="2590">V137</f>
        <v>0</v>
      </c>
      <c r="BJ137" s="358">
        <f t="shared" ref="BJ137" si="2591">W137</f>
        <v>0</v>
      </c>
      <c r="BK137" s="358">
        <f t="shared" ref="BK137" si="2592">AK137+AP137</f>
        <v>0</v>
      </c>
      <c r="BL137" s="358">
        <f t="shared" ref="BL137" si="2593">(+BE137+BH137+BJ137+BK137)*0.1267</f>
        <v>188.05328718750002</v>
      </c>
      <c r="BM137" s="1526">
        <f t="shared" ref="BM137" si="2594">SUM(BE137:BL137)-BG137-BI137</f>
        <v>2072.2939121875002</v>
      </c>
      <c r="BN137" s="358">
        <f t="shared" si="2506"/>
        <v>0</v>
      </c>
      <c r="BO137" s="358">
        <f t="shared" si="2507"/>
        <v>0</v>
      </c>
      <c r="BP137" s="358">
        <f t="shared" ref="BP137" si="2595">X137</f>
        <v>0</v>
      </c>
      <c r="BQ137" s="358">
        <f t="shared" ref="BQ137" si="2596">Y137</f>
        <v>0</v>
      </c>
      <c r="BR137" s="358">
        <f t="shared" ref="BR137" si="2597">Z137</f>
        <v>0</v>
      </c>
      <c r="BS137" s="358">
        <f t="shared" ref="BS137" si="2598">AA137</f>
        <v>0</v>
      </c>
      <c r="BT137" s="358">
        <f t="shared" ref="BT137" si="2599">AL137+AQ137</f>
        <v>0</v>
      </c>
      <c r="BU137" s="358">
        <f t="shared" ref="BU137" si="2600">(BN137+BQ137+BS137)*0.1267</f>
        <v>0</v>
      </c>
      <c r="BV137" s="358">
        <f t="shared" ref="BV137" si="2601">SUM(BN137:BU137)-BP137-BR137</f>
        <v>0</v>
      </c>
      <c r="BW137" s="1636">
        <f t="shared" si="2513"/>
        <v>0</v>
      </c>
      <c r="BX137" s="1637">
        <f t="shared" si="2514"/>
        <v>0</v>
      </c>
      <c r="BY137" s="1637">
        <f t="shared" ref="BY137" si="2602">AB137</f>
        <v>0</v>
      </c>
      <c r="BZ137" s="1637">
        <f t="shared" ref="BZ137" si="2603">AC137</f>
        <v>0</v>
      </c>
      <c r="CA137" s="1637">
        <f t="shared" ref="CA137" si="2604">AD137</f>
        <v>0</v>
      </c>
      <c r="CB137" s="1637">
        <f t="shared" ref="CB137" si="2605">AE137</f>
        <v>0</v>
      </c>
      <c r="CC137" s="1637">
        <f t="shared" ref="CC137" si="2606">AM137+AR137</f>
        <v>0</v>
      </c>
      <c r="CD137" s="1637">
        <f t="shared" ref="CD137" si="2607">(BW137+BZ137+CB137)*0.1267</f>
        <v>0</v>
      </c>
      <c r="CE137" s="1637">
        <f t="shared" ref="CE137" si="2608">SUM(BW137:CD137)-BY137-CA137</f>
        <v>0</v>
      </c>
      <c r="CF137" s="1637">
        <f t="shared" ref="CF137" si="2609">(($E137/30)*$H137)*M137</f>
        <v>0</v>
      </c>
      <c r="CG137" s="1637">
        <f t="shared" si="2520"/>
        <v>0</v>
      </c>
      <c r="CH137" s="1637">
        <f t="shared" ref="CH137" si="2610">+AF137</f>
        <v>0</v>
      </c>
      <c r="CI137" s="1637">
        <f t="shared" ref="CI137" si="2611">AG137</f>
        <v>0</v>
      </c>
      <c r="CJ137" s="1637">
        <f t="shared" ref="CJ137" si="2612">AH137</f>
        <v>0</v>
      </c>
      <c r="CK137" s="1637">
        <f t="shared" ref="CK137" si="2613">AI137</f>
        <v>0</v>
      </c>
      <c r="CL137" s="1637">
        <f t="shared" ref="CL137" si="2614">AN137+AS137</f>
        <v>0</v>
      </c>
      <c r="CM137" s="1637">
        <f t="shared" ref="CM137" si="2615">(CF137+CI137+CK137)*0.1267</f>
        <v>0</v>
      </c>
      <c r="CN137" s="1638">
        <f t="shared" ref="CN137" si="2616">SUM(CF137:CM137)-CH137-CJ137</f>
        <v>0</v>
      </c>
      <c r="CO137" s="1418"/>
      <c r="CP137" s="313" t="s">
        <v>10</v>
      </c>
      <c r="CQ137" s="358">
        <f t="shared" si="2526"/>
        <v>3166.38</v>
      </c>
      <c r="CR137" s="358">
        <f>IF($CP137="PROQUIMA",$AW137+$BF137+$BO137+$BX137+$CG137,0)</f>
        <v>1000</v>
      </c>
      <c r="CS137" s="358">
        <f t="shared" si="2527"/>
        <v>24</v>
      </c>
      <c r="CT137" s="358">
        <f t="shared" si="2528"/>
        <v>474.95700000000011</v>
      </c>
      <c r="CU137" s="358">
        <f t="shared" si="2529"/>
        <v>0</v>
      </c>
      <c r="CV137" s="358">
        <f t="shared" si="2530"/>
        <v>0</v>
      </c>
      <c r="CW137" s="358">
        <f t="shared" si="2531"/>
        <v>0</v>
      </c>
      <c r="CX137" s="358">
        <f t="shared" ref="CX137" si="2617">IF($CP137="PROQUIMA",$BC137+$BL137+$BU137+$CD137+CM137,0)</f>
        <v>461.35739790000002</v>
      </c>
      <c r="CY137" s="315">
        <f t="shared" ref="CY137" si="2618">SUM(CQ137:CX137)-CS137-CU137</f>
        <v>5102.6943979000007</v>
      </c>
      <c r="CZ137" s="358">
        <f t="shared" si="2534"/>
        <v>0</v>
      </c>
      <c r="DA137" s="358">
        <f t="shared" si="2535"/>
        <v>0</v>
      </c>
      <c r="DB137" s="358">
        <f t="shared" si="2536"/>
        <v>0</v>
      </c>
      <c r="DC137" s="358">
        <f t="shared" si="2537"/>
        <v>0</v>
      </c>
      <c r="DD137" s="358">
        <f t="shared" si="2538"/>
        <v>0</v>
      </c>
      <c r="DE137" s="358">
        <f t="shared" si="2539"/>
        <v>0</v>
      </c>
      <c r="DF137" s="358">
        <f t="shared" si="2540"/>
        <v>0</v>
      </c>
      <c r="DG137" s="358">
        <f t="shared" si="2541"/>
        <v>0</v>
      </c>
      <c r="DH137" s="358">
        <f t="shared" ref="DH137" si="2619">SUM(CZ137:DG137)-DB137-DD137</f>
        <v>0</v>
      </c>
      <c r="DI137" s="358">
        <f t="shared" si="2543"/>
        <v>0</v>
      </c>
      <c r="DJ137" s="358">
        <f t="shared" si="2544"/>
        <v>0</v>
      </c>
      <c r="DK137" s="358">
        <f t="shared" si="2545"/>
        <v>0</v>
      </c>
      <c r="DL137" s="358">
        <f t="shared" si="2546"/>
        <v>0</v>
      </c>
      <c r="DM137" s="358">
        <f t="shared" si="2547"/>
        <v>0</v>
      </c>
      <c r="DN137" s="358">
        <f t="shared" si="2548"/>
        <v>0</v>
      </c>
      <c r="DO137" s="358">
        <f t="shared" si="2549"/>
        <v>0</v>
      </c>
      <c r="DP137" s="358">
        <f t="shared" si="2550"/>
        <v>0</v>
      </c>
      <c r="DQ137" s="358">
        <f t="shared" ref="DQ137" si="2620">SUM(DI137:DP137)-DK137-DM137</f>
        <v>0</v>
      </c>
      <c r="DR137" s="1636">
        <f t="shared" si="2552"/>
        <v>0</v>
      </c>
      <c r="DS137" s="1637">
        <f t="shared" si="2553"/>
        <v>0</v>
      </c>
      <c r="DT137" s="1637">
        <f t="shared" si="2554"/>
        <v>0</v>
      </c>
      <c r="DU137" s="1637">
        <f t="shared" si="2555"/>
        <v>0</v>
      </c>
      <c r="DV137" s="1637">
        <f t="shared" si="2556"/>
        <v>0</v>
      </c>
      <c r="DW137" s="1637">
        <f t="shared" si="2557"/>
        <v>0</v>
      </c>
      <c r="DX137" s="1637">
        <f t="shared" si="2558"/>
        <v>0</v>
      </c>
      <c r="DY137" s="1637">
        <f t="shared" si="2559"/>
        <v>0</v>
      </c>
      <c r="DZ137" s="1637">
        <f t="shared" ref="DZ137" si="2621">SUM(DR137:DY137)-DT137-DV137</f>
        <v>0</v>
      </c>
      <c r="EA137" s="1637">
        <f t="shared" si="2561"/>
        <v>0</v>
      </c>
      <c r="EB137" s="1637">
        <f t="shared" si="2562"/>
        <v>0</v>
      </c>
      <c r="EC137" s="1637">
        <f t="shared" si="2563"/>
        <v>0</v>
      </c>
      <c r="ED137" s="1637">
        <f t="shared" si="2564"/>
        <v>0</v>
      </c>
      <c r="EE137" s="1637">
        <f t="shared" si="2565"/>
        <v>0</v>
      </c>
      <c r="EF137" s="1637">
        <f t="shared" si="2566"/>
        <v>0</v>
      </c>
      <c r="EG137" s="1637">
        <f t="shared" si="2567"/>
        <v>0</v>
      </c>
      <c r="EH137" s="1637">
        <f t="shared" si="2568"/>
        <v>0</v>
      </c>
      <c r="EI137" s="1638">
        <f t="shared" ref="EI137" si="2622">SUM(EA137:EH137)-EC137-EE137</f>
        <v>0</v>
      </c>
      <c r="EJ137" s="1418"/>
      <c r="EK137" s="1596">
        <v>0.67</v>
      </c>
      <c r="EL137" s="1425"/>
      <c r="EM137" s="1425"/>
      <c r="EN137" s="313">
        <f>105+98</f>
        <v>203</v>
      </c>
      <c r="EO137" s="312"/>
      <c r="EP137" s="312">
        <v>50</v>
      </c>
      <c r="EQ137" s="1968"/>
      <c r="ER137" s="1425"/>
      <c r="ES137" s="1968"/>
      <c r="ET137" s="313">
        <f>+EO137+EP137+EQ137</f>
        <v>50</v>
      </c>
      <c r="EV137" s="321">
        <f t="shared" ref="EV137" si="2623">IF($H137&lt;=15,EK137/2,EK137)</f>
        <v>0.67</v>
      </c>
      <c r="EW137" s="321">
        <f t="shared" ref="EW137" si="2624">IF($H137&lt;=15,EL137/2,EL137)</f>
        <v>0</v>
      </c>
      <c r="EX137" s="321">
        <f t="shared" ref="EX137" si="2625">IF($H137&lt;=15,EM137/2,EM137)</f>
        <v>0</v>
      </c>
      <c r="EY137" s="321">
        <f t="shared" ref="EY137" si="2626">IF($H137&lt;=15,EN137/2,EN137)</f>
        <v>203</v>
      </c>
      <c r="EZ137" s="321">
        <f t="shared" ref="EZ137" si="2627">IF($H137&lt;=15,EO137/2,EO137)</f>
        <v>0</v>
      </c>
      <c r="FA137" s="321">
        <f t="shared" ref="FA137" si="2628">IF($H137&lt;=15,EP137/2,EP137)</f>
        <v>50</v>
      </c>
      <c r="FB137" s="321">
        <f t="shared" ref="FB137" si="2629">IF($H137&lt;=15,EQ137/2,EQ137)</f>
        <v>0</v>
      </c>
      <c r="FC137" s="321">
        <f t="shared" ref="FC137" si="2630">IF($H137&lt;=15,ER137/2,ER137)</f>
        <v>0</v>
      </c>
      <c r="FD137" s="321">
        <f t="shared" ref="FD137" si="2631">IF($H137&lt;=15,ES137/2,ES137)</f>
        <v>0</v>
      </c>
      <c r="FE137" s="321">
        <f t="shared" ref="FE137:FE141" si="2632">IF($H137&lt;=15,ET137/2,ET137)</f>
        <v>50</v>
      </c>
      <c r="FF137" s="332"/>
      <c r="FG137" s="332"/>
      <c r="FH137" s="332"/>
      <c r="FI137" s="332"/>
      <c r="FJ137" s="332"/>
      <c r="FK137" s="332"/>
      <c r="FL137" s="331"/>
    </row>
    <row r="138" spans="1:168" s="354" customFormat="1" ht="15" customHeight="1" outlineLevel="1">
      <c r="A138" s="1625" t="e">
        <f t="shared" ref="A138:A141" si="2633">+A137+1</f>
        <v>#REF!</v>
      </c>
      <c r="B138" s="311" t="s">
        <v>614</v>
      </c>
      <c r="C138" s="312" t="s">
        <v>112</v>
      </c>
      <c r="D138" s="312" t="s">
        <v>11</v>
      </c>
      <c r="E138" s="1526">
        <v>3166.38</v>
      </c>
      <c r="F138" s="1526">
        <f>250+150</f>
        <v>400</v>
      </c>
      <c r="G138" s="1526">
        <f t="shared" si="2483"/>
        <v>3566.38</v>
      </c>
      <c r="H138" s="1971">
        <v>30</v>
      </c>
      <c r="I138" s="318">
        <v>0.3</v>
      </c>
      <c r="J138" s="318">
        <v>0.7</v>
      </c>
      <c r="K138" s="318">
        <v>0</v>
      </c>
      <c r="L138" s="1580">
        <v>0</v>
      </c>
      <c r="M138" s="318">
        <v>0</v>
      </c>
      <c r="N138" s="318">
        <f t="shared" si="2484"/>
        <v>1</v>
      </c>
      <c r="O138" s="1122"/>
      <c r="P138" s="357">
        <v>15</v>
      </c>
      <c r="Q138" s="358">
        <f t="shared" si="2485"/>
        <v>296.84812500000004</v>
      </c>
      <c r="R138" s="404"/>
      <c r="S138" s="358">
        <f t="shared" si="2486"/>
        <v>0</v>
      </c>
      <c r="T138" s="357">
        <v>4</v>
      </c>
      <c r="U138" s="358">
        <f t="shared" si="2487"/>
        <v>79.159500000000008</v>
      </c>
      <c r="V138" s="404"/>
      <c r="W138" s="358">
        <f t="shared" si="2488"/>
        <v>0</v>
      </c>
      <c r="X138" s="404"/>
      <c r="Y138" s="358">
        <f t="shared" si="2489"/>
        <v>0</v>
      </c>
      <c r="Z138" s="1528"/>
      <c r="AA138" s="358">
        <f t="shared" si="2490"/>
        <v>0</v>
      </c>
      <c r="AB138" s="1528"/>
      <c r="AC138" s="358">
        <f t="shared" si="2491"/>
        <v>0</v>
      </c>
      <c r="AD138" s="1528"/>
      <c r="AE138" s="358">
        <f t="shared" si="2492"/>
        <v>0</v>
      </c>
      <c r="AF138" s="358"/>
      <c r="AG138" s="358">
        <f t="shared" si="2493"/>
        <v>0</v>
      </c>
      <c r="AH138" s="1528"/>
      <c r="AI138" s="358">
        <f t="shared" si="2494"/>
        <v>0</v>
      </c>
      <c r="AJ138" s="1526"/>
      <c r="AK138" s="1526"/>
      <c r="AL138" s="1526"/>
      <c r="AM138" s="1526"/>
      <c r="AN138" s="1526"/>
      <c r="AO138" s="1526"/>
      <c r="AP138" s="1526"/>
      <c r="AQ138" s="1526"/>
      <c r="AR138" s="1526"/>
      <c r="AS138" s="1526"/>
      <c r="AT138" s="1526"/>
      <c r="AU138" s="1649"/>
      <c r="AV138" s="358">
        <f t="shared" si="2495"/>
        <v>949.91399999999999</v>
      </c>
      <c r="AW138" s="1979">
        <f>((F138/30)*H138)*$I138+90</f>
        <v>210</v>
      </c>
      <c r="AX138" s="358">
        <f t="shared" si="2496"/>
        <v>15</v>
      </c>
      <c r="AY138" s="358">
        <f t="shared" si="2496"/>
        <v>296.84812500000004</v>
      </c>
      <c r="AZ138" s="358">
        <f t="shared" si="2496"/>
        <v>0</v>
      </c>
      <c r="BA138" s="358">
        <f t="shared" si="2496"/>
        <v>0</v>
      </c>
      <c r="BB138" s="358">
        <f t="shared" si="2497"/>
        <v>0</v>
      </c>
      <c r="BC138" s="358">
        <f t="shared" si="2498"/>
        <v>157.9647612375</v>
      </c>
      <c r="BD138" s="358">
        <f t="shared" si="2499"/>
        <v>1614.7268862374999</v>
      </c>
      <c r="BE138" s="358">
        <f t="shared" si="2500"/>
        <v>2216.4659999999999</v>
      </c>
      <c r="BF138" s="358">
        <f>(($F138/30)*$H138)*$J138+210</f>
        <v>490</v>
      </c>
      <c r="BG138" s="358">
        <f t="shared" si="2502"/>
        <v>4</v>
      </c>
      <c r="BH138" s="358">
        <f t="shared" si="2502"/>
        <v>79.159500000000008</v>
      </c>
      <c r="BI138" s="358">
        <f t="shared" si="2502"/>
        <v>0</v>
      </c>
      <c r="BJ138" s="358">
        <f t="shared" si="2502"/>
        <v>0</v>
      </c>
      <c r="BK138" s="358">
        <f t="shared" si="2503"/>
        <v>0</v>
      </c>
      <c r="BL138" s="358">
        <f t="shared" si="2504"/>
        <v>290.85575085000005</v>
      </c>
      <c r="BM138" s="1526">
        <f t="shared" si="2505"/>
        <v>3076.4812508499999</v>
      </c>
      <c r="BN138" s="358">
        <f t="shared" si="2506"/>
        <v>0</v>
      </c>
      <c r="BO138" s="358">
        <f t="shared" si="2507"/>
        <v>0</v>
      </c>
      <c r="BP138" s="358">
        <f t="shared" si="2508"/>
        <v>0</v>
      </c>
      <c r="BQ138" s="358">
        <f t="shared" si="2508"/>
        <v>0</v>
      </c>
      <c r="BR138" s="358">
        <f t="shared" si="2508"/>
        <v>0</v>
      </c>
      <c r="BS138" s="358">
        <f t="shared" si="2509"/>
        <v>0</v>
      </c>
      <c r="BT138" s="358">
        <f t="shared" si="2510"/>
        <v>0</v>
      </c>
      <c r="BU138" s="358">
        <f t="shared" si="2511"/>
        <v>0</v>
      </c>
      <c r="BV138" s="358">
        <f t="shared" si="2512"/>
        <v>0</v>
      </c>
      <c r="BW138" s="1636">
        <f t="shared" si="2513"/>
        <v>0</v>
      </c>
      <c r="BX138" s="1637">
        <f t="shared" si="2514"/>
        <v>0</v>
      </c>
      <c r="BY138" s="1637">
        <f>AB138</f>
        <v>0</v>
      </c>
      <c r="BZ138" s="1637">
        <f t="shared" ref="BZ138:CB138" si="2634">AC138</f>
        <v>0</v>
      </c>
      <c r="CA138" s="1637">
        <f t="shared" si="2634"/>
        <v>0</v>
      </c>
      <c r="CB138" s="1637">
        <f t="shared" si="2634"/>
        <v>0</v>
      </c>
      <c r="CC138" s="1637">
        <f t="shared" si="2516"/>
        <v>0</v>
      </c>
      <c r="CD138" s="1637">
        <f t="shared" si="2517"/>
        <v>0</v>
      </c>
      <c r="CE138" s="1637">
        <f t="shared" si="2518"/>
        <v>0</v>
      </c>
      <c r="CF138" s="1637">
        <f t="shared" si="2519"/>
        <v>0</v>
      </c>
      <c r="CG138" s="1637">
        <f t="shared" si="2520"/>
        <v>0</v>
      </c>
      <c r="CH138" s="1637">
        <f t="shared" si="2521"/>
        <v>0</v>
      </c>
      <c r="CI138" s="1637">
        <f t="shared" ref="CI138:CK138" si="2635">AG138</f>
        <v>0</v>
      </c>
      <c r="CJ138" s="1637">
        <f t="shared" si="2635"/>
        <v>0</v>
      </c>
      <c r="CK138" s="1637">
        <f t="shared" si="2635"/>
        <v>0</v>
      </c>
      <c r="CL138" s="1637">
        <f t="shared" si="2523"/>
        <v>0</v>
      </c>
      <c r="CM138" s="1637">
        <f t="shared" si="2524"/>
        <v>0</v>
      </c>
      <c r="CN138" s="1638">
        <f t="shared" si="2525"/>
        <v>0</v>
      </c>
      <c r="CO138" s="1418"/>
      <c r="CP138" s="313" t="s">
        <v>11</v>
      </c>
      <c r="CQ138" s="358">
        <f t="shared" si="2526"/>
        <v>0</v>
      </c>
      <c r="CR138" s="358">
        <f t="shared" ref="CR138:CR141" si="2636">IF($CP138="PROQUIMA",$AW138+$BF138+$BO138+$BX138+$CG138,0)</f>
        <v>0</v>
      </c>
      <c r="CS138" s="358">
        <f t="shared" si="2527"/>
        <v>0</v>
      </c>
      <c r="CT138" s="358">
        <f t="shared" si="2528"/>
        <v>0</v>
      </c>
      <c r="CU138" s="358">
        <f t="shared" si="2529"/>
        <v>0</v>
      </c>
      <c r="CV138" s="358">
        <f t="shared" si="2530"/>
        <v>0</v>
      </c>
      <c r="CW138" s="358">
        <f t="shared" si="2531"/>
        <v>0</v>
      </c>
      <c r="CX138" s="358">
        <f t="shared" si="2532"/>
        <v>0</v>
      </c>
      <c r="CY138" s="315">
        <f t="shared" si="2533"/>
        <v>0</v>
      </c>
      <c r="CZ138" s="358">
        <f t="shared" si="2534"/>
        <v>3166.38</v>
      </c>
      <c r="DA138" s="358">
        <f t="shared" si="2535"/>
        <v>700</v>
      </c>
      <c r="DB138" s="358">
        <f t="shared" si="2536"/>
        <v>19</v>
      </c>
      <c r="DC138" s="358">
        <f t="shared" si="2537"/>
        <v>376.00762500000008</v>
      </c>
      <c r="DD138" s="358">
        <f t="shared" si="2538"/>
        <v>0</v>
      </c>
      <c r="DE138" s="358">
        <f t="shared" si="2539"/>
        <v>0</v>
      </c>
      <c r="DF138" s="358">
        <f t="shared" si="2540"/>
        <v>0</v>
      </c>
      <c r="DG138" s="358">
        <f t="shared" si="2541"/>
        <v>448.82051208750005</v>
      </c>
      <c r="DH138" s="358">
        <f t="shared" si="2542"/>
        <v>4691.2081370875003</v>
      </c>
      <c r="DI138" s="358">
        <f t="shared" si="2543"/>
        <v>0</v>
      </c>
      <c r="DJ138" s="358">
        <f t="shared" si="2544"/>
        <v>0</v>
      </c>
      <c r="DK138" s="358">
        <f t="shared" si="2545"/>
        <v>0</v>
      </c>
      <c r="DL138" s="358">
        <f t="shared" si="2546"/>
        <v>0</v>
      </c>
      <c r="DM138" s="358">
        <f t="shared" si="2547"/>
        <v>0</v>
      </c>
      <c r="DN138" s="358">
        <f t="shared" si="2548"/>
        <v>0</v>
      </c>
      <c r="DO138" s="358">
        <f t="shared" si="2549"/>
        <v>0</v>
      </c>
      <c r="DP138" s="358">
        <f t="shared" si="2550"/>
        <v>0</v>
      </c>
      <c r="DQ138" s="358">
        <f t="shared" si="2551"/>
        <v>0</v>
      </c>
      <c r="DR138" s="1636">
        <f t="shared" si="2552"/>
        <v>0</v>
      </c>
      <c r="DS138" s="1637">
        <f t="shared" si="2553"/>
        <v>0</v>
      </c>
      <c r="DT138" s="1637">
        <f t="shared" si="2554"/>
        <v>0</v>
      </c>
      <c r="DU138" s="1637">
        <f t="shared" si="2555"/>
        <v>0</v>
      </c>
      <c r="DV138" s="1637">
        <f t="shared" si="2556"/>
        <v>0</v>
      </c>
      <c r="DW138" s="1637">
        <f t="shared" si="2557"/>
        <v>0</v>
      </c>
      <c r="DX138" s="1637">
        <f t="shared" si="2558"/>
        <v>0</v>
      </c>
      <c r="DY138" s="1637">
        <f t="shared" si="2559"/>
        <v>0</v>
      </c>
      <c r="DZ138" s="1637">
        <f t="shared" si="2560"/>
        <v>0</v>
      </c>
      <c r="EA138" s="1637">
        <f t="shared" si="2561"/>
        <v>0</v>
      </c>
      <c r="EB138" s="1637">
        <f t="shared" si="2562"/>
        <v>0</v>
      </c>
      <c r="EC138" s="1637">
        <f t="shared" si="2563"/>
        <v>0</v>
      </c>
      <c r="ED138" s="1637">
        <f t="shared" si="2564"/>
        <v>0</v>
      </c>
      <c r="EE138" s="1637">
        <f t="shared" si="2565"/>
        <v>0</v>
      </c>
      <c r="EF138" s="1637">
        <f t="shared" si="2566"/>
        <v>0</v>
      </c>
      <c r="EG138" s="1637">
        <f t="shared" si="2567"/>
        <v>0</v>
      </c>
      <c r="EH138" s="1637">
        <f t="shared" si="2568"/>
        <v>0</v>
      </c>
      <c r="EI138" s="1638">
        <f t="shared" si="2569"/>
        <v>0</v>
      </c>
      <c r="EJ138" s="1418"/>
      <c r="EK138" s="312"/>
      <c r="EL138" s="312"/>
      <c r="EM138" s="312"/>
      <c r="EN138" s="312"/>
      <c r="EO138" s="312"/>
      <c r="EP138" s="312">
        <v>50</v>
      </c>
      <c r="EQ138" s="1968"/>
      <c r="ER138" s="312"/>
      <c r="ES138" s="312"/>
      <c r="ET138" s="313">
        <f t="shared" si="2570"/>
        <v>50</v>
      </c>
      <c r="EV138" s="321">
        <f t="shared" ref="EV138:FD138" si="2637">IF($H138&lt;=15,EK138/2,EK138)</f>
        <v>0</v>
      </c>
      <c r="EW138" s="321">
        <f t="shared" si="2637"/>
        <v>0</v>
      </c>
      <c r="EX138" s="321">
        <f t="shared" si="2637"/>
        <v>0</v>
      </c>
      <c r="EY138" s="321">
        <f t="shared" si="2637"/>
        <v>0</v>
      </c>
      <c r="EZ138" s="321">
        <f t="shared" si="2637"/>
        <v>0</v>
      </c>
      <c r="FA138" s="321">
        <f t="shared" si="2637"/>
        <v>50</v>
      </c>
      <c r="FB138" s="321">
        <f t="shared" si="2637"/>
        <v>0</v>
      </c>
      <c r="FC138" s="321">
        <f t="shared" si="2637"/>
        <v>0</v>
      </c>
      <c r="FD138" s="321">
        <f t="shared" si="2637"/>
        <v>0</v>
      </c>
      <c r="FE138" s="321">
        <f t="shared" si="2632"/>
        <v>50</v>
      </c>
      <c r="FF138" s="332">
        <v>0.6</v>
      </c>
      <c r="FG138" s="332">
        <v>0.4</v>
      </c>
      <c r="FH138" s="332">
        <v>0</v>
      </c>
      <c r="FI138" s="332">
        <v>0</v>
      </c>
      <c r="FJ138" s="332">
        <v>0</v>
      </c>
      <c r="FK138" s="332">
        <f>FJ138+FI138+FH138+FG138+FF138</f>
        <v>1</v>
      </c>
      <c r="FL138" s="331"/>
    </row>
    <row r="139" spans="1:168" s="354" customFormat="1" ht="15" customHeight="1" outlineLevel="1">
      <c r="A139" s="1625" t="e">
        <f t="shared" si="2633"/>
        <v>#REF!</v>
      </c>
      <c r="B139" s="311" t="s">
        <v>815</v>
      </c>
      <c r="C139" s="312" t="s">
        <v>112</v>
      </c>
      <c r="D139" s="312" t="s">
        <v>11</v>
      </c>
      <c r="E139" s="1971">
        <v>3166.38</v>
      </c>
      <c r="F139" s="1526">
        <v>250</v>
      </c>
      <c r="G139" s="1526">
        <f t="shared" si="2483"/>
        <v>3416.38</v>
      </c>
      <c r="H139" s="1971">
        <v>30</v>
      </c>
      <c r="I139" s="318">
        <v>0.6</v>
      </c>
      <c r="J139" s="318">
        <v>0.4</v>
      </c>
      <c r="K139" s="318">
        <v>0</v>
      </c>
      <c r="L139" s="1580">
        <v>0</v>
      </c>
      <c r="M139" s="318">
        <v>0</v>
      </c>
      <c r="N139" s="318">
        <f t="shared" ref="N139" si="2638">SUM(I139:M139)</f>
        <v>1</v>
      </c>
      <c r="O139" s="1122"/>
      <c r="P139" s="357">
        <v>14</v>
      </c>
      <c r="Q139" s="358">
        <f t="shared" ref="Q139" si="2639">($E139/30/8*1.5)*P139</f>
        <v>277.05825000000004</v>
      </c>
      <c r="R139" s="404"/>
      <c r="S139" s="358">
        <f t="shared" ref="S139" si="2640">($E139/30/8*2)*R139</f>
        <v>0</v>
      </c>
      <c r="T139" s="357">
        <v>20</v>
      </c>
      <c r="U139" s="358">
        <f t="shared" ref="U139" si="2641">($E139/30/8*1.5)*T139</f>
        <v>395.79750000000001</v>
      </c>
      <c r="V139" s="404"/>
      <c r="W139" s="358">
        <f t="shared" ref="W139" si="2642">($E139/30/8*2)*V139</f>
        <v>0</v>
      </c>
      <c r="X139" s="404"/>
      <c r="Y139" s="358">
        <f t="shared" ref="Y139" si="2643">(($E139/30/8)*1.5)*X139</f>
        <v>0</v>
      </c>
      <c r="Z139" s="1528"/>
      <c r="AA139" s="358">
        <f t="shared" ref="AA139" si="2644">(($E139/30/8)*2)*Z139</f>
        <v>0</v>
      </c>
      <c r="AB139" s="1528"/>
      <c r="AC139" s="358">
        <f t="shared" ref="AC139" si="2645">(($E139/30/8)*1.5)*AB139</f>
        <v>0</v>
      </c>
      <c r="AD139" s="1528"/>
      <c r="AE139" s="358">
        <f t="shared" ref="AE139" si="2646">(($E139/30/8)*2)*AD139</f>
        <v>0</v>
      </c>
      <c r="AF139" s="358"/>
      <c r="AG139" s="358">
        <f t="shared" ref="AG139" si="2647">(($E139/30/8)*1.5)*AF139</f>
        <v>0</v>
      </c>
      <c r="AH139" s="1528"/>
      <c r="AI139" s="358">
        <f t="shared" ref="AI139" si="2648">(($E139/30/8)*2)*AH139</f>
        <v>0</v>
      </c>
      <c r="AJ139" s="1526"/>
      <c r="AK139" s="1526"/>
      <c r="AL139" s="1526"/>
      <c r="AM139" s="1526"/>
      <c r="AN139" s="1526"/>
      <c r="AO139" s="1526"/>
      <c r="AP139" s="1526"/>
      <c r="AQ139" s="1526"/>
      <c r="AR139" s="1526"/>
      <c r="AS139" s="1526"/>
      <c r="AT139" s="1526"/>
      <c r="AU139" s="1649"/>
      <c r="AV139" s="358">
        <f t="shared" ref="AV139" si="2649">((E139/30)*H139)*$I139</f>
        <v>1899.828</v>
      </c>
      <c r="AW139" s="1979">
        <f>((F139/30)*H139)*$I139+240</f>
        <v>390</v>
      </c>
      <c r="AX139" s="358">
        <f t="shared" ref="AX139" si="2650">P139</f>
        <v>14</v>
      </c>
      <c r="AY139" s="358">
        <f t="shared" ref="AY139" si="2651">Q139</f>
        <v>277.05825000000004</v>
      </c>
      <c r="AZ139" s="358">
        <f t="shared" ref="AZ139" si="2652">R139</f>
        <v>0</v>
      </c>
      <c r="BA139" s="358">
        <f t="shared" ref="BA139" si="2653">S139</f>
        <v>0</v>
      </c>
      <c r="BB139" s="358">
        <f t="shared" ref="BB139" si="2654">AJ139+AO139</f>
        <v>0</v>
      </c>
      <c r="BC139" s="358">
        <f t="shared" ref="BC139" si="2655">(AV139+AY139+BA139)*0.1267</f>
        <v>275.81148787500001</v>
      </c>
      <c r="BD139" s="358">
        <f t="shared" ref="BD139" si="2656">SUM(AV139:BC139)-AX139-AZ139</f>
        <v>2842.6977378749998</v>
      </c>
      <c r="BE139" s="358">
        <f t="shared" si="2500"/>
        <v>1266.5520000000001</v>
      </c>
      <c r="BF139" s="358">
        <f t="shared" si="2501"/>
        <v>100.00000000000001</v>
      </c>
      <c r="BG139" s="358">
        <f t="shared" ref="BG139" si="2657">T139</f>
        <v>20</v>
      </c>
      <c r="BH139" s="358">
        <f t="shared" ref="BH139" si="2658">U139</f>
        <v>395.79750000000001</v>
      </c>
      <c r="BI139" s="358">
        <f t="shared" ref="BI139" si="2659">V139</f>
        <v>0</v>
      </c>
      <c r="BJ139" s="358">
        <f t="shared" ref="BJ139" si="2660">W139</f>
        <v>0</v>
      </c>
      <c r="BK139" s="358">
        <f t="shared" ref="BK139" si="2661">AK139+AP139</f>
        <v>0</v>
      </c>
      <c r="BL139" s="358">
        <f t="shared" ref="BL139" si="2662">(+BE139+BH139+BJ139+BK139)*0.1267</f>
        <v>210.61968165000005</v>
      </c>
      <c r="BM139" s="1526">
        <f t="shared" ref="BM139" si="2663">SUM(BE139:BL139)-BG139-BI139</f>
        <v>1972.9691816500003</v>
      </c>
      <c r="BN139" s="358">
        <f t="shared" si="2506"/>
        <v>0</v>
      </c>
      <c r="BO139" s="358">
        <f t="shared" si="2507"/>
        <v>0</v>
      </c>
      <c r="BP139" s="358">
        <f t="shared" ref="BP139" si="2664">X139</f>
        <v>0</v>
      </c>
      <c r="BQ139" s="358">
        <f t="shared" ref="BQ139" si="2665">Y139</f>
        <v>0</v>
      </c>
      <c r="BR139" s="358">
        <f t="shared" ref="BR139" si="2666">Z139</f>
        <v>0</v>
      </c>
      <c r="BS139" s="358">
        <f t="shared" ref="BS139" si="2667">AA139</f>
        <v>0</v>
      </c>
      <c r="BT139" s="358">
        <f t="shared" ref="BT139" si="2668">AL139+AQ139</f>
        <v>0</v>
      </c>
      <c r="BU139" s="358">
        <f t="shared" ref="BU139" si="2669">(BN139+BQ139+BS139)*0.1267</f>
        <v>0</v>
      </c>
      <c r="BV139" s="358">
        <f t="shared" ref="BV139" si="2670">SUM(BN139:BU139)-BP139-BR139</f>
        <v>0</v>
      </c>
      <c r="BW139" s="1636">
        <f t="shared" si="2513"/>
        <v>0</v>
      </c>
      <c r="BX139" s="1637">
        <f t="shared" si="2514"/>
        <v>0</v>
      </c>
      <c r="BY139" s="1637">
        <f>AB139</f>
        <v>0</v>
      </c>
      <c r="BZ139" s="1637">
        <f t="shared" ref="BZ139" si="2671">AC139</f>
        <v>0</v>
      </c>
      <c r="CA139" s="1637">
        <f t="shared" ref="CA139" si="2672">AD139</f>
        <v>0</v>
      </c>
      <c r="CB139" s="1637">
        <f t="shared" ref="CB139" si="2673">AE139</f>
        <v>0</v>
      </c>
      <c r="CC139" s="1637">
        <f t="shared" ref="CC139" si="2674">AM139+AR139</f>
        <v>0</v>
      </c>
      <c r="CD139" s="1637">
        <f t="shared" ref="CD139" si="2675">(BW139+BZ139+CB139)*0.1267</f>
        <v>0</v>
      </c>
      <c r="CE139" s="1637">
        <f t="shared" ref="CE139" si="2676">SUM(BW139:CD139)-BY139-CA139</f>
        <v>0</v>
      </c>
      <c r="CF139" s="1637">
        <f t="shared" ref="CF139" si="2677">(($E139/30)*$H139)*M139</f>
        <v>0</v>
      </c>
      <c r="CG139" s="1637">
        <f t="shared" si="2520"/>
        <v>0</v>
      </c>
      <c r="CH139" s="1637">
        <f t="shared" ref="CH139" si="2678">+AF139</f>
        <v>0</v>
      </c>
      <c r="CI139" s="1637">
        <f t="shared" ref="CI139" si="2679">AG139</f>
        <v>0</v>
      </c>
      <c r="CJ139" s="1637">
        <f t="shared" ref="CJ139" si="2680">AH139</f>
        <v>0</v>
      </c>
      <c r="CK139" s="1637">
        <f t="shared" ref="CK139" si="2681">AI139</f>
        <v>0</v>
      </c>
      <c r="CL139" s="1637">
        <f t="shared" ref="CL139" si="2682">AN139+AS139</f>
        <v>0</v>
      </c>
      <c r="CM139" s="1637">
        <f t="shared" ref="CM139" si="2683">(CF139+CI139+CK139)*0.1267</f>
        <v>0</v>
      </c>
      <c r="CN139" s="1638">
        <f t="shared" ref="CN139" si="2684">SUM(CF139:CM139)-CH139-CJ139</f>
        <v>0</v>
      </c>
      <c r="CO139" s="1418"/>
      <c r="CP139" s="313" t="s">
        <v>11</v>
      </c>
      <c r="CQ139" s="358">
        <f t="shared" si="2526"/>
        <v>0</v>
      </c>
      <c r="CR139" s="358">
        <f t="shared" si="2636"/>
        <v>0</v>
      </c>
      <c r="CS139" s="358">
        <f t="shared" si="2527"/>
        <v>0</v>
      </c>
      <c r="CT139" s="358">
        <f t="shared" si="2528"/>
        <v>0</v>
      </c>
      <c r="CU139" s="358">
        <f t="shared" si="2529"/>
        <v>0</v>
      </c>
      <c r="CV139" s="358">
        <f t="shared" si="2530"/>
        <v>0</v>
      </c>
      <c r="CW139" s="358">
        <f t="shared" si="2531"/>
        <v>0</v>
      </c>
      <c r="CX139" s="358">
        <f t="shared" ref="CX139" si="2685">IF($CP139="PROQUIMA",$BC139+$BL139+$BU139+$CD139+CM139,0)</f>
        <v>0</v>
      </c>
      <c r="CY139" s="315">
        <f t="shared" ref="CY139" si="2686">SUM(CQ139:CX139)-CS139-CU139</f>
        <v>0</v>
      </c>
      <c r="CZ139" s="358">
        <f t="shared" si="2534"/>
        <v>3166.38</v>
      </c>
      <c r="DA139" s="358">
        <f t="shared" si="2535"/>
        <v>490</v>
      </c>
      <c r="DB139" s="358">
        <f t="shared" si="2536"/>
        <v>34</v>
      </c>
      <c r="DC139" s="358">
        <f t="shared" si="2537"/>
        <v>672.85575000000006</v>
      </c>
      <c r="DD139" s="358">
        <f t="shared" si="2538"/>
        <v>0</v>
      </c>
      <c r="DE139" s="358">
        <f t="shared" si="2539"/>
        <v>0</v>
      </c>
      <c r="DF139" s="358">
        <f t="shared" si="2540"/>
        <v>0</v>
      </c>
      <c r="DG139" s="358">
        <f t="shared" si="2541"/>
        <v>486.43116952500009</v>
      </c>
      <c r="DH139" s="358">
        <f t="shared" ref="DH139" si="2687">SUM(CZ139:DG139)-DB139-DD139</f>
        <v>4815.6669195249997</v>
      </c>
      <c r="DI139" s="358">
        <f t="shared" si="2543"/>
        <v>0</v>
      </c>
      <c r="DJ139" s="358">
        <f t="shared" si="2544"/>
        <v>0</v>
      </c>
      <c r="DK139" s="358">
        <f t="shared" si="2545"/>
        <v>0</v>
      </c>
      <c r="DL139" s="358">
        <f t="shared" si="2546"/>
        <v>0</v>
      </c>
      <c r="DM139" s="358">
        <f t="shared" si="2547"/>
        <v>0</v>
      </c>
      <c r="DN139" s="358">
        <f t="shared" si="2548"/>
        <v>0</v>
      </c>
      <c r="DO139" s="358">
        <f t="shared" si="2549"/>
        <v>0</v>
      </c>
      <c r="DP139" s="358">
        <f t="shared" si="2550"/>
        <v>0</v>
      </c>
      <c r="DQ139" s="358">
        <f t="shared" ref="DQ139" si="2688">SUM(DI139:DP139)-DK139-DM139</f>
        <v>0</v>
      </c>
      <c r="DR139" s="1636">
        <f t="shared" si="2552"/>
        <v>0</v>
      </c>
      <c r="DS139" s="1637">
        <f t="shared" si="2553"/>
        <v>0</v>
      </c>
      <c r="DT139" s="1637">
        <f t="shared" si="2554"/>
        <v>0</v>
      </c>
      <c r="DU139" s="1637">
        <f t="shared" si="2555"/>
        <v>0</v>
      </c>
      <c r="DV139" s="1637">
        <f t="shared" si="2556"/>
        <v>0</v>
      </c>
      <c r="DW139" s="1637">
        <f t="shared" si="2557"/>
        <v>0</v>
      </c>
      <c r="DX139" s="1637">
        <f t="shared" si="2558"/>
        <v>0</v>
      </c>
      <c r="DY139" s="1637">
        <f t="shared" si="2559"/>
        <v>0</v>
      </c>
      <c r="DZ139" s="1637">
        <f t="shared" ref="DZ139" si="2689">SUM(DR139:DY139)-DT139-DV139</f>
        <v>0</v>
      </c>
      <c r="EA139" s="1637">
        <f t="shared" si="2561"/>
        <v>0</v>
      </c>
      <c r="EB139" s="1637">
        <f t="shared" si="2562"/>
        <v>0</v>
      </c>
      <c r="EC139" s="1637">
        <f t="shared" si="2563"/>
        <v>0</v>
      </c>
      <c r="ED139" s="1637">
        <f t="shared" si="2564"/>
        <v>0</v>
      </c>
      <c r="EE139" s="1637">
        <f t="shared" si="2565"/>
        <v>0</v>
      </c>
      <c r="EF139" s="1637">
        <f t="shared" si="2566"/>
        <v>0</v>
      </c>
      <c r="EG139" s="1637">
        <f t="shared" si="2567"/>
        <v>0</v>
      </c>
      <c r="EH139" s="1637">
        <f t="shared" si="2568"/>
        <v>0</v>
      </c>
      <c r="EI139" s="1638">
        <f t="shared" ref="EI139" si="2690">SUM(EA139:EH139)-EC139-EE139</f>
        <v>0</v>
      </c>
      <c r="EJ139" s="1418"/>
      <c r="EK139" s="312"/>
      <c r="EL139" s="312"/>
      <c r="EM139" s="312"/>
      <c r="EN139" s="312"/>
      <c r="EO139" s="312"/>
      <c r="EP139" s="312">
        <v>50</v>
      </c>
      <c r="EQ139" s="1968"/>
      <c r="ER139" s="312"/>
      <c r="ES139" s="312"/>
      <c r="ET139" s="313">
        <f t="shared" ref="ET139" si="2691">+EO139+EP139+EQ139</f>
        <v>50</v>
      </c>
      <c r="EV139" s="321">
        <f t="shared" ref="EV139" si="2692">IF($H139&lt;=15,EK139/2,EK139)</f>
        <v>0</v>
      </c>
      <c r="EW139" s="321">
        <f t="shared" ref="EW139" si="2693">IF($H139&lt;=15,EL139/2,EL139)</f>
        <v>0</v>
      </c>
      <c r="EX139" s="321">
        <f t="shared" ref="EX139" si="2694">IF($H139&lt;=15,EM139/2,EM139)</f>
        <v>0</v>
      </c>
      <c r="EY139" s="321">
        <f t="shared" ref="EY139" si="2695">IF($H139&lt;=15,EN139/2,EN139)</f>
        <v>0</v>
      </c>
      <c r="EZ139" s="321">
        <f t="shared" ref="EZ139" si="2696">IF($H139&lt;=15,EO139/2,EO139)</f>
        <v>0</v>
      </c>
      <c r="FA139" s="321">
        <f t="shared" ref="FA139" si="2697">IF($H139&lt;=15,EP139/2,EP139)</f>
        <v>50</v>
      </c>
      <c r="FB139" s="321">
        <f t="shared" ref="FB139" si="2698">IF($H139&lt;=15,EQ139/2,EQ139)</f>
        <v>0</v>
      </c>
      <c r="FC139" s="321">
        <f t="shared" ref="FC139" si="2699">IF($H139&lt;=15,ER139/2,ER139)</f>
        <v>0</v>
      </c>
      <c r="FD139" s="321">
        <f t="shared" ref="FD139" si="2700">IF($H139&lt;=15,ES139/2,ES139)</f>
        <v>0</v>
      </c>
      <c r="FE139" s="321">
        <f t="shared" ref="FE139" si="2701">IF($H139&lt;=15,ET139/2,ET139)</f>
        <v>50</v>
      </c>
      <c r="FF139" s="332"/>
      <c r="FG139" s="332"/>
      <c r="FH139" s="332"/>
      <c r="FI139" s="332"/>
      <c r="FJ139" s="332"/>
      <c r="FK139" s="332"/>
      <c r="FL139" s="331"/>
    </row>
    <row r="140" spans="1:168" s="354" customFormat="1" ht="15" customHeight="1" outlineLevel="1">
      <c r="A140" s="1625" t="e">
        <f t="shared" si="2633"/>
        <v>#REF!</v>
      </c>
      <c r="B140" s="311" t="s">
        <v>762</v>
      </c>
      <c r="C140" s="312" t="s">
        <v>112</v>
      </c>
      <c r="D140" s="312" t="s">
        <v>10</v>
      </c>
      <c r="E140" s="1971">
        <v>3166.38</v>
      </c>
      <c r="F140" s="1526">
        <v>250</v>
      </c>
      <c r="G140" s="1526">
        <f t="shared" si="2483"/>
        <v>3416.38</v>
      </c>
      <c r="H140" s="1971">
        <v>30</v>
      </c>
      <c r="I140" s="318">
        <v>0.6</v>
      </c>
      <c r="J140" s="318">
        <v>0.4</v>
      </c>
      <c r="K140" s="318">
        <v>0</v>
      </c>
      <c r="L140" s="1580">
        <v>0</v>
      </c>
      <c r="M140" s="318">
        <v>0</v>
      </c>
      <c r="N140" s="318">
        <f t="shared" ref="N140" si="2702">SUM(I140:M140)</f>
        <v>1</v>
      </c>
      <c r="O140" s="1122"/>
      <c r="P140" s="357">
        <v>22</v>
      </c>
      <c r="Q140" s="358">
        <f t="shared" ref="Q140" si="2703">($E140/30/8*1.5)*P140</f>
        <v>435.37725000000006</v>
      </c>
      <c r="R140" s="404"/>
      <c r="S140" s="358">
        <f t="shared" ref="S140" si="2704">($E140/30/8*2)*R140</f>
        <v>0</v>
      </c>
      <c r="T140" s="357">
        <v>9</v>
      </c>
      <c r="U140" s="358">
        <f t="shared" ref="U140" si="2705">($E140/30/8*1.5)*T140</f>
        <v>178.10887500000001</v>
      </c>
      <c r="V140" s="404"/>
      <c r="W140" s="358">
        <f t="shared" ref="W140" si="2706">($E140/30/8*2)*V140</f>
        <v>0</v>
      </c>
      <c r="X140" s="404"/>
      <c r="Y140" s="358">
        <f t="shared" ref="Y140" si="2707">(($E140/30/8)*1.5)*X140</f>
        <v>0</v>
      </c>
      <c r="Z140" s="1528"/>
      <c r="AA140" s="358">
        <f t="shared" ref="AA140" si="2708">(($E140/30/8)*2)*Z140</f>
        <v>0</v>
      </c>
      <c r="AB140" s="1528"/>
      <c r="AC140" s="358">
        <f t="shared" ref="AC140" si="2709">(($E140/30/8)*1.5)*AB140</f>
        <v>0</v>
      </c>
      <c r="AD140" s="1528"/>
      <c r="AE140" s="358">
        <f t="shared" ref="AE140" si="2710">(($E140/30/8)*2)*AD140</f>
        <v>0</v>
      </c>
      <c r="AF140" s="358"/>
      <c r="AG140" s="358">
        <f t="shared" ref="AG140" si="2711">(($E140/30/8)*1.5)*AF140</f>
        <v>0</v>
      </c>
      <c r="AH140" s="1528"/>
      <c r="AI140" s="358">
        <f t="shared" ref="AI140" si="2712">(($E140/30/8)*2)*AH140</f>
        <v>0</v>
      </c>
      <c r="AJ140" s="1526"/>
      <c r="AK140" s="1526"/>
      <c r="AL140" s="1526"/>
      <c r="AM140" s="1526"/>
      <c r="AN140" s="1526"/>
      <c r="AO140" s="1526"/>
      <c r="AP140" s="1526"/>
      <c r="AQ140" s="1526"/>
      <c r="AR140" s="1526"/>
      <c r="AS140" s="1526"/>
      <c r="AT140" s="1526"/>
      <c r="AU140" s="1649"/>
      <c r="AV140" s="358">
        <f t="shared" ref="AV140" si="2713">((E140/30)*H140)*$I140</f>
        <v>1899.828</v>
      </c>
      <c r="AW140" s="1979">
        <f>((F140/30)*H140)*$I140+180+240</f>
        <v>570</v>
      </c>
      <c r="AX140" s="358">
        <f t="shared" ref="AX140" si="2714">P140</f>
        <v>22</v>
      </c>
      <c r="AY140" s="358">
        <f t="shared" ref="AY140" si="2715">Q140</f>
        <v>435.37725000000006</v>
      </c>
      <c r="AZ140" s="358">
        <f t="shared" ref="AZ140" si="2716">R140</f>
        <v>0</v>
      </c>
      <c r="BA140" s="358">
        <f t="shared" ref="BA140" si="2717">S140</f>
        <v>0</v>
      </c>
      <c r="BB140" s="358">
        <f t="shared" ref="BB140" si="2718">AJ140+AO140</f>
        <v>0</v>
      </c>
      <c r="BC140" s="358">
        <f t="shared" ref="BC140" si="2719">(AV140+AY140+BA140)*0.1267</f>
        <v>295.87050517500001</v>
      </c>
      <c r="BD140" s="358">
        <f t="shared" ref="BD140" si="2720">SUM(AV140:BC140)-AX140-AZ140</f>
        <v>3201.0757551749998</v>
      </c>
      <c r="BE140" s="358">
        <f t="shared" si="2500"/>
        <v>1266.5520000000001</v>
      </c>
      <c r="BF140" s="1923">
        <f>(($F140/30)*$H140)*$J140+120</f>
        <v>220</v>
      </c>
      <c r="BG140" s="358">
        <f t="shared" ref="BG140" si="2721">T140</f>
        <v>9</v>
      </c>
      <c r="BH140" s="358">
        <f t="shared" ref="BH140" si="2722">U140</f>
        <v>178.10887500000001</v>
      </c>
      <c r="BI140" s="358">
        <f t="shared" ref="BI140" si="2723">V140</f>
        <v>0</v>
      </c>
      <c r="BJ140" s="358">
        <f t="shared" ref="BJ140" si="2724">W140</f>
        <v>0</v>
      </c>
      <c r="BK140" s="358">
        <f t="shared" ref="BK140" si="2725">AK140+AP140</f>
        <v>0</v>
      </c>
      <c r="BL140" s="358">
        <f t="shared" ref="BL140" si="2726">(+BE140+BH140+BJ140+BK140)*0.1267</f>
        <v>183.03853286250001</v>
      </c>
      <c r="BM140" s="1526">
        <f t="shared" ref="BM140" si="2727">SUM(BE140:BL140)-BG140-BI140</f>
        <v>1847.6994078625</v>
      </c>
      <c r="BN140" s="358">
        <f t="shared" si="2506"/>
        <v>0</v>
      </c>
      <c r="BO140" s="358">
        <f t="shared" si="2507"/>
        <v>0</v>
      </c>
      <c r="BP140" s="358">
        <f t="shared" ref="BP140" si="2728">X140</f>
        <v>0</v>
      </c>
      <c r="BQ140" s="358">
        <f t="shared" ref="BQ140" si="2729">Y140</f>
        <v>0</v>
      </c>
      <c r="BR140" s="358">
        <f t="shared" ref="BR140" si="2730">Z140</f>
        <v>0</v>
      </c>
      <c r="BS140" s="358">
        <f t="shared" ref="BS140" si="2731">AA140</f>
        <v>0</v>
      </c>
      <c r="BT140" s="358">
        <f t="shared" ref="BT140" si="2732">AL140+AQ140</f>
        <v>0</v>
      </c>
      <c r="BU140" s="358">
        <f t="shared" ref="BU140" si="2733">(BN140+BQ140+BS140)*0.1267</f>
        <v>0</v>
      </c>
      <c r="BV140" s="358">
        <f t="shared" ref="BV140" si="2734">SUM(BN140:BU140)-BP140-BR140</f>
        <v>0</v>
      </c>
      <c r="BW140" s="1636">
        <f t="shared" si="2513"/>
        <v>0</v>
      </c>
      <c r="BX140" s="1637">
        <f t="shared" si="2514"/>
        <v>0</v>
      </c>
      <c r="BY140" s="1637">
        <f>AB140</f>
        <v>0</v>
      </c>
      <c r="BZ140" s="1637">
        <f t="shared" ref="BZ140" si="2735">AC140</f>
        <v>0</v>
      </c>
      <c r="CA140" s="1637">
        <f t="shared" ref="CA140" si="2736">AD140</f>
        <v>0</v>
      </c>
      <c r="CB140" s="1637">
        <f t="shared" ref="CB140" si="2737">AE140</f>
        <v>0</v>
      </c>
      <c r="CC140" s="1637">
        <f t="shared" ref="CC140" si="2738">AM140+AR140</f>
        <v>0</v>
      </c>
      <c r="CD140" s="1637">
        <f t="shared" ref="CD140" si="2739">(BW140+BZ140+CB140)*0.1267</f>
        <v>0</v>
      </c>
      <c r="CE140" s="1637">
        <f t="shared" ref="CE140" si="2740">SUM(BW140:CD140)-BY140-CA140</f>
        <v>0</v>
      </c>
      <c r="CF140" s="1637">
        <f t="shared" ref="CF140" si="2741">(($E140/30)*$H140)*M140</f>
        <v>0</v>
      </c>
      <c r="CG140" s="1637">
        <f t="shared" si="2520"/>
        <v>0</v>
      </c>
      <c r="CH140" s="1637">
        <f t="shared" ref="CH140" si="2742">+AF140</f>
        <v>0</v>
      </c>
      <c r="CI140" s="1637">
        <f t="shared" ref="CI140" si="2743">AG140</f>
        <v>0</v>
      </c>
      <c r="CJ140" s="1637">
        <f t="shared" ref="CJ140" si="2744">AH140</f>
        <v>0</v>
      </c>
      <c r="CK140" s="1637">
        <f t="shared" ref="CK140" si="2745">AI140</f>
        <v>0</v>
      </c>
      <c r="CL140" s="1637">
        <f t="shared" ref="CL140" si="2746">AN140+AS140</f>
        <v>0</v>
      </c>
      <c r="CM140" s="1637">
        <f t="shared" ref="CM140" si="2747">(CF140+CI140+CK140)*0.1267</f>
        <v>0</v>
      </c>
      <c r="CN140" s="1638">
        <f t="shared" ref="CN140" si="2748">SUM(CF140:CM140)-CH140-CJ140</f>
        <v>0</v>
      </c>
      <c r="CO140" s="1418"/>
      <c r="CP140" s="312" t="s">
        <v>10</v>
      </c>
      <c r="CQ140" s="358">
        <f t="shared" si="2526"/>
        <v>3166.38</v>
      </c>
      <c r="CR140" s="358">
        <f t="shared" si="2636"/>
        <v>790</v>
      </c>
      <c r="CS140" s="358">
        <f t="shared" si="2527"/>
        <v>31</v>
      </c>
      <c r="CT140" s="358">
        <f t="shared" si="2528"/>
        <v>613.48612500000013</v>
      </c>
      <c r="CU140" s="358">
        <f t="shared" si="2529"/>
        <v>0</v>
      </c>
      <c r="CV140" s="358">
        <f t="shared" si="2530"/>
        <v>0</v>
      </c>
      <c r="CW140" s="358">
        <f t="shared" si="2531"/>
        <v>0</v>
      </c>
      <c r="CX140" s="358">
        <f t="shared" ref="CX140" si="2749">IF($CP140="PROQUIMA",$BC140+$BL140+$BU140+$CD140+CM140,0)</f>
        <v>478.90903803750001</v>
      </c>
      <c r="CY140" s="315">
        <f t="shared" ref="CY140" si="2750">SUM(CQ140:CX140)-CS140-CU140</f>
        <v>5048.7751630375005</v>
      </c>
      <c r="CZ140" s="358">
        <f t="shared" si="2534"/>
        <v>0</v>
      </c>
      <c r="DA140" s="358">
        <f t="shared" si="2535"/>
        <v>0</v>
      </c>
      <c r="DB140" s="358">
        <f t="shared" si="2536"/>
        <v>0</v>
      </c>
      <c r="DC140" s="358">
        <f t="shared" si="2537"/>
        <v>0</v>
      </c>
      <c r="DD140" s="358">
        <f t="shared" si="2538"/>
        <v>0</v>
      </c>
      <c r="DE140" s="358">
        <f t="shared" si="2539"/>
        <v>0</v>
      </c>
      <c r="DF140" s="358">
        <f t="shared" si="2540"/>
        <v>0</v>
      </c>
      <c r="DG140" s="358">
        <f t="shared" si="2541"/>
        <v>0</v>
      </c>
      <c r="DH140" s="358">
        <f t="shared" ref="DH140" si="2751">SUM(CZ140:DG140)-DB140-DD140</f>
        <v>0</v>
      </c>
      <c r="DI140" s="358">
        <f t="shared" si="2543"/>
        <v>0</v>
      </c>
      <c r="DJ140" s="358">
        <f t="shared" si="2544"/>
        <v>0</v>
      </c>
      <c r="DK140" s="358">
        <f t="shared" si="2545"/>
        <v>0</v>
      </c>
      <c r="DL140" s="358">
        <f t="shared" si="2546"/>
        <v>0</v>
      </c>
      <c r="DM140" s="358">
        <f t="shared" si="2547"/>
        <v>0</v>
      </c>
      <c r="DN140" s="358">
        <f t="shared" si="2548"/>
        <v>0</v>
      </c>
      <c r="DO140" s="358">
        <f t="shared" si="2549"/>
        <v>0</v>
      </c>
      <c r="DP140" s="358">
        <f t="shared" si="2550"/>
        <v>0</v>
      </c>
      <c r="DQ140" s="358">
        <f t="shared" ref="DQ140" si="2752">SUM(DI140:DP140)-DK140-DM140</f>
        <v>0</v>
      </c>
      <c r="DR140" s="1636">
        <f t="shared" si="2552"/>
        <v>0</v>
      </c>
      <c r="DS140" s="1637">
        <f t="shared" si="2553"/>
        <v>0</v>
      </c>
      <c r="DT140" s="1637">
        <f t="shared" si="2554"/>
        <v>0</v>
      </c>
      <c r="DU140" s="1637">
        <f t="shared" si="2555"/>
        <v>0</v>
      </c>
      <c r="DV140" s="1637">
        <f t="shared" si="2556"/>
        <v>0</v>
      </c>
      <c r="DW140" s="1637">
        <f t="shared" si="2557"/>
        <v>0</v>
      </c>
      <c r="DX140" s="1637">
        <f t="shared" si="2558"/>
        <v>0</v>
      </c>
      <c r="DY140" s="1637">
        <f t="shared" si="2559"/>
        <v>0</v>
      </c>
      <c r="DZ140" s="1637">
        <f t="shared" ref="DZ140" si="2753">SUM(DR140:DY140)-DT140-DV140</f>
        <v>0</v>
      </c>
      <c r="EA140" s="1637">
        <f t="shared" si="2561"/>
        <v>0</v>
      </c>
      <c r="EB140" s="1637">
        <f t="shared" si="2562"/>
        <v>0</v>
      </c>
      <c r="EC140" s="1637">
        <f t="shared" si="2563"/>
        <v>0</v>
      </c>
      <c r="ED140" s="1637">
        <f t="shared" si="2564"/>
        <v>0</v>
      </c>
      <c r="EE140" s="1637">
        <f t="shared" si="2565"/>
        <v>0</v>
      </c>
      <c r="EF140" s="1637">
        <f t="shared" si="2566"/>
        <v>0</v>
      </c>
      <c r="EG140" s="1637">
        <f t="shared" si="2567"/>
        <v>0</v>
      </c>
      <c r="EH140" s="1637">
        <f t="shared" si="2568"/>
        <v>0</v>
      </c>
      <c r="EI140" s="1638">
        <f t="shared" ref="EI140" si="2754">SUM(EA140:EH140)-EC140-EE140</f>
        <v>0</v>
      </c>
      <c r="EJ140" s="1418"/>
      <c r="EK140" s="312"/>
      <c r="EL140" s="312"/>
      <c r="EM140" s="312"/>
      <c r="EN140" s="312">
        <v>74</v>
      </c>
      <c r="EO140" s="312"/>
      <c r="EP140" s="312">
        <v>50</v>
      </c>
      <c r="EQ140" s="1968"/>
      <c r="ER140" s="1968"/>
      <c r="ES140" s="312"/>
      <c r="ET140" s="313">
        <f t="shared" ref="ET140" si="2755">+EO140+EP140+EQ140</f>
        <v>50</v>
      </c>
      <c r="EV140" s="321">
        <f t="shared" ref="EV140" si="2756">IF($H140&lt;=15,EK140/2,EK140)</f>
        <v>0</v>
      </c>
      <c r="EW140" s="321">
        <f t="shared" ref="EW140" si="2757">IF($H140&lt;=15,EL140/2,EL140)</f>
        <v>0</v>
      </c>
      <c r="EX140" s="321">
        <f t="shared" ref="EX140" si="2758">IF($H140&lt;=15,EM140/2,EM140)</f>
        <v>0</v>
      </c>
      <c r="EY140" s="321">
        <f t="shared" ref="EY140" si="2759">IF($H140&lt;=15,EN140/2,EN140)</f>
        <v>74</v>
      </c>
      <c r="EZ140" s="321">
        <f t="shared" ref="EZ140" si="2760">IF($H140&lt;=15,EO140/2,EO140)</f>
        <v>0</v>
      </c>
      <c r="FA140" s="321">
        <f t="shared" ref="FA140" si="2761">IF($H140&lt;=15,EP140/2,EP140)</f>
        <v>50</v>
      </c>
      <c r="FB140" s="321">
        <f t="shared" ref="FB140" si="2762">IF($H140&lt;=15,EQ140/2,EQ140)</f>
        <v>0</v>
      </c>
      <c r="FC140" s="321">
        <f t="shared" ref="FC140" si="2763">IF($H140&lt;=15,ER140/2,ER140)</f>
        <v>0</v>
      </c>
      <c r="FD140" s="321">
        <f t="shared" ref="FD140" si="2764">IF($H140&lt;=15,ES140/2,ES140)</f>
        <v>0</v>
      </c>
      <c r="FE140" s="321">
        <f t="shared" ref="FE140" si="2765">IF($H140&lt;=15,ET140/2,ET140)</f>
        <v>50</v>
      </c>
      <c r="FF140" s="332"/>
      <c r="FG140" s="332"/>
      <c r="FH140" s="332"/>
      <c r="FI140" s="332"/>
      <c r="FJ140" s="332"/>
      <c r="FK140" s="332"/>
      <c r="FL140" s="331"/>
    </row>
    <row r="141" spans="1:168" s="1501" customFormat="1" ht="15" customHeight="1" outlineLevel="1">
      <c r="A141" s="1625" t="e">
        <f t="shared" si="2633"/>
        <v>#REF!</v>
      </c>
      <c r="B141" s="311" t="s">
        <v>727</v>
      </c>
      <c r="C141" s="312" t="s">
        <v>108</v>
      </c>
      <c r="D141" s="312" t="s">
        <v>10</v>
      </c>
      <c r="E141" s="1971">
        <v>3166.38</v>
      </c>
      <c r="F141" s="1526">
        <v>292.86</v>
      </c>
      <c r="G141" s="1526">
        <f t="shared" si="2483"/>
        <v>3459.2400000000002</v>
      </c>
      <c r="H141" s="1971">
        <v>30</v>
      </c>
      <c r="I141" s="417">
        <v>1</v>
      </c>
      <c r="J141" s="417">
        <v>0</v>
      </c>
      <c r="K141" s="417">
        <v>0</v>
      </c>
      <c r="L141" s="1580">
        <v>0</v>
      </c>
      <c r="M141" s="318">
        <v>0</v>
      </c>
      <c r="N141" s="417">
        <f t="shared" ref="N141" si="2766">SUM(I141:M141)</f>
        <v>1</v>
      </c>
      <c r="O141" s="1122"/>
      <c r="P141" s="357">
        <v>6</v>
      </c>
      <c r="Q141" s="358">
        <f t="shared" ref="Q141" si="2767">($E141/30/8*1.5)*P141</f>
        <v>118.73925000000001</v>
      </c>
      <c r="R141" s="404"/>
      <c r="S141" s="358">
        <f t="shared" ref="S141" si="2768">($E141/30/8*2)*R141</f>
        <v>0</v>
      </c>
      <c r="T141" s="357">
        <v>16</v>
      </c>
      <c r="U141" s="358">
        <f t="shared" ref="U141" si="2769">($E141/30/8*1.5)*T141</f>
        <v>316.63800000000003</v>
      </c>
      <c r="V141" s="404"/>
      <c r="W141" s="358">
        <f t="shared" ref="W141" si="2770">($E141/30/8*2)*V141</f>
        <v>0</v>
      </c>
      <c r="X141" s="1579"/>
      <c r="Y141" s="358">
        <f t="shared" ref="Y141" si="2771">(($E141/30/8)*1.5)*X141</f>
        <v>0</v>
      </c>
      <c r="Z141" s="1528"/>
      <c r="AA141" s="358">
        <f t="shared" ref="AA141" si="2772">(($E141/30/8)*2)*Z141</f>
        <v>0</v>
      </c>
      <c r="AB141" s="322"/>
      <c r="AC141" s="315">
        <f t="shared" ref="AC141" si="2773">(($E141/30/8)*1.5)*AB141</f>
        <v>0</v>
      </c>
      <c r="AD141" s="322"/>
      <c r="AE141" s="315">
        <f t="shared" ref="AE141" si="2774">(($E141/30/8)*2)*AD141</f>
        <v>0</v>
      </c>
      <c r="AF141" s="322"/>
      <c r="AG141" s="315">
        <f t="shared" ref="AG141" si="2775">(($E141/30/8)*1.5)*AF141</f>
        <v>0</v>
      </c>
      <c r="AH141" s="322"/>
      <c r="AI141" s="315">
        <f t="shared" ref="AI141" si="2776">(($E141/30/8)*2)*AH141</f>
        <v>0</v>
      </c>
      <c r="AJ141" s="314"/>
      <c r="AK141" s="314"/>
      <c r="AL141" s="314"/>
      <c r="AM141" s="314"/>
      <c r="AN141" s="314"/>
      <c r="AO141" s="314"/>
      <c r="AP141" s="314"/>
      <c r="AQ141" s="314"/>
      <c r="AR141" s="314"/>
      <c r="AS141" s="314"/>
      <c r="AT141" s="314"/>
      <c r="AU141" s="326"/>
      <c r="AV141" s="358">
        <f t="shared" ref="AV141" si="2777">((E141/30)*H141)*$I141</f>
        <v>3166.38</v>
      </c>
      <c r="AW141" s="1979">
        <f>((F141/30)*H141)*$I141+240+480</f>
        <v>1012.86</v>
      </c>
      <c r="AX141" s="358">
        <f>P141</f>
        <v>6</v>
      </c>
      <c r="AY141" s="358">
        <f t="shared" ref="AY141" si="2778">Q141</f>
        <v>118.73925000000001</v>
      </c>
      <c r="AZ141" s="358">
        <f t="shared" ref="AZ141" si="2779">R141</f>
        <v>0</v>
      </c>
      <c r="BA141" s="358">
        <f t="shared" ref="BA141" si="2780">S141</f>
        <v>0</v>
      </c>
      <c r="BB141" s="358">
        <f t="shared" ref="BB141" si="2781">AJ141+AO141</f>
        <v>0</v>
      </c>
      <c r="BC141" s="358">
        <f t="shared" ref="BC141" si="2782">(AV141+AY141+BA141)*0.1267</f>
        <v>416.22460897500002</v>
      </c>
      <c r="BD141" s="358">
        <f t="shared" ref="BD141" si="2783">SUM(AV141:BC141)-AX141-AZ141</f>
        <v>4714.2038589749991</v>
      </c>
      <c r="BE141" s="358">
        <f t="shared" si="2500"/>
        <v>0</v>
      </c>
      <c r="BF141" s="358">
        <f t="shared" si="2501"/>
        <v>0</v>
      </c>
      <c r="BG141" s="358">
        <f t="shared" ref="BG141" si="2784">T141</f>
        <v>16</v>
      </c>
      <c r="BH141" s="358">
        <f t="shared" ref="BH141" si="2785">U141</f>
        <v>316.63800000000003</v>
      </c>
      <c r="BI141" s="358">
        <f t="shared" ref="BI141" si="2786">V141</f>
        <v>0</v>
      </c>
      <c r="BJ141" s="358">
        <f t="shared" ref="BJ141" si="2787">W141</f>
        <v>0</v>
      </c>
      <c r="BK141" s="358">
        <f t="shared" ref="BK141" si="2788">AK141+AP141</f>
        <v>0</v>
      </c>
      <c r="BL141" s="358">
        <f t="shared" ref="BL141" si="2789">(+BE141+BH141+BJ141+BK141)*0.1267</f>
        <v>40.118034600000009</v>
      </c>
      <c r="BM141" s="1526">
        <f t="shared" ref="BM141" si="2790">SUM(BE141:BL141)-BG141-BI141</f>
        <v>356.75603460000002</v>
      </c>
      <c r="BN141" s="358">
        <f t="shared" si="2506"/>
        <v>0</v>
      </c>
      <c r="BO141" s="358">
        <f t="shared" si="2507"/>
        <v>0</v>
      </c>
      <c r="BP141" s="358">
        <f t="shared" ref="BP141" si="2791">X141</f>
        <v>0</v>
      </c>
      <c r="BQ141" s="358">
        <f t="shared" ref="BQ141" si="2792">Y141</f>
        <v>0</v>
      </c>
      <c r="BR141" s="358">
        <f t="shared" ref="BR141" si="2793">Z141</f>
        <v>0</v>
      </c>
      <c r="BS141" s="358">
        <f t="shared" ref="BS141" si="2794">AA141</f>
        <v>0</v>
      </c>
      <c r="BT141" s="358">
        <f t="shared" ref="BT141" si="2795">AL141+AQ141</f>
        <v>0</v>
      </c>
      <c r="BU141" s="358">
        <f t="shared" ref="BU141" si="2796">(BN141+BQ141+BS141)*0.1267</f>
        <v>0</v>
      </c>
      <c r="BV141" s="358">
        <f t="shared" ref="BV141" si="2797">SUM(BN141:BU141)-BP141-BR141</f>
        <v>0</v>
      </c>
      <c r="BW141" s="1636">
        <f t="shared" si="2513"/>
        <v>0</v>
      </c>
      <c r="BX141" s="1637">
        <f t="shared" si="2514"/>
        <v>0</v>
      </c>
      <c r="BY141" s="1637">
        <f>AB141</f>
        <v>0</v>
      </c>
      <c r="BZ141" s="1637">
        <f t="shared" ref="BZ141" si="2798">AC141</f>
        <v>0</v>
      </c>
      <c r="CA141" s="1637">
        <f t="shared" ref="CA141" si="2799">AD141</f>
        <v>0</v>
      </c>
      <c r="CB141" s="1637">
        <f t="shared" ref="CB141" si="2800">AE141</f>
        <v>0</v>
      </c>
      <c r="CC141" s="1637">
        <f t="shared" ref="CC141" si="2801">AM141+AR141</f>
        <v>0</v>
      </c>
      <c r="CD141" s="1637">
        <f t="shared" ref="CD141" si="2802">(BW141+BZ141+CB141)*0.1267</f>
        <v>0</v>
      </c>
      <c r="CE141" s="1637">
        <f t="shared" ref="CE141" si="2803">SUM(BW141:CD141)-BY141-CA141</f>
        <v>0</v>
      </c>
      <c r="CF141" s="1637">
        <f t="shared" ref="CF141" si="2804">(($E141/30)*$H141)*M141</f>
        <v>0</v>
      </c>
      <c r="CG141" s="1637">
        <f t="shared" si="2520"/>
        <v>0</v>
      </c>
      <c r="CH141" s="1637">
        <f t="shared" ref="CH141" si="2805">+AF141</f>
        <v>0</v>
      </c>
      <c r="CI141" s="1637">
        <f t="shared" ref="CI141" si="2806">AG141</f>
        <v>0</v>
      </c>
      <c r="CJ141" s="1637">
        <f t="shared" ref="CJ141" si="2807">AH141</f>
        <v>0</v>
      </c>
      <c r="CK141" s="1637">
        <f t="shared" ref="CK141" si="2808">AI141</f>
        <v>0</v>
      </c>
      <c r="CL141" s="1637">
        <f t="shared" ref="CL141" si="2809">AN141+AS141</f>
        <v>0</v>
      </c>
      <c r="CM141" s="1637">
        <f t="shared" ref="CM141" si="2810">(CF141+CI141+CK141)*0.1267</f>
        <v>0</v>
      </c>
      <c r="CN141" s="1638">
        <f t="shared" ref="CN141" si="2811">SUM(CF141:CM141)-CH141-CJ141</f>
        <v>0</v>
      </c>
      <c r="CO141" s="1418"/>
      <c r="CP141" s="312" t="s">
        <v>10</v>
      </c>
      <c r="CQ141" s="358">
        <f t="shared" si="2526"/>
        <v>3166.38</v>
      </c>
      <c r="CR141" s="358">
        <f t="shared" si="2636"/>
        <v>1012.86</v>
      </c>
      <c r="CS141" s="358">
        <f t="shared" si="2527"/>
        <v>22</v>
      </c>
      <c r="CT141" s="358">
        <f t="shared" si="2528"/>
        <v>435.37725000000006</v>
      </c>
      <c r="CU141" s="358">
        <f t="shared" si="2529"/>
        <v>0</v>
      </c>
      <c r="CV141" s="358">
        <f t="shared" si="2530"/>
        <v>0</v>
      </c>
      <c r="CW141" s="358">
        <f t="shared" si="2531"/>
        <v>0</v>
      </c>
      <c r="CX141" s="358">
        <f t="shared" ref="CX141" si="2812">IF($CP141="PROQUIMA",$BC141+$BL141+$BU141+$CD141+CM141,0)</f>
        <v>456.34264357500001</v>
      </c>
      <c r="CY141" s="358">
        <f t="shared" ref="CY141" si="2813">SUM(CQ141:CX141)-CS141-CU141</f>
        <v>5070.959893575</v>
      </c>
      <c r="CZ141" s="358">
        <f t="shared" si="2534"/>
        <v>0</v>
      </c>
      <c r="DA141" s="358">
        <f t="shared" si="2535"/>
        <v>0</v>
      </c>
      <c r="DB141" s="358">
        <f t="shared" si="2536"/>
        <v>0</v>
      </c>
      <c r="DC141" s="358">
        <f t="shared" si="2537"/>
        <v>0</v>
      </c>
      <c r="DD141" s="358">
        <f t="shared" si="2538"/>
        <v>0</v>
      </c>
      <c r="DE141" s="358">
        <f t="shared" si="2539"/>
        <v>0</v>
      </c>
      <c r="DF141" s="358">
        <f t="shared" si="2540"/>
        <v>0</v>
      </c>
      <c r="DG141" s="358">
        <f t="shared" si="2541"/>
        <v>0</v>
      </c>
      <c r="DH141" s="358">
        <f t="shared" ref="DH141" si="2814">SUM(CZ141:DG141)-DB141-DD141</f>
        <v>0</v>
      </c>
      <c r="DI141" s="358">
        <f t="shared" si="2543"/>
        <v>0</v>
      </c>
      <c r="DJ141" s="358">
        <f t="shared" si="2544"/>
        <v>0</v>
      </c>
      <c r="DK141" s="358">
        <f t="shared" si="2545"/>
        <v>0</v>
      </c>
      <c r="DL141" s="358">
        <f t="shared" si="2546"/>
        <v>0</v>
      </c>
      <c r="DM141" s="358">
        <f t="shared" si="2547"/>
        <v>0</v>
      </c>
      <c r="DN141" s="358">
        <f t="shared" si="2548"/>
        <v>0</v>
      </c>
      <c r="DO141" s="358">
        <f t="shared" si="2549"/>
        <v>0</v>
      </c>
      <c r="DP141" s="358">
        <f t="shared" si="2550"/>
        <v>0</v>
      </c>
      <c r="DQ141" s="358">
        <f t="shared" ref="DQ141" si="2815">SUM(DI141:DP141)-DK141-DM141</f>
        <v>0</v>
      </c>
      <c r="DR141" s="1636">
        <f t="shared" si="2552"/>
        <v>0</v>
      </c>
      <c r="DS141" s="1637">
        <f t="shared" si="2553"/>
        <v>0</v>
      </c>
      <c r="DT141" s="1637">
        <f t="shared" si="2554"/>
        <v>0</v>
      </c>
      <c r="DU141" s="1637">
        <f t="shared" si="2555"/>
        <v>0</v>
      </c>
      <c r="DV141" s="1637">
        <f t="shared" si="2556"/>
        <v>0</v>
      </c>
      <c r="DW141" s="1637">
        <f t="shared" si="2557"/>
        <v>0</v>
      </c>
      <c r="DX141" s="1637">
        <f t="shared" si="2558"/>
        <v>0</v>
      </c>
      <c r="DY141" s="1637">
        <f t="shared" si="2559"/>
        <v>0</v>
      </c>
      <c r="DZ141" s="1637">
        <f t="shared" ref="DZ141" si="2816">SUM(DR141:DY141)-DT141-DV141</f>
        <v>0</v>
      </c>
      <c r="EA141" s="1637">
        <f t="shared" si="2561"/>
        <v>0</v>
      </c>
      <c r="EB141" s="1637">
        <f t="shared" si="2562"/>
        <v>0</v>
      </c>
      <c r="EC141" s="1637">
        <f t="shared" si="2563"/>
        <v>0</v>
      </c>
      <c r="ED141" s="1637">
        <f t="shared" si="2564"/>
        <v>0</v>
      </c>
      <c r="EE141" s="1637">
        <f t="shared" si="2565"/>
        <v>0</v>
      </c>
      <c r="EF141" s="1637">
        <f t="shared" si="2566"/>
        <v>0</v>
      </c>
      <c r="EG141" s="1637">
        <f t="shared" si="2567"/>
        <v>0</v>
      </c>
      <c r="EH141" s="1637">
        <f t="shared" si="2568"/>
        <v>0</v>
      </c>
      <c r="EI141" s="1638">
        <f t="shared" ref="EI141" si="2817">SUM(EA141:EH141)-EC141-EE141</f>
        <v>0</v>
      </c>
      <c r="EJ141" s="1418"/>
      <c r="EK141" s="1425"/>
      <c r="EL141" s="1425"/>
      <c r="EM141" s="1425"/>
      <c r="EN141" s="312"/>
      <c r="EO141" s="312"/>
      <c r="EP141" s="312">
        <v>50</v>
      </c>
      <c r="EQ141" s="1968"/>
      <c r="ER141" s="312"/>
      <c r="ES141" s="312"/>
      <c r="ET141" s="312">
        <f t="shared" ref="ET141" si="2818">+EO141+EP141+EQ141</f>
        <v>50</v>
      </c>
      <c r="EV141" s="404">
        <f t="shared" ref="EV141" si="2819">IF($H141&lt;=15,EK141/2,EK141)</f>
        <v>0</v>
      </c>
      <c r="EW141" s="404">
        <f t="shared" ref="EW141" si="2820">IF($H141&lt;=15,EL141/2,EL141)</f>
        <v>0</v>
      </c>
      <c r="EX141" s="404">
        <f t="shared" ref="EX141" si="2821">IF($H141&lt;=15,EM141/2,EM141)</f>
        <v>0</v>
      </c>
      <c r="EY141" s="404">
        <f t="shared" ref="EY141" si="2822">IF($H141&lt;=15,EN141/2,EN141)</f>
        <v>0</v>
      </c>
      <c r="EZ141" s="404">
        <f t="shared" ref="EZ141" si="2823">IF($H141&lt;=15,EO141/2,EO141)</f>
        <v>0</v>
      </c>
      <c r="FA141" s="404">
        <f t="shared" ref="FA141" si="2824">IF($H141&lt;=15,EP141/2,EP141)</f>
        <v>50</v>
      </c>
      <c r="FB141" s="404">
        <f t="shared" ref="FB141" si="2825">IF($H141&lt;=15,EQ141/2,EQ141)</f>
        <v>0</v>
      </c>
      <c r="FC141" s="404">
        <f t="shared" ref="FC141" si="2826">IF($H141&lt;=15,ER141/2,ER141)</f>
        <v>0</v>
      </c>
      <c r="FD141" s="404">
        <f>IF($H141&lt;=15,ES141/2,ES141)</f>
        <v>0</v>
      </c>
      <c r="FE141" s="404">
        <f t="shared" si="2632"/>
        <v>50</v>
      </c>
      <c r="FF141" s="332"/>
      <c r="FG141" s="332"/>
      <c r="FH141" s="332"/>
      <c r="FI141" s="332"/>
      <c r="FJ141" s="332"/>
      <c r="FK141" s="332"/>
      <c r="FL141" s="354"/>
    </row>
    <row r="142" spans="1:168" s="1582" customFormat="1" ht="15.75" customHeight="1" outlineLevel="1" thickBot="1">
      <c r="A142" s="1418"/>
      <c r="B142" s="1600"/>
      <c r="C142" s="1582" t="s">
        <v>113</v>
      </c>
      <c r="E142" s="1619">
        <f>SUM(E136:E141)</f>
        <v>18998.280000000002</v>
      </c>
      <c r="F142" s="1619">
        <f>SUM(F136:F141)</f>
        <v>2692.86</v>
      </c>
      <c r="G142" s="1619">
        <f>SUM(G136:G141)</f>
        <v>21691.140000000003</v>
      </c>
      <c r="H142" s="1619"/>
      <c r="I142" s="1585"/>
      <c r="J142" s="1585"/>
      <c r="K142" s="1585"/>
      <c r="L142" s="1585"/>
      <c r="M142" s="1585"/>
      <c r="N142" s="1585" t="s">
        <v>54</v>
      </c>
      <c r="O142" s="1480"/>
      <c r="P142" s="1641">
        <f t="shared" ref="P142:AU142" si="2827">SUM(P136:P141)</f>
        <v>82</v>
      </c>
      <c r="Q142" s="1641">
        <f t="shared" si="2827"/>
        <v>1622.7697500000002</v>
      </c>
      <c r="R142" s="1641">
        <f t="shared" si="2827"/>
        <v>0</v>
      </c>
      <c r="S142" s="1641">
        <f t="shared" si="2827"/>
        <v>0</v>
      </c>
      <c r="T142" s="1641">
        <f t="shared" si="2827"/>
        <v>68</v>
      </c>
      <c r="U142" s="1641">
        <f t="shared" si="2827"/>
        <v>1345.7114999999999</v>
      </c>
      <c r="V142" s="1641">
        <f t="shared" si="2827"/>
        <v>0</v>
      </c>
      <c r="W142" s="1641">
        <f t="shared" si="2827"/>
        <v>0</v>
      </c>
      <c r="X142" s="1641">
        <f t="shared" si="2827"/>
        <v>0</v>
      </c>
      <c r="Y142" s="1641">
        <f t="shared" si="2827"/>
        <v>0</v>
      </c>
      <c r="Z142" s="1641">
        <f t="shared" si="2827"/>
        <v>0</v>
      </c>
      <c r="AA142" s="1641">
        <f t="shared" si="2827"/>
        <v>0</v>
      </c>
      <c r="AB142" s="1641">
        <f t="shared" si="2827"/>
        <v>0</v>
      </c>
      <c r="AC142" s="1641">
        <f t="shared" si="2827"/>
        <v>0</v>
      </c>
      <c r="AD142" s="1641">
        <f t="shared" si="2827"/>
        <v>0</v>
      </c>
      <c r="AE142" s="1641">
        <f t="shared" si="2827"/>
        <v>0</v>
      </c>
      <c r="AF142" s="1641">
        <f t="shared" si="2827"/>
        <v>0</v>
      </c>
      <c r="AG142" s="1641">
        <f t="shared" si="2827"/>
        <v>0</v>
      </c>
      <c r="AH142" s="1641">
        <f t="shared" si="2827"/>
        <v>0</v>
      </c>
      <c r="AI142" s="1641">
        <f t="shared" si="2827"/>
        <v>0</v>
      </c>
      <c r="AJ142" s="1641">
        <f t="shared" si="2827"/>
        <v>0</v>
      </c>
      <c r="AK142" s="1641">
        <f t="shared" si="2827"/>
        <v>0</v>
      </c>
      <c r="AL142" s="1641">
        <f t="shared" si="2827"/>
        <v>0</v>
      </c>
      <c r="AM142" s="1641">
        <f t="shared" si="2827"/>
        <v>0</v>
      </c>
      <c r="AN142" s="1641">
        <f t="shared" si="2827"/>
        <v>0</v>
      </c>
      <c r="AO142" s="1641">
        <f t="shared" si="2827"/>
        <v>0</v>
      </c>
      <c r="AP142" s="1641">
        <f t="shared" si="2827"/>
        <v>0</v>
      </c>
      <c r="AQ142" s="1641">
        <f t="shared" si="2827"/>
        <v>0</v>
      </c>
      <c r="AR142" s="1641">
        <f t="shared" si="2827"/>
        <v>0</v>
      </c>
      <c r="AS142" s="1641">
        <f t="shared" si="2827"/>
        <v>0</v>
      </c>
      <c r="AT142" s="1641">
        <f t="shared" si="2827"/>
        <v>0</v>
      </c>
      <c r="AU142" s="1641">
        <f t="shared" si="2827"/>
        <v>0</v>
      </c>
      <c r="AV142" s="1641">
        <f t="shared" ref="AV142:BV142" si="2828">SUM(AV136:AV141)</f>
        <v>12032.243999999999</v>
      </c>
      <c r="AW142" s="1641">
        <f>SUM(AW136:AW141)</f>
        <v>5602.86</v>
      </c>
      <c r="AX142" s="1641">
        <f t="shared" si="2828"/>
        <v>82</v>
      </c>
      <c r="AY142" s="1641">
        <f t="shared" si="2828"/>
        <v>1622.7697500000002</v>
      </c>
      <c r="AZ142" s="1641">
        <f t="shared" si="2828"/>
        <v>0</v>
      </c>
      <c r="BA142" s="1641">
        <f t="shared" si="2828"/>
        <v>0</v>
      </c>
      <c r="BB142" s="1641">
        <f t="shared" si="2828"/>
        <v>0</v>
      </c>
      <c r="BC142" s="1641">
        <f t="shared" si="2828"/>
        <v>1730.0902421250003</v>
      </c>
      <c r="BD142" s="1641">
        <f t="shared" si="2828"/>
        <v>20987.963992124998</v>
      </c>
      <c r="BE142" s="1641">
        <f t="shared" si="2828"/>
        <v>6966.0360000000001</v>
      </c>
      <c r="BF142" s="1641">
        <f>SUM(BF136:BF141)</f>
        <v>1360</v>
      </c>
      <c r="BG142" s="1641">
        <f t="shared" si="2828"/>
        <v>68</v>
      </c>
      <c r="BH142" s="1641">
        <f t="shared" si="2828"/>
        <v>1345.7114999999999</v>
      </c>
      <c r="BI142" s="1641">
        <f t="shared" si="2828"/>
        <v>0</v>
      </c>
      <c r="BJ142" s="1641">
        <f t="shared" si="2828"/>
        <v>0</v>
      </c>
      <c r="BK142" s="1641">
        <f t="shared" si="2828"/>
        <v>0</v>
      </c>
      <c r="BL142" s="1641">
        <f t="shared" si="2828"/>
        <v>1053.0984082500001</v>
      </c>
      <c r="BM142" s="1641">
        <f t="shared" si="2828"/>
        <v>10724.845908250001</v>
      </c>
      <c r="BN142" s="1641">
        <f t="shared" si="2828"/>
        <v>0</v>
      </c>
      <c r="BO142" s="1641">
        <f t="shared" si="2828"/>
        <v>0</v>
      </c>
      <c r="BP142" s="1641">
        <f t="shared" si="2828"/>
        <v>0</v>
      </c>
      <c r="BQ142" s="1641">
        <f t="shared" si="2828"/>
        <v>0</v>
      </c>
      <c r="BR142" s="1641">
        <f t="shared" si="2828"/>
        <v>0</v>
      </c>
      <c r="BS142" s="1641">
        <f t="shared" si="2828"/>
        <v>0</v>
      </c>
      <c r="BT142" s="1641">
        <f t="shared" si="2828"/>
        <v>0</v>
      </c>
      <c r="BU142" s="1641">
        <f t="shared" si="2828"/>
        <v>0</v>
      </c>
      <c r="BV142" s="1641">
        <f t="shared" si="2828"/>
        <v>0</v>
      </c>
      <c r="BW142" s="1641">
        <f t="shared" ref="BW142:CN142" si="2829">SUM(BW136:BW136)</f>
        <v>0</v>
      </c>
      <c r="BX142" s="1641">
        <f t="shared" si="2829"/>
        <v>0</v>
      </c>
      <c r="BY142" s="1641">
        <f t="shared" si="2829"/>
        <v>0</v>
      </c>
      <c r="BZ142" s="1641">
        <f t="shared" si="2829"/>
        <v>0</v>
      </c>
      <c r="CA142" s="1641">
        <f t="shared" si="2829"/>
        <v>0</v>
      </c>
      <c r="CB142" s="1641">
        <f t="shared" si="2829"/>
        <v>0</v>
      </c>
      <c r="CC142" s="1641">
        <f t="shared" si="2829"/>
        <v>0</v>
      </c>
      <c r="CD142" s="1641">
        <f t="shared" si="2829"/>
        <v>0</v>
      </c>
      <c r="CE142" s="1641">
        <f t="shared" si="2829"/>
        <v>0</v>
      </c>
      <c r="CF142" s="1641">
        <f t="shared" si="2829"/>
        <v>0</v>
      </c>
      <c r="CG142" s="1641">
        <f t="shared" si="2829"/>
        <v>0</v>
      </c>
      <c r="CH142" s="1641">
        <f t="shared" si="2829"/>
        <v>0</v>
      </c>
      <c r="CI142" s="1641">
        <f t="shared" si="2829"/>
        <v>0</v>
      </c>
      <c r="CJ142" s="1641">
        <f t="shared" si="2829"/>
        <v>0</v>
      </c>
      <c r="CK142" s="1641">
        <f t="shared" si="2829"/>
        <v>0</v>
      </c>
      <c r="CL142" s="1641">
        <f t="shared" si="2829"/>
        <v>0</v>
      </c>
      <c r="CM142" s="1641">
        <f t="shared" si="2829"/>
        <v>0</v>
      </c>
      <c r="CN142" s="1641">
        <f t="shared" si="2829"/>
        <v>0</v>
      </c>
      <c r="CO142" s="1641"/>
      <c r="CP142" s="1641"/>
      <c r="CQ142" s="1650">
        <f t="shared" ref="CQ142:DQ142" si="2830">SUM(CQ136:CQ141)</f>
        <v>12665.52</v>
      </c>
      <c r="CR142" s="1650">
        <f t="shared" si="2830"/>
        <v>5772.86</v>
      </c>
      <c r="CS142" s="1650">
        <f t="shared" si="2830"/>
        <v>97</v>
      </c>
      <c r="CT142" s="1650">
        <f t="shared" si="2830"/>
        <v>1919.6178750000004</v>
      </c>
      <c r="CU142" s="1650">
        <f t="shared" si="2830"/>
        <v>0</v>
      </c>
      <c r="CV142" s="1650">
        <f t="shared" si="2830"/>
        <v>0</v>
      </c>
      <c r="CW142" s="1650">
        <f t="shared" si="2830"/>
        <v>0</v>
      </c>
      <c r="CX142" s="1650">
        <f t="shared" si="2830"/>
        <v>1847.9369687625001</v>
      </c>
      <c r="CY142" s="1650">
        <f t="shared" si="2830"/>
        <v>22205.934843762501</v>
      </c>
      <c r="CZ142" s="1650">
        <f t="shared" si="2830"/>
        <v>6332.76</v>
      </c>
      <c r="DA142" s="1650">
        <f t="shared" si="2830"/>
        <v>1190</v>
      </c>
      <c r="DB142" s="1650">
        <f t="shared" si="2830"/>
        <v>53</v>
      </c>
      <c r="DC142" s="1650">
        <f t="shared" si="2830"/>
        <v>1048.8633750000001</v>
      </c>
      <c r="DD142" s="1650">
        <f t="shared" si="2830"/>
        <v>0</v>
      </c>
      <c r="DE142" s="1650">
        <f t="shared" si="2830"/>
        <v>0</v>
      </c>
      <c r="DF142" s="1650">
        <f t="shared" si="2830"/>
        <v>0</v>
      </c>
      <c r="DG142" s="1650">
        <f t="shared" si="2830"/>
        <v>935.25168161250008</v>
      </c>
      <c r="DH142" s="1650">
        <f t="shared" si="2830"/>
        <v>9506.8750566125</v>
      </c>
      <c r="DI142" s="1650">
        <f t="shared" si="2830"/>
        <v>0</v>
      </c>
      <c r="DJ142" s="1650">
        <f t="shared" si="2830"/>
        <v>0</v>
      </c>
      <c r="DK142" s="1650">
        <f t="shared" si="2830"/>
        <v>0</v>
      </c>
      <c r="DL142" s="1650">
        <f t="shared" si="2830"/>
        <v>0</v>
      </c>
      <c r="DM142" s="1650">
        <f t="shared" si="2830"/>
        <v>0</v>
      </c>
      <c r="DN142" s="1650">
        <f t="shared" si="2830"/>
        <v>0</v>
      </c>
      <c r="DO142" s="1650">
        <f t="shared" si="2830"/>
        <v>0</v>
      </c>
      <c r="DP142" s="1650">
        <f t="shared" si="2830"/>
        <v>0</v>
      </c>
      <c r="DQ142" s="1650">
        <f t="shared" si="2830"/>
        <v>0</v>
      </c>
      <c r="DR142" s="1650">
        <f t="shared" ref="DR142:EI142" si="2831">SUM(DR136:DR138)</f>
        <v>0</v>
      </c>
      <c r="DS142" s="1650">
        <f t="shared" si="2831"/>
        <v>0</v>
      </c>
      <c r="DT142" s="1650">
        <f t="shared" si="2831"/>
        <v>0</v>
      </c>
      <c r="DU142" s="1650">
        <f t="shared" si="2831"/>
        <v>0</v>
      </c>
      <c r="DV142" s="1650">
        <f t="shared" si="2831"/>
        <v>0</v>
      </c>
      <c r="DW142" s="1650">
        <f t="shared" si="2831"/>
        <v>0</v>
      </c>
      <c r="DX142" s="1650">
        <f t="shared" si="2831"/>
        <v>0</v>
      </c>
      <c r="DY142" s="1650">
        <f t="shared" si="2831"/>
        <v>0</v>
      </c>
      <c r="DZ142" s="1650">
        <f t="shared" si="2831"/>
        <v>0</v>
      </c>
      <c r="EA142" s="1650">
        <f t="shared" si="2831"/>
        <v>0</v>
      </c>
      <c r="EB142" s="1650">
        <f t="shared" si="2831"/>
        <v>0</v>
      </c>
      <c r="EC142" s="1650">
        <f t="shared" si="2831"/>
        <v>0</v>
      </c>
      <c r="ED142" s="1650">
        <f t="shared" si="2831"/>
        <v>0</v>
      </c>
      <c r="EE142" s="1650">
        <f t="shared" si="2831"/>
        <v>0</v>
      </c>
      <c r="EF142" s="1650">
        <f t="shared" si="2831"/>
        <v>0</v>
      </c>
      <c r="EG142" s="1650">
        <f t="shared" si="2831"/>
        <v>0</v>
      </c>
      <c r="EH142" s="1650">
        <f t="shared" si="2831"/>
        <v>0</v>
      </c>
      <c r="EI142" s="1650">
        <f t="shared" si="2831"/>
        <v>0</v>
      </c>
      <c r="EK142" s="1650">
        <f t="shared" ref="EK142:ET142" si="2832">+SUM(EK136:EK141)</f>
        <v>143.83999999999997</v>
      </c>
      <c r="EL142" s="1650">
        <f t="shared" si="2832"/>
        <v>0</v>
      </c>
      <c r="EM142" s="1650">
        <f t="shared" si="2832"/>
        <v>0</v>
      </c>
      <c r="EN142" s="1650">
        <f t="shared" si="2832"/>
        <v>277</v>
      </c>
      <c r="EO142" s="1650">
        <f t="shared" si="2832"/>
        <v>0</v>
      </c>
      <c r="EP142" s="1650">
        <f t="shared" si="2832"/>
        <v>250</v>
      </c>
      <c r="EQ142" s="1650">
        <f t="shared" si="2832"/>
        <v>0</v>
      </c>
      <c r="ER142" s="1650">
        <f t="shared" si="2832"/>
        <v>0</v>
      </c>
      <c r="ES142" s="1650">
        <f t="shared" si="2832"/>
        <v>0</v>
      </c>
      <c r="ET142" s="1650">
        <f t="shared" si="2832"/>
        <v>250</v>
      </c>
      <c r="EV142" s="1650">
        <f t="shared" ref="EV142:FK142" si="2833">+SUM(EV136:EV141)</f>
        <v>143.83999999999997</v>
      </c>
      <c r="EW142" s="1650">
        <f t="shared" si="2833"/>
        <v>0</v>
      </c>
      <c r="EX142" s="1650">
        <f t="shared" si="2833"/>
        <v>0</v>
      </c>
      <c r="EY142" s="1650">
        <f t="shared" si="2833"/>
        <v>277</v>
      </c>
      <c r="EZ142" s="1650">
        <f t="shared" si="2833"/>
        <v>0</v>
      </c>
      <c r="FA142" s="1650">
        <f t="shared" si="2833"/>
        <v>250</v>
      </c>
      <c r="FB142" s="1650">
        <f t="shared" si="2833"/>
        <v>0</v>
      </c>
      <c r="FC142" s="1650">
        <f t="shared" si="2833"/>
        <v>0</v>
      </c>
      <c r="FD142" s="1650">
        <f t="shared" si="2833"/>
        <v>0</v>
      </c>
      <c r="FE142" s="1650">
        <f t="shared" si="2833"/>
        <v>250</v>
      </c>
      <c r="FF142" s="1650">
        <f t="shared" si="2833"/>
        <v>1</v>
      </c>
      <c r="FG142" s="1650">
        <f t="shared" si="2833"/>
        <v>0.8</v>
      </c>
      <c r="FH142" s="1650">
        <f t="shared" si="2833"/>
        <v>0.2</v>
      </c>
      <c r="FI142" s="1650">
        <f t="shared" si="2833"/>
        <v>0</v>
      </c>
      <c r="FJ142" s="1650">
        <f t="shared" si="2833"/>
        <v>0</v>
      </c>
      <c r="FK142" s="1650">
        <f t="shared" si="2833"/>
        <v>2</v>
      </c>
      <c r="FL142" s="331">
        <f t="shared" si="2482"/>
        <v>0</v>
      </c>
    </row>
    <row r="143" spans="1:168" s="1582" customFormat="1" ht="16.5" customHeight="1" outlineLevel="1" thickTop="1" thickBot="1">
      <c r="A143" s="1418"/>
      <c r="B143" s="1348"/>
      <c r="C143" s="1582" t="s">
        <v>114</v>
      </c>
      <c r="E143" s="1650">
        <f>SUM(E134+E142)</f>
        <v>47495.700000000012</v>
      </c>
      <c r="F143" s="1650">
        <f>SUM(F134+F142)</f>
        <v>8776.48</v>
      </c>
      <c r="G143" s="1650">
        <f>SUM(G134+G142)</f>
        <v>56272.180000000008</v>
      </c>
      <c r="H143" s="1619"/>
      <c r="I143" s="1585"/>
      <c r="J143" s="1585"/>
      <c r="K143" s="1585"/>
      <c r="L143" s="1585"/>
      <c r="M143" s="1585"/>
      <c r="N143" s="1585" t="s">
        <v>54</v>
      </c>
      <c r="P143" s="1650">
        <f t="shared" ref="P143:AT143" si="2834">SUM(P134+P142)</f>
        <v>93</v>
      </c>
      <c r="Q143" s="1650">
        <f t="shared" si="2834"/>
        <v>1840.4583750000002</v>
      </c>
      <c r="R143" s="1650">
        <f t="shared" si="2834"/>
        <v>0</v>
      </c>
      <c r="S143" s="1650">
        <f t="shared" si="2834"/>
        <v>0</v>
      </c>
      <c r="T143" s="1650">
        <f t="shared" si="2834"/>
        <v>169</v>
      </c>
      <c r="U143" s="1650">
        <f t="shared" si="2834"/>
        <v>3344.488875</v>
      </c>
      <c r="V143" s="1650">
        <f t="shared" si="2834"/>
        <v>0</v>
      </c>
      <c r="W143" s="1650">
        <f t="shared" si="2834"/>
        <v>0</v>
      </c>
      <c r="X143" s="1650">
        <f t="shared" si="2834"/>
        <v>0</v>
      </c>
      <c r="Y143" s="1650">
        <f t="shared" si="2834"/>
        <v>0</v>
      </c>
      <c r="Z143" s="1650">
        <f t="shared" si="2834"/>
        <v>0</v>
      </c>
      <c r="AA143" s="1650">
        <f t="shared" si="2834"/>
        <v>0</v>
      </c>
      <c r="AB143" s="1650">
        <f t="shared" si="2834"/>
        <v>0</v>
      </c>
      <c r="AC143" s="1650">
        <f t="shared" si="2834"/>
        <v>0</v>
      </c>
      <c r="AD143" s="1650">
        <f t="shared" si="2834"/>
        <v>0</v>
      </c>
      <c r="AE143" s="1650">
        <f t="shared" si="2834"/>
        <v>0</v>
      </c>
      <c r="AF143" s="1650">
        <f t="shared" si="2834"/>
        <v>0</v>
      </c>
      <c r="AG143" s="1650">
        <f t="shared" si="2834"/>
        <v>0</v>
      </c>
      <c r="AH143" s="1650">
        <f t="shared" si="2834"/>
        <v>0</v>
      </c>
      <c r="AI143" s="1650">
        <f t="shared" si="2834"/>
        <v>0</v>
      </c>
      <c r="AJ143" s="1650">
        <f t="shared" si="2834"/>
        <v>0</v>
      </c>
      <c r="AK143" s="1650">
        <f t="shared" si="2834"/>
        <v>0</v>
      </c>
      <c r="AL143" s="1650">
        <f t="shared" si="2834"/>
        <v>0</v>
      </c>
      <c r="AM143" s="1650">
        <f t="shared" si="2834"/>
        <v>0</v>
      </c>
      <c r="AN143" s="1650">
        <f t="shared" si="2834"/>
        <v>0</v>
      </c>
      <c r="AO143" s="1650">
        <f t="shared" si="2834"/>
        <v>0</v>
      </c>
      <c r="AP143" s="1650">
        <f t="shared" si="2834"/>
        <v>0</v>
      </c>
      <c r="AQ143" s="1650">
        <f t="shared" si="2834"/>
        <v>0</v>
      </c>
      <c r="AR143" s="1650">
        <f t="shared" si="2834"/>
        <v>0</v>
      </c>
      <c r="AS143" s="1650">
        <f t="shared" si="2834"/>
        <v>0</v>
      </c>
      <c r="AT143" s="1650">
        <f t="shared" si="2834"/>
        <v>0</v>
      </c>
      <c r="AV143" s="1650">
        <f t="shared" ref="AV143:CN143" si="2835">SUM(AV134+AV142)</f>
        <v>30397.248</v>
      </c>
      <c r="AW143" s="1650">
        <f t="shared" si="2835"/>
        <v>10211.48</v>
      </c>
      <c r="AX143" s="1650">
        <f t="shared" si="2835"/>
        <v>93</v>
      </c>
      <c r="AY143" s="1650">
        <f t="shared" si="2835"/>
        <v>1840.4583750000002</v>
      </c>
      <c r="AZ143" s="1650">
        <f t="shared" si="2835"/>
        <v>0</v>
      </c>
      <c r="BA143" s="1650">
        <f t="shared" si="2835"/>
        <v>0</v>
      </c>
      <c r="BB143" s="1650">
        <f t="shared" si="2835"/>
        <v>0</v>
      </c>
      <c r="BC143" s="1650">
        <f t="shared" si="2835"/>
        <v>4084.5173977125005</v>
      </c>
      <c r="BD143" s="1650">
        <f t="shared" si="2835"/>
        <v>46533.703772712499</v>
      </c>
      <c r="BE143" s="1650">
        <f t="shared" si="2835"/>
        <v>17098.451999999997</v>
      </c>
      <c r="BF143" s="1650">
        <f t="shared" si="2835"/>
        <v>2475</v>
      </c>
      <c r="BG143" s="1650">
        <f t="shared" si="2835"/>
        <v>169</v>
      </c>
      <c r="BH143" s="1650">
        <f t="shared" si="2835"/>
        <v>3344.488875</v>
      </c>
      <c r="BI143" s="1650">
        <f t="shared" si="2835"/>
        <v>0</v>
      </c>
      <c r="BJ143" s="1650">
        <f t="shared" si="2835"/>
        <v>0</v>
      </c>
      <c r="BK143" s="1650">
        <f t="shared" si="2835"/>
        <v>0</v>
      </c>
      <c r="BL143" s="1650">
        <f t="shared" si="2835"/>
        <v>2590.1206088625004</v>
      </c>
      <c r="BM143" s="1650">
        <f t="shared" si="2835"/>
        <v>25508.061483862501</v>
      </c>
      <c r="BN143" s="1650">
        <f t="shared" si="2835"/>
        <v>0</v>
      </c>
      <c r="BO143" s="1650">
        <f t="shared" si="2835"/>
        <v>0</v>
      </c>
      <c r="BP143" s="1650">
        <f t="shared" si="2835"/>
        <v>0</v>
      </c>
      <c r="BQ143" s="1650">
        <f t="shared" si="2835"/>
        <v>0</v>
      </c>
      <c r="BR143" s="1650">
        <f t="shared" si="2835"/>
        <v>0</v>
      </c>
      <c r="BS143" s="1650">
        <f t="shared" si="2835"/>
        <v>0</v>
      </c>
      <c r="BT143" s="1650">
        <f t="shared" si="2835"/>
        <v>0</v>
      </c>
      <c r="BU143" s="1650">
        <f t="shared" si="2835"/>
        <v>0</v>
      </c>
      <c r="BV143" s="1650">
        <f t="shared" si="2835"/>
        <v>0</v>
      </c>
      <c r="BW143" s="1651">
        <f t="shared" si="2835"/>
        <v>0</v>
      </c>
      <c r="BX143" s="1651">
        <f t="shared" si="2835"/>
        <v>0</v>
      </c>
      <c r="BY143" s="1651">
        <f t="shared" si="2835"/>
        <v>0</v>
      </c>
      <c r="BZ143" s="1651">
        <f t="shared" si="2835"/>
        <v>0</v>
      </c>
      <c r="CA143" s="1651">
        <f t="shared" si="2835"/>
        <v>0</v>
      </c>
      <c r="CB143" s="1651">
        <f t="shared" si="2835"/>
        <v>0</v>
      </c>
      <c r="CC143" s="1651">
        <f t="shared" si="2835"/>
        <v>0</v>
      </c>
      <c r="CD143" s="1651">
        <f t="shared" si="2835"/>
        <v>0</v>
      </c>
      <c r="CE143" s="1651">
        <f t="shared" si="2835"/>
        <v>0</v>
      </c>
      <c r="CF143" s="1651">
        <f t="shared" si="2835"/>
        <v>0</v>
      </c>
      <c r="CG143" s="1651">
        <f t="shared" si="2835"/>
        <v>0</v>
      </c>
      <c r="CH143" s="1651">
        <f t="shared" si="2835"/>
        <v>0</v>
      </c>
      <c r="CI143" s="1651">
        <f t="shared" si="2835"/>
        <v>0</v>
      </c>
      <c r="CJ143" s="1651">
        <f t="shared" si="2835"/>
        <v>0</v>
      </c>
      <c r="CK143" s="1651">
        <f t="shared" si="2835"/>
        <v>0</v>
      </c>
      <c r="CL143" s="1651">
        <f t="shared" si="2835"/>
        <v>0</v>
      </c>
      <c r="CM143" s="1651">
        <f t="shared" si="2835"/>
        <v>0</v>
      </c>
      <c r="CN143" s="1651">
        <f t="shared" si="2835"/>
        <v>0</v>
      </c>
      <c r="CQ143" s="1619">
        <f t="shared" ref="CQ143:EI143" si="2836">SUM(CQ134+CQ142)</f>
        <v>31663.800000000003</v>
      </c>
      <c r="CR143" s="1619">
        <f t="shared" si="2836"/>
        <v>9996.48</v>
      </c>
      <c r="CS143" s="1619">
        <f t="shared" si="2836"/>
        <v>155</v>
      </c>
      <c r="CT143" s="1619">
        <f t="shared" si="2836"/>
        <v>3067.4306250000004</v>
      </c>
      <c r="CU143" s="1619">
        <f t="shared" si="2836"/>
        <v>0</v>
      </c>
      <c r="CV143" s="1619">
        <f t="shared" si="2836"/>
        <v>0</v>
      </c>
      <c r="CW143" s="1619">
        <f t="shared" si="2836"/>
        <v>0</v>
      </c>
      <c r="CX143" s="1619">
        <f t="shared" si="2836"/>
        <v>4400.4469201875008</v>
      </c>
      <c r="CY143" s="1619">
        <f t="shared" si="2836"/>
        <v>49128.157545187496</v>
      </c>
      <c r="CZ143" s="1652">
        <f t="shared" si="2836"/>
        <v>15831.9</v>
      </c>
      <c r="DA143" s="1619">
        <f t="shared" si="2836"/>
        <v>2690</v>
      </c>
      <c r="DB143" s="1619">
        <f t="shared" si="2836"/>
        <v>107</v>
      </c>
      <c r="DC143" s="1619">
        <f t="shared" si="2836"/>
        <v>2117.5166250000002</v>
      </c>
      <c r="DD143" s="1619">
        <f t="shared" si="2836"/>
        <v>0</v>
      </c>
      <c r="DE143" s="1619">
        <f t="shared" si="2836"/>
        <v>0</v>
      </c>
      <c r="DF143" s="1619">
        <f t="shared" si="2836"/>
        <v>0</v>
      </c>
      <c r="DG143" s="1619">
        <f t="shared" si="2836"/>
        <v>2274.1910863875</v>
      </c>
      <c r="DH143" s="1619">
        <f t="shared" si="2836"/>
        <v>22913.6077113875</v>
      </c>
      <c r="DI143" s="1619">
        <f t="shared" si="2836"/>
        <v>0</v>
      </c>
      <c r="DJ143" s="1619">
        <f t="shared" si="2836"/>
        <v>0</v>
      </c>
      <c r="DK143" s="1619">
        <f t="shared" si="2836"/>
        <v>0</v>
      </c>
      <c r="DL143" s="1619">
        <f t="shared" si="2836"/>
        <v>0</v>
      </c>
      <c r="DM143" s="1619">
        <f t="shared" si="2836"/>
        <v>0</v>
      </c>
      <c r="DN143" s="1619">
        <f t="shared" si="2836"/>
        <v>0</v>
      </c>
      <c r="DO143" s="1619">
        <f t="shared" si="2836"/>
        <v>0</v>
      </c>
      <c r="DP143" s="1619">
        <f t="shared" si="2836"/>
        <v>0</v>
      </c>
      <c r="DQ143" s="1619">
        <f t="shared" si="2836"/>
        <v>0</v>
      </c>
      <c r="DR143" s="1619">
        <f t="shared" si="2836"/>
        <v>0</v>
      </c>
      <c r="DS143" s="1619">
        <f t="shared" si="2836"/>
        <v>0</v>
      </c>
      <c r="DT143" s="1619">
        <f t="shared" si="2836"/>
        <v>0</v>
      </c>
      <c r="DU143" s="1619">
        <f t="shared" si="2836"/>
        <v>0</v>
      </c>
      <c r="DV143" s="1619">
        <f t="shared" si="2836"/>
        <v>0</v>
      </c>
      <c r="DW143" s="1619">
        <f t="shared" si="2836"/>
        <v>0</v>
      </c>
      <c r="DX143" s="1619">
        <f t="shared" si="2836"/>
        <v>0</v>
      </c>
      <c r="DY143" s="1619">
        <f t="shared" si="2836"/>
        <v>0</v>
      </c>
      <c r="DZ143" s="1619">
        <f t="shared" si="2836"/>
        <v>0</v>
      </c>
      <c r="EA143" s="1619">
        <f t="shared" si="2836"/>
        <v>0</v>
      </c>
      <c r="EB143" s="1619">
        <f t="shared" si="2836"/>
        <v>0</v>
      </c>
      <c r="EC143" s="1619">
        <f t="shared" si="2836"/>
        <v>0</v>
      </c>
      <c r="ED143" s="1619">
        <f t="shared" si="2836"/>
        <v>0</v>
      </c>
      <c r="EE143" s="1619">
        <f t="shared" si="2836"/>
        <v>0</v>
      </c>
      <c r="EF143" s="1619">
        <f t="shared" si="2836"/>
        <v>0</v>
      </c>
      <c r="EG143" s="1619">
        <f t="shared" si="2836"/>
        <v>0</v>
      </c>
      <c r="EH143" s="1619">
        <f t="shared" si="2836"/>
        <v>0</v>
      </c>
      <c r="EI143" s="1619">
        <f t="shared" si="2836"/>
        <v>0</v>
      </c>
      <c r="EK143" s="1619">
        <f t="shared" ref="EK143:ET143" si="2837">SUM(EK134+EK142)</f>
        <v>202.98999999999998</v>
      </c>
      <c r="EL143" s="1619">
        <f t="shared" si="2837"/>
        <v>1163.6399999999999</v>
      </c>
      <c r="EM143" s="1619">
        <f t="shared" si="2837"/>
        <v>58</v>
      </c>
      <c r="EN143" s="1619">
        <f t="shared" si="2837"/>
        <v>1862</v>
      </c>
      <c r="EO143" s="1619">
        <f t="shared" si="2837"/>
        <v>324</v>
      </c>
      <c r="EP143" s="1619">
        <f t="shared" si="2837"/>
        <v>700</v>
      </c>
      <c r="EQ143" s="1619">
        <f t="shared" si="2837"/>
        <v>1655.73</v>
      </c>
      <c r="ER143" s="1619">
        <f t="shared" si="2837"/>
        <v>0</v>
      </c>
      <c r="ES143" s="1619">
        <f t="shared" si="2837"/>
        <v>160</v>
      </c>
      <c r="ET143" s="1619">
        <f t="shared" si="2837"/>
        <v>2679.73</v>
      </c>
      <c r="EV143" s="1619">
        <f t="shared" ref="EV143:FE143" si="2838">SUM(EV134+EV142)</f>
        <v>202.98999999999998</v>
      </c>
      <c r="EW143" s="1619">
        <f t="shared" si="2838"/>
        <v>1163.6399999999999</v>
      </c>
      <c r="EX143" s="1619">
        <f t="shared" si="2838"/>
        <v>58</v>
      </c>
      <c r="EY143" s="1619">
        <f t="shared" si="2838"/>
        <v>1862</v>
      </c>
      <c r="EZ143" s="1619">
        <f t="shared" si="2838"/>
        <v>324</v>
      </c>
      <c r="FA143" s="1619">
        <f t="shared" si="2838"/>
        <v>700</v>
      </c>
      <c r="FB143" s="1619">
        <f t="shared" si="2838"/>
        <v>1655.73</v>
      </c>
      <c r="FC143" s="1619">
        <f t="shared" si="2838"/>
        <v>0</v>
      </c>
      <c r="FD143" s="1619">
        <f t="shared" si="2838"/>
        <v>160</v>
      </c>
      <c r="FE143" s="1619">
        <f t="shared" si="2838"/>
        <v>2679.73</v>
      </c>
      <c r="FF143" s="1448"/>
      <c r="FG143" s="1448"/>
      <c r="FH143" s="1448"/>
      <c r="FI143" s="1448"/>
      <c r="FJ143" s="1448"/>
      <c r="FK143" s="1448"/>
      <c r="FL143" s="1441">
        <f t="shared" si="2482"/>
        <v>0</v>
      </c>
    </row>
    <row r="144" spans="1:168" s="330" customFormat="1" ht="15.75" customHeight="1" outlineLevel="1" thickTop="1">
      <c r="A144" s="1418"/>
      <c r="B144" s="1416" t="s">
        <v>115</v>
      </c>
      <c r="C144" s="1418"/>
      <c r="E144" s="1564"/>
      <c r="F144" s="1564"/>
      <c r="G144" s="1564"/>
      <c r="H144" s="1564"/>
      <c r="I144" s="1589"/>
      <c r="J144" s="1589"/>
      <c r="K144" s="1589"/>
      <c r="L144" s="1589"/>
      <c r="M144" s="1589"/>
      <c r="N144" s="1589">
        <f>SUM(I144:M144)</f>
        <v>0</v>
      </c>
      <c r="O144" s="1480"/>
      <c r="P144" s="1630"/>
      <c r="Q144" s="1564"/>
      <c r="R144" s="1630"/>
      <c r="S144" s="1564"/>
      <c r="T144" s="1630"/>
      <c r="U144" s="1564"/>
      <c r="V144" s="1630"/>
      <c r="W144" s="1564"/>
      <c r="X144" s="1630"/>
      <c r="Y144" s="1564"/>
      <c r="Z144" s="1631"/>
      <c r="AA144" s="1564"/>
      <c r="AB144" s="1653"/>
      <c r="AC144" s="1450"/>
      <c r="AD144" s="1653"/>
      <c r="AE144" s="1450"/>
      <c r="AF144" s="1450"/>
      <c r="AG144" s="1450"/>
      <c r="AH144" s="1653"/>
      <c r="AI144" s="1450"/>
      <c r="AJ144" s="1564"/>
      <c r="AK144" s="1564"/>
      <c r="AL144" s="1564"/>
      <c r="AM144" s="1564"/>
      <c r="AN144" s="1564"/>
      <c r="AO144" s="1654"/>
      <c r="AP144" s="1564"/>
      <c r="AQ144" s="1564"/>
      <c r="AR144" s="1564"/>
      <c r="AS144" s="1564"/>
      <c r="AT144" s="1564"/>
      <c r="AU144" s="1632"/>
      <c r="AV144" s="1564"/>
      <c r="AW144" s="1564"/>
      <c r="AX144" s="1564"/>
      <c r="AY144" s="1564"/>
      <c r="AZ144" s="1564"/>
      <c r="BA144" s="1564"/>
      <c r="BB144" s="1564"/>
      <c r="BC144" s="1564"/>
      <c r="BD144" s="1564"/>
      <c r="BE144" s="1564"/>
      <c r="BF144" s="1564"/>
      <c r="BG144" s="1564"/>
      <c r="BH144" s="1564"/>
      <c r="BI144" s="1564"/>
      <c r="BJ144" s="1564"/>
      <c r="BK144" s="1564"/>
      <c r="BL144" s="1564"/>
      <c r="BM144" s="1564"/>
      <c r="BN144" s="1564"/>
      <c r="BO144" s="1564"/>
      <c r="BP144" s="1450"/>
      <c r="BQ144" s="1450"/>
      <c r="BR144" s="1450"/>
      <c r="BS144" s="1564"/>
      <c r="BT144" s="1564"/>
      <c r="BU144" s="1564"/>
      <c r="BV144" s="1564"/>
      <c r="BW144" s="1450"/>
      <c r="BX144" s="1450"/>
      <c r="BY144" s="1450"/>
      <c r="BZ144" s="1450"/>
      <c r="CA144" s="1450"/>
      <c r="CB144" s="1450"/>
      <c r="CC144" s="1450"/>
      <c r="CD144" s="1450"/>
      <c r="CE144" s="1450"/>
      <c r="CF144" s="1450"/>
      <c r="CG144" s="1450"/>
      <c r="CH144" s="1450"/>
      <c r="CI144" s="1450"/>
      <c r="CJ144" s="1450"/>
      <c r="CK144" s="1450"/>
      <c r="CL144" s="1450"/>
      <c r="CM144" s="1450"/>
      <c r="CN144" s="1450"/>
      <c r="CP144" s="363"/>
      <c r="CQ144" s="355"/>
      <c r="CR144" s="355"/>
      <c r="CS144" s="355"/>
      <c r="CT144" s="355"/>
      <c r="CU144" s="355"/>
      <c r="CV144" s="355"/>
      <c r="CW144" s="355"/>
      <c r="CX144" s="355"/>
      <c r="CY144" s="355"/>
      <c r="CZ144" s="1431"/>
      <c r="DA144" s="1431"/>
      <c r="DB144" s="1431"/>
      <c r="DC144" s="355"/>
      <c r="DD144" s="1431"/>
      <c r="DE144" s="1431"/>
      <c r="DF144" s="1431"/>
      <c r="DG144" s="1431"/>
      <c r="DH144" s="355"/>
      <c r="DI144" s="1431"/>
      <c r="DJ144" s="1431"/>
      <c r="DK144" s="1431"/>
      <c r="DL144" s="1431"/>
      <c r="DM144" s="1431"/>
      <c r="DN144" s="1431"/>
      <c r="DO144" s="1431"/>
      <c r="DP144" s="1431"/>
      <c r="DQ144" s="355"/>
      <c r="DR144" s="1564"/>
      <c r="DS144" s="1564"/>
      <c r="DT144" s="1564"/>
      <c r="DU144" s="1564"/>
      <c r="DV144" s="1564"/>
      <c r="DW144" s="1564"/>
      <c r="DX144" s="1564"/>
      <c r="DY144" s="1564"/>
      <c r="DZ144" s="1450"/>
      <c r="EA144" s="1564"/>
      <c r="EB144" s="1564"/>
      <c r="EC144" s="1564"/>
      <c r="ED144" s="1564"/>
      <c r="EE144" s="1564"/>
      <c r="EF144" s="1564"/>
      <c r="EG144" s="1564"/>
      <c r="EH144" s="1564"/>
      <c r="EI144" s="1450"/>
      <c r="EK144" s="1642"/>
      <c r="FF144" s="1448"/>
      <c r="FG144" s="1448"/>
      <c r="FH144" s="1448"/>
      <c r="FI144" s="1448"/>
      <c r="FJ144" s="1448"/>
      <c r="FK144" s="1448"/>
      <c r="FL144" s="1441">
        <f t="shared" si="2482"/>
        <v>0</v>
      </c>
    </row>
    <row r="145" spans="1:172" s="330" customFormat="1" ht="15" customHeight="1" outlineLevel="1">
      <c r="A145" s="1625">
        <v>95</v>
      </c>
      <c r="B145" s="311" t="s">
        <v>504</v>
      </c>
      <c r="C145" s="312" t="s">
        <v>116</v>
      </c>
      <c r="D145" s="313" t="s">
        <v>10</v>
      </c>
      <c r="E145" s="314">
        <v>5000</v>
      </c>
      <c r="F145" s="314">
        <v>1000</v>
      </c>
      <c r="G145" s="314">
        <f>+E145+F145</f>
        <v>6000</v>
      </c>
      <c r="H145" s="1971">
        <v>30</v>
      </c>
      <c r="I145" s="1498">
        <v>0.5</v>
      </c>
      <c r="J145" s="1498">
        <v>0.45</v>
      </c>
      <c r="K145" s="1498">
        <v>0</v>
      </c>
      <c r="L145" s="318">
        <v>0.05</v>
      </c>
      <c r="M145" s="1498">
        <v>0</v>
      </c>
      <c r="N145" s="318">
        <f>SUM(I145:M145)</f>
        <v>1</v>
      </c>
      <c r="O145" s="1480"/>
      <c r="P145" s="357"/>
      <c r="Q145" s="315">
        <f>($E145/30/8*1.5)*P145</f>
        <v>0</v>
      </c>
      <c r="R145" s="321">
        <v>0</v>
      </c>
      <c r="S145" s="315">
        <f>($E145/30/8*2)*R145</f>
        <v>0</v>
      </c>
      <c r="T145" s="321"/>
      <c r="U145" s="315">
        <f>($E145/30/8*1.5)*T145</f>
        <v>0</v>
      </c>
      <c r="V145" s="321"/>
      <c r="W145" s="315">
        <f>($E145/30/8*2)*V145</f>
        <v>0</v>
      </c>
      <c r="X145" s="321">
        <v>0</v>
      </c>
      <c r="Y145" s="315">
        <f>(($E145/30/8)*1.5)*X145</f>
        <v>0</v>
      </c>
      <c r="Z145" s="322"/>
      <c r="AA145" s="315">
        <f>(($E145/30/8)*2)*Z145</f>
        <v>0</v>
      </c>
      <c r="AB145" s="1528"/>
      <c r="AC145" s="315">
        <f>(($E145/30/8)*1.5)*AB145</f>
        <v>0</v>
      </c>
      <c r="AD145" s="322"/>
      <c r="AE145" s="315">
        <f>(($E145/30/8)*2)*AD145</f>
        <v>0</v>
      </c>
      <c r="AF145" s="315"/>
      <c r="AG145" s="315">
        <f>(($E145/30/8)*1.5)*AF145</f>
        <v>0</v>
      </c>
      <c r="AH145" s="322"/>
      <c r="AI145" s="315">
        <f>(($E145/30/8)*2)*AH145</f>
        <v>0</v>
      </c>
      <c r="AJ145" s="314"/>
      <c r="AK145" s="314"/>
      <c r="AL145" s="314"/>
      <c r="AM145" s="314"/>
      <c r="AN145" s="314"/>
      <c r="AO145" s="314"/>
      <c r="AP145" s="314"/>
      <c r="AQ145" s="314"/>
      <c r="AR145" s="314"/>
      <c r="AS145" s="314"/>
      <c r="AT145" s="314"/>
      <c r="AU145" s="326"/>
      <c r="AV145" s="358">
        <f>((E145/30)*H145)*$I145</f>
        <v>2500</v>
      </c>
      <c r="AW145" s="416">
        <f>((F145/30)*H145)*$I145+500+1051.58</f>
        <v>2051.58</v>
      </c>
      <c r="AX145" s="315">
        <f t="shared" ref="AX145:BA148" si="2839">P145</f>
        <v>0</v>
      </c>
      <c r="AY145" s="315">
        <f t="shared" si="2839"/>
        <v>0</v>
      </c>
      <c r="AZ145" s="315">
        <f t="shared" si="2839"/>
        <v>0</v>
      </c>
      <c r="BA145" s="315">
        <f t="shared" si="2839"/>
        <v>0</v>
      </c>
      <c r="BB145" s="315">
        <f>AJ145+AO145</f>
        <v>0</v>
      </c>
      <c r="BC145" s="315">
        <f>(AV145+AY145+BA145)*0.1267</f>
        <v>316.75</v>
      </c>
      <c r="BD145" s="315">
        <f>SUM(AV145:BC145)-AX145-AZ145</f>
        <v>4868.33</v>
      </c>
      <c r="BE145" s="315">
        <f>(($E145/30)*$H145)*$J145</f>
        <v>2250</v>
      </c>
      <c r="BF145" s="1574">
        <f>(($F145/30)*$H145)*$J145+500+946.42</f>
        <v>1896.42</v>
      </c>
      <c r="BG145" s="315">
        <f t="shared" ref="BG145:BJ148" si="2840">T145</f>
        <v>0</v>
      </c>
      <c r="BH145" s="315">
        <f t="shared" si="2840"/>
        <v>0</v>
      </c>
      <c r="BI145" s="315">
        <f t="shared" si="2840"/>
        <v>0</v>
      </c>
      <c r="BJ145" s="315">
        <f t="shared" si="2840"/>
        <v>0</v>
      </c>
      <c r="BK145" s="315">
        <f>AK145+AP145</f>
        <v>0</v>
      </c>
      <c r="BL145" s="315">
        <f>(+BE145+BH145+BJ145+BK145)*0.1267</f>
        <v>285.07499999999999</v>
      </c>
      <c r="BM145" s="314">
        <f>SUM(BE145:BL145)-BG145-BI145</f>
        <v>4431.4949999999999</v>
      </c>
      <c r="BN145" s="315">
        <f>(($E145/30)*$H145)*$K145</f>
        <v>0</v>
      </c>
      <c r="BO145" s="358">
        <f>(($F145/30)*$H145)*$K145</f>
        <v>0</v>
      </c>
      <c r="BP145" s="315">
        <f t="shared" ref="BP145:BR148" si="2841">X145</f>
        <v>0</v>
      </c>
      <c r="BQ145" s="315">
        <f t="shared" si="2841"/>
        <v>0</v>
      </c>
      <c r="BR145" s="315">
        <f t="shared" si="2841"/>
        <v>0</v>
      </c>
      <c r="BS145" s="315">
        <f>AA145</f>
        <v>0</v>
      </c>
      <c r="BT145" s="315">
        <f>AL145+AQ145</f>
        <v>0</v>
      </c>
      <c r="BU145" s="315">
        <f>(BN145+BQ145+BS145)*0.1267</f>
        <v>0</v>
      </c>
      <c r="BV145" s="315">
        <f>SUM(BN145:BU145)-BP145-BR145</f>
        <v>0</v>
      </c>
      <c r="BW145" s="360">
        <f>(($E145/30)*$H145)*$L145</f>
        <v>250</v>
      </c>
      <c r="BX145" s="361">
        <f>(($F145/30)*$H145)*$L145+105.14</f>
        <v>155.14000000000001</v>
      </c>
      <c r="BY145" s="361">
        <f t="shared" ref="BY145:CB148" si="2842">AB145</f>
        <v>0</v>
      </c>
      <c r="BZ145" s="361">
        <f t="shared" si="2842"/>
        <v>0</v>
      </c>
      <c r="CA145" s="361">
        <f t="shared" si="2842"/>
        <v>0</v>
      </c>
      <c r="CB145" s="361">
        <f t="shared" si="2842"/>
        <v>0</v>
      </c>
      <c r="CC145" s="361">
        <f>AM145+AR145</f>
        <v>0</v>
      </c>
      <c r="CD145" s="361">
        <f>(BW145+BZ145+CB145)*0.1267</f>
        <v>31.675000000000001</v>
      </c>
      <c r="CE145" s="361">
        <f>SUM(BW145:CD145)-BY145-CA145</f>
        <v>436.815</v>
      </c>
      <c r="CF145" s="361">
        <f>(($E145/30)*$H145)*M145</f>
        <v>0</v>
      </c>
      <c r="CG145" s="361">
        <f>(($F145/30)*$H145)*$M145</f>
        <v>0</v>
      </c>
      <c r="CH145" s="361">
        <f>+AF145</f>
        <v>0</v>
      </c>
      <c r="CI145" s="361">
        <f t="shared" ref="CI145:CK148" si="2843">AG145</f>
        <v>0</v>
      </c>
      <c r="CJ145" s="361">
        <f t="shared" si="2843"/>
        <v>0</v>
      </c>
      <c r="CK145" s="361">
        <f t="shared" si="2843"/>
        <v>0</v>
      </c>
      <c r="CL145" s="361">
        <f>AN145+AS145</f>
        <v>0</v>
      </c>
      <c r="CM145" s="361">
        <f>(CF145+CI145+CK145)*0.1267</f>
        <v>0</v>
      </c>
      <c r="CN145" s="362">
        <f>SUM(CF145:CM145)-CH145-CJ145</f>
        <v>0</v>
      </c>
      <c r="CP145" s="313" t="s">
        <v>10</v>
      </c>
      <c r="CQ145" s="315">
        <f>IF($CP145="PROQUIMA",$AV145+$BE145+$BN145+$BW145+$CF145,0)</f>
        <v>5000</v>
      </c>
      <c r="CR145" s="315">
        <f>IF($CP145="PROQUIMA",$AW145+$BF145+$BO145+$BX145+$CG145,0)</f>
        <v>4103.1400000000003</v>
      </c>
      <c r="CS145" s="315">
        <f>IF($CP145="PROQUIMA",$AX145+$BG145+$BP145+$BY145+$CH145,0)</f>
        <v>0</v>
      </c>
      <c r="CT145" s="315">
        <f>IF($CP145="PROQUIMA",$AY145+$BH145+$BQ145+$BZ145+$CI145,0)</f>
        <v>0</v>
      </c>
      <c r="CU145" s="315">
        <f>IF($CP145="PROQUIMA",$AZ145+$BI145+$BR145+$CA145+$CJ145,0)</f>
        <v>0</v>
      </c>
      <c r="CV145" s="315">
        <f>IF($CP145="PROQUIMA",$BA145+$BJ145+$BS145+$CB145+$CK145,0)</f>
        <v>0</v>
      </c>
      <c r="CW145" s="315">
        <f>IF($CP145="PROQUIMA",$BB145+$BK145+$BT145+$CC145+$CL145,0)</f>
        <v>0</v>
      </c>
      <c r="CX145" s="315">
        <f>IF($CP145="PROQUIMA",$BC145+$BL145+$BU145+$CD145+CM145,0)</f>
        <v>633.5</v>
      </c>
      <c r="CY145" s="315">
        <f>SUM(CQ145:CX145)-CS145-CU145</f>
        <v>9736.64</v>
      </c>
      <c r="CZ145" s="315">
        <f>IF($CP145="UNHESA",$AV145+$BE145+$BN145+$BW145+$CF145,0)</f>
        <v>0</v>
      </c>
      <c r="DA145" s="315">
        <f>IF($CP145="UNHESA",$AW145+$BF145+$BO145+$BX145+$CG145,0)</f>
        <v>0</v>
      </c>
      <c r="DB145" s="315">
        <f>IF($CP145="UNHESA",$AX145+$BG145+$BP145+$BY145+$CH145,0)</f>
        <v>0</v>
      </c>
      <c r="DC145" s="315">
        <f>IF($CP145="UNHESA",$AY145+$BH145+$BQ145+$BZ145+$CI145,0)</f>
        <v>0</v>
      </c>
      <c r="DD145" s="315">
        <f>IF($CP145="UNHESA",$AZ145+$BI145+$BR145+$CA145+$CJ145,0)</f>
        <v>0</v>
      </c>
      <c r="DE145" s="315">
        <f>IF($CP145="UNHESA",$BA145+$BJ145+$BS145+$CB145+$CK145,0)</f>
        <v>0</v>
      </c>
      <c r="DF145" s="315">
        <f>IF($CP145="UNHESA",$BB145+$BK145+$BT145+$CC145+$CL145,0)</f>
        <v>0</v>
      </c>
      <c r="DG145" s="315">
        <f>IF($CP145="UNHESA",$BC145+$BL145+$BU145+$CD145+$CM145,0)</f>
        <v>0</v>
      </c>
      <c r="DH145" s="315">
        <f>SUM(CZ145:DG145)-DB145-DD145</f>
        <v>0</v>
      </c>
      <c r="DI145" s="315">
        <f>IF($CP145="UNHESA LIQUIDOS",$AV145+$BE145+$BN145+$BW145+$CF145,0)</f>
        <v>0</v>
      </c>
      <c r="DJ145" s="315">
        <f>IF($CP145="UNHESA LIQUIDOS",$AW145+$BF145+$BO145+$BX145+$CG145,0)</f>
        <v>0</v>
      </c>
      <c r="DK145" s="315">
        <f>IF($CP145="UNHESA LIQUIDOS",$AX145+$BG145+$BP145+$BY145+$CH145,0)</f>
        <v>0</v>
      </c>
      <c r="DL145" s="315">
        <f>IF($CP145="UNHESA LIQUIDOS",$AY145+$BH145+$BQ145+$BZ145+$CI145,0)</f>
        <v>0</v>
      </c>
      <c r="DM145" s="315">
        <f>IF($CP145="UNHESA LIQUIDOS",$AZ145+$BI145+$BR145+$CA145+$CJ145,0)</f>
        <v>0</v>
      </c>
      <c r="DN145" s="315">
        <f>IF($CP145="UNHESA LIQUIDOS",$BA145+$BJ145+$BS145+$CB145+$CK145,0)</f>
        <v>0</v>
      </c>
      <c r="DO145" s="315">
        <f>IF($CP145="UNHESA LIQUIDOS",$BB145+$BK145+$BT145+$CC145+$CL145,0)</f>
        <v>0</v>
      </c>
      <c r="DP145" s="315">
        <f>IF($CP145="UNHESA LIQUIDOS",$BC145+$BL145+$BU145+$CD145+$CM145,0)</f>
        <v>0</v>
      </c>
      <c r="DQ145" s="315">
        <f>SUM(DI145:DP145)-DK145-DM145</f>
        <v>0</v>
      </c>
      <c r="DR145" s="360">
        <f>IF($CP145="ECONACIONAL",$AV145+$BE145+$BN145+$BW145+$CF145,0)</f>
        <v>0</v>
      </c>
      <c r="DS145" s="361">
        <f>IF($CP145="ECONACIONAL",$AW145+$BF145+$BO145+$BX145+$CG145,0)</f>
        <v>0</v>
      </c>
      <c r="DT145" s="361">
        <f>IF($CP145="ECONACIONAL",$AX145+$BG145+$BP145+$BY145+$CH145,0)</f>
        <v>0</v>
      </c>
      <c r="DU145" s="361">
        <f>IF($CP145="ECONACIONAL",$AY145+$BH145+$BQ145+$BZ145+$CI145,0)</f>
        <v>0</v>
      </c>
      <c r="DV145" s="361">
        <f>IF($CP145="ECONACIONAL",$AZ145+$BI145+$BR145+$CA145+$CJ145,0)</f>
        <v>0</v>
      </c>
      <c r="DW145" s="361">
        <f>IF($CP145="ECONACIONAL",$BA145+$BJ145+$BS145+$CB145+$CK145,0)</f>
        <v>0</v>
      </c>
      <c r="DX145" s="361">
        <f>IF($CP145="ECONACIONAL",$BB145+$BK145+$BT145+$CC145+$CL145,0)</f>
        <v>0</v>
      </c>
      <c r="DY145" s="361">
        <f>IF($CP145="ECONACIONAL",$BC145+$BL145+$BU145+$CD145+$CM145,0)</f>
        <v>0</v>
      </c>
      <c r="DZ145" s="361">
        <f>SUM(DR145:DY145)-DT145-DV145</f>
        <v>0</v>
      </c>
      <c r="EA145" s="361">
        <f>IF($CP145="CLEARTEC",$AV145+$BE145+$BN145+$BW145+$CF145,0)</f>
        <v>0</v>
      </c>
      <c r="EB145" s="361">
        <f>IF($CP145="CLEARTEC",$AW145+$BF145+$BO145+$BX145+$CG145,0)</f>
        <v>0</v>
      </c>
      <c r="EC145" s="361">
        <f>IF($CP145="CLEARTEC",$AX145+$BG145+$BP145+$BY145+$CH145,0)</f>
        <v>0</v>
      </c>
      <c r="ED145" s="361">
        <f>IF($CP145="CLEARTEC",$AY145+$BH145+$BQ145+$BZ145+$CI145,0)</f>
        <v>0</v>
      </c>
      <c r="EE145" s="361">
        <f>IF($CP145="CLEARTEC",$AZ145+$BI145+$BR145+$CA145+$CJ145,0)</f>
        <v>0</v>
      </c>
      <c r="EF145" s="361">
        <f>IF($CP145="CLEARTEC",$BA145+$BJ145+$BS145+$CB145+$CK145,0)</f>
        <v>0</v>
      </c>
      <c r="EG145" s="361">
        <f>IF($CP145="CLEARTEC",$BB145+$BK145+$BT145+$CC145+$CL145,0)</f>
        <v>0</v>
      </c>
      <c r="EH145" s="361">
        <f>IF($CP145="CLEARTEC",$BC145+$BL145+$BU145+$CD145+$CM145,0)</f>
        <v>0</v>
      </c>
      <c r="EI145" s="362">
        <f>SUM(EA145:EH145)-EC145-EE145</f>
        <v>0</v>
      </c>
      <c r="EK145" s="2200">
        <v>175.48</v>
      </c>
      <c r="EL145" s="313"/>
      <c r="EM145" s="313"/>
      <c r="EN145" s="313">
        <f>18.25+35</f>
        <v>53.25</v>
      </c>
      <c r="EO145" s="313"/>
      <c r="EP145" s="313">
        <v>50</v>
      </c>
      <c r="EQ145" s="312">
        <f>240</f>
        <v>240</v>
      </c>
      <c r="ER145" s="1969"/>
      <c r="ES145" s="313"/>
      <c r="ET145" s="313">
        <f>+EO145+EP145+EQ145</f>
        <v>290</v>
      </c>
      <c r="EV145" s="321">
        <f t="shared" ref="EV145:FE148" si="2844">IF($H145&lt;=15,EK145/2,EK145)</f>
        <v>175.48</v>
      </c>
      <c r="EW145" s="321">
        <f t="shared" si="2844"/>
        <v>0</v>
      </c>
      <c r="EX145" s="321">
        <f t="shared" si="2844"/>
        <v>0</v>
      </c>
      <c r="EY145" s="321">
        <f t="shared" si="2844"/>
        <v>53.25</v>
      </c>
      <c r="EZ145" s="321">
        <f t="shared" si="2844"/>
        <v>0</v>
      </c>
      <c r="FA145" s="321">
        <f t="shared" si="2844"/>
        <v>50</v>
      </c>
      <c r="FB145" s="321">
        <f t="shared" si="2844"/>
        <v>240</v>
      </c>
      <c r="FC145" s="321">
        <f t="shared" si="2844"/>
        <v>0</v>
      </c>
      <c r="FD145" s="321">
        <f t="shared" si="2844"/>
        <v>0</v>
      </c>
      <c r="FE145" s="321">
        <f t="shared" si="2844"/>
        <v>290</v>
      </c>
      <c r="FF145" s="332">
        <v>0.5</v>
      </c>
      <c r="FG145" s="332">
        <v>0.25</v>
      </c>
      <c r="FH145" s="332">
        <v>0.25</v>
      </c>
      <c r="FI145" s="332">
        <v>0</v>
      </c>
      <c r="FJ145" s="332">
        <v>0</v>
      </c>
      <c r="FK145" s="332">
        <v>1</v>
      </c>
      <c r="FL145" s="331">
        <f t="shared" si="2482"/>
        <v>0</v>
      </c>
    </row>
    <row r="146" spans="1:172" s="331" customFormat="1" ht="15" customHeight="1" outlineLevel="1">
      <c r="A146" s="415">
        <f>+A145+1</f>
        <v>96</v>
      </c>
      <c r="B146" s="311" t="s">
        <v>541</v>
      </c>
      <c r="C146" s="312" t="s">
        <v>735</v>
      </c>
      <c r="D146" s="313" t="s">
        <v>10</v>
      </c>
      <c r="E146" s="1971">
        <v>3166.38</v>
      </c>
      <c r="F146" s="314">
        <v>250</v>
      </c>
      <c r="G146" s="1592">
        <f>+E146+F146</f>
        <v>3416.38</v>
      </c>
      <c r="H146" s="1971">
        <v>28</v>
      </c>
      <c r="I146" s="318">
        <v>0.4</v>
      </c>
      <c r="J146" s="318">
        <v>0.6</v>
      </c>
      <c r="K146" s="318">
        <v>0</v>
      </c>
      <c r="L146" s="318">
        <v>0</v>
      </c>
      <c r="M146" s="318">
        <v>0</v>
      </c>
      <c r="N146" s="318">
        <f t="shared" ref="N146" si="2845">SUM(I146:M146)</f>
        <v>1</v>
      </c>
      <c r="O146" s="1477" t="s">
        <v>876</v>
      </c>
      <c r="P146" s="320"/>
      <c r="Q146" s="315">
        <f>($E146/30/8*1.5)*P146</f>
        <v>0</v>
      </c>
      <c r="R146" s="321"/>
      <c r="S146" s="315">
        <f>($E146/30/8*2)*R146</f>
        <v>0</v>
      </c>
      <c r="T146" s="321">
        <v>4</v>
      </c>
      <c r="U146" s="315">
        <f>($E146/30/8*1.5)*T146</f>
        <v>79.159500000000008</v>
      </c>
      <c r="V146" s="408"/>
      <c r="W146" s="315">
        <f>($E146/30/8*2)*V146</f>
        <v>0</v>
      </c>
      <c r="X146" s="321"/>
      <c r="Y146" s="315">
        <f t="shared" ref="Y146" si="2846">(($E146/30/8)*1.5)*X146</f>
        <v>0</v>
      </c>
      <c r="Z146" s="320"/>
      <c r="AA146" s="315">
        <f t="shared" ref="AA146" si="2847">(($E146/30/8)*2)*Z146</f>
        <v>0</v>
      </c>
      <c r="AB146" s="322">
        <v>0</v>
      </c>
      <c r="AC146" s="315">
        <f>(($E146/30/8)*1.5)*AB146</f>
        <v>0</v>
      </c>
      <c r="AD146" s="322"/>
      <c r="AE146" s="315">
        <f>(($E146/30/8)*2)*AD146</f>
        <v>0</v>
      </c>
      <c r="AF146" s="315"/>
      <c r="AG146" s="315">
        <f>(($E146/30/8)*1.5)*AF146</f>
        <v>0</v>
      </c>
      <c r="AH146" s="322"/>
      <c r="AI146" s="315">
        <f>(($E146/30/8)*2)*AH146</f>
        <v>0</v>
      </c>
      <c r="AJ146" s="314"/>
      <c r="AK146" s="314"/>
      <c r="AL146" s="314"/>
      <c r="AM146" s="314"/>
      <c r="AN146" s="314"/>
      <c r="AO146" s="314"/>
      <c r="AP146" s="314"/>
      <c r="AQ146" s="314"/>
      <c r="AR146" s="314"/>
      <c r="AS146" s="314"/>
      <c r="AT146" s="314"/>
      <c r="AU146" s="359"/>
      <c r="AV146" s="315">
        <f>((E146/30)*H146)*$I146</f>
        <v>1182.1152</v>
      </c>
      <c r="AW146" s="906">
        <f>((F146/30)*H146)*$I146+750</f>
        <v>843.33333333333337</v>
      </c>
      <c r="AX146" s="315">
        <f t="shared" si="2839"/>
        <v>0</v>
      </c>
      <c r="AY146" s="315">
        <f t="shared" si="2839"/>
        <v>0</v>
      </c>
      <c r="AZ146" s="315">
        <f t="shared" si="2839"/>
        <v>0</v>
      </c>
      <c r="BA146" s="315">
        <f t="shared" si="2839"/>
        <v>0</v>
      </c>
      <c r="BB146" s="315">
        <f t="shared" ref="BB146" si="2848">AJ146+AO146</f>
        <v>0</v>
      </c>
      <c r="BC146" s="315">
        <f t="shared" ref="BC146" si="2849">(AV146+AY146+BA146)*0.1267</f>
        <v>149.77399584</v>
      </c>
      <c r="BD146" s="315">
        <f t="shared" ref="BD146" si="2850">SUM(AV146:BC146)-AX146-AZ146</f>
        <v>2175.222529173333</v>
      </c>
      <c r="BE146" s="315">
        <f>(($E146/30)*$H146)*$J146</f>
        <v>1773.1728000000001</v>
      </c>
      <c r="BF146" s="315">
        <f>(($F146/30)*$H146)*$J146+1325</f>
        <v>1465</v>
      </c>
      <c r="BG146" s="315">
        <f t="shared" si="2840"/>
        <v>4</v>
      </c>
      <c r="BH146" s="315">
        <f t="shared" si="2840"/>
        <v>79.159500000000008</v>
      </c>
      <c r="BI146" s="315">
        <f t="shared" si="2840"/>
        <v>0</v>
      </c>
      <c r="BJ146" s="315">
        <f t="shared" si="2840"/>
        <v>0</v>
      </c>
      <c r="BK146" s="315">
        <f t="shared" ref="BK146" si="2851">AK146+AP146</f>
        <v>0</v>
      </c>
      <c r="BL146" s="315">
        <f t="shared" ref="BL146" si="2852">(+BE146+BH146+BJ146+BK146)*0.1267</f>
        <v>234.69050241000002</v>
      </c>
      <c r="BM146" s="314">
        <f t="shared" ref="BM146" si="2853">SUM(BE146:BL146)-BG146-BI146</f>
        <v>3552.0228024100006</v>
      </c>
      <c r="BN146" s="315">
        <f>(($E146/30)*$H146)*$K146</f>
        <v>0</v>
      </c>
      <c r="BO146" s="315">
        <f>(($F146/30)*$H146)*$K146</f>
        <v>0</v>
      </c>
      <c r="BP146" s="315">
        <f t="shared" si="2841"/>
        <v>0</v>
      </c>
      <c r="BQ146" s="315">
        <f t="shared" si="2841"/>
        <v>0</v>
      </c>
      <c r="BR146" s="315">
        <f t="shared" si="2841"/>
        <v>0</v>
      </c>
      <c r="BS146" s="315">
        <f t="shared" ref="BS146" si="2854">AA146</f>
        <v>0</v>
      </c>
      <c r="BT146" s="315">
        <f t="shared" ref="BT146" si="2855">AL146+AQ146</f>
        <v>0</v>
      </c>
      <c r="BU146" s="315">
        <f t="shared" ref="BU146" si="2856">(BN146+BQ146+BS146)*0.1267</f>
        <v>0</v>
      </c>
      <c r="BV146" s="315">
        <f t="shared" ref="BV146" si="2857">SUM(BN146:BU146)-BP146-BR146</f>
        <v>0</v>
      </c>
      <c r="BW146" s="360">
        <f>(($E146/30)*$H146)*$L146</f>
        <v>0</v>
      </c>
      <c r="BX146" s="361">
        <f>(($F146/30)*$H146)*$L146</f>
        <v>0</v>
      </c>
      <c r="BY146" s="361">
        <f>AB146</f>
        <v>0</v>
      </c>
      <c r="BZ146" s="361">
        <f t="shared" si="2842"/>
        <v>0</v>
      </c>
      <c r="CA146" s="361">
        <f t="shared" si="2842"/>
        <v>0</v>
      </c>
      <c r="CB146" s="361">
        <f t="shared" si="2842"/>
        <v>0</v>
      </c>
      <c r="CC146" s="361">
        <f>AM146+AR146</f>
        <v>0</v>
      </c>
      <c r="CD146" s="361">
        <f>(BW146+BZ146+CB146)*0.1267</f>
        <v>0</v>
      </c>
      <c r="CE146" s="361">
        <f>SUM(BW146:CD146)-BY146-CA146</f>
        <v>0</v>
      </c>
      <c r="CF146" s="361">
        <f>(($E146/30)*$H146)*M146</f>
        <v>0</v>
      </c>
      <c r="CG146" s="361">
        <f>(($F146/30)*$H146)*$M146</f>
        <v>0</v>
      </c>
      <c r="CH146" s="361">
        <f>+AF146</f>
        <v>0</v>
      </c>
      <c r="CI146" s="361">
        <f t="shared" si="2843"/>
        <v>0</v>
      </c>
      <c r="CJ146" s="361">
        <f t="shared" si="2843"/>
        <v>0</v>
      </c>
      <c r="CK146" s="361">
        <f t="shared" si="2843"/>
        <v>0</v>
      </c>
      <c r="CL146" s="361">
        <f>AN146+AS146</f>
        <v>0</v>
      </c>
      <c r="CM146" s="361">
        <f>(CF146+CI146+CK146)*0.1267</f>
        <v>0</v>
      </c>
      <c r="CN146" s="362">
        <f>SUM(CF146:CM146)-CH146-CJ146</f>
        <v>0</v>
      </c>
      <c r="CO146" s="330"/>
      <c r="CP146" s="313" t="s">
        <v>10</v>
      </c>
      <c r="CQ146" s="315">
        <f>IF($CP146="PROQUIMA",$AV146+$BE146+$BN146+$BW146+$CF146,0)</f>
        <v>2955.288</v>
      </c>
      <c r="CR146" s="315">
        <f>IF($CP146="PROQUIMA",$AW146+$BF146+$BO146+$BX146+$CG146,0)</f>
        <v>2308.3333333333335</v>
      </c>
      <c r="CS146" s="315">
        <f>IF($CP146="PROQUIMA",$AX146+$BG146+$BP146+$BY146+$CH146,0)</f>
        <v>4</v>
      </c>
      <c r="CT146" s="315">
        <f>IF($CP146="PROQUIMA",$AY146+$BH146+$BQ146+$BZ146+$CI146,0)</f>
        <v>79.159500000000008</v>
      </c>
      <c r="CU146" s="315">
        <f>IF($CP146="PROQUIMA",$AZ146+$BI146+$BR146+$CA146+$CJ146,0)</f>
        <v>0</v>
      </c>
      <c r="CV146" s="315">
        <f>IF($CP146="PROQUIMA",$BA146+$BJ146+$BS146+$CB146+$CK146,0)</f>
        <v>0</v>
      </c>
      <c r="CW146" s="315">
        <f>IF($CP146="PROQUIMA",$BB146+$BK146+$BT146+$CC146+$CL146,0)</f>
        <v>0</v>
      </c>
      <c r="CX146" s="315">
        <f>IF($CP146="PROQUIMA",$BC146+$BL146+$BU146+$CD146+CM146,0)</f>
        <v>384.46449825000002</v>
      </c>
      <c r="CY146" s="315">
        <f>SUM(CQ146:CX146)-CS146-CU146</f>
        <v>5727.2453315833336</v>
      </c>
      <c r="CZ146" s="315">
        <f>IF($CP146="UNHESA",$AV146+$BE146+$BN146+$BW146+$CF146,0)</f>
        <v>0</v>
      </c>
      <c r="DA146" s="315">
        <f>IF($CP146="UNHESA",$AW146+$BF146+$BO146+$BX146+$CG146,0)</f>
        <v>0</v>
      </c>
      <c r="DB146" s="315">
        <f>IF($CP146="UNHESA",$AX146+$BG146+$BP146+$BY146+$CH146,0)</f>
        <v>0</v>
      </c>
      <c r="DC146" s="315">
        <f>IF($CP146="UNHESA",$AY146+$BH146+$BQ146+$BZ146+$CI146,0)</f>
        <v>0</v>
      </c>
      <c r="DD146" s="315">
        <f>IF($CP146="UNHESA",$AZ146+$BI146+$BR146+$CA146+$CJ146,0)</f>
        <v>0</v>
      </c>
      <c r="DE146" s="315">
        <f>IF($CP146="UNHESA",$BA146+$BJ146+$BS146+$CB146+$CK146,0)</f>
        <v>0</v>
      </c>
      <c r="DF146" s="315">
        <f>IF($CP146="UNHESA",$BB146+$BK146+$BT146+$CC146+$CL146,0)</f>
        <v>0</v>
      </c>
      <c r="DG146" s="315">
        <f>IF($CP146="UNHESA",$BC146+$BL146+$BU146+$CD146+$CM146,0)</f>
        <v>0</v>
      </c>
      <c r="DH146" s="315">
        <f t="shared" ref="DH146" si="2858">SUM(CZ146:DG146)-DB146-DD146</f>
        <v>0</v>
      </c>
      <c r="DI146" s="315">
        <f>IF($CP146="UNHESA LIQUIDOS",$AV146+$BE146+$BN146+$BW146+$CF146,0)</f>
        <v>0</v>
      </c>
      <c r="DJ146" s="315">
        <f>IF($CP146="UNHESA LIQUIDOS",$AW146+$BF146+$BO146+$BX146+$CG146,0)</f>
        <v>0</v>
      </c>
      <c r="DK146" s="315">
        <f>IF($CP146="UNHESA LIQUIDOS",$AX146+$BG146+$BP146+$BY146+$CH146,0)</f>
        <v>0</v>
      </c>
      <c r="DL146" s="315">
        <f>IF($CP146="UNHESA LIQUIDOS",$AY146+$BH146+$BQ146+$BZ146+$CI146,0)</f>
        <v>0</v>
      </c>
      <c r="DM146" s="315">
        <f>IF($CP146="UNHESA LIQUIDOS",$AZ146+$BI146+$BR146+$CA146+$CJ146,0)</f>
        <v>0</v>
      </c>
      <c r="DN146" s="315">
        <f>IF($CP146="UNHESA LIQUIDOS",$BA146+$BJ146+$BS146+$CB146+$CK146,0)</f>
        <v>0</v>
      </c>
      <c r="DO146" s="315">
        <f>IF($CP146="UNHESA LIQUIDOS",$BB146+$BK146+$BT146+$CC146+$CL146,0)</f>
        <v>0</v>
      </c>
      <c r="DP146" s="315">
        <f>IF($CP146="UNHESA LIQUIDOS",$BC146+$BL146+$BU146+$CD146+$CM146,0)</f>
        <v>0</v>
      </c>
      <c r="DQ146" s="315">
        <f>SUM(DI146:DP146)-DK146-DM146</f>
        <v>0</v>
      </c>
      <c r="DR146" s="360">
        <f>IF($CP146="ECONACIONAL",$AV146+$BE146+$BN146+$BW146+$CF146,0)</f>
        <v>0</v>
      </c>
      <c r="DS146" s="361">
        <f>IF($CP146="ECONACIONAL",$AW146+$BF146+$BO146+$BX146+$CG146,0)</f>
        <v>0</v>
      </c>
      <c r="DT146" s="361">
        <f>IF($CP146="ECONACIONAL",$AX146+$BG146+$BP146+$BY146+$CH146,0)</f>
        <v>0</v>
      </c>
      <c r="DU146" s="361">
        <f>IF($CP146="ECONACIONAL",$AY146+$BH146+$BQ146+$BZ146+$CI146,0)</f>
        <v>0</v>
      </c>
      <c r="DV146" s="361">
        <f>IF($CP146="ECONACIONAL",$AZ146+$BI146+$BR146+$CA146+$CJ146,0)</f>
        <v>0</v>
      </c>
      <c r="DW146" s="361">
        <f>IF($CP146="ECONACIONAL",$BA146+$BJ146+$BS146+$CB146+$CK146,0)</f>
        <v>0</v>
      </c>
      <c r="DX146" s="361">
        <f>IF($CP146="ECONACIONAL",$BB146+$BK146+$BT146+$CC146+$CL146,0)</f>
        <v>0</v>
      </c>
      <c r="DY146" s="361">
        <f>IF($CP146="ECONACIONAL",$BC146+$BL146+$BU146+$CD146+$CM146,0)</f>
        <v>0</v>
      </c>
      <c r="DZ146" s="361">
        <f>SUM(DR146:DY146)-DT146-DV146</f>
        <v>0</v>
      </c>
      <c r="EA146" s="361">
        <f>IF($CP146="CLEARTEC",$AV146+$BE146+$BN146+$BW146+$CF146,0)</f>
        <v>0</v>
      </c>
      <c r="EB146" s="361">
        <f>IF($CP146="CLEARTEC",$AW146+$BF146+$BO146+$BX146+$CG146,0)</f>
        <v>0</v>
      </c>
      <c r="EC146" s="361">
        <f>IF($CP146="CLEARTEC",$AX146+$BG146+$BP146+$BY146+$CH146,0)</f>
        <v>0</v>
      </c>
      <c r="ED146" s="361">
        <f>IF($CP146="CLEARTEC",$AY146+$BH146+$BQ146+$BZ146+$CI146,0)</f>
        <v>0</v>
      </c>
      <c r="EE146" s="361">
        <f>IF($CP146="CLEARTEC",$AZ146+$BI146+$BR146+$CA146+$CJ146,0)</f>
        <v>0</v>
      </c>
      <c r="EF146" s="361">
        <f>IF($CP146="CLEARTEC",$BA146+$BJ146+$BS146+$CB146+$CK146,0)</f>
        <v>0</v>
      </c>
      <c r="EG146" s="361">
        <f>IF($CP146="CLEARTEC",$BB146+$BK146+$BT146+$CC146+$CL146,0)</f>
        <v>0</v>
      </c>
      <c r="EH146" s="361">
        <f>IF($CP146="CLEARTEC",$BC146+$BL146+$BU146+$CD146+$CM146,0)</f>
        <v>0</v>
      </c>
      <c r="EI146" s="362">
        <f>SUM(EA146:EH146)-EC146-EE146</f>
        <v>0</v>
      </c>
      <c r="EJ146" s="330"/>
      <c r="EK146" s="2200">
        <v>83.17</v>
      </c>
      <c r="EL146" s="313"/>
      <c r="EM146" s="313"/>
      <c r="EN146" s="313"/>
      <c r="EO146" s="313"/>
      <c r="EP146" s="313">
        <v>50</v>
      </c>
      <c r="EQ146" s="1969"/>
      <c r="ER146" s="313"/>
      <c r="ES146" s="313"/>
      <c r="ET146" s="313">
        <f t="shared" ref="ET146" si="2859">+EO146+EP146+EQ146</f>
        <v>50</v>
      </c>
      <c r="EV146" s="321">
        <f t="shared" si="2844"/>
        <v>83.17</v>
      </c>
      <c r="EW146" s="321">
        <f t="shared" si="2844"/>
        <v>0</v>
      </c>
      <c r="EX146" s="321">
        <f t="shared" si="2844"/>
        <v>0</v>
      </c>
      <c r="EY146" s="321">
        <f t="shared" si="2844"/>
        <v>0</v>
      </c>
      <c r="EZ146" s="321">
        <f t="shared" si="2844"/>
        <v>0</v>
      </c>
      <c r="FA146" s="321">
        <f t="shared" si="2844"/>
        <v>50</v>
      </c>
      <c r="FB146" s="321">
        <f t="shared" si="2844"/>
        <v>0</v>
      </c>
      <c r="FC146" s="321">
        <f>IF($H146&lt;=15,ER146/2,ER146)</f>
        <v>0</v>
      </c>
      <c r="FD146" s="321">
        <f>IF($H146&lt;=15,ES146/2,ES146)</f>
        <v>0</v>
      </c>
      <c r="FE146" s="321">
        <f>IF($H146&lt;=15,ET146/2,ET146)</f>
        <v>50</v>
      </c>
      <c r="FF146" s="332">
        <v>0</v>
      </c>
      <c r="FG146" s="332">
        <v>0</v>
      </c>
      <c r="FH146" s="332">
        <v>1</v>
      </c>
      <c r="FI146" s="332">
        <v>0</v>
      </c>
      <c r="FJ146" s="332">
        <v>0</v>
      </c>
      <c r="FK146" s="332">
        <v>1</v>
      </c>
      <c r="FL146" s="331">
        <f t="shared" si="2482"/>
        <v>0</v>
      </c>
    </row>
    <row r="147" spans="1:172" s="330" customFormat="1" ht="15" customHeight="1" outlineLevel="1">
      <c r="A147" s="415">
        <f t="shared" ref="A147:A148" si="2860">+A146+1</f>
        <v>97</v>
      </c>
      <c r="B147" s="311" t="s">
        <v>505</v>
      </c>
      <c r="C147" s="312" t="s">
        <v>117</v>
      </c>
      <c r="D147" s="313" t="s">
        <v>10</v>
      </c>
      <c r="E147" s="1971">
        <v>3166.38</v>
      </c>
      <c r="F147" s="314">
        <f>700</f>
        <v>700</v>
      </c>
      <c r="G147" s="314">
        <f>+E147+F147</f>
        <v>3866.38</v>
      </c>
      <c r="H147" s="1971">
        <v>30</v>
      </c>
      <c r="I147" s="1498">
        <v>0.4</v>
      </c>
      <c r="J147" s="1498">
        <v>0.6</v>
      </c>
      <c r="K147" s="1498">
        <v>0</v>
      </c>
      <c r="L147" s="318">
        <v>0</v>
      </c>
      <c r="M147" s="1498">
        <v>0</v>
      </c>
      <c r="N147" s="318">
        <f>SUM(I147:M147)</f>
        <v>1</v>
      </c>
      <c r="O147" s="1480"/>
      <c r="P147" s="357"/>
      <c r="Q147" s="315">
        <f>($E147/30/8*1.5)*P147</f>
        <v>0</v>
      </c>
      <c r="R147" s="321">
        <v>0</v>
      </c>
      <c r="S147" s="315">
        <f>($E147/30/8*2)*R147</f>
        <v>0</v>
      </c>
      <c r="T147" s="404">
        <v>3</v>
      </c>
      <c r="U147" s="358">
        <f>($E147/30/8*1.5)*T147</f>
        <v>59.369625000000006</v>
      </c>
      <c r="V147" s="404"/>
      <c r="W147" s="315">
        <f>($E147/30/8*2)*V147</f>
        <v>0</v>
      </c>
      <c r="X147" s="321">
        <v>0</v>
      </c>
      <c r="Y147" s="315">
        <f>(($E147/30/8)*1.5)*X147</f>
        <v>0</v>
      </c>
      <c r="Z147" s="322"/>
      <c r="AA147" s="315">
        <f>(($E147/30/8)*2)*Z147</f>
        <v>0</v>
      </c>
      <c r="AB147" s="1528">
        <v>0</v>
      </c>
      <c r="AC147" s="315">
        <f>(($E147/30/8)*1.5)*AB147</f>
        <v>0</v>
      </c>
      <c r="AD147" s="322"/>
      <c r="AE147" s="315">
        <f>(($E147/30/8)*2)*AD147</f>
        <v>0</v>
      </c>
      <c r="AF147" s="315"/>
      <c r="AG147" s="315">
        <f>(($E147/30/8)*1.5)*AF147</f>
        <v>0</v>
      </c>
      <c r="AH147" s="322"/>
      <c r="AI147" s="315">
        <f>(($E147/30/8)*2)*AH147</f>
        <v>0</v>
      </c>
      <c r="AJ147" s="314"/>
      <c r="AK147" s="314"/>
      <c r="AL147" s="314"/>
      <c r="AM147" s="314"/>
      <c r="AN147" s="314"/>
      <c r="AO147" s="314"/>
      <c r="AP147" s="314"/>
      <c r="AQ147" s="314"/>
      <c r="AR147" s="314"/>
      <c r="AS147" s="314"/>
      <c r="AT147" s="314"/>
      <c r="AU147" s="326"/>
      <c r="AV147" s="358">
        <f>((E147/30)*H147)*$I147</f>
        <v>1266.5520000000001</v>
      </c>
      <c r="AW147" s="416">
        <f>((F147/30)*H147)*$I147+1050</f>
        <v>1330</v>
      </c>
      <c r="AX147" s="315">
        <f>P147</f>
        <v>0</v>
      </c>
      <c r="AY147" s="315">
        <f t="shared" si="2839"/>
        <v>0</v>
      </c>
      <c r="AZ147" s="315">
        <f t="shared" si="2839"/>
        <v>0</v>
      </c>
      <c r="BA147" s="315">
        <f t="shared" si="2839"/>
        <v>0</v>
      </c>
      <c r="BB147" s="315">
        <f>AJ147+AO147</f>
        <v>0</v>
      </c>
      <c r="BC147" s="315">
        <f>(AV147+AY147+BA147)*0.1267</f>
        <v>160.47213840000003</v>
      </c>
      <c r="BD147" s="315">
        <f>SUM(AV147:BC147)-AX147-AZ147</f>
        <v>2757.0241384000001</v>
      </c>
      <c r="BE147" s="315">
        <f>(($E147/30)*$H147)*$J147</f>
        <v>1899.828</v>
      </c>
      <c r="BF147" s="416">
        <f>(($F147/30)*$H147)*$J147+1850</f>
        <v>2270</v>
      </c>
      <c r="BG147" s="315">
        <f t="shared" si="2840"/>
        <v>3</v>
      </c>
      <c r="BH147" s="315">
        <f t="shared" si="2840"/>
        <v>59.369625000000006</v>
      </c>
      <c r="BI147" s="315">
        <f t="shared" si="2840"/>
        <v>0</v>
      </c>
      <c r="BJ147" s="315">
        <f t="shared" si="2840"/>
        <v>0</v>
      </c>
      <c r="BK147" s="315">
        <f>AK147+AP147</f>
        <v>0</v>
      </c>
      <c r="BL147" s="315">
        <f>(+BE147+BH147+BJ147+BK147)*0.1267</f>
        <v>248.23033908750003</v>
      </c>
      <c r="BM147" s="314">
        <f>SUM(BE147:BL147)-BG147-BI147</f>
        <v>4477.4279640875002</v>
      </c>
      <c r="BN147" s="315">
        <f>(($E147/30)*$H147)*$K147</f>
        <v>0</v>
      </c>
      <c r="BO147" s="315">
        <f>(($F147/30)*$H147)*$K147</f>
        <v>0</v>
      </c>
      <c r="BP147" s="315">
        <f t="shared" si="2841"/>
        <v>0</v>
      </c>
      <c r="BQ147" s="315">
        <f t="shared" si="2841"/>
        <v>0</v>
      </c>
      <c r="BR147" s="315">
        <f t="shared" si="2841"/>
        <v>0</v>
      </c>
      <c r="BS147" s="315">
        <f>AA147</f>
        <v>0</v>
      </c>
      <c r="BT147" s="315">
        <f>AL147+AQ147</f>
        <v>0</v>
      </c>
      <c r="BU147" s="315">
        <f>(BN147+BQ147+BS147)*0.1267</f>
        <v>0</v>
      </c>
      <c r="BV147" s="315">
        <f>SUM(BN147:BU147)-BP147-BR147</f>
        <v>0</v>
      </c>
      <c r="BW147" s="360">
        <f>(($E147/30)*$H147)*$L147</f>
        <v>0</v>
      </c>
      <c r="BX147" s="361">
        <f>(($F147/30)*$H147)*$L147</f>
        <v>0</v>
      </c>
      <c r="BY147" s="361">
        <f>AB147</f>
        <v>0</v>
      </c>
      <c r="BZ147" s="361">
        <f>AC147</f>
        <v>0</v>
      </c>
      <c r="CA147" s="361">
        <f>AD147</f>
        <v>0</v>
      </c>
      <c r="CB147" s="361">
        <f>AE147</f>
        <v>0</v>
      </c>
      <c r="CC147" s="361">
        <f>AM147+AR147</f>
        <v>0</v>
      </c>
      <c r="CD147" s="361">
        <f>(BW147+BZ147+CB147)*0.1267</f>
        <v>0</v>
      </c>
      <c r="CE147" s="361">
        <f>SUM(BW147:CD147)-BY147-CA147</f>
        <v>0</v>
      </c>
      <c r="CF147" s="361">
        <f>(($E147/30)*$H147)*M147</f>
        <v>0</v>
      </c>
      <c r="CG147" s="361">
        <f>(($F147/30)*$H147)*$M147</f>
        <v>0</v>
      </c>
      <c r="CH147" s="361">
        <f>+AF147</f>
        <v>0</v>
      </c>
      <c r="CI147" s="361">
        <f>AG147</f>
        <v>0</v>
      </c>
      <c r="CJ147" s="361">
        <f>AH147</f>
        <v>0</v>
      </c>
      <c r="CK147" s="361">
        <f>AI147</f>
        <v>0</v>
      </c>
      <c r="CL147" s="361">
        <f>AN147+AS147</f>
        <v>0</v>
      </c>
      <c r="CM147" s="361">
        <f>(CF147+CI147+CK147)*0.1267</f>
        <v>0</v>
      </c>
      <c r="CN147" s="362">
        <f>SUM(CF147:CM147)-CH147-CJ147</f>
        <v>0</v>
      </c>
      <c r="CP147" s="313" t="s">
        <v>10</v>
      </c>
      <c r="CQ147" s="315">
        <f>IF($CP147="PROQUIMA",$AV147+$BE147+$BN147+$BW147+$CF147,0)</f>
        <v>3166.38</v>
      </c>
      <c r="CR147" s="315">
        <f>IF($CP147="PROQUIMA",$AW147+$BF147+$BO147+$BX147+$CG147,0)</f>
        <v>3600</v>
      </c>
      <c r="CS147" s="315">
        <f>IF($CP147="PROQUIMA",$AX147+$BG147+$BP147+$BY147+$CH147,0)</f>
        <v>3</v>
      </c>
      <c r="CT147" s="315">
        <f>IF($CP147="PROQUIMA",$AY147+$BH147+$BQ147+$BZ147+$CI147,0)</f>
        <v>59.369625000000006</v>
      </c>
      <c r="CU147" s="315">
        <f>IF($CP147="PROQUIMA",$AZ147+$BI147+$BR147+$CA147+$CJ147,0)</f>
        <v>0</v>
      </c>
      <c r="CV147" s="315">
        <f>IF($CP147="PROQUIMA",$BA147+$BJ147+$BS147+$CB147+$CK147,0)</f>
        <v>0</v>
      </c>
      <c r="CW147" s="315">
        <f>IF($CP147="PROQUIMA",$BB147+$BK147+$BT147+$CC147+$CL147,0)</f>
        <v>0</v>
      </c>
      <c r="CX147" s="315">
        <f>IF($CP147="PROQUIMA",$BC147+$BL147+$BU147+$CD147+CM147,0)</f>
        <v>408.70247748750006</v>
      </c>
      <c r="CY147" s="315">
        <f>SUM(CQ147:CX147)-CS147-CU147</f>
        <v>7234.4521024875003</v>
      </c>
      <c r="CZ147" s="315">
        <f>IF($CP147="UNHESA",$AV147+$BE147+$BN147+$BW147+$CF147,0)</f>
        <v>0</v>
      </c>
      <c r="DA147" s="315">
        <f>IF($CP147="UNHESA",$AW147+$BF147+$BO147+$BX147+$CG147,0)</f>
        <v>0</v>
      </c>
      <c r="DB147" s="315">
        <f>IF($CP147="UNHESA",$AX147+$BG147+$BP147+$BY147+$CH147,0)</f>
        <v>0</v>
      </c>
      <c r="DC147" s="315">
        <f>IF($CP147="UNHESA",$AY147+$BH147+$BQ147+$BZ147+$CI147,0)</f>
        <v>0</v>
      </c>
      <c r="DD147" s="315">
        <f>IF($CP147="UNHESA",$AZ147+$BI147+$BR147+$CA147+$CJ147,0)</f>
        <v>0</v>
      </c>
      <c r="DE147" s="315">
        <f>IF($CP147="UNHESA",$BA147+$BJ147+$BS147+$CB147+$CK147,0)</f>
        <v>0</v>
      </c>
      <c r="DF147" s="315">
        <f>IF($CP147="UNHESA",$BB147+$BK147+$BT147+$CC147+$CL147,0)</f>
        <v>0</v>
      </c>
      <c r="DG147" s="315">
        <f>IF($CP147="UNHESA",$BC147+$BL147+$BU147+$CD147+$CM147,0)</f>
        <v>0</v>
      </c>
      <c r="DH147" s="315">
        <f>SUM(CZ147:DG147)-DB147-DD147</f>
        <v>0</v>
      </c>
      <c r="DI147" s="315">
        <f>IF($CP147="UNHESA LIQUIDOS",$AV147+$BE147+$BN147+$BW147+$CF147,0)</f>
        <v>0</v>
      </c>
      <c r="DJ147" s="315">
        <f>IF($CP147="UNHESA LIQUIDOS",$AW147+$BF147+$BO147+$BX147+$CG147,0)</f>
        <v>0</v>
      </c>
      <c r="DK147" s="315">
        <f>IF($CP147="UNHESA LIQUIDOS",$AX147+$BG147+$BP147+$BY147+$CH147,0)</f>
        <v>0</v>
      </c>
      <c r="DL147" s="315">
        <f>IF($CP147="UNHESA LIQUIDOS",$AY147+$BH147+$BQ147+$BZ147+$CI147,0)</f>
        <v>0</v>
      </c>
      <c r="DM147" s="315">
        <f>IF($CP147="UNHESA LIQUIDOS",$AZ147+$BI147+$BR147+$CA147+$CJ147,0)</f>
        <v>0</v>
      </c>
      <c r="DN147" s="315">
        <f>IF($CP147="UNHESA LIQUIDOS",$BA147+$BJ147+$BS147+$CB147+$CK147,0)</f>
        <v>0</v>
      </c>
      <c r="DO147" s="315">
        <f>IF($CP147="UNHESA LIQUIDOS",$BB147+$BK147+$BT147+$CC147+$CL147,0)</f>
        <v>0</v>
      </c>
      <c r="DP147" s="315">
        <f>IF($CP147="UNHESA LIQUIDOS",$BC147+$BL147+$BU147+$CD147+$CM147,0)</f>
        <v>0</v>
      </c>
      <c r="DQ147" s="315">
        <f>SUM(DI147:DP147)-DK147-DM147</f>
        <v>0</v>
      </c>
      <c r="DR147" s="360">
        <f>IF($CP147="ECONACIONAL",$AV147+$BE147+$BN147+$BW147+$CF147,0)</f>
        <v>0</v>
      </c>
      <c r="DS147" s="361">
        <f>IF($CP147="ECONACIONAL",$AW147+$BF147+$BO147+$BX147+$CG147,0)</f>
        <v>0</v>
      </c>
      <c r="DT147" s="361">
        <f>IF($CP147="ECONACIONAL",$AX147+$BG147+$BP147+$BY147+$CH147,0)</f>
        <v>0</v>
      </c>
      <c r="DU147" s="361">
        <f>IF($CP147="ECONACIONAL",$AY147+$BH147+$BQ147+$BZ147+$CI147,0)</f>
        <v>0</v>
      </c>
      <c r="DV147" s="361">
        <f>IF($CP147="ECONACIONAL",$AZ147+$BI147+$BR147+$CA147+$CJ147,0)</f>
        <v>0</v>
      </c>
      <c r="DW147" s="361">
        <f>IF($CP147="ECONACIONAL",$BA147+$BJ147+$BS147+$CB147+$CK147,0)</f>
        <v>0</v>
      </c>
      <c r="DX147" s="361">
        <f>IF($CP147="ECONACIONAL",$BB147+$BK147+$BT147+$CC147+$CL147,0)</f>
        <v>0</v>
      </c>
      <c r="DY147" s="361">
        <f>IF($CP147="ECONACIONAL",$BC147+$BL147+$BU147+$CD147+$CM147,0)</f>
        <v>0</v>
      </c>
      <c r="DZ147" s="361">
        <f>SUM(DR147:DY147)-DT147-DV147</f>
        <v>0</v>
      </c>
      <c r="EA147" s="361">
        <f>IF($CP147="CLEARTEC",$AV147+$BE147+$BN147+$BW147+$CF147,0)</f>
        <v>0</v>
      </c>
      <c r="EB147" s="361">
        <f>IF($CP147="CLEARTEC",$AW147+$BF147+$BO147+$BX147+$CG147,0)</f>
        <v>0</v>
      </c>
      <c r="EC147" s="361">
        <f>IF($CP147="CLEARTEC",$AX147+$BG147+$BP147+$BY147+$CH147,0)</f>
        <v>0</v>
      </c>
      <c r="ED147" s="361">
        <f>IF($CP147="CLEARTEC",$AY147+$BH147+$BQ147+$BZ147+$CI147,0)</f>
        <v>0</v>
      </c>
      <c r="EE147" s="361">
        <f>IF($CP147="CLEARTEC",$AZ147+$BI147+$BR147+$CA147+$CJ147,0)</f>
        <v>0</v>
      </c>
      <c r="EF147" s="361">
        <f>IF($CP147="CLEARTEC",$BA147+$BJ147+$BS147+$CB147+$CK147,0)</f>
        <v>0</v>
      </c>
      <c r="EG147" s="361">
        <f>IF($CP147="CLEARTEC",$BB147+$BK147+$BT147+$CC147+$CL147,0)</f>
        <v>0</v>
      </c>
      <c r="EH147" s="361">
        <f>IF($CP147="CLEARTEC",$BC147+$BL147+$BU147+$CD147+$CM147,0)</f>
        <v>0</v>
      </c>
      <c r="EI147" s="362">
        <f>SUM(EA147:EH147)-EC147-EE147</f>
        <v>0</v>
      </c>
      <c r="EK147" s="2200">
        <v>203.17</v>
      </c>
      <c r="EL147" s="313"/>
      <c r="EM147" s="313"/>
      <c r="EN147" s="312">
        <f>100.5+64</f>
        <v>164.5</v>
      </c>
      <c r="EO147" s="313"/>
      <c r="EP147" s="313">
        <v>50</v>
      </c>
      <c r="EQ147" s="313"/>
      <c r="ER147" s="313"/>
      <c r="ES147" s="313"/>
      <c r="ET147" s="313">
        <f>+EO147+EP147+EQ147</f>
        <v>50</v>
      </c>
      <c r="EV147" s="321">
        <f t="shared" si="2844"/>
        <v>203.17</v>
      </c>
      <c r="EW147" s="321">
        <f t="shared" si="2844"/>
        <v>0</v>
      </c>
      <c r="EX147" s="321">
        <f t="shared" si="2844"/>
        <v>0</v>
      </c>
      <c r="EY147" s="321">
        <f t="shared" si="2844"/>
        <v>164.5</v>
      </c>
      <c r="EZ147" s="321">
        <f t="shared" si="2844"/>
        <v>0</v>
      </c>
      <c r="FA147" s="321">
        <f t="shared" si="2844"/>
        <v>50</v>
      </c>
      <c r="FB147" s="321">
        <f t="shared" si="2844"/>
        <v>0</v>
      </c>
      <c r="FC147" s="321">
        <f t="shared" si="2844"/>
        <v>0</v>
      </c>
      <c r="FD147" s="321">
        <f t="shared" si="2844"/>
        <v>0</v>
      </c>
      <c r="FE147" s="321">
        <f t="shared" si="2844"/>
        <v>50</v>
      </c>
      <c r="FF147" s="332">
        <v>0.5</v>
      </c>
      <c r="FG147" s="332">
        <v>0.25</v>
      </c>
      <c r="FH147" s="332">
        <v>0.25</v>
      </c>
      <c r="FI147" s="332">
        <v>0</v>
      </c>
      <c r="FJ147" s="332">
        <v>0</v>
      </c>
      <c r="FK147" s="332">
        <v>1</v>
      </c>
      <c r="FL147" s="331">
        <f>+EP147-FA147</f>
        <v>0</v>
      </c>
    </row>
    <row r="148" spans="1:172" s="330" customFormat="1" ht="15" customHeight="1" outlineLevel="1">
      <c r="A148" s="415">
        <f t="shared" si="2860"/>
        <v>98</v>
      </c>
      <c r="B148" s="311" t="s">
        <v>552</v>
      </c>
      <c r="C148" s="312" t="s">
        <v>572</v>
      </c>
      <c r="D148" s="313" t="s">
        <v>11</v>
      </c>
      <c r="E148" s="1971">
        <v>3166.38</v>
      </c>
      <c r="F148" s="314">
        <v>250</v>
      </c>
      <c r="G148" s="2205">
        <f>+E148+F148</f>
        <v>3416.38</v>
      </c>
      <c r="H148" s="1971">
        <v>30</v>
      </c>
      <c r="I148" s="1498">
        <v>0.4</v>
      </c>
      <c r="J148" s="1498">
        <v>0.6</v>
      </c>
      <c r="K148" s="1498">
        <v>0</v>
      </c>
      <c r="L148" s="318">
        <v>0</v>
      </c>
      <c r="M148" s="1498">
        <v>0</v>
      </c>
      <c r="N148" s="318">
        <f>SUM(I148:M148)</f>
        <v>1</v>
      </c>
      <c r="O148" s="1619"/>
      <c r="P148" s="357"/>
      <c r="Q148" s="315">
        <f>($E148/30/8*1.5)*P148</f>
        <v>0</v>
      </c>
      <c r="R148" s="321">
        <v>0</v>
      </c>
      <c r="S148" s="315">
        <f>($E148/30/8*2)*R148</f>
        <v>0</v>
      </c>
      <c r="T148" s="404">
        <v>5</v>
      </c>
      <c r="U148" s="358">
        <f>($E148/30/8*1.5)*T148</f>
        <v>98.949375000000003</v>
      </c>
      <c r="V148" s="404"/>
      <c r="W148" s="315">
        <f>($E148/30/8*2)*V148</f>
        <v>0</v>
      </c>
      <c r="X148" s="321"/>
      <c r="Y148" s="315">
        <f>(($E148/30/8)*1.5)*X148</f>
        <v>0</v>
      </c>
      <c r="Z148" s="322"/>
      <c r="AA148" s="315">
        <f>(($E148/30/8)*2)*Z148</f>
        <v>0</v>
      </c>
      <c r="AB148" s="1528"/>
      <c r="AC148" s="315">
        <f>(($E148/30/8)*1.5)*AB148</f>
        <v>0</v>
      </c>
      <c r="AD148" s="322"/>
      <c r="AE148" s="315">
        <f>(($E148/30/8)*2)*AD148</f>
        <v>0</v>
      </c>
      <c r="AF148" s="315"/>
      <c r="AG148" s="315">
        <f>(($E148/30/8)*1.5)*AF148</f>
        <v>0</v>
      </c>
      <c r="AH148" s="322"/>
      <c r="AI148" s="315">
        <f>(($E148/30/8)*2)*AH148</f>
        <v>0</v>
      </c>
      <c r="AJ148" s="314"/>
      <c r="AK148" s="314"/>
      <c r="AL148" s="314"/>
      <c r="AM148" s="314"/>
      <c r="AN148" s="314"/>
      <c r="AO148" s="314"/>
      <c r="AP148" s="314"/>
      <c r="AQ148" s="314"/>
      <c r="AR148" s="314"/>
      <c r="AS148" s="314"/>
      <c r="AT148" s="314"/>
      <c r="AU148" s="326"/>
      <c r="AV148" s="358">
        <f>((E148/30)*H148)*$I148</f>
        <v>1266.5520000000001</v>
      </c>
      <c r="AW148" s="416">
        <f>((F148/30)*H148)*$I148+1050</f>
        <v>1150</v>
      </c>
      <c r="AX148" s="315">
        <f t="shared" si="2839"/>
        <v>0</v>
      </c>
      <c r="AY148" s="315">
        <f t="shared" si="2839"/>
        <v>0</v>
      </c>
      <c r="AZ148" s="315">
        <f t="shared" si="2839"/>
        <v>0</v>
      </c>
      <c r="BA148" s="315">
        <f t="shared" si="2839"/>
        <v>0</v>
      </c>
      <c r="BB148" s="315">
        <f>AJ148+AO148</f>
        <v>0</v>
      </c>
      <c r="BC148" s="315">
        <f>(AV148+AY148+BA148)*0.1267</f>
        <v>160.47213840000003</v>
      </c>
      <c r="BD148" s="315">
        <f>SUM(AV148:BC148)-AX148-AZ148</f>
        <v>2577.0241384000001</v>
      </c>
      <c r="BE148" s="315">
        <f>(($E148/30)*$H148)*$J148</f>
        <v>1899.828</v>
      </c>
      <c r="BF148" s="416">
        <f>(($F148/30)*$H148)*$J148+1325</f>
        <v>1475</v>
      </c>
      <c r="BG148" s="315">
        <f t="shared" si="2840"/>
        <v>5</v>
      </c>
      <c r="BH148" s="315">
        <f t="shared" si="2840"/>
        <v>98.949375000000003</v>
      </c>
      <c r="BI148" s="315">
        <f t="shared" si="2840"/>
        <v>0</v>
      </c>
      <c r="BJ148" s="315">
        <f t="shared" si="2840"/>
        <v>0</v>
      </c>
      <c r="BK148" s="315">
        <f>AK148+AP148</f>
        <v>0</v>
      </c>
      <c r="BL148" s="315">
        <f>(+BE148+BH148+BJ148+BK148)*0.1267</f>
        <v>253.24509341250001</v>
      </c>
      <c r="BM148" s="314">
        <f>SUM(BE148:BL148)-BG148-BI148</f>
        <v>3727.0224684125001</v>
      </c>
      <c r="BN148" s="315">
        <f>(($E148/30)*$H148)*$K148</f>
        <v>0</v>
      </c>
      <c r="BO148" s="315">
        <f>(($F148/30)*$H148)*$K148</f>
        <v>0</v>
      </c>
      <c r="BP148" s="315">
        <f t="shared" si="2841"/>
        <v>0</v>
      </c>
      <c r="BQ148" s="315">
        <f t="shared" si="2841"/>
        <v>0</v>
      </c>
      <c r="BR148" s="315">
        <f t="shared" si="2841"/>
        <v>0</v>
      </c>
      <c r="BS148" s="315">
        <f>AA148</f>
        <v>0</v>
      </c>
      <c r="BT148" s="315">
        <f>AL148+AQ148</f>
        <v>0</v>
      </c>
      <c r="BU148" s="315">
        <f>(BN148+BQ148+BS148)*0.1267</f>
        <v>0</v>
      </c>
      <c r="BV148" s="315">
        <f>SUM(BN148:BU148)-BP148-BR148</f>
        <v>0</v>
      </c>
      <c r="BW148" s="1593">
        <f>(($E148/30)*$H148)*$L148</f>
        <v>0</v>
      </c>
      <c r="BX148" s="1594">
        <f>(($F148/30)*$H148)*$L148</f>
        <v>0</v>
      </c>
      <c r="BY148" s="1594">
        <f t="shared" si="2842"/>
        <v>0</v>
      </c>
      <c r="BZ148" s="1594">
        <f t="shared" si="2842"/>
        <v>0</v>
      </c>
      <c r="CA148" s="1594">
        <f t="shared" si="2842"/>
        <v>0</v>
      </c>
      <c r="CB148" s="1594">
        <f t="shared" si="2842"/>
        <v>0</v>
      </c>
      <c r="CC148" s="1594">
        <f>AM148+AR148</f>
        <v>0</v>
      </c>
      <c r="CD148" s="1594">
        <f>(BW148+BZ148+CB148)*0.1267</f>
        <v>0</v>
      </c>
      <c r="CE148" s="1594">
        <f>SUM(BW148:CD148)-BY148-CA148</f>
        <v>0</v>
      </c>
      <c r="CF148" s="1594">
        <f>(($E148/30)*$H148)*M148</f>
        <v>0</v>
      </c>
      <c r="CG148" s="1594">
        <f>(($F148/30)*$H148)*$M148</f>
        <v>0</v>
      </c>
      <c r="CH148" s="1594">
        <f>+AF148</f>
        <v>0</v>
      </c>
      <c r="CI148" s="1594">
        <f t="shared" si="2843"/>
        <v>0</v>
      </c>
      <c r="CJ148" s="1594">
        <f t="shared" si="2843"/>
        <v>0</v>
      </c>
      <c r="CK148" s="1594">
        <f t="shared" si="2843"/>
        <v>0</v>
      </c>
      <c r="CL148" s="1594">
        <f>AN148+AS148</f>
        <v>0</v>
      </c>
      <c r="CM148" s="1594">
        <f>(CF148+CI148+CK148)*0.1267</f>
        <v>0</v>
      </c>
      <c r="CN148" s="1595">
        <f>SUM(CF148:CM148)-CH148-CJ148</f>
        <v>0</v>
      </c>
      <c r="CP148" s="313" t="s">
        <v>11</v>
      </c>
      <c r="CQ148" s="315">
        <f>IF($CP148="PROQUIMA",$AV148+$BE148+$BN148+$BW148+$CF148,0)</f>
        <v>0</v>
      </c>
      <c r="CR148" s="315">
        <f>IF($CP148="PROQUIMA",$AW148+$BF148+$BO148+$BX148+$CG148,0)</f>
        <v>0</v>
      </c>
      <c r="CS148" s="315">
        <f>IF($CP148="PROQUIMA",$AX148+$BG148+$BP148+$BY148+$CH148,0)</f>
        <v>0</v>
      </c>
      <c r="CT148" s="315">
        <f>IF($CP148="PROQUIMA",$AY148+$BH148+$BQ148+$BZ148+$CI148,0)</f>
        <v>0</v>
      </c>
      <c r="CU148" s="315">
        <f>IF($CP148="PROQUIMA",$AZ148+$BI148+$BR148+$CA148+$CJ148,0)</f>
        <v>0</v>
      </c>
      <c r="CV148" s="315">
        <f>IF($CP148="PROQUIMA",$BA148+$BJ148+$BS148+$CB148+$CK148,0)</f>
        <v>0</v>
      </c>
      <c r="CW148" s="315">
        <f>IF($CP148="PROQUIMA",$BB148+$BK148+$BT148+$CC148+$CL148,0)</f>
        <v>0</v>
      </c>
      <c r="CX148" s="315">
        <f>IF($CP148="PROQUIMA",$BC148+$BL148+$BU148+$CD148+CM148,0)</f>
        <v>0</v>
      </c>
      <c r="CY148" s="315">
        <f>SUM(CQ148:CX148)-CS148-CU148</f>
        <v>0</v>
      </c>
      <c r="CZ148" s="315">
        <f>IF($CP148="UNHESA",$AV148+$BE148+$BN148+$BW148+$CF148,0)</f>
        <v>3166.38</v>
      </c>
      <c r="DA148" s="315">
        <f>IF($CP148="UNHESA",$AW148+$BF148+$BO148+$BX148+$CG148,0)</f>
        <v>2625</v>
      </c>
      <c r="DB148" s="315">
        <f>IF($CP148="UNHESA",$AX148+$BG148+$BP148+$BY148+$CH148,0)</f>
        <v>5</v>
      </c>
      <c r="DC148" s="315">
        <f>IF($CP148="UNHESA",$AY148+$BH148+$BQ148+$BZ148+$CI148,0)</f>
        <v>98.949375000000003</v>
      </c>
      <c r="DD148" s="315">
        <f>IF($CP148="UNHESA",$AZ148+$BI148+$BR148+$CA148+$CJ148,0)</f>
        <v>0</v>
      </c>
      <c r="DE148" s="315">
        <f>IF($CP148="UNHESA",$BA148+$BJ148+$BS148+$CB148+$CK148,0)</f>
        <v>0</v>
      </c>
      <c r="DF148" s="315">
        <f>IF($CP148="UNHESA",$BB148+$BK148+$BT148+$CC148+$CL148,0)</f>
        <v>0</v>
      </c>
      <c r="DG148" s="315">
        <f>IF($CP148="UNHESA",$BC148+$BL148+$BU148+$CD148+$CM148,0)</f>
        <v>413.71723181250002</v>
      </c>
      <c r="DH148" s="315">
        <f>SUM(CZ148:DG148)-DB148-DD148</f>
        <v>6304.0466068125006</v>
      </c>
      <c r="DI148" s="315">
        <f>IF($CP148="UNHESA LIQUIDOS",$AV148+$BE148+$BN148+$BW148+$CF148,0)</f>
        <v>0</v>
      </c>
      <c r="DJ148" s="315">
        <f>IF($CP148="UNHESA LIQUIDOS",$AW148+$BF148+$BO148+$BX148+$CG148,0)</f>
        <v>0</v>
      </c>
      <c r="DK148" s="315">
        <f>IF($CP148="UNHESA LIQUIDOS",$AX148+$BG148+$BP148+$BY148+$CH148,0)</f>
        <v>0</v>
      </c>
      <c r="DL148" s="315">
        <f>IF($CP148="UNHESA LIQUIDOS",$AY148+$BH148+$BQ148+$BZ148+$CI148,0)</f>
        <v>0</v>
      </c>
      <c r="DM148" s="315">
        <f>IF($CP148="UNHESA LIQUIDOS",$AZ148+$BI148+$BR148+$CA148+$CJ148,0)</f>
        <v>0</v>
      </c>
      <c r="DN148" s="315">
        <f>IF($CP148="UNHESA LIQUIDOS",$BA148+$BJ148+$BS148+$CB148+$CK148,0)</f>
        <v>0</v>
      </c>
      <c r="DO148" s="315">
        <f>IF($CP148="UNHESA LIQUIDOS",$BB148+$BK148+$BT148+$CC148+$CL148,0)</f>
        <v>0</v>
      </c>
      <c r="DP148" s="315">
        <f>IF($CP148="UNHESA LIQUIDOS",$BC148+$BL148+$BU148+$CD148+$CM148,0)</f>
        <v>0</v>
      </c>
      <c r="DQ148" s="315">
        <f>SUM(DI148:DP148)-DK148-DM148</f>
        <v>0</v>
      </c>
      <c r="DR148" s="1593">
        <f>IF($CP148="ECONACIONAL",$AV148+$BE148+$BN148+$BW148+$CF148,0)</f>
        <v>0</v>
      </c>
      <c r="DS148" s="1594">
        <f>IF($CP148="ECONACIONAL",$AW148+$BF148+$BO148+$BX148+$CG148,0)</f>
        <v>0</v>
      </c>
      <c r="DT148" s="1594">
        <f>IF($CP148="ECONACIONAL",$AX148+$BG148+$BP148+$BY148+$CH148,0)</f>
        <v>0</v>
      </c>
      <c r="DU148" s="1594">
        <f>IF($CP148="ECONACIONAL",$AY148+$BH148+$BQ148+$BZ148+$CI148,0)</f>
        <v>0</v>
      </c>
      <c r="DV148" s="1594">
        <f>IF($CP148="ECONACIONAL",$AZ148+$BI148+$BR148+$CA148+$CJ148,0)</f>
        <v>0</v>
      </c>
      <c r="DW148" s="1594">
        <f>IF($CP148="ECONACIONAL",$BA148+$BJ148+$BS148+$CB148+$CK148,0)</f>
        <v>0</v>
      </c>
      <c r="DX148" s="1594">
        <f>IF($CP148="ECONACIONAL",$BB148+$BK148+$BT148+$CC148+$CL148,0)</f>
        <v>0</v>
      </c>
      <c r="DY148" s="1594">
        <f>IF($CP148="ECONACIONAL",$BC148+$BL148+$BU148+$CD148+$CM148,0)</f>
        <v>0</v>
      </c>
      <c r="DZ148" s="1594">
        <f>SUM(DR148:DY148)-DT148-DV148</f>
        <v>0</v>
      </c>
      <c r="EA148" s="1594">
        <f>IF($CP148="CLEARTEC",$AV148+$BE148+$BN148+$BW148+$CF148,0)</f>
        <v>0</v>
      </c>
      <c r="EB148" s="1594">
        <f>IF($CP148="CLEARTEC",$AW148+$BF148+$BO148+$BX148+$CG148,0)</f>
        <v>0</v>
      </c>
      <c r="EC148" s="1594">
        <f>IF($CP148="CLEARTEC",$AX148+$BG148+$BP148+$BY148+$CH148,0)</f>
        <v>0</v>
      </c>
      <c r="ED148" s="1594">
        <f>IF($CP148="CLEARTEC",$AY148+$BH148+$BQ148+$BZ148+$CI148,0)</f>
        <v>0</v>
      </c>
      <c r="EE148" s="1594">
        <f>IF($CP148="CLEARTEC",$AZ148+$BI148+$BR148+$CA148+$CJ148,0)</f>
        <v>0</v>
      </c>
      <c r="EF148" s="1594">
        <f>IF($CP148="CLEARTEC",$BA148+$BJ148+$BS148+$CB148+$CK148,0)</f>
        <v>0</v>
      </c>
      <c r="EG148" s="1594">
        <f>IF($CP148="CLEARTEC",$BB148+$BK148+$BT148+$CC148+$CL148,0)</f>
        <v>0</v>
      </c>
      <c r="EH148" s="1594">
        <f>IF($CP148="CLEARTEC",$BC148+$BL148+$BU148+$CD148+$CM148,0)</f>
        <v>0</v>
      </c>
      <c r="EI148" s="1595">
        <f>SUM(EA148:EH148)-EC148-EE148</f>
        <v>0</v>
      </c>
      <c r="EK148" s="1596">
        <v>153.97</v>
      </c>
      <c r="EL148" s="313"/>
      <c r="EM148" s="313"/>
      <c r="EN148" s="313">
        <f>262.5+300</f>
        <v>562.5</v>
      </c>
      <c r="EO148" s="313"/>
      <c r="EP148" s="313">
        <v>50</v>
      </c>
      <c r="EQ148" s="313"/>
      <c r="ER148" s="313"/>
      <c r="ES148" s="313"/>
      <c r="ET148" s="313">
        <f>+EO148+EP148+EQ148</f>
        <v>50</v>
      </c>
      <c r="EV148" s="321">
        <f t="shared" si="2844"/>
        <v>153.97</v>
      </c>
      <c r="EW148" s="321">
        <f t="shared" si="2844"/>
        <v>0</v>
      </c>
      <c r="EX148" s="321">
        <f t="shared" si="2844"/>
        <v>0</v>
      </c>
      <c r="EY148" s="321">
        <f t="shared" si="2844"/>
        <v>562.5</v>
      </c>
      <c r="EZ148" s="321">
        <f t="shared" si="2844"/>
        <v>0</v>
      </c>
      <c r="FA148" s="321">
        <f t="shared" si="2844"/>
        <v>50</v>
      </c>
      <c r="FB148" s="321">
        <f t="shared" si="2844"/>
        <v>0</v>
      </c>
      <c r="FC148" s="321">
        <f t="shared" si="2844"/>
        <v>0</v>
      </c>
      <c r="FD148" s="321">
        <f t="shared" si="2844"/>
        <v>0</v>
      </c>
      <c r="FE148" s="321">
        <f t="shared" si="2844"/>
        <v>50</v>
      </c>
      <c r="FF148" s="332">
        <v>0.5</v>
      </c>
      <c r="FG148" s="332">
        <v>0.25</v>
      </c>
      <c r="FH148" s="332">
        <v>0.25</v>
      </c>
      <c r="FI148" s="332">
        <v>0</v>
      </c>
      <c r="FJ148" s="332">
        <v>0</v>
      </c>
      <c r="FK148" s="332">
        <v>1</v>
      </c>
      <c r="FL148" s="331">
        <f t="shared" si="2482"/>
        <v>0</v>
      </c>
    </row>
    <row r="149" spans="1:172" s="1474" customFormat="1" ht="15.75" customHeight="1" outlineLevel="1" thickBot="1">
      <c r="A149" s="1403"/>
      <c r="B149" s="1348"/>
      <c r="C149" s="1339" t="s">
        <v>118</v>
      </c>
      <c r="E149" s="1518">
        <f>SUM(E145:E148)</f>
        <v>14499.14</v>
      </c>
      <c r="F149" s="1519">
        <f>SUM(F145:F148)</f>
        <v>2200</v>
      </c>
      <c r="G149" s="1519">
        <f>SUM(G145:G148)</f>
        <v>16699.140000000003</v>
      </c>
      <c r="H149" s="1513"/>
      <c r="I149" s="1514"/>
      <c r="J149" s="1514"/>
      <c r="K149" s="1514"/>
      <c r="L149" s="1514"/>
      <c r="M149" s="1514"/>
      <c r="N149" s="1514"/>
      <c r="P149" s="1655">
        <f>SUM(P145:P148)</f>
        <v>0</v>
      </c>
      <c r="Q149" s="1655">
        <f t="shared" ref="Q149:AA149" si="2861">SUM(Q145:Q148)</f>
        <v>0</v>
      </c>
      <c r="R149" s="1655">
        <f t="shared" si="2861"/>
        <v>0</v>
      </c>
      <c r="S149" s="1655">
        <f t="shared" si="2861"/>
        <v>0</v>
      </c>
      <c r="T149" s="1655">
        <f t="shared" si="2861"/>
        <v>12</v>
      </c>
      <c r="U149" s="1655">
        <f t="shared" si="2861"/>
        <v>237.47850000000003</v>
      </c>
      <c r="V149" s="1655">
        <f t="shared" si="2861"/>
        <v>0</v>
      </c>
      <c r="W149" s="1655">
        <f t="shared" si="2861"/>
        <v>0</v>
      </c>
      <c r="X149" s="1655">
        <f t="shared" si="2861"/>
        <v>0</v>
      </c>
      <c r="Y149" s="1655">
        <f t="shared" si="2861"/>
        <v>0</v>
      </c>
      <c r="Z149" s="1655">
        <f t="shared" si="2861"/>
        <v>0</v>
      </c>
      <c r="AA149" s="1655">
        <f t="shared" si="2861"/>
        <v>0</v>
      </c>
      <c r="AB149" s="1655">
        <f t="shared" ref="AB149:AT149" si="2862">SUM(AB145:AB148)</f>
        <v>0</v>
      </c>
      <c r="AC149" s="1655">
        <f t="shared" si="2862"/>
        <v>0</v>
      </c>
      <c r="AD149" s="1655">
        <f t="shared" si="2862"/>
        <v>0</v>
      </c>
      <c r="AE149" s="1655">
        <f t="shared" si="2862"/>
        <v>0</v>
      </c>
      <c r="AF149" s="1655">
        <f t="shared" si="2862"/>
        <v>0</v>
      </c>
      <c r="AG149" s="1655">
        <f t="shared" si="2862"/>
        <v>0</v>
      </c>
      <c r="AH149" s="1655">
        <f t="shared" si="2862"/>
        <v>0</v>
      </c>
      <c r="AI149" s="1655">
        <f t="shared" si="2862"/>
        <v>0</v>
      </c>
      <c r="AJ149" s="1655">
        <f t="shared" si="2862"/>
        <v>0</v>
      </c>
      <c r="AK149" s="1655">
        <f t="shared" si="2862"/>
        <v>0</v>
      </c>
      <c r="AL149" s="1655">
        <f t="shared" si="2862"/>
        <v>0</v>
      </c>
      <c r="AM149" s="1655">
        <f t="shared" si="2862"/>
        <v>0</v>
      </c>
      <c r="AN149" s="1655">
        <f t="shared" si="2862"/>
        <v>0</v>
      </c>
      <c r="AO149" s="1655">
        <f t="shared" si="2862"/>
        <v>0</v>
      </c>
      <c r="AP149" s="1655">
        <f t="shared" si="2862"/>
        <v>0</v>
      </c>
      <c r="AQ149" s="1655">
        <f t="shared" si="2862"/>
        <v>0</v>
      </c>
      <c r="AR149" s="1655">
        <f t="shared" si="2862"/>
        <v>0</v>
      </c>
      <c r="AS149" s="1655">
        <f t="shared" si="2862"/>
        <v>0</v>
      </c>
      <c r="AT149" s="1655">
        <f t="shared" si="2862"/>
        <v>0</v>
      </c>
      <c r="AU149" s="1656"/>
      <c r="AV149" s="1655">
        <f>SUM(AV145:AV148)</f>
        <v>6215.2191999999995</v>
      </c>
      <c r="AW149" s="1655">
        <f>SUM(AW145:AW148)</f>
        <v>5374.9133333333339</v>
      </c>
      <c r="AX149" s="1655">
        <f t="shared" ref="AX149:BV149" si="2863">SUM(AX145:AX148)</f>
        <v>0</v>
      </c>
      <c r="AY149" s="1655">
        <f t="shared" si="2863"/>
        <v>0</v>
      </c>
      <c r="AZ149" s="1655">
        <f t="shared" si="2863"/>
        <v>0</v>
      </c>
      <c r="BA149" s="1655">
        <f t="shared" si="2863"/>
        <v>0</v>
      </c>
      <c r="BB149" s="1655">
        <f t="shared" si="2863"/>
        <v>0</v>
      </c>
      <c r="BC149" s="1655">
        <f t="shared" si="2863"/>
        <v>787.46827264000012</v>
      </c>
      <c r="BD149" s="1655">
        <f t="shared" si="2863"/>
        <v>12377.600805973332</v>
      </c>
      <c r="BE149" s="1655">
        <f t="shared" si="2863"/>
        <v>7822.8287999999993</v>
      </c>
      <c r="BF149" s="1655">
        <f>SUM(BF145:BF148)</f>
        <v>7106.42</v>
      </c>
      <c r="BG149" s="1655">
        <f t="shared" si="2863"/>
        <v>12</v>
      </c>
      <c r="BH149" s="1655">
        <f t="shared" si="2863"/>
        <v>237.47850000000003</v>
      </c>
      <c r="BI149" s="1655">
        <f t="shared" si="2863"/>
        <v>0</v>
      </c>
      <c r="BJ149" s="1655">
        <f t="shared" si="2863"/>
        <v>0</v>
      </c>
      <c r="BK149" s="1655">
        <f t="shared" si="2863"/>
        <v>0</v>
      </c>
      <c r="BL149" s="1655">
        <f t="shared" si="2863"/>
        <v>1021.2409349100001</v>
      </c>
      <c r="BM149" s="1655">
        <f t="shared" si="2863"/>
        <v>16187.968234910002</v>
      </c>
      <c r="BN149" s="1655">
        <f t="shared" si="2863"/>
        <v>0</v>
      </c>
      <c r="BO149" s="1655">
        <f>SUM(BO145:BO148)</f>
        <v>0</v>
      </c>
      <c r="BP149" s="1655">
        <f t="shared" si="2863"/>
        <v>0</v>
      </c>
      <c r="BQ149" s="1655">
        <f t="shared" si="2863"/>
        <v>0</v>
      </c>
      <c r="BR149" s="1655">
        <f t="shared" si="2863"/>
        <v>0</v>
      </c>
      <c r="BS149" s="1655">
        <f t="shared" si="2863"/>
        <v>0</v>
      </c>
      <c r="BT149" s="1655">
        <f t="shared" si="2863"/>
        <v>0</v>
      </c>
      <c r="BU149" s="1655">
        <f t="shared" si="2863"/>
        <v>0</v>
      </c>
      <c r="BV149" s="1655">
        <f t="shared" si="2863"/>
        <v>0</v>
      </c>
      <c r="BW149" s="1522">
        <f t="shared" ref="BW149:CN149" si="2864">SUM(BW145:BW148)</f>
        <v>250</v>
      </c>
      <c r="BX149" s="1522">
        <f t="shared" si="2864"/>
        <v>155.14000000000001</v>
      </c>
      <c r="BY149" s="1522">
        <f t="shared" si="2864"/>
        <v>0</v>
      </c>
      <c r="BZ149" s="1522">
        <f t="shared" si="2864"/>
        <v>0</v>
      </c>
      <c r="CA149" s="1522">
        <f t="shared" si="2864"/>
        <v>0</v>
      </c>
      <c r="CB149" s="1522">
        <f t="shared" si="2864"/>
        <v>0</v>
      </c>
      <c r="CC149" s="1522">
        <f t="shared" si="2864"/>
        <v>0</v>
      </c>
      <c r="CD149" s="1522">
        <f t="shared" si="2864"/>
        <v>31.675000000000001</v>
      </c>
      <c r="CE149" s="1522">
        <f t="shared" si="2864"/>
        <v>436.815</v>
      </c>
      <c r="CF149" s="1522">
        <f t="shared" si="2864"/>
        <v>0</v>
      </c>
      <c r="CG149" s="1522">
        <f t="shared" si="2864"/>
        <v>0</v>
      </c>
      <c r="CH149" s="1522">
        <f t="shared" si="2864"/>
        <v>0</v>
      </c>
      <c r="CI149" s="1522">
        <f t="shared" si="2864"/>
        <v>0</v>
      </c>
      <c r="CJ149" s="1522">
        <f t="shared" si="2864"/>
        <v>0</v>
      </c>
      <c r="CK149" s="1522">
        <f t="shared" si="2864"/>
        <v>0</v>
      </c>
      <c r="CL149" s="1522">
        <f t="shared" si="2864"/>
        <v>0</v>
      </c>
      <c r="CM149" s="1522">
        <f t="shared" si="2864"/>
        <v>0</v>
      </c>
      <c r="CN149" s="1522">
        <f t="shared" si="2864"/>
        <v>0</v>
      </c>
      <c r="CP149" s="1475"/>
      <c r="CQ149" s="1655">
        <f>SUM(CQ145:CQ148)</f>
        <v>11121.668000000001</v>
      </c>
      <c r="CR149" s="1655">
        <f t="shared" ref="CR149:EI149" si="2865">SUM(CR145:CR148)</f>
        <v>10011.473333333333</v>
      </c>
      <c r="CS149" s="1655">
        <f t="shared" si="2865"/>
        <v>7</v>
      </c>
      <c r="CT149" s="1655">
        <f t="shared" si="2865"/>
        <v>138.52912500000002</v>
      </c>
      <c r="CU149" s="1655">
        <f t="shared" si="2865"/>
        <v>0</v>
      </c>
      <c r="CV149" s="1655">
        <f t="shared" si="2865"/>
        <v>0</v>
      </c>
      <c r="CW149" s="1655">
        <f t="shared" si="2865"/>
        <v>0</v>
      </c>
      <c r="CX149" s="1655">
        <f t="shared" si="2865"/>
        <v>1426.6669757375</v>
      </c>
      <c r="CY149" s="1655">
        <f t="shared" si="2865"/>
        <v>22698.337434070832</v>
      </c>
      <c r="CZ149" s="1655">
        <f t="shared" si="2865"/>
        <v>3166.38</v>
      </c>
      <c r="DA149" s="1655">
        <f t="shared" si="2865"/>
        <v>2625</v>
      </c>
      <c r="DB149" s="1655">
        <f t="shared" si="2865"/>
        <v>5</v>
      </c>
      <c r="DC149" s="1655">
        <f t="shared" si="2865"/>
        <v>98.949375000000003</v>
      </c>
      <c r="DD149" s="1655">
        <f t="shared" si="2865"/>
        <v>0</v>
      </c>
      <c r="DE149" s="1655">
        <f t="shared" si="2865"/>
        <v>0</v>
      </c>
      <c r="DF149" s="1655">
        <f>SUM(DF145:DF148)</f>
        <v>0</v>
      </c>
      <c r="DG149" s="1655">
        <f t="shared" si="2865"/>
        <v>413.71723181250002</v>
      </c>
      <c r="DH149" s="1655">
        <f t="shared" si="2865"/>
        <v>6304.0466068125006</v>
      </c>
      <c r="DI149" s="1655">
        <f t="shared" si="2865"/>
        <v>0</v>
      </c>
      <c r="DJ149" s="1655">
        <f t="shared" si="2865"/>
        <v>0</v>
      </c>
      <c r="DK149" s="1655">
        <f t="shared" si="2865"/>
        <v>0</v>
      </c>
      <c r="DL149" s="1655">
        <f t="shared" si="2865"/>
        <v>0</v>
      </c>
      <c r="DM149" s="1655">
        <f t="shared" si="2865"/>
        <v>0</v>
      </c>
      <c r="DN149" s="1655">
        <f t="shared" si="2865"/>
        <v>0</v>
      </c>
      <c r="DO149" s="1655">
        <f t="shared" si="2865"/>
        <v>0</v>
      </c>
      <c r="DP149" s="1655">
        <f t="shared" si="2865"/>
        <v>0</v>
      </c>
      <c r="DQ149" s="1655">
        <f t="shared" si="2865"/>
        <v>0</v>
      </c>
      <c r="DR149" s="1655">
        <f t="shared" si="2865"/>
        <v>0</v>
      </c>
      <c r="DS149" s="1655">
        <f t="shared" si="2865"/>
        <v>0</v>
      </c>
      <c r="DT149" s="1655">
        <f t="shared" si="2865"/>
        <v>0</v>
      </c>
      <c r="DU149" s="1655">
        <f t="shared" si="2865"/>
        <v>0</v>
      </c>
      <c r="DV149" s="1655">
        <f t="shared" si="2865"/>
        <v>0</v>
      </c>
      <c r="DW149" s="1655">
        <f t="shared" si="2865"/>
        <v>0</v>
      </c>
      <c r="DX149" s="1655">
        <f t="shared" si="2865"/>
        <v>0</v>
      </c>
      <c r="DY149" s="1655">
        <f t="shared" si="2865"/>
        <v>0</v>
      </c>
      <c r="DZ149" s="1655">
        <f t="shared" si="2865"/>
        <v>0</v>
      </c>
      <c r="EA149" s="1655">
        <f t="shared" si="2865"/>
        <v>0</v>
      </c>
      <c r="EB149" s="1655">
        <f t="shared" si="2865"/>
        <v>0</v>
      </c>
      <c r="EC149" s="1655">
        <f t="shared" si="2865"/>
        <v>0</v>
      </c>
      <c r="ED149" s="1655">
        <f t="shared" si="2865"/>
        <v>0</v>
      </c>
      <c r="EE149" s="1655">
        <f t="shared" si="2865"/>
        <v>0</v>
      </c>
      <c r="EF149" s="1655">
        <f t="shared" si="2865"/>
        <v>0</v>
      </c>
      <c r="EG149" s="1655">
        <f t="shared" si="2865"/>
        <v>0</v>
      </c>
      <c r="EH149" s="1655">
        <f t="shared" si="2865"/>
        <v>0</v>
      </c>
      <c r="EI149" s="1655">
        <f t="shared" si="2865"/>
        <v>0</v>
      </c>
      <c r="EK149" s="1519">
        <f>SUM(EK145:EK148)</f>
        <v>615.79</v>
      </c>
      <c r="EL149" s="1519">
        <f t="shared" ref="EL149:ET149" si="2866">SUM(EL145:EL148)</f>
        <v>0</v>
      </c>
      <c r="EM149" s="1519">
        <f t="shared" si="2866"/>
        <v>0</v>
      </c>
      <c r="EN149" s="1518">
        <f>SUM(EN145:EN148)</f>
        <v>780.25</v>
      </c>
      <c r="EO149" s="1519">
        <f>SUM(EO145:EO148)</f>
        <v>0</v>
      </c>
      <c r="EP149" s="1519">
        <f t="shared" si="2866"/>
        <v>200</v>
      </c>
      <c r="EQ149" s="1519">
        <f>SUM(EQ145:EQ148)</f>
        <v>240</v>
      </c>
      <c r="ER149" s="1519">
        <f t="shared" si="2866"/>
        <v>0</v>
      </c>
      <c r="ES149" s="1519">
        <f t="shared" si="2866"/>
        <v>0</v>
      </c>
      <c r="ET149" s="1519">
        <f t="shared" si="2866"/>
        <v>440</v>
      </c>
      <c r="EV149" s="1519">
        <f>SUM(EV145:EV148)</f>
        <v>615.79</v>
      </c>
      <c r="EW149" s="1519">
        <f t="shared" ref="EW149:FE149" si="2867">SUM(EW145:EW148)</f>
        <v>0</v>
      </c>
      <c r="EX149" s="1519">
        <f t="shared" si="2867"/>
        <v>0</v>
      </c>
      <c r="EY149" s="1519">
        <f t="shared" si="2867"/>
        <v>780.25</v>
      </c>
      <c r="EZ149" s="1519">
        <f t="shared" si="2867"/>
        <v>0</v>
      </c>
      <c r="FA149" s="1519">
        <f t="shared" si="2867"/>
        <v>200</v>
      </c>
      <c r="FB149" s="1519">
        <f t="shared" si="2867"/>
        <v>240</v>
      </c>
      <c r="FC149" s="1519">
        <f t="shared" si="2867"/>
        <v>0</v>
      </c>
      <c r="FD149" s="1519">
        <f t="shared" si="2867"/>
        <v>0</v>
      </c>
      <c r="FE149" s="1519">
        <f t="shared" si="2867"/>
        <v>440</v>
      </c>
      <c r="FF149" s="1448"/>
      <c r="FG149" s="1448"/>
      <c r="FH149" s="1448"/>
      <c r="FI149" s="1448"/>
      <c r="FJ149" s="1448"/>
      <c r="FK149" s="1448"/>
      <c r="FL149" s="1441">
        <f t="shared" si="2482"/>
        <v>0</v>
      </c>
    </row>
    <row r="150" spans="1:172" s="1513" customFormat="1" ht="16.5" customHeight="1" outlineLevel="1" thickTop="1" thickBot="1">
      <c r="A150" s="1511"/>
      <c r="B150" s="1348"/>
      <c r="C150" s="1339" t="s">
        <v>119</v>
      </c>
      <c r="D150" s="1474"/>
      <c r="E150" s="1570">
        <f>SUM(E79+E91+E99+E116+E121+E134+E142+E149)</f>
        <v>198121.58000000002</v>
      </c>
      <c r="F150" s="1570">
        <f>SUM(F79+F91+F99+F116+F121+F134+F142+F149)</f>
        <v>38226.480000000003</v>
      </c>
      <c r="G150" s="1570">
        <f>SUM(G79+G91+G99+G116+G121+G134+G142+G149)</f>
        <v>235933.78000000006</v>
      </c>
      <c r="I150" s="1514"/>
      <c r="J150" s="1514"/>
      <c r="K150" s="1514"/>
      <c r="L150" s="1514"/>
      <c r="M150" s="1514"/>
      <c r="N150" s="1514"/>
      <c r="O150" s="1474"/>
      <c r="P150" s="1545">
        <f t="shared" ref="P150:AT150" si="2868">SUM(P79+P91+P99+P116+P121+P134+P142+P149)</f>
        <v>100</v>
      </c>
      <c r="Q150" s="1545">
        <f t="shared" si="2868"/>
        <v>1978.9875000000002</v>
      </c>
      <c r="R150" s="1545">
        <f t="shared" si="2868"/>
        <v>0</v>
      </c>
      <c r="S150" s="1545">
        <f t="shared" si="2868"/>
        <v>0</v>
      </c>
      <c r="T150" s="1545">
        <f t="shared" si="2868"/>
        <v>284.5</v>
      </c>
      <c r="U150" s="1545">
        <f t="shared" si="2868"/>
        <v>5691.3749999999991</v>
      </c>
      <c r="V150" s="1545">
        <f t="shared" si="2868"/>
        <v>0</v>
      </c>
      <c r="W150" s="1545">
        <f t="shared" si="2868"/>
        <v>0</v>
      </c>
      <c r="X150" s="1545">
        <f t="shared" si="2868"/>
        <v>0</v>
      </c>
      <c r="Y150" s="1545">
        <f t="shared" si="2868"/>
        <v>0</v>
      </c>
      <c r="Z150" s="1545">
        <f t="shared" si="2868"/>
        <v>0</v>
      </c>
      <c r="AA150" s="1545">
        <f t="shared" si="2868"/>
        <v>0</v>
      </c>
      <c r="AB150" s="1545">
        <f t="shared" si="2868"/>
        <v>0</v>
      </c>
      <c r="AC150" s="1545">
        <f t="shared" si="2868"/>
        <v>0</v>
      </c>
      <c r="AD150" s="1545">
        <f t="shared" si="2868"/>
        <v>0</v>
      </c>
      <c r="AE150" s="1545">
        <f t="shared" si="2868"/>
        <v>0</v>
      </c>
      <c r="AF150" s="1545">
        <f t="shared" si="2868"/>
        <v>0</v>
      </c>
      <c r="AG150" s="1545">
        <f t="shared" si="2868"/>
        <v>0</v>
      </c>
      <c r="AH150" s="1545">
        <f t="shared" si="2868"/>
        <v>0</v>
      </c>
      <c r="AI150" s="1545">
        <f t="shared" si="2868"/>
        <v>0</v>
      </c>
      <c r="AJ150" s="1545">
        <f t="shared" si="2868"/>
        <v>0</v>
      </c>
      <c r="AK150" s="1545">
        <f t="shared" si="2868"/>
        <v>0</v>
      </c>
      <c r="AL150" s="1545">
        <f t="shared" si="2868"/>
        <v>0</v>
      </c>
      <c r="AM150" s="1545">
        <f t="shared" si="2868"/>
        <v>0</v>
      </c>
      <c r="AN150" s="1545">
        <f t="shared" si="2868"/>
        <v>0</v>
      </c>
      <c r="AO150" s="1545">
        <f t="shared" si="2868"/>
        <v>0</v>
      </c>
      <c r="AP150" s="1545">
        <f t="shared" si="2868"/>
        <v>0</v>
      </c>
      <c r="AQ150" s="1545">
        <f t="shared" si="2868"/>
        <v>0</v>
      </c>
      <c r="AR150" s="1545">
        <f t="shared" si="2868"/>
        <v>0</v>
      </c>
      <c r="AS150" s="1545">
        <f t="shared" si="2868"/>
        <v>0</v>
      </c>
      <c r="AT150" s="1545">
        <f t="shared" si="2868"/>
        <v>0</v>
      </c>
      <c r="AU150" s="1657"/>
      <c r="AV150" s="1545">
        <f t="shared" ref="AV150:CO150" si="2869">SUM(AV79+AV91+AV99+AV116+AV121+AV134+AV142+AV149)</f>
        <v>107370.29253333333</v>
      </c>
      <c r="AW150" s="1545">
        <f t="shared" si="2869"/>
        <v>56753.98000000001</v>
      </c>
      <c r="AX150" s="1545">
        <f t="shared" si="2869"/>
        <v>100</v>
      </c>
      <c r="AY150" s="1545">
        <f t="shared" si="2869"/>
        <v>1978.9875000000002</v>
      </c>
      <c r="AZ150" s="1545">
        <f t="shared" si="2869"/>
        <v>0</v>
      </c>
      <c r="BA150" s="1545">
        <f t="shared" si="2869"/>
        <v>0</v>
      </c>
      <c r="BB150" s="1545">
        <f t="shared" si="2869"/>
        <v>0</v>
      </c>
      <c r="BC150" s="1545">
        <f t="shared" si="2869"/>
        <v>13854.553780223336</v>
      </c>
      <c r="BD150" s="1545">
        <f t="shared" si="2869"/>
        <v>179957.81381355668</v>
      </c>
      <c r="BE150" s="1545">
        <f t="shared" si="2869"/>
        <v>79159.078800000003</v>
      </c>
      <c r="BF150" s="1545">
        <f t="shared" si="2869"/>
        <v>42128.67</v>
      </c>
      <c r="BG150" s="1545">
        <f t="shared" si="2869"/>
        <v>284.5</v>
      </c>
      <c r="BH150" s="1545">
        <f t="shared" si="2869"/>
        <v>5691.3749999999991</v>
      </c>
      <c r="BI150" s="1545">
        <f t="shared" si="2869"/>
        <v>0</v>
      </c>
      <c r="BJ150" s="1545">
        <f t="shared" si="2869"/>
        <v>0</v>
      </c>
      <c r="BK150" s="1545">
        <f t="shared" si="2869"/>
        <v>0</v>
      </c>
      <c r="BL150" s="1545">
        <f t="shared" si="2869"/>
        <v>10750.552496460001</v>
      </c>
      <c r="BM150" s="1545">
        <f t="shared" si="2869"/>
        <v>137729.67629646001</v>
      </c>
      <c r="BN150" s="1545">
        <f t="shared" si="2869"/>
        <v>0</v>
      </c>
      <c r="BO150" s="1545">
        <f t="shared" si="2869"/>
        <v>1350</v>
      </c>
      <c r="BP150" s="1545">
        <f t="shared" si="2869"/>
        <v>0</v>
      </c>
      <c r="BQ150" s="1545">
        <f t="shared" si="2869"/>
        <v>0</v>
      </c>
      <c r="BR150" s="1545">
        <f t="shared" si="2869"/>
        <v>0</v>
      </c>
      <c r="BS150" s="1545">
        <f t="shared" si="2869"/>
        <v>0</v>
      </c>
      <c r="BT150" s="1545">
        <f t="shared" si="2869"/>
        <v>0</v>
      </c>
      <c r="BU150" s="1545">
        <f t="shared" si="2869"/>
        <v>0</v>
      </c>
      <c r="BV150" s="1545">
        <f t="shared" si="2869"/>
        <v>1350</v>
      </c>
      <c r="BW150" s="1545">
        <f t="shared" si="2869"/>
        <v>3201.8333333333335</v>
      </c>
      <c r="BX150" s="1545">
        <f t="shared" si="2869"/>
        <v>1674.1966666666669</v>
      </c>
      <c r="BY150" s="1545">
        <f t="shared" si="2869"/>
        <v>0</v>
      </c>
      <c r="BZ150" s="1545">
        <f t="shared" si="2869"/>
        <v>0</v>
      </c>
      <c r="CA150" s="1545">
        <f t="shared" si="2869"/>
        <v>0</v>
      </c>
      <c r="CB150" s="1545">
        <f t="shared" si="2869"/>
        <v>0</v>
      </c>
      <c r="CC150" s="1545">
        <f t="shared" si="2869"/>
        <v>0</v>
      </c>
      <c r="CD150" s="1545">
        <f t="shared" si="2869"/>
        <v>405.67228333333338</v>
      </c>
      <c r="CE150" s="1545">
        <f t="shared" si="2869"/>
        <v>5281.7022833333331</v>
      </c>
      <c r="CF150" s="1545">
        <f t="shared" si="2869"/>
        <v>0</v>
      </c>
      <c r="CG150" s="1545">
        <f t="shared" si="2869"/>
        <v>0</v>
      </c>
      <c r="CH150" s="1545">
        <f t="shared" si="2869"/>
        <v>0</v>
      </c>
      <c r="CI150" s="1545">
        <f t="shared" si="2869"/>
        <v>0</v>
      </c>
      <c r="CJ150" s="1545">
        <f t="shared" si="2869"/>
        <v>0</v>
      </c>
      <c r="CK150" s="1545">
        <f t="shared" si="2869"/>
        <v>0</v>
      </c>
      <c r="CL150" s="1545">
        <f t="shared" si="2869"/>
        <v>0</v>
      </c>
      <c r="CM150" s="1545">
        <f t="shared" si="2869"/>
        <v>0</v>
      </c>
      <c r="CN150" s="1545">
        <f t="shared" si="2869"/>
        <v>0</v>
      </c>
      <c r="CO150" s="1545">
        <f t="shared" si="2869"/>
        <v>0</v>
      </c>
      <c r="CQ150" s="1658">
        <f t="shared" ref="CQ150:EI150" si="2870">SUM(CQ79+CQ91+CQ99+CQ116+CQ121+CQ134+CQ142+CQ149)</f>
        <v>119901.62666666668</v>
      </c>
      <c r="CR150" s="1658">
        <f t="shared" si="2870"/>
        <v>70439.83666666667</v>
      </c>
      <c r="CS150" s="1658">
        <f t="shared" si="2870"/>
        <v>166</v>
      </c>
      <c r="CT150" s="1658">
        <f t="shared" si="2870"/>
        <v>3285.1192500000006</v>
      </c>
      <c r="CU150" s="1658">
        <f t="shared" si="2870"/>
        <v>0</v>
      </c>
      <c r="CV150" s="1658">
        <f t="shared" si="2870"/>
        <v>0</v>
      </c>
      <c r="CW150" s="1658">
        <f t="shared" si="2870"/>
        <v>0</v>
      </c>
      <c r="CX150" s="1658">
        <f t="shared" si="2870"/>
        <v>15607.76070764167</v>
      </c>
      <c r="CY150" s="1658">
        <f t="shared" si="2870"/>
        <v>209234.34329097503</v>
      </c>
      <c r="CZ150" s="1658">
        <f t="shared" si="2870"/>
        <v>66379.578000000009</v>
      </c>
      <c r="DA150" s="1658">
        <f t="shared" si="2870"/>
        <v>26764.82</v>
      </c>
      <c r="DB150" s="1658">
        <f t="shared" si="2870"/>
        <v>204.5</v>
      </c>
      <c r="DC150" s="1658">
        <f t="shared" si="2870"/>
        <v>4083.3682500000004</v>
      </c>
      <c r="DD150" s="1658">
        <f t="shared" si="2870"/>
        <v>0</v>
      </c>
      <c r="DE150" s="1658">
        <f t="shared" si="2870"/>
        <v>0</v>
      </c>
      <c r="DF150" s="1658">
        <f t="shared" si="2870"/>
        <v>0</v>
      </c>
      <c r="DG150" s="1658">
        <f t="shared" si="2870"/>
        <v>8927.6552898749997</v>
      </c>
      <c r="DH150" s="1658">
        <f t="shared" si="2870"/>
        <v>106155.42153987499</v>
      </c>
      <c r="DI150" s="1658">
        <f t="shared" si="2870"/>
        <v>3450</v>
      </c>
      <c r="DJ150" s="1658">
        <f t="shared" si="2870"/>
        <v>4702.1900000000005</v>
      </c>
      <c r="DK150" s="1658">
        <f t="shared" si="2870"/>
        <v>14</v>
      </c>
      <c r="DL150" s="1658">
        <f t="shared" si="2870"/>
        <v>301.875</v>
      </c>
      <c r="DM150" s="1658">
        <f t="shared" si="2870"/>
        <v>0</v>
      </c>
      <c r="DN150" s="1658">
        <f t="shared" si="2870"/>
        <v>0</v>
      </c>
      <c r="DO150" s="1658">
        <f t="shared" si="2870"/>
        <v>0</v>
      </c>
      <c r="DP150" s="1658">
        <f t="shared" si="2870"/>
        <v>475.36256250000002</v>
      </c>
      <c r="DQ150" s="1658">
        <f t="shared" si="2870"/>
        <v>8929.4275625000009</v>
      </c>
      <c r="DR150" s="1659">
        <f t="shared" si="2870"/>
        <v>0</v>
      </c>
      <c r="DS150" s="1659">
        <f t="shared" si="2870"/>
        <v>0</v>
      </c>
      <c r="DT150" s="1659">
        <f t="shared" si="2870"/>
        <v>0</v>
      </c>
      <c r="DU150" s="1659">
        <f t="shared" si="2870"/>
        <v>0</v>
      </c>
      <c r="DV150" s="1659">
        <f t="shared" si="2870"/>
        <v>0</v>
      </c>
      <c r="DW150" s="1659">
        <f t="shared" si="2870"/>
        <v>0</v>
      </c>
      <c r="DX150" s="1659">
        <f t="shared" si="2870"/>
        <v>0</v>
      </c>
      <c r="DY150" s="1659">
        <f t="shared" si="2870"/>
        <v>0</v>
      </c>
      <c r="DZ150" s="1659">
        <f t="shared" si="2870"/>
        <v>0</v>
      </c>
      <c r="EA150" s="1659">
        <f t="shared" si="2870"/>
        <v>0</v>
      </c>
      <c r="EB150" s="1659">
        <f t="shared" si="2870"/>
        <v>0</v>
      </c>
      <c r="EC150" s="1659">
        <f t="shared" si="2870"/>
        <v>0</v>
      </c>
      <c r="ED150" s="1659">
        <f t="shared" si="2870"/>
        <v>0</v>
      </c>
      <c r="EE150" s="1659">
        <f t="shared" si="2870"/>
        <v>0</v>
      </c>
      <c r="EF150" s="1659">
        <f t="shared" si="2870"/>
        <v>0</v>
      </c>
      <c r="EG150" s="1659">
        <f t="shared" si="2870"/>
        <v>0</v>
      </c>
      <c r="EH150" s="1659">
        <f t="shared" si="2870"/>
        <v>0</v>
      </c>
      <c r="EI150" s="1659">
        <f t="shared" si="2870"/>
        <v>0</v>
      </c>
      <c r="EJ150" s="1474"/>
      <c r="EK150" s="1660">
        <f t="shared" ref="EK150:ET150" si="2871">SUM(EK79+EK91+EK99+EK116+EK121+EK134+EK142+EK149)</f>
        <v>4242.3200000000006</v>
      </c>
      <c r="EL150" s="1660">
        <f t="shared" si="2871"/>
        <v>13050.599999999997</v>
      </c>
      <c r="EM150" s="1660">
        <f t="shared" si="2871"/>
        <v>256</v>
      </c>
      <c r="EN150" s="1660">
        <f t="shared" si="2871"/>
        <v>12171.5</v>
      </c>
      <c r="EO150" s="1660">
        <f t="shared" si="2871"/>
        <v>406.5</v>
      </c>
      <c r="EP150" s="1660">
        <f t="shared" si="2871"/>
        <v>2870</v>
      </c>
      <c r="EQ150" s="1660">
        <f t="shared" si="2871"/>
        <v>3820.15</v>
      </c>
      <c r="ER150" s="1660">
        <f t="shared" si="2871"/>
        <v>0</v>
      </c>
      <c r="ES150" s="1660">
        <f t="shared" si="2871"/>
        <v>295</v>
      </c>
      <c r="ET150" s="1660">
        <f t="shared" si="2871"/>
        <v>7096.65</v>
      </c>
      <c r="EU150" s="1474"/>
      <c r="EV150" s="1531">
        <f t="shared" ref="EV150:FE150" si="2872">SUM(EV79+EV91+EV99+EV116+EV121+EV134+EV142+EV149)</f>
        <v>4299.3100000000004</v>
      </c>
      <c r="EW150" s="1531">
        <f t="shared" si="2872"/>
        <v>12573.024999999998</v>
      </c>
      <c r="EX150" s="1531">
        <f t="shared" si="2872"/>
        <v>256</v>
      </c>
      <c r="EY150" s="1531">
        <f t="shared" si="2872"/>
        <v>12171.5</v>
      </c>
      <c r="EZ150" s="1531">
        <f t="shared" si="2872"/>
        <v>406.5</v>
      </c>
      <c r="FA150" s="1531">
        <f t="shared" si="2872"/>
        <v>2870</v>
      </c>
      <c r="FB150" s="1531">
        <f t="shared" si="2872"/>
        <v>3820.15</v>
      </c>
      <c r="FC150" s="1531">
        <f t="shared" si="2872"/>
        <v>0</v>
      </c>
      <c r="FD150" s="1531">
        <f t="shared" si="2872"/>
        <v>295</v>
      </c>
      <c r="FE150" s="1531">
        <f t="shared" si="2872"/>
        <v>7071.65</v>
      </c>
      <c r="FF150" s="1448"/>
      <c r="FG150" s="1448"/>
      <c r="FH150" s="1448"/>
      <c r="FI150" s="1448"/>
      <c r="FJ150" s="1448"/>
      <c r="FK150" s="1448"/>
      <c r="FL150" s="1441">
        <f t="shared" si="2482"/>
        <v>0</v>
      </c>
      <c r="FM150" s="1474"/>
      <c r="FN150" s="1474"/>
      <c r="FO150" s="1474"/>
      <c r="FP150" s="1474"/>
    </row>
    <row r="151" spans="1:172" s="1513" customFormat="1" ht="15.75" customHeight="1" outlineLevel="1" thickTop="1">
      <c r="A151" s="1511"/>
      <c r="B151" s="1348"/>
      <c r="C151" s="1339"/>
      <c r="D151" s="1474"/>
      <c r="E151" s="1512"/>
      <c r="I151" s="1514"/>
      <c r="J151" s="1514"/>
      <c r="K151" s="1514"/>
      <c r="L151" s="1514"/>
      <c r="M151" s="1514"/>
      <c r="N151" s="1514"/>
      <c r="O151" s="1474"/>
      <c r="P151" s="1515"/>
      <c r="R151" s="1515"/>
      <c r="T151" s="1515"/>
      <c r="V151" s="1515"/>
      <c r="X151" s="1515"/>
      <c r="Z151" s="1516"/>
      <c r="AB151" s="1516"/>
      <c r="AD151" s="1516"/>
      <c r="AH151" s="1516"/>
      <c r="AU151" s="1533"/>
      <c r="CO151" s="1474"/>
      <c r="CP151" s="1474"/>
      <c r="EJ151" s="1474"/>
      <c r="EK151" s="1403"/>
      <c r="EL151" s="1474"/>
      <c r="EM151" s="1474"/>
      <c r="EN151" s="1534"/>
      <c r="EO151" s="1474"/>
      <c r="EP151" s="1474"/>
      <c r="EQ151" s="1474"/>
      <c r="ER151" s="1474"/>
      <c r="ES151" s="1474"/>
      <c r="ET151" s="1474"/>
      <c r="EU151" s="1474"/>
      <c r="EV151" s="1414"/>
      <c r="EW151" s="1414"/>
      <c r="EX151" s="1414"/>
      <c r="EY151" s="1414"/>
      <c r="EZ151" s="1414"/>
      <c r="FA151" s="1414"/>
      <c r="FB151" s="1414"/>
      <c r="FC151" s="1414"/>
      <c r="FD151" s="1414"/>
      <c r="FE151" s="1414"/>
      <c r="FF151" s="1448"/>
      <c r="FG151" s="1448"/>
      <c r="FH151" s="1448"/>
      <c r="FI151" s="1448"/>
      <c r="FJ151" s="1448"/>
      <c r="FK151" s="1448"/>
      <c r="FL151" s="1441">
        <f t="shared" si="2482"/>
        <v>0</v>
      </c>
      <c r="FM151" s="1474"/>
      <c r="FN151" s="1474"/>
      <c r="FO151" s="1474"/>
      <c r="FP151" s="1474"/>
    </row>
    <row r="152" spans="1:172" s="1513" customFormat="1" ht="18" customHeight="1" outlineLevel="1">
      <c r="A152" s="1511"/>
      <c r="B152" s="1661" t="s">
        <v>120</v>
      </c>
      <c r="C152" s="1339"/>
      <c r="D152" s="1474"/>
      <c r="E152" s="1512"/>
      <c r="I152" s="1514"/>
      <c r="J152" s="1514"/>
      <c r="K152" s="1514"/>
      <c r="L152" s="1514"/>
      <c r="M152" s="1514"/>
      <c r="N152" s="1514"/>
      <c r="O152" s="1474"/>
      <c r="P152" s="1515"/>
      <c r="R152" s="1515"/>
      <c r="T152" s="1515"/>
      <c r="V152" s="1515"/>
      <c r="X152" s="1515"/>
      <c r="Z152" s="1516"/>
      <c r="AB152" s="1516"/>
      <c r="AD152" s="1516"/>
      <c r="AH152" s="1516"/>
      <c r="AU152" s="1533"/>
      <c r="CO152" s="1474"/>
      <c r="CP152" s="1474"/>
      <c r="EJ152" s="1474"/>
      <c r="EK152" s="1403"/>
      <c r="EL152" s="1474"/>
      <c r="EM152" s="1474"/>
      <c r="EN152" s="1534"/>
      <c r="EO152" s="1474"/>
      <c r="EP152" s="1474"/>
      <c r="EQ152" s="1474"/>
      <c r="ER152" s="1474"/>
      <c r="ES152" s="1474"/>
      <c r="ET152" s="1474"/>
      <c r="EU152" s="1474"/>
      <c r="EV152" s="1414"/>
      <c r="EW152" s="1414"/>
      <c r="EX152" s="1414"/>
      <c r="EY152" s="1414"/>
      <c r="EZ152" s="1414"/>
      <c r="FA152" s="1414"/>
      <c r="FB152" s="1414"/>
      <c r="FC152" s="1414"/>
      <c r="FD152" s="1414"/>
      <c r="FE152" s="1414"/>
      <c r="FF152" s="1448"/>
      <c r="FG152" s="1448"/>
      <c r="FH152" s="1448"/>
      <c r="FI152" s="1448"/>
      <c r="FJ152" s="1448"/>
      <c r="FK152" s="1448"/>
      <c r="FL152" s="1441">
        <f t="shared" si="2482"/>
        <v>0</v>
      </c>
      <c r="FM152" s="1474"/>
      <c r="FN152" s="1474"/>
      <c r="FO152" s="1474"/>
      <c r="FP152" s="1474"/>
    </row>
    <row r="153" spans="1:172" s="1513" customFormat="1" ht="15" customHeight="1" outlineLevel="1">
      <c r="A153" s="1511"/>
      <c r="B153" s="1416" t="s">
        <v>121</v>
      </c>
      <c r="C153" s="1339"/>
      <c r="D153" s="1474"/>
      <c r="E153" s="1512"/>
      <c r="I153" s="1514"/>
      <c r="J153" s="1514"/>
      <c r="K153" s="1514"/>
      <c r="L153" s="1514"/>
      <c r="M153" s="1514"/>
      <c r="N153" s="1514"/>
      <c r="O153" s="1474"/>
      <c r="P153" s="1515"/>
      <c r="R153" s="1515"/>
      <c r="T153" s="1515"/>
      <c r="V153" s="1515"/>
      <c r="X153" s="1515"/>
      <c r="Z153" s="1516"/>
      <c r="AB153" s="1516"/>
      <c r="AD153" s="1516"/>
      <c r="AH153" s="1516"/>
      <c r="AO153" s="1549"/>
      <c r="AU153" s="1533"/>
      <c r="CO153" s="1474"/>
      <c r="CP153" s="1474"/>
      <c r="EJ153" s="1474"/>
      <c r="EK153" s="1403"/>
      <c r="EL153" s="1474"/>
      <c r="EM153" s="1474"/>
      <c r="EN153" s="1534"/>
      <c r="EO153" s="1474"/>
      <c r="EP153" s="1474"/>
      <c r="EQ153" s="1474"/>
      <c r="ER153" s="1474"/>
      <c r="ES153" s="1474"/>
      <c r="ET153" s="1474"/>
      <c r="EU153" s="1474"/>
      <c r="EV153" s="1414"/>
      <c r="EW153" s="1414"/>
      <c r="EX153" s="1414"/>
      <c r="EY153" s="1414"/>
      <c r="EZ153" s="1414"/>
      <c r="FA153" s="1414"/>
      <c r="FB153" s="1414"/>
      <c r="FC153" s="1414"/>
      <c r="FD153" s="1414"/>
      <c r="FE153" s="1414"/>
      <c r="FF153" s="1448"/>
      <c r="FG153" s="1448"/>
      <c r="FH153" s="1448"/>
      <c r="FI153" s="1448"/>
      <c r="FJ153" s="1448"/>
      <c r="FK153" s="1448"/>
      <c r="FL153" s="1441">
        <f t="shared" si="2482"/>
        <v>0</v>
      </c>
      <c r="FM153" s="1474"/>
      <c r="FN153" s="1474"/>
      <c r="FO153" s="1474"/>
      <c r="FP153" s="1474"/>
    </row>
    <row r="154" spans="1:172" s="1513" customFormat="1" ht="15" customHeight="1" outlineLevel="1">
      <c r="A154" s="1511"/>
      <c r="B154" s="1416" t="s">
        <v>237</v>
      </c>
      <c r="C154" s="1339"/>
      <c r="D154" s="1474"/>
      <c r="E154" s="1512"/>
      <c r="I154" s="1514"/>
      <c r="J154" s="1514"/>
      <c r="K154" s="1514"/>
      <c r="L154" s="1514"/>
      <c r="M154" s="1514"/>
      <c r="N154" s="1514"/>
      <c r="O154" s="1474"/>
      <c r="P154" s="1515"/>
      <c r="R154" s="1515"/>
      <c r="T154" s="1515"/>
      <c r="V154" s="1515"/>
      <c r="X154" s="1515"/>
      <c r="Z154" s="1516"/>
      <c r="AB154" s="1516"/>
      <c r="AD154" s="1516"/>
      <c r="AH154" s="1516"/>
      <c r="AO154" s="1662"/>
      <c r="AU154" s="1533"/>
      <c r="BF154" s="1513" t="s">
        <v>822</v>
      </c>
      <c r="CO154" s="1474"/>
      <c r="CP154" s="1474"/>
      <c r="EJ154" s="1474"/>
      <c r="EK154" s="1403"/>
      <c r="EL154" s="1474"/>
      <c r="EM154" s="1474"/>
      <c r="EN154" s="1534"/>
      <c r="EO154" s="1474"/>
      <c r="EP154" s="1474"/>
      <c r="EQ154" s="1474"/>
      <c r="ER154" s="1474"/>
      <c r="ES154" s="1474"/>
      <c r="ET154" s="1474"/>
      <c r="EU154" s="1474"/>
      <c r="EV154" s="1414"/>
      <c r="EW154" s="1414"/>
      <c r="EX154" s="1414"/>
      <c r="EY154" s="1414"/>
      <c r="EZ154" s="1414"/>
      <c r="FA154" s="1414"/>
      <c r="FB154" s="1414"/>
      <c r="FC154" s="1414"/>
      <c r="FD154" s="1414"/>
      <c r="FE154" s="1414"/>
      <c r="FF154" s="1448"/>
      <c r="FG154" s="1448"/>
      <c r="FH154" s="1448"/>
      <c r="FI154" s="1448"/>
      <c r="FJ154" s="1448"/>
      <c r="FK154" s="1448"/>
      <c r="FL154" s="1441">
        <f t="shared" si="2482"/>
        <v>0</v>
      </c>
      <c r="FM154" s="1474"/>
      <c r="FN154" s="1474"/>
      <c r="FO154" s="1474"/>
      <c r="FP154" s="1474"/>
    </row>
    <row r="155" spans="1:172" s="1414" customFormat="1" ht="15" customHeight="1" outlineLevel="1">
      <c r="A155" s="1663">
        <f>A148+1</f>
        <v>99</v>
      </c>
      <c r="B155" s="311" t="s">
        <v>551</v>
      </c>
      <c r="C155" s="312" t="s">
        <v>430</v>
      </c>
      <c r="D155" s="365" t="s">
        <v>11</v>
      </c>
      <c r="E155" s="1526">
        <v>19460</v>
      </c>
      <c r="F155" s="1431">
        <v>250</v>
      </c>
      <c r="G155" s="1970">
        <f t="shared" ref="G155:G160" si="2873">+E155+F155</f>
        <v>19710</v>
      </c>
      <c r="H155" s="1971">
        <v>30</v>
      </c>
      <c r="I155" s="1537">
        <v>0</v>
      </c>
      <c r="J155" s="1537">
        <v>1</v>
      </c>
      <c r="K155" s="1537">
        <v>0</v>
      </c>
      <c r="L155" s="1503">
        <v>0</v>
      </c>
      <c r="M155" s="1503">
        <v>0</v>
      </c>
      <c r="N155" s="1503">
        <f t="shared" ref="N155:N160" si="2874">SUM(I155:M155)</f>
        <v>1</v>
      </c>
      <c r="O155" s="1414" t="s">
        <v>54</v>
      </c>
      <c r="P155" s="1535"/>
      <c r="Q155" s="355">
        <f t="shared" ref="Q155:Q160" si="2875">($E155/30/8*1.5)*P155</f>
        <v>0</v>
      </c>
      <c r="R155" s="366"/>
      <c r="S155" s="355">
        <f t="shared" ref="S155:S160" si="2876">($E155/30/8*2)*R155</f>
        <v>0</v>
      </c>
      <c r="T155" s="366"/>
      <c r="U155" s="355">
        <f t="shared" ref="U155:U160" si="2877">($E155/30/8*1.5)*T155</f>
        <v>0</v>
      </c>
      <c r="V155" s="366"/>
      <c r="W155" s="355">
        <f t="shared" ref="W155:W160" si="2878">($E155/30/8*2)*V155</f>
        <v>0</v>
      </c>
      <c r="X155" s="366"/>
      <c r="Y155" s="355">
        <f t="shared" ref="Y155:Y160" si="2879">(($E155/30/8)*1.5)*X155</f>
        <v>0</v>
      </c>
      <c r="Z155" s="1434"/>
      <c r="AA155" s="355">
        <f t="shared" ref="AA155:AA160" si="2880">(($E155/30/8)*2)*Z155</f>
        <v>0</v>
      </c>
      <c r="AB155" s="1467"/>
      <c r="AC155" s="1466">
        <f t="shared" ref="AC155:AC159" si="2881">(($E155/30/8)*1.5)*AB155</f>
        <v>0</v>
      </c>
      <c r="AD155" s="1467"/>
      <c r="AE155" s="1466">
        <f t="shared" ref="AE155:AE159" si="2882">(($E155/30/8)*2)*AD155</f>
        <v>0</v>
      </c>
      <c r="AF155" s="1466"/>
      <c r="AG155" s="1466">
        <f>(($E155/30/8)*1.5)*AF155</f>
        <v>0</v>
      </c>
      <c r="AH155" s="1467"/>
      <c r="AI155" s="1466">
        <f>(($E155/30/8)*2)*AH155</f>
        <v>0</v>
      </c>
      <c r="AJ155" s="1462"/>
      <c r="AK155" s="1462">
        <v>0</v>
      </c>
      <c r="AL155" s="1462"/>
      <c r="AM155" s="1462"/>
      <c r="AN155" s="1462"/>
      <c r="AO155" s="1462"/>
      <c r="AP155" s="1462"/>
      <c r="AQ155" s="1462"/>
      <c r="AR155" s="1462"/>
      <c r="AS155" s="1462"/>
      <c r="AT155" s="1431"/>
      <c r="AU155" s="1568"/>
      <c r="AV155" s="355">
        <f t="shared" ref="AV155:AV160" si="2883">((E155/30)*H155)*$I155</f>
        <v>0</v>
      </c>
      <c r="AW155" s="355">
        <f>((F155/30)*H155)*$I155</f>
        <v>0</v>
      </c>
      <c r="AX155" s="355">
        <f t="shared" ref="AX155:BA160" si="2884">P155</f>
        <v>0</v>
      </c>
      <c r="AY155" s="355">
        <f t="shared" si="2884"/>
        <v>0</v>
      </c>
      <c r="AZ155" s="355">
        <f t="shared" si="2884"/>
        <v>0</v>
      </c>
      <c r="BA155" s="355">
        <f t="shared" si="2884"/>
        <v>0</v>
      </c>
      <c r="BB155" s="355">
        <f t="shared" ref="BB155:BB160" si="2885">AJ155+AO155</f>
        <v>0</v>
      </c>
      <c r="BC155" s="355">
        <f t="shared" ref="BC155:BC160" si="2886">(AV155+AY155+BA155)*0.1267</f>
        <v>0</v>
      </c>
      <c r="BD155" s="355">
        <f t="shared" ref="BD155:BD160" si="2887">SUM(AV155:BC155)-AX155-AZ155</f>
        <v>0</v>
      </c>
      <c r="BE155" s="355">
        <f t="shared" ref="BE155:BE160" si="2888">(($E155/30)*$H155)*$J155</f>
        <v>19460</v>
      </c>
      <c r="BF155" s="1664">
        <f>(($F155/30)*$H155)*$J155+7000+10500</f>
        <v>17750</v>
      </c>
      <c r="BG155" s="355">
        <f t="shared" ref="BG155:BJ160" si="2889">T155</f>
        <v>0</v>
      </c>
      <c r="BH155" s="355">
        <f t="shared" si="2889"/>
        <v>0</v>
      </c>
      <c r="BI155" s="355">
        <f t="shared" si="2889"/>
        <v>0</v>
      </c>
      <c r="BJ155" s="355">
        <f t="shared" si="2889"/>
        <v>0</v>
      </c>
      <c r="BK155" s="355">
        <f t="shared" ref="BK155:BK160" si="2890">AK155+AP155</f>
        <v>0</v>
      </c>
      <c r="BL155" s="355">
        <f t="shared" ref="BL155:BL160" si="2891">(+BE155+BH155+BJ155+BK155)*0.1267</f>
        <v>2465.5820000000003</v>
      </c>
      <c r="BM155" s="1431">
        <f t="shared" ref="BM155:BM160" si="2892">SUM(BE155:BL155)-BG155-BI155</f>
        <v>39675.582000000002</v>
      </c>
      <c r="BN155" s="355">
        <f t="shared" ref="BN155:BN160" si="2893">(($E155/30)*$H155)*$K155</f>
        <v>0</v>
      </c>
      <c r="BO155" s="355">
        <f t="shared" ref="BO155:BO159" si="2894">(($F155/30)*$H155)*$K155</f>
        <v>0</v>
      </c>
      <c r="BP155" s="355">
        <f t="shared" ref="BP155:BR160" si="2895">X155</f>
        <v>0</v>
      </c>
      <c r="BQ155" s="355">
        <f t="shared" si="2895"/>
        <v>0</v>
      </c>
      <c r="BR155" s="355">
        <f t="shared" si="2895"/>
        <v>0</v>
      </c>
      <c r="BS155" s="355">
        <f t="shared" ref="BS155:BS160" si="2896">AA155</f>
        <v>0</v>
      </c>
      <c r="BT155" s="355">
        <f t="shared" ref="BT155:BT160" si="2897">AL155+AQ155</f>
        <v>0</v>
      </c>
      <c r="BU155" s="355">
        <f t="shared" ref="BU155:BU160" si="2898">(BN155+BQ155+BS155)*0.1267</f>
        <v>0</v>
      </c>
      <c r="BV155" s="355">
        <f t="shared" ref="BV155:BV160" si="2899">SUM(BN155:BU155)-BP155-BR155</f>
        <v>0</v>
      </c>
      <c r="BW155" s="1540">
        <f t="shared" ref="BW155:BW160" si="2900">(($E155/30)*$H155)*$L155</f>
        <v>0</v>
      </c>
      <c r="BX155" s="1541">
        <f t="shared" ref="BX155:BX160" si="2901">(($F155/30)*$H155)*$L155</f>
        <v>0</v>
      </c>
      <c r="BY155" s="1541">
        <f t="shared" ref="BY155:CB156" si="2902">AB155</f>
        <v>0</v>
      </c>
      <c r="BZ155" s="1541">
        <f t="shared" si="2902"/>
        <v>0</v>
      </c>
      <c r="CA155" s="1541">
        <f t="shared" si="2902"/>
        <v>0</v>
      </c>
      <c r="CB155" s="1541">
        <f t="shared" si="2902"/>
        <v>0</v>
      </c>
      <c r="CC155" s="1541">
        <f t="shared" ref="CC155:CC160" si="2903">AM155+AR155</f>
        <v>0</v>
      </c>
      <c r="CD155" s="1541">
        <f t="shared" ref="CD155:CD160" si="2904">(BW155+BZ155+CB155)*0.1267</f>
        <v>0</v>
      </c>
      <c r="CE155" s="1541">
        <f t="shared" ref="CE155:CE160" si="2905">SUM(BW155:CD155)-BY155-CA155</f>
        <v>0</v>
      </c>
      <c r="CF155" s="1541">
        <f t="shared" ref="CF155:CF160" si="2906">(($E155/30)*$H155)*M155</f>
        <v>0</v>
      </c>
      <c r="CG155" s="1541">
        <f t="shared" ref="CG155:CG160" si="2907">(($F155/30)*$H155)*$M155</f>
        <v>0</v>
      </c>
      <c r="CH155" s="1541">
        <f t="shared" ref="CH155:CH160" si="2908">+AF155</f>
        <v>0</v>
      </c>
      <c r="CI155" s="1541">
        <f t="shared" ref="CI155:CK156" si="2909">AG155</f>
        <v>0</v>
      </c>
      <c r="CJ155" s="1541">
        <f t="shared" si="2909"/>
        <v>0</v>
      </c>
      <c r="CK155" s="1541">
        <f t="shared" si="2909"/>
        <v>0</v>
      </c>
      <c r="CL155" s="1541">
        <f t="shared" ref="CL155:CL160" si="2910">AN155+AS155</f>
        <v>0</v>
      </c>
      <c r="CM155" s="1541">
        <f t="shared" ref="CM155:CM160" si="2911">(CF155+CI155+CK155)*0.1267</f>
        <v>0</v>
      </c>
      <c r="CN155" s="1542">
        <f t="shared" ref="CN155:CN160" si="2912">SUM(CF155:CM155)-CH155-CJ155</f>
        <v>0</v>
      </c>
      <c r="CP155" s="363" t="s">
        <v>11</v>
      </c>
      <c r="CQ155" s="355">
        <f>IF($CP155="PROQUIMA",$AV155+$BE155+$BN155+$BW155+$CF155,0)</f>
        <v>0</v>
      </c>
      <c r="CR155" s="355">
        <f>IF($CP155="PROQUIMA",$AW155+$BF155+$BO155+$BX155+$CG155,0)</f>
        <v>0</v>
      </c>
      <c r="CS155" s="355">
        <f t="shared" ref="CS155:CS163" si="2913">IF($CP155="PROQUIMA",$AX155+$BG155+$BP155+$BY155+$CH155,0)</f>
        <v>0</v>
      </c>
      <c r="CT155" s="355">
        <f t="shared" ref="CT155:CT163" si="2914">IF($CP155="PROQUIMA",$AY155+$BH155+$BQ155+$BZ155+$CI155,0)</f>
        <v>0</v>
      </c>
      <c r="CU155" s="355">
        <f t="shared" ref="CU155:CU163" si="2915">IF($CP155="PROQUIMA",$AZ155+$BI155+$BR155+$CA155+$CJ155,0)</f>
        <v>0</v>
      </c>
      <c r="CV155" s="355">
        <f t="shared" ref="CV155:CV163" si="2916">IF($CP155="PROQUIMA",$BA155+$BJ155+$BS155+$CB155+$CK155,0)</f>
        <v>0</v>
      </c>
      <c r="CW155" s="355">
        <f t="shared" ref="CW155:CW163" si="2917">IF($CP155="PROQUIMA",$BB155+$BK155+$BT155+$CC155+$CL155,0)</f>
        <v>0</v>
      </c>
      <c r="CX155" s="355">
        <f t="shared" ref="CX155:CX160" si="2918">IF($CP155="PROQUIMA",$BC155+$BL155+$BU155+$CD155+CM155,0)</f>
        <v>0</v>
      </c>
      <c r="CY155" s="355">
        <f t="shared" ref="CY155:CY160" si="2919">SUM(CQ155:CX155)-CS155-CU155</f>
        <v>0</v>
      </c>
      <c r="CZ155" s="355">
        <f t="shared" ref="CZ155:CZ163" si="2920">IF($CP155="UNHESA",$AV155+$BE155+$BN155+$BW155+$CF155,0)</f>
        <v>19460</v>
      </c>
      <c r="DA155" s="355">
        <f t="shared" ref="DA155:DA163" si="2921">IF($CP155="UNHESA",$AW155+$BF155+$BO155+$BX155+$CG155,0)</f>
        <v>17750</v>
      </c>
      <c r="DB155" s="355">
        <f t="shared" ref="DB155:DB163" si="2922">IF($CP155="UNHESA",$AX155+$BG155+$BP155+$BY155+$CH155,0)</f>
        <v>0</v>
      </c>
      <c r="DC155" s="355">
        <f t="shared" ref="DC155:DC163" si="2923">IF($CP155="UNHESA",$AY155+$BH155+$BQ155+$BZ155+$CI155,0)</f>
        <v>0</v>
      </c>
      <c r="DD155" s="355">
        <f t="shared" ref="DD155:DD163" si="2924">IF($CP155="UNHESA",$AZ155+$BI155+$BR155+$CA155+$CJ155,0)</f>
        <v>0</v>
      </c>
      <c r="DE155" s="355">
        <f t="shared" ref="DE155:DE163" si="2925">IF($CP155="UNHESA",$BA155+$BJ155+$BS155+$CB155+$CK155,0)</f>
        <v>0</v>
      </c>
      <c r="DF155" s="355">
        <f t="shared" ref="DF155:DF163" si="2926">IF($CP155="UNHESA",$BB155+$BK155+$BT155+$CC155+$CL155,0)</f>
        <v>0</v>
      </c>
      <c r="DG155" s="355">
        <f t="shared" ref="DG155:DG163" si="2927">IF($CP155="UNHESA",$BC155+$BL155+$BU155+$CD155+$CM155,0)</f>
        <v>2465.5820000000003</v>
      </c>
      <c r="DH155" s="355">
        <f t="shared" ref="DH155:DH160" si="2928">SUM(CZ155:DG155)-DB155-DD155</f>
        <v>39675.582000000002</v>
      </c>
      <c r="DI155" s="1466">
        <f t="shared" ref="DI155:DI160" si="2929">IF($CP155="UNHESA LIQUIDOS",$AV155+$BE155+$BN155+$BW155+$CF155,0)</f>
        <v>0</v>
      </c>
      <c r="DJ155" s="1466">
        <f t="shared" ref="DJ155:DJ160" si="2930">IF($CP155="UNHESA LIQUIDOS",$AW155+$BF155+$BO155+$BX155+$CG155,0)</f>
        <v>0</v>
      </c>
      <c r="DK155" s="1466">
        <f t="shared" ref="DK155:DK160" si="2931">IF($CP155="UNHESA LIQUIDOS",$AX155+$BG155+$BP155+$BY155+$CH155,0)</f>
        <v>0</v>
      </c>
      <c r="DL155" s="1466">
        <f t="shared" ref="DL155:DL160" si="2932">IF($CP155="UNHESA LIQUIDOS",$AY155+$BH155+$BQ155+$BZ155+$CI155,0)</f>
        <v>0</v>
      </c>
      <c r="DM155" s="1466">
        <f t="shared" ref="DM155:DM160" si="2933">IF($CP155="UNHESA LIQUIDOS",$AZ155+$BI155+$BR155+$CA155+$CJ155,0)</f>
        <v>0</v>
      </c>
      <c r="DN155" s="1466">
        <f t="shared" ref="DN155:DN160" si="2934">IF($CP155="UNHESA LIQUIDOS",$BA155+$BJ155+$BS155+$CB155+$CK155,0)</f>
        <v>0</v>
      </c>
      <c r="DO155" s="1466">
        <f t="shared" ref="DO155:DO160" si="2935">IF($CP155="UNHESA LIQUIDOS",$BB155+$BK155+$BT155+$CC155+$CL155,0)</f>
        <v>0</v>
      </c>
      <c r="DP155" s="1466">
        <f t="shared" ref="DP155:DP160" si="2936">IF($CP155="UNHESA LIQUIDOS",$BC155+$BL155+$BU155+$CD155+$CM155,0)</f>
        <v>0</v>
      </c>
      <c r="DQ155" s="1466">
        <f t="shared" ref="DQ155:DQ160" si="2937">SUM(DI155:DP155)-DK155-DM155</f>
        <v>0</v>
      </c>
      <c r="DR155" s="1540">
        <f t="shared" ref="DR155:DR163" si="2938">IF($CP155="ECONACIONAL",$AV155+$BE155+$BN155+$BW155+$CF155,0)</f>
        <v>0</v>
      </c>
      <c r="DS155" s="1541">
        <f t="shared" ref="DS155:DS163" si="2939">IF($CP155="ECONACIONAL",$AW155+$BF155+$BO155+$BX155+$CG155,0)</f>
        <v>0</v>
      </c>
      <c r="DT155" s="1541">
        <f t="shared" ref="DT155:DT163" si="2940">IF($CP155="ECONACIONAL",$AX155+$BG155+$BP155+$BY155+$CH155,0)</f>
        <v>0</v>
      </c>
      <c r="DU155" s="1541">
        <f t="shared" ref="DU155:DU163" si="2941">IF($CP155="ECONACIONAL",$AY155+$BH155+$BQ155+$BZ155+$CI155,0)</f>
        <v>0</v>
      </c>
      <c r="DV155" s="1541">
        <f t="shared" ref="DV155:DV163" si="2942">IF($CP155="ECONACIONAL",$AZ155+$BI155+$BR155+$CA155+$CJ155,0)</f>
        <v>0</v>
      </c>
      <c r="DW155" s="1541">
        <f t="shared" ref="DW155:DW163" si="2943">IF($CP155="ECONACIONAL",$BA155+$BJ155+$BS155+$CB155+$CK155,0)</f>
        <v>0</v>
      </c>
      <c r="DX155" s="1541">
        <f t="shared" ref="DX155:DX163" si="2944">IF($CP155="ECONACIONAL",$BB155+$BK155+$BT155+$CC155+$CL155,0)</f>
        <v>0</v>
      </c>
      <c r="DY155" s="1541">
        <f t="shared" ref="DY155:DY163" si="2945">IF($CP155="ECONACIONAL",$BC155+$BL155+$BU155+$CD155+$CM155,0)</f>
        <v>0</v>
      </c>
      <c r="DZ155" s="1541">
        <f t="shared" ref="DZ155:DZ160" si="2946">SUM(DR155:DY155)-DT155-DV155</f>
        <v>0</v>
      </c>
      <c r="EA155" s="1541">
        <f t="shared" ref="EA155:EA163" si="2947">IF($CP155="CLEARTEC",$AV155+$BE155+$BN155+$BW155+$CF155,0)</f>
        <v>0</v>
      </c>
      <c r="EB155" s="1541">
        <f t="shared" ref="EB155:EB163" si="2948">IF($CP155="CLEARTEC",$AW155+$BF155+$BO155+$BX155+$CG155,0)</f>
        <v>0</v>
      </c>
      <c r="EC155" s="1541">
        <f t="shared" ref="EC155:EC163" si="2949">IF($CP155="CLEARTEC",$AX155+$BG155+$BP155+$BY155+$CH155,0)</f>
        <v>0</v>
      </c>
      <c r="ED155" s="1541">
        <f t="shared" ref="ED155:ED163" si="2950">IF($CP155="CLEARTEC",$AY155+$BH155+$BQ155+$BZ155+$CI155,0)</f>
        <v>0</v>
      </c>
      <c r="EE155" s="1541">
        <f t="shared" ref="EE155:EE163" si="2951">IF($CP155="CLEARTEC",$AZ155+$BI155+$BR155+$CA155+$CJ155,0)</f>
        <v>0</v>
      </c>
      <c r="EF155" s="1541">
        <f t="shared" ref="EF155:EF163" si="2952">IF($CP155="CLEARTEC",$BA155+$BJ155+$BS155+$CB155+$CK155,0)</f>
        <v>0</v>
      </c>
      <c r="EG155" s="1541">
        <f t="shared" ref="EG155:EG163" si="2953">IF($CP155="CLEARTEC",$BB155+$BK155+$BT155+$CC155+$CL155,0)</f>
        <v>0</v>
      </c>
      <c r="EH155" s="1541">
        <f t="shared" ref="EH155:EH163" si="2954">IF($CP155="CLEARTEC",$BC155+$BL155+$BU155+$CD155+$CM155,0)</f>
        <v>0</v>
      </c>
      <c r="EI155" s="1542">
        <f t="shared" ref="EI155:EI160" si="2955">SUM(EA155:EH155)-EC155-EE155</f>
        <v>0</v>
      </c>
      <c r="EK155" s="1596">
        <v>1373.91</v>
      </c>
      <c r="EL155" s="1597">
        <v>5247.52</v>
      </c>
      <c r="EM155" s="313">
        <f>219+218</f>
        <v>437</v>
      </c>
      <c r="EN155" s="313"/>
      <c r="EO155" s="365"/>
      <c r="EP155" s="365">
        <v>150</v>
      </c>
      <c r="EQ155" s="365">
        <f>112.5+150+150</f>
        <v>412.5</v>
      </c>
      <c r="ER155" s="365"/>
      <c r="ES155" s="312"/>
      <c r="ET155" s="363">
        <f t="shared" ref="ET155:ET160" si="2956">+EO155+EP155+EQ155</f>
        <v>562.5</v>
      </c>
      <c r="EV155" s="321">
        <f t="shared" ref="EV155:FA160" si="2957">IF($H155&lt;=15,EK155/2,EK155)</f>
        <v>1373.91</v>
      </c>
      <c r="EW155" s="321">
        <f t="shared" si="2957"/>
        <v>5247.52</v>
      </c>
      <c r="EX155" s="321">
        <f t="shared" si="2957"/>
        <v>437</v>
      </c>
      <c r="EY155" s="321">
        <f t="shared" si="2957"/>
        <v>0</v>
      </c>
      <c r="EZ155" s="321">
        <f t="shared" si="2957"/>
        <v>0</v>
      </c>
      <c r="FA155" s="321">
        <f t="shared" si="2957"/>
        <v>150</v>
      </c>
      <c r="FB155" s="366">
        <f t="shared" ref="FB155:FB160" si="2958">IF($H155&lt;=15,EQ155/2,EQ155)</f>
        <v>412.5</v>
      </c>
      <c r="FC155" s="321">
        <f t="shared" ref="FC155:FE160" si="2959">IF($H155&lt;=15,ER155/2,ER155)</f>
        <v>0</v>
      </c>
      <c r="FD155" s="321">
        <f t="shared" si="2959"/>
        <v>0</v>
      </c>
      <c r="FE155" s="321">
        <f t="shared" si="2959"/>
        <v>562.5</v>
      </c>
      <c r="FF155" s="364">
        <v>0.4</v>
      </c>
      <c r="FG155" s="364">
        <v>0.6</v>
      </c>
      <c r="FH155" s="364">
        <v>0</v>
      </c>
      <c r="FI155" s="364">
        <v>0</v>
      </c>
      <c r="FJ155" s="364">
        <v>0</v>
      </c>
      <c r="FK155" s="1476">
        <v>1</v>
      </c>
      <c r="FL155" s="1441">
        <f t="shared" si="2482"/>
        <v>0</v>
      </c>
    </row>
    <row r="156" spans="1:172" s="1474" customFormat="1" ht="15" customHeight="1" outlineLevel="1">
      <c r="A156" s="1663">
        <f>A155+1</f>
        <v>100</v>
      </c>
      <c r="B156" s="311" t="s">
        <v>604</v>
      </c>
      <c r="C156" s="312" t="s">
        <v>430</v>
      </c>
      <c r="D156" s="365" t="s">
        <v>10</v>
      </c>
      <c r="E156" s="1526">
        <v>13000</v>
      </c>
      <c r="F156" s="1462">
        <f>3750+250</f>
        <v>4000</v>
      </c>
      <c r="G156" s="1462">
        <f t="shared" si="2873"/>
        <v>17000</v>
      </c>
      <c r="H156" s="1971">
        <v>30</v>
      </c>
      <c r="I156" s="1537">
        <v>1</v>
      </c>
      <c r="J156" s="1537">
        <v>0</v>
      </c>
      <c r="K156" s="1537">
        <v>0</v>
      </c>
      <c r="L156" s="1503">
        <v>0</v>
      </c>
      <c r="M156" s="1503">
        <v>0</v>
      </c>
      <c r="N156" s="1503">
        <f t="shared" si="2874"/>
        <v>1</v>
      </c>
      <c r="P156" s="1538"/>
      <c r="Q156" s="1466">
        <f t="shared" si="2875"/>
        <v>0</v>
      </c>
      <c r="R156" s="1465"/>
      <c r="S156" s="1466">
        <f t="shared" si="2876"/>
        <v>0</v>
      </c>
      <c r="T156" s="1465"/>
      <c r="U156" s="1466">
        <f t="shared" si="2877"/>
        <v>0</v>
      </c>
      <c r="V156" s="1465"/>
      <c r="W156" s="1466">
        <f t="shared" si="2878"/>
        <v>0</v>
      </c>
      <c r="X156" s="1465"/>
      <c r="Y156" s="1466">
        <f t="shared" si="2879"/>
        <v>0</v>
      </c>
      <c r="Z156" s="1467"/>
      <c r="AA156" s="1466">
        <f t="shared" si="2880"/>
        <v>0</v>
      </c>
      <c r="AB156" s="1467"/>
      <c r="AC156" s="1466">
        <f>(($E156/30/8)*1.5)*AB156</f>
        <v>0</v>
      </c>
      <c r="AD156" s="1467"/>
      <c r="AE156" s="1466">
        <f>(($E156/30/8)*2)*AD156</f>
        <v>0</v>
      </c>
      <c r="AF156" s="1466"/>
      <c r="AG156" s="1466">
        <f>(($E156/30/8)*1.5)*AF156</f>
        <v>0</v>
      </c>
      <c r="AH156" s="1467"/>
      <c r="AI156" s="1466">
        <f>(($E156/30/8)*2)*AH156</f>
        <v>0</v>
      </c>
      <c r="AJ156" s="1462"/>
      <c r="AK156" s="1462">
        <v>0</v>
      </c>
      <c r="AL156" s="1462"/>
      <c r="AM156" s="1462"/>
      <c r="AN156" s="1462"/>
      <c r="AO156" s="1462"/>
      <c r="AP156" s="1462"/>
      <c r="AQ156" s="1462"/>
      <c r="AR156" s="1462"/>
      <c r="AS156" s="1462"/>
      <c r="AT156" s="1462"/>
      <c r="AU156" s="1536"/>
      <c r="AV156" s="1466">
        <f t="shared" si="2883"/>
        <v>13000</v>
      </c>
      <c r="AW156" s="1664">
        <f>((F156/30)*H156)*$I156+4500+4419.57</f>
        <v>12919.57</v>
      </c>
      <c r="AX156" s="1466">
        <f t="shared" si="2884"/>
        <v>0</v>
      </c>
      <c r="AY156" s="1466">
        <f t="shared" si="2884"/>
        <v>0</v>
      </c>
      <c r="AZ156" s="1466">
        <f t="shared" si="2884"/>
        <v>0</v>
      </c>
      <c r="BA156" s="1466">
        <f t="shared" si="2884"/>
        <v>0</v>
      </c>
      <c r="BB156" s="1466">
        <f t="shared" si="2885"/>
        <v>0</v>
      </c>
      <c r="BC156" s="1466">
        <f t="shared" si="2886"/>
        <v>1647.1000000000001</v>
      </c>
      <c r="BD156" s="1466">
        <f t="shared" si="2887"/>
        <v>27566.67</v>
      </c>
      <c r="BE156" s="1466">
        <f t="shared" si="2888"/>
        <v>0</v>
      </c>
      <c r="BF156" s="1426">
        <v>0</v>
      </c>
      <c r="BG156" s="1466">
        <f t="shared" si="2889"/>
        <v>0</v>
      </c>
      <c r="BH156" s="1466">
        <f t="shared" si="2889"/>
        <v>0</v>
      </c>
      <c r="BI156" s="1466">
        <f t="shared" si="2889"/>
        <v>0</v>
      </c>
      <c r="BJ156" s="1466">
        <f t="shared" si="2889"/>
        <v>0</v>
      </c>
      <c r="BK156" s="1466">
        <f t="shared" si="2890"/>
        <v>0</v>
      </c>
      <c r="BL156" s="1466">
        <f t="shared" si="2891"/>
        <v>0</v>
      </c>
      <c r="BM156" s="1462">
        <f t="shared" si="2892"/>
        <v>0</v>
      </c>
      <c r="BN156" s="1466">
        <f t="shared" si="2893"/>
        <v>0</v>
      </c>
      <c r="BO156" s="1466">
        <f t="shared" si="2894"/>
        <v>0</v>
      </c>
      <c r="BP156" s="1466">
        <f t="shared" si="2895"/>
        <v>0</v>
      </c>
      <c r="BQ156" s="1466">
        <f t="shared" si="2895"/>
        <v>0</v>
      </c>
      <c r="BR156" s="1466">
        <f t="shared" si="2895"/>
        <v>0</v>
      </c>
      <c r="BS156" s="1466">
        <f t="shared" si="2896"/>
        <v>0</v>
      </c>
      <c r="BT156" s="1466">
        <f t="shared" si="2897"/>
        <v>0</v>
      </c>
      <c r="BU156" s="1466">
        <f t="shared" si="2898"/>
        <v>0</v>
      </c>
      <c r="BV156" s="1466">
        <f t="shared" si="2899"/>
        <v>0</v>
      </c>
      <c r="BW156" s="1540">
        <f t="shared" si="2900"/>
        <v>0</v>
      </c>
      <c r="BX156" s="1541">
        <f t="shared" si="2901"/>
        <v>0</v>
      </c>
      <c r="BY156" s="1541">
        <f t="shared" si="2902"/>
        <v>0</v>
      </c>
      <c r="BZ156" s="1541">
        <f t="shared" si="2902"/>
        <v>0</v>
      </c>
      <c r="CA156" s="1541">
        <f t="shared" si="2902"/>
        <v>0</v>
      </c>
      <c r="CB156" s="1541">
        <f t="shared" si="2902"/>
        <v>0</v>
      </c>
      <c r="CC156" s="1541">
        <f t="shared" si="2903"/>
        <v>0</v>
      </c>
      <c r="CD156" s="1541">
        <f t="shared" si="2904"/>
        <v>0</v>
      </c>
      <c r="CE156" s="1541">
        <f t="shared" si="2905"/>
        <v>0</v>
      </c>
      <c r="CF156" s="1541">
        <f t="shared" si="2906"/>
        <v>0</v>
      </c>
      <c r="CG156" s="1541">
        <f t="shared" si="2907"/>
        <v>0</v>
      </c>
      <c r="CH156" s="1541">
        <f t="shared" si="2908"/>
        <v>0</v>
      </c>
      <c r="CI156" s="1541">
        <f t="shared" si="2909"/>
        <v>0</v>
      </c>
      <c r="CJ156" s="1541">
        <f t="shared" si="2909"/>
        <v>0</v>
      </c>
      <c r="CK156" s="1541">
        <f t="shared" si="2909"/>
        <v>0</v>
      </c>
      <c r="CL156" s="1541">
        <f t="shared" si="2910"/>
        <v>0</v>
      </c>
      <c r="CM156" s="1541">
        <f t="shared" si="2911"/>
        <v>0</v>
      </c>
      <c r="CN156" s="1542">
        <f t="shared" si="2912"/>
        <v>0</v>
      </c>
      <c r="CP156" s="1475" t="s">
        <v>10</v>
      </c>
      <c r="CQ156" s="1466">
        <f>IF($CP156="PROQUIMA",$AV156+$BE156+$BN156+$BW156+$CF156,0)</f>
        <v>13000</v>
      </c>
      <c r="CR156" s="1466">
        <f>IF($CP156="PROQUIMA",$AW156+$BF156+$BO156+$BX156+$CG156,0)</f>
        <v>12919.57</v>
      </c>
      <c r="CS156" s="1466">
        <f t="shared" si="2913"/>
        <v>0</v>
      </c>
      <c r="CT156" s="1466">
        <f t="shared" si="2914"/>
        <v>0</v>
      </c>
      <c r="CU156" s="1466">
        <f t="shared" si="2915"/>
        <v>0</v>
      </c>
      <c r="CV156" s="1466">
        <f t="shared" si="2916"/>
        <v>0</v>
      </c>
      <c r="CW156" s="1466">
        <f t="shared" si="2917"/>
        <v>0</v>
      </c>
      <c r="CX156" s="1466">
        <f t="shared" si="2918"/>
        <v>1647.1000000000001</v>
      </c>
      <c r="CY156" s="1466">
        <f t="shared" si="2919"/>
        <v>27566.67</v>
      </c>
      <c r="CZ156" s="1466">
        <f t="shared" si="2920"/>
        <v>0</v>
      </c>
      <c r="DA156" s="1466">
        <f t="shared" si="2921"/>
        <v>0</v>
      </c>
      <c r="DB156" s="1466">
        <f t="shared" si="2922"/>
        <v>0</v>
      </c>
      <c r="DC156" s="1466">
        <f t="shared" si="2923"/>
        <v>0</v>
      </c>
      <c r="DD156" s="1466">
        <f t="shared" si="2924"/>
        <v>0</v>
      </c>
      <c r="DE156" s="1466">
        <f t="shared" si="2925"/>
        <v>0</v>
      </c>
      <c r="DF156" s="1466">
        <f t="shared" si="2926"/>
        <v>0</v>
      </c>
      <c r="DG156" s="1466">
        <f t="shared" si="2927"/>
        <v>0</v>
      </c>
      <c r="DH156" s="1466">
        <f t="shared" si="2928"/>
        <v>0</v>
      </c>
      <c r="DI156" s="1466">
        <f t="shared" si="2929"/>
        <v>0</v>
      </c>
      <c r="DJ156" s="1466">
        <f t="shared" si="2930"/>
        <v>0</v>
      </c>
      <c r="DK156" s="1466">
        <f t="shared" si="2931"/>
        <v>0</v>
      </c>
      <c r="DL156" s="1466">
        <f t="shared" si="2932"/>
        <v>0</v>
      </c>
      <c r="DM156" s="1466">
        <f t="shared" si="2933"/>
        <v>0</v>
      </c>
      <c r="DN156" s="1466">
        <f t="shared" si="2934"/>
        <v>0</v>
      </c>
      <c r="DO156" s="1466">
        <f t="shared" si="2935"/>
        <v>0</v>
      </c>
      <c r="DP156" s="1466">
        <f t="shared" si="2936"/>
        <v>0</v>
      </c>
      <c r="DQ156" s="1466">
        <f t="shared" si="2937"/>
        <v>0</v>
      </c>
      <c r="DR156" s="1540">
        <f t="shared" si="2938"/>
        <v>0</v>
      </c>
      <c r="DS156" s="1541">
        <f t="shared" si="2939"/>
        <v>0</v>
      </c>
      <c r="DT156" s="1541">
        <f t="shared" si="2940"/>
        <v>0</v>
      </c>
      <c r="DU156" s="1541">
        <f t="shared" si="2941"/>
        <v>0</v>
      </c>
      <c r="DV156" s="1541">
        <f t="shared" si="2942"/>
        <v>0</v>
      </c>
      <c r="DW156" s="1541">
        <f t="shared" si="2943"/>
        <v>0</v>
      </c>
      <c r="DX156" s="1541">
        <f t="shared" si="2944"/>
        <v>0</v>
      </c>
      <c r="DY156" s="1541">
        <f t="shared" si="2945"/>
        <v>0</v>
      </c>
      <c r="DZ156" s="1541">
        <f t="shared" si="2946"/>
        <v>0</v>
      </c>
      <c r="EA156" s="1541">
        <f t="shared" si="2947"/>
        <v>0</v>
      </c>
      <c r="EB156" s="1541">
        <f t="shared" si="2948"/>
        <v>0</v>
      </c>
      <c r="EC156" s="1541">
        <f t="shared" si="2949"/>
        <v>0</v>
      </c>
      <c r="ED156" s="1541">
        <f t="shared" si="2950"/>
        <v>0</v>
      </c>
      <c r="EE156" s="1541">
        <f t="shared" si="2951"/>
        <v>0</v>
      </c>
      <c r="EF156" s="1541">
        <f t="shared" si="2952"/>
        <v>0</v>
      </c>
      <c r="EG156" s="1541">
        <f t="shared" si="2953"/>
        <v>0</v>
      </c>
      <c r="EH156" s="1541">
        <f t="shared" si="2954"/>
        <v>0</v>
      </c>
      <c r="EI156" s="1542">
        <f t="shared" si="2955"/>
        <v>0</v>
      </c>
      <c r="EK156" s="2015">
        <v>1071.1099999999999</v>
      </c>
      <c r="EL156" s="1543"/>
      <c r="EM156" s="1543"/>
      <c r="EN156" s="1543"/>
      <c r="EO156" s="1543"/>
      <c r="EP156" s="1543">
        <v>150</v>
      </c>
      <c r="EQ156" s="365"/>
      <c r="ER156" s="1543"/>
      <c r="ES156" s="1543"/>
      <c r="ET156" s="363">
        <f t="shared" si="2956"/>
        <v>150</v>
      </c>
      <c r="EV156" s="409">
        <f t="shared" si="2957"/>
        <v>1071.1099999999999</v>
      </c>
      <c r="EW156" s="409">
        <f t="shared" si="2957"/>
        <v>0</v>
      </c>
      <c r="EX156" s="409">
        <f t="shared" si="2957"/>
        <v>0</v>
      </c>
      <c r="EY156" s="409">
        <f t="shared" si="2957"/>
        <v>0</v>
      </c>
      <c r="EZ156" s="409">
        <f t="shared" si="2957"/>
        <v>0</v>
      </c>
      <c r="FA156" s="409">
        <f t="shared" si="2957"/>
        <v>150</v>
      </c>
      <c r="FB156" s="1465">
        <f t="shared" si="2958"/>
        <v>0</v>
      </c>
      <c r="FC156" s="409">
        <f t="shared" si="2959"/>
        <v>0</v>
      </c>
      <c r="FD156" s="409">
        <f t="shared" si="2959"/>
        <v>0</v>
      </c>
      <c r="FE156" s="409">
        <f t="shared" si="2959"/>
        <v>150</v>
      </c>
      <c r="FF156" s="1476">
        <v>0.4</v>
      </c>
      <c r="FG156" s="1476">
        <v>0.6</v>
      </c>
      <c r="FH156" s="1476">
        <v>0</v>
      </c>
      <c r="FI156" s="1476">
        <v>0</v>
      </c>
      <c r="FJ156" s="1476">
        <v>0</v>
      </c>
      <c r="FK156" s="1476">
        <v>1</v>
      </c>
      <c r="FL156" s="1464">
        <f>+EP156-FA156</f>
        <v>0</v>
      </c>
    </row>
    <row r="157" spans="1:172" s="1534" customFormat="1" ht="15" customHeight="1" outlineLevel="1">
      <c r="A157" s="1663">
        <f t="shared" ref="A157:A160" si="2960">A156+1</f>
        <v>101</v>
      </c>
      <c r="B157" s="311" t="s">
        <v>426</v>
      </c>
      <c r="C157" s="312" t="s">
        <v>723</v>
      </c>
      <c r="D157" s="312" t="s">
        <v>10</v>
      </c>
      <c r="E157" s="1526">
        <v>5000</v>
      </c>
      <c r="F157" s="325">
        <f>250</f>
        <v>250</v>
      </c>
      <c r="G157" s="325">
        <f t="shared" si="2873"/>
        <v>5250</v>
      </c>
      <c r="H157" s="1971">
        <v>30</v>
      </c>
      <c r="I157" s="316">
        <v>1</v>
      </c>
      <c r="J157" s="316">
        <v>0</v>
      </c>
      <c r="K157" s="316">
        <v>0</v>
      </c>
      <c r="L157" s="317">
        <v>0</v>
      </c>
      <c r="M157" s="316">
        <v>0</v>
      </c>
      <c r="N157" s="317">
        <f t="shared" si="2874"/>
        <v>1</v>
      </c>
      <c r="O157" s="1603"/>
      <c r="P157" s="408"/>
      <c r="Q157" s="324">
        <f t="shared" si="2875"/>
        <v>0</v>
      </c>
      <c r="R157" s="409"/>
      <c r="S157" s="324">
        <f t="shared" si="2876"/>
        <v>0</v>
      </c>
      <c r="T157" s="409">
        <v>0</v>
      </c>
      <c r="U157" s="324">
        <f t="shared" si="2877"/>
        <v>0</v>
      </c>
      <c r="V157" s="409"/>
      <c r="W157" s="324">
        <f t="shared" si="2878"/>
        <v>0</v>
      </c>
      <c r="X157" s="409"/>
      <c r="Y157" s="324">
        <f t="shared" si="2879"/>
        <v>0</v>
      </c>
      <c r="Z157" s="323"/>
      <c r="AA157" s="324">
        <f t="shared" si="2880"/>
        <v>0</v>
      </c>
      <c r="AB157" s="323"/>
      <c r="AC157" s="324">
        <f t="shared" si="2881"/>
        <v>0</v>
      </c>
      <c r="AD157" s="323"/>
      <c r="AE157" s="324">
        <f t="shared" si="2882"/>
        <v>0</v>
      </c>
      <c r="AF157" s="324"/>
      <c r="AG157" s="324">
        <f>(($E157/30/8)*1.5)*AF157</f>
        <v>0</v>
      </c>
      <c r="AH157" s="323"/>
      <c r="AI157" s="324">
        <f>(($E157/30/8)*2)*AH157</f>
        <v>0</v>
      </c>
      <c r="AJ157" s="325"/>
      <c r="AK157" s="325"/>
      <c r="AL157" s="325"/>
      <c r="AM157" s="325"/>
      <c r="AN157" s="325"/>
      <c r="AO157" s="325"/>
      <c r="AP157" s="325"/>
      <c r="AQ157" s="325"/>
      <c r="AR157" s="325"/>
      <c r="AS157" s="325"/>
      <c r="AT157" s="325"/>
      <c r="AU157" s="1665"/>
      <c r="AV157" s="324">
        <f t="shared" si="2883"/>
        <v>5000</v>
      </c>
      <c r="AW157" s="1426">
        <f>((F157/30)*H157)*$I157+5250+12375.43</f>
        <v>17875.43</v>
      </c>
      <c r="AX157" s="324">
        <f t="shared" si="2884"/>
        <v>0</v>
      </c>
      <c r="AY157" s="324">
        <f t="shared" si="2884"/>
        <v>0</v>
      </c>
      <c r="AZ157" s="324">
        <f t="shared" si="2884"/>
        <v>0</v>
      </c>
      <c r="BA157" s="324">
        <f t="shared" si="2884"/>
        <v>0</v>
      </c>
      <c r="BB157" s="324">
        <f t="shared" si="2885"/>
        <v>0</v>
      </c>
      <c r="BC157" s="324">
        <f t="shared" si="2886"/>
        <v>633.5</v>
      </c>
      <c r="BD157" s="324">
        <f t="shared" si="2887"/>
        <v>23508.93</v>
      </c>
      <c r="BE157" s="324">
        <f>(($E157/30)*$H157)*$J157</f>
        <v>0</v>
      </c>
      <c r="BF157" s="324">
        <f>(($F157/30)*$H157)*$J157</f>
        <v>0</v>
      </c>
      <c r="BG157" s="324">
        <f t="shared" si="2889"/>
        <v>0</v>
      </c>
      <c r="BH157" s="324">
        <f t="shared" si="2889"/>
        <v>0</v>
      </c>
      <c r="BI157" s="324">
        <f t="shared" si="2889"/>
        <v>0</v>
      </c>
      <c r="BJ157" s="324">
        <f t="shared" si="2889"/>
        <v>0</v>
      </c>
      <c r="BK157" s="324">
        <f t="shared" si="2890"/>
        <v>0</v>
      </c>
      <c r="BL157" s="324">
        <f t="shared" si="2891"/>
        <v>0</v>
      </c>
      <c r="BM157" s="325">
        <f t="shared" si="2892"/>
        <v>0</v>
      </c>
      <c r="BN157" s="324">
        <f t="shared" si="2893"/>
        <v>0</v>
      </c>
      <c r="BO157" s="324">
        <f t="shared" si="2894"/>
        <v>0</v>
      </c>
      <c r="BP157" s="324">
        <f t="shared" si="2895"/>
        <v>0</v>
      </c>
      <c r="BQ157" s="324">
        <f t="shared" si="2895"/>
        <v>0</v>
      </c>
      <c r="BR157" s="324">
        <f t="shared" si="2895"/>
        <v>0</v>
      </c>
      <c r="BS157" s="324">
        <f t="shared" si="2896"/>
        <v>0</v>
      </c>
      <c r="BT157" s="324">
        <f t="shared" si="2897"/>
        <v>0</v>
      </c>
      <c r="BU157" s="324">
        <f t="shared" si="2898"/>
        <v>0</v>
      </c>
      <c r="BV157" s="324">
        <f t="shared" si="2899"/>
        <v>0</v>
      </c>
      <c r="BW157" s="327">
        <f t="shared" si="2900"/>
        <v>0</v>
      </c>
      <c r="BX157" s="328">
        <f t="shared" si="2901"/>
        <v>0</v>
      </c>
      <c r="BY157" s="328">
        <f t="shared" ref="BY157:CB157" si="2961">AB157</f>
        <v>0</v>
      </c>
      <c r="BZ157" s="328">
        <f t="shared" si="2961"/>
        <v>0</v>
      </c>
      <c r="CA157" s="328">
        <f t="shared" si="2961"/>
        <v>0</v>
      </c>
      <c r="CB157" s="328">
        <f t="shared" si="2961"/>
        <v>0</v>
      </c>
      <c r="CC157" s="328">
        <f t="shared" si="2903"/>
        <v>0</v>
      </c>
      <c r="CD157" s="328">
        <f t="shared" si="2904"/>
        <v>0</v>
      </c>
      <c r="CE157" s="328">
        <f t="shared" si="2905"/>
        <v>0</v>
      </c>
      <c r="CF157" s="328">
        <f t="shared" si="2906"/>
        <v>0</v>
      </c>
      <c r="CG157" s="328">
        <f t="shared" si="2907"/>
        <v>0</v>
      </c>
      <c r="CH157" s="328">
        <f t="shared" si="2908"/>
        <v>0</v>
      </c>
      <c r="CI157" s="328">
        <f t="shared" ref="CI157:CK157" si="2962">AG157</f>
        <v>0</v>
      </c>
      <c r="CJ157" s="328">
        <f t="shared" si="2962"/>
        <v>0</v>
      </c>
      <c r="CK157" s="328">
        <f t="shared" si="2962"/>
        <v>0</v>
      </c>
      <c r="CL157" s="328">
        <f t="shared" si="2910"/>
        <v>0</v>
      </c>
      <c r="CM157" s="328">
        <f t="shared" si="2911"/>
        <v>0</v>
      </c>
      <c r="CN157" s="329">
        <f t="shared" si="2912"/>
        <v>0</v>
      </c>
      <c r="CP157" s="1543" t="s">
        <v>10</v>
      </c>
      <c r="CQ157" s="324">
        <f t="shared" ref="CQ157:CQ163" si="2963">IF($CP157="PROQUIMA",$AV157+$BE157+$BN157+$BW157+$CF157,0)</f>
        <v>5000</v>
      </c>
      <c r="CR157" s="324">
        <f t="shared" ref="CR157:CR160" si="2964">IF($CP157="PROQUIMA",$AW157+$BF157+$BO157+$BX157+$CG157,0)</f>
        <v>17875.43</v>
      </c>
      <c r="CS157" s="324">
        <f t="shared" si="2913"/>
        <v>0</v>
      </c>
      <c r="CT157" s="324">
        <f t="shared" si="2914"/>
        <v>0</v>
      </c>
      <c r="CU157" s="324">
        <f t="shared" si="2915"/>
        <v>0</v>
      </c>
      <c r="CV157" s="324">
        <f t="shared" si="2916"/>
        <v>0</v>
      </c>
      <c r="CW157" s="324">
        <f t="shared" si="2917"/>
        <v>0</v>
      </c>
      <c r="CX157" s="324">
        <f t="shared" si="2918"/>
        <v>633.5</v>
      </c>
      <c r="CY157" s="324">
        <f t="shared" si="2919"/>
        <v>23508.93</v>
      </c>
      <c r="CZ157" s="324">
        <f t="shared" si="2920"/>
        <v>0</v>
      </c>
      <c r="DA157" s="324">
        <f t="shared" si="2921"/>
        <v>0</v>
      </c>
      <c r="DB157" s="324">
        <f t="shared" si="2922"/>
        <v>0</v>
      </c>
      <c r="DC157" s="324">
        <f t="shared" si="2923"/>
        <v>0</v>
      </c>
      <c r="DD157" s="324">
        <f t="shared" si="2924"/>
        <v>0</v>
      </c>
      <c r="DE157" s="324">
        <f t="shared" si="2925"/>
        <v>0</v>
      </c>
      <c r="DF157" s="324">
        <f t="shared" si="2926"/>
        <v>0</v>
      </c>
      <c r="DG157" s="324">
        <f t="shared" si="2927"/>
        <v>0</v>
      </c>
      <c r="DH157" s="324">
        <f t="shared" si="2928"/>
        <v>0</v>
      </c>
      <c r="DI157" s="324">
        <f t="shared" si="2929"/>
        <v>0</v>
      </c>
      <c r="DJ157" s="324">
        <f t="shared" si="2930"/>
        <v>0</v>
      </c>
      <c r="DK157" s="324">
        <f t="shared" si="2931"/>
        <v>0</v>
      </c>
      <c r="DL157" s="324">
        <f t="shared" si="2932"/>
        <v>0</v>
      </c>
      <c r="DM157" s="324">
        <f t="shared" si="2933"/>
        <v>0</v>
      </c>
      <c r="DN157" s="324">
        <f t="shared" si="2934"/>
        <v>0</v>
      </c>
      <c r="DO157" s="324">
        <f t="shared" si="2935"/>
        <v>0</v>
      </c>
      <c r="DP157" s="324">
        <f t="shared" si="2936"/>
        <v>0</v>
      </c>
      <c r="DQ157" s="324">
        <f t="shared" si="2937"/>
        <v>0</v>
      </c>
      <c r="DR157" s="327">
        <f t="shared" si="2938"/>
        <v>0</v>
      </c>
      <c r="DS157" s="328">
        <f t="shared" si="2939"/>
        <v>0</v>
      </c>
      <c r="DT157" s="328">
        <f t="shared" si="2940"/>
        <v>0</v>
      </c>
      <c r="DU157" s="328">
        <f t="shared" si="2941"/>
        <v>0</v>
      </c>
      <c r="DV157" s="328">
        <f t="shared" si="2942"/>
        <v>0</v>
      </c>
      <c r="DW157" s="328">
        <f t="shared" si="2943"/>
        <v>0</v>
      </c>
      <c r="DX157" s="328">
        <f t="shared" si="2944"/>
        <v>0</v>
      </c>
      <c r="DY157" s="328">
        <f t="shared" si="2945"/>
        <v>0</v>
      </c>
      <c r="DZ157" s="328">
        <f t="shared" si="2946"/>
        <v>0</v>
      </c>
      <c r="EA157" s="328">
        <f t="shared" si="2947"/>
        <v>0</v>
      </c>
      <c r="EB157" s="328">
        <f t="shared" si="2948"/>
        <v>0</v>
      </c>
      <c r="EC157" s="328">
        <f t="shared" si="2949"/>
        <v>0</v>
      </c>
      <c r="ED157" s="328">
        <f t="shared" si="2950"/>
        <v>0</v>
      </c>
      <c r="EE157" s="328">
        <f t="shared" si="2951"/>
        <v>0</v>
      </c>
      <c r="EF157" s="328">
        <f t="shared" si="2952"/>
        <v>0</v>
      </c>
      <c r="EG157" s="328">
        <f t="shared" si="2953"/>
        <v>0</v>
      </c>
      <c r="EH157" s="328">
        <f t="shared" si="2954"/>
        <v>0</v>
      </c>
      <c r="EI157" s="329">
        <f t="shared" si="2955"/>
        <v>0</v>
      </c>
      <c r="EK157" s="2201">
        <v>381.68</v>
      </c>
      <c r="EL157" s="1543"/>
      <c r="EM157" s="1543"/>
      <c r="EN157" s="1543">
        <f>54+38</f>
        <v>92</v>
      </c>
      <c r="EO157" s="1543"/>
      <c r="EP157" s="1543">
        <v>50</v>
      </c>
      <c r="EQ157" s="365"/>
      <c r="ER157" s="1543"/>
      <c r="ES157" s="1543"/>
      <c r="ET157" s="1543">
        <f>+EO157+EP157+EQ157</f>
        <v>50</v>
      </c>
      <c r="EU157" s="1501"/>
      <c r="EV157" s="409">
        <f t="shared" si="2957"/>
        <v>381.68</v>
      </c>
      <c r="EW157" s="409">
        <f t="shared" si="2957"/>
        <v>0</v>
      </c>
      <c r="EX157" s="409">
        <f t="shared" si="2957"/>
        <v>0</v>
      </c>
      <c r="EY157" s="409">
        <f t="shared" si="2957"/>
        <v>92</v>
      </c>
      <c r="EZ157" s="409">
        <f t="shared" si="2957"/>
        <v>0</v>
      </c>
      <c r="FA157" s="409">
        <f t="shared" si="2957"/>
        <v>50</v>
      </c>
      <c r="FB157" s="409">
        <f>IF($H157&lt;=15,EQ157/2,EQ157)</f>
        <v>0</v>
      </c>
      <c r="FC157" s="409">
        <f t="shared" si="2959"/>
        <v>0</v>
      </c>
      <c r="FD157" s="409">
        <f t="shared" si="2959"/>
        <v>0</v>
      </c>
      <c r="FE157" s="409">
        <f t="shared" si="2959"/>
        <v>50</v>
      </c>
      <c r="FF157" s="333">
        <v>1</v>
      </c>
      <c r="FG157" s="333">
        <v>0</v>
      </c>
      <c r="FH157" s="333">
        <v>0</v>
      </c>
      <c r="FI157" s="333">
        <v>0</v>
      </c>
      <c r="FJ157" s="333">
        <v>0</v>
      </c>
      <c r="FK157" s="333">
        <v>1</v>
      </c>
      <c r="FL157" s="1603">
        <f t="shared" si="2482"/>
        <v>0</v>
      </c>
    </row>
    <row r="158" spans="1:172" s="1534" customFormat="1" ht="15" customHeight="1" outlineLevel="1">
      <c r="A158" s="1663" t="e">
        <f>#REF!+1</f>
        <v>#REF!</v>
      </c>
      <c r="B158" s="1967" t="s">
        <v>630</v>
      </c>
      <c r="C158" s="1968" t="s">
        <v>561</v>
      </c>
      <c r="D158" s="1968" t="s">
        <v>10</v>
      </c>
      <c r="E158" s="1526">
        <v>4000</v>
      </c>
      <c r="F158" s="1970">
        <v>550</v>
      </c>
      <c r="G158" s="1970">
        <f t="shared" ref="G158" si="2965">+E158+F158</f>
        <v>4550</v>
      </c>
      <c r="H158" s="1971">
        <v>30</v>
      </c>
      <c r="I158" s="1498">
        <v>1</v>
      </c>
      <c r="J158" s="1498">
        <v>0</v>
      </c>
      <c r="K158" s="1498">
        <v>0</v>
      </c>
      <c r="L158" s="1972">
        <v>0</v>
      </c>
      <c r="M158" s="1498">
        <v>0</v>
      </c>
      <c r="N158" s="1972">
        <f t="shared" ref="N158" si="2966">SUM(I158:M158)</f>
        <v>1</v>
      </c>
      <c r="O158" s="1418"/>
      <c r="P158" s="1973"/>
      <c r="Q158" s="1971">
        <f t="shared" ref="Q158" si="2967">($E158/30/8*1.5)*P158</f>
        <v>0</v>
      </c>
      <c r="R158" s="1974"/>
      <c r="S158" s="1971">
        <f t="shared" ref="S158" si="2968">($E158/30/8*2)*R158</f>
        <v>0</v>
      </c>
      <c r="T158" s="1974">
        <v>0</v>
      </c>
      <c r="U158" s="1971">
        <f t="shared" ref="U158" si="2969">($E158/30/8*1.5)*T158</f>
        <v>0</v>
      </c>
      <c r="V158" s="1974"/>
      <c r="W158" s="1971">
        <f t="shared" ref="W158" si="2970">($E158/30/8*2)*V158</f>
        <v>0</v>
      </c>
      <c r="X158" s="1974"/>
      <c r="Y158" s="1971">
        <f t="shared" ref="Y158" si="2971">(($E158/30/8)*1.5)*X158</f>
        <v>0</v>
      </c>
      <c r="Z158" s="1975"/>
      <c r="AA158" s="1971">
        <f t="shared" ref="AA158" si="2972">(($E158/30/8)*2)*Z158</f>
        <v>0</v>
      </c>
      <c r="AB158" s="1975"/>
      <c r="AC158" s="1971">
        <f t="shared" ref="AC158" si="2973">(($E158/30/8)*1.5)*AB158</f>
        <v>0</v>
      </c>
      <c r="AD158" s="1975"/>
      <c r="AE158" s="1971">
        <f t="shared" ref="AE158" si="2974">(($E158/30/8)*2)*AD158</f>
        <v>0</v>
      </c>
      <c r="AF158" s="1971"/>
      <c r="AG158" s="1971">
        <f>(($E158/30/8)*1.5)*AF158</f>
        <v>0</v>
      </c>
      <c r="AH158" s="1975"/>
      <c r="AI158" s="1971">
        <f>(($E158/30/8)*2)*AH158</f>
        <v>0</v>
      </c>
      <c r="AJ158" s="1970"/>
      <c r="AK158" s="1970"/>
      <c r="AL158" s="1970"/>
      <c r="AM158" s="1970"/>
      <c r="AN158" s="1970"/>
      <c r="AO158" s="1970"/>
      <c r="AP158" s="1970"/>
      <c r="AQ158" s="1970"/>
      <c r="AR158" s="1970"/>
      <c r="AS158" s="1970"/>
      <c r="AT158" s="1666"/>
      <c r="AU158" s="326"/>
      <c r="AV158" s="1971">
        <f t="shared" ref="AV158" si="2975">((E158/30)*H158)*$I158</f>
        <v>4000.0000000000005</v>
      </c>
      <c r="AW158" s="1664">
        <f>((F158/30)*H158)*$I158+375+1493.3+96.65</f>
        <v>2514.9500000000003</v>
      </c>
      <c r="AX158" s="1971">
        <f t="shared" ref="AX158" si="2976">P158</f>
        <v>0</v>
      </c>
      <c r="AY158" s="1971">
        <f t="shared" ref="AY158" si="2977">Q158</f>
        <v>0</v>
      </c>
      <c r="AZ158" s="1971">
        <f t="shared" ref="AZ158" si="2978">R158</f>
        <v>0</v>
      </c>
      <c r="BA158" s="1971">
        <f t="shared" ref="BA158" si="2979">S158</f>
        <v>0</v>
      </c>
      <c r="BB158" s="1971">
        <f t="shared" ref="BB158" si="2980">AJ158+AO158</f>
        <v>0</v>
      </c>
      <c r="BC158" s="1971">
        <f t="shared" ref="BC158" si="2981">(AV158+AY158+BA158)*0.1267</f>
        <v>506.80000000000007</v>
      </c>
      <c r="BD158" s="1971">
        <f t="shared" ref="BD158" si="2982">SUM(AV158:BC158)-AX158-AZ158</f>
        <v>7021.7500000000009</v>
      </c>
      <c r="BE158" s="1971">
        <f t="shared" si="2888"/>
        <v>0</v>
      </c>
      <c r="BF158" s="1971">
        <f>(($F158/30)*$H158)*$J158</f>
        <v>0</v>
      </c>
      <c r="BG158" s="1971">
        <f t="shared" ref="BG158" si="2983">T158</f>
        <v>0</v>
      </c>
      <c r="BH158" s="1971">
        <f t="shared" ref="BH158" si="2984">U158</f>
        <v>0</v>
      </c>
      <c r="BI158" s="1971">
        <f t="shared" ref="BI158" si="2985">V158</f>
        <v>0</v>
      </c>
      <c r="BJ158" s="1971">
        <f t="shared" ref="BJ158" si="2986">W158</f>
        <v>0</v>
      </c>
      <c r="BK158" s="1971">
        <f t="shared" ref="BK158" si="2987">AK158+AP158</f>
        <v>0</v>
      </c>
      <c r="BL158" s="1971">
        <f t="shared" ref="BL158" si="2988">(+BE158+BH158+BJ158+BK158)*0.1267</f>
        <v>0</v>
      </c>
      <c r="BM158" s="1970">
        <f t="shared" ref="BM158" si="2989">SUM(BE158:BL158)-BG158-BI158</f>
        <v>0</v>
      </c>
      <c r="BN158" s="1971">
        <f t="shared" si="2893"/>
        <v>0</v>
      </c>
      <c r="BO158" s="1971">
        <f t="shared" si="2894"/>
        <v>0</v>
      </c>
      <c r="BP158" s="1971">
        <f t="shared" ref="BP158" si="2990">X158</f>
        <v>0</v>
      </c>
      <c r="BQ158" s="1971">
        <f t="shared" ref="BQ158" si="2991">Y158</f>
        <v>0</v>
      </c>
      <c r="BR158" s="1971">
        <f t="shared" ref="BR158" si="2992">Z158</f>
        <v>0</v>
      </c>
      <c r="BS158" s="1971">
        <f t="shared" ref="BS158" si="2993">AA158</f>
        <v>0</v>
      </c>
      <c r="BT158" s="1971">
        <f t="shared" ref="BT158" si="2994">AL158+AQ158</f>
        <v>0</v>
      </c>
      <c r="BU158" s="1971">
        <f t="shared" ref="BU158" si="2995">(BN158+BQ158+BS158)*0.1267</f>
        <v>0</v>
      </c>
      <c r="BV158" s="1971">
        <f t="shared" ref="BV158" si="2996">SUM(BN158:BU158)-BP158-BR158</f>
        <v>0</v>
      </c>
      <c r="BW158" s="1981">
        <f t="shared" si="2900"/>
        <v>0</v>
      </c>
      <c r="BX158" s="1982">
        <f t="shared" si="2901"/>
        <v>0</v>
      </c>
      <c r="BY158" s="1982">
        <f t="shared" ref="BY158" si="2997">AB158</f>
        <v>0</v>
      </c>
      <c r="BZ158" s="1982">
        <f t="shared" ref="BZ158" si="2998">AC158</f>
        <v>0</v>
      </c>
      <c r="CA158" s="1982">
        <f t="shared" ref="CA158" si="2999">AD158</f>
        <v>0</v>
      </c>
      <c r="CB158" s="1982">
        <f t="shared" ref="CB158" si="3000">AE158</f>
        <v>0</v>
      </c>
      <c r="CC158" s="1982">
        <f t="shared" ref="CC158" si="3001">AM158+AR158</f>
        <v>0</v>
      </c>
      <c r="CD158" s="1982">
        <f t="shared" ref="CD158" si="3002">(BW158+BZ158+CB158)*0.1267</f>
        <v>0</v>
      </c>
      <c r="CE158" s="1982">
        <f t="shared" ref="CE158" si="3003">SUM(BW158:CD158)-BY158-CA158</f>
        <v>0</v>
      </c>
      <c r="CF158" s="1982">
        <f t="shared" ref="CF158" si="3004">(($E158/30)*$H158)*M158</f>
        <v>0</v>
      </c>
      <c r="CG158" s="1982">
        <f t="shared" si="2907"/>
        <v>0</v>
      </c>
      <c r="CH158" s="1982">
        <f t="shared" ref="CH158" si="3005">+AF158</f>
        <v>0</v>
      </c>
      <c r="CI158" s="1982">
        <f t="shared" ref="CI158" si="3006">AG158</f>
        <v>0</v>
      </c>
      <c r="CJ158" s="1982">
        <f t="shared" ref="CJ158" si="3007">AH158</f>
        <v>0</v>
      </c>
      <c r="CK158" s="1982">
        <f t="shared" ref="CK158" si="3008">AI158</f>
        <v>0</v>
      </c>
      <c r="CL158" s="1982">
        <f t="shared" ref="CL158" si="3009">AN158+AS158</f>
        <v>0</v>
      </c>
      <c r="CM158" s="1982">
        <f t="shared" ref="CM158" si="3010">(CF158+CI158+CK158)*0.1267</f>
        <v>0</v>
      </c>
      <c r="CN158" s="1983">
        <f t="shared" ref="CN158" si="3011">SUM(CF158:CM158)-CH158-CJ158</f>
        <v>0</v>
      </c>
      <c r="CP158" s="1969" t="s">
        <v>10</v>
      </c>
      <c r="CQ158" s="1971">
        <f t="shared" si="2963"/>
        <v>4000.0000000000005</v>
      </c>
      <c r="CR158" s="1971">
        <f>IF($CP158="PROQUIMA",$AW158+$BF158+$BO158+$BX158+$CG158,0)</f>
        <v>2514.9500000000003</v>
      </c>
      <c r="CS158" s="1971">
        <f t="shared" si="2913"/>
        <v>0</v>
      </c>
      <c r="CT158" s="1971">
        <f t="shared" si="2914"/>
        <v>0</v>
      </c>
      <c r="CU158" s="1971">
        <f t="shared" si="2915"/>
        <v>0</v>
      </c>
      <c r="CV158" s="1971">
        <f t="shared" si="2916"/>
        <v>0</v>
      </c>
      <c r="CW158" s="1971">
        <f t="shared" si="2917"/>
        <v>0</v>
      </c>
      <c r="CX158" s="1971">
        <f t="shared" ref="CX158" si="3012">IF($CP158="PROQUIMA",$BC158+$BL158+$BU158+$CD158+CM158,0)</f>
        <v>506.80000000000007</v>
      </c>
      <c r="CY158" s="1971">
        <f t="shared" ref="CY158" si="3013">SUM(CQ158:CX158)-CS158-CU158</f>
        <v>7021.7500000000009</v>
      </c>
      <c r="CZ158" s="1971">
        <f t="shared" si="2920"/>
        <v>0</v>
      </c>
      <c r="DA158" s="1971">
        <f t="shared" si="2921"/>
        <v>0</v>
      </c>
      <c r="DB158" s="1971">
        <f t="shared" si="2922"/>
        <v>0</v>
      </c>
      <c r="DC158" s="1971">
        <f t="shared" si="2923"/>
        <v>0</v>
      </c>
      <c r="DD158" s="1971">
        <f t="shared" si="2924"/>
        <v>0</v>
      </c>
      <c r="DE158" s="1971">
        <f t="shared" si="2925"/>
        <v>0</v>
      </c>
      <c r="DF158" s="1971">
        <f t="shared" si="2926"/>
        <v>0</v>
      </c>
      <c r="DG158" s="1971">
        <f t="shared" si="2927"/>
        <v>0</v>
      </c>
      <c r="DH158" s="1971">
        <f t="shared" ref="DH158" si="3014">SUM(CZ158:DG158)-DB158-DD158</f>
        <v>0</v>
      </c>
      <c r="DI158" s="1971">
        <f t="shared" si="2929"/>
        <v>0</v>
      </c>
      <c r="DJ158" s="1971">
        <f t="shared" si="2930"/>
        <v>0</v>
      </c>
      <c r="DK158" s="1971">
        <f t="shared" si="2931"/>
        <v>0</v>
      </c>
      <c r="DL158" s="1971">
        <f t="shared" si="2932"/>
        <v>0</v>
      </c>
      <c r="DM158" s="1971">
        <f t="shared" si="2933"/>
        <v>0</v>
      </c>
      <c r="DN158" s="1971">
        <f t="shared" si="2934"/>
        <v>0</v>
      </c>
      <c r="DO158" s="1971">
        <f t="shared" si="2935"/>
        <v>0</v>
      </c>
      <c r="DP158" s="1971">
        <f t="shared" si="2936"/>
        <v>0</v>
      </c>
      <c r="DQ158" s="1971">
        <f t="shared" ref="DQ158" si="3015">SUM(DI158:DP158)-DK158-DM158</f>
        <v>0</v>
      </c>
      <c r="DR158" s="1981">
        <f t="shared" si="2938"/>
        <v>0</v>
      </c>
      <c r="DS158" s="1982">
        <f t="shared" si="2939"/>
        <v>0</v>
      </c>
      <c r="DT158" s="1982">
        <f t="shared" si="2940"/>
        <v>0</v>
      </c>
      <c r="DU158" s="1982">
        <f t="shared" si="2941"/>
        <v>0</v>
      </c>
      <c r="DV158" s="1982">
        <f t="shared" si="2942"/>
        <v>0</v>
      </c>
      <c r="DW158" s="1982">
        <f t="shared" si="2943"/>
        <v>0</v>
      </c>
      <c r="DX158" s="1982">
        <f t="shared" si="2944"/>
        <v>0</v>
      </c>
      <c r="DY158" s="1982">
        <f t="shared" si="2945"/>
        <v>0</v>
      </c>
      <c r="DZ158" s="1982">
        <f t="shared" ref="DZ158" si="3016">SUM(DR158:DY158)-DT158-DV158</f>
        <v>0</v>
      </c>
      <c r="EA158" s="1982">
        <f t="shared" si="2947"/>
        <v>0</v>
      </c>
      <c r="EB158" s="1982">
        <f t="shared" si="2948"/>
        <v>0</v>
      </c>
      <c r="EC158" s="1982">
        <f t="shared" si="2949"/>
        <v>0</v>
      </c>
      <c r="ED158" s="1982">
        <f t="shared" si="2950"/>
        <v>0</v>
      </c>
      <c r="EE158" s="1982">
        <f t="shared" si="2951"/>
        <v>0</v>
      </c>
      <c r="EF158" s="1982">
        <f t="shared" si="2952"/>
        <v>0</v>
      </c>
      <c r="EG158" s="1982">
        <f t="shared" si="2953"/>
        <v>0</v>
      </c>
      <c r="EH158" s="1982">
        <f t="shared" si="2954"/>
        <v>0</v>
      </c>
      <c r="EI158" s="1983">
        <f t="shared" ref="EI158" si="3017">SUM(EA158:EH158)-EC158-EE158</f>
        <v>0</v>
      </c>
      <c r="EK158" s="1543">
        <v>86.59</v>
      </c>
      <c r="EL158" s="1543"/>
      <c r="EM158" s="1543"/>
      <c r="EN158" s="1543">
        <f>62.25</f>
        <v>62.25</v>
      </c>
      <c r="EO158" s="1543"/>
      <c r="EP158" s="1543">
        <v>50</v>
      </c>
      <c r="EQ158" s="1543">
        <v>75</v>
      </c>
      <c r="ER158" s="1543"/>
      <c r="ES158" s="1543"/>
      <c r="ET158" s="1969">
        <f>+EO158+EP158+EQ158</f>
        <v>125</v>
      </c>
      <c r="EU158" s="1501"/>
      <c r="EV158" s="1974">
        <f t="shared" ref="EV158" si="3018">IF($H158&lt;=15,EK158/2,EK158)</f>
        <v>86.59</v>
      </c>
      <c r="EW158" s="1974">
        <f t="shared" ref="EW158" si="3019">IF($H158&lt;=15,EL158/2,EL158)</f>
        <v>0</v>
      </c>
      <c r="EX158" s="1974">
        <f t="shared" ref="EX158" si="3020">IF($H158&lt;=15,EM158/2,EM158)</f>
        <v>0</v>
      </c>
      <c r="EY158" s="1974">
        <f t="shared" ref="EY158" si="3021">IF($H158&lt;=15,EN158/2,EN158)</f>
        <v>62.25</v>
      </c>
      <c r="EZ158" s="1974">
        <f t="shared" ref="EZ158" si="3022">IF($H158&lt;=15,EO158/2,EO158)</f>
        <v>0</v>
      </c>
      <c r="FA158" s="1974">
        <f t="shared" ref="FA158" si="3023">IF($H158&lt;=15,EP158/2,EP158)</f>
        <v>50</v>
      </c>
      <c r="FB158" s="1974">
        <f t="shared" ref="FB158" si="3024">IF($H158&lt;=15,EQ158/2,EQ158)</f>
        <v>75</v>
      </c>
      <c r="FC158" s="1974">
        <f t="shared" ref="FC158" si="3025">IF($H158&lt;=15,ER158/2,ER158)</f>
        <v>0</v>
      </c>
      <c r="FD158" s="1974">
        <f t="shared" ref="FD158" si="3026">IF($H158&lt;=15,ES158/2,ES158)</f>
        <v>0</v>
      </c>
      <c r="FE158" s="1974">
        <f t="shared" ref="FE158" si="3027">IF($H158&lt;=15,ET158/2,ET158)</f>
        <v>125</v>
      </c>
      <c r="FF158" s="1978"/>
      <c r="FG158" s="1978"/>
      <c r="FH158" s="1978"/>
      <c r="FI158" s="1978"/>
      <c r="FJ158" s="1978"/>
      <c r="FK158" s="1978"/>
      <c r="FL158" s="1977"/>
    </row>
    <row r="159" spans="1:172" s="2192" customFormat="1" ht="15" customHeight="1" outlineLevel="1">
      <c r="A159" s="2177" t="e">
        <f t="shared" si="2960"/>
        <v>#REF!</v>
      </c>
      <c r="B159" s="2178" t="s">
        <v>643</v>
      </c>
      <c r="C159" s="2179" t="s">
        <v>644</v>
      </c>
      <c r="D159" s="2179" t="s">
        <v>11</v>
      </c>
      <c r="E159" s="2011">
        <v>3166.38</v>
      </c>
      <c r="F159" s="2180">
        <v>250</v>
      </c>
      <c r="G159" s="1970">
        <f t="shared" si="2873"/>
        <v>3416.38</v>
      </c>
      <c r="H159" s="2011">
        <v>30</v>
      </c>
      <c r="I159" s="2181"/>
      <c r="J159" s="2181">
        <v>1</v>
      </c>
      <c r="K159" s="2181"/>
      <c r="L159" s="2182"/>
      <c r="M159" s="2181"/>
      <c r="N159" s="2182">
        <f t="shared" si="2874"/>
        <v>1</v>
      </c>
      <c r="O159" s="2183"/>
      <c r="P159" s="2184"/>
      <c r="Q159" s="2011">
        <f t="shared" si="2875"/>
        <v>0</v>
      </c>
      <c r="R159" s="2185"/>
      <c r="S159" s="2011">
        <f t="shared" si="2876"/>
        <v>0</v>
      </c>
      <c r="T159" s="2185">
        <v>0</v>
      </c>
      <c r="U159" s="2011">
        <f t="shared" si="2877"/>
        <v>0</v>
      </c>
      <c r="V159" s="2185"/>
      <c r="W159" s="2011">
        <f t="shared" si="2878"/>
        <v>0</v>
      </c>
      <c r="X159" s="2185"/>
      <c r="Y159" s="2011">
        <f t="shared" si="2879"/>
        <v>0</v>
      </c>
      <c r="Z159" s="2186"/>
      <c r="AA159" s="2011">
        <f t="shared" si="2880"/>
        <v>0</v>
      </c>
      <c r="AB159" s="2186"/>
      <c r="AC159" s="2011">
        <f t="shared" si="2881"/>
        <v>0</v>
      </c>
      <c r="AD159" s="2186"/>
      <c r="AE159" s="2011">
        <f t="shared" si="2882"/>
        <v>0</v>
      </c>
      <c r="AF159" s="2011"/>
      <c r="AG159" s="2011"/>
      <c r="AH159" s="2186"/>
      <c r="AI159" s="2011"/>
      <c r="AJ159" s="2180"/>
      <c r="AK159" s="2180"/>
      <c r="AL159" s="2180"/>
      <c r="AM159" s="2180"/>
      <c r="AN159" s="2180"/>
      <c r="AO159" s="2180"/>
      <c r="AP159" s="2180"/>
      <c r="AQ159" s="2180"/>
      <c r="AR159" s="2180"/>
      <c r="AS159" s="2180"/>
      <c r="AT159" s="2187"/>
      <c r="AU159" s="2188"/>
      <c r="AV159" s="2011">
        <f t="shared" si="2883"/>
        <v>0</v>
      </c>
      <c r="AW159" s="2012">
        <f>((F159/30)*H159)*$I159</f>
        <v>0</v>
      </c>
      <c r="AX159" s="2011">
        <f t="shared" si="2884"/>
        <v>0</v>
      </c>
      <c r="AY159" s="2011">
        <f t="shared" si="2884"/>
        <v>0</v>
      </c>
      <c r="AZ159" s="2011">
        <f t="shared" si="2884"/>
        <v>0</v>
      </c>
      <c r="BA159" s="2011">
        <f t="shared" si="2884"/>
        <v>0</v>
      </c>
      <c r="BB159" s="2011">
        <f t="shared" si="2885"/>
        <v>0</v>
      </c>
      <c r="BC159" s="2011">
        <f t="shared" si="2886"/>
        <v>0</v>
      </c>
      <c r="BD159" s="2011">
        <f t="shared" si="2887"/>
        <v>0</v>
      </c>
      <c r="BE159" s="2011">
        <f t="shared" si="2888"/>
        <v>3166.38</v>
      </c>
      <c r="BF159" s="2011">
        <f>(($F159/30)*$H159)*$J159+1454.6</f>
        <v>1704.6</v>
      </c>
      <c r="BG159" s="2011">
        <f t="shared" si="2889"/>
        <v>0</v>
      </c>
      <c r="BH159" s="2011">
        <f t="shared" si="2889"/>
        <v>0</v>
      </c>
      <c r="BI159" s="2011">
        <f t="shared" si="2889"/>
        <v>0</v>
      </c>
      <c r="BJ159" s="2011">
        <f t="shared" si="2889"/>
        <v>0</v>
      </c>
      <c r="BK159" s="2011">
        <f t="shared" si="2890"/>
        <v>0</v>
      </c>
      <c r="BL159" s="2011">
        <f t="shared" si="2891"/>
        <v>401.18034600000004</v>
      </c>
      <c r="BM159" s="2180">
        <f t="shared" si="2892"/>
        <v>5272.1603459999997</v>
      </c>
      <c r="BN159" s="2011">
        <f t="shared" si="2893"/>
        <v>0</v>
      </c>
      <c r="BO159" s="2011">
        <f t="shared" si="2894"/>
        <v>0</v>
      </c>
      <c r="BP159" s="2011">
        <f t="shared" si="2895"/>
        <v>0</v>
      </c>
      <c r="BQ159" s="2011">
        <f t="shared" si="2895"/>
        <v>0</v>
      </c>
      <c r="BR159" s="2011">
        <f t="shared" si="2895"/>
        <v>0</v>
      </c>
      <c r="BS159" s="2011">
        <f t="shared" si="2896"/>
        <v>0</v>
      </c>
      <c r="BT159" s="2011">
        <f t="shared" si="2897"/>
        <v>0</v>
      </c>
      <c r="BU159" s="2011">
        <f t="shared" si="2898"/>
        <v>0</v>
      </c>
      <c r="BV159" s="2011">
        <f t="shared" si="2899"/>
        <v>0</v>
      </c>
      <c r="BW159" s="2189">
        <f t="shared" si="2900"/>
        <v>0</v>
      </c>
      <c r="BX159" s="2190">
        <f t="shared" si="2901"/>
        <v>0</v>
      </c>
      <c r="BY159" s="2190">
        <f t="shared" ref="BY159:CB160" si="3028">AB159</f>
        <v>0</v>
      </c>
      <c r="BZ159" s="2190">
        <f t="shared" si="3028"/>
        <v>0</v>
      </c>
      <c r="CA159" s="2190">
        <f t="shared" si="3028"/>
        <v>0</v>
      </c>
      <c r="CB159" s="2190">
        <f t="shared" si="3028"/>
        <v>0</v>
      </c>
      <c r="CC159" s="2190">
        <f t="shared" si="2903"/>
        <v>0</v>
      </c>
      <c r="CD159" s="2190">
        <f t="shared" si="2904"/>
        <v>0</v>
      </c>
      <c r="CE159" s="2190">
        <f t="shared" si="2905"/>
        <v>0</v>
      </c>
      <c r="CF159" s="2190">
        <f t="shared" si="2906"/>
        <v>0</v>
      </c>
      <c r="CG159" s="2190">
        <f t="shared" si="2907"/>
        <v>0</v>
      </c>
      <c r="CH159" s="2190">
        <f t="shared" si="2908"/>
        <v>0</v>
      </c>
      <c r="CI159" s="2190">
        <f t="shared" ref="CI159:CK160" si="3029">AG159</f>
        <v>0</v>
      </c>
      <c r="CJ159" s="2190">
        <f t="shared" si="3029"/>
        <v>0</v>
      </c>
      <c r="CK159" s="2190">
        <f t="shared" si="3029"/>
        <v>0</v>
      </c>
      <c r="CL159" s="2190">
        <f t="shared" si="2910"/>
        <v>0</v>
      </c>
      <c r="CM159" s="2190">
        <f t="shared" si="2911"/>
        <v>0</v>
      </c>
      <c r="CN159" s="2191">
        <f t="shared" si="2912"/>
        <v>0</v>
      </c>
      <c r="CP159" s="2193" t="s">
        <v>11</v>
      </c>
      <c r="CQ159" s="2011">
        <f t="shared" si="2963"/>
        <v>0</v>
      </c>
      <c r="CR159" s="2011">
        <f t="shared" si="2964"/>
        <v>0</v>
      </c>
      <c r="CS159" s="2011">
        <f t="shared" si="2913"/>
        <v>0</v>
      </c>
      <c r="CT159" s="2011">
        <f t="shared" si="2914"/>
        <v>0</v>
      </c>
      <c r="CU159" s="2011">
        <f t="shared" si="2915"/>
        <v>0</v>
      </c>
      <c r="CV159" s="2011">
        <f t="shared" si="2916"/>
        <v>0</v>
      </c>
      <c r="CW159" s="2011">
        <f t="shared" si="2917"/>
        <v>0</v>
      </c>
      <c r="CX159" s="2011">
        <f t="shared" si="2918"/>
        <v>0</v>
      </c>
      <c r="CY159" s="2011">
        <f t="shared" si="2919"/>
        <v>0</v>
      </c>
      <c r="CZ159" s="2011">
        <f t="shared" si="2920"/>
        <v>3166.38</v>
      </c>
      <c r="DA159" s="2011">
        <f>IF($CP159="UNHESA",$AW159+$BF159+$BO159+$BX159+$CG159,0)</f>
        <v>1704.6</v>
      </c>
      <c r="DB159" s="2011">
        <f t="shared" si="2922"/>
        <v>0</v>
      </c>
      <c r="DC159" s="2011">
        <f t="shared" si="2923"/>
        <v>0</v>
      </c>
      <c r="DD159" s="2011">
        <f t="shared" si="2924"/>
        <v>0</v>
      </c>
      <c r="DE159" s="2011">
        <f t="shared" si="2925"/>
        <v>0</v>
      </c>
      <c r="DF159" s="2011">
        <f t="shared" si="2926"/>
        <v>0</v>
      </c>
      <c r="DG159" s="2011">
        <f t="shared" si="2927"/>
        <v>401.18034600000004</v>
      </c>
      <c r="DH159" s="2011">
        <f t="shared" si="2928"/>
        <v>5272.1603459999997</v>
      </c>
      <c r="DI159" s="2011">
        <f t="shared" si="2929"/>
        <v>0</v>
      </c>
      <c r="DJ159" s="2011">
        <f t="shared" si="2930"/>
        <v>0</v>
      </c>
      <c r="DK159" s="2011">
        <f t="shared" si="2931"/>
        <v>0</v>
      </c>
      <c r="DL159" s="2011">
        <f t="shared" si="2932"/>
        <v>0</v>
      </c>
      <c r="DM159" s="2011">
        <f t="shared" si="2933"/>
        <v>0</v>
      </c>
      <c r="DN159" s="2011">
        <f t="shared" si="2934"/>
        <v>0</v>
      </c>
      <c r="DO159" s="2011">
        <f t="shared" si="2935"/>
        <v>0</v>
      </c>
      <c r="DP159" s="2011">
        <f t="shared" si="2936"/>
        <v>0</v>
      </c>
      <c r="DQ159" s="2011">
        <f t="shared" si="2937"/>
        <v>0</v>
      </c>
      <c r="DR159" s="2189">
        <f t="shared" si="2938"/>
        <v>0</v>
      </c>
      <c r="DS159" s="2190">
        <f t="shared" si="2939"/>
        <v>0</v>
      </c>
      <c r="DT159" s="2190">
        <f t="shared" si="2940"/>
        <v>0</v>
      </c>
      <c r="DU159" s="2190">
        <f t="shared" si="2941"/>
        <v>0</v>
      </c>
      <c r="DV159" s="2190">
        <f t="shared" si="2942"/>
        <v>0</v>
      </c>
      <c r="DW159" s="2190">
        <f t="shared" si="2943"/>
        <v>0</v>
      </c>
      <c r="DX159" s="2190">
        <f t="shared" si="2944"/>
        <v>0</v>
      </c>
      <c r="DY159" s="2190">
        <f t="shared" si="2945"/>
        <v>0</v>
      </c>
      <c r="DZ159" s="2190">
        <f t="shared" si="2946"/>
        <v>0</v>
      </c>
      <c r="EA159" s="2190">
        <f t="shared" si="2947"/>
        <v>0</v>
      </c>
      <c r="EB159" s="2190">
        <f t="shared" si="2948"/>
        <v>0</v>
      </c>
      <c r="EC159" s="2190">
        <f t="shared" si="2949"/>
        <v>0</v>
      </c>
      <c r="ED159" s="2190">
        <f t="shared" si="2950"/>
        <v>0</v>
      </c>
      <c r="EE159" s="2190">
        <f t="shared" si="2951"/>
        <v>0</v>
      </c>
      <c r="EF159" s="2190">
        <f t="shared" si="2952"/>
        <v>0</v>
      </c>
      <c r="EG159" s="2190">
        <f t="shared" si="2953"/>
        <v>0</v>
      </c>
      <c r="EH159" s="2190">
        <f t="shared" si="2954"/>
        <v>0</v>
      </c>
      <c r="EI159" s="2191">
        <f t="shared" si="2955"/>
        <v>0</v>
      </c>
      <c r="EK159" s="2194"/>
      <c r="EL159" s="2195"/>
      <c r="EM159" s="2193">
        <f>50+50</f>
        <v>100</v>
      </c>
      <c r="EN159" s="2193"/>
      <c r="EO159" s="2195"/>
      <c r="EP159" s="2195">
        <v>50</v>
      </c>
      <c r="EQ159" s="2195">
        <v>1450</v>
      </c>
      <c r="ER159" s="2195"/>
      <c r="ES159" s="2195"/>
      <c r="ET159" s="2193">
        <f t="shared" si="2956"/>
        <v>1500</v>
      </c>
      <c r="EU159" s="2196"/>
      <c r="EV159" s="2185">
        <f t="shared" si="2957"/>
        <v>0</v>
      </c>
      <c r="EW159" s="2185">
        <f t="shared" si="2957"/>
        <v>0</v>
      </c>
      <c r="EX159" s="2185">
        <f t="shared" si="2957"/>
        <v>100</v>
      </c>
      <c r="EY159" s="2185">
        <f t="shared" si="2957"/>
        <v>0</v>
      </c>
      <c r="EZ159" s="2185">
        <f t="shared" si="2957"/>
        <v>0</v>
      </c>
      <c r="FA159" s="2185">
        <f t="shared" si="2957"/>
        <v>50</v>
      </c>
      <c r="FB159" s="2185">
        <f t="shared" si="2958"/>
        <v>1450</v>
      </c>
      <c r="FC159" s="2185">
        <f t="shared" si="2959"/>
        <v>0</v>
      </c>
      <c r="FD159" s="2185">
        <f t="shared" si="2959"/>
        <v>0</v>
      </c>
      <c r="FE159" s="2185">
        <f t="shared" si="2959"/>
        <v>1500</v>
      </c>
      <c r="FF159" s="2197"/>
      <c r="FG159" s="2197"/>
      <c r="FH159" s="2197"/>
      <c r="FI159" s="2197"/>
      <c r="FJ159" s="2197"/>
      <c r="FK159" s="2197"/>
      <c r="FL159" s="2198"/>
    </row>
    <row r="160" spans="1:172" s="1534" customFormat="1" ht="15" customHeight="1" outlineLevel="1">
      <c r="A160" s="1663" t="e">
        <f t="shared" si="2960"/>
        <v>#REF!</v>
      </c>
      <c r="B160" s="213" t="s">
        <v>543</v>
      </c>
      <c r="C160" s="312" t="s">
        <v>560</v>
      </c>
      <c r="D160" s="312" t="s">
        <v>11</v>
      </c>
      <c r="E160" s="1526">
        <v>4150</v>
      </c>
      <c r="F160" s="314">
        <f>1500</f>
        <v>1500</v>
      </c>
      <c r="G160" s="1970">
        <f t="shared" si="2873"/>
        <v>5650</v>
      </c>
      <c r="H160" s="1971">
        <v>30</v>
      </c>
      <c r="I160" s="1498">
        <v>0</v>
      </c>
      <c r="J160" s="1498">
        <v>0.5</v>
      </c>
      <c r="K160" s="1498">
        <v>0.5</v>
      </c>
      <c r="L160" s="318">
        <v>0</v>
      </c>
      <c r="M160" s="1498">
        <v>0</v>
      </c>
      <c r="N160" s="318">
        <f t="shared" si="2874"/>
        <v>1</v>
      </c>
      <c r="O160" s="1582"/>
      <c r="P160" s="320"/>
      <c r="Q160" s="315">
        <f t="shared" si="2875"/>
        <v>0</v>
      </c>
      <c r="R160" s="321"/>
      <c r="S160" s="315">
        <f t="shared" si="2876"/>
        <v>0</v>
      </c>
      <c r="T160" s="321">
        <v>0</v>
      </c>
      <c r="U160" s="315">
        <f t="shared" si="2877"/>
        <v>0</v>
      </c>
      <c r="V160" s="321"/>
      <c r="W160" s="315">
        <f t="shared" si="2878"/>
        <v>0</v>
      </c>
      <c r="X160" s="321"/>
      <c r="Y160" s="315">
        <f t="shared" si="2879"/>
        <v>0</v>
      </c>
      <c r="Z160" s="322"/>
      <c r="AA160" s="315">
        <f t="shared" si="2880"/>
        <v>0</v>
      </c>
      <c r="AB160" s="322"/>
      <c r="AC160" s="315">
        <f>(($E160/30/8)*1.5)*AB160</f>
        <v>0</v>
      </c>
      <c r="AD160" s="322"/>
      <c r="AE160" s="315">
        <f>(($E160/30/8)*2)*AD160</f>
        <v>0</v>
      </c>
      <c r="AF160" s="315"/>
      <c r="AG160" s="315">
        <f>(($E160/30/8)*1.5)*AF160</f>
        <v>0</v>
      </c>
      <c r="AH160" s="322"/>
      <c r="AI160" s="315">
        <f>(($E160/30/8)*2)*AH160</f>
        <v>0</v>
      </c>
      <c r="AJ160" s="314"/>
      <c r="AK160" s="314"/>
      <c r="AL160" s="314"/>
      <c r="AM160" s="314"/>
      <c r="AN160" s="314"/>
      <c r="AO160" s="314"/>
      <c r="AP160" s="314"/>
      <c r="AQ160" s="314"/>
      <c r="AR160" s="314"/>
      <c r="AS160" s="314"/>
      <c r="AT160" s="314"/>
      <c r="AU160" s="326"/>
      <c r="AV160" s="315">
        <f t="shared" si="2883"/>
        <v>0</v>
      </c>
      <c r="AW160" s="355">
        <f>((F160/30)*H160)*$I160</f>
        <v>0</v>
      </c>
      <c r="AX160" s="315">
        <f t="shared" si="2884"/>
        <v>0</v>
      </c>
      <c r="AY160" s="315">
        <f t="shared" si="2884"/>
        <v>0</v>
      </c>
      <c r="AZ160" s="315">
        <f t="shared" si="2884"/>
        <v>0</v>
      </c>
      <c r="BA160" s="315">
        <f t="shared" si="2884"/>
        <v>0</v>
      </c>
      <c r="BB160" s="315">
        <f t="shared" si="2885"/>
        <v>0</v>
      </c>
      <c r="BC160" s="315">
        <f t="shared" si="2886"/>
        <v>0</v>
      </c>
      <c r="BD160" s="315">
        <f t="shared" si="2887"/>
        <v>0</v>
      </c>
      <c r="BE160" s="315">
        <f t="shared" si="2888"/>
        <v>2075</v>
      </c>
      <c r="BF160" s="906">
        <f>(($F160/30)*$H160)*$J160</f>
        <v>750</v>
      </c>
      <c r="BG160" s="315">
        <f t="shared" si="2889"/>
        <v>0</v>
      </c>
      <c r="BH160" s="315">
        <f t="shared" si="2889"/>
        <v>0</v>
      </c>
      <c r="BI160" s="315">
        <f t="shared" si="2889"/>
        <v>0</v>
      </c>
      <c r="BJ160" s="315">
        <f t="shared" si="2889"/>
        <v>0</v>
      </c>
      <c r="BK160" s="315">
        <f t="shared" si="2890"/>
        <v>0</v>
      </c>
      <c r="BL160" s="315">
        <f t="shared" si="2891"/>
        <v>262.90250000000003</v>
      </c>
      <c r="BM160" s="314">
        <f t="shared" si="2892"/>
        <v>3087.9025000000001</v>
      </c>
      <c r="BN160" s="315">
        <f t="shared" si="2893"/>
        <v>2075</v>
      </c>
      <c r="BO160" s="315">
        <f>(($F160/30)*$H160)*$K160</f>
        <v>750</v>
      </c>
      <c r="BP160" s="315">
        <f t="shared" si="2895"/>
        <v>0</v>
      </c>
      <c r="BQ160" s="315">
        <f t="shared" si="2895"/>
        <v>0</v>
      </c>
      <c r="BR160" s="315">
        <f t="shared" si="2895"/>
        <v>0</v>
      </c>
      <c r="BS160" s="315">
        <f t="shared" si="2896"/>
        <v>0</v>
      </c>
      <c r="BT160" s="315">
        <f t="shared" si="2897"/>
        <v>0</v>
      </c>
      <c r="BU160" s="315">
        <f t="shared" si="2898"/>
        <v>262.90250000000003</v>
      </c>
      <c r="BV160" s="315">
        <f t="shared" si="2899"/>
        <v>3087.9025000000001</v>
      </c>
      <c r="BW160" s="360">
        <f t="shared" si="2900"/>
        <v>0</v>
      </c>
      <c r="BX160" s="361">
        <f t="shared" si="2901"/>
        <v>0</v>
      </c>
      <c r="BY160" s="361">
        <f t="shared" si="3028"/>
        <v>0</v>
      </c>
      <c r="BZ160" s="361">
        <f t="shared" si="3028"/>
        <v>0</v>
      </c>
      <c r="CA160" s="361">
        <f t="shared" si="3028"/>
        <v>0</v>
      </c>
      <c r="CB160" s="361">
        <f t="shared" si="3028"/>
        <v>0</v>
      </c>
      <c r="CC160" s="361">
        <f t="shared" si="2903"/>
        <v>0</v>
      </c>
      <c r="CD160" s="361">
        <f t="shared" si="2904"/>
        <v>0</v>
      </c>
      <c r="CE160" s="361">
        <f t="shared" si="2905"/>
        <v>0</v>
      </c>
      <c r="CF160" s="361">
        <f t="shared" si="2906"/>
        <v>0</v>
      </c>
      <c r="CG160" s="361">
        <f t="shared" si="2907"/>
        <v>0</v>
      </c>
      <c r="CH160" s="361">
        <f t="shared" si="2908"/>
        <v>0</v>
      </c>
      <c r="CI160" s="361">
        <f t="shared" si="3029"/>
        <v>0</v>
      </c>
      <c r="CJ160" s="361">
        <f t="shared" si="3029"/>
        <v>0</v>
      </c>
      <c r="CK160" s="361">
        <f t="shared" si="3029"/>
        <v>0</v>
      </c>
      <c r="CL160" s="361">
        <f t="shared" si="2910"/>
        <v>0</v>
      </c>
      <c r="CM160" s="361">
        <f t="shared" si="2911"/>
        <v>0</v>
      </c>
      <c r="CN160" s="362">
        <f t="shared" si="2912"/>
        <v>0</v>
      </c>
      <c r="CP160" s="313" t="s">
        <v>11</v>
      </c>
      <c r="CQ160" s="315">
        <f t="shared" si="2963"/>
        <v>0</v>
      </c>
      <c r="CR160" s="315">
        <f t="shared" si="2964"/>
        <v>0</v>
      </c>
      <c r="CS160" s="315">
        <f t="shared" si="2913"/>
        <v>0</v>
      </c>
      <c r="CT160" s="315">
        <f t="shared" si="2914"/>
        <v>0</v>
      </c>
      <c r="CU160" s="315">
        <f t="shared" si="2915"/>
        <v>0</v>
      </c>
      <c r="CV160" s="315">
        <f t="shared" si="2916"/>
        <v>0</v>
      </c>
      <c r="CW160" s="315">
        <f t="shared" si="2917"/>
        <v>0</v>
      </c>
      <c r="CX160" s="315">
        <f t="shared" si="2918"/>
        <v>0</v>
      </c>
      <c r="CY160" s="315">
        <f t="shared" si="2919"/>
        <v>0</v>
      </c>
      <c r="CZ160" s="315">
        <f t="shared" si="2920"/>
        <v>4150</v>
      </c>
      <c r="DA160" s="315">
        <f>IF($CP160="UNHESA",$AW160+$BF160+$BO160+$BX160+$CG160,0)</f>
        <v>1500</v>
      </c>
      <c r="DB160" s="315">
        <f t="shared" si="2922"/>
        <v>0</v>
      </c>
      <c r="DC160" s="315">
        <f t="shared" si="2923"/>
        <v>0</v>
      </c>
      <c r="DD160" s="315">
        <f t="shared" si="2924"/>
        <v>0</v>
      </c>
      <c r="DE160" s="315">
        <f t="shared" si="2925"/>
        <v>0</v>
      </c>
      <c r="DF160" s="315">
        <f t="shared" si="2926"/>
        <v>0</v>
      </c>
      <c r="DG160" s="315">
        <f t="shared" si="2927"/>
        <v>525.80500000000006</v>
      </c>
      <c r="DH160" s="315">
        <f t="shared" si="2928"/>
        <v>6175.8050000000003</v>
      </c>
      <c r="DI160" s="315">
        <f t="shared" si="2929"/>
        <v>0</v>
      </c>
      <c r="DJ160" s="315">
        <f t="shared" si="2930"/>
        <v>0</v>
      </c>
      <c r="DK160" s="315">
        <f t="shared" si="2931"/>
        <v>0</v>
      </c>
      <c r="DL160" s="315">
        <f t="shared" si="2932"/>
        <v>0</v>
      </c>
      <c r="DM160" s="315">
        <f t="shared" si="2933"/>
        <v>0</v>
      </c>
      <c r="DN160" s="315">
        <f t="shared" si="2934"/>
        <v>0</v>
      </c>
      <c r="DO160" s="315">
        <f t="shared" si="2935"/>
        <v>0</v>
      </c>
      <c r="DP160" s="315">
        <f t="shared" si="2936"/>
        <v>0</v>
      </c>
      <c r="DQ160" s="315">
        <f t="shared" si="2937"/>
        <v>0</v>
      </c>
      <c r="DR160" s="360">
        <f t="shared" si="2938"/>
        <v>0</v>
      </c>
      <c r="DS160" s="361">
        <f t="shared" si="2939"/>
        <v>0</v>
      </c>
      <c r="DT160" s="361">
        <f t="shared" si="2940"/>
        <v>0</v>
      </c>
      <c r="DU160" s="361">
        <f t="shared" si="2941"/>
        <v>0</v>
      </c>
      <c r="DV160" s="361">
        <f t="shared" si="2942"/>
        <v>0</v>
      </c>
      <c r="DW160" s="361">
        <f t="shared" si="2943"/>
        <v>0</v>
      </c>
      <c r="DX160" s="361">
        <f t="shared" si="2944"/>
        <v>0</v>
      </c>
      <c r="DY160" s="361">
        <f t="shared" si="2945"/>
        <v>0</v>
      </c>
      <c r="DZ160" s="361">
        <f t="shared" si="2946"/>
        <v>0</v>
      </c>
      <c r="EA160" s="361">
        <f t="shared" si="2947"/>
        <v>0</v>
      </c>
      <c r="EB160" s="361">
        <f t="shared" si="2948"/>
        <v>0</v>
      </c>
      <c r="EC160" s="361">
        <f t="shared" si="2949"/>
        <v>0</v>
      </c>
      <c r="ED160" s="361">
        <f t="shared" si="2950"/>
        <v>0</v>
      </c>
      <c r="EE160" s="361">
        <f t="shared" si="2951"/>
        <v>0</v>
      </c>
      <c r="EF160" s="361">
        <f t="shared" si="2952"/>
        <v>0</v>
      </c>
      <c r="EG160" s="361">
        <f t="shared" si="2953"/>
        <v>0</v>
      </c>
      <c r="EH160" s="361">
        <f t="shared" si="2954"/>
        <v>0</v>
      </c>
      <c r="EI160" s="362">
        <f t="shared" si="2955"/>
        <v>0</v>
      </c>
      <c r="EK160" s="1543">
        <v>72.48</v>
      </c>
      <c r="EL160" s="1543"/>
      <c r="EM160" s="1543"/>
      <c r="EN160" s="313"/>
      <c r="EO160" s="1543"/>
      <c r="EP160" s="1543">
        <v>50</v>
      </c>
      <c r="EQ160" s="365">
        <v>150</v>
      </c>
      <c r="ER160" s="1543"/>
      <c r="ES160" s="313"/>
      <c r="ET160" s="363">
        <f t="shared" si="2956"/>
        <v>200</v>
      </c>
      <c r="EU160" s="1501"/>
      <c r="EV160" s="321">
        <f t="shared" si="2957"/>
        <v>72.48</v>
      </c>
      <c r="EW160" s="321">
        <f t="shared" si="2957"/>
        <v>0</v>
      </c>
      <c r="EX160" s="321">
        <f t="shared" si="2957"/>
        <v>0</v>
      </c>
      <c r="EY160" s="321">
        <f t="shared" si="2957"/>
        <v>0</v>
      </c>
      <c r="EZ160" s="321">
        <f t="shared" si="2957"/>
        <v>0</v>
      </c>
      <c r="FA160" s="321">
        <f t="shared" si="2957"/>
        <v>50</v>
      </c>
      <c r="FB160" s="321">
        <f t="shared" si="2958"/>
        <v>150</v>
      </c>
      <c r="FC160" s="321">
        <f t="shared" si="2959"/>
        <v>0</v>
      </c>
      <c r="FD160" s="321">
        <f t="shared" si="2959"/>
        <v>0</v>
      </c>
      <c r="FE160" s="321">
        <f t="shared" si="2959"/>
        <v>200</v>
      </c>
      <c r="FF160" s="364">
        <v>0</v>
      </c>
      <c r="FG160" s="364">
        <v>1</v>
      </c>
      <c r="FH160" s="364">
        <v>0</v>
      </c>
      <c r="FI160" s="364">
        <v>0</v>
      </c>
      <c r="FJ160" s="364">
        <v>0</v>
      </c>
      <c r="FK160" s="364">
        <v>1</v>
      </c>
      <c r="FL160" s="1441">
        <f>+EP160-FA160</f>
        <v>0</v>
      </c>
    </row>
    <row r="161" spans="1:260" s="1500" customFormat="1" ht="15.75" customHeight="1" outlineLevel="1" thickBot="1">
      <c r="A161" s="1403"/>
      <c r="B161" s="1348"/>
      <c r="C161" s="1339" t="s">
        <v>122</v>
      </c>
      <c r="D161" s="1339"/>
      <c r="E161" s="1584">
        <f>+SUM(E155:E160)</f>
        <v>48776.38</v>
      </c>
      <c r="F161" s="1491">
        <f>+SUM(F155:F160)</f>
        <v>6800</v>
      </c>
      <c r="G161" s="1491">
        <f>+SUM(G155:G160)</f>
        <v>55576.38</v>
      </c>
      <c r="H161" s="1491"/>
      <c r="I161" s="1667"/>
      <c r="J161" s="1339"/>
      <c r="K161" s="1667"/>
      <c r="L161" s="1667"/>
      <c r="M161" s="1563"/>
      <c r="N161" s="1563"/>
      <c r="O161" s="1460"/>
      <c r="P161" s="1668">
        <f t="shared" ref="P161:AI161" si="3030">SUM(P155:P160)</f>
        <v>0</v>
      </c>
      <c r="Q161" s="1668">
        <f t="shared" si="3030"/>
        <v>0</v>
      </c>
      <c r="R161" s="1668">
        <f t="shared" si="3030"/>
        <v>0</v>
      </c>
      <c r="S161" s="1668">
        <f t="shared" si="3030"/>
        <v>0</v>
      </c>
      <c r="T161" s="1668">
        <f t="shared" si="3030"/>
        <v>0</v>
      </c>
      <c r="U161" s="1668">
        <f t="shared" si="3030"/>
        <v>0</v>
      </c>
      <c r="V161" s="1668">
        <f t="shared" si="3030"/>
        <v>0</v>
      </c>
      <c r="W161" s="1668">
        <f t="shared" si="3030"/>
        <v>0</v>
      </c>
      <c r="X161" s="1668">
        <f t="shared" si="3030"/>
        <v>0</v>
      </c>
      <c r="Y161" s="1668">
        <f t="shared" si="3030"/>
        <v>0</v>
      </c>
      <c r="Z161" s="1668">
        <f t="shared" si="3030"/>
        <v>0</v>
      </c>
      <c r="AA161" s="1668">
        <f t="shared" si="3030"/>
        <v>0</v>
      </c>
      <c r="AB161" s="1668">
        <f t="shared" si="3030"/>
        <v>0</v>
      </c>
      <c r="AC161" s="1668">
        <f t="shared" si="3030"/>
        <v>0</v>
      </c>
      <c r="AD161" s="1668">
        <f t="shared" si="3030"/>
        <v>0</v>
      </c>
      <c r="AE161" s="1668">
        <f t="shared" si="3030"/>
        <v>0</v>
      </c>
      <c r="AF161" s="1668">
        <f t="shared" si="3030"/>
        <v>0</v>
      </c>
      <c r="AG161" s="1668">
        <f t="shared" si="3030"/>
        <v>0</v>
      </c>
      <c r="AH161" s="1668">
        <f t="shared" si="3030"/>
        <v>0</v>
      </c>
      <c r="AI161" s="1668">
        <f t="shared" si="3030"/>
        <v>0</v>
      </c>
      <c r="AJ161" s="1668">
        <f t="shared" ref="AJ161:AT161" si="3031">+SUM(AJ155:AJ160)</f>
        <v>0</v>
      </c>
      <c r="AK161" s="1668">
        <f t="shared" si="3031"/>
        <v>0</v>
      </c>
      <c r="AL161" s="1668">
        <f t="shared" si="3031"/>
        <v>0</v>
      </c>
      <c r="AM161" s="1668">
        <f t="shared" si="3031"/>
        <v>0</v>
      </c>
      <c r="AN161" s="1668">
        <f t="shared" si="3031"/>
        <v>0</v>
      </c>
      <c r="AO161" s="1668">
        <f t="shared" si="3031"/>
        <v>0</v>
      </c>
      <c r="AP161" s="1668">
        <f t="shared" si="3031"/>
        <v>0</v>
      </c>
      <c r="AQ161" s="1668">
        <f t="shared" si="3031"/>
        <v>0</v>
      </c>
      <c r="AR161" s="1668">
        <f t="shared" si="3031"/>
        <v>0</v>
      </c>
      <c r="AS161" s="1668">
        <f t="shared" si="3031"/>
        <v>0</v>
      </c>
      <c r="AT161" s="1668">
        <f t="shared" si="3031"/>
        <v>0</v>
      </c>
      <c r="AU161" s="1669"/>
      <c r="AV161" s="1668">
        <f t="shared" ref="AV161:BV161" si="3032">+SUM(AV155:AV160)</f>
        <v>22000</v>
      </c>
      <c r="AW161" s="1668">
        <f t="shared" si="3032"/>
        <v>33309.949999999997</v>
      </c>
      <c r="AX161" s="1668">
        <f t="shared" si="3032"/>
        <v>0</v>
      </c>
      <c r="AY161" s="1668">
        <f t="shared" si="3032"/>
        <v>0</v>
      </c>
      <c r="AZ161" s="1668">
        <f t="shared" si="3032"/>
        <v>0</v>
      </c>
      <c r="BA161" s="1668">
        <f t="shared" si="3032"/>
        <v>0</v>
      </c>
      <c r="BB161" s="1668">
        <f t="shared" si="3032"/>
        <v>0</v>
      </c>
      <c r="BC161" s="1668">
        <f t="shared" si="3032"/>
        <v>2787.4000000000005</v>
      </c>
      <c r="BD161" s="1668">
        <f t="shared" si="3032"/>
        <v>58097.35</v>
      </c>
      <c r="BE161" s="1668">
        <f t="shared" si="3032"/>
        <v>24701.38</v>
      </c>
      <c r="BF161" s="1668">
        <f t="shared" si="3032"/>
        <v>20204.599999999999</v>
      </c>
      <c r="BG161" s="1668">
        <f t="shared" si="3032"/>
        <v>0</v>
      </c>
      <c r="BH161" s="1668">
        <f t="shared" si="3032"/>
        <v>0</v>
      </c>
      <c r="BI161" s="1668">
        <f t="shared" si="3032"/>
        <v>0</v>
      </c>
      <c r="BJ161" s="1668">
        <f t="shared" si="3032"/>
        <v>0</v>
      </c>
      <c r="BK161" s="1668">
        <f t="shared" si="3032"/>
        <v>0</v>
      </c>
      <c r="BL161" s="1668">
        <f t="shared" si="3032"/>
        <v>3129.6648460000006</v>
      </c>
      <c r="BM161" s="1668">
        <f t="shared" si="3032"/>
        <v>48035.644845999996</v>
      </c>
      <c r="BN161" s="1668">
        <f t="shared" si="3032"/>
        <v>2075</v>
      </c>
      <c r="BO161" s="1668">
        <f t="shared" si="3032"/>
        <v>750</v>
      </c>
      <c r="BP161" s="1668">
        <f t="shared" si="3032"/>
        <v>0</v>
      </c>
      <c r="BQ161" s="1668">
        <f t="shared" si="3032"/>
        <v>0</v>
      </c>
      <c r="BR161" s="1668">
        <f t="shared" si="3032"/>
        <v>0</v>
      </c>
      <c r="BS161" s="1668">
        <f t="shared" si="3032"/>
        <v>0</v>
      </c>
      <c r="BT161" s="1668">
        <f t="shared" si="3032"/>
        <v>0</v>
      </c>
      <c r="BU161" s="1668">
        <f t="shared" si="3032"/>
        <v>262.90250000000003</v>
      </c>
      <c r="BV161" s="1668">
        <f t="shared" si="3032"/>
        <v>3087.9025000000001</v>
      </c>
      <c r="BW161" s="1670">
        <f t="shared" ref="BW161:CN161" si="3033">SUM(BW155:BW160)</f>
        <v>0</v>
      </c>
      <c r="BX161" s="1670">
        <f t="shared" si="3033"/>
        <v>0</v>
      </c>
      <c r="BY161" s="1670">
        <f t="shared" si="3033"/>
        <v>0</v>
      </c>
      <c r="BZ161" s="1670">
        <f t="shared" si="3033"/>
        <v>0</v>
      </c>
      <c r="CA161" s="1670">
        <f t="shared" si="3033"/>
        <v>0</v>
      </c>
      <c r="CB161" s="1670">
        <f t="shared" si="3033"/>
        <v>0</v>
      </c>
      <c r="CC161" s="1670">
        <f t="shared" si="3033"/>
        <v>0</v>
      </c>
      <c r="CD161" s="1670">
        <f t="shared" si="3033"/>
        <v>0</v>
      </c>
      <c r="CE161" s="1670">
        <f t="shared" si="3033"/>
        <v>0</v>
      </c>
      <c r="CF161" s="1670">
        <f t="shared" si="3033"/>
        <v>0</v>
      </c>
      <c r="CG161" s="1670">
        <f t="shared" si="3033"/>
        <v>0</v>
      </c>
      <c r="CH161" s="1670">
        <f t="shared" si="3033"/>
        <v>0</v>
      </c>
      <c r="CI161" s="1670">
        <f t="shared" si="3033"/>
        <v>0</v>
      </c>
      <c r="CJ161" s="1670">
        <f t="shared" si="3033"/>
        <v>0</v>
      </c>
      <c r="CK161" s="1670">
        <f t="shared" si="3033"/>
        <v>0</v>
      </c>
      <c r="CL161" s="1670">
        <f t="shared" si="3033"/>
        <v>0</v>
      </c>
      <c r="CM161" s="1670">
        <f t="shared" si="3033"/>
        <v>0</v>
      </c>
      <c r="CN161" s="1670">
        <f t="shared" si="3033"/>
        <v>0</v>
      </c>
      <c r="CO161" s="1339"/>
      <c r="CP161" s="1551"/>
      <c r="CQ161" s="1671">
        <f t="shared" ref="CQ161:EI161" si="3034">+SUM(CQ155:CQ160)</f>
        <v>22000</v>
      </c>
      <c r="CR161" s="1672">
        <f t="shared" si="3034"/>
        <v>33309.949999999997</v>
      </c>
      <c r="CS161" s="1672">
        <f t="shared" si="3034"/>
        <v>0</v>
      </c>
      <c r="CT161" s="1672">
        <f t="shared" si="3034"/>
        <v>0</v>
      </c>
      <c r="CU161" s="1672">
        <f t="shared" si="3034"/>
        <v>0</v>
      </c>
      <c r="CV161" s="1672">
        <f t="shared" si="3034"/>
        <v>0</v>
      </c>
      <c r="CW161" s="1672">
        <f t="shared" si="3034"/>
        <v>0</v>
      </c>
      <c r="CX161" s="1672">
        <f t="shared" si="3034"/>
        <v>2787.4000000000005</v>
      </c>
      <c r="CY161" s="1672">
        <f t="shared" si="3034"/>
        <v>58097.35</v>
      </c>
      <c r="CZ161" s="1672">
        <f t="shared" si="3034"/>
        <v>26776.38</v>
      </c>
      <c r="DA161" s="1672">
        <f t="shared" si="3034"/>
        <v>20954.599999999999</v>
      </c>
      <c r="DB161" s="1672">
        <f t="shared" si="3034"/>
        <v>0</v>
      </c>
      <c r="DC161" s="1672">
        <f t="shared" si="3034"/>
        <v>0</v>
      </c>
      <c r="DD161" s="1672">
        <f t="shared" si="3034"/>
        <v>0</v>
      </c>
      <c r="DE161" s="1672">
        <f t="shared" si="3034"/>
        <v>0</v>
      </c>
      <c r="DF161" s="1672">
        <f t="shared" si="3034"/>
        <v>0</v>
      </c>
      <c r="DG161" s="1672">
        <f t="shared" si="3034"/>
        <v>3392.5673460000007</v>
      </c>
      <c r="DH161" s="1672">
        <f t="shared" si="3034"/>
        <v>51123.547345999999</v>
      </c>
      <c r="DI161" s="1672">
        <f t="shared" si="3034"/>
        <v>0</v>
      </c>
      <c r="DJ161" s="1672">
        <f t="shared" si="3034"/>
        <v>0</v>
      </c>
      <c r="DK161" s="1672">
        <f t="shared" si="3034"/>
        <v>0</v>
      </c>
      <c r="DL161" s="1672">
        <f t="shared" si="3034"/>
        <v>0</v>
      </c>
      <c r="DM161" s="1672">
        <f t="shared" si="3034"/>
        <v>0</v>
      </c>
      <c r="DN161" s="1672">
        <f t="shared" si="3034"/>
        <v>0</v>
      </c>
      <c r="DO161" s="1672">
        <f t="shared" si="3034"/>
        <v>0</v>
      </c>
      <c r="DP161" s="1672">
        <f t="shared" si="3034"/>
        <v>0</v>
      </c>
      <c r="DQ161" s="1672">
        <f t="shared" si="3034"/>
        <v>0</v>
      </c>
      <c r="DR161" s="1670">
        <f t="shared" si="3034"/>
        <v>0</v>
      </c>
      <c r="DS161" s="1670">
        <f t="shared" si="3034"/>
        <v>0</v>
      </c>
      <c r="DT161" s="1670">
        <f t="shared" si="3034"/>
        <v>0</v>
      </c>
      <c r="DU161" s="1670">
        <f t="shared" si="3034"/>
        <v>0</v>
      </c>
      <c r="DV161" s="1670">
        <f t="shared" si="3034"/>
        <v>0</v>
      </c>
      <c r="DW161" s="1670">
        <f t="shared" si="3034"/>
        <v>0</v>
      </c>
      <c r="DX161" s="1670">
        <f t="shared" si="3034"/>
        <v>0</v>
      </c>
      <c r="DY161" s="1670">
        <f t="shared" si="3034"/>
        <v>0</v>
      </c>
      <c r="DZ161" s="1670">
        <f t="shared" si="3034"/>
        <v>0</v>
      </c>
      <c r="EA161" s="1670">
        <f t="shared" si="3034"/>
        <v>0</v>
      </c>
      <c r="EB161" s="1670">
        <f t="shared" si="3034"/>
        <v>0</v>
      </c>
      <c r="EC161" s="1670">
        <f t="shared" si="3034"/>
        <v>0</v>
      </c>
      <c r="ED161" s="1670">
        <f t="shared" si="3034"/>
        <v>0</v>
      </c>
      <c r="EE161" s="1670">
        <f t="shared" si="3034"/>
        <v>0</v>
      </c>
      <c r="EF161" s="1670">
        <f t="shared" si="3034"/>
        <v>0</v>
      </c>
      <c r="EG161" s="1670">
        <f t="shared" si="3034"/>
        <v>0</v>
      </c>
      <c r="EH161" s="1670">
        <f t="shared" si="3034"/>
        <v>0</v>
      </c>
      <c r="EI161" s="1670">
        <f t="shared" si="3034"/>
        <v>0</v>
      </c>
      <c r="EJ161" s="1339"/>
      <c r="EK161" s="1672">
        <f t="shared" ref="EK161:ET161" si="3035">SUM(EK155:EK160)</f>
        <v>2985.77</v>
      </c>
      <c r="EL161" s="1672">
        <f t="shared" si="3035"/>
        <v>5247.52</v>
      </c>
      <c r="EM161" s="1672">
        <f t="shared" si="3035"/>
        <v>537</v>
      </c>
      <c r="EN161" s="1586">
        <f t="shared" si="3035"/>
        <v>154.25</v>
      </c>
      <c r="EO161" s="1672">
        <f t="shared" si="3035"/>
        <v>0</v>
      </c>
      <c r="EP161" s="1672">
        <f t="shared" si="3035"/>
        <v>500</v>
      </c>
      <c r="EQ161" s="1672">
        <f t="shared" si="3035"/>
        <v>2087.5</v>
      </c>
      <c r="ER161" s="1672">
        <f t="shared" si="3035"/>
        <v>0</v>
      </c>
      <c r="ES161" s="1672">
        <f t="shared" si="3035"/>
        <v>0</v>
      </c>
      <c r="ET161" s="1672">
        <f t="shared" si="3035"/>
        <v>2587.5</v>
      </c>
      <c r="EV161" s="1672">
        <f t="shared" ref="EV161:FE161" si="3036">+SUM(EV155:EV160)</f>
        <v>2985.77</v>
      </c>
      <c r="EW161" s="1672">
        <f t="shared" si="3036"/>
        <v>5247.52</v>
      </c>
      <c r="EX161" s="1672">
        <f t="shared" si="3036"/>
        <v>537</v>
      </c>
      <c r="EY161" s="1672">
        <f t="shared" si="3036"/>
        <v>154.25</v>
      </c>
      <c r="EZ161" s="1672">
        <f t="shared" si="3036"/>
        <v>0</v>
      </c>
      <c r="FA161" s="1672">
        <f t="shared" si="3036"/>
        <v>500</v>
      </c>
      <c r="FB161" s="1672">
        <f t="shared" si="3036"/>
        <v>2087.5</v>
      </c>
      <c r="FC161" s="1672">
        <f t="shared" si="3036"/>
        <v>0</v>
      </c>
      <c r="FD161" s="1672">
        <f t="shared" si="3036"/>
        <v>0</v>
      </c>
      <c r="FE161" s="1672">
        <f t="shared" si="3036"/>
        <v>2587.5</v>
      </c>
      <c r="FF161" s="1448"/>
      <c r="FG161" s="1448"/>
      <c r="FH161" s="1448"/>
      <c r="FI161" s="1448"/>
      <c r="FJ161" s="1448"/>
      <c r="FK161" s="1448"/>
      <c r="FL161" s="1441">
        <f t="shared" si="2482"/>
        <v>0</v>
      </c>
    </row>
    <row r="162" spans="1:260" s="1444" customFormat="1" ht="15.75" customHeight="1" outlineLevel="1" thickTop="1">
      <c r="A162" s="1403"/>
      <c r="B162" s="1442"/>
      <c r="C162" s="1403" t="s">
        <v>709</v>
      </c>
      <c r="D162" s="1414"/>
      <c r="E162" s="1450"/>
      <c r="I162" s="1445"/>
      <c r="J162" s="1414"/>
      <c r="K162" s="1445"/>
      <c r="L162" s="1445"/>
      <c r="M162" s="1546"/>
      <c r="N162" s="1546"/>
      <c r="O162" s="1673"/>
      <c r="P162" s="1452"/>
      <c r="R162" s="1452"/>
      <c r="T162" s="1452"/>
      <c r="V162" s="1452"/>
      <c r="X162" s="1452"/>
      <c r="Z162" s="1453"/>
      <c r="AB162" s="1453"/>
      <c r="AD162" s="1453"/>
      <c r="AH162" s="1453"/>
      <c r="AO162" s="1451"/>
      <c r="AU162" s="1414"/>
      <c r="BM162" s="1451"/>
      <c r="CO162" s="1414"/>
      <c r="CP162" s="1414"/>
      <c r="EJ162" s="1414"/>
      <c r="EK162" s="1403"/>
      <c r="EL162" s="1414"/>
      <c r="EM162" s="1414"/>
      <c r="EN162" s="330"/>
      <c r="EO162" s="1414"/>
      <c r="EP162" s="1414"/>
      <c r="EQ162" s="1414"/>
      <c r="ER162" s="1414"/>
      <c r="ES162" s="1339"/>
      <c r="ET162" s="1414"/>
      <c r="EU162" s="1414"/>
      <c r="EV162" s="1414"/>
      <c r="EW162" s="1414"/>
      <c r="EX162" s="1414"/>
      <c r="EY162" s="1414"/>
      <c r="EZ162" s="1414">
        <f t="shared" ref="EZ162:FA163" si="3037">IF($H162&lt;=15,EO162/2,EO162)</f>
        <v>0</v>
      </c>
      <c r="FA162" s="1414">
        <f t="shared" si="3037"/>
        <v>0</v>
      </c>
      <c r="FB162" s="1414">
        <f>IF($H162&lt;=15,EQ162/2,EQ162)</f>
        <v>0</v>
      </c>
      <c r="FC162" s="1414"/>
      <c r="FD162" s="1414"/>
      <c r="FE162" s="1414"/>
      <c r="FF162" s="1674"/>
      <c r="FG162" s="1674"/>
      <c r="FH162" s="1674"/>
      <c r="FI162" s="1674"/>
      <c r="FJ162" s="1674"/>
      <c r="FK162" s="1674"/>
      <c r="FL162" s="1414">
        <f t="shared" si="2482"/>
        <v>0</v>
      </c>
      <c r="FM162" s="1414"/>
      <c r="FN162" s="1414"/>
      <c r="FO162" s="1414"/>
      <c r="FP162" s="1414"/>
      <c r="FQ162" s="1414"/>
      <c r="FR162" s="1414"/>
      <c r="FS162" s="1414"/>
      <c r="FT162" s="1414"/>
      <c r="FU162" s="1414"/>
      <c r="FV162" s="1414"/>
      <c r="FW162" s="1414"/>
      <c r="FX162" s="1414"/>
      <c r="FY162" s="1414"/>
      <c r="FZ162" s="1414"/>
      <c r="GA162" s="1414"/>
      <c r="GB162" s="1414"/>
      <c r="GC162" s="1414"/>
      <c r="GD162" s="1414"/>
      <c r="GE162" s="1414"/>
      <c r="GF162" s="1414"/>
      <c r="GG162" s="1414"/>
      <c r="GH162" s="1414"/>
      <c r="GI162" s="1414"/>
      <c r="GJ162" s="1414"/>
      <c r="GK162" s="1414"/>
      <c r="GL162" s="1414"/>
      <c r="GM162" s="1414"/>
      <c r="GN162" s="1414"/>
      <c r="GO162" s="1414"/>
      <c r="GP162" s="1414"/>
      <c r="GQ162" s="1414"/>
      <c r="GR162" s="1414"/>
      <c r="GS162" s="1414"/>
      <c r="GT162" s="1414"/>
      <c r="GU162" s="1414"/>
      <c r="GV162" s="1414"/>
      <c r="GW162" s="1414"/>
      <c r="GX162" s="1414"/>
      <c r="GY162" s="1414"/>
      <c r="GZ162" s="1414"/>
      <c r="HA162" s="1414"/>
      <c r="HB162" s="1414"/>
      <c r="HC162" s="1414"/>
      <c r="HD162" s="1414"/>
      <c r="HE162" s="1414"/>
      <c r="HF162" s="1414"/>
      <c r="HG162" s="1414"/>
      <c r="HH162" s="1414"/>
      <c r="HI162" s="1414"/>
      <c r="HJ162" s="1414"/>
      <c r="HK162" s="1414"/>
      <c r="HL162" s="1414"/>
      <c r="HM162" s="1414"/>
      <c r="HN162" s="1414"/>
      <c r="HO162" s="1414"/>
      <c r="HP162" s="1414"/>
      <c r="HQ162" s="1414"/>
      <c r="HR162" s="1414"/>
      <c r="HS162" s="1414"/>
      <c r="HT162" s="1414"/>
      <c r="HU162" s="1414"/>
      <c r="HV162" s="1414"/>
      <c r="HW162" s="1414"/>
      <c r="HX162" s="1414"/>
      <c r="HY162" s="1414"/>
      <c r="HZ162" s="1414"/>
      <c r="IA162" s="1414"/>
      <c r="IB162" s="1414"/>
      <c r="IC162" s="1414"/>
      <c r="ID162" s="1414"/>
      <c r="IE162" s="1414"/>
      <c r="IF162" s="1414"/>
      <c r="IG162" s="1414"/>
      <c r="IH162" s="1414"/>
      <c r="II162" s="1414"/>
      <c r="IJ162" s="1414"/>
      <c r="IK162" s="1414"/>
      <c r="IL162" s="1414"/>
      <c r="IM162" s="1414"/>
      <c r="IN162" s="1414"/>
      <c r="IO162" s="1414"/>
      <c r="IP162" s="1414"/>
      <c r="IQ162" s="1414"/>
      <c r="IR162" s="1414"/>
      <c r="IS162" s="1414"/>
      <c r="IT162" s="1414"/>
      <c r="IU162" s="1414"/>
      <c r="IV162" s="1414"/>
      <c r="IW162" s="1414"/>
      <c r="IX162" s="1414"/>
      <c r="IY162" s="1414"/>
      <c r="IZ162" s="1414"/>
    </row>
    <row r="163" spans="1:260" s="1464" customFormat="1" ht="15" customHeight="1" outlineLevel="1">
      <c r="A163" s="1663" t="e">
        <f>A160+1</f>
        <v>#REF!</v>
      </c>
      <c r="B163" s="213" t="s">
        <v>502</v>
      </c>
      <c r="C163" s="365" t="s">
        <v>414</v>
      </c>
      <c r="D163" s="363" t="s">
        <v>10</v>
      </c>
      <c r="E163" s="314">
        <v>6000</v>
      </c>
      <c r="F163" s="1431">
        <f>250</f>
        <v>250</v>
      </c>
      <c r="G163" s="1431">
        <f>+E163+F163</f>
        <v>6250</v>
      </c>
      <c r="H163" s="1971">
        <v>30</v>
      </c>
      <c r="I163" s="1494">
        <v>1</v>
      </c>
      <c r="J163" s="1432">
        <v>0</v>
      </c>
      <c r="K163" s="1432">
        <v>0</v>
      </c>
      <c r="L163" s="1432">
        <v>0</v>
      </c>
      <c r="M163" s="1432">
        <v>0</v>
      </c>
      <c r="N163" s="1432">
        <f>SUM(I163:M163)</f>
        <v>1</v>
      </c>
      <c r="O163" s="1464" t="s">
        <v>877</v>
      </c>
      <c r="P163" s="1535"/>
      <c r="Q163" s="355">
        <f>($E163/30/8*1.5)*P163</f>
        <v>0</v>
      </c>
      <c r="R163" s="366">
        <v>0</v>
      </c>
      <c r="S163" s="355">
        <f>($E163/30/8*2)*R163</f>
        <v>0</v>
      </c>
      <c r="T163" s="366"/>
      <c r="U163" s="355">
        <f>($E163/30/8*1.5)*T163</f>
        <v>0</v>
      </c>
      <c r="V163" s="366"/>
      <c r="W163" s="355">
        <f>($E163/30/8*2)*V163</f>
        <v>0</v>
      </c>
      <c r="X163" s="366"/>
      <c r="Y163" s="355">
        <f>(($E163/30/8)*1.5)*X163</f>
        <v>0</v>
      </c>
      <c r="Z163" s="1434"/>
      <c r="AA163" s="355">
        <f>(($E163/30/8)*2)*Z163</f>
        <v>0</v>
      </c>
      <c r="AB163" s="1434"/>
      <c r="AC163" s="355">
        <f>(($E163/30/8)*1.5)*AB163</f>
        <v>0</v>
      </c>
      <c r="AD163" s="1434"/>
      <c r="AE163" s="355">
        <f>(($E163/30/8)*2)*AD163</f>
        <v>0</v>
      </c>
      <c r="AF163" s="355"/>
      <c r="AG163" s="355">
        <f>(($E163/30/8)*1.5)*AF163</f>
        <v>0</v>
      </c>
      <c r="AH163" s="1434"/>
      <c r="AI163" s="355">
        <f>(($E163/30/8)*2)*AH163</f>
        <v>0</v>
      </c>
      <c r="AJ163" s="1431"/>
      <c r="AK163" s="1431"/>
      <c r="AL163" s="1431"/>
      <c r="AM163" s="1431"/>
      <c r="AN163" s="1431"/>
      <c r="AO163" s="1431"/>
      <c r="AP163" s="1431"/>
      <c r="AQ163" s="1431"/>
      <c r="AR163" s="1431"/>
      <c r="AS163" s="1431"/>
      <c r="AT163" s="1431"/>
      <c r="AU163" s="1568"/>
      <c r="AV163" s="355">
        <f>((E163/30)*H163)*$I163</f>
        <v>6000</v>
      </c>
      <c r="AW163" s="1664">
        <f>((F163/30)*H163)*$I163+5250+12518.45</f>
        <v>18018.45</v>
      </c>
      <c r="AX163" s="355">
        <f t="shared" ref="AX163:BA163" si="3038">P163</f>
        <v>0</v>
      </c>
      <c r="AY163" s="355">
        <f t="shared" si="3038"/>
        <v>0</v>
      </c>
      <c r="AZ163" s="355">
        <f t="shared" si="3038"/>
        <v>0</v>
      </c>
      <c r="BA163" s="355">
        <f t="shared" si="3038"/>
        <v>0</v>
      </c>
      <c r="BB163" s="355">
        <f>AJ163+AO163</f>
        <v>0</v>
      </c>
      <c r="BC163" s="355">
        <f>(AV163+AY163+BA163)*0.1267</f>
        <v>760.2</v>
      </c>
      <c r="BD163" s="1461">
        <f>SUM(AV163:BC163)-AX163-AZ163</f>
        <v>24778.65</v>
      </c>
      <c r="BE163" s="355">
        <f>(($E163/30)*$H163)*$J163</f>
        <v>0</v>
      </c>
      <c r="BF163" s="1664">
        <f>(($F163/30)*$H163)*$J163+18.08</f>
        <v>18.079999999999998</v>
      </c>
      <c r="BG163" s="355">
        <f>T163</f>
        <v>0</v>
      </c>
      <c r="BH163" s="355">
        <f>U163</f>
        <v>0</v>
      </c>
      <c r="BI163" s="355"/>
      <c r="BJ163" s="355">
        <f>W163</f>
        <v>0</v>
      </c>
      <c r="BK163" s="355">
        <v>0</v>
      </c>
      <c r="BL163" s="355">
        <f>(+BE163+BH163+BJ163+BK163)*0.1267</f>
        <v>0</v>
      </c>
      <c r="BM163" s="1431">
        <f>SUM(BE163:BL163)-BG163-BI163</f>
        <v>18.079999999999998</v>
      </c>
      <c r="BN163" s="355">
        <f>(($E163/30)*$H163)*$K163</f>
        <v>0</v>
      </c>
      <c r="BO163" s="355">
        <f>(($F163/30)*$H163)*$K163</f>
        <v>0</v>
      </c>
      <c r="BP163" s="355">
        <f t="shared" ref="BP163:BR163" si="3039">X163</f>
        <v>0</v>
      </c>
      <c r="BQ163" s="355">
        <f t="shared" si="3039"/>
        <v>0</v>
      </c>
      <c r="BR163" s="355">
        <f t="shared" si="3039"/>
        <v>0</v>
      </c>
      <c r="BS163" s="355">
        <f>AA163</f>
        <v>0</v>
      </c>
      <c r="BT163" s="355">
        <f>AL163+AQ163</f>
        <v>0</v>
      </c>
      <c r="BU163" s="355">
        <f>(BN163+BQ163+BS163)*0.1267</f>
        <v>0</v>
      </c>
      <c r="BV163" s="355">
        <f>SUM(BN163:BU163)-BP163-BR163</f>
        <v>0</v>
      </c>
      <c r="BW163" s="1675">
        <f>(($E163/30)*$H163)*$L163</f>
        <v>0</v>
      </c>
      <c r="BX163" s="1676">
        <f>(($F163/30)*$H163)*$L163</f>
        <v>0</v>
      </c>
      <c r="BY163" s="1676">
        <f t="shared" ref="BY163:CB163" si="3040">AB163</f>
        <v>0</v>
      </c>
      <c r="BZ163" s="1676">
        <f t="shared" si="3040"/>
        <v>0</v>
      </c>
      <c r="CA163" s="1676">
        <f t="shared" si="3040"/>
        <v>0</v>
      </c>
      <c r="CB163" s="1676">
        <f t="shared" si="3040"/>
        <v>0</v>
      </c>
      <c r="CC163" s="1676">
        <f>AM163+AR163</f>
        <v>0</v>
      </c>
      <c r="CD163" s="1676">
        <f>(BW163+BZ163+CB163)*0.1267</f>
        <v>0</v>
      </c>
      <c r="CE163" s="1676">
        <f>SUM(BW163:CD163)-BY163-CA163</f>
        <v>0</v>
      </c>
      <c r="CF163" s="1676">
        <f>(($E163/30)*$H163)*M163</f>
        <v>0</v>
      </c>
      <c r="CG163" s="1676">
        <f>(($F163/30)*$H163)*$M163</f>
        <v>0</v>
      </c>
      <c r="CH163" s="1676">
        <f>+AF163</f>
        <v>0</v>
      </c>
      <c r="CI163" s="1676">
        <f t="shared" ref="CI163:CK163" si="3041">AG163</f>
        <v>0</v>
      </c>
      <c r="CJ163" s="1676">
        <f t="shared" si="3041"/>
        <v>0</v>
      </c>
      <c r="CK163" s="1676">
        <f t="shared" si="3041"/>
        <v>0</v>
      </c>
      <c r="CL163" s="1676">
        <f>AN163+AS163</f>
        <v>0</v>
      </c>
      <c r="CM163" s="1676">
        <f>(CF163+CI163+CK163)*0.1267</f>
        <v>0</v>
      </c>
      <c r="CN163" s="1677">
        <f>SUM(CF163:CM163)-CH163-CJ163</f>
        <v>0</v>
      </c>
      <c r="CO163" s="1474"/>
      <c r="CP163" s="363" t="s">
        <v>10</v>
      </c>
      <c r="CQ163" s="355">
        <f t="shared" si="2963"/>
        <v>6000</v>
      </c>
      <c r="CR163" s="355">
        <f>IF($CP163="PROQUIMA",$AW163+$BF163+$BO163+$BX163+$CG163,0)</f>
        <v>18036.530000000002</v>
      </c>
      <c r="CS163" s="355">
        <f t="shared" si="2913"/>
        <v>0</v>
      </c>
      <c r="CT163" s="355">
        <f t="shared" si="2914"/>
        <v>0</v>
      </c>
      <c r="CU163" s="355">
        <f t="shared" si="2915"/>
        <v>0</v>
      </c>
      <c r="CV163" s="355">
        <f t="shared" si="2916"/>
        <v>0</v>
      </c>
      <c r="CW163" s="355">
        <f t="shared" si="2917"/>
        <v>0</v>
      </c>
      <c r="CX163" s="355">
        <f>IF($CP163="PROQUIMA",$BC163+$BL163+$BU163+$CD163+CM163,0)</f>
        <v>760.2</v>
      </c>
      <c r="CY163" s="355">
        <f>SUM(CQ163:CX163)-CS163-CU163</f>
        <v>24796.730000000003</v>
      </c>
      <c r="CZ163" s="355">
        <f t="shared" si="2920"/>
        <v>0</v>
      </c>
      <c r="DA163" s="355">
        <f t="shared" si="2921"/>
        <v>0</v>
      </c>
      <c r="DB163" s="355">
        <f t="shared" si="2922"/>
        <v>0</v>
      </c>
      <c r="DC163" s="355">
        <f t="shared" si="2923"/>
        <v>0</v>
      </c>
      <c r="DD163" s="355">
        <f t="shared" si="2924"/>
        <v>0</v>
      </c>
      <c r="DE163" s="355">
        <f t="shared" si="2925"/>
        <v>0</v>
      </c>
      <c r="DF163" s="355">
        <f t="shared" si="2926"/>
        <v>0</v>
      </c>
      <c r="DG163" s="355">
        <f t="shared" si="2927"/>
        <v>0</v>
      </c>
      <c r="DH163" s="355">
        <f>SUM(CZ163:DG163)-DB163-DD163</f>
        <v>0</v>
      </c>
      <c r="DI163" s="355">
        <f>IF($CP163="UNHESA LIQUIDOS",$AV163+$BE163+$BN163+$BW163+$CF163,0)</f>
        <v>0</v>
      </c>
      <c r="DJ163" s="355">
        <f>IF($CP163="UNHESA LIQUIDOS",$AW163+$BF163+$BO163+$BX163+$CG163,0)</f>
        <v>0</v>
      </c>
      <c r="DK163" s="1678">
        <f>IF($CP163="UNHESA LIQUIDOS",$AX163+$BG163+$BP163+$BY163+$CH163,0)</f>
        <v>0</v>
      </c>
      <c r="DL163" s="355">
        <f>IF($CP163="UNHESA LIQUIDOS",$AY163+$BH163+$BQ163+$BZ163+$CI163,0)</f>
        <v>0</v>
      </c>
      <c r="DM163" s="355">
        <f>IF($CP163="UNHESA LIQUIDOS",$AZ163+$BI163+$BR163+$CA163+$CJ163,0)</f>
        <v>0</v>
      </c>
      <c r="DN163" s="355">
        <f>IF($CP163="UNHESA LIQUIDOS",$BA163+$BJ163+$BS163+$CB163+$CK163,0)</f>
        <v>0</v>
      </c>
      <c r="DO163" s="355">
        <f>IF($CP163="UNHESA LIQUIDOS",$BB163+$BK163+$BT163+$CC163+$CL163,0)</f>
        <v>0</v>
      </c>
      <c r="DP163" s="355">
        <f>IF($CP163="UNHESA LIQUIDOS",$BC163+$BL163+$BU163+$CD163+$CM163,0)</f>
        <v>0</v>
      </c>
      <c r="DQ163" s="355">
        <f>SUM(DI163:DP163)-DK163-DM163</f>
        <v>0</v>
      </c>
      <c r="DR163" s="1675">
        <f t="shared" si="2938"/>
        <v>0</v>
      </c>
      <c r="DS163" s="1676">
        <f t="shared" si="2939"/>
        <v>0</v>
      </c>
      <c r="DT163" s="1676">
        <f t="shared" si="2940"/>
        <v>0</v>
      </c>
      <c r="DU163" s="1676">
        <f t="shared" si="2941"/>
        <v>0</v>
      </c>
      <c r="DV163" s="1676">
        <f t="shared" si="2942"/>
        <v>0</v>
      </c>
      <c r="DW163" s="1676">
        <f t="shared" si="2943"/>
        <v>0</v>
      </c>
      <c r="DX163" s="1676">
        <f t="shared" si="2944"/>
        <v>0</v>
      </c>
      <c r="DY163" s="1676">
        <f t="shared" si="2945"/>
        <v>0</v>
      </c>
      <c r="DZ163" s="1676">
        <f>SUM(DR163:DY163)-DT163-DV163</f>
        <v>0</v>
      </c>
      <c r="EA163" s="1676">
        <f t="shared" si="2947"/>
        <v>0</v>
      </c>
      <c r="EB163" s="1676">
        <f t="shared" si="2948"/>
        <v>0</v>
      </c>
      <c r="EC163" s="1676">
        <f t="shared" si="2949"/>
        <v>0</v>
      </c>
      <c r="ED163" s="1676">
        <f t="shared" si="2950"/>
        <v>0</v>
      </c>
      <c r="EE163" s="1676">
        <f t="shared" si="2951"/>
        <v>0</v>
      </c>
      <c r="EF163" s="1676">
        <f t="shared" si="2952"/>
        <v>0</v>
      </c>
      <c r="EG163" s="1676">
        <f t="shared" si="2953"/>
        <v>0</v>
      </c>
      <c r="EH163" s="1676">
        <f t="shared" si="2954"/>
        <v>0</v>
      </c>
      <c r="EI163" s="1677">
        <f>SUM(EA163:EH163)-EC163-EE163</f>
        <v>0</v>
      </c>
      <c r="EJ163" s="1474"/>
      <c r="EK163" s="2201">
        <v>483.01</v>
      </c>
      <c r="EL163" s="1475"/>
      <c r="EM163" s="313"/>
      <c r="EN163" s="313"/>
      <c r="EO163" s="365"/>
      <c r="EP163" s="365">
        <v>75</v>
      </c>
      <c r="EQ163" s="1440"/>
      <c r="ER163" s="1440"/>
      <c r="ES163" s="1440"/>
      <c r="ET163" s="363">
        <f>+EO163+EP163+EQ163</f>
        <v>75</v>
      </c>
      <c r="EU163" s="1500"/>
      <c r="EV163" s="321">
        <f t="shared" ref="EV163:EY163" si="3042">IF($H163&lt;=15,EK163/2,EK163)</f>
        <v>483.01</v>
      </c>
      <c r="EW163" s="321">
        <f t="shared" si="3042"/>
        <v>0</v>
      </c>
      <c r="EX163" s="321">
        <f t="shared" si="3042"/>
        <v>0</v>
      </c>
      <c r="EY163" s="321">
        <f t="shared" si="3042"/>
        <v>0</v>
      </c>
      <c r="EZ163" s="321">
        <f t="shared" si="3037"/>
        <v>0</v>
      </c>
      <c r="FA163" s="321">
        <f t="shared" si="3037"/>
        <v>75</v>
      </c>
      <c r="FB163" s="321">
        <f>IF($H163&lt;=15,EQ163/2,EQ163)</f>
        <v>0</v>
      </c>
      <c r="FC163" s="321">
        <f t="shared" ref="FC163:FE163" si="3043">IF($H163&lt;=15,ER163/2,ER163)</f>
        <v>0</v>
      </c>
      <c r="FD163" s="321">
        <f t="shared" si="3043"/>
        <v>0</v>
      </c>
      <c r="FE163" s="321">
        <f t="shared" si="3043"/>
        <v>75</v>
      </c>
      <c r="FF163" s="364">
        <v>1</v>
      </c>
      <c r="FG163" s="364">
        <v>0</v>
      </c>
      <c r="FH163" s="364">
        <v>0</v>
      </c>
      <c r="FI163" s="364">
        <v>0</v>
      </c>
      <c r="FJ163" s="364">
        <v>0</v>
      </c>
      <c r="FK163" s="364">
        <v>1</v>
      </c>
      <c r="FL163" s="1441">
        <f t="shared" si="2482"/>
        <v>0</v>
      </c>
    </row>
    <row r="164" spans="1:260" s="1339" customFormat="1" ht="15.75" customHeight="1" outlineLevel="1" thickBot="1">
      <c r="A164" s="1403"/>
      <c r="B164" s="1348"/>
      <c r="C164" s="1405" t="s">
        <v>123</v>
      </c>
      <c r="E164" s="1584">
        <f>SUM(E163:E163)</f>
        <v>6000</v>
      </c>
      <c r="F164" s="1491">
        <f>SUM(F163:F163)</f>
        <v>250</v>
      </c>
      <c r="G164" s="1491">
        <f>SUM(G163:G163)</f>
        <v>6250</v>
      </c>
      <c r="H164" s="1491"/>
      <c r="I164" s="1563"/>
      <c r="J164" s="1563"/>
      <c r="K164" s="1563"/>
      <c r="L164" s="1563"/>
      <c r="M164" s="1563"/>
      <c r="N164" s="1563"/>
      <c r="P164" s="1678">
        <f t="shared" ref="P164:AT164" si="3044">SUM(P163:P163)</f>
        <v>0</v>
      </c>
      <c r="Q164" s="1678">
        <f t="shared" si="3044"/>
        <v>0</v>
      </c>
      <c r="R164" s="1678">
        <f t="shared" si="3044"/>
        <v>0</v>
      </c>
      <c r="S164" s="1678">
        <f t="shared" si="3044"/>
        <v>0</v>
      </c>
      <c r="T164" s="1678">
        <f t="shared" si="3044"/>
        <v>0</v>
      </c>
      <c r="U164" s="1678">
        <f t="shared" si="3044"/>
        <v>0</v>
      </c>
      <c r="V164" s="1678">
        <f t="shared" si="3044"/>
        <v>0</v>
      </c>
      <c r="W164" s="1678">
        <f t="shared" si="3044"/>
        <v>0</v>
      </c>
      <c r="X164" s="1678">
        <f t="shared" si="3044"/>
        <v>0</v>
      </c>
      <c r="Y164" s="1678">
        <f t="shared" si="3044"/>
        <v>0</v>
      </c>
      <c r="Z164" s="1678">
        <f t="shared" si="3044"/>
        <v>0</v>
      </c>
      <c r="AA164" s="1678">
        <f t="shared" si="3044"/>
        <v>0</v>
      </c>
      <c r="AB164" s="1678">
        <f t="shared" si="3044"/>
        <v>0</v>
      </c>
      <c r="AC164" s="1678">
        <f t="shared" si="3044"/>
        <v>0</v>
      </c>
      <c r="AD164" s="1678">
        <f t="shared" si="3044"/>
        <v>0</v>
      </c>
      <c r="AE164" s="1678">
        <f t="shared" si="3044"/>
        <v>0</v>
      </c>
      <c r="AF164" s="1678">
        <f t="shared" si="3044"/>
        <v>0</v>
      </c>
      <c r="AG164" s="1678">
        <f t="shared" si="3044"/>
        <v>0</v>
      </c>
      <c r="AH164" s="1678">
        <f t="shared" si="3044"/>
        <v>0</v>
      </c>
      <c r="AI164" s="1678">
        <f t="shared" si="3044"/>
        <v>0</v>
      </c>
      <c r="AJ164" s="1678">
        <f t="shared" si="3044"/>
        <v>0</v>
      </c>
      <c r="AK164" s="1678">
        <f t="shared" si="3044"/>
        <v>0</v>
      </c>
      <c r="AL164" s="1678">
        <f t="shared" si="3044"/>
        <v>0</v>
      </c>
      <c r="AM164" s="1678">
        <f t="shared" si="3044"/>
        <v>0</v>
      </c>
      <c r="AN164" s="1678">
        <f t="shared" si="3044"/>
        <v>0</v>
      </c>
      <c r="AO164" s="1678">
        <f t="shared" si="3044"/>
        <v>0</v>
      </c>
      <c r="AP164" s="1678">
        <f t="shared" si="3044"/>
        <v>0</v>
      </c>
      <c r="AQ164" s="1678">
        <f t="shared" si="3044"/>
        <v>0</v>
      </c>
      <c r="AR164" s="1678">
        <f t="shared" si="3044"/>
        <v>0</v>
      </c>
      <c r="AS164" s="1678">
        <f t="shared" si="3044"/>
        <v>0</v>
      </c>
      <c r="AT164" s="1678">
        <f t="shared" si="3044"/>
        <v>0</v>
      </c>
      <c r="AU164" s="1678" t="s">
        <v>54</v>
      </c>
      <c r="AV164" s="1678">
        <f t="shared" ref="AV164:CN164" si="3045">SUM(AV163:AV163)</f>
        <v>6000</v>
      </c>
      <c r="AW164" s="1678">
        <f t="shared" si="3045"/>
        <v>18018.45</v>
      </c>
      <c r="AX164" s="1678">
        <f t="shared" si="3045"/>
        <v>0</v>
      </c>
      <c r="AY164" s="1678">
        <f t="shared" si="3045"/>
        <v>0</v>
      </c>
      <c r="AZ164" s="1678">
        <f t="shared" si="3045"/>
        <v>0</v>
      </c>
      <c r="BA164" s="1678">
        <f t="shared" si="3045"/>
        <v>0</v>
      </c>
      <c r="BB164" s="1678">
        <f t="shared" si="3045"/>
        <v>0</v>
      </c>
      <c r="BC164" s="1678">
        <f t="shared" si="3045"/>
        <v>760.2</v>
      </c>
      <c r="BD164" s="1678">
        <f t="shared" si="3045"/>
        <v>24778.65</v>
      </c>
      <c r="BE164" s="1678">
        <f t="shared" si="3045"/>
        <v>0</v>
      </c>
      <c r="BF164" s="355">
        <f>SUM(BF163:BF163)</f>
        <v>18.079999999999998</v>
      </c>
      <c r="BG164" s="1678">
        <f t="shared" si="3045"/>
        <v>0</v>
      </c>
      <c r="BH164" s="1678">
        <f t="shared" si="3045"/>
        <v>0</v>
      </c>
      <c r="BI164" s="1678">
        <f t="shared" si="3045"/>
        <v>0</v>
      </c>
      <c r="BJ164" s="1678">
        <f t="shared" si="3045"/>
        <v>0</v>
      </c>
      <c r="BK164" s="1678">
        <f t="shared" si="3045"/>
        <v>0</v>
      </c>
      <c r="BL164" s="1678">
        <f t="shared" si="3045"/>
        <v>0</v>
      </c>
      <c r="BM164" s="1678">
        <f t="shared" si="3045"/>
        <v>18.079999999999998</v>
      </c>
      <c r="BN164" s="1678">
        <f t="shared" si="3045"/>
        <v>0</v>
      </c>
      <c r="BO164" s="1678">
        <f t="shared" si="3045"/>
        <v>0</v>
      </c>
      <c r="BP164" s="1678">
        <f t="shared" si="3045"/>
        <v>0</v>
      </c>
      <c r="BQ164" s="1678">
        <f t="shared" si="3045"/>
        <v>0</v>
      </c>
      <c r="BR164" s="1678">
        <f t="shared" si="3045"/>
        <v>0</v>
      </c>
      <c r="BS164" s="1678">
        <f t="shared" si="3045"/>
        <v>0</v>
      </c>
      <c r="BT164" s="1678">
        <f t="shared" si="3045"/>
        <v>0</v>
      </c>
      <c r="BU164" s="1678">
        <f t="shared" si="3045"/>
        <v>0</v>
      </c>
      <c r="BV164" s="1678">
        <f t="shared" si="3045"/>
        <v>0</v>
      </c>
      <c r="BW164" s="1491">
        <f t="shared" si="3045"/>
        <v>0</v>
      </c>
      <c r="BX164" s="1491">
        <f t="shared" si="3045"/>
        <v>0</v>
      </c>
      <c r="BY164" s="1491">
        <f t="shared" si="3045"/>
        <v>0</v>
      </c>
      <c r="BZ164" s="1491">
        <f t="shared" si="3045"/>
        <v>0</v>
      </c>
      <c r="CA164" s="1491">
        <f t="shared" si="3045"/>
        <v>0</v>
      </c>
      <c r="CB164" s="1491">
        <f t="shared" si="3045"/>
        <v>0</v>
      </c>
      <c r="CC164" s="1491">
        <f t="shared" si="3045"/>
        <v>0</v>
      </c>
      <c r="CD164" s="1491">
        <f t="shared" si="3045"/>
        <v>0</v>
      </c>
      <c r="CE164" s="1491">
        <f t="shared" si="3045"/>
        <v>0</v>
      </c>
      <c r="CF164" s="1491">
        <f t="shared" si="3045"/>
        <v>0</v>
      </c>
      <c r="CG164" s="1491">
        <f t="shared" si="3045"/>
        <v>0</v>
      </c>
      <c r="CH164" s="1491">
        <f t="shared" si="3045"/>
        <v>0</v>
      </c>
      <c r="CI164" s="1491">
        <f t="shared" si="3045"/>
        <v>0</v>
      </c>
      <c r="CJ164" s="1491">
        <f t="shared" si="3045"/>
        <v>0</v>
      </c>
      <c r="CK164" s="1491">
        <f t="shared" si="3045"/>
        <v>0</v>
      </c>
      <c r="CL164" s="1491">
        <f t="shared" si="3045"/>
        <v>0</v>
      </c>
      <c r="CM164" s="1491">
        <f t="shared" si="3045"/>
        <v>0</v>
      </c>
      <c r="CN164" s="1491">
        <f t="shared" si="3045"/>
        <v>0</v>
      </c>
      <c r="CO164" s="1491" t="s">
        <v>54</v>
      </c>
      <c r="CP164" s="1678">
        <f t="shared" ref="CP164:DU164" si="3046">SUM(CP163:CP163)</f>
        <v>0</v>
      </c>
      <c r="CQ164" s="1668">
        <f t="shared" si="3046"/>
        <v>6000</v>
      </c>
      <c r="CR164" s="1668">
        <f t="shared" si="3046"/>
        <v>18036.530000000002</v>
      </c>
      <c r="CS164" s="1668">
        <f t="shared" si="3046"/>
        <v>0</v>
      </c>
      <c r="CT164" s="1668">
        <f t="shared" si="3046"/>
        <v>0</v>
      </c>
      <c r="CU164" s="1668">
        <f t="shared" si="3046"/>
        <v>0</v>
      </c>
      <c r="CV164" s="1668">
        <f t="shared" si="3046"/>
        <v>0</v>
      </c>
      <c r="CW164" s="1668">
        <f t="shared" si="3046"/>
        <v>0</v>
      </c>
      <c r="CX164" s="1668">
        <f t="shared" si="3046"/>
        <v>760.2</v>
      </c>
      <c r="CY164" s="1668">
        <f t="shared" si="3046"/>
        <v>24796.730000000003</v>
      </c>
      <c r="CZ164" s="1668">
        <f t="shared" si="3046"/>
        <v>0</v>
      </c>
      <c r="DA164" s="1668">
        <f t="shared" si="3046"/>
        <v>0</v>
      </c>
      <c r="DB164" s="1668">
        <f t="shared" si="3046"/>
        <v>0</v>
      </c>
      <c r="DC164" s="1668">
        <f t="shared" si="3046"/>
        <v>0</v>
      </c>
      <c r="DD164" s="1668">
        <f t="shared" si="3046"/>
        <v>0</v>
      </c>
      <c r="DE164" s="1668">
        <f t="shared" si="3046"/>
        <v>0</v>
      </c>
      <c r="DF164" s="1668">
        <f t="shared" si="3046"/>
        <v>0</v>
      </c>
      <c r="DG164" s="1668">
        <f t="shared" si="3046"/>
        <v>0</v>
      </c>
      <c r="DH164" s="1668">
        <f t="shared" si="3046"/>
        <v>0</v>
      </c>
      <c r="DI164" s="1668">
        <f t="shared" si="3046"/>
        <v>0</v>
      </c>
      <c r="DJ164" s="1668">
        <f t="shared" si="3046"/>
        <v>0</v>
      </c>
      <c r="DK164" s="1668">
        <f t="shared" si="3046"/>
        <v>0</v>
      </c>
      <c r="DL164" s="1668">
        <f t="shared" si="3046"/>
        <v>0</v>
      </c>
      <c r="DM164" s="1668">
        <f t="shared" si="3046"/>
        <v>0</v>
      </c>
      <c r="DN164" s="1668">
        <f t="shared" si="3046"/>
        <v>0</v>
      </c>
      <c r="DO164" s="1668">
        <f t="shared" si="3046"/>
        <v>0</v>
      </c>
      <c r="DP164" s="1668">
        <f t="shared" si="3046"/>
        <v>0</v>
      </c>
      <c r="DQ164" s="1668">
        <f t="shared" si="3046"/>
        <v>0</v>
      </c>
      <c r="DR164" s="1679">
        <f t="shared" si="3046"/>
        <v>0</v>
      </c>
      <c r="DS164" s="1680">
        <f t="shared" si="3046"/>
        <v>0</v>
      </c>
      <c r="DT164" s="1680">
        <f t="shared" si="3046"/>
        <v>0</v>
      </c>
      <c r="DU164" s="1680">
        <f t="shared" si="3046"/>
        <v>0</v>
      </c>
      <c r="DV164" s="1680">
        <f t="shared" ref="DV164:ET164" si="3047">SUM(DV163:DV163)</f>
        <v>0</v>
      </c>
      <c r="DW164" s="1680">
        <f t="shared" si="3047"/>
        <v>0</v>
      </c>
      <c r="DX164" s="1680">
        <f t="shared" si="3047"/>
        <v>0</v>
      </c>
      <c r="DY164" s="1680">
        <f t="shared" si="3047"/>
        <v>0</v>
      </c>
      <c r="DZ164" s="1680">
        <f t="shared" si="3047"/>
        <v>0</v>
      </c>
      <c r="EA164" s="1680">
        <f t="shared" si="3047"/>
        <v>0</v>
      </c>
      <c r="EB164" s="1680">
        <f t="shared" si="3047"/>
        <v>0</v>
      </c>
      <c r="EC164" s="1680">
        <f t="shared" si="3047"/>
        <v>0</v>
      </c>
      <c r="ED164" s="1680">
        <f t="shared" si="3047"/>
        <v>0</v>
      </c>
      <c r="EE164" s="1680">
        <f t="shared" si="3047"/>
        <v>0</v>
      </c>
      <c r="EF164" s="1680">
        <f t="shared" si="3047"/>
        <v>0</v>
      </c>
      <c r="EG164" s="1680">
        <f t="shared" si="3047"/>
        <v>0</v>
      </c>
      <c r="EH164" s="1680">
        <f t="shared" si="3047"/>
        <v>0</v>
      </c>
      <c r="EI164" s="1681">
        <f t="shared" si="3047"/>
        <v>0</v>
      </c>
      <c r="EJ164" s="1491">
        <f t="shared" si="3047"/>
        <v>0</v>
      </c>
      <c r="EK164" s="1678">
        <f t="shared" si="3047"/>
        <v>483.01</v>
      </c>
      <c r="EL164" s="1678">
        <f t="shared" si="3047"/>
        <v>0</v>
      </c>
      <c r="EM164" s="1678">
        <f t="shared" si="3047"/>
        <v>0</v>
      </c>
      <c r="EN164" s="1426">
        <f t="shared" si="3047"/>
        <v>0</v>
      </c>
      <c r="EO164" s="1678">
        <f t="shared" si="3047"/>
        <v>0</v>
      </c>
      <c r="EP164" s="1678">
        <f t="shared" si="3047"/>
        <v>75</v>
      </c>
      <c r="EQ164" s="1426">
        <f t="shared" si="3047"/>
        <v>0</v>
      </c>
      <c r="ER164" s="1678">
        <f t="shared" si="3047"/>
        <v>0</v>
      </c>
      <c r="ES164" s="1678">
        <f t="shared" si="3047"/>
        <v>0</v>
      </c>
      <c r="ET164" s="1678">
        <f t="shared" si="3047"/>
        <v>75</v>
      </c>
      <c r="EU164" s="1500"/>
      <c r="EV164" s="1499">
        <f t="shared" ref="EV164:FE164" si="3048">SUM(EV163:EV163)</f>
        <v>483.01</v>
      </c>
      <c r="EW164" s="1678">
        <f t="shared" si="3048"/>
        <v>0</v>
      </c>
      <c r="EX164" s="1678">
        <f t="shared" si="3048"/>
        <v>0</v>
      </c>
      <c r="EY164" s="1678">
        <f t="shared" si="3048"/>
        <v>0</v>
      </c>
      <c r="EZ164" s="1678">
        <f t="shared" si="3048"/>
        <v>0</v>
      </c>
      <c r="FA164" s="1678">
        <f t="shared" si="3048"/>
        <v>75</v>
      </c>
      <c r="FB164" s="1678">
        <f t="shared" si="3048"/>
        <v>0</v>
      </c>
      <c r="FC164" s="1678">
        <f t="shared" si="3048"/>
        <v>0</v>
      </c>
      <c r="FD164" s="1678">
        <f t="shared" si="3048"/>
        <v>0</v>
      </c>
      <c r="FE164" s="1678">
        <f t="shared" si="3048"/>
        <v>75</v>
      </c>
      <c r="FF164" s="1448"/>
      <c r="FG164" s="1448"/>
      <c r="FH164" s="1448"/>
      <c r="FI164" s="1448"/>
      <c r="FJ164" s="1448"/>
      <c r="FK164" s="1448"/>
      <c r="FL164" s="1441">
        <f t="shared" si="2482"/>
        <v>0</v>
      </c>
    </row>
    <row r="165" spans="1:260" s="1474" customFormat="1" ht="16.5" customHeight="1" outlineLevel="1" thickTop="1" thickBot="1">
      <c r="A165" s="1403"/>
      <c r="B165" s="1442"/>
      <c r="C165" s="1405" t="s">
        <v>124</v>
      </c>
      <c r="D165" s="1414"/>
      <c r="E165" s="1628">
        <f>SUM(E161+E164)</f>
        <v>54776.38</v>
      </c>
      <c r="F165" s="1569">
        <f>SUM(F161+F164)</f>
        <v>7050</v>
      </c>
      <c r="G165" s="1569">
        <f>SUM(G161+G164)</f>
        <v>61826.38</v>
      </c>
      <c r="H165" s="1444"/>
      <c r="I165" s="1546"/>
      <c r="J165" s="1546"/>
      <c r="K165" s="1546"/>
      <c r="L165" s="1546"/>
      <c r="M165" s="1546"/>
      <c r="N165" s="1546"/>
      <c r="P165" s="1682">
        <f t="shared" ref="P165:AT165" si="3049">SUM(P161+P164)</f>
        <v>0</v>
      </c>
      <c r="Q165" s="1547">
        <f t="shared" si="3049"/>
        <v>0</v>
      </c>
      <c r="R165" s="1547">
        <f t="shared" si="3049"/>
        <v>0</v>
      </c>
      <c r="S165" s="1547">
        <f t="shared" si="3049"/>
        <v>0</v>
      </c>
      <c r="T165" s="1547">
        <f t="shared" si="3049"/>
        <v>0</v>
      </c>
      <c r="U165" s="1547">
        <f t="shared" si="3049"/>
        <v>0</v>
      </c>
      <c r="V165" s="1547">
        <f t="shared" si="3049"/>
        <v>0</v>
      </c>
      <c r="W165" s="1547">
        <f t="shared" si="3049"/>
        <v>0</v>
      </c>
      <c r="X165" s="1547">
        <f t="shared" si="3049"/>
        <v>0</v>
      </c>
      <c r="Y165" s="1547">
        <f t="shared" si="3049"/>
        <v>0</v>
      </c>
      <c r="Z165" s="1547">
        <f t="shared" si="3049"/>
        <v>0</v>
      </c>
      <c r="AA165" s="1547">
        <f t="shared" si="3049"/>
        <v>0</v>
      </c>
      <c r="AB165" s="1547">
        <f t="shared" si="3049"/>
        <v>0</v>
      </c>
      <c r="AC165" s="1547">
        <f t="shared" si="3049"/>
        <v>0</v>
      </c>
      <c r="AD165" s="1547">
        <f t="shared" si="3049"/>
        <v>0</v>
      </c>
      <c r="AE165" s="1547">
        <f t="shared" si="3049"/>
        <v>0</v>
      </c>
      <c r="AF165" s="1547">
        <f t="shared" si="3049"/>
        <v>0</v>
      </c>
      <c r="AG165" s="1547">
        <f t="shared" si="3049"/>
        <v>0</v>
      </c>
      <c r="AH165" s="1547">
        <f t="shared" si="3049"/>
        <v>0</v>
      </c>
      <c r="AI165" s="1547">
        <f t="shared" si="3049"/>
        <v>0</v>
      </c>
      <c r="AJ165" s="1547">
        <f t="shared" si="3049"/>
        <v>0</v>
      </c>
      <c r="AK165" s="1547">
        <f t="shared" si="3049"/>
        <v>0</v>
      </c>
      <c r="AL165" s="1547">
        <f t="shared" si="3049"/>
        <v>0</v>
      </c>
      <c r="AM165" s="1547">
        <f t="shared" si="3049"/>
        <v>0</v>
      </c>
      <c r="AN165" s="1547">
        <f t="shared" si="3049"/>
        <v>0</v>
      </c>
      <c r="AO165" s="1547">
        <f t="shared" si="3049"/>
        <v>0</v>
      </c>
      <c r="AP165" s="1547">
        <f t="shared" si="3049"/>
        <v>0</v>
      </c>
      <c r="AQ165" s="1547">
        <f t="shared" si="3049"/>
        <v>0</v>
      </c>
      <c r="AR165" s="1547">
        <f t="shared" si="3049"/>
        <v>0</v>
      </c>
      <c r="AS165" s="1547">
        <f t="shared" si="3049"/>
        <v>0</v>
      </c>
      <c r="AT165" s="1547">
        <f t="shared" si="3049"/>
        <v>0</v>
      </c>
      <c r="AU165" s="1683"/>
      <c r="AV165" s="1547">
        <f t="shared" ref="AV165:CN165" si="3050">SUM(AV161+AV164)</f>
        <v>28000</v>
      </c>
      <c r="AW165" s="1547">
        <f t="shared" si="3050"/>
        <v>51328.399999999994</v>
      </c>
      <c r="AX165" s="1547">
        <f t="shared" si="3050"/>
        <v>0</v>
      </c>
      <c r="AY165" s="1547">
        <f t="shared" si="3050"/>
        <v>0</v>
      </c>
      <c r="AZ165" s="1547">
        <f t="shared" si="3050"/>
        <v>0</v>
      </c>
      <c r="BA165" s="1547">
        <f t="shared" si="3050"/>
        <v>0</v>
      </c>
      <c r="BB165" s="1547">
        <f t="shared" si="3050"/>
        <v>0</v>
      </c>
      <c r="BC165" s="1547">
        <f t="shared" si="3050"/>
        <v>3547.6000000000004</v>
      </c>
      <c r="BD165" s="1547">
        <f t="shared" si="3050"/>
        <v>82876</v>
      </c>
      <c r="BE165" s="1547">
        <f t="shared" si="3050"/>
        <v>24701.38</v>
      </c>
      <c r="BF165" s="1547">
        <f t="shared" si="3050"/>
        <v>20222.68</v>
      </c>
      <c r="BG165" s="1547">
        <f t="shared" si="3050"/>
        <v>0</v>
      </c>
      <c r="BH165" s="1547">
        <f t="shared" si="3050"/>
        <v>0</v>
      </c>
      <c r="BI165" s="1547">
        <f t="shared" si="3050"/>
        <v>0</v>
      </c>
      <c r="BJ165" s="1547">
        <f t="shared" si="3050"/>
        <v>0</v>
      </c>
      <c r="BK165" s="1547">
        <f t="shared" si="3050"/>
        <v>0</v>
      </c>
      <c r="BL165" s="1547">
        <f t="shared" si="3050"/>
        <v>3129.6648460000006</v>
      </c>
      <c r="BM165" s="1547">
        <f t="shared" si="3050"/>
        <v>48053.724845999997</v>
      </c>
      <c r="BN165" s="1547">
        <f t="shared" si="3050"/>
        <v>2075</v>
      </c>
      <c r="BO165" s="1547">
        <f t="shared" si="3050"/>
        <v>750</v>
      </c>
      <c r="BP165" s="1547">
        <f t="shared" si="3050"/>
        <v>0</v>
      </c>
      <c r="BQ165" s="1547">
        <f t="shared" si="3050"/>
        <v>0</v>
      </c>
      <c r="BR165" s="1547">
        <f t="shared" si="3050"/>
        <v>0</v>
      </c>
      <c r="BS165" s="1547">
        <f t="shared" si="3050"/>
        <v>0</v>
      </c>
      <c r="BT165" s="1547">
        <f t="shared" si="3050"/>
        <v>0</v>
      </c>
      <c r="BU165" s="1547">
        <f t="shared" si="3050"/>
        <v>262.90250000000003</v>
      </c>
      <c r="BV165" s="1547">
        <f t="shared" si="3050"/>
        <v>3087.9025000000001</v>
      </c>
      <c r="BW165" s="1569">
        <f t="shared" si="3050"/>
        <v>0</v>
      </c>
      <c r="BX165" s="1569">
        <f t="shared" si="3050"/>
        <v>0</v>
      </c>
      <c r="BY165" s="1569">
        <f t="shared" si="3050"/>
        <v>0</v>
      </c>
      <c r="BZ165" s="1569">
        <f t="shared" si="3050"/>
        <v>0</v>
      </c>
      <c r="CA165" s="1569">
        <f t="shared" si="3050"/>
        <v>0</v>
      </c>
      <c r="CB165" s="1569">
        <f t="shared" si="3050"/>
        <v>0</v>
      </c>
      <c r="CC165" s="1569">
        <f t="shared" si="3050"/>
        <v>0</v>
      </c>
      <c r="CD165" s="1569">
        <f t="shared" si="3050"/>
        <v>0</v>
      </c>
      <c r="CE165" s="1569">
        <f t="shared" si="3050"/>
        <v>0</v>
      </c>
      <c r="CF165" s="1569">
        <f t="shared" si="3050"/>
        <v>0</v>
      </c>
      <c r="CG165" s="1569">
        <f t="shared" si="3050"/>
        <v>0</v>
      </c>
      <c r="CH165" s="1569">
        <f t="shared" si="3050"/>
        <v>0</v>
      </c>
      <c r="CI165" s="1569">
        <f t="shared" si="3050"/>
        <v>0</v>
      </c>
      <c r="CJ165" s="1569">
        <f t="shared" si="3050"/>
        <v>0</v>
      </c>
      <c r="CK165" s="1569">
        <f t="shared" si="3050"/>
        <v>0</v>
      </c>
      <c r="CL165" s="1569">
        <f t="shared" si="3050"/>
        <v>0</v>
      </c>
      <c r="CM165" s="1569">
        <f t="shared" si="3050"/>
        <v>0</v>
      </c>
      <c r="CN165" s="1569">
        <f t="shared" si="3050"/>
        <v>0</v>
      </c>
      <c r="CP165" s="1414"/>
      <c r="CQ165" s="1531">
        <f t="shared" ref="CQ165:EI165" si="3051">SUM(CQ161+CQ164)</f>
        <v>28000</v>
      </c>
      <c r="CR165" s="1531">
        <f t="shared" si="3051"/>
        <v>51346.479999999996</v>
      </c>
      <c r="CS165" s="1531">
        <f t="shared" si="3051"/>
        <v>0</v>
      </c>
      <c r="CT165" s="1531">
        <f t="shared" si="3051"/>
        <v>0</v>
      </c>
      <c r="CU165" s="1531">
        <f t="shared" si="3051"/>
        <v>0</v>
      </c>
      <c r="CV165" s="1531">
        <f t="shared" si="3051"/>
        <v>0</v>
      </c>
      <c r="CW165" s="1531">
        <f t="shared" si="3051"/>
        <v>0</v>
      </c>
      <c r="CX165" s="1531">
        <f t="shared" si="3051"/>
        <v>3547.6000000000004</v>
      </c>
      <c r="CY165" s="1531">
        <f t="shared" si="3051"/>
        <v>82894.080000000002</v>
      </c>
      <c r="CZ165" s="1531">
        <f t="shared" si="3051"/>
        <v>26776.38</v>
      </c>
      <c r="DA165" s="1531">
        <f t="shared" si="3051"/>
        <v>20954.599999999999</v>
      </c>
      <c r="DB165" s="1531">
        <f t="shared" si="3051"/>
        <v>0</v>
      </c>
      <c r="DC165" s="1531">
        <f t="shared" si="3051"/>
        <v>0</v>
      </c>
      <c r="DD165" s="1531">
        <f t="shared" si="3051"/>
        <v>0</v>
      </c>
      <c r="DE165" s="1531">
        <f t="shared" si="3051"/>
        <v>0</v>
      </c>
      <c r="DF165" s="1531">
        <f t="shared" si="3051"/>
        <v>0</v>
      </c>
      <c r="DG165" s="1531">
        <f t="shared" si="3051"/>
        <v>3392.5673460000007</v>
      </c>
      <c r="DH165" s="1531">
        <f t="shared" si="3051"/>
        <v>51123.547345999999</v>
      </c>
      <c r="DI165" s="1531">
        <f t="shared" si="3051"/>
        <v>0</v>
      </c>
      <c r="DJ165" s="1531">
        <f t="shared" si="3051"/>
        <v>0</v>
      </c>
      <c r="DK165" s="1531">
        <f t="shared" si="3051"/>
        <v>0</v>
      </c>
      <c r="DL165" s="1531">
        <f t="shared" si="3051"/>
        <v>0</v>
      </c>
      <c r="DM165" s="1531">
        <f t="shared" si="3051"/>
        <v>0</v>
      </c>
      <c r="DN165" s="1531">
        <f t="shared" si="3051"/>
        <v>0</v>
      </c>
      <c r="DO165" s="1531">
        <f t="shared" si="3051"/>
        <v>0</v>
      </c>
      <c r="DP165" s="1531">
        <f t="shared" si="3051"/>
        <v>0</v>
      </c>
      <c r="DQ165" s="1531">
        <f t="shared" si="3051"/>
        <v>0</v>
      </c>
      <c r="DR165" s="1531">
        <f t="shared" si="3051"/>
        <v>0</v>
      </c>
      <c r="DS165" s="1531">
        <f t="shared" si="3051"/>
        <v>0</v>
      </c>
      <c r="DT165" s="1531">
        <f t="shared" si="3051"/>
        <v>0</v>
      </c>
      <c r="DU165" s="1531">
        <f t="shared" si="3051"/>
        <v>0</v>
      </c>
      <c r="DV165" s="1531">
        <f t="shared" si="3051"/>
        <v>0</v>
      </c>
      <c r="DW165" s="1531">
        <f t="shared" si="3051"/>
        <v>0</v>
      </c>
      <c r="DX165" s="1531">
        <f t="shared" si="3051"/>
        <v>0</v>
      </c>
      <c r="DY165" s="1531">
        <f t="shared" si="3051"/>
        <v>0</v>
      </c>
      <c r="DZ165" s="1531">
        <f t="shared" si="3051"/>
        <v>0</v>
      </c>
      <c r="EA165" s="1531">
        <f t="shared" si="3051"/>
        <v>0</v>
      </c>
      <c r="EB165" s="1531">
        <f t="shared" si="3051"/>
        <v>0</v>
      </c>
      <c r="EC165" s="1531">
        <f t="shared" si="3051"/>
        <v>0</v>
      </c>
      <c r="ED165" s="1531">
        <f t="shared" si="3051"/>
        <v>0</v>
      </c>
      <c r="EE165" s="1531">
        <f t="shared" si="3051"/>
        <v>0</v>
      </c>
      <c r="EF165" s="1531">
        <f t="shared" si="3051"/>
        <v>0</v>
      </c>
      <c r="EG165" s="1531">
        <f t="shared" si="3051"/>
        <v>0</v>
      </c>
      <c r="EH165" s="1531">
        <f t="shared" si="3051"/>
        <v>0</v>
      </c>
      <c r="EI165" s="1531">
        <f t="shared" si="3051"/>
        <v>0</v>
      </c>
      <c r="EK165" s="1658">
        <f t="shared" ref="EK165:ET165" si="3052">SUM(EK161+EK164)</f>
        <v>3468.7799999999997</v>
      </c>
      <c r="EL165" s="1658">
        <f t="shared" si="3052"/>
        <v>5247.52</v>
      </c>
      <c r="EM165" s="1658">
        <f t="shared" si="3052"/>
        <v>537</v>
      </c>
      <c r="EN165" s="1684">
        <f t="shared" si="3052"/>
        <v>154.25</v>
      </c>
      <c r="EO165" s="1658">
        <f t="shared" si="3052"/>
        <v>0</v>
      </c>
      <c r="EP165" s="1658">
        <f t="shared" si="3052"/>
        <v>575</v>
      </c>
      <c r="EQ165" s="1658">
        <f t="shared" si="3052"/>
        <v>2087.5</v>
      </c>
      <c r="ER165" s="1658">
        <f t="shared" si="3052"/>
        <v>0</v>
      </c>
      <c r="ES165" s="1658">
        <f t="shared" si="3052"/>
        <v>0</v>
      </c>
      <c r="ET165" s="1658">
        <f t="shared" si="3052"/>
        <v>2662.5</v>
      </c>
      <c r="EU165" s="1414"/>
      <c r="EV165" s="1547">
        <f t="shared" ref="EV165:FE165" si="3053">SUM(EV161+EV164)</f>
        <v>3468.7799999999997</v>
      </c>
      <c r="EW165" s="1547">
        <f t="shared" si="3053"/>
        <v>5247.52</v>
      </c>
      <c r="EX165" s="1547">
        <f t="shared" si="3053"/>
        <v>537</v>
      </c>
      <c r="EY165" s="1547">
        <f t="shared" si="3053"/>
        <v>154.25</v>
      </c>
      <c r="EZ165" s="1547">
        <f t="shared" si="3053"/>
        <v>0</v>
      </c>
      <c r="FA165" s="1547">
        <f t="shared" si="3053"/>
        <v>575</v>
      </c>
      <c r="FB165" s="1547">
        <f t="shared" si="3053"/>
        <v>2087.5</v>
      </c>
      <c r="FC165" s="1547">
        <f t="shared" si="3053"/>
        <v>0</v>
      </c>
      <c r="FD165" s="1547">
        <f t="shared" si="3053"/>
        <v>0</v>
      </c>
      <c r="FE165" s="1547">
        <f t="shared" si="3053"/>
        <v>2662.5</v>
      </c>
      <c r="FF165" s="1448"/>
      <c r="FG165" s="1448"/>
      <c r="FH165" s="1448"/>
      <c r="FI165" s="1448"/>
      <c r="FJ165" s="1448"/>
      <c r="FK165" s="1448"/>
      <c r="FL165" s="1441">
        <f t="shared" si="2482"/>
        <v>0</v>
      </c>
    </row>
    <row r="166" spans="1:260" s="1444" customFormat="1" ht="15.75" customHeight="1" outlineLevel="1" thickTop="1">
      <c r="A166" s="1449"/>
      <c r="B166" s="1416" t="s">
        <v>125</v>
      </c>
      <c r="C166" s="1403"/>
      <c r="D166" s="1414"/>
      <c r="E166" s="1564"/>
      <c r="F166" s="1451"/>
      <c r="G166" s="1451"/>
      <c r="I166" s="1546"/>
      <c r="J166" s="1546"/>
      <c r="K166" s="1546"/>
      <c r="L166" s="1546"/>
      <c r="M166" s="1546"/>
      <c r="N166" s="1546"/>
      <c r="O166" s="1474"/>
      <c r="P166" s="1565"/>
      <c r="R166" s="1452"/>
      <c r="T166" s="1452"/>
      <c r="V166" s="1452"/>
      <c r="X166" s="1452"/>
      <c r="Z166" s="1453"/>
      <c r="AB166" s="1453"/>
      <c r="AD166" s="1453"/>
      <c r="AH166" s="1453"/>
      <c r="AJ166" s="1451"/>
      <c r="AK166" s="1451"/>
      <c r="AL166" s="1451"/>
      <c r="AM166" s="1451"/>
      <c r="AN166" s="1451"/>
      <c r="AO166" s="1685"/>
      <c r="AP166" s="1451"/>
      <c r="AQ166" s="1451"/>
      <c r="AR166" s="1451"/>
      <c r="AS166" s="1451"/>
      <c r="AT166" s="1451"/>
      <c r="AU166" s="1517"/>
      <c r="BM166" s="1451"/>
      <c r="CO166" s="1474"/>
      <c r="CP166" s="1414"/>
      <c r="EJ166" s="1474"/>
      <c r="EK166" s="1403"/>
      <c r="EL166" s="1474"/>
      <c r="EM166" s="1403"/>
      <c r="EN166" s="1418"/>
      <c r="EO166" s="1403"/>
      <c r="EP166" s="1403"/>
      <c r="EQ166" s="1403"/>
      <c r="ER166" s="1403"/>
      <c r="ES166" s="1414"/>
      <c r="ET166" s="1414"/>
      <c r="EU166" s="1414"/>
      <c r="EV166" s="1414"/>
      <c r="EW166" s="1414"/>
      <c r="EX166" s="1414"/>
      <c r="EY166" s="1414"/>
      <c r="EZ166" s="1414"/>
      <c r="FA166" s="1414"/>
      <c r="FB166" s="1414"/>
      <c r="FC166" s="1414"/>
      <c r="FD166" s="1414"/>
      <c r="FE166" s="1414"/>
      <c r="FF166" s="1448"/>
      <c r="FG166" s="1448"/>
      <c r="FH166" s="1448"/>
      <c r="FI166" s="1448"/>
      <c r="FJ166" s="1448"/>
      <c r="FK166" s="1448"/>
      <c r="FL166" s="1441">
        <f t="shared" si="2482"/>
        <v>0</v>
      </c>
      <c r="FM166" s="1474"/>
      <c r="FN166" s="1474"/>
      <c r="FO166" s="1474"/>
      <c r="FP166" s="1474"/>
    </row>
    <row r="167" spans="1:260" s="1451" customFormat="1" ht="15" customHeight="1" outlineLevel="1">
      <c r="A167" s="1511"/>
      <c r="B167" s="1416" t="s">
        <v>126</v>
      </c>
      <c r="C167" s="1403"/>
      <c r="D167" s="1414"/>
      <c r="E167" s="1564"/>
      <c r="I167" s="1546"/>
      <c r="J167" s="1546"/>
      <c r="K167" s="1546"/>
      <c r="L167" s="1546"/>
      <c r="M167" s="1546"/>
      <c r="N167" s="1546"/>
      <c r="O167" s="1474"/>
      <c r="P167" s="1565"/>
      <c r="R167" s="1565"/>
      <c r="T167" s="1565"/>
      <c r="V167" s="1565"/>
      <c r="X167" s="1565"/>
      <c r="Z167" s="1566"/>
      <c r="AB167" s="1566"/>
      <c r="AD167" s="1566"/>
      <c r="AH167" s="1566"/>
      <c r="AO167" s="1686"/>
      <c r="AU167" s="1517"/>
      <c r="CO167" s="1474"/>
      <c r="CP167" s="1414"/>
      <c r="EJ167" s="1474"/>
      <c r="EK167" s="1403"/>
      <c r="EL167" s="1474"/>
      <c r="EM167" s="1474"/>
      <c r="EN167" s="1534"/>
      <c r="EO167" s="1474"/>
      <c r="EP167" s="1474"/>
      <c r="EQ167" s="1474"/>
      <c r="ER167" s="1474"/>
      <c r="ES167" s="1474"/>
      <c r="ET167" s="1474"/>
      <c r="EU167" s="1474"/>
      <c r="EV167" s="1414"/>
      <c r="EW167" s="1414"/>
      <c r="EX167" s="1414"/>
      <c r="EY167" s="1414"/>
      <c r="EZ167" s="1414"/>
      <c r="FA167" s="1414"/>
      <c r="FB167" s="1414"/>
      <c r="FC167" s="1414"/>
      <c r="FD167" s="1414"/>
      <c r="FE167" s="1414"/>
      <c r="FF167" s="1448"/>
      <c r="FG167" s="1448"/>
      <c r="FH167" s="1448"/>
      <c r="FI167" s="1448"/>
      <c r="FJ167" s="1448"/>
      <c r="FK167" s="1448"/>
      <c r="FL167" s="1441">
        <f t="shared" si="2482"/>
        <v>0</v>
      </c>
      <c r="FM167" s="1474"/>
      <c r="FN167" s="1474"/>
      <c r="FO167" s="1474"/>
      <c r="FP167" s="1474"/>
    </row>
    <row r="168" spans="1:260" s="1451" customFormat="1" ht="15" customHeight="1" outlineLevel="1">
      <c r="A168" s="1511"/>
      <c r="B168" s="1416" t="s">
        <v>321</v>
      </c>
      <c r="C168" s="1403"/>
      <c r="D168" s="1414"/>
      <c r="E168" s="1564"/>
      <c r="I168" s="1546"/>
      <c r="J168" s="1546"/>
      <c r="K168" s="1546"/>
      <c r="L168" s="1546"/>
      <c r="M168" s="1546"/>
      <c r="N168" s="1546"/>
      <c r="O168" s="1474"/>
      <c r="P168" s="1565"/>
      <c r="R168" s="1565"/>
      <c r="T168" s="1565"/>
      <c r="V168" s="1565"/>
      <c r="X168" s="1565"/>
      <c r="Z168" s="1566"/>
      <c r="AB168" s="1566"/>
      <c r="AD168" s="1566"/>
      <c r="AH168" s="1566"/>
      <c r="AO168" s="1662"/>
      <c r="AU168" s="1517"/>
      <c r="CO168" s="1474"/>
      <c r="CP168" s="1414"/>
      <c r="EJ168" s="1474"/>
      <c r="EK168" s="1403"/>
      <c r="EL168" s="1474"/>
      <c r="EM168" s="1474"/>
      <c r="EN168" s="1534"/>
      <c r="EO168" s="1474"/>
      <c r="EP168" s="1474"/>
      <c r="EQ168" s="1474"/>
      <c r="ER168" s="1474"/>
      <c r="ES168" s="1474"/>
      <c r="ET168" s="1474"/>
      <c r="EU168" s="1474"/>
      <c r="EV168" s="1414"/>
      <c r="EW168" s="1414"/>
      <c r="EX168" s="1414"/>
      <c r="EY168" s="1414"/>
      <c r="EZ168" s="1414"/>
      <c r="FA168" s="1414"/>
      <c r="FB168" s="1414"/>
      <c r="FC168" s="1414"/>
      <c r="FD168" s="1414"/>
      <c r="FE168" s="1414"/>
      <c r="FF168" s="1448"/>
      <c r="FG168" s="1448"/>
      <c r="FH168" s="1448"/>
      <c r="FI168" s="1448"/>
      <c r="FJ168" s="1448"/>
      <c r="FK168" s="1448"/>
      <c r="FL168" s="1441">
        <f t="shared" si="2482"/>
        <v>0</v>
      </c>
      <c r="FM168" s="1474"/>
      <c r="FN168" s="1474"/>
      <c r="FO168" s="1474"/>
      <c r="FP168" s="1474"/>
    </row>
    <row r="169" spans="1:260" s="1474" customFormat="1" ht="15" customHeight="1" outlineLevel="1">
      <c r="A169" s="1403"/>
      <c r="B169" s="1348" t="s">
        <v>485</v>
      </c>
      <c r="C169" s="1403"/>
      <c r="D169" s="1414"/>
      <c r="E169" s="1450"/>
      <c r="F169" s="1451"/>
      <c r="G169" s="1451"/>
      <c r="H169" s="1444"/>
      <c r="I169" s="1445"/>
      <c r="J169" s="1546"/>
      <c r="K169" s="1445"/>
      <c r="L169" s="1445"/>
      <c r="M169" s="1445"/>
      <c r="N169" s="1445"/>
      <c r="P169" s="1565"/>
      <c r="Q169" s="1444"/>
      <c r="R169" s="1452"/>
      <c r="S169" s="1444"/>
      <c r="T169" s="1452"/>
      <c r="U169" s="1444"/>
      <c r="V169" s="1452"/>
      <c r="W169" s="1444"/>
      <c r="X169" s="1452"/>
      <c r="Y169" s="1444"/>
      <c r="Z169" s="1453"/>
      <c r="AA169" s="1444"/>
      <c r="AB169" s="1453"/>
      <c r="AC169" s="1444"/>
      <c r="AD169" s="1453"/>
      <c r="AE169" s="1444"/>
      <c r="AF169" s="1444"/>
      <c r="AG169" s="1444"/>
      <c r="AH169" s="1453"/>
      <c r="AI169" s="1444"/>
      <c r="AJ169" s="1451"/>
      <c r="AK169" s="1451"/>
      <c r="AL169" s="1451"/>
      <c r="AM169" s="1451"/>
      <c r="AN169" s="1451"/>
      <c r="AO169" s="1451"/>
      <c r="AP169" s="1451"/>
      <c r="AQ169" s="1451"/>
      <c r="AR169" s="1451"/>
      <c r="AS169" s="1451"/>
      <c r="AT169" s="1451"/>
      <c r="AU169" s="1517"/>
      <c r="AV169" s="1444"/>
      <c r="AW169" s="1444"/>
      <c r="AX169" s="1444"/>
      <c r="AY169" s="1444"/>
      <c r="AZ169" s="1444"/>
      <c r="BA169" s="1444"/>
      <c r="BB169" s="1444"/>
      <c r="BC169" s="1444"/>
      <c r="BD169" s="1444"/>
      <c r="BE169" s="1444"/>
      <c r="BF169" s="1444"/>
      <c r="BG169" s="1444"/>
      <c r="BH169" s="1444"/>
      <c r="BI169" s="1444"/>
      <c r="BJ169" s="1444"/>
      <c r="BK169" s="1444"/>
      <c r="BL169" s="1444"/>
      <c r="BM169" s="1451"/>
      <c r="BN169" s="1444"/>
      <c r="BO169" s="1444"/>
      <c r="BP169" s="1444"/>
      <c r="BQ169" s="1444"/>
      <c r="BR169" s="1444"/>
      <c r="BS169" s="1444"/>
      <c r="BT169" s="1444"/>
      <c r="BU169" s="1444"/>
      <c r="BV169" s="1444"/>
      <c r="BW169" s="1444"/>
      <c r="BX169" s="1444"/>
      <c r="BY169" s="1444"/>
      <c r="BZ169" s="1444"/>
      <c r="CA169" s="1444"/>
      <c r="CB169" s="1444"/>
      <c r="CC169" s="1444"/>
      <c r="CD169" s="1444"/>
      <c r="CE169" s="1444"/>
      <c r="CF169" s="1444"/>
      <c r="CG169" s="1444"/>
      <c r="CH169" s="1444"/>
      <c r="CI169" s="1444"/>
      <c r="CJ169" s="1444"/>
      <c r="CK169" s="1444"/>
      <c r="CL169" s="1444"/>
      <c r="CM169" s="1444"/>
      <c r="CN169" s="1444"/>
      <c r="CP169" s="1414"/>
      <c r="CQ169" s="1444"/>
      <c r="CR169" s="1444"/>
      <c r="CS169" s="1444"/>
      <c r="CT169" s="1444"/>
      <c r="CU169" s="1444"/>
      <c r="CV169" s="1444"/>
      <c r="CW169" s="1444"/>
      <c r="CX169" s="1444"/>
      <c r="CY169" s="1444"/>
      <c r="CZ169" s="1444"/>
      <c r="DA169" s="1444"/>
      <c r="DB169" s="1444"/>
      <c r="DC169" s="1444"/>
      <c r="DD169" s="1444"/>
      <c r="DE169" s="1444"/>
      <c r="DF169" s="1444"/>
      <c r="DG169" s="1444"/>
      <c r="DH169" s="1444"/>
      <c r="DI169" s="1444"/>
      <c r="DJ169" s="1444"/>
      <c r="DK169" s="1444"/>
      <c r="DL169" s="1444"/>
      <c r="DM169" s="1444"/>
      <c r="DN169" s="1444"/>
      <c r="DO169" s="1444"/>
      <c r="DP169" s="1444"/>
      <c r="DQ169" s="1444"/>
      <c r="DR169" s="1444"/>
      <c r="DS169" s="1444"/>
      <c r="DT169" s="1444"/>
      <c r="DU169" s="1444"/>
      <c r="DV169" s="1444"/>
      <c r="DW169" s="1444"/>
      <c r="DX169" s="1444"/>
      <c r="DY169" s="1444"/>
      <c r="DZ169" s="1444"/>
      <c r="EA169" s="1444"/>
      <c r="EB169" s="1444"/>
      <c r="EC169" s="1444"/>
      <c r="ED169" s="1444"/>
      <c r="EE169" s="1444"/>
      <c r="EF169" s="1444"/>
      <c r="EG169" s="1444"/>
      <c r="EH169" s="1444"/>
      <c r="EI169" s="1444"/>
      <c r="EK169" s="1403"/>
      <c r="EM169" s="1339"/>
      <c r="EN169" s="1582"/>
      <c r="EO169" s="1403"/>
      <c r="EP169" s="1339"/>
      <c r="EQ169" s="1339"/>
      <c r="ER169" s="1339"/>
      <c r="ES169" s="1403"/>
      <c r="ET169" s="1414"/>
      <c r="EU169" s="1414"/>
      <c r="EV169" s="1414"/>
      <c r="EW169" s="1414"/>
      <c r="EX169" s="1414"/>
      <c r="EY169" s="1414"/>
      <c r="EZ169" s="1414"/>
      <c r="FA169" s="1414"/>
      <c r="FB169" s="1414"/>
      <c r="FC169" s="1414"/>
      <c r="FD169" s="1414"/>
      <c r="FE169" s="1414"/>
      <c r="FF169" s="1674"/>
      <c r="FG169" s="1674"/>
      <c r="FH169" s="1674"/>
      <c r="FI169" s="1674"/>
      <c r="FJ169" s="1674"/>
      <c r="FK169" s="1674"/>
      <c r="FL169" s="1414">
        <f t="shared" si="2482"/>
        <v>0</v>
      </c>
    </row>
    <row r="170" spans="1:260" s="1464" customFormat="1" ht="15" customHeight="1" outlineLevel="1">
      <c r="A170" s="1490">
        <v>107</v>
      </c>
      <c r="B170" s="213" t="s">
        <v>750</v>
      </c>
      <c r="C170" s="365" t="s">
        <v>480</v>
      </c>
      <c r="D170" s="363" t="s">
        <v>11</v>
      </c>
      <c r="E170" s="1971">
        <v>3166.38</v>
      </c>
      <c r="F170" s="1431">
        <v>250</v>
      </c>
      <c r="G170" s="1970">
        <f>+E170+F170</f>
        <v>3416.38</v>
      </c>
      <c r="H170" s="1971">
        <v>30</v>
      </c>
      <c r="I170" s="1432">
        <v>0</v>
      </c>
      <c r="J170" s="1494">
        <v>1</v>
      </c>
      <c r="K170" s="1432">
        <v>0</v>
      </c>
      <c r="L170" s="1432">
        <v>0</v>
      </c>
      <c r="M170" s="1432">
        <v>0</v>
      </c>
      <c r="N170" s="1432">
        <f>SUM(I170:M170)</f>
        <v>1</v>
      </c>
      <c r="P170" s="1535"/>
      <c r="Q170" s="355">
        <f>($E170/30/8*1.5)*P170</f>
        <v>0</v>
      </c>
      <c r="R170" s="366"/>
      <c r="S170" s="355">
        <f>($E170/30/8*2)*R170</f>
        <v>0</v>
      </c>
      <c r="T170" s="366"/>
      <c r="U170" s="355">
        <f>($E170/30/8*1.5)*T170</f>
        <v>0</v>
      </c>
      <c r="V170" s="366"/>
      <c r="W170" s="355">
        <f>($E170/30/8*2)*V170</f>
        <v>0</v>
      </c>
      <c r="X170" s="366"/>
      <c r="Y170" s="355">
        <f>(($E170/30/8)*1.5)*X170</f>
        <v>0</v>
      </c>
      <c r="Z170" s="1434"/>
      <c r="AA170" s="355">
        <f>(($E170/30/8)*2)*Z170</f>
        <v>0</v>
      </c>
      <c r="AB170" s="1434"/>
      <c r="AC170" s="355">
        <f>(($E170/30/8)*1.5)*AB170</f>
        <v>0</v>
      </c>
      <c r="AD170" s="1434"/>
      <c r="AE170" s="355">
        <f>(($E170/30/8)*2)*AD170</f>
        <v>0</v>
      </c>
      <c r="AF170" s="355"/>
      <c r="AG170" s="355">
        <f>(($E170/30/8)*1.5)*AF170</f>
        <v>0</v>
      </c>
      <c r="AH170" s="1434"/>
      <c r="AI170" s="355">
        <f>(($E170/30/8)*2)*AH170</f>
        <v>0</v>
      </c>
      <c r="AJ170" s="1431"/>
      <c r="AK170" s="1431"/>
      <c r="AL170" s="1431"/>
      <c r="AM170" s="1431"/>
      <c r="AN170" s="1431"/>
      <c r="AO170" s="1431"/>
      <c r="AP170" s="1431"/>
      <c r="AQ170" s="1431"/>
      <c r="AR170" s="1431"/>
      <c r="AS170" s="1431"/>
      <c r="AT170" s="1431"/>
      <c r="AU170" s="1568"/>
      <c r="AV170" s="355">
        <f>((E170/30)*H170)*$I170</f>
        <v>0</v>
      </c>
      <c r="AW170" s="355">
        <f>((F170/30)*H170)*$I170</f>
        <v>0</v>
      </c>
      <c r="AX170" s="355">
        <f>P170</f>
        <v>0</v>
      </c>
      <c r="AY170" s="355">
        <f>Q170</f>
        <v>0</v>
      </c>
      <c r="AZ170" s="355">
        <f>R170</f>
        <v>0</v>
      </c>
      <c r="BA170" s="355">
        <f>S170</f>
        <v>0</v>
      </c>
      <c r="BB170" s="355">
        <f>AJ170+AO170</f>
        <v>0</v>
      </c>
      <c r="BC170" s="355">
        <f>(AV170+AY170+BA170)*0.1267</f>
        <v>0</v>
      </c>
      <c r="BD170" s="355">
        <f>SUM(AV170:BC170)-AX170-AZ170</f>
        <v>0</v>
      </c>
      <c r="BE170" s="355">
        <f>(($E170/30)*$H170)*$J170</f>
        <v>3166.38</v>
      </c>
      <c r="BF170" s="1426">
        <f>(($F170/30)*$H170)*$J170+647.54</f>
        <v>897.54</v>
      </c>
      <c r="BG170" s="355">
        <f>T170</f>
        <v>0</v>
      </c>
      <c r="BH170" s="355">
        <f>U170</f>
        <v>0</v>
      </c>
      <c r="BI170" s="355">
        <f>V170</f>
        <v>0</v>
      </c>
      <c r="BJ170" s="355">
        <f>W170</f>
        <v>0</v>
      </c>
      <c r="BK170" s="355">
        <f>AK170+AP170</f>
        <v>0</v>
      </c>
      <c r="BL170" s="355">
        <f>(+BE170+BH170+BJ170+BK170)*0.1267</f>
        <v>401.18034600000004</v>
      </c>
      <c r="BM170" s="1431">
        <f>SUM(BE170:BL170)-BG170-BI170</f>
        <v>4465.1003460000002</v>
      </c>
      <c r="BN170" s="355">
        <f>(($E170/30)*$H170)*$K170</f>
        <v>0</v>
      </c>
      <c r="BO170" s="355">
        <f>(($F170/30)*$H170)*$K170</f>
        <v>0</v>
      </c>
      <c r="BP170" s="355">
        <f>X170</f>
        <v>0</v>
      </c>
      <c r="BQ170" s="355">
        <f>Y170</f>
        <v>0</v>
      </c>
      <c r="BR170" s="355">
        <f>Z170</f>
        <v>0</v>
      </c>
      <c r="BS170" s="355">
        <f>AA170</f>
        <v>0</v>
      </c>
      <c r="BT170" s="355">
        <f>AL170+AQ170</f>
        <v>0</v>
      </c>
      <c r="BU170" s="355">
        <f>(BN170+BQ170+BS170)*0.1267</f>
        <v>0</v>
      </c>
      <c r="BV170" s="355">
        <f>SUM(BN170:BU170)-BP170-BR170</f>
        <v>0</v>
      </c>
      <c r="BW170" s="1687">
        <f>(($E170/30)*$H170)*$L170</f>
        <v>0</v>
      </c>
      <c r="BX170" s="1688">
        <f>(($F170/30)*$H170)*$L170</f>
        <v>0</v>
      </c>
      <c r="BY170" s="1688">
        <f>AB170</f>
        <v>0</v>
      </c>
      <c r="BZ170" s="1688">
        <f>AC170</f>
        <v>0</v>
      </c>
      <c r="CA170" s="1688">
        <f>AD170</f>
        <v>0</v>
      </c>
      <c r="CB170" s="1688">
        <f>AE170</f>
        <v>0</v>
      </c>
      <c r="CC170" s="1688">
        <f>AM170+AR170</f>
        <v>0</v>
      </c>
      <c r="CD170" s="1688">
        <f>(BW170+BZ170+CB170)*0.1267</f>
        <v>0</v>
      </c>
      <c r="CE170" s="1688">
        <f>SUM(BW170:CD170)-BY170-CA170</f>
        <v>0</v>
      </c>
      <c r="CF170" s="1688">
        <f>(($E170/30)*$H170)*M170</f>
        <v>0</v>
      </c>
      <c r="CG170" s="1688">
        <f>(($F170/30)*$H170)*$M170</f>
        <v>0</v>
      </c>
      <c r="CH170" s="1688">
        <f>+AF170</f>
        <v>0</v>
      </c>
      <c r="CI170" s="1688">
        <f>AG170</f>
        <v>0</v>
      </c>
      <c r="CJ170" s="1688">
        <f>AH170</f>
        <v>0</v>
      </c>
      <c r="CK170" s="1688">
        <f>AI170</f>
        <v>0</v>
      </c>
      <c r="CL170" s="1688">
        <f>AN170+AS170</f>
        <v>0</v>
      </c>
      <c r="CM170" s="1688">
        <f>(CF170+CI170+CK170)*0.1267</f>
        <v>0</v>
      </c>
      <c r="CN170" s="1689">
        <f>SUM(CF170:CM170)-CH170-CJ170</f>
        <v>0</v>
      </c>
      <c r="CO170" s="1474"/>
      <c r="CP170" s="363" t="s">
        <v>11</v>
      </c>
      <c r="CQ170" s="355">
        <f>IF($CP170="PROQUIMA",$AV170+$BE170+$BN170+$BW170+$CF170,0)</f>
        <v>0</v>
      </c>
      <c r="CR170" s="355">
        <f>IF($CP170="PROQUIMA",$AW170+$BF170+$BO170+$BX170+$CG170,0)</f>
        <v>0</v>
      </c>
      <c r="CS170" s="355">
        <f>IF($CP170="PROQUIMA",$AX170+$BG170+$BP170+$BY170+$CH170,0)</f>
        <v>0</v>
      </c>
      <c r="CT170" s="355">
        <f>IF($CP170="PROQUIMA",$AY170+$BH170+$BQ170+$BZ170+$CI170,0)</f>
        <v>0</v>
      </c>
      <c r="CU170" s="355">
        <f>IF($CP170="PROQUIMA",$AZ170+$BI170+$BR170+$CA170+$CJ170,0)</f>
        <v>0</v>
      </c>
      <c r="CV170" s="355">
        <f>IF($CP170="PROQUIMA",$BA170+$BJ170+$BS170+$CB170+$CK170,0)</f>
        <v>0</v>
      </c>
      <c r="CW170" s="355">
        <f>IF($CP170="PROQUIMA",$BB170+$BK170+$BT170+$CC170+$CL170,0)</f>
        <v>0</v>
      </c>
      <c r="CX170" s="355">
        <f>IF($CP170="PROQUIMA",$BC170+$BL170+$BU170+$CD170+CM170,0)</f>
        <v>0</v>
      </c>
      <c r="CY170" s="355">
        <f>SUM(CQ170:CX170)-CS170-CU170</f>
        <v>0</v>
      </c>
      <c r="CZ170" s="355">
        <f>IF($CP170="UNHESA",$AV170+$BE170+$BN170+$BW170+$CF170,0)</f>
        <v>3166.38</v>
      </c>
      <c r="DA170" s="355">
        <f>IF($CP170="UNHESA",$AW170+$BF170+$BO170+$BX170+$CG170,0)</f>
        <v>897.54</v>
      </c>
      <c r="DB170" s="355">
        <f>IF($CP170="UNHESA",$AX170+$BG170+$BP170+$BY170+$CH170,0)</f>
        <v>0</v>
      </c>
      <c r="DC170" s="355">
        <f>IF($CP170="UNHESA",$AY170+$BH170+$BQ170+$BZ170+$CI170,0)</f>
        <v>0</v>
      </c>
      <c r="DD170" s="355">
        <f>IF($CP170="UNHESA",$AZ170+$BI170+$BR170+$CA170+$CJ170,0)</f>
        <v>0</v>
      </c>
      <c r="DE170" s="355">
        <f>IF($CP170="UNHESA",$BA170+$BJ170+$BS170+$CB170+$CK170,0)</f>
        <v>0</v>
      </c>
      <c r="DF170" s="355">
        <f>IF($CP170="UNHESA",$BB170+$BK170+$BT170+$CC170+$CL170,0)</f>
        <v>0</v>
      </c>
      <c r="DG170" s="355">
        <f>IF($CP170="UNHESA",$BC170+$BL170+$BU170+$CD170+$CM170,0)</f>
        <v>401.18034600000004</v>
      </c>
      <c r="DH170" s="355">
        <f>SUM(CZ170:DG170)-DB170-DD170</f>
        <v>4465.1003460000002</v>
      </c>
      <c r="DI170" s="355">
        <f>IF($CP170="UNHESA LIQUIDOS",$AV170+$BE170+$BN170+$BW170+$CF170,0)</f>
        <v>0</v>
      </c>
      <c r="DJ170" s="355">
        <f>IF($CP170="UNHESA LIQUIDOS",$AW170+$BF170+$BO170+$BX170+$CG170,0)</f>
        <v>0</v>
      </c>
      <c r="DK170" s="355">
        <f>IF($CP170="UNHESA LIQUIDOS",$AX170+$BG170+$BP170+$BY170+$CH170,0)</f>
        <v>0</v>
      </c>
      <c r="DL170" s="355">
        <f>IF($CP170="UNHESA LIQUIDOS",$AY170+$BH170+$BQ170+$BZ170+$CI170,0)</f>
        <v>0</v>
      </c>
      <c r="DM170" s="355">
        <f>IF($CP170="UNHESA LIQUIDOS",$AZ170+$BI170+$BR170+$CA170+$CJ170,0)</f>
        <v>0</v>
      </c>
      <c r="DN170" s="355">
        <f>IF($CP170="UNHESA LIQUIDOS",$BA170+$BJ170+$BS170+$CB170+$CK170,0)</f>
        <v>0</v>
      </c>
      <c r="DO170" s="355">
        <f>IF($CP170="UNHESA LIQUIDOS",$BB170+$BK170+$BT170+$CC170+$CL170,0)</f>
        <v>0</v>
      </c>
      <c r="DP170" s="355">
        <f>IF($CP170="UNHESA LIQUIDOS",$BC170+$BL170+$BU170+$CD170+$CM170,0)</f>
        <v>0</v>
      </c>
      <c r="DQ170" s="355">
        <f>SUM(DI170:DP170)-DK170-DM170</f>
        <v>0</v>
      </c>
      <c r="DR170" s="1687">
        <f>IF($CP170="ECONACIONAL",$AV170+$BE170+$BN170+$BW170+$CF170,0)</f>
        <v>0</v>
      </c>
      <c r="DS170" s="1688">
        <f>IF($CP170="ECONACIONAL",$AW170+$BF170+$BO170+$BX170+$CG170,0)</f>
        <v>0</v>
      </c>
      <c r="DT170" s="1688">
        <f>IF($CP170="ECONACIONAL",$AX170+$BG170+$BP170+$BY170+$CH170,0)</f>
        <v>0</v>
      </c>
      <c r="DU170" s="1688">
        <f>IF($CP170="ECONACIONAL",$AY170+$BH170+$BQ170+$BZ170+$CI170,0)</f>
        <v>0</v>
      </c>
      <c r="DV170" s="1688">
        <f>IF($CP170="ECONACIONAL",$AZ170+$BI170+$BR170+$CA170+$CJ170,0)</f>
        <v>0</v>
      </c>
      <c r="DW170" s="1688">
        <f>IF($CP170="ECONACIONAL",$BA170+$BJ170+$BS170+$CB170+$CK170,0)</f>
        <v>0</v>
      </c>
      <c r="DX170" s="1688">
        <f>IF($CP170="ECONACIONAL",$BB170+$BK170+$BT170+$CC170+$CL170,0)</f>
        <v>0</v>
      </c>
      <c r="DY170" s="1688">
        <f>IF($CP170="ECONACIONAL",$BC170+$BL170+$BU170+$CD170+$CM170,0)</f>
        <v>0</v>
      </c>
      <c r="DZ170" s="1688">
        <f>SUM(DR170:DY170)-DT170-DV170</f>
        <v>0</v>
      </c>
      <c r="EA170" s="1688">
        <f>IF($CP170="CLEARTEC",$AV170+$BE170+$BN170+$BW170+$CF170,0)</f>
        <v>0</v>
      </c>
      <c r="EB170" s="1688">
        <f>IF($CP170="CLEARTEC",$AW170+$BF170+$BO170+$BX170+$CG170,0)</f>
        <v>0</v>
      </c>
      <c r="EC170" s="1688">
        <f>IF($CP170="CLEARTEC",$AX170+$BG170+$BP170+$BY170+$CH170,0)</f>
        <v>0</v>
      </c>
      <c r="ED170" s="1688">
        <f>IF($CP170="CLEARTEC",$AY170+$BH170+$BQ170+$BZ170+$CI170,0)</f>
        <v>0</v>
      </c>
      <c r="EE170" s="1688">
        <f>IF($CP170="CLEARTEC",$AZ170+$BI170+$BR170+$CA170+$CJ170,0)</f>
        <v>0</v>
      </c>
      <c r="EF170" s="1688">
        <f>IF($CP170="CLEARTEC",$BA170+$BJ170+$BS170+$CB170+$CK170,0)</f>
        <v>0</v>
      </c>
      <c r="EG170" s="1688">
        <f>IF($CP170="CLEARTEC",$BB170+$BK170+$BT170+$CC170+$CL170,0)</f>
        <v>0</v>
      </c>
      <c r="EH170" s="1688">
        <f>IF($CP170="CLEARTEC",$BC170+$BL170+$BU170+$CD170+$CM170,0)</f>
        <v>0</v>
      </c>
      <c r="EI170" s="1689">
        <f>SUM(EA170:EH170)-EC170-EE170</f>
        <v>0</v>
      </c>
      <c r="EJ170" s="1474"/>
      <c r="EK170" s="365"/>
      <c r="EL170" s="1475"/>
      <c r="EM170" s="1440">
        <v>0</v>
      </c>
      <c r="EN170" s="313"/>
      <c r="EO170" s="365"/>
      <c r="EP170" s="1440">
        <v>50</v>
      </c>
      <c r="EQ170" s="1440"/>
      <c r="ER170" s="1440"/>
      <c r="ES170" s="1440"/>
      <c r="ET170" s="363">
        <f>+EO170+EP170+EQ170</f>
        <v>50</v>
      </c>
      <c r="EU170" s="1441"/>
      <c r="EV170" s="313">
        <f t="shared" ref="EV170:FC170" si="3054">IF($H170&lt;=15,EK170/2,EK170)</f>
        <v>0</v>
      </c>
      <c r="EW170" s="313">
        <f t="shared" si="3054"/>
        <v>0</v>
      </c>
      <c r="EX170" s="313">
        <f t="shared" si="3054"/>
        <v>0</v>
      </c>
      <c r="EY170" s="313">
        <f t="shared" si="3054"/>
        <v>0</v>
      </c>
      <c r="EZ170" s="313">
        <f t="shared" si="3054"/>
        <v>0</v>
      </c>
      <c r="FA170" s="313">
        <f t="shared" si="3054"/>
        <v>50</v>
      </c>
      <c r="FB170" s="313">
        <f t="shared" si="3054"/>
        <v>0</v>
      </c>
      <c r="FC170" s="313">
        <f t="shared" si="3054"/>
        <v>0</v>
      </c>
      <c r="FD170" s="313">
        <f>IF($H170&lt;=15,ES170/2,ES170)</f>
        <v>0</v>
      </c>
      <c r="FE170" s="313">
        <f>IF($H170&lt;=15,ET170/2,ET170)</f>
        <v>50</v>
      </c>
      <c r="FF170" s="364">
        <v>0</v>
      </c>
      <c r="FG170" s="364">
        <v>1</v>
      </c>
      <c r="FH170" s="364">
        <v>0</v>
      </c>
      <c r="FI170" s="364">
        <v>0</v>
      </c>
      <c r="FJ170" s="364">
        <v>0</v>
      </c>
      <c r="FK170" s="364">
        <v>1</v>
      </c>
      <c r="FL170" s="1441">
        <f t="shared" si="2482"/>
        <v>0</v>
      </c>
    </row>
    <row r="171" spans="1:260" s="1474" customFormat="1" ht="15.75" customHeight="1" outlineLevel="1" thickBot="1">
      <c r="A171" s="1403"/>
      <c r="B171" s="1442"/>
      <c r="C171" s="1348"/>
      <c r="D171" s="1414"/>
      <c r="E171" s="1552">
        <f>SUM(E170:E170)</f>
        <v>3166.38</v>
      </c>
      <c r="F171" s="1547">
        <f>SUM(F170:F170)</f>
        <v>250</v>
      </c>
      <c r="G171" s="1547">
        <f>SUM(G170:G170)</f>
        <v>3416.38</v>
      </c>
      <c r="H171" s="1531"/>
      <c r="I171" s="1531"/>
      <c r="J171" s="1531"/>
      <c r="K171" s="1531"/>
      <c r="L171" s="1531"/>
      <c r="M171" s="1531"/>
      <c r="N171" s="1531"/>
      <c r="O171" s="1531"/>
      <c r="P171" s="1547">
        <f t="shared" ref="P171:AU171" si="3055">SUM(P170:P170)</f>
        <v>0</v>
      </c>
      <c r="Q171" s="1547">
        <f t="shared" si="3055"/>
        <v>0</v>
      </c>
      <c r="R171" s="1547">
        <f t="shared" si="3055"/>
        <v>0</v>
      </c>
      <c r="S171" s="1547">
        <f t="shared" si="3055"/>
        <v>0</v>
      </c>
      <c r="T171" s="1547">
        <f t="shared" si="3055"/>
        <v>0</v>
      </c>
      <c r="U171" s="1547">
        <f t="shared" si="3055"/>
        <v>0</v>
      </c>
      <c r="V171" s="1547">
        <f t="shared" si="3055"/>
        <v>0</v>
      </c>
      <c r="W171" s="1547">
        <f t="shared" si="3055"/>
        <v>0</v>
      </c>
      <c r="X171" s="1547">
        <f t="shared" si="3055"/>
        <v>0</v>
      </c>
      <c r="Y171" s="1547">
        <f t="shared" si="3055"/>
        <v>0</v>
      </c>
      <c r="Z171" s="1547">
        <f t="shared" si="3055"/>
        <v>0</v>
      </c>
      <c r="AA171" s="1547">
        <f t="shared" si="3055"/>
        <v>0</v>
      </c>
      <c r="AB171" s="1547">
        <f t="shared" si="3055"/>
        <v>0</v>
      </c>
      <c r="AC171" s="1547">
        <f t="shared" si="3055"/>
        <v>0</v>
      </c>
      <c r="AD171" s="1547">
        <f t="shared" si="3055"/>
        <v>0</v>
      </c>
      <c r="AE171" s="1547">
        <f t="shared" si="3055"/>
        <v>0</v>
      </c>
      <c r="AF171" s="1547">
        <f t="shared" si="3055"/>
        <v>0</v>
      </c>
      <c r="AG171" s="1547">
        <f t="shared" si="3055"/>
        <v>0</v>
      </c>
      <c r="AH171" s="1547">
        <f t="shared" si="3055"/>
        <v>0</v>
      </c>
      <c r="AI171" s="1547">
        <f t="shared" si="3055"/>
        <v>0</v>
      </c>
      <c r="AJ171" s="1547">
        <f t="shared" si="3055"/>
        <v>0</v>
      </c>
      <c r="AK171" s="1547">
        <f t="shared" si="3055"/>
        <v>0</v>
      </c>
      <c r="AL171" s="1547">
        <f t="shared" si="3055"/>
        <v>0</v>
      </c>
      <c r="AM171" s="1547">
        <f t="shared" si="3055"/>
        <v>0</v>
      </c>
      <c r="AN171" s="1547">
        <f t="shared" si="3055"/>
        <v>0</v>
      </c>
      <c r="AO171" s="1547">
        <f t="shared" si="3055"/>
        <v>0</v>
      </c>
      <c r="AP171" s="1547">
        <f t="shared" si="3055"/>
        <v>0</v>
      </c>
      <c r="AQ171" s="1547">
        <f t="shared" si="3055"/>
        <v>0</v>
      </c>
      <c r="AR171" s="1547">
        <f t="shared" si="3055"/>
        <v>0</v>
      </c>
      <c r="AS171" s="1547">
        <f t="shared" si="3055"/>
        <v>0</v>
      </c>
      <c r="AT171" s="1547">
        <f t="shared" si="3055"/>
        <v>0</v>
      </c>
      <c r="AU171" s="1547">
        <f t="shared" si="3055"/>
        <v>0</v>
      </c>
      <c r="AV171" s="1547">
        <f t="shared" ref="AV171:CA171" si="3056">SUM(AV170:AV170)</f>
        <v>0</v>
      </c>
      <c r="AW171" s="1547">
        <f t="shared" si="3056"/>
        <v>0</v>
      </c>
      <c r="AX171" s="1547">
        <f t="shared" si="3056"/>
        <v>0</v>
      </c>
      <c r="AY171" s="1547">
        <f t="shared" si="3056"/>
        <v>0</v>
      </c>
      <c r="AZ171" s="1547">
        <f t="shared" si="3056"/>
        <v>0</v>
      </c>
      <c r="BA171" s="1547">
        <f t="shared" si="3056"/>
        <v>0</v>
      </c>
      <c r="BB171" s="1547">
        <f t="shared" si="3056"/>
        <v>0</v>
      </c>
      <c r="BC171" s="1547">
        <f t="shared" si="3056"/>
        <v>0</v>
      </c>
      <c r="BD171" s="1547">
        <f t="shared" si="3056"/>
        <v>0</v>
      </c>
      <c r="BE171" s="1547">
        <f t="shared" si="3056"/>
        <v>3166.38</v>
      </c>
      <c r="BF171" s="1547">
        <f>SUM(BF170:BF170)</f>
        <v>897.54</v>
      </c>
      <c r="BG171" s="1547">
        <f t="shared" si="3056"/>
        <v>0</v>
      </c>
      <c r="BH171" s="1547">
        <f t="shared" si="3056"/>
        <v>0</v>
      </c>
      <c r="BI171" s="1547">
        <f t="shared" si="3056"/>
        <v>0</v>
      </c>
      <c r="BJ171" s="1547">
        <f t="shared" si="3056"/>
        <v>0</v>
      </c>
      <c r="BK171" s="1547">
        <f t="shared" si="3056"/>
        <v>0</v>
      </c>
      <c r="BL171" s="1547">
        <f t="shared" si="3056"/>
        <v>401.18034600000004</v>
      </c>
      <c r="BM171" s="1547">
        <f t="shared" si="3056"/>
        <v>4465.1003460000002</v>
      </c>
      <c r="BN171" s="1547">
        <f t="shared" si="3056"/>
        <v>0</v>
      </c>
      <c r="BO171" s="1547">
        <f t="shared" si="3056"/>
        <v>0</v>
      </c>
      <c r="BP171" s="1547">
        <f t="shared" si="3056"/>
        <v>0</v>
      </c>
      <c r="BQ171" s="1547">
        <f t="shared" si="3056"/>
        <v>0</v>
      </c>
      <c r="BR171" s="1547">
        <f t="shared" si="3056"/>
        <v>0</v>
      </c>
      <c r="BS171" s="1547">
        <f t="shared" si="3056"/>
        <v>0</v>
      </c>
      <c r="BT171" s="1547">
        <f t="shared" si="3056"/>
        <v>0</v>
      </c>
      <c r="BU171" s="1547">
        <f t="shared" si="3056"/>
        <v>0</v>
      </c>
      <c r="BV171" s="1547">
        <f t="shared" si="3056"/>
        <v>0</v>
      </c>
      <c r="BW171" s="1690">
        <f t="shared" si="3056"/>
        <v>0</v>
      </c>
      <c r="BX171" s="1691">
        <f t="shared" si="3056"/>
        <v>0</v>
      </c>
      <c r="BY171" s="1691">
        <f t="shared" si="3056"/>
        <v>0</v>
      </c>
      <c r="BZ171" s="1691">
        <f t="shared" si="3056"/>
        <v>0</v>
      </c>
      <c r="CA171" s="1691">
        <f t="shared" si="3056"/>
        <v>0</v>
      </c>
      <c r="CB171" s="1691">
        <f t="shared" ref="CB171:DG171" si="3057">SUM(CB170:CB170)</f>
        <v>0</v>
      </c>
      <c r="CC171" s="1691">
        <f t="shared" si="3057"/>
        <v>0</v>
      </c>
      <c r="CD171" s="1691">
        <f t="shared" si="3057"/>
        <v>0</v>
      </c>
      <c r="CE171" s="1691">
        <f t="shared" si="3057"/>
        <v>0</v>
      </c>
      <c r="CF171" s="1691">
        <f t="shared" si="3057"/>
        <v>0</v>
      </c>
      <c r="CG171" s="1691">
        <f t="shared" si="3057"/>
        <v>0</v>
      </c>
      <c r="CH171" s="1691">
        <f t="shared" si="3057"/>
        <v>0</v>
      </c>
      <c r="CI171" s="1691">
        <f t="shared" si="3057"/>
        <v>0</v>
      </c>
      <c r="CJ171" s="1691">
        <f t="shared" si="3057"/>
        <v>0</v>
      </c>
      <c r="CK171" s="1691">
        <f t="shared" si="3057"/>
        <v>0</v>
      </c>
      <c r="CL171" s="1691">
        <f t="shared" si="3057"/>
        <v>0</v>
      </c>
      <c r="CM171" s="1691">
        <f t="shared" si="3057"/>
        <v>0</v>
      </c>
      <c r="CN171" s="1692">
        <f t="shared" si="3057"/>
        <v>0</v>
      </c>
      <c r="CO171" s="1531">
        <f t="shared" si="3057"/>
        <v>0</v>
      </c>
      <c r="CP171" s="1655">
        <f t="shared" si="3057"/>
        <v>0</v>
      </c>
      <c r="CQ171" s="1655">
        <f t="shared" si="3057"/>
        <v>0</v>
      </c>
      <c r="CR171" s="1655">
        <f t="shared" si="3057"/>
        <v>0</v>
      </c>
      <c r="CS171" s="1655">
        <f t="shared" si="3057"/>
        <v>0</v>
      </c>
      <c r="CT171" s="1655">
        <f t="shared" si="3057"/>
        <v>0</v>
      </c>
      <c r="CU171" s="1655">
        <f t="shared" si="3057"/>
        <v>0</v>
      </c>
      <c r="CV171" s="1655">
        <f t="shared" si="3057"/>
        <v>0</v>
      </c>
      <c r="CW171" s="1655">
        <f t="shared" si="3057"/>
        <v>0</v>
      </c>
      <c r="CX171" s="1655">
        <f t="shared" si="3057"/>
        <v>0</v>
      </c>
      <c r="CY171" s="1655">
        <f t="shared" si="3057"/>
        <v>0</v>
      </c>
      <c r="CZ171" s="1655">
        <f t="shared" si="3057"/>
        <v>3166.38</v>
      </c>
      <c r="DA171" s="1655">
        <f t="shared" si="3057"/>
        <v>897.54</v>
      </c>
      <c r="DB171" s="1655">
        <f t="shared" si="3057"/>
        <v>0</v>
      </c>
      <c r="DC171" s="1655">
        <f t="shared" si="3057"/>
        <v>0</v>
      </c>
      <c r="DD171" s="1655">
        <f t="shared" si="3057"/>
        <v>0</v>
      </c>
      <c r="DE171" s="1655">
        <f t="shared" si="3057"/>
        <v>0</v>
      </c>
      <c r="DF171" s="1655">
        <f t="shared" si="3057"/>
        <v>0</v>
      </c>
      <c r="DG171" s="1655">
        <f t="shared" si="3057"/>
        <v>401.18034600000004</v>
      </c>
      <c r="DH171" s="1655">
        <f t="shared" ref="DH171:EM171" si="3058">SUM(DH170:DH170)</f>
        <v>4465.1003460000002</v>
      </c>
      <c r="DI171" s="1655">
        <f t="shared" si="3058"/>
        <v>0</v>
      </c>
      <c r="DJ171" s="1655">
        <f t="shared" si="3058"/>
        <v>0</v>
      </c>
      <c r="DK171" s="1655">
        <f t="shared" si="3058"/>
        <v>0</v>
      </c>
      <c r="DL171" s="1655">
        <f t="shared" si="3058"/>
        <v>0</v>
      </c>
      <c r="DM171" s="1655">
        <f t="shared" si="3058"/>
        <v>0</v>
      </c>
      <c r="DN171" s="1655">
        <f t="shared" si="3058"/>
        <v>0</v>
      </c>
      <c r="DO171" s="1655">
        <f t="shared" si="3058"/>
        <v>0</v>
      </c>
      <c r="DP171" s="1655">
        <f t="shared" si="3058"/>
        <v>0</v>
      </c>
      <c r="DQ171" s="1655">
        <f t="shared" si="3058"/>
        <v>0</v>
      </c>
      <c r="DR171" s="1690">
        <f t="shared" si="3058"/>
        <v>0</v>
      </c>
      <c r="DS171" s="1691">
        <f t="shared" si="3058"/>
        <v>0</v>
      </c>
      <c r="DT171" s="1691">
        <f t="shared" si="3058"/>
        <v>0</v>
      </c>
      <c r="DU171" s="1691">
        <f t="shared" si="3058"/>
        <v>0</v>
      </c>
      <c r="DV171" s="1691">
        <f t="shared" si="3058"/>
        <v>0</v>
      </c>
      <c r="DW171" s="1691">
        <f t="shared" si="3058"/>
        <v>0</v>
      </c>
      <c r="DX171" s="1691">
        <f t="shared" si="3058"/>
        <v>0</v>
      </c>
      <c r="DY171" s="1691">
        <f t="shared" si="3058"/>
        <v>0</v>
      </c>
      <c r="DZ171" s="1691">
        <f t="shared" si="3058"/>
        <v>0</v>
      </c>
      <c r="EA171" s="1691">
        <f t="shared" si="3058"/>
        <v>0</v>
      </c>
      <c r="EB171" s="1691">
        <f t="shared" si="3058"/>
        <v>0</v>
      </c>
      <c r="EC171" s="1691">
        <f t="shared" si="3058"/>
        <v>0</v>
      </c>
      <c r="ED171" s="1691">
        <f t="shared" si="3058"/>
        <v>0</v>
      </c>
      <c r="EE171" s="1691">
        <f t="shared" si="3058"/>
        <v>0</v>
      </c>
      <c r="EF171" s="1691">
        <f t="shared" si="3058"/>
        <v>0</v>
      </c>
      <c r="EG171" s="1691">
        <f t="shared" si="3058"/>
        <v>0</v>
      </c>
      <c r="EH171" s="1691">
        <f t="shared" si="3058"/>
        <v>0</v>
      </c>
      <c r="EI171" s="1692">
        <f t="shared" si="3058"/>
        <v>0</v>
      </c>
      <c r="EJ171" s="1531"/>
      <c r="EK171" s="1655">
        <f t="shared" si="3058"/>
        <v>0</v>
      </c>
      <c r="EL171" s="1655">
        <f t="shared" si="3058"/>
        <v>0</v>
      </c>
      <c r="EM171" s="1655">
        <f t="shared" si="3058"/>
        <v>0</v>
      </c>
      <c r="EN171" s="1666">
        <f t="shared" ref="EN171:FE171" si="3059">SUM(EN170:EN170)</f>
        <v>0</v>
      </c>
      <c r="EO171" s="1655">
        <f t="shared" si="3059"/>
        <v>0</v>
      </c>
      <c r="EP171" s="1655">
        <f t="shared" si="3059"/>
        <v>50</v>
      </c>
      <c r="EQ171" s="1655">
        <f>SUM(EQ170:EQ170)</f>
        <v>0</v>
      </c>
      <c r="ER171" s="1655">
        <f t="shared" si="3059"/>
        <v>0</v>
      </c>
      <c r="ES171" s="1655">
        <f t="shared" si="3059"/>
        <v>0</v>
      </c>
      <c r="ET171" s="1655">
        <f t="shared" si="3059"/>
        <v>50</v>
      </c>
      <c r="EU171" s="1531">
        <f t="shared" si="3059"/>
        <v>0</v>
      </c>
      <c r="EV171" s="1655">
        <f t="shared" si="3059"/>
        <v>0</v>
      </c>
      <c r="EW171" s="1655">
        <f t="shared" si="3059"/>
        <v>0</v>
      </c>
      <c r="EX171" s="1655">
        <f t="shared" si="3059"/>
        <v>0</v>
      </c>
      <c r="EY171" s="1655">
        <f t="shared" si="3059"/>
        <v>0</v>
      </c>
      <c r="EZ171" s="1655">
        <f t="shared" si="3059"/>
        <v>0</v>
      </c>
      <c r="FA171" s="1655">
        <f t="shared" si="3059"/>
        <v>50</v>
      </c>
      <c r="FB171" s="1655">
        <f t="shared" si="3059"/>
        <v>0</v>
      </c>
      <c r="FC171" s="1655">
        <f t="shared" si="3059"/>
        <v>0</v>
      </c>
      <c r="FD171" s="1655">
        <f t="shared" si="3059"/>
        <v>0</v>
      </c>
      <c r="FE171" s="1655">
        <f t="shared" si="3059"/>
        <v>50</v>
      </c>
      <c r="FF171" s="1448"/>
      <c r="FG171" s="1448"/>
      <c r="FH171" s="1448"/>
      <c r="FI171" s="1448"/>
      <c r="FJ171" s="1448"/>
      <c r="FK171" s="1448"/>
      <c r="FL171" s="1441">
        <f t="shared" si="2482"/>
        <v>0</v>
      </c>
    </row>
    <row r="172" spans="1:260" s="1474" customFormat="1" ht="15.75" customHeight="1" outlineLevel="1" thickTop="1">
      <c r="A172" s="1403"/>
      <c r="B172" s="1348" t="s">
        <v>484</v>
      </c>
      <c r="C172" s="1403"/>
      <c r="D172" s="1414"/>
      <c r="E172" s="1450"/>
      <c r="F172" s="1451"/>
      <c r="G172" s="1451"/>
      <c r="H172" s="1444"/>
      <c r="I172" s="1445"/>
      <c r="J172" s="1546"/>
      <c r="K172" s="1445"/>
      <c r="L172" s="1445"/>
      <c r="M172" s="1445"/>
      <c r="N172" s="1445"/>
      <c r="P172" s="1565"/>
      <c r="Q172" s="1444"/>
      <c r="R172" s="1452"/>
      <c r="S172" s="1444"/>
      <c r="T172" s="1452"/>
      <c r="U172" s="1444"/>
      <c r="V172" s="1452"/>
      <c r="W172" s="1444"/>
      <c r="X172" s="1452"/>
      <c r="Y172" s="1444"/>
      <c r="Z172" s="1453"/>
      <c r="AA172" s="1444"/>
      <c r="AB172" s="1453"/>
      <c r="AC172" s="1444"/>
      <c r="AD172" s="1453"/>
      <c r="AE172" s="1444"/>
      <c r="AF172" s="1444"/>
      <c r="AG172" s="1444"/>
      <c r="AH172" s="1453"/>
      <c r="AI172" s="1444"/>
      <c r="AJ172" s="1451"/>
      <c r="AK172" s="1451"/>
      <c r="AL172" s="1451"/>
      <c r="AM172" s="1451"/>
      <c r="AN172" s="1451"/>
      <c r="AO172" s="1451"/>
      <c r="AP172" s="1451"/>
      <c r="AQ172" s="1451"/>
      <c r="AR172" s="1451"/>
      <c r="AS172" s="1451"/>
      <c r="AT172" s="1451"/>
      <c r="AU172" s="1517"/>
      <c r="AV172" s="1444"/>
      <c r="AW172" s="1444"/>
      <c r="AX172" s="1444"/>
      <c r="AY172" s="1444"/>
      <c r="AZ172" s="1444"/>
      <c r="BA172" s="1444"/>
      <c r="BB172" s="1444"/>
      <c r="BC172" s="1444"/>
      <c r="BD172" s="1444"/>
      <c r="BE172" s="1444"/>
      <c r="BF172" s="1444"/>
      <c r="BG172" s="1444"/>
      <c r="BH172" s="1444"/>
      <c r="BI172" s="1444"/>
      <c r="BJ172" s="1444"/>
      <c r="BK172" s="1444"/>
      <c r="BL172" s="1444"/>
      <c r="BM172" s="1451"/>
      <c r="BN172" s="1444"/>
      <c r="BO172" s="1444"/>
      <c r="BP172" s="1444"/>
      <c r="BQ172" s="1444"/>
      <c r="BR172" s="1444"/>
      <c r="BS172" s="1444"/>
      <c r="BT172" s="1444"/>
      <c r="BU172" s="1444"/>
      <c r="BV172" s="1444"/>
      <c r="BW172" s="1444"/>
      <c r="BX172" s="1444"/>
      <c r="BY172" s="1444"/>
      <c r="BZ172" s="1444"/>
      <c r="CA172" s="1444"/>
      <c r="CB172" s="1444"/>
      <c r="CC172" s="1444"/>
      <c r="CD172" s="1444"/>
      <c r="CE172" s="1444"/>
      <c r="CF172" s="1444"/>
      <c r="CG172" s="1444"/>
      <c r="CH172" s="1444"/>
      <c r="CI172" s="1444"/>
      <c r="CJ172" s="1444"/>
      <c r="CK172" s="1444"/>
      <c r="CL172" s="1444"/>
      <c r="CM172" s="1444"/>
      <c r="CN172" s="1444"/>
      <c r="CP172" s="1414"/>
      <c r="CQ172" s="1444"/>
      <c r="CR172" s="1444"/>
      <c r="CS172" s="1444"/>
      <c r="CT172" s="1444"/>
      <c r="CU172" s="1444"/>
      <c r="CV172" s="1444"/>
      <c r="CW172" s="1444"/>
      <c r="CX172" s="1444"/>
      <c r="CY172" s="1444"/>
      <c r="CZ172" s="1444"/>
      <c r="DA172" s="1444"/>
      <c r="DB172" s="1444"/>
      <c r="DC172" s="1444"/>
      <c r="DD172" s="1444"/>
      <c r="DE172" s="1444"/>
      <c r="DF172" s="1444"/>
      <c r="DG172" s="1444"/>
      <c r="DH172" s="1444"/>
      <c r="DI172" s="1444"/>
      <c r="DJ172" s="1444"/>
      <c r="DK172" s="1444"/>
      <c r="DL172" s="1444"/>
      <c r="DM172" s="1444"/>
      <c r="DN172" s="1444"/>
      <c r="DO172" s="1444"/>
      <c r="DP172" s="1444"/>
      <c r="DQ172" s="1444"/>
      <c r="DR172" s="1444"/>
      <c r="DS172" s="1444"/>
      <c r="DT172" s="1444"/>
      <c r="DU172" s="1444"/>
      <c r="DV172" s="1444"/>
      <c r="DW172" s="1444"/>
      <c r="DX172" s="1444"/>
      <c r="DY172" s="1444"/>
      <c r="DZ172" s="1444"/>
      <c r="EA172" s="1444"/>
      <c r="EB172" s="1444"/>
      <c r="EC172" s="1444"/>
      <c r="ED172" s="1444"/>
      <c r="EE172" s="1444"/>
      <c r="EF172" s="1444"/>
      <c r="EG172" s="1444"/>
      <c r="EH172" s="1444"/>
      <c r="EI172" s="1444"/>
      <c r="EK172" s="1403"/>
      <c r="EM172" s="1339"/>
      <c r="EN172" s="1582"/>
      <c r="EO172" s="1403"/>
      <c r="EP172" s="1339"/>
      <c r="EQ172" s="1339"/>
      <c r="ER172" s="1339"/>
      <c r="ES172" s="1403"/>
      <c r="ET172" s="1414"/>
      <c r="EU172" s="1414"/>
      <c r="EV172" s="1414"/>
      <c r="EW172" s="1414"/>
      <c r="EX172" s="1414"/>
      <c r="EY172" s="1414"/>
      <c r="EZ172" s="1414"/>
      <c r="FA172" s="1414"/>
      <c r="FB172" s="1414"/>
      <c r="FC172" s="1414"/>
      <c r="FD172" s="1414"/>
      <c r="FE172" s="1414"/>
      <c r="FF172" s="1674"/>
      <c r="FG172" s="1674"/>
      <c r="FH172" s="1674"/>
      <c r="FI172" s="1674"/>
      <c r="FJ172" s="1674"/>
      <c r="FK172" s="1674"/>
      <c r="FL172" s="1414">
        <f t="shared" si="2482"/>
        <v>0</v>
      </c>
    </row>
    <row r="173" spans="1:260" s="1474" customFormat="1" ht="15" customHeight="1" outlineLevel="1">
      <c r="A173" s="1403"/>
      <c r="B173" s="213"/>
      <c r="C173" s="1693"/>
      <c r="D173" s="363"/>
      <c r="E173" s="1526">
        <v>0</v>
      </c>
      <c r="F173" s="1502">
        <v>0</v>
      </c>
      <c r="G173" s="1502">
        <v>0</v>
      </c>
      <c r="H173" s="1502">
        <v>0</v>
      </c>
      <c r="I173" s="1502">
        <v>0</v>
      </c>
      <c r="J173" s="1502">
        <v>0</v>
      </c>
      <c r="K173" s="1502">
        <v>0</v>
      </c>
      <c r="L173" s="1502">
        <v>0</v>
      </c>
      <c r="M173" s="1502">
        <v>0</v>
      </c>
      <c r="N173" s="1502">
        <v>0</v>
      </c>
      <c r="O173" s="1531"/>
      <c r="P173" s="1694">
        <v>0</v>
      </c>
      <c r="Q173" s="1694">
        <v>0</v>
      </c>
      <c r="R173" s="1694">
        <v>0</v>
      </c>
      <c r="S173" s="1694">
        <v>0</v>
      </c>
      <c r="T173" s="1694">
        <v>0</v>
      </c>
      <c r="U173" s="1694">
        <v>0</v>
      </c>
      <c r="V173" s="1694">
        <v>0</v>
      </c>
      <c r="W173" s="1694">
        <v>0</v>
      </c>
      <c r="X173" s="1694">
        <v>0</v>
      </c>
      <c r="Y173" s="1694">
        <v>0</v>
      </c>
      <c r="Z173" s="1694">
        <v>0</v>
      </c>
      <c r="AA173" s="1694">
        <v>0</v>
      </c>
      <c r="AB173" s="1694">
        <v>0</v>
      </c>
      <c r="AC173" s="1694">
        <v>0</v>
      </c>
      <c r="AD173" s="1694">
        <v>0</v>
      </c>
      <c r="AE173" s="1694">
        <v>0</v>
      </c>
      <c r="AF173" s="1694">
        <v>0</v>
      </c>
      <c r="AG173" s="1694">
        <v>0</v>
      </c>
      <c r="AH173" s="1694">
        <v>0</v>
      </c>
      <c r="AI173" s="1694">
        <v>0</v>
      </c>
      <c r="AJ173" s="1694">
        <v>0</v>
      </c>
      <c r="AK173" s="1694">
        <v>0</v>
      </c>
      <c r="AL173" s="1694">
        <v>0</v>
      </c>
      <c r="AM173" s="1694">
        <v>0</v>
      </c>
      <c r="AN173" s="1694">
        <v>0</v>
      </c>
      <c r="AO173" s="1694">
        <v>0</v>
      </c>
      <c r="AP173" s="1694">
        <v>0</v>
      </c>
      <c r="AQ173" s="1694">
        <v>0</v>
      </c>
      <c r="AR173" s="1694">
        <v>0</v>
      </c>
      <c r="AS173" s="1694">
        <v>0</v>
      </c>
      <c r="AT173" s="1694">
        <v>0</v>
      </c>
      <c r="AU173" s="1694">
        <v>0</v>
      </c>
      <c r="AV173" s="1694">
        <v>0</v>
      </c>
      <c r="AW173" s="1694">
        <v>0</v>
      </c>
      <c r="AX173" s="1694">
        <v>0</v>
      </c>
      <c r="AY173" s="1694">
        <v>0</v>
      </c>
      <c r="AZ173" s="1694">
        <v>0</v>
      </c>
      <c r="BA173" s="1694">
        <v>0</v>
      </c>
      <c r="BB173" s="1694">
        <v>0</v>
      </c>
      <c r="BC173" s="1694">
        <v>0</v>
      </c>
      <c r="BD173" s="1694">
        <v>0</v>
      </c>
      <c r="BE173" s="1694">
        <v>0</v>
      </c>
      <c r="BF173" s="1694">
        <v>0</v>
      </c>
      <c r="BG173" s="1694">
        <v>0</v>
      </c>
      <c r="BH173" s="1694">
        <v>0</v>
      </c>
      <c r="BI173" s="1694">
        <v>0</v>
      </c>
      <c r="BJ173" s="1694">
        <v>0</v>
      </c>
      <c r="BK173" s="1694">
        <v>0</v>
      </c>
      <c r="BL173" s="1694">
        <v>0</v>
      </c>
      <c r="BM173" s="1694">
        <v>0</v>
      </c>
      <c r="BN173" s="1694">
        <v>0</v>
      </c>
      <c r="BO173" s="1694">
        <v>0</v>
      </c>
      <c r="BP173" s="1694">
        <v>0</v>
      </c>
      <c r="BQ173" s="1694">
        <v>0</v>
      </c>
      <c r="BR173" s="1694">
        <v>0</v>
      </c>
      <c r="BS173" s="1694">
        <v>0</v>
      </c>
      <c r="BT173" s="1694">
        <v>0</v>
      </c>
      <c r="BU173" s="1694">
        <v>0</v>
      </c>
      <c r="BV173" s="1694">
        <v>0</v>
      </c>
      <c r="BW173" s="1690">
        <v>0</v>
      </c>
      <c r="BX173" s="1691">
        <v>0</v>
      </c>
      <c r="BY173" s="1691">
        <v>0</v>
      </c>
      <c r="BZ173" s="1691">
        <v>0</v>
      </c>
      <c r="CA173" s="1691">
        <v>0</v>
      </c>
      <c r="CB173" s="1691">
        <v>0</v>
      </c>
      <c r="CC173" s="1691">
        <v>0</v>
      </c>
      <c r="CD173" s="1691">
        <v>0</v>
      </c>
      <c r="CE173" s="1691">
        <v>0</v>
      </c>
      <c r="CF173" s="1691">
        <v>0</v>
      </c>
      <c r="CG173" s="1691">
        <v>0</v>
      </c>
      <c r="CH173" s="1691">
        <v>0</v>
      </c>
      <c r="CI173" s="1691">
        <v>0</v>
      </c>
      <c r="CJ173" s="1691">
        <v>0</v>
      </c>
      <c r="CK173" s="1691">
        <v>0</v>
      </c>
      <c r="CL173" s="1691">
        <v>0</v>
      </c>
      <c r="CM173" s="1691">
        <v>0</v>
      </c>
      <c r="CN173" s="1692">
        <v>0</v>
      </c>
      <c r="CO173" s="1531">
        <v>0</v>
      </c>
      <c r="CP173" s="1694">
        <v>0</v>
      </c>
      <c r="CQ173" s="1694">
        <v>0</v>
      </c>
      <c r="CR173" s="1694">
        <v>0</v>
      </c>
      <c r="CS173" s="1694">
        <v>0</v>
      </c>
      <c r="CT173" s="1694">
        <v>0</v>
      </c>
      <c r="CU173" s="1694">
        <v>0</v>
      </c>
      <c r="CV173" s="1694">
        <v>0</v>
      </c>
      <c r="CW173" s="1694">
        <v>0</v>
      </c>
      <c r="CX173" s="1694">
        <v>0</v>
      </c>
      <c r="CY173" s="1694">
        <v>0</v>
      </c>
      <c r="CZ173" s="1694">
        <v>0</v>
      </c>
      <c r="DA173" s="1694">
        <v>0</v>
      </c>
      <c r="DB173" s="1694">
        <v>0</v>
      </c>
      <c r="DC173" s="1694">
        <v>0</v>
      </c>
      <c r="DD173" s="1694">
        <v>0</v>
      </c>
      <c r="DE173" s="1694">
        <v>0</v>
      </c>
      <c r="DF173" s="1694">
        <v>0</v>
      </c>
      <c r="DG173" s="1694">
        <v>0</v>
      </c>
      <c r="DH173" s="1694">
        <v>0</v>
      </c>
      <c r="DI173" s="1694">
        <v>0</v>
      </c>
      <c r="DJ173" s="1694">
        <v>0</v>
      </c>
      <c r="DK173" s="1694">
        <v>0</v>
      </c>
      <c r="DL173" s="1694">
        <v>0</v>
      </c>
      <c r="DM173" s="1694">
        <v>0</v>
      </c>
      <c r="DN173" s="1694">
        <v>0</v>
      </c>
      <c r="DO173" s="1694">
        <v>0</v>
      </c>
      <c r="DP173" s="1694">
        <v>0</v>
      </c>
      <c r="DQ173" s="1694">
        <v>0</v>
      </c>
      <c r="DR173" s="1690">
        <v>0</v>
      </c>
      <c r="DS173" s="1691">
        <v>0</v>
      </c>
      <c r="DT173" s="1691">
        <v>0</v>
      </c>
      <c r="DU173" s="1691">
        <v>0</v>
      </c>
      <c r="DV173" s="1691">
        <v>0</v>
      </c>
      <c r="DW173" s="1691">
        <v>0</v>
      </c>
      <c r="DX173" s="1691">
        <v>0</v>
      </c>
      <c r="DY173" s="1691">
        <v>0</v>
      </c>
      <c r="DZ173" s="1691">
        <v>0</v>
      </c>
      <c r="EA173" s="1691">
        <v>0</v>
      </c>
      <c r="EB173" s="1691">
        <v>0</v>
      </c>
      <c r="EC173" s="1691">
        <v>0</v>
      </c>
      <c r="ED173" s="1691">
        <v>0</v>
      </c>
      <c r="EE173" s="1691">
        <v>0</v>
      </c>
      <c r="EF173" s="1691">
        <v>0</v>
      </c>
      <c r="EG173" s="1691">
        <v>0</v>
      </c>
      <c r="EH173" s="1691">
        <v>0</v>
      </c>
      <c r="EI173" s="1692">
        <v>0</v>
      </c>
      <c r="EJ173" s="1531"/>
      <c r="EK173" s="1694">
        <v>0</v>
      </c>
      <c r="EL173" s="1694">
        <v>0</v>
      </c>
      <c r="EM173" s="1694">
        <v>0</v>
      </c>
      <c r="EN173" s="1695">
        <v>0</v>
      </c>
      <c r="EO173" s="1694"/>
      <c r="EP173" s="1694">
        <v>0</v>
      </c>
      <c r="EQ173" s="1694">
        <v>0</v>
      </c>
      <c r="ER173" s="1694">
        <v>0</v>
      </c>
      <c r="ES173" s="1694">
        <v>0</v>
      </c>
      <c r="ET173" s="1694">
        <v>0</v>
      </c>
      <c r="EU173" s="1531">
        <v>0</v>
      </c>
      <c r="EV173" s="1655">
        <v>0</v>
      </c>
      <c r="EW173" s="1655">
        <v>0</v>
      </c>
      <c r="EX173" s="1655">
        <v>0</v>
      </c>
      <c r="EY173" s="1655">
        <v>0</v>
      </c>
      <c r="EZ173" s="1655">
        <v>0</v>
      </c>
      <c r="FA173" s="1655">
        <v>0</v>
      </c>
      <c r="FB173" s="1655">
        <v>0</v>
      </c>
      <c r="FC173" s="1655">
        <v>0</v>
      </c>
      <c r="FD173" s="1655">
        <v>0</v>
      </c>
      <c r="FE173" s="1655">
        <v>0</v>
      </c>
      <c r="FF173" s="364">
        <v>0</v>
      </c>
      <c r="FG173" s="364">
        <v>0</v>
      </c>
      <c r="FH173" s="364">
        <v>0</v>
      </c>
      <c r="FI173" s="364">
        <v>0</v>
      </c>
      <c r="FJ173" s="364">
        <v>0</v>
      </c>
      <c r="FK173" s="364">
        <v>0</v>
      </c>
      <c r="FL173" s="1441">
        <f t="shared" si="2482"/>
        <v>0</v>
      </c>
    </row>
    <row r="174" spans="1:260" s="1474" customFormat="1" ht="15" customHeight="1" outlineLevel="1">
      <c r="A174" s="1403"/>
      <c r="B174" s="1348" t="s">
        <v>483</v>
      </c>
      <c r="C174" s="1403"/>
      <c r="D174" s="1414"/>
      <c r="E174" s="1696"/>
      <c r="F174" s="1511"/>
      <c r="G174" s="1511"/>
      <c r="H174" s="1449"/>
      <c r="I174" s="1697"/>
      <c r="J174" s="1698"/>
      <c r="K174" s="1697"/>
      <c r="L174" s="1697"/>
      <c r="M174" s="1697"/>
      <c r="N174" s="1697"/>
      <c r="P174" s="1565"/>
      <c r="Q174" s="1444"/>
      <c r="R174" s="1452"/>
      <c r="S174" s="1444"/>
      <c r="T174" s="1452"/>
      <c r="U174" s="1444"/>
      <c r="V174" s="1452"/>
      <c r="W174" s="1444"/>
      <c r="X174" s="1452"/>
      <c r="Y174" s="1444"/>
      <c r="Z174" s="1453"/>
      <c r="AA174" s="1444"/>
      <c r="AB174" s="1453"/>
      <c r="AC174" s="1444"/>
      <c r="AD174" s="1453"/>
      <c r="AE174" s="1444"/>
      <c r="AF174" s="1444"/>
      <c r="AG174" s="1444"/>
      <c r="AH174" s="1453"/>
      <c r="AI174" s="1444"/>
      <c r="AJ174" s="1451"/>
      <c r="AK174" s="1451"/>
      <c r="AL174" s="1451"/>
      <c r="AM174" s="1451"/>
      <c r="AN174" s="1451"/>
      <c r="AO174" s="1451"/>
      <c r="AP174" s="1451"/>
      <c r="AQ174" s="1451"/>
      <c r="AR174" s="1451"/>
      <c r="AS174" s="1451"/>
      <c r="AT174" s="1451"/>
      <c r="AU174" s="1517"/>
      <c r="AV174" s="1444"/>
      <c r="AW174" s="1444"/>
      <c r="AX174" s="1444"/>
      <c r="AY174" s="1444"/>
      <c r="AZ174" s="1444"/>
      <c r="BA174" s="1444"/>
      <c r="BB174" s="1444"/>
      <c r="BC174" s="1444"/>
      <c r="BD174" s="1444"/>
      <c r="BE174" s="1444"/>
      <c r="BF174" s="1444"/>
      <c r="BG174" s="1444"/>
      <c r="BH174" s="1444"/>
      <c r="BI174" s="1444"/>
      <c r="BJ174" s="1444"/>
      <c r="BK174" s="1444"/>
      <c r="BL174" s="1444"/>
      <c r="BM174" s="1451"/>
      <c r="BN174" s="1444"/>
      <c r="BO174" s="1444"/>
      <c r="BP174" s="1444"/>
      <c r="BQ174" s="1444"/>
      <c r="BR174" s="1444"/>
      <c r="BS174" s="1444"/>
      <c r="BT174" s="1444"/>
      <c r="BU174" s="1444"/>
      <c r="BV174" s="1444"/>
      <c r="BW174" s="1444"/>
      <c r="BX174" s="1444"/>
      <c r="BY174" s="1444"/>
      <c r="BZ174" s="1444"/>
      <c r="CA174" s="1444"/>
      <c r="CB174" s="1444"/>
      <c r="CC174" s="1444"/>
      <c r="CD174" s="1444"/>
      <c r="CE174" s="1444"/>
      <c r="CF174" s="1444"/>
      <c r="CG174" s="1444"/>
      <c r="CH174" s="1444"/>
      <c r="CI174" s="1444"/>
      <c r="CJ174" s="1444"/>
      <c r="CK174" s="1444"/>
      <c r="CL174" s="1444"/>
      <c r="CM174" s="1444"/>
      <c r="CN174" s="1444"/>
      <c r="CP174" s="1414"/>
      <c r="CQ174" s="1444"/>
      <c r="CR174" s="1444"/>
      <c r="CS174" s="1444"/>
      <c r="CT174" s="1444"/>
      <c r="CU174" s="1444"/>
      <c r="CV174" s="1444"/>
      <c r="CW174" s="1444"/>
      <c r="CX174" s="1444"/>
      <c r="CY174" s="1444"/>
      <c r="CZ174" s="1444"/>
      <c r="DA174" s="1444"/>
      <c r="DB174" s="1444"/>
      <c r="DC174" s="1444"/>
      <c r="DD174" s="1444"/>
      <c r="DE174" s="1444"/>
      <c r="DF174" s="1444"/>
      <c r="DG174" s="1444"/>
      <c r="DH174" s="1444"/>
      <c r="DI174" s="1444"/>
      <c r="DJ174" s="1444"/>
      <c r="DK174" s="1444"/>
      <c r="DL174" s="1444"/>
      <c r="DM174" s="1444"/>
      <c r="DN174" s="1444"/>
      <c r="DO174" s="1444"/>
      <c r="DP174" s="1444"/>
      <c r="DQ174" s="1444"/>
      <c r="DR174" s="1444"/>
      <c r="DS174" s="1444"/>
      <c r="DT174" s="1444"/>
      <c r="DU174" s="1444"/>
      <c r="DV174" s="1444"/>
      <c r="DW174" s="1444"/>
      <c r="DX174" s="1444"/>
      <c r="DY174" s="1444"/>
      <c r="DZ174" s="1444"/>
      <c r="EA174" s="1444"/>
      <c r="EB174" s="1444"/>
      <c r="EC174" s="1444"/>
      <c r="ED174" s="1444"/>
      <c r="EE174" s="1444"/>
      <c r="EF174" s="1444"/>
      <c r="EG174" s="1444"/>
      <c r="EH174" s="1444"/>
      <c r="EI174" s="1444"/>
      <c r="EK174" s="1403"/>
      <c r="EM174" s="1339"/>
      <c r="EN174" s="1582"/>
      <c r="EO174" s="1403"/>
      <c r="EP174" s="1339"/>
      <c r="EQ174" s="1339"/>
      <c r="ER174" s="1339"/>
      <c r="ES174" s="1403"/>
      <c r="ET174" s="1414"/>
      <c r="EU174" s="1414"/>
      <c r="EV174" s="1414"/>
      <c r="EW174" s="1414"/>
      <c r="EX174" s="1414"/>
      <c r="EY174" s="1414"/>
      <c r="EZ174" s="1414"/>
      <c r="FA174" s="1414"/>
      <c r="FB174" s="1414"/>
      <c r="FC174" s="1414"/>
      <c r="FD174" s="1414"/>
      <c r="FE174" s="1414"/>
      <c r="FF174" s="1674"/>
      <c r="FG174" s="1674"/>
      <c r="FH174" s="1674"/>
      <c r="FI174" s="1674"/>
      <c r="FJ174" s="1674"/>
      <c r="FK174" s="1674"/>
      <c r="FL174" s="1414">
        <f t="shared" si="2482"/>
        <v>0</v>
      </c>
    </row>
    <row r="175" spans="1:260" s="1474" customFormat="1" ht="15" customHeight="1" outlineLevel="1">
      <c r="A175" s="1403"/>
      <c r="B175" s="213"/>
      <c r="C175" s="1693"/>
      <c r="D175" s="363"/>
      <c r="E175" s="1526">
        <v>0</v>
      </c>
      <c r="F175" s="1502">
        <v>0</v>
      </c>
      <c r="G175" s="1502">
        <v>0</v>
      </c>
      <c r="H175" s="1502">
        <v>0</v>
      </c>
      <c r="I175" s="1502">
        <v>0</v>
      </c>
      <c r="J175" s="1502">
        <v>0</v>
      </c>
      <c r="K175" s="1502">
        <v>0</v>
      </c>
      <c r="L175" s="1502">
        <v>0</v>
      </c>
      <c r="M175" s="1502">
        <v>0</v>
      </c>
      <c r="N175" s="1502">
        <v>0</v>
      </c>
      <c r="O175" s="1531"/>
      <c r="P175" s="1694">
        <v>0</v>
      </c>
      <c r="Q175" s="1694">
        <v>0</v>
      </c>
      <c r="R175" s="1694">
        <v>0</v>
      </c>
      <c r="S175" s="1694">
        <v>0</v>
      </c>
      <c r="T175" s="1694">
        <v>0</v>
      </c>
      <c r="U175" s="1694">
        <v>0</v>
      </c>
      <c r="V175" s="1694">
        <v>0</v>
      </c>
      <c r="W175" s="1694">
        <v>0</v>
      </c>
      <c r="X175" s="1694">
        <v>0</v>
      </c>
      <c r="Y175" s="1694">
        <v>0</v>
      </c>
      <c r="Z175" s="1694">
        <v>0</v>
      </c>
      <c r="AA175" s="1694">
        <v>0</v>
      </c>
      <c r="AB175" s="1694">
        <v>0</v>
      </c>
      <c r="AC175" s="1694">
        <v>0</v>
      </c>
      <c r="AD175" s="1694">
        <v>0</v>
      </c>
      <c r="AE175" s="1694">
        <v>0</v>
      </c>
      <c r="AF175" s="1694">
        <v>0</v>
      </c>
      <c r="AG175" s="1694">
        <v>0</v>
      </c>
      <c r="AH175" s="1694">
        <v>0</v>
      </c>
      <c r="AI175" s="1694">
        <v>0</v>
      </c>
      <c r="AJ175" s="1694">
        <v>0</v>
      </c>
      <c r="AK175" s="1694">
        <v>0</v>
      </c>
      <c r="AL175" s="1694">
        <v>0</v>
      </c>
      <c r="AM175" s="1694">
        <v>0</v>
      </c>
      <c r="AN175" s="1694">
        <v>0</v>
      </c>
      <c r="AO175" s="1694">
        <v>0</v>
      </c>
      <c r="AP175" s="1694">
        <v>0</v>
      </c>
      <c r="AQ175" s="1694">
        <v>0</v>
      </c>
      <c r="AR175" s="1694">
        <v>0</v>
      </c>
      <c r="AS175" s="1694">
        <v>0</v>
      </c>
      <c r="AT175" s="1694">
        <v>0</v>
      </c>
      <c r="AU175" s="1694">
        <v>0</v>
      </c>
      <c r="AV175" s="1694">
        <v>0</v>
      </c>
      <c r="AW175" s="1694">
        <v>0</v>
      </c>
      <c r="AX175" s="1694">
        <v>0</v>
      </c>
      <c r="AY175" s="1694">
        <v>0</v>
      </c>
      <c r="AZ175" s="1694">
        <v>0</v>
      </c>
      <c r="BA175" s="1694">
        <v>0</v>
      </c>
      <c r="BB175" s="1694">
        <v>0</v>
      </c>
      <c r="BC175" s="1694">
        <v>0</v>
      </c>
      <c r="BD175" s="1694">
        <v>0</v>
      </c>
      <c r="BE175" s="1694">
        <v>0</v>
      </c>
      <c r="BF175" s="1694">
        <v>0</v>
      </c>
      <c r="BG175" s="1694">
        <v>0</v>
      </c>
      <c r="BH175" s="1694">
        <v>0</v>
      </c>
      <c r="BI175" s="1694">
        <v>0</v>
      </c>
      <c r="BJ175" s="1694">
        <v>0</v>
      </c>
      <c r="BK175" s="1694">
        <v>0</v>
      </c>
      <c r="BL175" s="1694">
        <v>0</v>
      </c>
      <c r="BM175" s="1694">
        <v>0</v>
      </c>
      <c r="BN175" s="1694">
        <v>0</v>
      </c>
      <c r="BO175" s="1694">
        <v>0</v>
      </c>
      <c r="BP175" s="1694">
        <v>0</v>
      </c>
      <c r="BQ175" s="1694">
        <v>0</v>
      </c>
      <c r="BR175" s="1694">
        <v>0</v>
      </c>
      <c r="BS175" s="1694">
        <v>0</v>
      </c>
      <c r="BT175" s="1694">
        <v>0</v>
      </c>
      <c r="BU175" s="1694">
        <v>0</v>
      </c>
      <c r="BV175" s="1694">
        <v>0</v>
      </c>
      <c r="BW175" s="1690">
        <v>0</v>
      </c>
      <c r="BX175" s="1691">
        <v>0</v>
      </c>
      <c r="BY175" s="1691">
        <v>0</v>
      </c>
      <c r="BZ175" s="1691">
        <v>0</v>
      </c>
      <c r="CA175" s="1691">
        <v>0</v>
      </c>
      <c r="CB175" s="1691">
        <v>0</v>
      </c>
      <c r="CC175" s="1691">
        <v>0</v>
      </c>
      <c r="CD175" s="1691">
        <v>0</v>
      </c>
      <c r="CE175" s="1691">
        <v>0</v>
      </c>
      <c r="CF175" s="1691">
        <v>0</v>
      </c>
      <c r="CG175" s="1691">
        <v>0</v>
      </c>
      <c r="CH175" s="1691">
        <v>0</v>
      </c>
      <c r="CI175" s="1691">
        <v>0</v>
      </c>
      <c r="CJ175" s="1691">
        <v>0</v>
      </c>
      <c r="CK175" s="1691">
        <v>0</v>
      </c>
      <c r="CL175" s="1691">
        <v>0</v>
      </c>
      <c r="CM175" s="1691">
        <v>0</v>
      </c>
      <c r="CN175" s="1692">
        <v>0</v>
      </c>
      <c r="CO175" s="1531">
        <v>0</v>
      </c>
      <c r="CP175" s="1694">
        <v>0</v>
      </c>
      <c r="CQ175" s="1694">
        <v>0</v>
      </c>
      <c r="CR175" s="1694">
        <v>0</v>
      </c>
      <c r="CS175" s="1694">
        <v>0</v>
      </c>
      <c r="CT175" s="1694">
        <v>0</v>
      </c>
      <c r="CU175" s="1694">
        <v>0</v>
      </c>
      <c r="CV175" s="1694">
        <v>0</v>
      </c>
      <c r="CW175" s="1694">
        <v>0</v>
      </c>
      <c r="CX175" s="1694">
        <v>0</v>
      </c>
      <c r="CY175" s="1694">
        <v>0</v>
      </c>
      <c r="CZ175" s="1694">
        <v>0</v>
      </c>
      <c r="DA175" s="1694">
        <v>0</v>
      </c>
      <c r="DB175" s="1694">
        <v>0</v>
      </c>
      <c r="DC175" s="1694">
        <v>0</v>
      </c>
      <c r="DD175" s="1694">
        <v>0</v>
      </c>
      <c r="DE175" s="1694">
        <v>0</v>
      </c>
      <c r="DF175" s="1694">
        <v>0</v>
      </c>
      <c r="DG175" s="1694">
        <v>0</v>
      </c>
      <c r="DH175" s="1694">
        <v>0</v>
      </c>
      <c r="DI175" s="1694">
        <v>0</v>
      </c>
      <c r="DJ175" s="1694">
        <v>0</v>
      </c>
      <c r="DK175" s="1694">
        <v>0</v>
      </c>
      <c r="DL175" s="1694">
        <v>0</v>
      </c>
      <c r="DM175" s="1694">
        <v>0</v>
      </c>
      <c r="DN175" s="1694">
        <v>0</v>
      </c>
      <c r="DO175" s="1694">
        <v>0</v>
      </c>
      <c r="DP175" s="1694">
        <v>0</v>
      </c>
      <c r="DQ175" s="1694">
        <v>0</v>
      </c>
      <c r="DR175" s="1690">
        <v>0</v>
      </c>
      <c r="DS175" s="1691">
        <v>0</v>
      </c>
      <c r="DT175" s="1691">
        <v>0</v>
      </c>
      <c r="DU175" s="1691">
        <v>0</v>
      </c>
      <c r="DV175" s="1691">
        <v>0</v>
      </c>
      <c r="DW175" s="1691">
        <v>0</v>
      </c>
      <c r="DX175" s="1691">
        <v>0</v>
      </c>
      <c r="DY175" s="1691">
        <v>0</v>
      </c>
      <c r="DZ175" s="1691">
        <v>0</v>
      </c>
      <c r="EA175" s="1691">
        <v>0</v>
      </c>
      <c r="EB175" s="1691">
        <v>0</v>
      </c>
      <c r="EC175" s="1691">
        <v>0</v>
      </c>
      <c r="ED175" s="1691">
        <v>0</v>
      </c>
      <c r="EE175" s="1691">
        <v>0</v>
      </c>
      <c r="EF175" s="1691">
        <v>0</v>
      </c>
      <c r="EG175" s="1691">
        <v>0</v>
      </c>
      <c r="EH175" s="1691">
        <v>0</v>
      </c>
      <c r="EI175" s="1692">
        <v>0</v>
      </c>
      <c r="EJ175" s="1531"/>
      <c r="EK175" s="1694">
        <v>0</v>
      </c>
      <c r="EL175" s="1694">
        <v>0</v>
      </c>
      <c r="EM175" s="1694">
        <v>0</v>
      </c>
      <c r="EN175" s="1695">
        <v>0</v>
      </c>
      <c r="EO175" s="1694">
        <v>0</v>
      </c>
      <c r="EP175" s="1694">
        <v>0</v>
      </c>
      <c r="EQ175" s="1694">
        <v>0</v>
      </c>
      <c r="ER175" s="1694">
        <v>0</v>
      </c>
      <c r="ES175" s="1694">
        <v>0</v>
      </c>
      <c r="ET175" s="1694">
        <v>0</v>
      </c>
      <c r="EU175" s="1531">
        <v>0</v>
      </c>
      <c r="EV175" s="1655">
        <v>0</v>
      </c>
      <c r="EW175" s="1655">
        <v>0</v>
      </c>
      <c r="EX175" s="1655">
        <v>0</v>
      </c>
      <c r="EY175" s="1655">
        <v>0</v>
      </c>
      <c r="EZ175" s="1655">
        <v>0</v>
      </c>
      <c r="FA175" s="1655">
        <v>0</v>
      </c>
      <c r="FB175" s="1655">
        <v>0</v>
      </c>
      <c r="FC175" s="1655">
        <v>0</v>
      </c>
      <c r="FD175" s="1655">
        <v>0</v>
      </c>
      <c r="FE175" s="1655">
        <v>0</v>
      </c>
      <c r="FF175" s="364">
        <v>0</v>
      </c>
      <c r="FG175" s="364">
        <v>0</v>
      </c>
      <c r="FH175" s="364">
        <v>0</v>
      </c>
      <c r="FI175" s="364">
        <v>0</v>
      </c>
      <c r="FJ175" s="364">
        <v>0</v>
      </c>
      <c r="FK175" s="364">
        <v>0</v>
      </c>
      <c r="FL175" s="1441">
        <f t="shared" si="2482"/>
        <v>0</v>
      </c>
    </row>
    <row r="176" spans="1:260" s="1474" customFormat="1" ht="15" customHeight="1" outlineLevel="1">
      <c r="A176" s="1403"/>
      <c r="B176" s="1348" t="s">
        <v>436</v>
      </c>
      <c r="C176" s="1403"/>
      <c r="D176" s="1414"/>
      <c r="E176" s="1570"/>
      <c r="F176" s="1531"/>
      <c r="G176" s="1531"/>
      <c r="H176" s="1444"/>
      <c r="I176" s="1546"/>
      <c r="J176" s="1546"/>
      <c r="K176" s="1546"/>
      <c r="L176" s="1546"/>
      <c r="M176" s="1546"/>
      <c r="N176" s="1546"/>
      <c r="P176" s="1565"/>
      <c r="Q176" s="1444"/>
      <c r="R176" s="1452"/>
      <c r="S176" s="1444"/>
      <c r="T176" s="1452"/>
      <c r="U176" s="1444"/>
      <c r="V176" s="1452"/>
      <c r="W176" s="1444"/>
      <c r="X176" s="1452"/>
      <c r="Y176" s="1444"/>
      <c r="Z176" s="1453"/>
      <c r="AA176" s="1444"/>
      <c r="AB176" s="1453"/>
      <c r="AC176" s="1444"/>
      <c r="AD176" s="1453"/>
      <c r="AE176" s="1444"/>
      <c r="AF176" s="1444"/>
      <c r="AG176" s="1444"/>
      <c r="AH176" s="1453"/>
      <c r="AI176" s="1444"/>
      <c r="AJ176" s="1451"/>
      <c r="AK176" s="1451"/>
      <c r="AL176" s="1451"/>
      <c r="AM176" s="1451"/>
      <c r="AN176" s="1451"/>
      <c r="AO176" s="1451"/>
      <c r="AP176" s="1451"/>
      <c r="AQ176" s="1451"/>
      <c r="AR176" s="1451"/>
      <c r="AS176" s="1451"/>
      <c r="AT176" s="1451"/>
      <c r="AU176" s="1517"/>
      <c r="AV176" s="1444"/>
      <c r="AW176" s="1444"/>
      <c r="AX176" s="1444"/>
      <c r="AY176" s="1444"/>
      <c r="AZ176" s="1444"/>
      <c r="BA176" s="1444"/>
      <c r="BB176" s="1444"/>
      <c r="BC176" s="1444"/>
      <c r="BD176" s="1444"/>
      <c r="BE176" s="1444"/>
      <c r="BF176" s="1444"/>
      <c r="BG176" s="1444"/>
      <c r="BH176" s="1444"/>
      <c r="BI176" s="1444"/>
      <c r="BJ176" s="1444"/>
      <c r="BK176" s="1444"/>
      <c r="BL176" s="1444"/>
      <c r="BM176" s="1451"/>
      <c r="BN176" s="1444"/>
      <c r="BO176" s="1444"/>
      <c r="BP176" s="1444"/>
      <c r="BQ176" s="1444"/>
      <c r="BR176" s="1444"/>
      <c r="BS176" s="1444"/>
      <c r="BT176" s="1444"/>
      <c r="BU176" s="1444"/>
      <c r="BV176" s="1444"/>
      <c r="BW176" s="1444"/>
      <c r="BX176" s="1444"/>
      <c r="BY176" s="1444"/>
      <c r="BZ176" s="1444"/>
      <c r="CA176" s="1444"/>
      <c r="CB176" s="1444"/>
      <c r="CC176" s="1444"/>
      <c r="CD176" s="1444"/>
      <c r="CE176" s="1444"/>
      <c r="CF176" s="1444"/>
      <c r="CG176" s="1444"/>
      <c r="CH176" s="1444"/>
      <c r="CI176" s="1444"/>
      <c r="CJ176" s="1444"/>
      <c r="CK176" s="1444"/>
      <c r="CL176" s="1444"/>
      <c r="CM176" s="1444"/>
      <c r="CN176" s="1444"/>
      <c r="CP176" s="1414"/>
      <c r="CQ176" s="1444"/>
      <c r="CR176" s="1444"/>
      <c r="CS176" s="1444"/>
      <c r="CT176" s="1444"/>
      <c r="CU176" s="1444"/>
      <c r="CV176" s="1444"/>
      <c r="CW176" s="1444"/>
      <c r="CX176" s="1444"/>
      <c r="CY176" s="1444"/>
      <c r="CZ176" s="1444"/>
      <c r="DA176" s="1444"/>
      <c r="DB176" s="1444"/>
      <c r="DC176" s="1444"/>
      <c r="DD176" s="1444"/>
      <c r="DE176" s="1444"/>
      <c r="DF176" s="1444"/>
      <c r="DG176" s="1444"/>
      <c r="DH176" s="1444"/>
      <c r="DI176" s="1444"/>
      <c r="DJ176" s="1444"/>
      <c r="DK176" s="1444"/>
      <c r="DL176" s="1444"/>
      <c r="DM176" s="1444"/>
      <c r="DN176" s="1444"/>
      <c r="DO176" s="1444"/>
      <c r="DP176" s="1444"/>
      <c r="DQ176" s="1444"/>
      <c r="DR176" s="1444"/>
      <c r="DS176" s="1444"/>
      <c r="DT176" s="1444"/>
      <c r="DU176" s="1444"/>
      <c r="DV176" s="1444"/>
      <c r="DW176" s="1444"/>
      <c r="DX176" s="1444"/>
      <c r="DY176" s="1444"/>
      <c r="DZ176" s="1444"/>
      <c r="EA176" s="1444"/>
      <c r="EB176" s="1444"/>
      <c r="EC176" s="1444"/>
      <c r="ED176" s="1444"/>
      <c r="EE176" s="1444"/>
      <c r="EF176" s="1444"/>
      <c r="EG176" s="1444"/>
      <c r="EH176" s="1444"/>
      <c r="EI176" s="1444"/>
      <c r="EK176" s="1403"/>
      <c r="EM176" s="1339"/>
      <c r="EN176" s="1582"/>
      <c r="EO176" s="1339"/>
      <c r="EP176" s="1339"/>
      <c r="EQ176" s="1339"/>
      <c r="ER176" s="1339"/>
      <c r="ES176" s="1339"/>
      <c r="ET176" s="1339"/>
      <c r="EU176" s="1414"/>
      <c r="EV176" s="1414"/>
      <c r="EW176" s="1414"/>
      <c r="EX176" s="1414"/>
      <c r="EY176" s="1414"/>
      <c r="EZ176" s="1414"/>
      <c r="FA176" s="1414">
        <f t="shared" ref="FA176:FB178" si="3060">IF($H176&lt;=15,EP176/2,EP176)</f>
        <v>0</v>
      </c>
      <c r="FB176" s="1414">
        <f t="shared" si="3060"/>
        <v>0</v>
      </c>
      <c r="FC176" s="1414"/>
      <c r="FD176" s="1414"/>
      <c r="FE176" s="1414"/>
      <c r="FF176" s="1674"/>
      <c r="FG176" s="1674"/>
      <c r="FH176" s="1674"/>
      <c r="FI176" s="1674"/>
      <c r="FJ176" s="1674"/>
      <c r="FK176" s="1674"/>
      <c r="FL176" s="1414">
        <f t="shared" si="2482"/>
        <v>0</v>
      </c>
    </row>
    <row r="177" spans="1:260" s="2208" customFormat="1" ht="15" customHeight="1" outlineLevel="1">
      <c r="A177" s="2206">
        <v>108</v>
      </c>
      <c r="B177" s="1899" t="s">
        <v>538</v>
      </c>
      <c r="C177" s="1900" t="s">
        <v>133</v>
      </c>
      <c r="D177" s="1915" t="s">
        <v>11</v>
      </c>
      <c r="E177" s="1901">
        <v>3166.38</v>
      </c>
      <c r="F177" s="1902">
        <f>250</f>
        <v>250</v>
      </c>
      <c r="G177" s="1902">
        <f>+E177+F177</f>
        <v>3416.38</v>
      </c>
      <c r="H177" s="1901">
        <v>30</v>
      </c>
      <c r="I177" s="1904">
        <v>0</v>
      </c>
      <c r="J177" s="2207">
        <v>1</v>
      </c>
      <c r="K177" s="1904">
        <v>0</v>
      </c>
      <c r="L177" s="1904">
        <v>0</v>
      </c>
      <c r="M177" s="1904">
        <v>0</v>
      </c>
      <c r="N177" s="1904">
        <f>SUM(I177:M177)</f>
        <v>1</v>
      </c>
      <c r="P177" s="2209"/>
      <c r="Q177" s="1901">
        <f>($E177/30/8*1.5)*P177</f>
        <v>0</v>
      </c>
      <c r="R177" s="1577"/>
      <c r="S177" s="1901">
        <f>($E177/30/8*2)*R177</f>
        <v>0</v>
      </c>
      <c r="T177" s="1577"/>
      <c r="U177" s="1901">
        <f>($E177/30/8*1.5)*T177</f>
        <v>0</v>
      </c>
      <c r="V177" s="1577"/>
      <c r="W177" s="1901">
        <f>($E177/30/8*2)*V177</f>
        <v>0</v>
      </c>
      <c r="X177" s="1577"/>
      <c r="Y177" s="1901">
        <f>(($E177/30/8)*1.5)*X177</f>
        <v>0</v>
      </c>
      <c r="Z177" s="1910"/>
      <c r="AA177" s="1901">
        <f>(($E177/30/8)*2)*Z177</f>
        <v>0</v>
      </c>
      <c r="AB177" s="1910"/>
      <c r="AC177" s="1901">
        <f>(($E177/30/8)*1.5)*AB177</f>
        <v>0</v>
      </c>
      <c r="AD177" s="1910"/>
      <c r="AE177" s="1901">
        <f>(($E177/30/8)*2)*AD177</f>
        <v>0</v>
      </c>
      <c r="AF177" s="1901"/>
      <c r="AG177" s="1901">
        <f>(($E177/30/8)*1.5)*AF177</f>
        <v>0</v>
      </c>
      <c r="AH177" s="1910"/>
      <c r="AI177" s="1901">
        <f>(($E177/30/8)*2)*AH177</f>
        <v>0</v>
      </c>
      <c r="AJ177" s="1902"/>
      <c r="AK177" s="1902"/>
      <c r="AL177" s="1902"/>
      <c r="AM177" s="1902"/>
      <c r="AN177" s="1902"/>
      <c r="AO177" s="1902"/>
      <c r="AP177" s="1902"/>
      <c r="AQ177" s="1902"/>
      <c r="AR177" s="1902"/>
      <c r="AS177" s="1902"/>
      <c r="AT177" s="1902"/>
      <c r="AU177" s="2210"/>
      <c r="AV177" s="1901">
        <f>((E177/30)*H177)*$I177</f>
        <v>0</v>
      </c>
      <c r="AW177" s="1901">
        <f>((F177/30)*H177)*$I177</f>
        <v>0</v>
      </c>
      <c r="AX177" s="1901">
        <f t="shared" ref="AX177:BA178" si="3061">P177</f>
        <v>0</v>
      </c>
      <c r="AY177" s="1901">
        <f t="shared" si="3061"/>
        <v>0</v>
      </c>
      <c r="AZ177" s="1901">
        <f t="shared" si="3061"/>
        <v>0</v>
      </c>
      <c r="BA177" s="1901">
        <f t="shared" si="3061"/>
        <v>0</v>
      </c>
      <c r="BB177" s="1901">
        <f>AJ177+AO177</f>
        <v>0</v>
      </c>
      <c r="BC177" s="1901">
        <f>(AV177+AY177+BA177)*0.1267</f>
        <v>0</v>
      </c>
      <c r="BD177" s="1901">
        <f>SUM(AV177:BC177)-AX177-AZ177</f>
        <v>0</v>
      </c>
      <c r="BE177" s="1901">
        <f>(($E177/30)*$H177)*$J177</f>
        <v>3166.38</v>
      </c>
      <c r="BF177" s="2211">
        <f>(($F177/30)*$H177)*$J177+26958.39</f>
        <v>27208.39</v>
      </c>
      <c r="BG177" s="1901">
        <f t="shared" ref="BG177:BJ178" si="3062">T177</f>
        <v>0</v>
      </c>
      <c r="BH177" s="1901">
        <f t="shared" si="3062"/>
        <v>0</v>
      </c>
      <c r="BI177" s="1901">
        <f t="shared" si="3062"/>
        <v>0</v>
      </c>
      <c r="BJ177" s="1901">
        <f t="shared" si="3062"/>
        <v>0</v>
      </c>
      <c r="BK177" s="1901">
        <f>AK177+AP177</f>
        <v>0</v>
      </c>
      <c r="BL177" s="1901">
        <f>(+BE177+BH177+BJ177+BK177)*0.1267</f>
        <v>401.18034600000004</v>
      </c>
      <c r="BM177" s="1902">
        <f>SUM(BE177:BL177)-BG177-BI177</f>
        <v>30775.950346000001</v>
      </c>
      <c r="BN177" s="1901">
        <f>(($E177/30)*$H177)*$K177</f>
        <v>0</v>
      </c>
      <c r="BO177" s="1901">
        <f>(($F177/30)*$H177)*$K177</f>
        <v>0</v>
      </c>
      <c r="BP177" s="1901">
        <f t="shared" ref="BP177:BS178" si="3063">X177</f>
        <v>0</v>
      </c>
      <c r="BQ177" s="1901">
        <f t="shared" si="3063"/>
        <v>0</v>
      </c>
      <c r="BR177" s="1901">
        <f t="shared" si="3063"/>
        <v>0</v>
      </c>
      <c r="BS177" s="1901">
        <f t="shared" si="3063"/>
        <v>0</v>
      </c>
      <c r="BT177" s="1901">
        <f>AL177+AQ177</f>
        <v>0</v>
      </c>
      <c r="BU177" s="1901">
        <f>(BN177+BQ177+BS177)*0.1267</f>
        <v>0</v>
      </c>
      <c r="BV177" s="1901">
        <f>SUM(BN177:BU177)-BP177-BR177</f>
        <v>0</v>
      </c>
      <c r="BW177" s="2212">
        <f>(($E177/30)*$H177)*$L177</f>
        <v>0</v>
      </c>
      <c r="BX177" s="2213">
        <f>(($F177/30)*$H177)*$L177</f>
        <v>0</v>
      </c>
      <c r="BY177" s="2213">
        <f t="shared" ref="BY177:CB178" si="3064">AB177</f>
        <v>0</v>
      </c>
      <c r="BZ177" s="2213">
        <f t="shared" si="3064"/>
        <v>0</v>
      </c>
      <c r="CA177" s="2213">
        <f t="shared" si="3064"/>
        <v>0</v>
      </c>
      <c r="CB177" s="2213">
        <f t="shared" si="3064"/>
        <v>0</v>
      </c>
      <c r="CC177" s="2213">
        <f>AM177+AR177</f>
        <v>0</v>
      </c>
      <c r="CD177" s="2213">
        <f>(BW177+BZ177+CB177)*0.1267</f>
        <v>0</v>
      </c>
      <c r="CE177" s="2213">
        <f>SUM(BW177:CD177)-BY177-CA177</f>
        <v>0</v>
      </c>
      <c r="CF177" s="2213">
        <f>(($E177/30)*$H177)*M177</f>
        <v>0</v>
      </c>
      <c r="CG177" s="2213">
        <f>(($F177/30)*$H177)*$M177</f>
        <v>0</v>
      </c>
      <c r="CH177" s="2213">
        <f>+AF177</f>
        <v>0</v>
      </c>
      <c r="CI177" s="2213">
        <f t="shared" ref="CI177:CK178" si="3065">AG177</f>
        <v>0</v>
      </c>
      <c r="CJ177" s="2213">
        <f t="shared" si="3065"/>
        <v>0</v>
      </c>
      <c r="CK177" s="2213">
        <f t="shared" si="3065"/>
        <v>0</v>
      </c>
      <c r="CL177" s="2213">
        <f>AN177+AS177</f>
        <v>0</v>
      </c>
      <c r="CM177" s="2213">
        <f>(CF177+CI177+CK177)*0.1267</f>
        <v>0</v>
      </c>
      <c r="CN177" s="2214">
        <f>SUM(CF177:CM177)-CH177-CJ177</f>
        <v>0</v>
      </c>
      <c r="CP177" s="1915" t="s">
        <v>11</v>
      </c>
      <c r="CQ177" s="1901">
        <f>IF($CP177="PROQUIMA",$AV177+$BE177+$BN177+$BW177+$CF177,0)</f>
        <v>0</v>
      </c>
      <c r="CR177" s="1901">
        <f>IF($CP177="PROQUIMA",$AW177+$BF177+$BO177+$BX177+$CG177,0)</f>
        <v>0</v>
      </c>
      <c r="CS177" s="1901">
        <f>IF($CP177="PROQUIMA",$AX177+$BG177+$BP177+$BY177+$CH177,0)</f>
        <v>0</v>
      </c>
      <c r="CT177" s="1901">
        <f>IF($CP177="PROQUIMA",$AY177+$BH177+$BQ177+$BZ177+$CI177,0)</f>
        <v>0</v>
      </c>
      <c r="CU177" s="1901">
        <f>IF($CP177="PROQUIMA",$AZ177+$BI177+$BR177+$CA177+$CJ177,0)</f>
        <v>0</v>
      </c>
      <c r="CV177" s="1901">
        <f>IF($CP177="PROQUIMA",$BA177+$BJ177+$BS177+$CB177+$CK177,0)</f>
        <v>0</v>
      </c>
      <c r="CW177" s="1901">
        <f>IF($CP177="PROQUIMA",$BB177+$BK177+$BT177+$CC177+$CL177,0)</f>
        <v>0</v>
      </c>
      <c r="CX177" s="1901">
        <f>IF($CP177="PROQUIMA",$BC177+$BL177+$BU177+$CD177+CM177,0)</f>
        <v>0</v>
      </c>
      <c r="CY177" s="1901">
        <f>SUM(CQ177:CX177)-CS177-CU177</f>
        <v>0</v>
      </c>
      <c r="CZ177" s="1901">
        <f>IF($CP177="UNHESA",$AV177+$BE177+$BN177+$BW177+$CF177,0)</f>
        <v>3166.38</v>
      </c>
      <c r="DA177" s="1901">
        <f>IF($CP177="UNHESA",$AW177+$BF177+$BO177+$BX177+$CG177,0)</f>
        <v>27208.39</v>
      </c>
      <c r="DB177" s="1901">
        <f>IF($CP177="UNHESA",$AX177+$BG177+$BP177+$BY177+$CH177,0)</f>
        <v>0</v>
      </c>
      <c r="DC177" s="1901">
        <f>IF($CP177="UNHESA",$AY177+$BH177+$BQ177+$BZ177+$CI177,0)</f>
        <v>0</v>
      </c>
      <c r="DD177" s="1901">
        <f>IF($CP177="UNHESA",$AZ177+$BI177+$BR177+$CA177+$CJ177,0)</f>
        <v>0</v>
      </c>
      <c r="DE177" s="1901">
        <f>IF($CP177="UNHESA",$BA177+$BJ177+$BS177+$CB177+$CK177,0)</f>
        <v>0</v>
      </c>
      <c r="DF177" s="1901">
        <f>IF($CP177="UNHESA",$BB177+$BK177+$BT177+$CC177+$CL177,0)</f>
        <v>0</v>
      </c>
      <c r="DG177" s="1901">
        <f>IF($CP177="UNHESA",$BC177+$BL177+$BU177+$CD177+$CM177,0)</f>
        <v>401.18034600000004</v>
      </c>
      <c r="DH177" s="1901">
        <f>SUM(CZ177:DG177)-DB177-DD177</f>
        <v>30775.950346000001</v>
      </c>
      <c r="DI177" s="1901">
        <f>IF($CP177="UNHESA LIQUIDOS",$AV177+$BE177+$BN177+$BW177+$CF177,0)</f>
        <v>0</v>
      </c>
      <c r="DJ177" s="1901">
        <f>IF($CP177="UNHESA LIQUIDOS",$AW177+$BF177+$BO177+$BX177+$CG177,0)</f>
        <v>0</v>
      </c>
      <c r="DK177" s="1901">
        <f>IF($CP177="UNHESA LIQUIDOS",$AX177+$BG177+$BP177+$BY177+$CH177,0)</f>
        <v>0</v>
      </c>
      <c r="DL177" s="1901">
        <f>IF($CP177="UNHESA LIQUIDOS",$AY177+$BH177+$BQ177+$BZ177+$CI177,0)</f>
        <v>0</v>
      </c>
      <c r="DM177" s="1901">
        <f>IF($CP177="UNHESA LIQUIDOS",$AZ177+$BI177+$BR177+$CA177+$CJ177,0)</f>
        <v>0</v>
      </c>
      <c r="DN177" s="1901">
        <f>IF($CP177="UNHESA LIQUIDOS",$BA177+$BJ177+$BS177+$CB177+$CK177,0)</f>
        <v>0</v>
      </c>
      <c r="DO177" s="1901">
        <f>IF($CP177="UNHESA LIQUIDOS",$BB177+$BK177+$BT177+$CC177+$CL177,0)</f>
        <v>0</v>
      </c>
      <c r="DP177" s="1901">
        <f>IF($CP177="UNHESA LIQUIDOS",$BC177+$BL177+$BU177+$CD177+$CM177,0)</f>
        <v>0</v>
      </c>
      <c r="DQ177" s="1901">
        <f>SUM(DI177:DP177)-DK177-DM177</f>
        <v>0</v>
      </c>
      <c r="DR177" s="2212">
        <f>IF($CP177="ECONACIONAL",$AV177+$BE177+$BN177+$BW177+$CF177,0)</f>
        <v>0</v>
      </c>
      <c r="DS177" s="2213">
        <f>IF($CP177="ECONACIONAL",$AW177+$BF177+$BO177+$BX177+$CG177,0)</f>
        <v>0</v>
      </c>
      <c r="DT177" s="2213">
        <f>IF($CP177="ECONACIONAL",$AX177+$BG177+$BP177+$BY177+$CH177,0)</f>
        <v>0</v>
      </c>
      <c r="DU177" s="2213">
        <f>IF($CP177="ECONACIONAL",$AY177+$BH177+$BQ177+$BZ177+$CI177,0)</f>
        <v>0</v>
      </c>
      <c r="DV177" s="2213">
        <f>IF($CP177="ECONACIONAL",$AZ177+$BI177+$BR177+$CA177+$CJ177,0)</f>
        <v>0</v>
      </c>
      <c r="DW177" s="2213">
        <f>IF($CP177="ECONACIONAL",$BA177+$BJ177+$BS177+$CB177+$CK177,0)</f>
        <v>0</v>
      </c>
      <c r="DX177" s="2213">
        <f>IF($CP177="ECONACIONAL",$BB177+$BK177+$BT177+$CC177+$CL177,0)</f>
        <v>0</v>
      </c>
      <c r="DY177" s="2213">
        <f>IF($CP177="ECONACIONAL",$BC177+$BL177+$BU177+$CD177+$CM177,0)</f>
        <v>0</v>
      </c>
      <c r="DZ177" s="2213">
        <f>SUM(DR177:DY177)-DT177-DV177</f>
        <v>0</v>
      </c>
      <c r="EA177" s="2213">
        <f>IF($CP177="CLEARTEC",$AV177+$BE177+$BN177+$BW177+$CF177,0)</f>
        <v>0</v>
      </c>
      <c r="EB177" s="2213">
        <f>IF($CP177="CLEARTEC",$AW177+$BF177+$BO177+$BX177+$CG177,0)</f>
        <v>0</v>
      </c>
      <c r="EC177" s="2213">
        <f>IF($CP177="CLEARTEC",$AX177+$BG177+$BP177+$BY177+$CH177,0)</f>
        <v>0</v>
      </c>
      <c r="ED177" s="2213">
        <f>IF($CP177="CLEARTEC",$AY177+$BH177+$BQ177+$BZ177+$CI177,0)</f>
        <v>0</v>
      </c>
      <c r="EE177" s="2213">
        <f>IF($CP177="CLEARTEC",$AZ177+$BI177+$BR177+$CA177+$CJ177,0)</f>
        <v>0</v>
      </c>
      <c r="EF177" s="2213">
        <f>IF($CP177="CLEARTEC",$BA177+$BJ177+$BS177+$CB177+$CK177,0)</f>
        <v>0</v>
      </c>
      <c r="EG177" s="2213">
        <f>IF($CP177="CLEARTEC",$BB177+$BK177+$BT177+$CC177+$CL177,0)</f>
        <v>0</v>
      </c>
      <c r="EH177" s="2213">
        <f>IF($CP177="CLEARTEC",$BC177+$BL177+$BU177+$CD177+$CM177,0)</f>
        <v>0</v>
      </c>
      <c r="EI177" s="2214">
        <f>SUM(EA177:EH177)-EC177-EE177</f>
        <v>0</v>
      </c>
      <c r="EK177" s="2215">
        <v>489.98</v>
      </c>
      <c r="EL177" s="2216"/>
      <c r="EM177" s="2217">
        <f>89+89</f>
        <v>178</v>
      </c>
      <c r="EN177" s="1915"/>
      <c r="EO177" s="1900"/>
      <c r="EP177" s="2004">
        <v>50</v>
      </c>
      <c r="EQ177" s="2215">
        <v>1827.49</v>
      </c>
      <c r="ER177" s="2004"/>
      <c r="ES177" s="1900"/>
      <c r="ET177" s="1915">
        <f>+EO177+EP177+EQ177</f>
        <v>1877.49</v>
      </c>
      <c r="EU177" s="2218"/>
      <c r="EV177" s="1577">
        <f t="shared" ref="EV177:EZ178" si="3066">IF($H177&lt;=15,EK177/2,EK177)</f>
        <v>489.98</v>
      </c>
      <c r="EW177" s="1915">
        <f t="shared" si="3066"/>
        <v>0</v>
      </c>
      <c r="EX177" s="1915">
        <f t="shared" si="3066"/>
        <v>178</v>
      </c>
      <c r="EY177" s="1915">
        <f t="shared" si="3066"/>
        <v>0</v>
      </c>
      <c r="EZ177" s="1915">
        <f t="shared" si="3066"/>
        <v>0</v>
      </c>
      <c r="FA177" s="1915">
        <f t="shared" si="3060"/>
        <v>50</v>
      </c>
      <c r="FB177" s="1915">
        <f t="shared" si="3060"/>
        <v>1827.49</v>
      </c>
      <c r="FC177" s="1915">
        <f t="shared" ref="FC177:FE178" si="3067">IF($H177&lt;=15,ER177/2,ER177)</f>
        <v>0</v>
      </c>
      <c r="FD177" s="1915">
        <f t="shared" si="3067"/>
        <v>0</v>
      </c>
      <c r="FE177" s="1915">
        <f t="shared" si="3067"/>
        <v>1877.49</v>
      </c>
      <c r="FF177" s="1916">
        <v>0</v>
      </c>
      <c r="FG177" s="1916">
        <v>1</v>
      </c>
      <c r="FH177" s="1916">
        <v>0</v>
      </c>
      <c r="FI177" s="1916">
        <v>0</v>
      </c>
      <c r="FJ177" s="1916">
        <v>0</v>
      </c>
      <c r="FK177" s="1916">
        <v>1</v>
      </c>
      <c r="FL177" s="2218">
        <f t="shared" si="2482"/>
        <v>0</v>
      </c>
    </row>
    <row r="178" spans="1:260" s="1534" customFormat="1" ht="15" customHeight="1" outlineLevel="1">
      <c r="A178" s="1625">
        <v>109</v>
      </c>
      <c r="B178" s="311" t="s">
        <v>740</v>
      </c>
      <c r="C178" s="312" t="s">
        <v>741</v>
      </c>
      <c r="D178" s="313" t="s">
        <v>11</v>
      </c>
      <c r="E178" s="1971">
        <v>3166.38</v>
      </c>
      <c r="F178" s="314">
        <f>250</f>
        <v>250</v>
      </c>
      <c r="G178" s="1970">
        <f>+E178+F178</f>
        <v>3416.38</v>
      </c>
      <c r="H178" s="1971">
        <v>30</v>
      </c>
      <c r="I178" s="318">
        <v>0</v>
      </c>
      <c r="J178" s="1498">
        <v>1</v>
      </c>
      <c r="K178" s="318">
        <v>0</v>
      </c>
      <c r="L178" s="318">
        <v>0</v>
      </c>
      <c r="M178" s="318">
        <v>0</v>
      </c>
      <c r="N178" s="318">
        <f>SUM(I178:M178)</f>
        <v>1</v>
      </c>
      <c r="P178" s="320"/>
      <c r="Q178" s="315">
        <f>($E178/30/8*1.5)*P178</f>
        <v>0</v>
      </c>
      <c r="R178" s="321"/>
      <c r="S178" s="315">
        <f>($E178/30/8*2)*R178</f>
        <v>0</v>
      </c>
      <c r="T178" s="321"/>
      <c r="U178" s="315">
        <f>($E178/30/8*1.5)*T178</f>
        <v>0</v>
      </c>
      <c r="V178" s="321"/>
      <c r="W178" s="315">
        <f>($E178/30/8*2)*V178</f>
        <v>0</v>
      </c>
      <c r="X178" s="321"/>
      <c r="Y178" s="315">
        <f>(($E178/30/8)*1.5)*X178</f>
        <v>0</v>
      </c>
      <c r="Z178" s="322"/>
      <c r="AA178" s="315">
        <f>(($E178/30/8)*2)*Z178</f>
        <v>0</v>
      </c>
      <c r="AB178" s="322"/>
      <c r="AC178" s="315">
        <f>(($E178/30/8)*1.5)*AB178</f>
        <v>0</v>
      </c>
      <c r="AD178" s="322"/>
      <c r="AE178" s="315">
        <f>(($E178/30/8)*2)*AD178</f>
        <v>0</v>
      </c>
      <c r="AF178" s="315"/>
      <c r="AG178" s="315">
        <f>(($E178/30/8)*1.5)*AF178</f>
        <v>0</v>
      </c>
      <c r="AH178" s="322"/>
      <c r="AI178" s="315">
        <f>(($E178/30/8)*2)*AH178</f>
        <v>0</v>
      </c>
      <c r="AJ178" s="314"/>
      <c r="AK178" s="314"/>
      <c r="AL178" s="314"/>
      <c r="AM178" s="314"/>
      <c r="AN178" s="314"/>
      <c r="AO178" s="314"/>
      <c r="AP178" s="314"/>
      <c r="AQ178" s="314"/>
      <c r="AR178" s="314"/>
      <c r="AS178" s="314"/>
      <c r="AT178" s="314"/>
      <c r="AU178" s="326"/>
      <c r="AV178" s="315">
        <f>((E178/30)*H178)*$I178</f>
        <v>0</v>
      </c>
      <c r="AW178" s="315">
        <f>((F178/30)*H178)*$I178</f>
        <v>0</v>
      </c>
      <c r="AX178" s="315">
        <f t="shared" si="3061"/>
        <v>0</v>
      </c>
      <c r="AY178" s="315">
        <f t="shared" si="3061"/>
        <v>0</v>
      </c>
      <c r="AZ178" s="315">
        <f t="shared" si="3061"/>
        <v>0</v>
      </c>
      <c r="BA178" s="315">
        <f t="shared" si="3061"/>
        <v>0</v>
      </c>
      <c r="BB178" s="315">
        <f>AJ178+AO178</f>
        <v>0</v>
      </c>
      <c r="BC178" s="315">
        <f>(AV178+AY178+BA178)*0.1267</f>
        <v>0</v>
      </c>
      <c r="BD178" s="315">
        <f>SUM(AV178:BC178)-AX178-AZ178</f>
        <v>0</v>
      </c>
      <c r="BE178" s="315">
        <f>(($E178/30)*$H178)*$J178</f>
        <v>3166.38</v>
      </c>
      <c r="BF178" s="1618">
        <f>(($F178/30)*$H178)*$J178+1159.18</f>
        <v>1409.18</v>
      </c>
      <c r="BG178" s="315">
        <f t="shared" si="3062"/>
        <v>0</v>
      </c>
      <c r="BH178" s="315">
        <f t="shared" si="3062"/>
        <v>0</v>
      </c>
      <c r="BI178" s="315">
        <f t="shared" si="3062"/>
        <v>0</v>
      </c>
      <c r="BJ178" s="315">
        <f t="shared" si="3062"/>
        <v>0</v>
      </c>
      <c r="BK178" s="315">
        <f>AK178+AP178</f>
        <v>0</v>
      </c>
      <c r="BL178" s="315">
        <f>(+BE178+BH178+BJ178+BK178)*0.1267</f>
        <v>401.18034600000004</v>
      </c>
      <c r="BM178" s="314">
        <f>SUM(BE178:BL178)-BG178-BI178</f>
        <v>4976.7403460000005</v>
      </c>
      <c r="BN178" s="315">
        <f>(($E178/30)*$H178)*$K178</f>
        <v>0</v>
      </c>
      <c r="BO178" s="315">
        <f>(($F178/30)*$H178)*$K178</f>
        <v>0</v>
      </c>
      <c r="BP178" s="315">
        <f t="shared" si="3063"/>
        <v>0</v>
      </c>
      <c r="BQ178" s="315">
        <f t="shared" si="3063"/>
        <v>0</v>
      </c>
      <c r="BR178" s="315">
        <f t="shared" si="3063"/>
        <v>0</v>
      </c>
      <c r="BS178" s="315">
        <f t="shared" si="3063"/>
        <v>0</v>
      </c>
      <c r="BT178" s="315">
        <f>AL178+AQ178</f>
        <v>0</v>
      </c>
      <c r="BU178" s="315">
        <f>(BN178+BQ178+BS178)*0.1267</f>
        <v>0</v>
      </c>
      <c r="BV178" s="315">
        <f>SUM(BN178:BU178)-BP178-BR178</f>
        <v>0</v>
      </c>
      <c r="BW178" s="1699">
        <f>(($E178/30)*$H178)*$L178</f>
        <v>0</v>
      </c>
      <c r="BX178" s="1700">
        <f>(($F178/30)*$H178)*$L178</f>
        <v>0</v>
      </c>
      <c r="BY178" s="1700">
        <f t="shared" si="3064"/>
        <v>0</v>
      </c>
      <c r="BZ178" s="1700">
        <f t="shared" si="3064"/>
        <v>0</v>
      </c>
      <c r="CA178" s="1700">
        <f t="shared" si="3064"/>
        <v>0</v>
      </c>
      <c r="CB178" s="1700">
        <f t="shared" si="3064"/>
        <v>0</v>
      </c>
      <c r="CC178" s="1700">
        <f>AM178+AR178</f>
        <v>0</v>
      </c>
      <c r="CD178" s="1700">
        <f>(BW178+BZ178+CB178)*0.1267</f>
        <v>0</v>
      </c>
      <c r="CE178" s="1700">
        <f>SUM(BW178:CD178)-BY178-CA178</f>
        <v>0</v>
      </c>
      <c r="CF178" s="1700">
        <f>(($E178/30)*$H178)*M178</f>
        <v>0</v>
      </c>
      <c r="CG178" s="1700">
        <f>(($F178/30)*$H178)*$M178</f>
        <v>0</v>
      </c>
      <c r="CH178" s="1700">
        <f>+AF178</f>
        <v>0</v>
      </c>
      <c r="CI178" s="1700">
        <f t="shared" si="3065"/>
        <v>0</v>
      </c>
      <c r="CJ178" s="1700">
        <f t="shared" si="3065"/>
        <v>0</v>
      </c>
      <c r="CK178" s="1700">
        <f t="shared" si="3065"/>
        <v>0</v>
      </c>
      <c r="CL178" s="1700">
        <f>AN178+AS178</f>
        <v>0</v>
      </c>
      <c r="CM178" s="1700">
        <f>(CF178+CI178+CK178)*0.1267</f>
        <v>0</v>
      </c>
      <c r="CN178" s="1701">
        <f>SUM(CF178:CM178)-CH178-CJ178</f>
        <v>0</v>
      </c>
      <c r="CP178" s="313" t="s">
        <v>11</v>
      </c>
      <c r="CQ178" s="315">
        <f>IF($CP178="PROQUIMA",$AV178+$BE178+$BN178+$BW178+$CF178,0)</f>
        <v>0</v>
      </c>
      <c r="CR178" s="315">
        <f>IF($CP178="PROQUIMA",$AW178+$BF178+$BO178+$BX178+$CG178,0)</f>
        <v>0</v>
      </c>
      <c r="CS178" s="315">
        <f>IF($CP178="PROQUIMA",$AX178+$BG178+$BP178+$BY178+$CH178,0)</f>
        <v>0</v>
      </c>
      <c r="CT178" s="315">
        <f>IF($CP178="PROQUIMA",$AY178+$BH178+$BQ178+$BZ178+$CI178,0)</f>
        <v>0</v>
      </c>
      <c r="CU178" s="315">
        <f>IF($CP178="PROQUIMA",$AZ178+$BI178+$BR178+$CA178+$CJ178,0)</f>
        <v>0</v>
      </c>
      <c r="CV178" s="315">
        <f>IF($CP178="PROQUIMA",$BA178+$BJ178+$BS178+$CB178+$CK178,0)</f>
        <v>0</v>
      </c>
      <c r="CW178" s="315">
        <f>IF($CP178="PROQUIMA",$BB178+$BK178+$BT178+$CC178+$CL178,0)</f>
        <v>0</v>
      </c>
      <c r="CX178" s="315">
        <f>IF($CP178="PROQUIMA",$BC178+$BL178+$BU178+$CD178+CM178,0)</f>
        <v>0</v>
      </c>
      <c r="CY178" s="315">
        <f>SUM(CQ178:CX178)-CS178-CU178</f>
        <v>0</v>
      </c>
      <c r="CZ178" s="315">
        <f>IF($CP178="UNHESA",$AV178+$BE178+$BN178+$BW178+$CF178,0)</f>
        <v>3166.38</v>
      </c>
      <c r="DA178" s="315">
        <f>IF($CP178="UNHESA",$AW178+$BF178+$BO178+$BX178+$CG178,0)</f>
        <v>1409.18</v>
      </c>
      <c r="DB178" s="315">
        <f>IF($CP178="UNHESA",$AX178+$BG178+$BP178+$BY178+$CH178,0)</f>
        <v>0</v>
      </c>
      <c r="DC178" s="315">
        <f>IF($CP178="UNHESA",$AY178+$BH178+$BQ178+$BZ178+$CI178,0)</f>
        <v>0</v>
      </c>
      <c r="DD178" s="315">
        <f>IF($CP178="UNHESA",$AZ178+$BI178+$BR178+$CA178+$CJ178,0)</f>
        <v>0</v>
      </c>
      <c r="DE178" s="315">
        <f>IF($CP178="UNHESA",$BA178+$BJ178+$BS178+$CB178+$CK178,0)</f>
        <v>0</v>
      </c>
      <c r="DF178" s="315">
        <f>IF($CP178="UNHESA",$BB178+$BK178+$BT178+$CC178+$CL178,0)</f>
        <v>0</v>
      </c>
      <c r="DG178" s="315">
        <f>IF($CP178="UNHESA",$BC178+$BL178+$BU178+$CD178+$CM178,0)</f>
        <v>401.18034600000004</v>
      </c>
      <c r="DH178" s="315">
        <f>SUM(CZ178:DG178)-DB178-DD178</f>
        <v>4976.7403460000005</v>
      </c>
      <c r="DI178" s="315">
        <f>IF($CP178="UNHESA LIQUIDOS",$AV178+$BE178+$BN178+$BW178+$CF178,0)</f>
        <v>0</v>
      </c>
      <c r="DJ178" s="315">
        <f>IF($CP178="UNHESA LIQUIDOS",$AW178+$BF178+$BO178+$BX178+$CG178,0)</f>
        <v>0</v>
      </c>
      <c r="DK178" s="315">
        <f>IF($CP178="UNHESA LIQUIDOS",$AX178+$BG178+$BP178+$BY178+$CH178,0)</f>
        <v>0</v>
      </c>
      <c r="DL178" s="315">
        <f>IF($CP178="UNHESA LIQUIDOS",$AY178+$BH178+$BQ178+$BZ178+$CI178,0)</f>
        <v>0</v>
      </c>
      <c r="DM178" s="315">
        <f>IF($CP178="UNHESA LIQUIDOS",$AZ178+$BI178+$BR178+$CA178+$CJ178,0)</f>
        <v>0</v>
      </c>
      <c r="DN178" s="315">
        <f>IF($CP178="UNHESA LIQUIDOS",$BA178+$BJ178+$BS178+$CB178+$CK178,0)</f>
        <v>0</v>
      </c>
      <c r="DO178" s="315">
        <f>IF($CP178="UNHESA LIQUIDOS",$BB178+$BK178+$BT178+$CC178+$CL178,0)</f>
        <v>0</v>
      </c>
      <c r="DP178" s="315">
        <f>IF($CP178="UNHESA LIQUIDOS",$BC178+$BL178+$BU178+$CD178+$CM178,0)</f>
        <v>0</v>
      </c>
      <c r="DQ178" s="315">
        <f>SUM(DI178:DP178)-DK178-DM178</f>
        <v>0</v>
      </c>
      <c r="DR178" s="1699">
        <f>IF($CP178="ECONACIONAL",$AV178+$BE178+$BN178+$BW178+$CF178,0)</f>
        <v>0</v>
      </c>
      <c r="DS178" s="1700">
        <f>IF($CP178="ECONACIONAL",$AW178+$BF178+$BO178+$BX178+$CG178,0)</f>
        <v>0</v>
      </c>
      <c r="DT178" s="1700">
        <f>IF($CP178="ECONACIONAL",$AX178+$BG178+$BP178+$BY178+$CH178,0)</f>
        <v>0</v>
      </c>
      <c r="DU178" s="1700">
        <f>IF($CP178="ECONACIONAL",$AY178+$BH178+$BQ178+$BZ178+$CI178,0)</f>
        <v>0</v>
      </c>
      <c r="DV178" s="1700">
        <f>IF($CP178="ECONACIONAL",$AZ178+$BI178+$BR178+$CA178+$CJ178,0)</f>
        <v>0</v>
      </c>
      <c r="DW178" s="1700">
        <f>IF($CP178="ECONACIONAL",$BA178+$BJ178+$BS178+$CB178+$CK178,0)</f>
        <v>0</v>
      </c>
      <c r="DX178" s="1700">
        <f>IF($CP178="ECONACIONAL",$BB178+$BK178+$BT178+$CC178+$CL178,0)</f>
        <v>0</v>
      </c>
      <c r="DY178" s="1700">
        <f>IF($CP178="ECONACIONAL",$BC178+$BL178+$BU178+$CD178+$CM178,0)</f>
        <v>0</v>
      </c>
      <c r="DZ178" s="1700">
        <f>SUM(DR178:DY178)-DT178-DV178</f>
        <v>0</v>
      </c>
      <c r="EA178" s="1700">
        <f>IF($CP178="CLEARTEC",$AV178+$BE178+$BN178+$BW178+$CF178,0)</f>
        <v>0</v>
      </c>
      <c r="EB178" s="1700">
        <f>IF($CP178="CLEARTEC",$AW178+$BF178+$BO178+$BX178+$CG178,0)</f>
        <v>0</v>
      </c>
      <c r="EC178" s="1700">
        <f>IF($CP178="CLEARTEC",$AX178+$BG178+$BP178+$BY178+$CH178,0)</f>
        <v>0</v>
      </c>
      <c r="ED178" s="1700">
        <f>IF($CP178="CLEARTEC",$AY178+$BH178+$BQ178+$BZ178+$CI178,0)</f>
        <v>0</v>
      </c>
      <c r="EE178" s="1700">
        <f>IF($CP178="CLEARTEC",$AZ178+$BI178+$BR178+$CA178+$CJ178,0)</f>
        <v>0</v>
      </c>
      <c r="EF178" s="1700">
        <f>IF($CP178="CLEARTEC",$BA178+$BJ178+$BS178+$CB178+$CK178,0)</f>
        <v>0</v>
      </c>
      <c r="EG178" s="1700">
        <f>IF($CP178="CLEARTEC",$BB178+$BK178+$BT178+$CC178+$CL178,0)</f>
        <v>0</v>
      </c>
      <c r="EH178" s="1700">
        <f>IF($CP178="CLEARTEC",$BC178+$BL178+$BU178+$CD178+$CM178,0)</f>
        <v>0</v>
      </c>
      <c r="EI178" s="1701">
        <f>SUM(EA178:EH178)-EC178-EE178</f>
        <v>0</v>
      </c>
      <c r="EK178" s="1596"/>
      <c r="EL178" s="1543"/>
      <c r="EM178" s="1543"/>
      <c r="EN178" s="313">
        <v>0</v>
      </c>
      <c r="EO178" s="312"/>
      <c r="EP178" s="1425">
        <v>50</v>
      </c>
      <c r="EQ178" s="1425"/>
      <c r="ER178" s="1425"/>
      <c r="ES178" s="1425"/>
      <c r="ET178" s="313">
        <f>+EO178+EP178+EQ178</f>
        <v>50</v>
      </c>
      <c r="EU178" s="331"/>
      <c r="EV178" s="321">
        <f t="shared" si="3066"/>
        <v>0</v>
      </c>
      <c r="EW178" s="313">
        <f t="shared" si="3066"/>
        <v>0</v>
      </c>
      <c r="EX178" s="313">
        <f t="shared" si="3066"/>
        <v>0</v>
      </c>
      <c r="EY178" s="313">
        <f t="shared" si="3066"/>
        <v>0</v>
      </c>
      <c r="EZ178" s="313">
        <f t="shared" si="3066"/>
        <v>0</v>
      </c>
      <c r="FA178" s="313">
        <f t="shared" si="3060"/>
        <v>50</v>
      </c>
      <c r="FB178" s="313">
        <f t="shared" si="3060"/>
        <v>0</v>
      </c>
      <c r="FC178" s="313">
        <f t="shared" si="3067"/>
        <v>0</v>
      </c>
      <c r="FD178" s="313">
        <f t="shared" si="3067"/>
        <v>0</v>
      </c>
      <c r="FE178" s="313">
        <f t="shared" si="3067"/>
        <v>50</v>
      </c>
      <c r="FF178" s="332">
        <v>0</v>
      </c>
      <c r="FG178" s="332">
        <v>1</v>
      </c>
      <c r="FH178" s="332">
        <v>0</v>
      </c>
      <c r="FI178" s="332">
        <v>0</v>
      </c>
      <c r="FJ178" s="332">
        <v>0</v>
      </c>
      <c r="FK178" s="332">
        <v>1</v>
      </c>
      <c r="FL178" s="331">
        <f t="shared" ref="FL178" si="3068">+EP178-FA178</f>
        <v>0</v>
      </c>
    </row>
    <row r="179" spans="1:260" s="1474" customFormat="1" ht="15.75" customHeight="1" outlineLevel="1" thickBot="1">
      <c r="A179" s="1403"/>
      <c r="B179" s="1348"/>
      <c r="C179" s="1348" t="s">
        <v>384</v>
      </c>
      <c r="E179" s="1684">
        <f>+E177+E178</f>
        <v>6332.76</v>
      </c>
      <c r="F179" s="1684">
        <f t="shared" ref="F179:G179" si="3069">+F177+F178</f>
        <v>500</v>
      </c>
      <c r="G179" s="1684">
        <f t="shared" si="3069"/>
        <v>6832.76</v>
      </c>
      <c r="H179" s="1531"/>
      <c r="I179" s="1702"/>
      <c r="J179" s="1514"/>
      <c r="K179" s="1702"/>
      <c r="L179" s="1702"/>
      <c r="M179" s="1702"/>
      <c r="N179" s="1702"/>
      <c r="P179" s="1684">
        <f t="shared" ref="P179" si="3070">+P177+P178</f>
        <v>0</v>
      </c>
      <c r="Q179" s="1684">
        <f t="shared" ref="Q179" si="3071">+Q177+Q178</f>
        <v>0</v>
      </c>
      <c r="R179" s="1684">
        <f t="shared" ref="R179" si="3072">+R177+R178</f>
        <v>0</v>
      </c>
      <c r="S179" s="1684">
        <f t="shared" ref="S179" si="3073">+S177+S178</f>
        <v>0</v>
      </c>
      <c r="T179" s="1684">
        <f t="shared" ref="T179" si="3074">+T177+T178</f>
        <v>0</v>
      </c>
      <c r="U179" s="1684">
        <f t="shared" ref="U179" si="3075">+U177+U178</f>
        <v>0</v>
      </c>
      <c r="V179" s="1684">
        <f t="shared" ref="V179" si="3076">+V177+V178</f>
        <v>0</v>
      </c>
      <c r="W179" s="1684">
        <f t="shared" ref="W179" si="3077">+W177+W178</f>
        <v>0</v>
      </c>
      <c r="X179" s="1684">
        <f t="shared" ref="X179" si="3078">+X177+X178</f>
        <v>0</v>
      </c>
      <c r="Y179" s="1684">
        <f t="shared" ref="Y179" si="3079">+Y177+Y178</f>
        <v>0</v>
      </c>
      <c r="Z179" s="1684">
        <f t="shared" ref="Z179" si="3080">+Z177+Z178</f>
        <v>0</v>
      </c>
      <c r="AA179" s="1684">
        <f t="shared" ref="AA179" si="3081">+AA177+AA178</f>
        <v>0</v>
      </c>
      <c r="AB179" s="1684">
        <f t="shared" ref="AB179" si="3082">+AB177+AB178</f>
        <v>0</v>
      </c>
      <c r="AC179" s="1684">
        <f t="shared" ref="AC179" si="3083">+AC177+AC178</f>
        <v>0</v>
      </c>
      <c r="AD179" s="1684">
        <f t="shared" ref="AD179" si="3084">+AD177+AD178</f>
        <v>0</v>
      </c>
      <c r="AE179" s="1684">
        <f t="shared" ref="AE179" si="3085">+AE177+AE178</f>
        <v>0</v>
      </c>
      <c r="AF179" s="1684">
        <f t="shared" ref="AF179" si="3086">+AF177+AF178</f>
        <v>0</v>
      </c>
      <c r="AG179" s="1684">
        <f t="shared" ref="AG179" si="3087">+AG177+AG178</f>
        <v>0</v>
      </c>
      <c r="AH179" s="1684">
        <f t="shared" ref="AH179" si="3088">+AH177+AH178</f>
        <v>0</v>
      </c>
      <c r="AI179" s="1684">
        <f t="shared" ref="AI179" si="3089">+AI177+AI178</f>
        <v>0</v>
      </c>
      <c r="AJ179" s="1684">
        <f t="shared" ref="AJ179" si="3090">+AJ177+AJ178</f>
        <v>0</v>
      </c>
      <c r="AK179" s="1684">
        <f t="shared" ref="AK179" si="3091">+AK177+AK178</f>
        <v>0</v>
      </c>
      <c r="AL179" s="1684">
        <f t="shared" ref="AL179" si="3092">+AL177+AL178</f>
        <v>0</v>
      </c>
      <c r="AM179" s="1684">
        <f t="shared" ref="AM179" si="3093">+AM177+AM178</f>
        <v>0</v>
      </c>
      <c r="AN179" s="1684">
        <f t="shared" ref="AN179" si="3094">+AN177+AN178</f>
        <v>0</v>
      </c>
      <c r="AO179" s="1684">
        <f t="shared" ref="AO179" si="3095">+AO177+AO178</f>
        <v>0</v>
      </c>
      <c r="AP179" s="1684">
        <f t="shared" ref="AP179" si="3096">+AP177+AP178</f>
        <v>0</v>
      </c>
      <c r="AQ179" s="1684">
        <f t="shared" ref="AQ179" si="3097">+AQ177+AQ178</f>
        <v>0</v>
      </c>
      <c r="AR179" s="1684">
        <f t="shared" ref="AR179" si="3098">+AR177+AR178</f>
        <v>0</v>
      </c>
      <c r="AS179" s="1684">
        <f t="shared" ref="AS179" si="3099">+AS177+AS178</f>
        <v>0</v>
      </c>
      <c r="AT179" s="1684">
        <f t="shared" ref="AT179" si="3100">+AT177+AT178</f>
        <v>0</v>
      </c>
      <c r="AU179" s="1684">
        <f t="shared" ref="AU179" si="3101">+AU177+AU178</f>
        <v>0</v>
      </c>
      <c r="AV179" s="1684">
        <f t="shared" ref="AV179" si="3102">+AV177+AV178</f>
        <v>0</v>
      </c>
      <c r="AW179" s="1684">
        <f t="shared" ref="AW179" si="3103">+AW177+AW178</f>
        <v>0</v>
      </c>
      <c r="AX179" s="1684">
        <f t="shared" ref="AX179" si="3104">+AX177+AX178</f>
        <v>0</v>
      </c>
      <c r="AY179" s="1684">
        <f t="shared" ref="AY179" si="3105">+AY177+AY178</f>
        <v>0</v>
      </c>
      <c r="AZ179" s="1684">
        <f t="shared" ref="AZ179" si="3106">+AZ177+AZ178</f>
        <v>0</v>
      </c>
      <c r="BA179" s="1684">
        <f t="shared" ref="BA179" si="3107">+BA177+BA178</f>
        <v>0</v>
      </c>
      <c r="BB179" s="1684">
        <f t="shared" ref="BB179" si="3108">+BB177+BB178</f>
        <v>0</v>
      </c>
      <c r="BC179" s="1684">
        <f t="shared" ref="BC179" si="3109">+BC177+BC178</f>
        <v>0</v>
      </c>
      <c r="BD179" s="1684">
        <f t="shared" ref="BD179" si="3110">+BD177+BD178</f>
        <v>0</v>
      </c>
      <c r="BE179" s="1684">
        <f t="shared" ref="BE179" si="3111">+BE177+BE178</f>
        <v>6332.76</v>
      </c>
      <c r="BF179" s="1684">
        <f>+BF177+BF178</f>
        <v>28617.57</v>
      </c>
      <c r="BG179" s="1684">
        <f t="shared" ref="BG179" si="3112">+BG177+BG178</f>
        <v>0</v>
      </c>
      <c r="BH179" s="1684">
        <f t="shared" ref="BH179" si="3113">+BH177+BH178</f>
        <v>0</v>
      </c>
      <c r="BI179" s="1684">
        <f t="shared" ref="BI179" si="3114">+BI177+BI178</f>
        <v>0</v>
      </c>
      <c r="BJ179" s="1684">
        <f t="shared" ref="BJ179" si="3115">+BJ177+BJ178</f>
        <v>0</v>
      </c>
      <c r="BK179" s="1684">
        <f t="shared" ref="BK179" si="3116">+BK177+BK178</f>
        <v>0</v>
      </c>
      <c r="BL179" s="1684">
        <f t="shared" ref="BL179" si="3117">+BL177+BL178</f>
        <v>802.36069200000009</v>
      </c>
      <c r="BM179" s="1684">
        <f t="shared" ref="BM179" si="3118">+BM177+BM178</f>
        <v>35752.690692000004</v>
      </c>
      <c r="BN179" s="1684">
        <f t="shared" ref="BN179" si="3119">+BN177+BN178</f>
        <v>0</v>
      </c>
      <c r="BO179" s="1684">
        <f t="shared" ref="BO179" si="3120">+BO177+BO178</f>
        <v>0</v>
      </c>
      <c r="BP179" s="1684">
        <f t="shared" ref="BP179" si="3121">+BP177+BP178</f>
        <v>0</v>
      </c>
      <c r="BQ179" s="1684">
        <f t="shared" ref="BQ179" si="3122">+BQ177+BQ178</f>
        <v>0</v>
      </c>
      <c r="BR179" s="1684">
        <f t="shared" ref="BR179" si="3123">+BR177+BR178</f>
        <v>0</v>
      </c>
      <c r="BS179" s="1684">
        <f t="shared" ref="BS179" si="3124">+BS177+BS178</f>
        <v>0</v>
      </c>
      <c r="BT179" s="1684">
        <f t="shared" ref="BT179" si="3125">+BT177+BT178</f>
        <v>0</v>
      </c>
      <c r="BU179" s="1684">
        <f t="shared" ref="BU179" si="3126">+BU177+BU178</f>
        <v>0</v>
      </c>
      <c r="BV179" s="1684">
        <f t="shared" ref="BV179" si="3127">+BV177+BV178</f>
        <v>0</v>
      </c>
      <c r="BW179" s="1684">
        <f t="shared" ref="BW179" si="3128">+BW177+BW178</f>
        <v>0</v>
      </c>
      <c r="BX179" s="1684">
        <f t="shared" ref="BX179" si="3129">+BX177+BX178</f>
        <v>0</v>
      </c>
      <c r="BY179" s="1684">
        <f t="shared" ref="BY179" si="3130">+BY177+BY178</f>
        <v>0</v>
      </c>
      <c r="BZ179" s="1684">
        <f t="shared" ref="BZ179" si="3131">+BZ177+BZ178</f>
        <v>0</v>
      </c>
      <c r="CA179" s="1684">
        <f t="shared" ref="CA179" si="3132">+CA177+CA178</f>
        <v>0</v>
      </c>
      <c r="CB179" s="1684">
        <f t="shared" ref="CB179" si="3133">+CB177+CB178</f>
        <v>0</v>
      </c>
      <c r="CC179" s="1684">
        <f t="shared" ref="CC179" si="3134">+CC177+CC178</f>
        <v>0</v>
      </c>
      <c r="CD179" s="1684">
        <f t="shared" ref="CD179" si="3135">+CD177+CD178</f>
        <v>0</v>
      </c>
      <c r="CE179" s="1684">
        <f t="shared" ref="CE179" si="3136">+CE177+CE178</f>
        <v>0</v>
      </c>
      <c r="CF179" s="1684">
        <f t="shared" ref="CF179" si="3137">+CF177+CF178</f>
        <v>0</v>
      </c>
      <c r="CG179" s="1684">
        <f t="shared" ref="CG179" si="3138">+CG177+CG178</f>
        <v>0</v>
      </c>
      <c r="CH179" s="1684">
        <f t="shared" ref="CH179" si="3139">+CH177+CH178</f>
        <v>0</v>
      </c>
      <c r="CI179" s="1684">
        <f t="shared" ref="CI179" si="3140">+CI177+CI178</f>
        <v>0</v>
      </c>
      <c r="CJ179" s="1684">
        <f t="shared" ref="CJ179" si="3141">+CJ177+CJ178</f>
        <v>0</v>
      </c>
      <c r="CK179" s="1684">
        <f t="shared" ref="CK179" si="3142">+CK177+CK178</f>
        <v>0</v>
      </c>
      <c r="CL179" s="1684">
        <f t="shared" ref="CL179" si="3143">+CL177+CL178</f>
        <v>0</v>
      </c>
      <c r="CM179" s="1684">
        <f t="shared" ref="CM179" si="3144">+CM177+CM178</f>
        <v>0</v>
      </c>
      <c r="CN179" s="1684">
        <f t="shared" ref="CN179" si="3145">+CN177+CN178</f>
        <v>0</v>
      </c>
      <c r="CO179" s="1684">
        <f t="shared" ref="CO179" si="3146">+CO177+CO178</f>
        <v>0</v>
      </c>
      <c r="CP179" s="1684" t="e">
        <f t="shared" ref="CP179" si="3147">+CP177+CP178</f>
        <v>#VALUE!</v>
      </c>
      <c r="CQ179" s="1684">
        <f t="shared" ref="CQ179" si="3148">+CQ177+CQ178</f>
        <v>0</v>
      </c>
      <c r="CR179" s="1684">
        <f t="shared" ref="CR179" si="3149">+CR177+CR178</f>
        <v>0</v>
      </c>
      <c r="CS179" s="1684">
        <f t="shared" ref="CS179" si="3150">+CS177+CS178</f>
        <v>0</v>
      </c>
      <c r="CT179" s="1684">
        <f t="shared" ref="CT179" si="3151">+CT177+CT178</f>
        <v>0</v>
      </c>
      <c r="CU179" s="1684">
        <f t="shared" ref="CU179" si="3152">+CU177+CU178</f>
        <v>0</v>
      </c>
      <c r="CV179" s="1684">
        <f t="shared" ref="CV179" si="3153">+CV177+CV178</f>
        <v>0</v>
      </c>
      <c r="CW179" s="1684">
        <f t="shared" ref="CW179" si="3154">+CW177+CW178</f>
        <v>0</v>
      </c>
      <c r="CX179" s="1684">
        <f t="shared" ref="CX179" si="3155">+CX177+CX178</f>
        <v>0</v>
      </c>
      <c r="CY179" s="1684">
        <f t="shared" ref="CY179" si="3156">+CY177+CY178</f>
        <v>0</v>
      </c>
      <c r="CZ179" s="1684">
        <f t="shared" ref="CZ179" si="3157">+CZ177+CZ178</f>
        <v>6332.76</v>
      </c>
      <c r="DA179" s="1684">
        <f t="shared" ref="DA179" si="3158">+DA177+DA178</f>
        <v>28617.57</v>
      </c>
      <c r="DB179" s="1684">
        <f t="shared" ref="DB179" si="3159">+DB177+DB178</f>
        <v>0</v>
      </c>
      <c r="DC179" s="1684">
        <f t="shared" ref="DC179" si="3160">+DC177+DC178</f>
        <v>0</v>
      </c>
      <c r="DD179" s="1684">
        <f t="shared" ref="DD179" si="3161">+DD177+DD178</f>
        <v>0</v>
      </c>
      <c r="DE179" s="1684">
        <f t="shared" ref="DE179" si="3162">+DE177+DE178</f>
        <v>0</v>
      </c>
      <c r="DF179" s="1684">
        <f t="shared" ref="DF179" si="3163">+DF177+DF178</f>
        <v>0</v>
      </c>
      <c r="DG179" s="1684">
        <f t="shared" ref="DG179" si="3164">+DG177+DG178</f>
        <v>802.36069200000009</v>
      </c>
      <c r="DH179" s="1684">
        <f t="shared" ref="DH179" si="3165">+DH177+DH178</f>
        <v>35752.690692000004</v>
      </c>
      <c r="DI179" s="1684">
        <f t="shared" ref="DI179" si="3166">+DI177+DI178</f>
        <v>0</v>
      </c>
      <c r="DJ179" s="1684">
        <f t="shared" ref="DJ179" si="3167">+DJ177+DJ178</f>
        <v>0</v>
      </c>
      <c r="DK179" s="1684">
        <f t="shared" ref="DK179" si="3168">+DK177+DK178</f>
        <v>0</v>
      </c>
      <c r="DL179" s="1684">
        <f t="shared" ref="DL179" si="3169">+DL177+DL178</f>
        <v>0</v>
      </c>
      <c r="DM179" s="1684">
        <f t="shared" ref="DM179" si="3170">+DM177+DM178</f>
        <v>0</v>
      </c>
      <c r="DN179" s="1684">
        <f t="shared" ref="DN179" si="3171">+DN177+DN178</f>
        <v>0</v>
      </c>
      <c r="DO179" s="1684">
        <f t="shared" ref="DO179" si="3172">+DO177+DO178</f>
        <v>0</v>
      </c>
      <c r="DP179" s="1684">
        <f t="shared" ref="DP179" si="3173">+DP177+DP178</f>
        <v>0</v>
      </c>
      <c r="DQ179" s="1684">
        <f t="shared" ref="DQ179" si="3174">+DQ177+DQ178</f>
        <v>0</v>
      </c>
      <c r="DR179" s="1684">
        <f t="shared" ref="DR179" si="3175">+DR177+DR178</f>
        <v>0</v>
      </c>
      <c r="DS179" s="1684">
        <f t="shared" ref="DS179" si="3176">+DS177+DS178</f>
        <v>0</v>
      </c>
      <c r="DT179" s="1684">
        <f t="shared" ref="DT179" si="3177">+DT177+DT178</f>
        <v>0</v>
      </c>
      <c r="DU179" s="1684">
        <f t="shared" ref="DU179" si="3178">+DU177+DU178</f>
        <v>0</v>
      </c>
      <c r="DV179" s="1684">
        <f t="shared" ref="DV179" si="3179">+DV177+DV178</f>
        <v>0</v>
      </c>
      <c r="DW179" s="1684">
        <f t="shared" ref="DW179" si="3180">+DW177+DW178</f>
        <v>0</v>
      </c>
      <c r="DX179" s="1684">
        <f t="shared" ref="DX179" si="3181">+DX177+DX178</f>
        <v>0</v>
      </c>
      <c r="DY179" s="1684">
        <f t="shared" ref="DY179" si="3182">+DY177+DY178</f>
        <v>0</v>
      </c>
      <c r="DZ179" s="1684">
        <f t="shared" ref="DZ179" si="3183">+DZ177+DZ178</f>
        <v>0</v>
      </c>
      <c r="EA179" s="1684">
        <f t="shared" ref="EA179" si="3184">+EA177+EA178</f>
        <v>0</v>
      </c>
      <c r="EB179" s="1684">
        <f t="shared" ref="EB179" si="3185">+EB177+EB178</f>
        <v>0</v>
      </c>
      <c r="EC179" s="1684">
        <f t="shared" ref="EC179" si="3186">+EC177+EC178</f>
        <v>0</v>
      </c>
      <c r="ED179" s="1684">
        <f t="shared" ref="ED179" si="3187">+ED177+ED178</f>
        <v>0</v>
      </c>
      <c r="EE179" s="1684">
        <f t="shared" ref="EE179" si="3188">+EE177+EE178</f>
        <v>0</v>
      </c>
      <c r="EF179" s="1684">
        <f t="shared" ref="EF179" si="3189">+EF177+EF178</f>
        <v>0</v>
      </c>
      <c r="EG179" s="1684">
        <f t="shared" ref="EG179" si="3190">+EG177+EG178</f>
        <v>0</v>
      </c>
      <c r="EH179" s="1684">
        <f t="shared" ref="EH179" si="3191">+EH177+EH178</f>
        <v>0</v>
      </c>
      <c r="EI179" s="1684">
        <f t="shared" ref="EI179" si="3192">+EI177+EI178</f>
        <v>0</v>
      </c>
      <c r="EJ179" s="1684">
        <f t="shared" ref="EJ179" si="3193">+EJ177+EJ178</f>
        <v>0</v>
      </c>
      <c r="EK179" s="1684">
        <f t="shared" ref="EK179" si="3194">+EK177+EK178</f>
        <v>489.98</v>
      </c>
      <c r="EL179" s="1684">
        <f t="shared" ref="EL179" si="3195">+EL177+EL178</f>
        <v>0</v>
      </c>
      <c r="EM179" s="1684">
        <f t="shared" ref="EM179" si="3196">+EM177+EM178</f>
        <v>178</v>
      </c>
      <c r="EN179" s="1684">
        <f t="shared" ref="EN179" si="3197">+EN177+EN178</f>
        <v>0</v>
      </c>
      <c r="EO179" s="1684">
        <f t="shared" ref="EO179" si="3198">+EO177+EO178</f>
        <v>0</v>
      </c>
      <c r="EP179" s="1684">
        <f t="shared" ref="EP179" si="3199">+EP177+EP178</f>
        <v>100</v>
      </c>
      <c r="EQ179" s="1684">
        <f t="shared" ref="EQ179" si="3200">+EQ177+EQ178</f>
        <v>1827.49</v>
      </c>
      <c r="ER179" s="1684">
        <f t="shared" ref="ER179" si="3201">+ER177+ER178</f>
        <v>0</v>
      </c>
      <c r="ES179" s="1684">
        <f t="shared" ref="ES179" si="3202">+ES177+ES178</f>
        <v>0</v>
      </c>
      <c r="ET179" s="1684">
        <f t="shared" ref="ET179" si="3203">+ET177+ET178</f>
        <v>1927.49</v>
      </c>
      <c r="EU179" s="1684">
        <f t="shared" ref="EU179" si="3204">+EU177+EU178</f>
        <v>0</v>
      </c>
      <c r="EV179" s="1684">
        <f t="shared" ref="EV179" si="3205">+EV177+EV178</f>
        <v>489.98</v>
      </c>
      <c r="EW179" s="1684">
        <f t="shared" ref="EW179" si="3206">+EW177+EW178</f>
        <v>0</v>
      </c>
      <c r="EX179" s="1684">
        <f t="shared" ref="EX179" si="3207">+EX177+EX178</f>
        <v>178</v>
      </c>
      <c r="EY179" s="1684">
        <f t="shared" ref="EY179" si="3208">+EY177+EY178</f>
        <v>0</v>
      </c>
      <c r="EZ179" s="1684">
        <f t="shared" ref="EZ179" si="3209">+EZ177+EZ178</f>
        <v>0</v>
      </c>
      <c r="FA179" s="1684">
        <f t="shared" ref="FA179" si="3210">+FA177+FA178</f>
        <v>100</v>
      </c>
      <c r="FB179" s="1684">
        <f t="shared" ref="FB179" si="3211">+FB177+FB178</f>
        <v>1827.49</v>
      </c>
      <c r="FC179" s="1684">
        <f t="shared" ref="FC179" si="3212">+FC177+FC178</f>
        <v>0</v>
      </c>
      <c r="FD179" s="1684">
        <f t="shared" ref="FD179" si="3213">+FD177+FD178</f>
        <v>0</v>
      </c>
      <c r="FE179" s="1684">
        <f t="shared" ref="FE179" si="3214">+FE177+FE178</f>
        <v>1927.49</v>
      </c>
      <c r="FF179" s="1556"/>
      <c r="FG179" s="1556"/>
      <c r="FH179" s="1556"/>
      <c r="FI179" s="1556"/>
      <c r="FJ179" s="1556"/>
      <c r="FK179" s="1556"/>
      <c r="FL179" s="1464">
        <f t="shared" si="2482"/>
        <v>0</v>
      </c>
    </row>
    <row r="180" spans="1:260" s="1474" customFormat="1" ht="15.75" customHeight="1" outlineLevel="1" thickTop="1">
      <c r="A180" s="1403"/>
      <c r="B180" s="1348" t="s">
        <v>438</v>
      </c>
      <c r="C180" s="1703"/>
      <c r="D180" s="1414"/>
      <c r="E180" s="1584"/>
      <c r="F180" s="1491"/>
      <c r="G180" s="1491"/>
      <c r="H180" s="1444"/>
      <c r="I180" s="1546"/>
      <c r="J180" s="1546"/>
      <c r="K180" s="1546"/>
      <c r="L180" s="1546"/>
      <c r="M180" s="1546"/>
      <c r="N180" s="1546"/>
      <c r="O180" s="1523"/>
      <c r="P180" s="1491"/>
      <c r="Q180" s="1491"/>
      <c r="R180" s="1491"/>
      <c r="S180" s="1491"/>
      <c r="T180" s="1491"/>
      <c r="U180" s="1491"/>
      <c r="V180" s="1491"/>
      <c r="W180" s="1491"/>
      <c r="X180" s="1491"/>
      <c r="Y180" s="1491"/>
      <c r="Z180" s="1491"/>
      <c r="AA180" s="1491"/>
      <c r="AB180" s="1491"/>
      <c r="AC180" s="1491"/>
      <c r="AD180" s="1491"/>
      <c r="AE180" s="1491"/>
      <c r="AF180" s="1491"/>
      <c r="AG180" s="1491"/>
      <c r="AH180" s="1491"/>
      <c r="AI180" s="1491"/>
      <c r="AJ180" s="1491"/>
      <c r="AK180" s="1491"/>
      <c r="AL180" s="1491"/>
      <c r="AM180" s="1491"/>
      <c r="AN180" s="1491"/>
      <c r="AO180" s="1491"/>
      <c r="AP180" s="1491"/>
      <c r="AQ180" s="1491"/>
      <c r="AR180" s="1491"/>
      <c r="AS180" s="1491"/>
      <c r="AT180" s="1491"/>
      <c r="AU180" s="1517"/>
      <c r="AV180" s="1491"/>
      <c r="AW180" s="1491"/>
      <c r="AX180" s="1491"/>
      <c r="AY180" s="1491"/>
      <c r="AZ180" s="1491"/>
      <c r="BA180" s="1491"/>
      <c r="BB180" s="1491"/>
      <c r="BC180" s="1491"/>
      <c r="BD180" s="1491"/>
      <c r="BE180" s="1491"/>
      <c r="BF180" s="355"/>
      <c r="BG180" s="1491"/>
      <c r="BH180" s="1491"/>
      <c r="BI180" s="1491"/>
      <c r="BJ180" s="1491"/>
      <c r="BK180" s="1491"/>
      <c r="BL180" s="1491"/>
      <c r="BM180" s="1491"/>
      <c r="BN180" s="1491"/>
      <c r="BO180" s="1491"/>
      <c r="BP180" s="1491"/>
      <c r="BQ180" s="1491"/>
      <c r="BR180" s="1491"/>
      <c r="BS180" s="1491"/>
      <c r="BT180" s="1491"/>
      <c r="BU180" s="1491"/>
      <c r="BV180" s="1491"/>
      <c r="BW180" s="1491"/>
      <c r="BX180" s="1491"/>
      <c r="BY180" s="1491"/>
      <c r="BZ180" s="1491"/>
      <c r="CA180" s="1491"/>
      <c r="CB180" s="1491"/>
      <c r="CC180" s="1491"/>
      <c r="CD180" s="1491"/>
      <c r="CE180" s="1491"/>
      <c r="CF180" s="1491"/>
      <c r="CG180" s="1491"/>
      <c r="CH180" s="1491"/>
      <c r="CI180" s="1491"/>
      <c r="CJ180" s="1491"/>
      <c r="CK180" s="1491"/>
      <c r="CL180" s="1491"/>
      <c r="CM180" s="1491"/>
      <c r="CN180" s="1491"/>
      <c r="CP180" s="1414"/>
      <c r="CQ180" s="1491"/>
      <c r="CR180" s="1491"/>
      <c r="CS180" s="1491"/>
      <c r="CT180" s="1491"/>
      <c r="CU180" s="1491"/>
      <c r="CV180" s="1491"/>
      <c r="CW180" s="1491"/>
      <c r="CX180" s="1491"/>
      <c r="CY180" s="1491"/>
      <c r="CZ180" s="1491"/>
      <c r="DA180" s="1491"/>
      <c r="DB180" s="1491"/>
      <c r="DC180" s="1491"/>
      <c r="DD180" s="1491"/>
      <c r="DE180" s="1491"/>
      <c r="DF180" s="1491"/>
      <c r="DG180" s="1491"/>
      <c r="DH180" s="1491"/>
      <c r="DI180" s="1491"/>
      <c r="DJ180" s="1491"/>
      <c r="DK180" s="1491"/>
      <c r="DL180" s="1491"/>
      <c r="DM180" s="1491"/>
      <c r="DN180" s="1491"/>
      <c r="DO180" s="1491"/>
      <c r="DP180" s="1491"/>
      <c r="DQ180" s="1491"/>
      <c r="DR180" s="1491"/>
      <c r="DS180" s="1491"/>
      <c r="DT180" s="1491"/>
      <c r="DU180" s="1491"/>
      <c r="DV180" s="1491"/>
      <c r="DW180" s="1491"/>
      <c r="DX180" s="1491"/>
      <c r="DY180" s="1491"/>
      <c r="DZ180" s="1491"/>
      <c r="EA180" s="1491"/>
      <c r="EB180" s="1491"/>
      <c r="EC180" s="1491"/>
      <c r="ED180" s="1491"/>
      <c r="EE180" s="1491"/>
      <c r="EF180" s="1491"/>
      <c r="EG180" s="1491"/>
      <c r="EH180" s="1491"/>
      <c r="EI180" s="1491"/>
      <c r="EK180" s="1491"/>
      <c r="EL180" s="1491"/>
      <c r="EM180" s="1491"/>
      <c r="EN180" s="1584"/>
      <c r="EO180" s="1491"/>
      <c r="EP180" s="1491"/>
      <c r="EQ180" s="1491"/>
      <c r="ER180" s="1491"/>
      <c r="ES180" s="1491"/>
      <c r="ET180" s="1491"/>
      <c r="EU180" s="1414"/>
      <c r="EV180" s="1491"/>
      <c r="EW180" s="1491"/>
      <c r="EX180" s="1491"/>
      <c r="EY180" s="1491"/>
      <c r="EZ180" s="1491"/>
      <c r="FA180" s="1491"/>
      <c r="FB180" s="1491"/>
      <c r="FC180" s="1491"/>
      <c r="FD180" s="1491"/>
      <c r="FE180" s="1491"/>
      <c r="FF180" s="1674"/>
      <c r="FG180" s="1674"/>
      <c r="FH180" s="1674"/>
      <c r="FI180" s="1674"/>
      <c r="FJ180" s="1674"/>
      <c r="FK180" s="1674"/>
      <c r="FL180" s="1414">
        <f t="shared" si="2482"/>
        <v>0</v>
      </c>
    </row>
    <row r="181" spans="1:260" s="1603" customFormat="1" ht="15" customHeight="1" outlineLevel="1">
      <c r="A181" s="1625">
        <v>110</v>
      </c>
      <c r="B181" s="213" t="s">
        <v>761</v>
      </c>
      <c r="C181" s="312" t="s">
        <v>133</v>
      </c>
      <c r="D181" s="313" t="s">
        <v>11</v>
      </c>
      <c r="E181" s="1971">
        <v>3166.38</v>
      </c>
      <c r="F181" s="314">
        <v>250</v>
      </c>
      <c r="G181" s="1970">
        <f>+E181+F181</f>
        <v>3416.38</v>
      </c>
      <c r="H181" s="1971">
        <v>30</v>
      </c>
      <c r="I181" s="318"/>
      <c r="J181" s="1498">
        <v>1</v>
      </c>
      <c r="K181" s="318"/>
      <c r="L181" s="318"/>
      <c r="M181" s="318"/>
      <c r="N181" s="318">
        <f>SUM(I181:M181)</f>
        <v>1</v>
      </c>
      <c r="O181" s="1534"/>
      <c r="P181" s="320"/>
      <c r="Q181" s="315">
        <f>($E181/30/8*1.5)*P181</f>
        <v>0</v>
      </c>
      <c r="R181" s="321"/>
      <c r="S181" s="315">
        <f>($E181/30/8*2)*R181</f>
        <v>0</v>
      </c>
      <c r="T181" s="321"/>
      <c r="U181" s="315">
        <f>($E181/30/8*1.5)*T181</f>
        <v>0</v>
      </c>
      <c r="V181" s="321"/>
      <c r="W181" s="315">
        <f>($E181/30/8*2)*V181</f>
        <v>0</v>
      </c>
      <c r="X181" s="321"/>
      <c r="Y181" s="315">
        <f>(($E181/30/8)*1.5)*X181</f>
        <v>0</v>
      </c>
      <c r="Z181" s="322"/>
      <c r="AA181" s="315">
        <f>(($E181/30/8)*2)*Z181</f>
        <v>0</v>
      </c>
      <c r="AB181" s="322"/>
      <c r="AC181" s="315">
        <f>(($E181/30/8)*1.5)*AB181</f>
        <v>0</v>
      </c>
      <c r="AD181" s="322"/>
      <c r="AE181" s="315">
        <f>(($E181/30/8)*2)*AD181</f>
        <v>0</v>
      </c>
      <c r="AF181" s="315"/>
      <c r="AG181" s="315">
        <f>(($E181/30/8)*1.5)*AF181</f>
        <v>0</v>
      </c>
      <c r="AH181" s="322"/>
      <c r="AI181" s="315">
        <f>(($E181/30/8)*2)*AH181</f>
        <v>0</v>
      </c>
      <c r="AJ181" s="314"/>
      <c r="AK181" s="314"/>
      <c r="AL181" s="314"/>
      <c r="AM181" s="314"/>
      <c r="AN181" s="314"/>
      <c r="AO181" s="314"/>
      <c r="AP181" s="314"/>
      <c r="AQ181" s="314"/>
      <c r="AR181" s="314"/>
      <c r="AS181" s="314"/>
      <c r="AT181" s="314"/>
      <c r="AU181" s="326"/>
      <c r="AV181" s="315">
        <f>((E181/30)*H181)*$I181</f>
        <v>0</v>
      </c>
      <c r="AW181" s="315">
        <f>((F181/30)*H181)*$I181</f>
        <v>0</v>
      </c>
      <c r="AX181" s="315">
        <f t="shared" ref="AX181" si="3215">P181</f>
        <v>0</v>
      </c>
      <c r="AY181" s="315">
        <f t="shared" ref="AY181" si="3216">Q181</f>
        <v>0</v>
      </c>
      <c r="AZ181" s="315">
        <f t="shared" ref="AZ181" si="3217">R181</f>
        <v>0</v>
      </c>
      <c r="BA181" s="315">
        <f t="shared" ref="BA181" si="3218">S181</f>
        <v>0</v>
      </c>
      <c r="BB181" s="315">
        <f>AJ181+AO181</f>
        <v>0</v>
      </c>
      <c r="BC181" s="315">
        <f>(AV181+AY181+BA181)*0.1267</f>
        <v>0</v>
      </c>
      <c r="BD181" s="315">
        <f>SUM(AV181:BC181)-AX181-AZ181</f>
        <v>0</v>
      </c>
      <c r="BE181" s="315">
        <f>(($E181/30)*$H181)*$J181</f>
        <v>3166.38</v>
      </c>
      <c r="BF181" s="2013">
        <f>(($F181/30)*$H181)*$J181+1642.36</f>
        <v>1892.36</v>
      </c>
      <c r="BG181" s="315">
        <f t="shared" ref="BG181" si="3219">T181</f>
        <v>0</v>
      </c>
      <c r="BH181" s="315">
        <f t="shared" ref="BH181" si="3220">U181</f>
        <v>0</v>
      </c>
      <c r="BI181" s="315">
        <f t="shared" ref="BI181" si="3221">V181</f>
        <v>0</v>
      </c>
      <c r="BJ181" s="315">
        <f t="shared" ref="BJ181" si="3222">W181</f>
        <v>0</v>
      </c>
      <c r="BK181" s="315">
        <f>AK181+AP181</f>
        <v>0</v>
      </c>
      <c r="BL181" s="315">
        <f>(+BE181+BH181+BJ181+BK181)*0.1267</f>
        <v>401.18034600000004</v>
      </c>
      <c r="BM181" s="314">
        <f>SUM(BE181:BL181)-BG181-BI181</f>
        <v>5459.9203459999999</v>
      </c>
      <c r="BN181" s="315">
        <f>(($E181/30)*$H181)*$K181</f>
        <v>0</v>
      </c>
      <c r="BO181" s="315">
        <f>(($F181/30)*$H181)*$K181</f>
        <v>0</v>
      </c>
      <c r="BP181" s="315">
        <f t="shared" ref="BP181" si="3223">X181</f>
        <v>0</v>
      </c>
      <c r="BQ181" s="315">
        <f t="shared" ref="BQ181" si="3224">Y181</f>
        <v>0</v>
      </c>
      <c r="BR181" s="315">
        <f t="shared" ref="BR181" si="3225">Z181</f>
        <v>0</v>
      </c>
      <c r="BS181" s="315">
        <f t="shared" ref="BS181" si="3226">AA181</f>
        <v>0</v>
      </c>
      <c r="BT181" s="315">
        <f>AL181+AQ181</f>
        <v>0</v>
      </c>
      <c r="BU181" s="315">
        <f>(BN181+BQ181+BS181)*0.1267</f>
        <v>0</v>
      </c>
      <c r="BV181" s="315">
        <f>SUM(BN181:BU181)-BP181-BR181</f>
        <v>0</v>
      </c>
      <c r="BW181" s="1699">
        <f>(($E181/30)*$H181)*$L181</f>
        <v>0</v>
      </c>
      <c r="BX181" s="1700">
        <f>(($F181/30)*$H181)*$L181</f>
        <v>0</v>
      </c>
      <c r="BY181" s="1700">
        <f t="shared" ref="BY181" si="3227">AB181</f>
        <v>0</v>
      </c>
      <c r="BZ181" s="1700">
        <f t="shared" ref="BZ181" si="3228">AC181</f>
        <v>0</v>
      </c>
      <c r="CA181" s="1700">
        <f t="shared" ref="CA181" si="3229">AD181</f>
        <v>0</v>
      </c>
      <c r="CB181" s="1700">
        <f t="shared" ref="CB181" si="3230">AE181</f>
        <v>0</v>
      </c>
      <c r="CC181" s="1700">
        <f>AM181+AR181</f>
        <v>0</v>
      </c>
      <c r="CD181" s="1700">
        <f>(BW181+BZ181+CB181)*0.1267</f>
        <v>0</v>
      </c>
      <c r="CE181" s="1700">
        <f>SUM(BW181:CD181)-BY181-CA181</f>
        <v>0</v>
      </c>
      <c r="CF181" s="1700">
        <f>(($E181/30)*$H181)*M181</f>
        <v>0</v>
      </c>
      <c r="CG181" s="1700">
        <f>(($F181/30)*$H181)*$M181</f>
        <v>0</v>
      </c>
      <c r="CH181" s="1700">
        <f>+AF181</f>
        <v>0</v>
      </c>
      <c r="CI181" s="1700">
        <f t="shared" ref="CI181" si="3231">AG181</f>
        <v>0</v>
      </c>
      <c r="CJ181" s="1700">
        <f t="shared" ref="CJ181" si="3232">AH181</f>
        <v>0</v>
      </c>
      <c r="CK181" s="1700">
        <f t="shared" ref="CK181" si="3233">AI181</f>
        <v>0</v>
      </c>
      <c r="CL181" s="1700">
        <f>AN181+AS181</f>
        <v>0</v>
      </c>
      <c r="CM181" s="1700">
        <f>(CF181+CI181+CK181)*0.1267</f>
        <v>0</v>
      </c>
      <c r="CN181" s="1701">
        <f>SUM(CF181:CM181)-CH181-CJ181</f>
        <v>0</v>
      </c>
      <c r="CO181" s="1534"/>
      <c r="CP181" s="313" t="s">
        <v>11</v>
      </c>
      <c r="CQ181" s="315">
        <f>IF($CP181="PROQUIMA",$AV181+$BE181+$BN181+$BW181+$CF181,0)</f>
        <v>0</v>
      </c>
      <c r="CR181" s="315">
        <f>IF($CP181="PROQUIMA",$AW181+$BF181+$BO181+$BX181+$CG181,0)</f>
        <v>0</v>
      </c>
      <c r="CS181" s="315">
        <f>IF($CP181="PROQUIMA",$AX181+$BG181+$BP181+$BY181+$CH181,0)</f>
        <v>0</v>
      </c>
      <c r="CT181" s="315">
        <f>IF($CP181="PROQUIMA",$AY181+$BH181+$BQ181+$BZ181+$CI181,0)</f>
        <v>0</v>
      </c>
      <c r="CU181" s="315">
        <f>IF($CP181="PROQUIMA",$AZ181+$BI181+$BR181+$CA181+$CJ181,0)</f>
        <v>0</v>
      </c>
      <c r="CV181" s="315">
        <f>IF($CP181="PROQUIMA",$BA181+$BJ181+$BS181+$CB181+$CK181,0)</f>
        <v>0</v>
      </c>
      <c r="CW181" s="315">
        <f>IF($CP181="PROQUIMA",$BB181+$BK181+$BT181+$CC181+$CL181,0)</f>
        <v>0</v>
      </c>
      <c r="CX181" s="315">
        <f>IF($CP181="PROQUIMA",$BC181+$BL181+$BU181+$CD181+CM181,0)</f>
        <v>0</v>
      </c>
      <c r="CY181" s="315">
        <f>SUM(CQ181:CX181)-CS181-CU181</f>
        <v>0</v>
      </c>
      <c r="CZ181" s="315">
        <f>IF($CP181="UNHESA",$AV181+$BE181+$BN181+$BW181+$CF181,0)</f>
        <v>3166.38</v>
      </c>
      <c r="DA181" s="315">
        <f>IF($CP181="UNHESA",$AW181+$BF181+$BO181+$BX181+$CG181,0)</f>
        <v>1892.36</v>
      </c>
      <c r="DB181" s="315">
        <f>IF($CP181="UNHESA",$AX181+$BG181+$BP181+$BY181+$CH181,0)</f>
        <v>0</v>
      </c>
      <c r="DC181" s="315">
        <f>IF($CP181="UNHESA",$AY181+$BH181+$BQ181+$BZ181+$CI181,0)</f>
        <v>0</v>
      </c>
      <c r="DD181" s="315">
        <f>IF($CP181="UNHESA",$AZ181+$BI181+$BR181+$CA181+$CJ181,0)</f>
        <v>0</v>
      </c>
      <c r="DE181" s="315">
        <f>IF($CP181="UNHESA",$BA181+$BJ181+$BS181+$CB181+$CK181,0)</f>
        <v>0</v>
      </c>
      <c r="DF181" s="315">
        <f>IF($CP181="UNHESA",$BB181+$BK181+$BT181+$CC181+$CL181,0)</f>
        <v>0</v>
      </c>
      <c r="DG181" s="315">
        <f>IF($CP181="UNHESA",$BC181+$BL181+$BU181+$CD181+$CM181,0)</f>
        <v>401.18034600000004</v>
      </c>
      <c r="DH181" s="315">
        <f>SUM(CZ181:DG181)-DB181-DD181</f>
        <v>5459.9203459999999</v>
      </c>
      <c r="DI181" s="315">
        <f>IF($CP181="UNHESA LIQUIDOS",$AV181+$BE181+$BN181+$BW181+$CF181,0)</f>
        <v>0</v>
      </c>
      <c r="DJ181" s="315">
        <f>IF($CP181="UNHESA LIQUIDOS",$AW181+$BF181+$BO181+$BX181+$CG181,0)</f>
        <v>0</v>
      </c>
      <c r="DK181" s="315">
        <f>IF($CP181="UNHESA LIQUIDOS",$AX181+$BG181+$BP181+$BY181+$CH181,0)</f>
        <v>0</v>
      </c>
      <c r="DL181" s="315">
        <f>IF($CP181="UNHESA LIQUIDOS",$AY181+$BH181+$BQ181+$BZ181+$CI181,0)</f>
        <v>0</v>
      </c>
      <c r="DM181" s="315">
        <f>IF($CP181="UNHESA LIQUIDOS",$AZ181+$BI181+$BR181+$CA181+$CJ181,0)</f>
        <v>0</v>
      </c>
      <c r="DN181" s="315">
        <f>IF($CP181="UNHESA LIQUIDOS",$BA181+$BJ181+$BS181+$CB181+$CK181,0)</f>
        <v>0</v>
      </c>
      <c r="DO181" s="315">
        <f>IF($CP181="UNHESA LIQUIDOS",$BB181+$BK181+$BT181+$CC181+$CL181,0)</f>
        <v>0</v>
      </c>
      <c r="DP181" s="315">
        <f>IF($CP181="UNHESA LIQUIDOS",$BC181+$BL181+$BU181+$CD181+$CM181,0)</f>
        <v>0</v>
      </c>
      <c r="DQ181" s="315">
        <f>SUM(DI181:DP181)-DK181-DM181</f>
        <v>0</v>
      </c>
      <c r="DR181" s="1699">
        <f>IF($CP181="ECONACIONAL",$AV181+$BE181+$BN181+$BW181+$CF181,0)</f>
        <v>0</v>
      </c>
      <c r="DS181" s="1700">
        <f>IF($CP181="ECONACIONAL",$AW181+$BF181+$BO181+$BX181+$CG181,0)</f>
        <v>0</v>
      </c>
      <c r="DT181" s="1700">
        <f>IF($CP181="ECONACIONAL",$AX181+$BG181+$BP181+$BY181+$CH181,0)</f>
        <v>0</v>
      </c>
      <c r="DU181" s="1700">
        <f>IF($CP181="ECONACIONAL",$AY181+$BH181+$BQ181+$BZ181+$CI181,0)</f>
        <v>0</v>
      </c>
      <c r="DV181" s="1700">
        <f>IF($CP181="ECONACIONAL",$AZ181+$BI181+$BR181+$CA181+$CJ181,0)</f>
        <v>0</v>
      </c>
      <c r="DW181" s="1700">
        <f>IF($CP181="ECONACIONAL",$BA181+$BJ181+$BS181+$CB181+$CK181,0)</f>
        <v>0</v>
      </c>
      <c r="DX181" s="1700">
        <f>IF($CP181="ECONACIONAL",$BB181+$BK181+$BT181+$CC181+$CL181,0)</f>
        <v>0</v>
      </c>
      <c r="DY181" s="1700">
        <f>IF($CP181="ECONACIONAL",$BC181+$BL181+$BU181+$CD181+$CM181,0)</f>
        <v>0</v>
      </c>
      <c r="DZ181" s="1700">
        <f>SUM(DR181:DY181)-DT181-DV181</f>
        <v>0</v>
      </c>
      <c r="EA181" s="1700">
        <f>IF($CP181="CLEARTEC",$AV181+$BE181+$BN181+$BW181+$CF181,0)</f>
        <v>0</v>
      </c>
      <c r="EB181" s="1700">
        <f>IF($CP181="CLEARTEC",$AW181+$BF181+$BO181+$BX181+$CG181,0)</f>
        <v>0</v>
      </c>
      <c r="EC181" s="1700">
        <f>IF($CP181="CLEARTEC",$AX181+$BG181+$BP181+$BY181+$CH181,0)</f>
        <v>0</v>
      </c>
      <c r="ED181" s="1700">
        <f>IF($CP181="CLEARTEC",$AY181+$BH181+$BQ181+$BZ181+$CI181,0)</f>
        <v>0</v>
      </c>
      <c r="EE181" s="1700">
        <f>IF($CP181="CLEARTEC",$AZ181+$BI181+$BR181+$CA181+$CJ181,0)</f>
        <v>0</v>
      </c>
      <c r="EF181" s="1700">
        <f>IF($CP181="CLEARTEC",$BA181+$BJ181+$BS181+$CB181+$CK181,0)</f>
        <v>0</v>
      </c>
      <c r="EG181" s="1700">
        <f>IF($CP181="CLEARTEC",$BB181+$BK181+$BT181+$CC181+$CL181,0)</f>
        <v>0</v>
      </c>
      <c r="EH181" s="1700">
        <f>IF($CP181="CLEARTEC",$BC181+$BL181+$BU181+$CD181+$CM181,0)</f>
        <v>0</v>
      </c>
      <c r="EI181" s="1701">
        <f>SUM(EA181:EH181)-EC181-EE181</f>
        <v>0</v>
      </c>
      <c r="EJ181" s="1534"/>
      <c r="EK181" s="1543"/>
      <c r="EL181" s="1543"/>
      <c r="EM181" s="1543"/>
      <c r="EN181" s="313"/>
      <c r="EO181" s="312"/>
      <c r="EP181" s="1425">
        <v>50</v>
      </c>
      <c r="EQ181" s="1425"/>
      <c r="ER181" s="1425"/>
      <c r="ES181" s="1425"/>
      <c r="ET181" s="313">
        <f>+EO181+EP181+EQ181</f>
        <v>50</v>
      </c>
      <c r="EU181" s="331"/>
      <c r="EV181" s="321">
        <f t="shared" ref="EV181" si="3234">IF($H181&lt;=15,EK181/2,EK181)</f>
        <v>0</v>
      </c>
      <c r="EW181" s="313">
        <f t="shared" ref="EW181" si="3235">IF($H181&lt;=15,EL181/2,EL181)</f>
        <v>0</v>
      </c>
      <c r="EX181" s="313">
        <f t="shared" ref="EX181" si="3236">IF($H181&lt;=15,EM181/2,EM181)</f>
        <v>0</v>
      </c>
      <c r="EY181" s="313">
        <f t="shared" ref="EY181" si="3237">IF($H181&lt;=15,EN181/2,EN181)</f>
        <v>0</v>
      </c>
      <c r="EZ181" s="313">
        <f t="shared" ref="EZ181" si="3238">IF($H181&lt;=15,EO181/2,EO181)</f>
        <v>0</v>
      </c>
      <c r="FA181" s="313">
        <f t="shared" ref="FA181" si="3239">IF($H181&lt;=15,EP181/2,EP181)</f>
        <v>50</v>
      </c>
      <c r="FB181" s="313">
        <f t="shared" ref="FB181" si="3240">IF($H181&lt;=15,EQ181/2,EQ181)</f>
        <v>0</v>
      </c>
      <c r="FC181" s="313">
        <f t="shared" ref="FC181" si="3241">IF($H181&lt;=15,ER181/2,ER181)</f>
        <v>0</v>
      </c>
      <c r="FD181" s="313">
        <f t="shared" ref="FD181" si="3242">IF($H181&lt;=15,ES181/2,ES181)</f>
        <v>0</v>
      </c>
      <c r="FE181" s="313">
        <f t="shared" ref="FE181" si="3243">IF($H181&lt;=15,ET181/2,ET181)</f>
        <v>50</v>
      </c>
      <c r="FF181" s="364"/>
      <c r="FG181" s="364"/>
      <c r="FH181" s="364"/>
      <c r="FI181" s="364"/>
      <c r="FJ181" s="364"/>
      <c r="FK181" s="364"/>
      <c r="FL181" s="1441"/>
    </row>
    <row r="182" spans="1:260" s="1474" customFormat="1" ht="15.75" customHeight="1" outlineLevel="1" thickBot="1">
      <c r="A182" s="1403"/>
      <c r="B182" s="1442"/>
      <c r="C182" s="1348" t="s">
        <v>131</v>
      </c>
      <c r="D182" s="1414"/>
      <c r="E182" s="1707">
        <f>+E181</f>
        <v>3166.38</v>
      </c>
      <c r="F182" s="1708">
        <f>+F181</f>
        <v>250</v>
      </c>
      <c r="G182" s="1708">
        <f>+G181</f>
        <v>3416.38</v>
      </c>
      <c r="H182" s="1491"/>
      <c r="I182" s="1546"/>
      <c r="J182" s="1546"/>
      <c r="K182" s="1546"/>
      <c r="L182" s="1546"/>
      <c r="M182" s="1546"/>
      <c r="N182" s="1546"/>
      <c r="O182" s="1523"/>
      <c r="P182" s="1668">
        <f t="shared" ref="P182:AT182" si="3244">+P181</f>
        <v>0</v>
      </c>
      <c r="Q182" s="1668">
        <f t="shared" si="3244"/>
        <v>0</v>
      </c>
      <c r="R182" s="1668">
        <f t="shared" si="3244"/>
        <v>0</v>
      </c>
      <c r="S182" s="1668">
        <f t="shared" si="3244"/>
        <v>0</v>
      </c>
      <c r="T182" s="1668">
        <f t="shared" si="3244"/>
        <v>0</v>
      </c>
      <c r="U182" s="1668">
        <f t="shared" si="3244"/>
        <v>0</v>
      </c>
      <c r="V182" s="1668">
        <f t="shared" si="3244"/>
        <v>0</v>
      </c>
      <c r="W182" s="1668">
        <f t="shared" si="3244"/>
        <v>0</v>
      </c>
      <c r="X182" s="1668">
        <f t="shared" si="3244"/>
        <v>0</v>
      </c>
      <c r="Y182" s="1668">
        <f t="shared" si="3244"/>
        <v>0</v>
      </c>
      <c r="Z182" s="1668">
        <f t="shared" si="3244"/>
        <v>0</v>
      </c>
      <c r="AA182" s="1668">
        <f t="shared" si="3244"/>
        <v>0</v>
      </c>
      <c r="AB182" s="1668">
        <f t="shared" si="3244"/>
        <v>0</v>
      </c>
      <c r="AC182" s="1668">
        <f t="shared" si="3244"/>
        <v>0</v>
      </c>
      <c r="AD182" s="1668">
        <f t="shared" si="3244"/>
        <v>0</v>
      </c>
      <c r="AE182" s="1668">
        <f t="shared" si="3244"/>
        <v>0</v>
      </c>
      <c r="AF182" s="1668">
        <f t="shared" si="3244"/>
        <v>0</v>
      </c>
      <c r="AG182" s="1668">
        <f t="shared" si="3244"/>
        <v>0</v>
      </c>
      <c r="AH182" s="1668">
        <f t="shared" si="3244"/>
        <v>0</v>
      </c>
      <c r="AI182" s="1668">
        <f t="shared" si="3244"/>
        <v>0</v>
      </c>
      <c r="AJ182" s="1668">
        <f t="shared" si="3244"/>
        <v>0</v>
      </c>
      <c r="AK182" s="1668">
        <f t="shared" si="3244"/>
        <v>0</v>
      </c>
      <c r="AL182" s="1668">
        <f t="shared" si="3244"/>
        <v>0</v>
      </c>
      <c r="AM182" s="1668">
        <f t="shared" si="3244"/>
        <v>0</v>
      </c>
      <c r="AN182" s="1668">
        <f t="shared" si="3244"/>
        <v>0</v>
      </c>
      <c r="AO182" s="1668">
        <f t="shared" si="3244"/>
        <v>0</v>
      </c>
      <c r="AP182" s="1668">
        <f t="shared" si="3244"/>
        <v>0</v>
      </c>
      <c r="AQ182" s="1668">
        <f t="shared" si="3244"/>
        <v>0</v>
      </c>
      <c r="AR182" s="1668">
        <f t="shared" si="3244"/>
        <v>0</v>
      </c>
      <c r="AS182" s="1668">
        <f t="shared" si="3244"/>
        <v>0</v>
      </c>
      <c r="AT182" s="1668">
        <f t="shared" si="3244"/>
        <v>0</v>
      </c>
      <c r="AU182" s="1668" t="s">
        <v>54</v>
      </c>
      <c r="AV182" s="1668">
        <f t="shared" ref="AV182:CO182" si="3245">+AV181</f>
        <v>0</v>
      </c>
      <c r="AW182" s="1668">
        <f t="shared" si="3245"/>
        <v>0</v>
      </c>
      <c r="AX182" s="1668">
        <f t="shared" si="3245"/>
        <v>0</v>
      </c>
      <c r="AY182" s="1668">
        <f t="shared" si="3245"/>
        <v>0</v>
      </c>
      <c r="AZ182" s="1668">
        <f t="shared" si="3245"/>
        <v>0</v>
      </c>
      <c r="BA182" s="1668">
        <f t="shared" si="3245"/>
        <v>0</v>
      </c>
      <c r="BB182" s="1668">
        <f t="shared" si="3245"/>
        <v>0</v>
      </c>
      <c r="BC182" s="1668">
        <f t="shared" si="3245"/>
        <v>0</v>
      </c>
      <c r="BD182" s="1668">
        <f t="shared" si="3245"/>
        <v>0</v>
      </c>
      <c r="BE182" s="1668">
        <f t="shared" si="3245"/>
        <v>3166.38</v>
      </c>
      <c r="BF182" s="1668">
        <f t="shared" si="3245"/>
        <v>1892.36</v>
      </c>
      <c r="BG182" s="1668">
        <f t="shared" si="3245"/>
        <v>0</v>
      </c>
      <c r="BH182" s="1668">
        <f t="shared" si="3245"/>
        <v>0</v>
      </c>
      <c r="BI182" s="1668">
        <f t="shared" si="3245"/>
        <v>0</v>
      </c>
      <c r="BJ182" s="1668">
        <f t="shared" si="3245"/>
        <v>0</v>
      </c>
      <c r="BK182" s="1668">
        <f t="shared" si="3245"/>
        <v>0</v>
      </c>
      <c r="BL182" s="1668">
        <f t="shared" si="3245"/>
        <v>401.18034600000004</v>
      </c>
      <c r="BM182" s="1668">
        <f t="shared" si="3245"/>
        <v>5459.9203459999999</v>
      </c>
      <c r="BN182" s="1668">
        <f t="shared" si="3245"/>
        <v>0</v>
      </c>
      <c r="BO182" s="1668">
        <f t="shared" si="3245"/>
        <v>0</v>
      </c>
      <c r="BP182" s="1668">
        <f t="shared" si="3245"/>
        <v>0</v>
      </c>
      <c r="BQ182" s="1668">
        <f t="shared" si="3245"/>
        <v>0</v>
      </c>
      <c r="BR182" s="1668">
        <f t="shared" si="3245"/>
        <v>0</v>
      </c>
      <c r="BS182" s="1668">
        <f t="shared" si="3245"/>
        <v>0</v>
      </c>
      <c r="BT182" s="1668">
        <f t="shared" si="3245"/>
        <v>0</v>
      </c>
      <c r="BU182" s="1668">
        <f t="shared" si="3245"/>
        <v>0</v>
      </c>
      <c r="BV182" s="1668">
        <f t="shared" si="3245"/>
        <v>0</v>
      </c>
      <c r="BW182" s="1491">
        <f t="shared" si="3245"/>
        <v>0</v>
      </c>
      <c r="BX182" s="1491">
        <f t="shared" si="3245"/>
        <v>0</v>
      </c>
      <c r="BY182" s="1491">
        <f t="shared" si="3245"/>
        <v>0</v>
      </c>
      <c r="BZ182" s="1491">
        <f t="shared" si="3245"/>
        <v>0</v>
      </c>
      <c r="CA182" s="1491">
        <f t="shared" si="3245"/>
        <v>0</v>
      </c>
      <c r="CB182" s="1491">
        <f t="shared" si="3245"/>
        <v>0</v>
      </c>
      <c r="CC182" s="1491">
        <f t="shared" si="3245"/>
        <v>0</v>
      </c>
      <c r="CD182" s="1491">
        <f t="shared" si="3245"/>
        <v>0</v>
      </c>
      <c r="CE182" s="1491">
        <f t="shared" si="3245"/>
        <v>0</v>
      </c>
      <c r="CF182" s="1491">
        <f t="shared" si="3245"/>
        <v>0</v>
      </c>
      <c r="CG182" s="1491">
        <f t="shared" si="3245"/>
        <v>0</v>
      </c>
      <c r="CH182" s="1491">
        <f t="shared" si="3245"/>
        <v>0</v>
      </c>
      <c r="CI182" s="1491">
        <f t="shared" si="3245"/>
        <v>0</v>
      </c>
      <c r="CJ182" s="1491">
        <f t="shared" si="3245"/>
        <v>0</v>
      </c>
      <c r="CK182" s="1491">
        <f t="shared" si="3245"/>
        <v>0</v>
      </c>
      <c r="CL182" s="1491">
        <f t="shared" si="3245"/>
        <v>0</v>
      </c>
      <c r="CM182" s="1491">
        <f t="shared" si="3245"/>
        <v>0</v>
      </c>
      <c r="CN182" s="1491">
        <f t="shared" si="3245"/>
        <v>0</v>
      </c>
      <c r="CO182" s="1491">
        <f t="shared" si="3245"/>
        <v>0</v>
      </c>
      <c r="CP182" s="1709"/>
      <c r="CQ182" s="1668">
        <f t="shared" ref="CQ182:EI182" si="3246">+CQ181</f>
        <v>0</v>
      </c>
      <c r="CR182" s="1668">
        <f t="shared" si="3246"/>
        <v>0</v>
      </c>
      <c r="CS182" s="1668">
        <f t="shared" si="3246"/>
        <v>0</v>
      </c>
      <c r="CT182" s="1668">
        <f t="shared" si="3246"/>
        <v>0</v>
      </c>
      <c r="CU182" s="1668">
        <f t="shared" si="3246"/>
        <v>0</v>
      </c>
      <c r="CV182" s="1668">
        <f t="shared" si="3246"/>
        <v>0</v>
      </c>
      <c r="CW182" s="1668">
        <f t="shared" si="3246"/>
        <v>0</v>
      </c>
      <c r="CX182" s="1668">
        <f t="shared" si="3246"/>
        <v>0</v>
      </c>
      <c r="CY182" s="1668">
        <f t="shared" si="3246"/>
        <v>0</v>
      </c>
      <c r="CZ182" s="1668">
        <f t="shared" si="3246"/>
        <v>3166.38</v>
      </c>
      <c r="DA182" s="1668">
        <f t="shared" si="3246"/>
        <v>1892.36</v>
      </c>
      <c r="DB182" s="1668">
        <f t="shared" si="3246"/>
        <v>0</v>
      </c>
      <c r="DC182" s="1668">
        <f t="shared" si="3246"/>
        <v>0</v>
      </c>
      <c r="DD182" s="1668">
        <f t="shared" si="3246"/>
        <v>0</v>
      </c>
      <c r="DE182" s="1668">
        <f t="shared" si="3246"/>
        <v>0</v>
      </c>
      <c r="DF182" s="1668">
        <f t="shared" si="3246"/>
        <v>0</v>
      </c>
      <c r="DG182" s="1668">
        <f t="shared" si="3246"/>
        <v>401.18034600000004</v>
      </c>
      <c r="DH182" s="1668">
        <f t="shared" si="3246"/>
        <v>5459.9203459999999</v>
      </c>
      <c r="DI182" s="1668">
        <f t="shared" si="3246"/>
        <v>0</v>
      </c>
      <c r="DJ182" s="1668">
        <f t="shared" si="3246"/>
        <v>0</v>
      </c>
      <c r="DK182" s="1668">
        <f t="shared" si="3246"/>
        <v>0</v>
      </c>
      <c r="DL182" s="1668">
        <f t="shared" si="3246"/>
        <v>0</v>
      </c>
      <c r="DM182" s="1668">
        <f t="shared" si="3246"/>
        <v>0</v>
      </c>
      <c r="DN182" s="1668">
        <f t="shared" si="3246"/>
        <v>0</v>
      </c>
      <c r="DO182" s="1668">
        <f t="shared" si="3246"/>
        <v>0</v>
      </c>
      <c r="DP182" s="1668">
        <f t="shared" si="3246"/>
        <v>0</v>
      </c>
      <c r="DQ182" s="1668">
        <f t="shared" si="3246"/>
        <v>0</v>
      </c>
      <c r="DR182" s="1491">
        <f t="shared" si="3246"/>
        <v>0</v>
      </c>
      <c r="DS182" s="1491">
        <f t="shared" si="3246"/>
        <v>0</v>
      </c>
      <c r="DT182" s="1491">
        <f t="shared" si="3246"/>
        <v>0</v>
      </c>
      <c r="DU182" s="1491">
        <f t="shared" si="3246"/>
        <v>0</v>
      </c>
      <c r="DV182" s="1491">
        <f t="shared" si="3246"/>
        <v>0</v>
      </c>
      <c r="DW182" s="1491">
        <f t="shared" si="3246"/>
        <v>0</v>
      </c>
      <c r="DX182" s="1491">
        <f t="shared" si="3246"/>
        <v>0</v>
      </c>
      <c r="DY182" s="1491">
        <f t="shared" si="3246"/>
        <v>0</v>
      </c>
      <c r="DZ182" s="1491">
        <f t="shared" si="3246"/>
        <v>0</v>
      </c>
      <c r="EA182" s="1491">
        <f t="shared" si="3246"/>
        <v>0</v>
      </c>
      <c r="EB182" s="1491">
        <f t="shared" si="3246"/>
        <v>0</v>
      </c>
      <c r="EC182" s="1491">
        <f t="shared" si="3246"/>
        <v>0</v>
      </c>
      <c r="ED182" s="1491">
        <f t="shared" si="3246"/>
        <v>0</v>
      </c>
      <c r="EE182" s="1491">
        <f t="shared" si="3246"/>
        <v>0</v>
      </c>
      <c r="EF182" s="1491">
        <f t="shared" si="3246"/>
        <v>0</v>
      </c>
      <c r="EG182" s="1491">
        <f t="shared" si="3246"/>
        <v>0</v>
      </c>
      <c r="EH182" s="1491">
        <f t="shared" si="3246"/>
        <v>0</v>
      </c>
      <c r="EI182" s="1491">
        <f t="shared" si="3246"/>
        <v>0</v>
      </c>
      <c r="EJ182" s="1491" t="s">
        <v>54</v>
      </c>
      <c r="EK182" s="1668">
        <f t="shared" ref="EK182:FE182" si="3247">+EK181</f>
        <v>0</v>
      </c>
      <c r="EL182" s="1668">
        <f t="shared" si="3247"/>
        <v>0</v>
      </c>
      <c r="EM182" s="1668">
        <f t="shared" si="3247"/>
        <v>0</v>
      </c>
      <c r="EN182" s="1587">
        <f t="shared" si="3247"/>
        <v>0</v>
      </c>
      <c r="EO182" s="1668">
        <f t="shared" si="3247"/>
        <v>0</v>
      </c>
      <c r="EP182" s="1668">
        <f t="shared" si="3247"/>
        <v>50</v>
      </c>
      <c r="EQ182" s="1668">
        <f t="shared" si="3247"/>
        <v>0</v>
      </c>
      <c r="ER182" s="1668">
        <f t="shared" si="3247"/>
        <v>0</v>
      </c>
      <c r="ES182" s="1668">
        <f t="shared" si="3247"/>
        <v>0</v>
      </c>
      <c r="ET182" s="1668">
        <f t="shared" si="3247"/>
        <v>50</v>
      </c>
      <c r="EU182" s="1491">
        <f t="shared" si="3247"/>
        <v>0</v>
      </c>
      <c r="EV182" s="1668">
        <f t="shared" si="3247"/>
        <v>0</v>
      </c>
      <c r="EW182" s="1668">
        <f t="shared" si="3247"/>
        <v>0</v>
      </c>
      <c r="EX182" s="1668">
        <f t="shared" si="3247"/>
        <v>0</v>
      </c>
      <c r="EY182" s="1668">
        <f t="shared" si="3247"/>
        <v>0</v>
      </c>
      <c r="EZ182" s="1668">
        <f t="shared" si="3247"/>
        <v>0</v>
      </c>
      <c r="FA182" s="1668">
        <f t="shared" si="3247"/>
        <v>50</v>
      </c>
      <c r="FB182" s="1668">
        <f t="shared" si="3247"/>
        <v>0</v>
      </c>
      <c r="FC182" s="1668">
        <f t="shared" si="3247"/>
        <v>0</v>
      </c>
      <c r="FD182" s="1668">
        <f t="shared" si="3247"/>
        <v>0</v>
      </c>
      <c r="FE182" s="1668">
        <f t="shared" si="3247"/>
        <v>50</v>
      </c>
      <c r="FF182" s="1674"/>
      <c r="FG182" s="1674"/>
      <c r="FH182" s="1674"/>
      <c r="FI182" s="1674"/>
      <c r="FJ182" s="1674"/>
      <c r="FK182" s="1674"/>
      <c r="FL182" s="1414">
        <f t="shared" si="2482"/>
        <v>0</v>
      </c>
    </row>
    <row r="183" spans="1:260" s="1474" customFormat="1" ht="15.75" customHeight="1" outlineLevel="1" thickTop="1">
      <c r="A183" s="1403"/>
      <c r="B183" s="1348" t="s">
        <v>437</v>
      </c>
      <c r="C183" s="1403"/>
      <c r="D183" s="1414"/>
      <c r="E183" s="1564"/>
      <c r="F183" s="1451"/>
      <c r="G183" s="1451"/>
      <c r="H183" s="1444"/>
      <c r="I183" s="1546"/>
      <c r="J183" s="1546"/>
      <c r="K183" s="1546"/>
      <c r="L183" s="1546"/>
      <c r="M183" s="1546"/>
      <c r="N183" s="1546"/>
      <c r="P183" s="1565"/>
      <c r="Q183" s="1444"/>
      <c r="R183" s="1452"/>
      <c r="S183" s="1444"/>
      <c r="T183" s="1452"/>
      <c r="U183" s="1444"/>
      <c r="V183" s="1452"/>
      <c r="W183" s="1444"/>
      <c r="X183" s="1452"/>
      <c r="Y183" s="1444"/>
      <c r="Z183" s="1453"/>
      <c r="AA183" s="1444"/>
      <c r="AB183" s="1453"/>
      <c r="AC183" s="1444"/>
      <c r="AD183" s="1453"/>
      <c r="AE183" s="1444"/>
      <c r="AF183" s="1444"/>
      <c r="AG183" s="1444"/>
      <c r="AH183" s="1453"/>
      <c r="AI183" s="1444"/>
      <c r="AJ183" s="1451"/>
      <c r="AK183" s="1451"/>
      <c r="AL183" s="1451"/>
      <c r="AM183" s="1451"/>
      <c r="AN183" s="1451"/>
      <c r="AO183" s="1451"/>
      <c r="AP183" s="1451"/>
      <c r="AQ183" s="1451"/>
      <c r="AR183" s="1451"/>
      <c r="AS183" s="1451"/>
      <c r="AT183" s="1451"/>
      <c r="AU183" s="1517"/>
      <c r="AV183" s="1444"/>
      <c r="AW183" s="1444"/>
      <c r="AX183" s="1444"/>
      <c r="AY183" s="1444"/>
      <c r="AZ183" s="1444"/>
      <c r="BA183" s="1444"/>
      <c r="BB183" s="1444"/>
      <c r="BC183" s="1444"/>
      <c r="BD183" s="1444"/>
      <c r="BE183" s="1444"/>
      <c r="BF183" s="355"/>
      <c r="BG183" s="1444"/>
      <c r="BH183" s="1444"/>
      <c r="BI183" s="1444"/>
      <c r="BJ183" s="1444"/>
      <c r="BK183" s="1444"/>
      <c r="BL183" s="1444"/>
      <c r="BM183" s="1451"/>
      <c r="BN183" s="1444"/>
      <c r="BO183" s="1444"/>
      <c r="BP183" s="1444"/>
      <c r="BQ183" s="1444"/>
      <c r="BR183" s="1444"/>
      <c r="BS183" s="1444"/>
      <c r="BT183" s="1444"/>
      <c r="BU183" s="1444"/>
      <c r="BV183" s="1444"/>
      <c r="BW183" s="1444"/>
      <c r="BX183" s="1444"/>
      <c r="BY183" s="1444"/>
      <c r="BZ183" s="1444"/>
      <c r="CA183" s="1444"/>
      <c r="CB183" s="1444"/>
      <c r="CC183" s="1444"/>
      <c r="CD183" s="1444"/>
      <c r="CE183" s="1444"/>
      <c r="CF183" s="1444"/>
      <c r="CG183" s="1444"/>
      <c r="CH183" s="1444"/>
      <c r="CI183" s="1444"/>
      <c r="CJ183" s="1444"/>
      <c r="CK183" s="1444"/>
      <c r="CL183" s="1444"/>
      <c r="CM183" s="1444"/>
      <c r="CN183" s="1444"/>
      <c r="CP183" s="1414"/>
      <c r="CQ183" s="1444"/>
      <c r="CR183" s="1444"/>
      <c r="CS183" s="1444"/>
      <c r="CT183" s="1444"/>
      <c r="CU183" s="1444"/>
      <c r="CV183" s="1444"/>
      <c r="CW183" s="1444"/>
      <c r="CX183" s="1444"/>
      <c r="CY183" s="1444"/>
      <c r="CZ183" s="1444"/>
      <c r="DA183" s="1444"/>
      <c r="DB183" s="1444"/>
      <c r="DC183" s="1444"/>
      <c r="DD183" s="1444"/>
      <c r="DE183" s="1444"/>
      <c r="DF183" s="1444"/>
      <c r="DG183" s="1444"/>
      <c r="DH183" s="1444"/>
      <c r="DI183" s="1444"/>
      <c r="DJ183" s="1444"/>
      <c r="DK183" s="1444"/>
      <c r="DL183" s="1444"/>
      <c r="DM183" s="1444"/>
      <c r="DN183" s="1444"/>
      <c r="DO183" s="1444"/>
      <c r="DP183" s="1444"/>
      <c r="DQ183" s="1444"/>
      <c r="DR183" s="1444"/>
      <c r="DS183" s="1444"/>
      <c r="DT183" s="1444"/>
      <c r="DU183" s="1444"/>
      <c r="DV183" s="1444"/>
      <c r="DW183" s="1444"/>
      <c r="DX183" s="1444"/>
      <c r="DY183" s="1444"/>
      <c r="DZ183" s="1444"/>
      <c r="EA183" s="1444"/>
      <c r="EB183" s="1444"/>
      <c r="EC183" s="1444"/>
      <c r="ED183" s="1444"/>
      <c r="EE183" s="1444"/>
      <c r="EF183" s="1444"/>
      <c r="EG183" s="1444"/>
      <c r="EH183" s="1444"/>
      <c r="EI183" s="1444"/>
      <c r="EK183" s="1403"/>
      <c r="EM183" s="1339"/>
      <c r="EN183" s="1582"/>
      <c r="EO183" s="1339"/>
      <c r="EP183" s="1339"/>
      <c r="EQ183" s="1339"/>
      <c r="ER183" s="1339"/>
      <c r="ES183" s="1339"/>
      <c r="ET183" s="1339"/>
      <c r="EU183" s="1414"/>
      <c r="EV183" s="1414"/>
      <c r="EW183" s="1414"/>
      <c r="EX183" s="1414"/>
      <c r="EY183" s="1414"/>
      <c r="EZ183" s="1414"/>
      <c r="FA183" s="1414"/>
      <c r="FB183" s="1414"/>
      <c r="FC183" s="1414"/>
      <c r="FD183" s="1414"/>
      <c r="FE183" s="1414"/>
      <c r="FF183" s="1674"/>
      <c r="FG183" s="1674"/>
      <c r="FH183" s="1674"/>
      <c r="FI183" s="1674"/>
      <c r="FJ183" s="1674"/>
      <c r="FK183" s="1674"/>
      <c r="FL183" s="1414">
        <f t="shared" si="2482"/>
        <v>0</v>
      </c>
    </row>
    <row r="184" spans="1:260" s="1464" customFormat="1" ht="15" customHeight="1" outlineLevel="1">
      <c r="A184" s="1454"/>
      <c r="B184" s="213"/>
      <c r="C184" s="365"/>
      <c r="D184" s="363"/>
      <c r="E184" s="314"/>
      <c r="F184" s="1431"/>
      <c r="G184" s="1431"/>
      <c r="H184" s="355"/>
      <c r="I184" s="1432"/>
      <c r="J184" s="1494"/>
      <c r="K184" s="1432"/>
      <c r="L184" s="1432"/>
      <c r="M184" s="1432"/>
      <c r="N184" s="1432"/>
      <c r="O184" s="1474"/>
      <c r="P184" s="1535"/>
      <c r="Q184" s="355"/>
      <c r="R184" s="366"/>
      <c r="S184" s="355"/>
      <c r="T184" s="366"/>
      <c r="U184" s="355"/>
      <c r="V184" s="366"/>
      <c r="W184" s="355"/>
      <c r="X184" s="366"/>
      <c r="Y184" s="355"/>
      <c r="Z184" s="1434"/>
      <c r="AA184" s="355"/>
      <c r="AB184" s="1434"/>
      <c r="AC184" s="355"/>
      <c r="AD184" s="1434"/>
      <c r="AE184" s="355"/>
      <c r="AF184" s="355"/>
      <c r="AG184" s="355"/>
      <c r="AH184" s="1434"/>
      <c r="AI184" s="355"/>
      <c r="AJ184" s="1431"/>
      <c r="AK184" s="1431"/>
      <c r="AL184" s="1431"/>
      <c r="AM184" s="1431"/>
      <c r="AN184" s="1431"/>
      <c r="AO184" s="1431"/>
      <c r="AP184" s="1431"/>
      <c r="AQ184" s="1431"/>
      <c r="AR184" s="1431"/>
      <c r="AS184" s="1431"/>
      <c r="AT184" s="1431"/>
      <c r="AU184" s="1568"/>
      <c r="AV184" s="355"/>
      <c r="AW184" s="355"/>
      <c r="AX184" s="355"/>
      <c r="AY184" s="355"/>
      <c r="AZ184" s="355"/>
      <c r="BA184" s="355"/>
      <c r="BB184" s="355"/>
      <c r="BC184" s="355"/>
      <c r="BD184" s="355"/>
      <c r="BE184" s="355"/>
      <c r="BF184" s="1664"/>
      <c r="BG184" s="355"/>
      <c r="BH184" s="355"/>
      <c r="BI184" s="355"/>
      <c r="BJ184" s="355"/>
      <c r="BK184" s="355"/>
      <c r="BL184" s="355"/>
      <c r="BM184" s="1431"/>
      <c r="BN184" s="355"/>
      <c r="BO184" s="355"/>
      <c r="BP184" s="355"/>
      <c r="BQ184" s="355"/>
      <c r="BR184" s="355"/>
      <c r="BS184" s="355"/>
      <c r="BT184" s="355"/>
      <c r="BU184" s="355"/>
      <c r="BV184" s="355"/>
      <c r="BW184" s="1687"/>
      <c r="BX184" s="1688"/>
      <c r="BY184" s="1688"/>
      <c r="BZ184" s="1688"/>
      <c r="CA184" s="1688"/>
      <c r="CB184" s="1688"/>
      <c r="CC184" s="1688"/>
      <c r="CD184" s="1688"/>
      <c r="CE184" s="1688"/>
      <c r="CF184" s="1688"/>
      <c r="CG184" s="1688"/>
      <c r="CH184" s="1688"/>
      <c r="CI184" s="1688"/>
      <c r="CJ184" s="1688"/>
      <c r="CK184" s="1688"/>
      <c r="CL184" s="1688"/>
      <c r="CM184" s="1688"/>
      <c r="CN184" s="1689"/>
      <c r="CO184" s="1474"/>
      <c r="CP184" s="363"/>
      <c r="CQ184" s="355"/>
      <c r="CR184" s="355"/>
      <c r="CS184" s="355"/>
      <c r="CT184" s="355"/>
      <c r="CU184" s="355"/>
      <c r="CV184" s="355"/>
      <c r="CW184" s="355"/>
      <c r="CX184" s="355"/>
      <c r="CY184" s="355"/>
      <c r="CZ184" s="355"/>
      <c r="DA184" s="355"/>
      <c r="DB184" s="355"/>
      <c r="DC184" s="355"/>
      <c r="DD184" s="355"/>
      <c r="DE184" s="355"/>
      <c r="DF184" s="355"/>
      <c r="DG184" s="355"/>
      <c r="DH184" s="355"/>
      <c r="DI184" s="355"/>
      <c r="DJ184" s="355"/>
      <c r="DK184" s="355"/>
      <c r="DL184" s="355"/>
      <c r="DM184" s="355"/>
      <c r="DN184" s="355"/>
      <c r="DO184" s="355"/>
      <c r="DP184" s="355"/>
      <c r="DQ184" s="355"/>
      <c r="DR184" s="1687"/>
      <c r="DS184" s="1688"/>
      <c r="DT184" s="1688"/>
      <c r="DU184" s="1688"/>
      <c r="DV184" s="1688"/>
      <c r="DW184" s="1688"/>
      <c r="DX184" s="1688"/>
      <c r="DY184" s="1688"/>
      <c r="DZ184" s="1688"/>
      <c r="EA184" s="1688"/>
      <c r="EB184" s="1688"/>
      <c r="EC184" s="1688"/>
      <c r="ED184" s="1688"/>
      <c r="EE184" s="1688"/>
      <c r="EF184" s="1688"/>
      <c r="EG184" s="1688"/>
      <c r="EH184" s="1688"/>
      <c r="EI184" s="1689"/>
      <c r="EJ184" s="1474"/>
      <c r="EK184" s="1475"/>
      <c r="EL184" s="1475"/>
      <c r="EM184" s="1425"/>
      <c r="EN184" s="313"/>
      <c r="EO184" s="1440"/>
      <c r="EP184" s="1475"/>
      <c r="EQ184" s="312"/>
      <c r="ER184" s="1440"/>
      <c r="ES184" s="1440"/>
      <c r="ET184" s="363"/>
      <c r="EU184" s="1441"/>
      <c r="EV184" s="321"/>
      <c r="EW184" s="313"/>
      <c r="EX184" s="313"/>
      <c r="EY184" s="1710"/>
      <c r="EZ184" s="313"/>
      <c r="FA184" s="313"/>
      <c r="FB184" s="1710"/>
      <c r="FC184" s="313"/>
      <c r="FD184" s="313"/>
      <c r="FE184" s="1710"/>
      <c r="FF184" s="364"/>
      <c r="FG184" s="364"/>
      <c r="FH184" s="364"/>
      <c r="FI184" s="364"/>
      <c r="FJ184" s="364"/>
      <c r="FK184" s="1711"/>
      <c r="FL184" s="1441"/>
    </row>
    <row r="185" spans="1:260" s="1464" customFormat="1" ht="15.75" customHeight="1" outlineLevel="1" thickBot="1">
      <c r="A185" s="1490"/>
      <c r="B185" s="1442"/>
      <c r="C185" s="1348" t="s">
        <v>432</v>
      </c>
      <c r="D185" s="1414"/>
      <c r="E185" s="1586">
        <f>+E184</f>
        <v>0</v>
      </c>
      <c r="F185" s="1672">
        <f>+F184</f>
        <v>0</v>
      </c>
      <c r="G185" s="1672">
        <f>+G184</f>
        <v>0</v>
      </c>
      <c r="H185" s="1444"/>
      <c r="I185" s="1546"/>
      <c r="J185" s="1546"/>
      <c r="K185" s="1546"/>
      <c r="L185" s="1546"/>
      <c r="M185" s="1546"/>
      <c r="N185" s="1546"/>
      <c r="P185" s="1668">
        <f t="shared" ref="P185:AT185" si="3248">+P184</f>
        <v>0</v>
      </c>
      <c r="Q185" s="1668">
        <f t="shared" si="3248"/>
        <v>0</v>
      </c>
      <c r="R185" s="1668">
        <f t="shared" si="3248"/>
        <v>0</v>
      </c>
      <c r="S185" s="1668">
        <f t="shared" si="3248"/>
        <v>0</v>
      </c>
      <c r="T185" s="1668">
        <f t="shared" si="3248"/>
        <v>0</v>
      </c>
      <c r="U185" s="1668">
        <f t="shared" si="3248"/>
        <v>0</v>
      </c>
      <c r="V185" s="1668">
        <f t="shared" si="3248"/>
        <v>0</v>
      </c>
      <c r="W185" s="1668">
        <f t="shared" si="3248"/>
        <v>0</v>
      </c>
      <c r="X185" s="1668">
        <f t="shared" si="3248"/>
        <v>0</v>
      </c>
      <c r="Y185" s="1668">
        <f t="shared" si="3248"/>
        <v>0</v>
      </c>
      <c r="Z185" s="1668">
        <f t="shared" si="3248"/>
        <v>0</v>
      </c>
      <c r="AA185" s="1668">
        <f t="shared" si="3248"/>
        <v>0</v>
      </c>
      <c r="AB185" s="1668">
        <f t="shared" si="3248"/>
        <v>0</v>
      </c>
      <c r="AC185" s="1668">
        <f t="shared" si="3248"/>
        <v>0</v>
      </c>
      <c r="AD185" s="1668">
        <f t="shared" si="3248"/>
        <v>0</v>
      </c>
      <c r="AE185" s="1668">
        <f t="shared" si="3248"/>
        <v>0</v>
      </c>
      <c r="AF185" s="1668">
        <f t="shared" si="3248"/>
        <v>0</v>
      </c>
      <c r="AG185" s="1668">
        <f t="shared" si="3248"/>
        <v>0</v>
      </c>
      <c r="AH185" s="1668">
        <f t="shared" si="3248"/>
        <v>0</v>
      </c>
      <c r="AI185" s="1668">
        <f t="shared" si="3248"/>
        <v>0</v>
      </c>
      <c r="AJ185" s="1668">
        <f t="shared" si="3248"/>
        <v>0</v>
      </c>
      <c r="AK185" s="1668">
        <f t="shared" si="3248"/>
        <v>0</v>
      </c>
      <c r="AL185" s="1668">
        <f t="shared" si="3248"/>
        <v>0</v>
      </c>
      <c r="AM185" s="1668">
        <f t="shared" si="3248"/>
        <v>0</v>
      </c>
      <c r="AN185" s="1668">
        <f t="shared" si="3248"/>
        <v>0</v>
      </c>
      <c r="AO185" s="1668">
        <f t="shared" si="3248"/>
        <v>0</v>
      </c>
      <c r="AP185" s="1668">
        <f t="shared" si="3248"/>
        <v>0</v>
      </c>
      <c r="AQ185" s="1668">
        <f t="shared" si="3248"/>
        <v>0</v>
      </c>
      <c r="AR185" s="1668">
        <f t="shared" si="3248"/>
        <v>0</v>
      </c>
      <c r="AS185" s="1668">
        <f t="shared" si="3248"/>
        <v>0</v>
      </c>
      <c r="AT185" s="1668">
        <f t="shared" si="3248"/>
        <v>0</v>
      </c>
      <c r="AU185" s="1668" t="s">
        <v>54</v>
      </c>
      <c r="AV185" s="1668">
        <f t="shared" ref="AV185:CA185" si="3249">+AV184</f>
        <v>0</v>
      </c>
      <c r="AW185" s="1668">
        <f t="shared" si="3249"/>
        <v>0</v>
      </c>
      <c r="AX185" s="1668">
        <f t="shared" si="3249"/>
        <v>0</v>
      </c>
      <c r="AY185" s="1668">
        <f t="shared" si="3249"/>
        <v>0</v>
      </c>
      <c r="AZ185" s="1668">
        <f t="shared" si="3249"/>
        <v>0</v>
      </c>
      <c r="BA185" s="1668">
        <f t="shared" si="3249"/>
        <v>0</v>
      </c>
      <c r="BB185" s="1668">
        <f t="shared" si="3249"/>
        <v>0</v>
      </c>
      <c r="BC185" s="1668">
        <f t="shared" si="3249"/>
        <v>0</v>
      </c>
      <c r="BD185" s="1668">
        <f t="shared" si="3249"/>
        <v>0</v>
      </c>
      <c r="BE185" s="1668">
        <f t="shared" si="3249"/>
        <v>0</v>
      </c>
      <c r="BF185" s="1668">
        <f t="shared" si="3249"/>
        <v>0</v>
      </c>
      <c r="BG185" s="1668">
        <f t="shared" si="3249"/>
        <v>0</v>
      </c>
      <c r="BH185" s="1668">
        <f t="shared" si="3249"/>
        <v>0</v>
      </c>
      <c r="BI185" s="1668">
        <f t="shared" si="3249"/>
        <v>0</v>
      </c>
      <c r="BJ185" s="1668">
        <f t="shared" si="3249"/>
        <v>0</v>
      </c>
      <c r="BK185" s="1668">
        <f t="shared" si="3249"/>
        <v>0</v>
      </c>
      <c r="BL185" s="1668">
        <f t="shared" si="3249"/>
        <v>0</v>
      </c>
      <c r="BM185" s="1668">
        <f t="shared" si="3249"/>
        <v>0</v>
      </c>
      <c r="BN185" s="1668">
        <f t="shared" si="3249"/>
        <v>0</v>
      </c>
      <c r="BO185" s="1668">
        <f t="shared" si="3249"/>
        <v>0</v>
      </c>
      <c r="BP185" s="1668">
        <f t="shared" si="3249"/>
        <v>0</v>
      </c>
      <c r="BQ185" s="1668">
        <f t="shared" si="3249"/>
        <v>0</v>
      </c>
      <c r="BR185" s="1668">
        <f t="shared" si="3249"/>
        <v>0</v>
      </c>
      <c r="BS185" s="1668">
        <f t="shared" si="3249"/>
        <v>0</v>
      </c>
      <c r="BT185" s="1668">
        <f t="shared" si="3249"/>
        <v>0</v>
      </c>
      <c r="BU185" s="1668">
        <f t="shared" si="3249"/>
        <v>0</v>
      </c>
      <c r="BV185" s="1668">
        <f t="shared" si="3249"/>
        <v>0</v>
      </c>
      <c r="BW185" s="1712">
        <f t="shared" si="3249"/>
        <v>0</v>
      </c>
      <c r="BX185" s="1713">
        <f t="shared" si="3249"/>
        <v>0</v>
      </c>
      <c r="BY185" s="1713">
        <f t="shared" si="3249"/>
        <v>0</v>
      </c>
      <c r="BZ185" s="1713">
        <f t="shared" si="3249"/>
        <v>0</v>
      </c>
      <c r="CA185" s="1713">
        <f t="shared" si="3249"/>
        <v>0</v>
      </c>
      <c r="CB185" s="1713">
        <f t="shared" ref="CB185:DG185" si="3250">+CB184</f>
        <v>0</v>
      </c>
      <c r="CC185" s="1713">
        <f t="shared" si="3250"/>
        <v>0</v>
      </c>
      <c r="CD185" s="1713">
        <f t="shared" si="3250"/>
        <v>0</v>
      </c>
      <c r="CE185" s="1713">
        <f t="shared" si="3250"/>
        <v>0</v>
      </c>
      <c r="CF185" s="1713">
        <f t="shared" si="3250"/>
        <v>0</v>
      </c>
      <c r="CG185" s="1713">
        <f t="shared" si="3250"/>
        <v>0</v>
      </c>
      <c r="CH185" s="1713">
        <f t="shared" si="3250"/>
        <v>0</v>
      </c>
      <c r="CI185" s="1713">
        <f t="shared" si="3250"/>
        <v>0</v>
      </c>
      <c r="CJ185" s="1713">
        <f t="shared" si="3250"/>
        <v>0</v>
      </c>
      <c r="CK185" s="1713">
        <f t="shared" si="3250"/>
        <v>0</v>
      </c>
      <c r="CL185" s="1713">
        <f t="shared" si="3250"/>
        <v>0</v>
      </c>
      <c r="CM185" s="1713">
        <f t="shared" si="3250"/>
        <v>0</v>
      </c>
      <c r="CN185" s="1714">
        <f t="shared" si="3250"/>
        <v>0</v>
      </c>
      <c r="CO185" s="1491">
        <f t="shared" si="3250"/>
        <v>0</v>
      </c>
      <c r="CP185" s="1678"/>
      <c r="CQ185" s="1678">
        <f t="shared" si="3250"/>
        <v>0</v>
      </c>
      <c r="CR185" s="1678">
        <f t="shared" si="3250"/>
        <v>0</v>
      </c>
      <c r="CS185" s="1678">
        <f t="shared" si="3250"/>
        <v>0</v>
      </c>
      <c r="CT185" s="1678">
        <f t="shared" si="3250"/>
        <v>0</v>
      </c>
      <c r="CU185" s="1678">
        <f t="shared" si="3250"/>
        <v>0</v>
      </c>
      <c r="CV185" s="1678">
        <f t="shared" si="3250"/>
        <v>0</v>
      </c>
      <c r="CW185" s="1678">
        <f t="shared" si="3250"/>
        <v>0</v>
      </c>
      <c r="CX185" s="1678">
        <f t="shared" si="3250"/>
        <v>0</v>
      </c>
      <c r="CY185" s="1678">
        <f t="shared" si="3250"/>
        <v>0</v>
      </c>
      <c r="CZ185" s="1678">
        <f t="shared" si="3250"/>
        <v>0</v>
      </c>
      <c r="DA185" s="1678">
        <f t="shared" si="3250"/>
        <v>0</v>
      </c>
      <c r="DB185" s="1678">
        <f t="shared" si="3250"/>
        <v>0</v>
      </c>
      <c r="DC185" s="1678">
        <f t="shared" si="3250"/>
        <v>0</v>
      </c>
      <c r="DD185" s="1678">
        <f t="shared" si="3250"/>
        <v>0</v>
      </c>
      <c r="DE185" s="1678">
        <f t="shared" si="3250"/>
        <v>0</v>
      </c>
      <c r="DF185" s="1678">
        <f t="shared" si="3250"/>
        <v>0</v>
      </c>
      <c r="DG185" s="1678">
        <f t="shared" si="3250"/>
        <v>0</v>
      </c>
      <c r="DH185" s="1678">
        <f t="shared" ref="DH185:EI185" si="3251">+DH184</f>
        <v>0</v>
      </c>
      <c r="DI185" s="1678">
        <f t="shared" si="3251"/>
        <v>0</v>
      </c>
      <c r="DJ185" s="1678">
        <f t="shared" si="3251"/>
        <v>0</v>
      </c>
      <c r="DK185" s="1678">
        <f t="shared" si="3251"/>
        <v>0</v>
      </c>
      <c r="DL185" s="1678">
        <f t="shared" si="3251"/>
        <v>0</v>
      </c>
      <c r="DM185" s="1678">
        <f t="shared" si="3251"/>
        <v>0</v>
      </c>
      <c r="DN185" s="1678">
        <f t="shared" si="3251"/>
        <v>0</v>
      </c>
      <c r="DO185" s="1678">
        <f t="shared" si="3251"/>
        <v>0</v>
      </c>
      <c r="DP185" s="1678">
        <f t="shared" si="3251"/>
        <v>0</v>
      </c>
      <c r="DQ185" s="1678">
        <f t="shared" si="3251"/>
        <v>0</v>
      </c>
      <c r="DR185" s="1712">
        <f t="shared" si="3251"/>
        <v>0</v>
      </c>
      <c r="DS185" s="1713">
        <f t="shared" si="3251"/>
        <v>0</v>
      </c>
      <c r="DT185" s="1713">
        <f t="shared" si="3251"/>
        <v>0</v>
      </c>
      <c r="DU185" s="1713">
        <f t="shared" si="3251"/>
        <v>0</v>
      </c>
      <c r="DV185" s="1713">
        <f t="shared" si="3251"/>
        <v>0</v>
      </c>
      <c r="DW185" s="1713">
        <f t="shared" si="3251"/>
        <v>0</v>
      </c>
      <c r="DX185" s="1713">
        <f t="shared" si="3251"/>
        <v>0</v>
      </c>
      <c r="DY185" s="1713">
        <f t="shared" si="3251"/>
        <v>0</v>
      </c>
      <c r="DZ185" s="1713">
        <f t="shared" si="3251"/>
        <v>0</v>
      </c>
      <c r="EA185" s="1713">
        <f t="shared" si="3251"/>
        <v>0</v>
      </c>
      <c r="EB185" s="1713">
        <f t="shared" si="3251"/>
        <v>0</v>
      </c>
      <c r="EC185" s="1713">
        <f t="shared" si="3251"/>
        <v>0</v>
      </c>
      <c r="ED185" s="1713">
        <f t="shared" si="3251"/>
        <v>0</v>
      </c>
      <c r="EE185" s="1713">
        <f t="shared" si="3251"/>
        <v>0</v>
      </c>
      <c r="EF185" s="1713">
        <f t="shared" si="3251"/>
        <v>0</v>
      </c>
      <c r="EG185" s="1713">
        <f t="shared" si="3251"/>
        <v>0</v>
      </c>
      <c r="EH185" s="1713">
        <f t="shared" si="3251"/>
        <v>0</v>
      </c>
      <c r="EI185" s="1714">
        <f t="shared" si="3251"/>
        <v>0</v>
      </c>
      <c r="EJ185" s="1491" t="s">
        <v>54</v>
      </c>
      <c r="EK185" s="1678">
        <f>+EK184</f>
        <v>0</v>
      </c>
      <c r="EL185" s="1678">
        <f t="shared" ref="EL185:ET185" si="3252">+EL184</f>
        <v>0</v>
      </c>
      <c r="EM185" s="1678">
        <f t="shared" si="3252"/>
        <v>0</v>
      </c>
      <c r="EN185" s="1426">
        <f t="shared" si="3252"/>
        <v>0</v>
      </c>
      <c r="EO185" s="1678">
        <f t="shared" si="3252"/>
        <v>0</v>
      </c>
      <c r="EP185" s="1678">
        <f t="shared" si="3252"/>
        <v>0</v>
      </c>
      <c r="EQ185" s="1678">
        <f>+EQ184</f>
        <v>0</v>
      </c>
      <c r="ER185" s="1678">
        <f t="shared" si="3252"/>
        <v>0</v>
      </c>
      <c r="ES185" s="1678">
        <f t="shared" si="3252"/>
        <v>0</v>
      </c>
      <c r="ET185" s="1678">
        <f t="shared" si="3252"/>
        <v>0</v>
      </c>
      <c r="EU185" s="1491">
        <f t="shared" ref="EU185:FE185" si="3253">+EU184</f>
        <v>0</v>
      </c>
      <c r="EV185" s="1678">
        <f t="shared" si="3253"/>
        <v>0</v>
      </c>
      <c r="EW185" s="1678">
        <f t="shared" si="3253"/>
        <v>0</v>
      </c>
      <c r="EX185" s="1678">
        <f t="shared" si="3253"/>
        <v>0</v>
      </c>
      <c r="EY185" s="1678">
        <f t="shared" si="3253"/>
        <v>0</v>
      </c>
      <c r="EZ185" s="1678">
        <f t="shared" si="3253"/>
        <v>0</v>
      </c>
      <c r="FA185" s="1678">
        <f t="shared" si="3253"/>
        <v>0</v>
      </c>
      <c r="FB185" s="1678">
        <f t="shared" si="3253"/>
        <v>0</v>
      </c>
      <c r="FC185" s="1678">
        <f t="shared" si="3253"/>
        <v>0</v>
      </c>
      <c r="FD185" s="1678">
        <f t="shared" si="3253"/>
        <v>0</v>
      </c>
      <c r="FE185" s="1678">
        <f t="shared" si="3253"/>
        <v>0</v>
      </c>
      <c r="FF185" s="1448"/>
      <c r="FG185" s="1448"/>
      <c r="FH185" s="1448"/>
      <c r="FI185" s="1448"/>
      <c r="FJ185" s="1448"/>
      <c r="FK185" s="1448"/>
      <c r="FL185" s="1441">
        <f t="shared" si="2482"/>
        <v>0</v>
      </c>
    </row>
    <row r="186" spans="1:260" s="1491" customFormat="1" ht="15.75" customHeight="1" outlineLevel="1" thickTop="1">
      <c r="A186" s="1449"/>
      <c r="B186" s="1416" t="s">
        <v>134</v>
      </c>
      <c r="C186" s="1403"/>
      <c r="D186" s="1414"/>
      <c r="E186" s="1584"/>
      <c r="H186" s="1444"/>
      <c r="I186" s="1546"/>
      <c r="J186" s="1546"/>
      <c r="K186" s="1546"/>
      <c r="L186" s="1546"/>
      <c r="M186" s="1546"/>
      <c r="N186" s="1546"/>
      <c r="O186" s="1474"/>
      <c r="AU186" s="1517"/>
      <c r="CO186" s="1474"/>
      <c r="CP186" s="1414"/>
      <c r="EJ186" s="1474"/>
      <c r="EN186" s="1584"/>
      <c r="EU186" s="1414"/>
      <c r="FF186" s="1674"/>
      <c r="FG186" s="1674"/>
      <c r="FH186" s="1674"/>
      <c r="FI186" s="1674"/>
      <c r="FJ186" s="1674"/>
      <c r="FK186" s="1674"/>
      <c r="FL186" s="1414">
        <f t="shared" si="2482"/>
        <v>0</v>
      </c>
      <c r="FM186" s="1474"/>
      <c r="FN186" s="1474"/>
      <c r="FO186" s="1474"/>
      <c r="FP186" s="1474"/>
      <c r="FQ186" s="1474"/>
      <c r="FR186" s="1474"/>
      <c r="FS186" s="1474"/>
      <c r="FT186" s="1474"/>
      <c r="FU186" s="1474"/>
      <c r="FV186" s="1474"/>
      <c r="FW186" s="1474"/>
      <c r="FX186" s="1474"/>
      <c r="FY186" s="1474"/>
      <c r="FZ186" s="1474"/>
      <c r="GA186" s="1474"/>
      <c r="GB186" s="1474"/>
      <c r="GC186" s="1474"/>
      <c r="GD186" s="1474"/>
      <c r="GE186" s="1474"/>
      <c r="GF186" s="1474"/>
      <c r="GG186" s="1474"/>
      <c r="GH186" s="1474"/>
      <c r="GI186" s="1474"/>
      <c r="GJ186" s="1474"/>
      <c r="GK186" s="1474"/>
      <c r="GL186" s="1474"/>
      <c r="GM186" s="1474"/>
      <c r="GN186" s="1474"/>
      <c r="GO186" s="1474"/>
      <c r="GP186" s="1474"/>
      <c r="GQ186" s="1474"/>
      <c r="GR186" s="1474"/>
      <c r="GS186" s="1474"/>
      <c r="GT186" s="1474"/>
      <c r="GU186" s="1474"/>
      <c r="GV186" s="1474"/>
      <c r="GW186" s="1474"/>
      <c r="GX186" s="1474"/>
      <c r="GY186" s="1474"/>
      <c r="GZ186" s="1474"/>
      <c r="HA186" s="1474"/>
      <c r="HB186" s="1474"/>
      <c r="HC186" s="1474"/>
      <c r="HD186" s="1474"/>
      <c r="HE186" s="1474"/>
      <c r="HF186" s="1474"/>
      <c r="HG186" s="1474"/>
      <c r="HH186" s="1474"/>
      <c r="HI186" s="1474"/>
      <c r="HJ186" s="1474"/>
      <c r="HK186" s="1474"/>
      <c r="HL186" s="1474"/>
      <c r="HM186" s="1474"/>
      <c r="HN186" s="1474"/>
      <c r="HO186" s="1474"/>
      <c r="HP186" s="1474"/>
      <c r="HQ186" s="1474"/>
      <c r="HR186" s="1474"/>
      <c r="HS186" s="1474"/>
      <c r="HT186" s="1474"/>
      <c r="HU186" s="1474"/>
      <c r="HV186" s="1474"/>
      <c r="HW186" s="1474"/>
      <c r="HX186" s="1474"/>
      <c r="HY186" s="1474"/>
      <c r="HZ186" s="1474"/>
      <c r="IA186" s="1474"/>
      <c r="IB186" s="1474"/>
      <c r="IC186" s="1474"/>
      <c r="ID186" s="1474"/>
      <c r="IE186" s="1474"/>
      <c r="IF186" s="1474"/>
      <c r="IG186" s="1474"/>
      <c r="IH186" s="1474"/>
      <c r="II186" s="1474"/>
      <c r="IJ186" s="1474"/>
      <c r="IK186" s="1474"/>
      <c r="IL186" s="1474"/>
      <c r="IM186" s="1474"/>
      <c r="IN186" s="1474"/>
      <c r="IO186" s="1474"/>
      <c r="IP186" s="1474"/>
      <c r="IQ186" s="1474"/>
      <c r="IR186" s="1474"/>
      <c r="IS186" s="1474"/>
      <c r="IT186" s="1474"/>
      <c r="IU186" s="1474"/>
      <c r="IV186" s="1474"/>
      <c r="IW186" s="1474"/>
      <c r="IX186" s="1474"/>
      <c r="IY186" s="1474"/>
      <c r="IZ186" s="1474"/>
    </row>
    <row r="187" spans="1:260" s="1491" customFormat="1" ht="15" customHeight="1" outlineLevel="1">
      <c r="A187" s="1449"/>
      <c r="B187" s="1348" t="s">
        <v>135</v>
      </c>
      <c r="C187" s="1403"/>
      <c r="D187" s="1414"/>
      <c r="E187" s="1584"/>
      <c r="H187" s="1444"/>
      <c r="I187" s="1546"/>
      <c r="J187" s="1546"/>
      <c r="K187" s="1546"/>
      <c r="L187" s="1546"/>
      <c r="M187" s="1546"/>
      <c r="N187" s="1546"/>
      <c r="O187" s="1474"/>
      <c r="AU187" s="1517"/>
      <c r="CO187" s="1474"/>
      <c r="CP187" s="1414"/>
      <c r="EJ187" s="1474"/>
      <c r="EN187" s="1584"/>
      <c r="EU187" s="1414"/>
      <c r="FF187" s="1674"/>
      <c r="FG187" s="1674"/>
      <c r="FH187" s="1674"/>
      <c r="FI187" s="1674"/>
      <c r="FJ187" s="1674"/>
      <c r="FK187" s="1674"/>
      <c r="FL187" s="1414">
        <f t="shared" si="2482"/>
        <v>0</v>
      </c>
      <c r="FM187" s="1474"/>
      <c r="FN187" s="1474"/>
      <c r="FO187" s="1474"/>
      <c r="FP187" s="1474"/>
      <c r="FQ187" s="1474"/>
      <c r="FR187" s="1474"/>
      <c r="FS187" s="1474"/>
      <c r="FT187" s="1474"/>
      <c r="FU187" s="1474"/>
      <c r="FV187" s="1474"/>
      <c r="FW187" s="1474"/>
      <c r="FX187" s="1474"/>
      <c r="FY187" s="1474"/>
      <c r="FZ187" s="1474"/>
      <c r="GA187" s="1474"/>
      <c r="GB187" s="1474"/>
      <c r="GC187" s="1474"/>
      <c r="GD187" s="1474"/>
      <c r="GE187" s="1474"/>
      <c r="GF187" s="1474"/>
      <c r="GG187" s="1474"/>
      <c r="GH187" s="1474"/>
      <c r="GI187" s="1474"/>
      <c r="GJ187" s="1474"/>
      <c r="GK187" s="1474"/>
      <c r="GL187" s="1474"/>
      <c r="GM187" s="1474"/>
      <c r="GN187" s="1474"/>
      <c r="GO187" s="1474"/>
      <c r="GP187" s="1474"/>
      <c r="GQ187" s="1474"/>
      <c r="GR187" s="1474"/>
      <c r="GS187" s="1474"/>
      <c r="GT187" s="1474"/>
      <c r="GU187" s="1474"/>
      <c r="GV187" s="1474"/>
      <c r="GW187" s="1474"/>
      <c r="GX187" s="1474"/>
      <c r="GY187" s="1474"/>
      <c r="GZ187" s="1474"/>
      <c r="HA187" s="1474"/>
      <c r="HB187" s="1474"/>
      <c r="HC187" s="1474"/>
      <c r="HD187" s="1474"/>
      <c r="HE187" s="1474"/>
      <c r="HF187" s="1474"/>
      <c r="HG187" s="1474"/>
      <c r="HH187" s="1474"/>
      <c r="HI187" s="1474"/>
      <c r="HJ187" s="1474"/>
      <c r="HK187" s="1474"/>
      <c r="HL187" s="1474"/>
      <c r="HM187" s="1474"/>
      <c r="HN187" s="1474"/>
      <c r="HO187" s="1474"/>
      <c r="HP187" s="1474"/>
      <c r="HQ187" s="1474"/>
      <c r="HR187" s="1474"/>
      <c r="HS187" s="1474"/>
      <c r="HT187" s="1474"/>
      <c r="HU187" s="1474"/>
      <c r="HV187" s="1474"/>
      <c r="HW187" s="1474"/>
      <c r="HX187" s="1474"/>
      <c r="HY187" s="1474"/>
      <c r="HZ187" s="1474"/>
      <c r="IA187" s="1474"/>
      <c r="IB187" s="1474"/>
      <c r="IC187" s="1474"/>
      <c r="ID187" s="1474"/>
      <c r="IE187" s="1474"/>
      <c r="IF187" s="1474"/>
      <c r="IG187" s="1474"/>
      <c r="IH187" s="1474"/>
      <c r="II187" s="1474"/>
      <c r="IJ187" s="1474"/>
      <c r="IK187" s="1474"/>
      <c r="IL187" s="1474"/>
      <c r="IM187" s="1474"/>
      <c r="IN187" s="1474"/>
      <c r="IO187" s="1474"/>
      <c r="IP187" s="1474"/>
      <c r="IQ187" s="1474"/>
      <c r="IR187" s="1474"/>
      <c r="IS187" s="1474"/>
      <c r="IT187" s="1474"/>
      <c r="IU187" s="1474"/>
      <c r="IV187" s="1474"/>
      <c r="IW187" s="1474"/>
      <c r="IX187" s="1474"/>
      <c r="IY187" s="1474"/>
      <c r="IZ187" s="1474"/>
    </row>
    <row r="188" spans="1:260" s="1534" customFormat="1" ht="15" customHeight="1" outlineLevel="1">
      <c r="A188" s="1625">
        <v>111</v>
      </c>
      <c r="B188" s="1715" t="s">
        <v>584</v>
      </c>
      <c r="C188" s="1716" t="s">
        <v>585</v>
      </c>
      <c r="D188" s="1717" t="s">
        <v>11</v>
      </c>
      <c r="E188" s="1718">
        <v>4750</v>
      </c>
      <c r="F188" s="1718">
        <f>250+1000</f>
        <v>1250</v>
      </c>
      <c r="G188" s="1718">
        <f>+E188+F188</f>
        <v>6000</v>
      </c>
      <c r="H188" s="1971">
        <v>30</v>
      </c>
      <c r="I188" s="1719">
        <v>0</v>
      </c>
      <c r="J188" s="1720">
        <v>1</v>
      </c>
      <c r="K188" s="1719">
        <v>0</v>
      </c>
      <c r="L188" s="1719">
        <v>0</v>
      </c>
      <c r="M188" s="1719">
        <v>0</v>
      </c>
      <c r="N188" s="1719">
        <f>SUM(I188:M188)</f>
        <v>1</v>
      </c>
      <c r="O188" s="1603"/>
      <c r="P188" s="410"/>
      <c r="Q188" s="411">
        <f>($E188/30/8*1.5)*P188</f>
        <v>0</v>
      </c>
      <c r="R188" s="412"/>
      <c r="S188" s="411">
        <f>($E188/30/8*2)*R188</f>
        <v>0</v>
      </c>
      <c r="T188" s="1721"/>
      <c r="U188" s="411">
        <f>($E188/30/8*1.5)*T188</f>
        <v>0</v>
      </c>
      <c r="V188" s="412"/>
      <c r="W188" s="411">
        <f>($E188/30/8*2)*V188</f>
        <v>0</v>
      </c>
      <c r="X188" s="412"/>
      <c r="Y188" s="411">
        <f>(($E188/30/8)*1.5)*X188</f>
        <v>0</v>
      </c>
      <c r="Z188" s="414"/>
      <c r="AA188" s="411">
        <f>(($E188/30/8)*2)*Z188</f>
        <v>0</v>
      </c>
      <c r="AB188" s="414"/>
      <c r="AC188" s="411">
        <f>(($E188/30/8)*1.5)*AB188</f>
        <v>0</v>
      </c>
      <c r="AD188" s="414"/>
      <c r="AE188" s="411">
        <f>(($E188/30/8)*2)*AD188</f>
        <v>0</v>
      </c>
      <c r="AF188" s="411"/>
      <c r="AG188" s="411">
        <f>(($E188/30/8)*1.5)*AF188</f>
        <v>0</v>
      </c>
      <c r="AH188" s="414"/>
      <c r="AI188" s="411">
        <f>(($E188/30/8)*2)*AH188</f>
        <v>0</v>
      </c>
      <c r="AJ188" s="1718"/>
      <c r="AK188" s="1718"/>
      <c r="AL188" s="1718"/>
      <c r="AM188" s="1718"/>
      <c r="AN188" s="1718"/>
      <c r="AO188" s="1718"/>
      <c r="AP188" s="1718"/>
      <c r="AQ188" s="1718"/>
      <c r="AR188" s="1718"/>
      <c r="AS188" s="1718"/>
      <c r="AT188" s="1718"/>
      <c r="AU188" s="1626"/>
      <c r="AV188" s="411">
        <f>((E188/30)*H188)*$I188</f>
        <v>0</v>
      </c>
      <c r="AW188" s="411">
        <f>((F188/30)*H188)*$I188</f>
        <v>0</v>
      </c>
      <c r="AX188" s="411">
        <f t="shared" ref="AX188:BA190" si="3254">P188</f>
        <v>0</v>
      </c>
      <c r="AY188" s="411">
        <f t="shared" si="3254"/>
        <v>0</v>
      </c>
      <c r="AZ188" s="411">
        <f t="shared" si="3254"/>
        <v>0</v>
      </c>
      <c r="BA188" s="411">
        <f t="shared" si="3254"/>
        <v>0</v>
      </c>
      <c r="BB188" s="411">
        <f>AJ188+AO188</f>
        <v>0</v>
      </c>
      <c r="BC188" s="411">
        <f>(AV188+AY188+BA188)*0.1267</f>
        <v>0</v>
      </c>
      <c r="BD188" s="411">
        <f>SUM(AV188:BC188)-AX188-AZ188</f>
        <v>0</v>
      </c>
      <c r="BE188" s="411">
        <f>(($E188/30)*$H188)*$J188</f>
        <v>4750</v>
      </c>
      <c r="BF188" s="1722">
        <f>(($F188/30)*$H188)*$J188+847.41</f>
        <v>2097.41</v>
      </c>
      <c r="BG188" s="411">
        <f t="shared" ref="BG188:BJ190" si="3255">T188</f>
        <v>0</v>
      </c>
      <c r="BH188" s="411">
        <f t="shared" si="3255"/>
        <v>0</v>
      </c>
      <c r="BI188" s="411">
        <f t="shared" si="3255"/>
        <v>0</v>
      </c>
      <c r="BJ188" s="411">
        <f t="shared" si="3255"/>
        <v>0</v>
      </c>
      <c r="BK188" s="411">
        <f>AK188+AP188</f>
        <v>0</v>
      </c>
      <c r="BL188" s="411">
        <f>(+BE188+BH188+BJ188+BK188)*0.1267</f>
        <v>601.82500000000005</v>
      </c>
      <c r="BM188" s="1718">
        <f>SUM(BE188:BL188)-BG188-BI188</f>
        <v>7449.2349999999997</v>
      </c>
      <c r="BN188" s="411">
        <f>(($E188/30)*$H188)*$K188</f>
        <v>0</v>
      </c>
      <c r="BO188" s="411">
        <f>(($F188/30)*$H188)*$K188</f>
        <v>0</v>
      </c>
      <c r="BP188" s="411">
        <f t="shared" ref="BP188:BR190" si="3256">X188</f>
        <v>0</v>
      </c>
      <c r="BQ188" s="411">
        <f t="shared" si="3256"/>
        <v>0</v>
      </c>
      <c r="BR188" s="411">
        <f t="shared" si="3256"/>
        <v>0</v>
      </c>
      <c r="BS188" s="411">
        <f>AA188</f>
        <v>0</v>
      </c>
      <c r="BT188" s="411">
        <f>AL188+AQ188</f>
        <v>0</v>
      </c>
      <c r="BU188" s="411">
        <f>(BN188+BQ188+BS188)*0.1267</f>
        <v>0</v>
      </c>
      <c r="BV188" s="411">
        <f>SUM(BN188:BU188)-BP188-BR188</f>
        <v>0</v>
      </c>
      <c r="BW188" s="1704">
        <f>(($E188/30)*$H188)*$L188</f>
        <v>0</v>
      </c>
      <c r="BX188" s="1705">
        <f>(($F188/30)*$H188)*$L188</f>
        <v>0</v>
      </c>
      <c r="BY188" s="1705">
        <f t="shared" ref="BY188:CB190" si="3257">AB188</f>
        <v>0</v>
      </c>
      <c r="BZ188" s="1705">
        <f t="shared" si="3257"/>
        <v>0</v>
      </c>
      <c r="CA188" s="1705">
        <f t="shared" si="3257"/>
        <v>0</v>
      </c>
      <c r="CB188" s="1705">
        <f t="shared" si="3257"/>
        <v>0</v>
      </c>
      <c r="CC188" s="1705">
        <f>AM188+AR188</f>
        <v>0</v>
      </c>
      <c r="CD188" s="1705">
        <f>(BW188+BZ188+CB188)*0.1267</f>
        <v>0</v>
      </c>
      <c r="CE188" s="1705">
        <f>SUM(BW188:CD188)-BY188-CA188</f>
        <v>0</v>
      </c>
      <c r="CF188" s="1705">
        <f>(($E188/30)*$H188)*M188</f>
        <v>0</v>
      </c>
      <c r="CG188" s="1705">
        <f>(($F188/30)*$H188)*$M188</f>
        <v>0</v>
      </c>
      <c r="CH188" s="1705">
        <f>+AF188</f>
        <v>0</v>
      </c>
      <c r="CI188" s="1705">
        <f t="shared" ref="CI188:CK190" si="3258">AG188</f>
        <v>0</v>
      </c>
      <c r="CJ188" s="1705">
        <f t="shared" si="3258"/>
        <v>0</v>
      </c>
      <c r="CK188" s="1705">
        <f t="shared" si="3258"/>
        <v>0</v>
      </c>
      <c r="CL188" s="1705">
        <f>AN188+AS188</f>
        <v>0</v>
      </c>
      <c r="CM188" s="1705">
        <f>(CF188+CI188+CK188)*0.1267</f>
        <v>0</v>
      </c>
      <c r="CN188" s="1706">
        <f>SUM(CF188:CM188)-CH188-CJ188</f>
        <v>0</v>
      </c>
      <c r="CP188" s="1717" t="s">
        <v>11</v>
      </c>
      <c r="CQ188" s="411">
        <f>IF($CP188="PROQUIMA",$AV188+$BE188+$BN188+$BW188+$CF188,0)</f>
        <v>0</v>
      </c>
      <c r="CR188" s="411">
        <f>IF($CP188="PROQUIMA",$AW188+$BF188+$BO188+$BX188+$CG188,0)</f>
        <v>0</v>
      </c>
      <c r="CS188" s="411">
        <f>IF($CP188="PROQUIMA",$AX188+$BG188+$BP188+$BY188+$CH188,0)</f>
        <v>0</v>
      </c>
      <c r="CT188" s="411">
        <f>IF($CP188="PROQUIMA",$AY188+$BH188+$BQ188+$BZ188+$CI188,0)</f>
        <v>0</v>
      </c>
      <c r="CU188" s="411">
        <f>IF($CP188="PROQUIMA",$AZ188+$BI188+$BR188+$CA188+$CJ188,0)</f>
        <v>0</v>
      </c>
      <c r="CV188" s="411">
        <f>IF($CP188="PROQUIMA",$BA188+$BJ188+$BS188+$CB188+$CK188,0)</f>
        <v>0</v>
      </c>
      <c r="CW188" s="411">
        <f>IF($CP188="PROQUIMA",$BB188+$BK188+$BT188+$CC188+$CL188,0)</f>
        <v>0</v>
      </c>
      <c r="CX188" s="411">
        <f>IF($CP188="PROQUIMA",$BC188+$BL188+$BU188+$CD188+CM188,0)</f>
        <v>0</v>
      </c>
      <c r="CY188" s="411">
        <f>SUM(CQ188:CX188)-CS188-CU188</f>
        <v>0</v>
      </c>
      <c r="CZ188" s="411">
        <f>IF($CP188="UNHESA",$AV188+$BE188+$BN188+$BW188+$CF188,0)</f>
        <v>4750</v>
      </c>
      <c r="DA188" s="411">
        <f>IF($CP188="UNHESA",$AW188+$BF188+$BO188+$BX188+$CG188,0)</f>
        <v>2097.41</v>
      </c>
      <c r="DB188" s="411">
        <f>IF($CP188="UNHESA",$AX188+$BG188+$BP188+$BY188+$CH188,0)</f>
        <v>0</v>
      </c>
      <c r="DC188" s="411">
        <f>IF($CP188="UNHESA",$AY188+$BH188+$BQ188+$BZ188+$CI188,0)</f>
        <v>0</v>
      </c>
      <c r="DD188" s="411">
        <f>IF($CP188="UNHESA",$AZ188+$BI188+$BR188+$CA188+$CJ188,0)</f>
        <v>0</v>
      </c>
      <c r="DE188" s="411">
        <f>IF($CP188="UNHESA",$BA188+$BJ188+$BS188+$CB188+$CK188,0)</f>
        <v>0</v>
      </c>
      <c r="DF188" s="411">
        <f>IF($CP188="UNHESA",$BB188+$BK188+$BT188+$CC188+$CL188,0)</f>
        <v>0</v>
      </c>
      <c r="DG188" s="411">
        <f>IF($CP188="UNHESA",$BC188+$BL188+$BU188+$CD188+$CM188,0)</f>
        <v>601.82500000000005</v>
      </c>
      <c r="DH188" s="411">
        <f>SUM(CZ188:DG188)-DB188-DD188</f>
        <v>7449.2349999999997</v>
      </c>
      <c r="DI188" s="411">
        <f>IF($CP188="UNHESA LIQUIDOS",$AV188+$BE188+$BN188+$BW188+$CF188,0)</f>
        <v>0</v>
      </c>
      <c r="DJ188" s="411">
        <f>IF($CP188="UNHESA LIQUIDOS",$AW188+$BF188+$BO188+$BX188+$CG188,0)</f>
        <v>0</v>
      </c>
      <c r="DK188" s="411">
        <f>IF($CP188="UNHESA LIQUIDOS",$AX188+$BG188+$BP188+$BY188+$CH188,0)</f>
        <v>0</v>
      </c>
      <c r="DL188" s="411">
        <f>IF($CP188="UNHESA LIQUIDOS",$AY188+$BH188+$BQ188+$BZ188+$CI188,0)</f>
        <v>0</v>
      </c>
      <c r="DM188" s="411">
        <f>IF($CP188="UNHESA LIQUIDOS",$AZ188+$BI188+$BR188+$CA188+$CJ188,0)</f>
        <v>0</v>
      </c>
      <c r="DN188" s="411">
        <f>IF($CP188="UNHESA LIQUIDOS",$BA188+$BJ188+$BS188+$CB188+$CK188,0)</f>
        <v>0</v>
      </c>
      <c r="DO188" s="411">
        <f>IF($CP188="UNHESA LIQUIDOS",$BB188+$BK188+$BT188+$CC188+$CL188,0)</f>
        <v>0</v>
      </c>
      <c r="DP188" s="411">
        <f>IF($CP188="UNHESA LIQUIDOS",$BC188+$BL188+$BU188+$CD188+$CM188,0)</f>
        <v>0</v>
      </c>
      <c r="DQ188" s="411">
        <f>SUM(DI188:DP188)-DK188-DM188</f>
        <v>0</v>
      </c>
      <c r="DR188" s="1704">
        <f>IF($CP188="ECONACIONAL",$AV188+$BE188+$BN188+$BW188+$CF188,0)</f>
        <v>0</v>
      </c>
      <c r="DS188" s="1705">
        <f>IF($CP188="ECONACIONAL",$AW188+$BF188+$BO188+$BX188+$CG188,0)</f>
        <v>0</v>
      </c>
      <c r="DT188" s="1705">
        <f>IF($CP188="ECONACIONAL",$AX188+$BG188+$BP188+$BY188+$CH188,0)</f>
        <v>0</v>
      </c>
      <c r="DU188" s="1705">
        <f>IF($CP188="ECONACIONAL",$AY188+$BH188+$BQ188+$BZ188+$CI188,0)</f>
        <v>0</v>
      </c>
      <c r="DV188" s="1705">
        <f>IF($CP188="ECONACIONAL",$AZ188+$BI188+$BR188+$CA188+$CJ188,0)</f>
        <v>0</v>
      </c>
      <c r="DW188" s="1705">
        <f>IF($CP188="ECONACIONAL",$BA188+$BJ188+$BS188+$CB188+$CK188,0)</f>
        <v>0</v>
      </c>
      <c r="DX188" s="1705">
        <f>IF($CP188="ECONACIONAL",$BB188+$BK188+$BT188+$CC188+$CL188,0)</f>
        <v>0</v>
      </c>
      <c r="DY188" s="1705">
        <f>IF($CP188="ECONACIONAL",$BC188+$BL188+$BU188+$CD188+$CM188,0)</f>
        <v>0</v>
      </c>
      <c r="DZ188" s="1705">
        <f>SUM(DR188:DY188)-DT188-DV188</f>
        <v>0</v>
      </c>
      <c r="EA188" s="1705">
        <f>IF($CP188="CLEARTEC",$AV188+$BE188+$BN188+$BW188+$CF188,0)</f>
        <v>0</v>
      </c>
      <c r="EB188" s="1705">
        <f>IF($CP188="CLEARTEC",$AW188+$BF188+$BO188+$BX188+$CG188,0)</f>
        <v>0</v>
      </c>
      <c r="EC188" s="1705">
        <f>IF($CP188="CLEARTEC",$AX188+$BG188+$BP188+$BY188+$CH188,0)</f>
        <v>0</v>
      </c>
      <c r="ED188" s="1705">
        <f>IF($CP188="CLEARTEC",$AY188+$BH188+$BQ188+$BZ188+$CI188,0)</f>
        <v>0</v>
      </c>
      <c r="EE188" s="1705">
        <f>IF($CP188="CLEARTEC",$AZ188+$BI188+$BR188+$CA188+$CJ188,0)</f>
        <v>0</v>
      </c>
      <c r="EF188" s="1705">
        <f>IF($CP188="CLEARTEC",$BA188+$BJ188+$BS188+$CB188+$CK188,0)</f>
        <v>0</v>
      </c>
      <c r="EG188" s="1705">
        <f>IF($CP188="CLEARTEC",$BB188+$BK188+$BT188+$CC188+$CL188,0)</f>
        <v>0</v>
      </c>
      <c r="EH188" s="1705">
        <f>IF($CP188="CLEARTEC",$BC188+$BL188+$BU188+$CD188+$CM188,0)</f>
        <v>0</v>
      </c>
      <c r="EI188" s="1706">
        <f>SUM(EA188:EH188)-EC188-EE188</f>
        <v>0</v>
      </c>
      <c r="EK188" s="1596">
        <v>141.03</v>
      </c>
      <c r="EL188" s="1723"/>
      <c r="EM188" s="1723"/>
      <c r="EN188" s="313"/>
      <c r="EO188" s="1723"/>
      <c r="EP188" s="1723">
        <v>50</v>
      </c>
      <c r="EQ188" s="1723"/>
      <c r="ER188" s="1724"/>
      <c r="ES188" s="1724"/>
      <c r="ET188" s="313">
        <f>+EO188+EP188+EQ188</f>
        <v>50</v>
      </c>
      <c r="EU188" s="331"/>
      <c r="EV188" s="321">
        <f t="shared" ref="EV188:FE190" si="3259">IF($H188&lt;=15,EK188/2,EK188)</f>
        <v>141.03</v>
      </c>
      <c r="EW188" s="321">
        <f t="shared" si="3259"/>
        <v>0</v>
      </c>
      <c r="EX188" s="321">
        <f t="shared" si="3259"/>
        <v>0</v>
      </c>
      <c r="EY188" s="321">
        <f t="shared" si="3259"/>
        <v>0</v>
      </c>
      <c r="EZ188" s="321">
        <f t="shared" si="3259"/>
        <v>0</v>
      </c>
      <c r="FA188" s="321">
        <f t="shared" si="3259"/>
        <v>50</v>
      </c>
      <c r="FB188" s="321">
        <f t="shared" si="3259"/>
        <v>0</v>
      </c>
      <c r="FC188" s="321">
        <f t="shared" si="3259"/>
        <v>0</v>
      </c>
      <c r="FD188" s="321">
        <f t="shared" si="3259"/>
        <v>0</v>
      </c>
      <c r="FE188" s="321">
        <f t="shared" si="3259"/>
        <v>50</v>
      </c>
      <c r="FF188" s="1725">
        <v>0</v>
      </c>
      <c r="FG188" s="1725">
        <v>1</v>
      </c>
      <c r="FH188" s="1725">
        <v>0</v>
      </c>
      <c r="FI188" s="1725">
        <v>0</v>
      </c>
      <c r="FJ188" s="1725">
        <v>0</v>
      </c>
      <c r="FK188" s="1725">
        <v>1</v>
      </c>
      <c r="FL188" s="331">
        <f>+EP188-FA188</f>
        <v>0</v>
      </c>
    </row>
    <row r="189" spans="1:260" s="1534" customFormat="1" ht="15" customHeight="1" outlineLevel="1">
      <c r="A189" s="1625">
        <f>+A188+1</f>
        <v>112</v>
      </c>
      <c r="B189" s="1715" t="s">
        <v>724</v>
      </c>
      <c r="C189" s="1716" t="s">
        <v>585</v>
      </c>
      <c r="D189" s="1717" t="s">
        <v>10</v>
      </c>
      <c r="E189" s="1718">
        <v>4000</v>
      </c>
      <c r="F189" s="1718">
        <v>21000</v>
      </c>
      <c r="G189" s="1718">
        <f>+E189+F189</f>
        <v>25000</v>
      </c>
      <c r="H189" s="1971">
        <v>30</v>
      </c>
      <c r="I189" s="1719">
        <v>1</v>
      </c>
      <c r="J189" s="1720"/>
      <c r="K189" s="1719">
        <v>0</v>
      </c>
      <c r="L189" s="1719">
        <v>0</v>
      </c>
      <c r="M189" s="1719">
        <v>0</v>
      </c>
      <c r="N189" s="1719">
        <f>SUM(I189:M189)</f>
        <v>1</v>
      </c>
      <c r="O189" s="1726" t="s">
        <v>725</v>
      </c>
      <c r="P189" s="410"/>
      <c r="Q189" s="411">
        <f>($E189/30/8*1.5)*P189</f>
        <v>0</v>
      </c>
      <c r="R189" s="412"/>
      <c r="S189" s="411">
        <f>($E189/30/8*2)*R189</f>
        <v>0</v>
      </c>
      <c r="T189" s="1721"/>
      <c r="U189" s="411">
        <f>($E189/30/8*1.5)*T189</f>
        <v>0</v>
      </c>
      <c r="V189" s="412"/>
      <c r="W189" s="411">
        <f>($E189/30/8*2)*V189</f>
        <v>0</v>
      </c>
      <c r="X189" s="412"/>
      <c r="Y189" s="411">
        <f>(($E189/30/8)*1.5)*X189</f>
        <v>0</v>
      </c>
      <c r="Z189" s="414"/>
      <c r="AA189" s="411">
        <f>(($E189/30/8)*2)*Z189</f>
        <v>0</v>
      </c>
      <c r="AB189" s="414"/>
      <c r="AC189" s="411">
        <f>(($E189/30/8)*1.5)*AB189</f>
        <v>0</v>
      </c>
      <c r="AD189" s="414"/>
      <c r="AE189" s="411">
        <f>(($E189/30/8)*2)*AD189</f>
        <v>0</v>
      </c>
      <c r="AF189" s="411"/>
      <c r="AG189" s="411">
        <f>(($E189/30/8)*1.5)*AF189</f>
        <v>0</v>
      </c>
      <c r="AH189" s="414"/>
      <c r="AI189" s="411">
        <f>(($E189/30/8)*2)*AH189</f>
        <v>0</v>
      </c>
      <c r="AJ189" s="1718"/>
      <c r="AK189" s="1718"/>
      <c r="AL189" s="1718"/>
      <c r="AM189" s="1718"/>
      <c r="AN189" s="1718"/>
      <c r="AO189" s="1718"/>
      <c r="AP189" s="1718"/>
      <c r="AQ189" s="1718"/>
      <c r="AR189" s="1718"/>
      <c r="AS189" s="1718"/>
      <c r="AT189" s="1718"/>
      <c r="AU189" s="1626"/>
      <c r="AV189" s="411">
        <f>((E189/30)*H189)*$I189</f>
        <v>4000.0000000000005</v>
      </c>
      <c r="AW189" s="411">
        <f>((F189/30)*H189)*$I189</f>
        <v>21000</v>
      </c>
      <c r="AX189" s="411">
        <f t="shared" ref="AX189" si="3260">P189</f>
        <v>0</v>
      </c>
      <c r="AY189" s="411">
        <f t="shared" ref="AY189" si="3261">Q189</f>
        <v>0</v>
      </c>
      <c r="AZ189" s="411">
        <f t="shared" ref="AZ189" si="3262">R189</f>
        <v>0</v>
      </c>
      <c r="BA189" s="411">
        <f t="shared" ref="BA189" si="3263">S189</f>
        <v>0</v>
      </c>
      <c r="BB189" s="411">
        <f>AJ189+AO189</f>
        <v>0</v>
      </c>
      <c r="BC189" s="411">
        <f>(AV189+AY189+BA189)*0.1267</f>
        <v>506.80000000000007</v>
      </c>
      <c r="BD189" s="411">
        <f>SUM(AV189:BC189)-AX189-AZ189</f>
        <v>25506.799999999999</v>
      </c>
      <c r="BE189" s="411">
        <f>(($E189/30)*$H189)*$J189</f>
        <v>0</v>
      </c>
      <c r="BF189" s="411">
        <f>(($F189/30)*$H189)*$J189</f>
        <v>0</v>
      </c>
      <c r="BG189" s="411">
        <f t="shared" ref="BG189" si="3264">T189</f>
        <v>0</v>
      </c>
      <c r="BH189" s="411">
        <f t="shared" ref="BH189" si="3265">U189</f>
        <v>0</v>
      </c>
      <c r="BI189" s="411">
        <f t="shared" ref="BI189" si="3266">V189</f>
        <v>0</v>
      </c>
      <c r="BJ189" s="411">
        <f t="shared" ref="BJ189" si="3267">W189</f>
        <v>0</v>
      </c>
      <c r="BK189" s="411">
        <f>AK189+AP189</f>
        <v>0</v>
      </c>
      <c r="BL189" s="411">
        <f>(+BE189+BH189+BJ189+BK189)*0.1267</f>
        <v>0</v>
      </c>
      <c r="BM189" s="1718">
        <f>SUM(BE189:BL189)-BG189-BI189</f>
        <v>0</v>
      </c>
      <c r="BN189" s="411">
        <f>(($E189/30)*$H189)*$K189</f>
        <v>0</v>
      </c>
      <c r="BO189" s="411">
        <f>(($F189/30)*$H189)*$K189</f>
        <v>0</v>
      </c>
      <c r="BP189" s="411">
        <f t="shared" ref="BP189" si="3268">X189</f>
        <v>0</v>
      </c>
      <c r="BQ189" s="411">
        <f t="shared" ref="BQ189" si="3269">Y189</f>
        <v>0</v>
      </c>
      <c r="BR189" s="411">
        <f t="shared" ref="BR189" si="3270">Z189</f>
        <v>0</v>
      </c>
      <c r="BS189" s="411">
        <f>AA189</f>
        <v>0</v>
      </c>
      <c r="BT189" s="411">
        <f>AL189+AQ189</f>
        <v>0</v>
      </c>
      <c r="BU189" s="411">
        <f>(BN189+BQ189+BS189)*0.1267</f>
        <v>0</v>
      </c>
      <c r="BV189" s="411">
        <f>SUM(BN189:BU189)-BP189-BR189</f>
        <v>0</v>
      </c>
      <c r="BW189" s="1704">
        <f>(($E189/30)*$H189)*$L189</f>
        <v>0</v>
      </c>
      <c r="BX189" s="1705">
        <f>(($F189/30)*$H189)*$L189</f>
        <v>0</v>
      </c>
      <c r="BY189" s="1705">
        <f t="shared" ref="BY189" si="3271">AB189</f>
        <v>0</v>
      </c>
      <c r="BZ189" s="1705">
        <f t="shared" ref="BZ189" si="3272">AC189</f>
        <v>0</v>
      </c>
      <c r="CA189" s="1705">
        <f t="shared" ref="CA189" si="3273">AD189</f>
        <v>0</v>
      </c>
      <c r="CB189" s="1705">
        <f t="shared" ref="CB189" si="3274">AE189</f>
        <v>0</v>
      </c>
      <c r="CC189" s="1705">
        <f>AM189+AR189</f>
        <v>0</v>
      </c>
      <c r="CD189" s="1705">
        <f>(BW189+BZ189+CB189)*0.1267</f>
        <v>0</v>
      </c>
      <c r="CE189" s="1705">
        <f>SUM(BW189:CD189)-BY189-CA189</f>
        <v>0</v>
      </c>
      <c r="CF189" s="1705">
        <f>(($E189/30)*$H189)*M189</f>
        <v>0</v>
      </c>
      <c r="CG189" s="1705">
        <f>(($F189/30)*$H189)*$M189</f>
        <v>0</v>
      </c>
      <c r="CH189" s="1705">
        <f>+AF189</f>
        <v>0</v>
      </c>
      <c r="CI189" s="1705">
        <f t="shared" ref="CI189" si="3275">AG189</f>
        <v>0</v>
      </c>
      <c r="CJ189" s="1705">
        <f t="shared" ref="CJ189" si="3276">AH189</f>
        <v>0</v>
      </c>
      <c r="CK189" s="1705">
        <f t="shared" ref="CK189" si="3277">AI189</f>
        <v>0</v>
      </c>
      <c r="CL189" s="1705">
        <f>AN189+AS189</f>
        <v>0</v>
      </c>
      <c r="CM189" s="1705">
        <f>(CF189+CI189+CK189)*0.1267</f>
        <v>0</v>
      </c>
      <c r="CN189" s="1706">
        <f>SUM(CF189:CM189)-CH189-CJ189</f>
        <v>0</v>
      </c>
      <c r="CP189" s="1717" t="s">
        <v>10</v>
      </c>
      <c r="CQ189" s="411">
        <f>IF($CP189="PROQUIMA",$AV189+$BE189+$BN189+$BW189+$CF189,0)</f>
        <v>4000.0000000000005</v>
      </c>
      <c r="CR189" s="411">
        <f>IF($CP189="PROQUIMA",$AW189+$BF189+$BO189+$BX189+$CG189,0)</f>
        <v>21000</v>
      </c>
      <c r="CS189" s="411">
        <f>IF($CP189="PROQUIMA",$AX189+$BG189+$BP189+$BY189+$CH189,0)</f>
        <v>0</v>
      </c>
      <c r="CT189" s="411">
        <f>IF($CP189="PROQUIMA",$AY189+$BH189+$BQ189+$BZ189+$CI189,0)</f>
        <v>0</v>
      </c>
      <c r="CU189" s="411">
        <f>IF($CP189="PROQUIMA",$AZ189+$BI189+$BR189+$CA189+$CJ189,0)</f>
        <v>0</v>
      </c>
      <c r="CV189" s="411">
        <f>IF($CP189="PROQUIMA",$BA189+$BJ189+$BS189+$CB189+$CK189,0)</f>
        <v>0</v>
      </c>
      <c r="CW189" s="411">
        <f>IF($CP189="PROQUIMA",$BB189+$BK189+$BT189+$CC189+$CL189,0)</f>
        <v>0</v>
      </c>
      <c r="CX189" s="411">
        <f>IF($CP189="PROQUIMA",$BC189+$BL189+$BU189+$CD189+CM189,0)</f>
        <v>506.80000000000007</v>
      </c>
      <c r="CY189" s="411">
        <f>SUM(CQ189:CX189)-CS189-CU189</f>
        <v>25506.799999999999</v>
      </c>
      <c r="CZ189" s="411">
        <f>IF($CP189="UNHESA",$AV189+$BE189+$BN189+$BW189+$CF189,0)</f>
        <v>0</v>
      </c>
      <c r="DA189" s="411">
        <f>IF($CP189="UNHESA",$AW189+$BF189+$BO189+$BX189+$CG189,0)</f>
        <v>0</v>
      </c>
      <c r="DB189" s="411">
        <f>IF($CP189="UNHESA",$AX189+$BG189+$BP189+$BY189+$CH189,0)</f>
        <v>0</v>
      </c>
      <c r="DC189" s="411">
        <f>IF($CP189="UNHESA",$AY189+$BH189+$BQ189+$BZ189+$CI189,0)</f>
        <v>0</v>
      </c>
      <c r="DD189" s="411">
        <f>IF($CP189="UNHESA",$AZ189+$BI189+$BR189+$CA189+$CJ189,0)</f>
        <v>0</v>
      </c>
      <c r="DE189" s="411">
        <f>IF($CP189="UNHESA",$BA189+$BJ189+$BS189+$CB189+$CK189,0)</f>
        <v>0</v>
      </c>
      <c r="DF189" s="411">
        <f>IF($CP189="UNHESA",$BB189+$BK189+$BT189+$CC189+$CL189,0)</f>
        <v>0</v>
      </c>
      <c r="DG189" s="411">
        <f>IF($CP189="UNHESA",$BC189+$BL189+$BU189+$CD189+$CM189,0)</f>
        <v>0</v>
      </c>
      <c r="DH189" s="411">
        <f>SUM(CZ189:DG189)-DB189-DD189</f>
        <v>0</v>
      </c>
      <c r="DI189" s="411">
        <f>IF($CP189="UNHESA LIQUIDOS",$AV189+$BE189+$BN189+$BW189+$CF189,0)</f>
        <v>0</v>
      </c>
      <c r="DJ189" s="411">
        <f>IF($CP189="UNHESA LIQUIDOS",$AW189+$BF189+$BO189+$BX189+$CG189,0)</f>
        <v>0</v>
      </c>
      <c r="DK189" s="411">
        <f>IF($CP189="UNHESA LIQUIDOS",$AX189+$BG189+$BP189+$BY189+$CH189,0)</f>
        <v>0</v>
      </c>
      <c r="DL189" s="411">
        <f>IF($CP189="UNHESA LIQUIDOS",$AY189+$BH189+$BQ189+$BZ189+$CI189,0)</f>
        <v>0</v>
      </c>
      <c r="DM189" s="411">
        <f>IF($CP189="UNHESA LIQUIDOS",$AZ189+$BI189+$BR189+$CA189+$CJ189,0)</f>
        <v>0</v>
      </c>
      <c r="DN189" s="411">
        <f>IF($CP189="UNHESA LIQUIDOS",$BA189+$BJ189+$BS189+$CB189+$CK189,0)</f>
        <v>0</v>
      </c>
      <c r="DO189" s="411">
        <f>IF($CP189="UNHESA LIQUIDOS",$BB189+$BK189+$BT189+$CC189+$CL189,0)</f>
        <v>0</v>
      </c>
      <c r="DP189" s="411">
        <f>IF($CP189="UNHESA LIQUIDOS",$BC189+$BL189+$BU189+$CD189+$CM189,0)</f>
        <v>0</v>
      </c>
      <c r="DQ189" s="411">
        <f>SUM(DI189:DP189)-DK189-DM189</f>
        <v>0</v>
      </c>
      <c r="DR189" s="1704">
        <f>IF($CP189="ECONACIONAL",$AV189+$BE189+$BN189+$BW189+$CF189,0)</f>
        <v>0</v>
      </c>
      <c r="DS189" s="1705">
        <f>IF($CP189="ECONACIONAL",$AW189+$BF189+$BO189+$BX189+$CG189,0)</f>
        <v>0</v>
      </c>
      <c r="DT189" s="1705">
        <f>IF($CP189="ECONACIONAL",$AX189+$BG189+$BP189+$BY189+$CH189,0)</f>
        <v>0</v>
      </c>
      <c r="DU189" s="1705">
        <f>IF($CP189="ECONACIONAL",$AY189+$BH189+$BQ189+$BZ189+$CI189,0)</f>
        <v>0</v>
      </c>
      <c r="DV189" s="1705">
        <f>IF($CP189="ECONACIONAL",$AZ189+$BI189+$BR189+$CA189+$CJ189,0)</f>
        <v>0</v>
      </c>
      <c r="DW189" s="1705">
        <f>IF($CP189="ECONACIONAL",$BA189+$BJ189+$BS189+$CB189+$CK189,0)</f>
        <v>0</v>
      </c>
      <c r="DX189" s="1705">
        <f>IF($CP189="ECONACIONAL",$BB189+$BK189+$BT189+$CC189+$CL189,0)</f>
        <v>0</v>
      </c>
      <c r="DY189" s="1705">
        <f>IF($CP189="ECONACIONAL",$BC189+$BL189+$BU189+$CD189+$CM189,0)</f>
        <v>0</v>
      </c>
      <c r="DZ189" s="1705">
        <f>SUM(DR189:DY189)-DT189-DV189</f>
        <v>0</v>
      </c>
      <c r="EA189" s="1705">
        <f>IF($CP189="CLEARTEC",$AV189+$BE189+$BN189+$BW189+$CF189,0)</f>
        <v>0</v>
      </c>
      <c r="EB189" s="1705">
        <f>IF($CP189="CLEARTEC",$AW189+$BF189+$BO189+$BX189+$CG189,0)</f>
        <v>0</v>
      </c>
      <c r="EC189" s="1705">
        <f>IF($CP189="CLEARTEC",$AX189+$BG189+$BP189+$BY189+$CH189,0)</f>
        <v>0</v>
      </c>
      <c r="ED189" s="1705">
        <f>IF($CP189="CLEARTEC",$AY189+$BH189+$BQ189+$BZ189+$CI189,0)</f>
        <v>0</v>
      </c>
      <c r="EE189" s="1705">
        <f>IF($CP189="CLEARTEC",$AZ189+$BI189+$BR189+$CA189+$CJ189,0)</f>
        <v>0</v>
      </c>
      <c r="EF189" s="1705">
        <f>IF($CP189="CLEARTEC",$BA189+$BJ189+$BS189+$CB189+$CK189,0)</f>
        <v>0</v>
      </c>
      <c r="EG189" s="1705">
        <f>IF($CP189="CLEARTEC",$BB189+$BK189+$BT189+$CC189+$CL189,0)</f>
        <v>0</v>
      </c>
      <c r="EH189" s="1705">
        <f>IF($CP189="CLEARTEC",$BC189+$BL189+$BU189+$CD189+$CM189,0)</f>
        <v>0</v>
      </c>
      <c r="EI189" s="1706">
        <f>SUM(EA189:EH189)-EC189-EE189</f>
        <v>0</v>
      </c>
      <c r="EK189" s="2201">
        <v>1041.1500000000001</v>
      </c>
      <c r="EL189" s="1723"/>
      <c r="EM189" s="1723"/>
      <c r="EN189" s="313"/>
      <c r="EO189" s="1723"/>
      <c r="EP189" s="1723"/>
      <c r="EQ189" s="1724"/>
      <c r="ER189" s="1724"/>
      <c r="ES189" s="1724"/>
      <c r="ET189" s="313">
        <f>+EO189+EP189+EQ189</f>
        <v>0</v>
      </c>
      <c r="EU189" s="331"/>
      <c r="EV189" s="321">
        <f t="shared" ref="EV189" si="3278">IF($H189&lt;=15,EK189/2,EK189)</f>
        <v>1041.1500000000001</v>
      </c>
      <c r="EW189" s="321">
        <f t="shared" ref="EW189" si="3279">IF($H189&lt;=15,EL189/2,EL189)</f>
        <v>0</v>
      </c>
      <c r="EX189" s="321">
        <f t="shared" ref="EX189" si="3280">IF($H189&lt;=15,EM189/2,EM189)</f>
        <v>0</v>
      </c>
      <c r="EY189" s="321">
        <f t="shared" ref="EY189" si="3281">IF($H189&lt;=15,EN189/2,EN189)</f>
        <v>0</v>
      </c>
      <c r="EZ189" s="321">
        <f t="shared" ref="EZ189" si="3282">IF($H189&lt;=15,EO189/2,EO189)</f>
        <v>0</v>
      </c>
      <c r="FA189" s="321">
        <f t="shared" ref="FA189" si="3283">IF($H189&lt;=15,EP189/2,EP189)</f>
        <v>0</v>
      </c>
      <c r="FB189" s="321">
        <f t="shared" ref="FB189" si="3284">IF($H189&lt;=15,EQ189/2,EQ189)</f>
        <v>0</v>
      </c>
      <c r="FC189" s="321">
        <f t="shared" ref="FC189" si="3285">IF($H189&lt;=15,ER189/2,ER189)</f>
        <v>0</v>
      </c>
      <c r="FD189" s="321">
        <f t="shared" ref="FD189" si="3286">IF($H189&lt;=15,ES189/2,ES189)</f>
        <v>0</v>
      </c>
      <c r="FE189" s="321">
        <f t="shared" ref="FE189" si="3287">IF($H189&lt;=15,ET189/2,ET189)</f>
        <v>0</v>
      </c>
      <c r="FF189" s="1725"/>
      <c r="FG189" s="1725"/>
      <c r="FH189" s="1725"/>
      <c r="FI189" s="1725"/>
      <c r="FJ189" s="1725"/>
      <c r="FK189" s="1725"/>
      <c r="FL189" s="331"/>
    </row>
    <row r="190" spans="1:260" s="1534" customFormat="1" ht="15" customHeight="1" outlineLevel="1">
      <c r="A190" s="1625">
        <f>+A189+1</f>
        <v>113</v>
      </c>
      <c r="B190" s="1715" t="s">
        <v>586</v>
      </c>
      <c r="C190" s="1716" t="s">
        <v>587</v>
      </c>
      <c r="D190" s="1717" t="s">
        <v>11</v>
      </c>
      <c r="E190" s="1718">
        <v>20750</v>
      </c>
      <c r="F190" s="1718">
        <f>250+3000</f>
        <v>3250</v>
      </c>
      <c r="G190" s="1718">
        <f>+E190+F190</f>
        <v>24000</v>
      </c>
      <c r="H190" s="1971">
        <v>30</v>
      </c>
      <c r="I190" s="1719">
        <v>0</v>
      </c>
      <c r="J190" s="1720">
        <v>1</v>
      </c>
      <c r="K190" s="1719">
        <v>0</v>
      </c>
      <c r="L190" s="1719">
        <v>0</v>
      </c>
      <c r="M190" s="1719">
        <v>0</v>
      </c>
      <c r="N190" s="1719">
        <f>SUM(I190:M190)</f>
        <v>1</v>
      </c>
      <c r="O190" s="1603"/>
      <c r="P190" s="410"/>
      <c r="Q190" s="411">
        <f>($E190/30/8*1.5)*P190</f>
        <v>0</v>
      </c>
      <c r="R190" s="412"/>
      <c r="S190" s="411">
        <f>($E190/30/8*2)*R190</f>
        <v>0</v>
      </c>
      <c r="T190" s="412"/>
      <c r="U190" s="411">
        <f>($E190/30/8*1.5)*T190</f>
        <v>0</v>
      </c>
      <c r="V190" s="412"/>
      <c r="W190" s="411">
        <f>($E190/30/8*2)*V190</f>
        <v>0</v>
      </c>
      <c r="X190" s="412"/>
      <c r="Y190" s="411">
        <f>(($E190/30/8)*1.5)*X190</f>
        <v>0</v>
      </c>
      <c r="Z190" s="414"/>
      <c r="AA190" s="411">
        <f>(($E190/30/8)*2)*Z190</f>
        <v>0</v>
      </c>
      <c r="AB190" s="414"/>
      <c r="AC190" s="411">
        <f>(($E190/30/8)*1.5)*AB190</f>
        <v>0</v>
      </c>
      <c r="AD190" s="414"/>
      <c r="AE190" s="411">
        <f>(($E190/30/8)*2)*AD190</f>
        <v>0</v>
      </c>
      <c r="AF190" s="411"/>
      <c r="AG190" s="411">
        <f>(($E190/30/8)*1.5)*AF190</f>
        <v>0</v>
      </c>
      <c r="AH190" s="414"/>
      <c r="AI190" s="411">
        <f>(($E190/30/8)*2)*AH190</f>
        <v>0</v>
      </c>
      <c r="AJ190" s="1718"/>
      <c r="AK190" s="1718"/>
      <c r="AL190" s="1718"/>
      <c r="AM190" s="1718"/>
      <c r="AN190" s="1718"/>
      <c r="AO190" s="1718"/>
      <c r="AP190" s="1718"/>
      <c r="AQ190" s="1718"/>
      <c r="AR190" s="1718"/>
      <c r="AS190" s="1718"/>
      <c r="AT190" s="1718"/>
      <c r="AU190" s="1626"/>
      <c r="AV190" s="411">
        <f>((E190/30)*H190)*$I190</f>
        <v>0</v>
      </c>
      <c r="AW190" s="411">
        <f>((F190/30)*H190)*$I190</f>
        <v>0</v>
      </c>
      <c r="AX190" s="411">
        <f t="shared" si="3254"/>
        <v>0</v>
      </c>
      <c r="AY190" s="411">
        <f t="shared" si="3254"/>
        <v>0</v>
      </c>
      <c r="AZ190" s="411">
        <f t="shared" si="3254"/>
        <v>0</v>
      </c>
      <c r="BA190" s="411">
        <f t="shared" si="3254"/>
        <v>0</v>
      </c>
      <c r="BB190" s="411">
        <f>AJ190+AO190</f>
        <v>0</v>
      </c>
      <c r="BC190" s="411">
        <f>(AV190+AY190+BA190)*0.1267</f>
        <v>0</v>
      </c>
      <c r="BD190" s="411">
        <f>SUM(AV190:BC190)-AX190-AZ190</f>
        <v>0</v>
      </c>
      <c r="BE190" s="411">
        <f>(($E190/30)*$H190)*$J190</f>
        <v>20750</v>
      </c>
      <c r="BF190" s="411">
        <f>(($F190/30)*$H190)*$J190</f>
        <v>3250</v>
      </c>
      <c r="BG190" s="411">
        <f t="shared" si="3255"/>
        <v>0</v>
      </c>
      <c r="BH190" s="411">
        <f t="shared" si="3255"/>
        <v>0</v>
      </c>
      <c r="BI190" s="411">
        <f t="shared" si="3255"/>
        <v>0</v>
      </c>
      <c r="BJ190" s="411">
        <f t="shared" si="3255"/>
        <v>0</v>
      </c>
      <c r="BK190" s="411">
        <f>AK190+AP190</f>
        <v>0</v>
      </c>
      <c r="BL190" s="411">
        <f>(+BE190+BH190+BJ190+BK190)*0.1267</f>
        <v>2629.0250000000001</v>
      </c>
      <c r="BM190" s="1718">
        <f>SUM(BE190:BL190)-BG190-BI190</f>
        <v>26629.025000000001</v>
      </c>
      <c r="BN190" s="411">
        <f>(($E190/30)*$H190)*$K190</f>
        <v>0</v>
      </c>
      <c r="BO190" s="411">
        <f>(($F190/30)*$H190)*$K190</f>
        <v>0</v>
      </c>
      <c r="BP190" s="411">
        <f t="shared" si="3256"/>
        <v>0</v>
      </c>
      <c r="BQ190" s="411">
        <f t="shared" si="3256"/>
        <v>0</v>
      </c>
      <c r="BR190" s="411">
        <f t="shared" si="3256"/>
        <v>0</v>
      </c>
      <c r="BS190" s="411">
        <f>AA190</f>
        <v>0</v>
      </c>
      <c r="BT190" s="411">
        <f>AL190+AQ190</f>
        <v>0</v>
      </c>
      <c r="BU190" s="411">
        <f>(BN190+BQ190+BS190)*0.1267</f>
        <v>0</v>
      </c>
      <c r="BV190" s="411">
        <f>SUM(BN190:BU190)-BP190-BR190</f>
        <v>0</v>
      </c>
      <c r="BW190" s="1450">
        <f>(($E190/30)*$H190)*$L190</f>
        <v>0</v>
      </c>
      <c r="BX190" s="1450">
        <f>(($F190/30)*$H190)*$L190</f>
        <v>0</v>
      </c>
      <c r="BY190" s="1450">
        <f t="shared" si="3257"/>
        <v>0</v>
      </c>
      <c r="BZ190" s="1450">
        <f t="shared" si="3257"/>
        <v>0</v>
      </c>
      <c r="CA190" s="1450">
        <f t="shared" si="3257"/>
        <v>0</v>
      </c>
      <c r="CB190" s="1450">
        <f t="shared" si="3257"/>
        <v>0</v>
      </c>
      <c r="CC190" s="1450">
        <f>AM190+AR190</f>
        <v>0</v>
      </c>
      <c r="CD190" s="1450">
        <f>(BW190+BZ190+CB190)*0.1267</f>
        <v>0</v>
      </c>
      <c r="CE190" s="1450">
        <f>SUM(BW190:CD190)-BY190-CA190</f>
        <v>0</v>
      </c>
      <c r="CF190" s="1450">
        <f>(($E190/30)*$H190)*M190</f>
        <v>0</v>
      </c>
      <c r="CG190" s="1450">
        <f>(($F190/30)*$H190)*$M190</f>
        <v>0</v>
      </c>
      <c r="CH190" s="1450">
        <f>+AF190</f>
        <v>0</v>
      </c>
      <c r="CI190" s="1450">
        <f t="shared" si="3258"/>
        <v>0</v>
      </c>
      <c r="CJ190" s="1450">
        <f t="shared" si="3258"/>
        <v>0</v>
      </c>
      <c r="CK190" s="1450">
        <f t="shared" si="3258"/>
        <v>0</v>
      </c>
      <c r="CL190" s="1450">
        <f>AN190+AS190</f>
        <v>0</v>
      </c>
      <c r="CM190" s="1450">
        <f>(CF190+CI190+CK190)*0.1267</f>
        <v>0</v>
      </c>
      <c r="CN190" s="1450">
        <f>SUM(CF190:CM190)-CH190-CJ190</f>
        <v>0</v>
      </c>
      <c r="CP190" s="1717" t="s">
        <v>11</v>
      </c>
      <c r="CQ190" s="411">
        <f>IF($CP190="PROQUIMA",$AV190+$BE190+$BN190+$BW190+$CF190,0)</f>
        <v>0</v>
      </c>
      <c r="CR190" s="411">
        <f>IF($CP190="PROQUIMA",$AW190+$BF190+$BO190+$BX190+$CG190,0)</f>
        <v>0</v>
      </c>
      <c r="CS190" s="411">
        <f>IF($CP190="PROQUIMA",$AX190+$BG190+$BP190+$BY190+$CH190,0)</f>
        <v>0</v>
      </c>
      <c r="CT190" s="411">
        <f>IF($CP190="PROQUIMA",$AY190+$BH190+$BQ190+$BZ190+$CI190,0)</f>
        <v>0</v>
      </c>
      <c r="CU190" s="411">
        <f>IF($CP190="PROQUIMA",$AZ190+$BI190+$BR190+$CA190+$CJ190,0)</f>
        <v>0</v>
      </c>
      <c r="CV190" s="411">
        <f>IF($CP190="PROQUIMA",$BA190+$BJ190+$BS190+$CB190+$CK190,0)</f>
        <v>0</v>
      </c>
      <c r="CW190" s="411">
        <f>IF($CP190="PROQUIMA",$BB190+$BK190+$BT190+$CC190+$CL190,0)</f>
        <v>0</v>
      </c>
      <c r="CX190" s="411">
        <f>IF($CP190="PROQUIMA",$BC190+$BL190+$BU190+$CD190+CM190,0)</f>
        <v>0</v>
      </c>
      <c r="CY190" s="411">
        <f>SUM(CQ190:CX190)-CS190-CU190</f>
        <v>0</v>
      </c>
      <c r="CZ190" s="411">
        <f>IF($CP190="UNHESA",$AV190+$BE190+$BN190+$BW190+$CF190,0)</f>
        <v>20750</v>
      </c>
      <c r="DA190" s="411">
        <f>IF($CP190="UNHESA",$AW190+$BF190+$BO190+$BX190+$CG190,0)</f>
        <v>3250</v>
      </c>
      <c r="DB190" s="411">
        <f>IF($CP190="UNHESA",$AX190+$BG190+$BP190+$BY190+$CH190,0)</f>
        <v>0</v>
      </c>
      <c r="DC190" s="411">
        <f>IF($CP190="UNHESA",$AY190+$BH190+$BQ190+$BZ190+$CI190,0)</f>
        <v>0</v>
      </c>
      <c r="DD190" s="411">
        <f>IF($CP190="UNHESA",$AZ190+$BI190+$BR190+$CA190+$CJ190,0)</f>
        <v>0</v>
      </c>
      <c r="DE190" s="411">
        <f>IF($CP190="UNHESA",$BA190+$BJ190+$BS190+$CB190+$CK190,0)</f>
        <v>0</v>
      </c>
      <c r="DF190" s="411">
        <f>IF($CP190="UNHESA",$BB190+$BK190+$BT190+$CC190+$CL190,0)</f>
        <v>0</v>
      </c>
      <c r="DG190" s="411">
        <f>IF($CP190="UNHESA",$BC190+$BL190+$BU190+$CD190+$CM190,0)</f>
        <v>2629.0250000000001</v>
      </c>
      <c r="DH190" s="411">
        <f>SUM(CZ190:DG190)-DB190-DD190</f>
        <v>26629.025000000001</v>
      </c>
      <c r="DI190" s="411">
        <f>IF($CP190="UNHESA LIQUIDOS",$AV190+$BE190+$BN190+$BW190+$CF190,0)</f>
        <v>0</v>
      </c>
      <c r="DJ190" s="411">
        <f>IF($CP190="UNHESA LIQUIDOS",$AW190+$BF190+$BO190+$BX190+$CG190,0)</f>
        <v>0</v>
      </c>
      <c r="DK190" s="411">
        <f>IF($CP190="UNHESA LIQUIDOS",$AX190+$BG190+$BP190+$BY190+$CH190,0)</f>
        <v>0</v>
      </c>
      <c r="DL190" s="411">
        <f>IF($CP190="UNHESA LIQUIDOS",$AY190+$BH190+$BQ190+$BZ190+$CI190,0)</f>
        <v>0</v>
      </c>
      <c r="DM190" s="411">
        <f>IF($CP190="UNHESA LIQUIDOS",$AZ190+$BI190+$BR190+$CA190+$CJ190,0)</f>
        <v>0</v>
      </c>
      <c r="DN190" s="411">
        <f>IF($CP190="UNHESA LIQUIDOS",$BA190+$BJ190+$BS190+$CB190+$CK190,0)</f>
        <v>0</v>
      </c>
      <c r="DO190" s="411">
        <f>IF($CP190="UNHESA LIQUIDOS",$BB190+$BK190+$BT190+$CC190+$CL190,0)</f>
        <v>0</v>
      </c>
      <c r="DP190" s="411">
        <f>IF($CP190="UNHESA LIQUIDOS",$BC190+$BL190+$BU190+$CD190+$CM190,0)</f>
        <v>0</v>
      </c>
      <c r="DQ190" s="411">
        <f>SUM(DI190:DP190)-DK190-DM190</f>
        <v>0</v>
      </c>
      <c r="DR190" s="1450">
        <f>IF($CP190="ECONACIONAL",$AV190+$BE190+$BN190+$BW190+$CF190,0)</f>
        <v>0</v>
      </c>
      <c r="DS190" s="1450">
        <f>IF($CP190="ECONACIONAL",$AW190+$BF190+$BO190+$BX190+$CG190,0)</f>
        <v>0</v>
      </c>
      <c r="DT190" s="1450">
        <f>IF($CP190="ECONACIONAL",$AX190+$BG190+$BP190+$BY190+$CH190,0)</f>
        <v>0</v>
      </c>
      <c r="DU190" s="1450">
        <f>IF($CP190="ECONACIONAL",$AY190+$BH190+$BQ190+$BZ190+$CI190,0)</f>
        <v>0</v>
      </c>
      <c r="DV190" s="1450">
        <f>IF($CP190="ECONACIONAL",$AZ190+$BI190+$BR190+$CA190+$CJ190,0)</f>
        <v>0</v>
      </c>
      <c r="DW190" s="1450">
        <f>IF($CP190="ECONACIONAL",$BA190+$BJ190+$BS190+$CB190+$CK190,0)</f>
        <v>0</v>
      </c>
      <c r="DX190" s="1450">
        <f>IF($CP190="ECONACIONAL",$BB190+$BK190+$BT190+$CC190+$CL190,0)</f>
        <v>0</v>
      </c>
      <c r="DY190" s="1450">
        <f>IF($CP190="ECONACIONAL",$BC190+$BL190+$BU190+$CD190+$CM190,0)</f>
        <v>0</v>
      </c>
      <c r="DZ190" s="1450">
        <f>SUM(DR190:DY190)-DT190-DV190</f>
        <v>0</v>
      </c>
      <c r="EA190" s="1450">
        <f>IF($CP190="CLEARTEC",$AV190+$BE190+$BN190+$BW190+$CF190,0)</f>
        <v>0</v>
      </c>
      <c r="EB190" s="1450">
        <f>IF($CP190="CLEARTEC",$AW190+$BF190+$BO190+$BX190+$CG190,0)</f>
        <v>0</v>
      </c>
      <c r="EC190" s="1450">
        <f>IF($CP190="CLEARTEC",$AX190+$BG190+$BP190+$BY190+$CH190,0)</f>
        <v>0</v>
      </c>
      <c r="ED190" s="1450">
        <f>IF($CP190="CLEARTEC",$AY190+$BH190+$BQ190+$BZ190+$CI190,0)</f>
        <v>0</v>
      </c>
      <c r="EE190" s="1450">
        <f>IF($CP190="CLEARTEC",$AZ190+$BI190+$BR190+$CA190+$CJ190,0)</f>
        <v>0</v>
      </c>
      <c r="EF190" s="1450">
        <f>IF($CP190="CLEARTEC",$BA190+$BJ190+$BS190+$CB190+$CK190,0)</f>
        <v>0</v>
      </c>
      <c r="EG190" s="1450">
        <f>IF($CP190="CLEARTEC",$BB190+$BK190+$BT190+$CC190+$CL190,0)</f>
        <v>0</v>
      </c>
      <c r="EH190" s="1450">
        <f>IF($CP190="CLEARTEC",$BC190+$BL190+$BU190+$CD190+$CM190,0)</f>
        <v>0</v>
      </c>
      <c r="EI190" s="1450">
        <f>SUM(EA190:EH190)-EC190-EE190</f>
        <v>0</v>
      </c>
      <c r="EK190" s="1596">
        <v>949.89</v>
      </c>
      <c r="EL190" s="1723"/>
      <c r="EM190" s="1723"/>
      <c r="EN190" s="313"/>
      <c r="EO190" s="1723"/>
      <c r="EP190" s="1723"/>
      <c r="EQ190" s="1724"/>
      <c r="ER190" s="1724"/>
      <c r="ES190" s="1724">
        <v>0</v>
      </c>
      <c r="ET190" s="313">
        <f>+EO190+EP190+EQ190</f>
        <v>0</v>
      </c>
      <c r="EU190" s="331"/>
      <c r="EV190" s="321">
        <f t="shared" si="3259"/>
        <v>949.89</v>
      </c>
      <c r="EW190" s="321">
        <f t="shared" si="3259"/>
        <v>0</v>
      </c>
      <c r="EX190" s="321">
        <f t="shared" si="3259"/>
        <v>0</v>
      </c>
      <c r="EY190" s="321">
        <f t="shared" si="3259"/>
        <v>0</v>
      </c>
      <c r="EZ190" s="321">
        <f t="shared" si="3259"/>
        <v>0</v>
      </c>
      <c r="FA190" s="321">
        <f t="shared" si="3259"/>
        <v>0</v>
      </c>
      <c r="FB190" s="321">
        <f t="shared" si="3259"/>
        <v>0</v>
      </c>
      <c r="FC190" s="321">
        <f t="shared" si="3259"/>
        <v>0</v>
      </c>
      <c r="FD190" s="321">
        <f t="shared" si="3259"/>
        <v>0</v>
      </c>
      <c r="FE190" s="321">
        <f t="shared" si="3259"/>
        <v>0</v>
      </c>
      <c r="FF190" s="1725">
        <v>0</v>
      </c>
      <c r="FG190" s="1725">
        <v>1</v>
      </c>
      <c r="FH190" s="1725">
        <v>0</v>
      </c>
      <c r="FI190" s="1725">
        <v>0</v>
      </c>
      <c r="FJ190" s="1725">
        <v>0</v>
      </c>
      <c r="FK190" s="1725">
        <v>1</v>
      </c>
      <c r="FL190" s="331">
        <f>+EP190-FA190</f>
        <v>0</v>
      </c>
    </row>
    <row r="191" spans="1:260" s="1474" customFormat="1" ht="15" customHeight="1" outlineLevel="1">
      <c r="A191" s="1403"/>
      <c r="B191" s="1727"/>
      <c r="C191" s="1693" t="s">
        <v>137</v>
      </c>
      <c r="D191" s="363"/>
      <c r="E191" s="1426">
        <f>SUM(E188:E190)</f>
        <v>29500</v>
      </c>
      <c r="F191" s="1678">
        <f>SUM(F188:F190)</f>
        <v>25500</v>
      </c>
      <c r="G191" s="1678">
        <f>SUM(G188:G190)</f>
        <v>55000</v>
      </c>
      <c r="H191" s="355"/>
      <c r="I191" s="1494"/>
      <c r="J191" s="1494"/>
      <c r="K191" s="1494"/>
      <c r="L191" s="1494"/>
      <c r="M191" s="1494"/>
      <c r="N191" s="1494"/>
      <c r="O191" s="1464"/>
      <c r="P191" s="1678">
        <f>SUM(P188:P190)</f>
        <v>0</v>
      </c>
      <c r="Q191" s="1678">
        <f t="shared" ref="Q191:AA191" si="3288">SUM(Q188:Q190)</f>
        <v>0</v>
      </c>
      <c r="R191" s="1678">
        <f t="shared" si="3288"/>
        <v>0</v>
      </c>
      <c r="S191" s="1678">
        <f t="shared" si="3288"/>
        <v>0</v>
      </c>
      <c r="T191" s="1678">
        <f t="shared" si="3288"/>
        <v>0</v>
      </c>
      <c r="U191" s="1678">
        <f t="shared" si="3288"/>
        <v>0</v>
      </c>
      <c r="V191" s="1678">
        <f t="shared" si="3288"/>
        <v>0</v>
      </c>
      <c r="W191" s="1678">
        <f t="shared" si="3288"/>
        <v>0</v>
      </c>
      <c r="X191" s="1678">
        <f t="shared" si="3288"/>
        <v>0</v>
      </c>
      <c r="Y191" s="1678">
        <f t="shared" si="3288"/>
        <v>0</v>
      </c>
      <c r="Z191" s="1678">
        <f t="shared" si="3288"/>
        <v>0</v>
      </c>
      <c r="AA191" s="1678">
        <f t="shared" si="3288"/>
        <v>0</v>
      </c>
      <c r="AB191" s="1678">
        <f t="shared" ref="AB191:AU191" si="3289">SUM(AB188:AB188)</f>
        <v>0</v>
      </c>
      <c r="AC191" s="1678">
        <f t="shared" si="3289"/>
        <v>0</v>
      </c>
      <c r="AD191" s="1678">
        <f t="shared" si="3289"/>
        <v>0</v>
      </c>
      <c r="AE191" s="1678">
        <f t="shared" si="3289"/>
        <v>0</v>
      </c>
      <c r="AF191" s="1678">
        <f t="shared" si="3289"/>
        <v>0</v>
      </c>
      <c r="AG191" s="1678">
        <f t="shared" si="3289"/>
        <v>0</v>
      </c>
      <c r="AH191" s="1678">
        <f t="shared" si="3289"/>
        <v>0</v>
      </c>
      <c r="AI191" s="1678">
        <f t="shared" si="3289"/>
        <v>0</v>
      </c>
      <c r="AJ191" s="1678">
        <f t="shared" si="3289"/>
        <v>0</v>
      </c>
      <c r="AK191" s="1678">
        <f t="shared" si="3289"/>
        <v>0</v>
      </c>
      <c r="AL191" s="1678">
        <f t="shared" si="3289"/>
        <v>0</v>
      </c>
      <c r="AM191" s="1678">
        <f t="shared" si="3289"/>
        <v>0</v>
      </c>
      <c r="AN191" s="1678">
        <f t="shared" si="3289"/>
        <v>0</v>
      </c>
      <c r="AO191" s="1678">
        <f t="shared" si="3289"/>
        <v>0</v>
      </c>
      <c r="AP191" s="1678">
        <f t="shared" si="3289"/>
        <v>0</v>
      </c>
      <c r="AQ191" s="1678">
        <f t="shared" si="3289"/>
        <v>0</v>
      </c>
      <c r="AR191" s="1678">
        <f t="shared" si="3289"/>
        <v>0</v>
      </c>
      <c r="AS191" s="1678">
        <f t="shared" si="3289"/>
        <v>0</v>
      </c>
      <c r="AT191" s="1678">
        <f t="shared" si="3289"/>
        <v>0</v>
      </c>
      <c r="AU191" s="1678">
        <f t="shared" si="3289"/>
        <v>0</v>
      </c>
      <c r="AV191" s="1678">
        <f>SUM(AV188:AV190)</f>
        <v>4000.0000000000005</v>
      </c>
      <c r="AW191" s="1678">
        <f>SUM(AW188:AW190)</f>
        <v>21000</v>
      </c>
      <c r="AX191" s="1678">
        <f t="shared" ref="AX191:BV191" si="3290">SUM(AX188:AX190)</f>
        <v>0</v>
      </c>
      <c r="AY191" s="1678">
        <f t="shared" si="3290"/>
        <v>0</v>
      </c>
      <c r="AZ191" s="1678">
        <f t="shared" si="3290"/>
        <v>0</v>
      </c>
      <c r="BA191" s="1678">
        <f t="shared" si="3290"/>
        <v>0</v>
      </c>
      <c r="BB191" s="1678">
        <f t="shared" si="3290"/>
        <v>0</v>
      </c>
      <c r="BC191" s="1678">
        <f t="shared" si="3290"/>
        <v>506.80000000000007</v>
      </c>
      <c r="BD191" s="1678">
        <f t="shared" si="3290"/>
        <v>25506.799999999999</v>
      </c>
      <c r="BE191" s="1678">
        <f t="shared" si="3290"/>
        <v>25500</v>
      </c>
      <c r="BF191" s="1678">
        <f>SUM(BF188:BF190)</f>
        <v>5347.41</v>
      </c>
      <c r="BG191" s="1678">
        <f t="shared" si="3290"/>
        <v>0</v>
      </c>
      <c r="BH191" s="1678">
        <f t="shared" si="3290"/>
        <v>0</v>
      </c>
      <c r="BI191" s="1678">
        <f t="shared" si="3290"/>
        <v>0</v>
      </c>
      <c r="BJ191" s="1678">
        <f t="shared" si="3290"/>
        <v>0</v>
      </c>
      <c r="BK191" s="1678">
        <f t="shared" si="3290"/>
        <v>0</v>
      </c>
      <c r="BL191" s="1678">
        <f t="shared" si="3290"/>
        <v>3230.8500000000004</v>
      </c>
      <c r="BM191" s="1678">
        <f t="shared" si="3290"/>
        <v>34078.26</v>
      </c>
      <c r="BN191" s="1678">
        <f t="shared" si="3290"/>
        <v>0</v>
      </c>
      <c r="BO191" s="1678">
        <f t="shared" si="3290"/>
        <v>0</v>
      </c>
      <c r="BP191" s="1678">
        <f t="shared" si="3290"/>
        <v>0</v>
      </c>
      <c r="BQ191" s="1678">
        <f t="shared" si="3290"/>
        <v>0</v>
      </c>
      <c r="BR191" s="1678">
        <f t="shared" si="3290"/>
        <v>0</v>
      </c>
      <c r="BS191" s="1678">
        <f t="shared" si="3290"/>
        <v>0</v>
      </c>
      <c r="BT191" s="1678">
        <f t="shared" si="3290"/>
        <v>0</v>
      </c>
      <c r="BU191" s="1678">
        <f t="shared" si="3290"/>
        <v>0</v>
      </c>
      <c r="BV191" s="1678">
        <f t="shared" si="3290"/>
        <v>0</v>
      </c>
      <c r="BW191" s="1678">
        <f>SUM(BW188:BW188)</f>
        <v>0</v>
      </c>
      <c r="BX191" s="1678">
        <f>SUM(BX188:BX188)</f>
        <v>0</v>
      </c>
      <c r="BY191" s="1678">
        <f>SUM(BY188:BY188)</f>
        <v>0</v>
      </c>
      <c r="BZ191" s="1678">
        <f>SUM(BZ188:BZ188)</f>
        <v>0</v>
      </c>
      <c r="CA191" s="1678">
        <f>SUM(CA188:CA188)</f>
        <v>0</v>
      </c>
      <c r="CB191" s="1678">
        <f t="shared" ref="CB191:CO191" si="3291">SUM(CB188:CB188)</f>
        <v>0</v>
      </c>
      <c r="CC191" s="1678">
        <f t="shared" si="3291"/>
        <v>0</v>
      </c>
      <c r="CD191" s="1678">
        <f t="shared" si="3291"/>
        <v>0</v>
      </c>
      <c r="CE191" s="1678">
        <f t="shared" si="3291"/>
        <v>0</v>
      </c>
      <c r="CF191" s="1678">
        <f t="shared" si="3291"/>
        <v>0</v>
      </c>
      <c r="CG191" s="1678">
        <f t="shared" si="3291"/>
        <v>0</v>
      </c>
      <c r="CH191" s="1678">
        <f t="shared" si="3291"/>
        <v>0</v>
      </c>
      <c r="CI191" s="1678">
        <f t="shared" si="3291"/>
        <v>0</v>
      </c>
      <c r="CJ191" s="1678">
        <f t="shared" si="3291"/>
        <v>0</v>
      </c>
      <c r="CK191" s="1678">
        <f t="shared" si="3291"/>
        <v>0</v>
      </c>
      <c r="CL191" s="1678">
        <f t="shared" si="3291"/>
        <v>0</v>
      </c>
      <c r="CM191" s="1678">
        <f t="shared" si="3291"/>
        <v>0</v>
      </c>
      <c r="CN191" s="1678">
        <f t="shared" si="3291"/>
        <v>0</v>
      </c>
      <c r="CO191" s="1678">
        <f t="shared" si="3291"/>
        <v>0</v>
      </c>
      <c r="CP191" s="1440"/>
      <c r="CQ191" s="1678">
        <f>SUM(CQ188:CQ190)</f>
        <v>4000.0000000000005</v>
      </c>
      <c r="CR191" s="1678">
        <f t="shared" ref="CR191:DH191" si="3292">SUM(CR188:CR190)</f>
        <v>21000</v>
      </c>
      <c r="CS191" s="1678">
        <f t="shared" si="3292"/>
        <v>0</v>
      </c>
      <c r="CT191" s="1678">
        <f t="shared" si="3292"/>
        <v>0</v>
      </c>
      <c r="CU191" s="1678">
        <f t="shared" si="3292"/>
        <v>0</v>
      </c>
      <c r="CV191" s="1678">
        <f t="shared" si="3292"/>
        <v>0</v>
      </c>
      <c r="CW191" s="1678">
        <f t="shared" si="3292"/>
        <v>0</v>
      </c>
      <c r="CX191" s="1678">
        <f t="shared" si="3292"/>
        <v>506.80000000000007</v>
      </c>
      <c r="CY191" s="1678">
        <f t="shared" si="3292"/>
        <v>25506.799999999999</v>
      </c>
      <c r="CZ191" s="1678">
        <f t="shared" si="3292"/>
        <v>25500</v>
      </c>
      <c r="DA191" s="1678">
        <f t="shared" si="3292"/>
        <v>5347.41</v>
      </c>
      <c r="DB191" s="1678">
        <f t="shared" si="3292"/>
        <v>0</v>
      </c>
      <c r="DC191" s="1678">
        <f t="shared" si="3292"/>
        <v>0</v>
      </c>
      <c r="DD191" s="1678">
        <f t="shared" si="3292"/>
        <v>0</v>
      </c>
      <c r="DE191" s="1678">
        <f t="shared" si="3292"/>
        <v>0</v>
      </c>
      <c r="DF191" s="1678">
        <f t="shared" si="3292"/>
        <v>0</v>
      </c>
      <c r="DG191" s="1678">
        <f t="shared" si="3292"/>
        <v>3230.8500000000004</v>
      </c>
      <c r="DH191" s="1678">
        <f t="shared" si="3292"/>
        <v>34078.26</v>
      </c>
      <c r="DI191" s="1678">
        <f t="shared" ref="DI191:EJ191" si="3293">SUM(DI188:DI188)</f>
        <v>0</v>
      </c>
      <c r="DJ191" s="1678">
        <f t="shared" si="3293"/>
        <v>0</v>
      </c>
      <c r="DK191" s="1678">
        <f t="shared" si="3293"/>
        <v>0</v>
      </c>
      <c r="DL191" s="1678">
        <f t="shared" si="3293"/>
        <v>0</v>
      </c>
      <c r="DM191" s="1678">
        <f t="shared" si="3293"/>
        <v>0</v>
      </c>
      <c r="DN191" s="1678">
        <f t="shared" si="3293"/>
        <v>0</v>
      </c>
      <c r="DO191" s="1678">
        <f t="shared" si="3293"/>
        <v>0</v>
      </c>
      <c r="DP191" s="1678">
        <f t="shared" si="3293"/>
        <v>0</v>
      </c>
      <c r="DQ191" s="1678">
        <f t="shared" si="3293"/>
        <v>0</v>
      </c>
      <c r="DR191" s="1678">
        <f t="shared" si="3293"/>
        <v>0</v>
      </c>
      <c r="DS191" s="1678">
        <f t="shared" si="3293"/>
        <v>0</v>
      </c>
      <c r="DT191" s="1678">
        <f t="shared" si="3293"/>
        <v>0</v>
      </c>
      <c r="DU191" s="1678">
        <f t="shared" si="3293"/>
        <v>0</v>
      </c>
      <c r="DV191" s="1678">
        <f t="shared" si="3293"/>
        <v>0</v>
      </c>
      <c r="DW191" s="1678">
        <f t="shared" si="3293"/>
        <v>0</v>
      </c>
      <c r="DX191" s="1678">
        <f t="shared" si="3293"/>
        <v>0</v>
      </c>
      <c r="DY191" s="1678">
        <f t="shared" si="3293"/>
        <v>0</v>
      </c>
      <c r="DZ191" s="1678">
        <f t="shared" si="3293"/>
        <v>0</v>
      </c>
      <c r="EA191" s="1678">
        <f t="shared" si="3293"/>
        <v>0</v>
      </c>
      <c r="EB191" s="1678">
        <f t="shared" si="3293"/>
        <v>0</v>
      </c>
      <c r="EC191" s="1678">
        <f t="shared" si="3293"/>
        <v>0</v>
      </c>
      <c r="ED191" s="1678">
        <f t="shared" si="3293"/>
        <v>0</v>
      </c>
      <c r="EE191" s="1678">
        <f t="shared" si="3293"/>
        <v>0</v>
      </c>
      <c r="EF191" s="1678">
        <f t="shared" si="3293"/>
        <v>0</v>
      </c>
      <c r="EG191" s="1678">
        <f t="shared" si="3293"/>
        <v>0</v>
      </c>
      <c r="EH191" s="1678">
        <f t="shared" si="3293"/>
        <v>0</v>
      </c>
      <c r="EI191" s="1678">
        <f t="shared" si="3293"/>
        <v>0</v>
      </c>
      <c r="EJ191" s="1678">
        <f t="shared" si="3293"/>
        <v>0</v>
      </c>
      <c r="EK191" s="1678">
        <f>SUM(EK188:EK190)</f>
        <v>2132.0700000000002</v>
      </c>
      <c r="EL191" s="1678">
        <f t="shared" ref="EL191:ET191" si="3294">SUM(EL188:EL190)</f>
        <v>0</v>
      </c>
      <c r="EM191" s="1678">
        <f t="shared" si="3294"/>
        <v>0</v>
      </c>
      <c r="EN191" s="1426">
        <f t="shared" si="3294"/>
        <v>0</v>
      </c>
      <c r="EO191" s="1678">
        <f t="shared" si="3294"/>
        <v>0</v>
      </c>
      <c r="EP191" s="1678">
        <f t="shared" si="3294"/>
        <v>50</v>
      </c>
      <c r="EQ191" s="1678">
        <f t="shared" si="3294"/>
        <v>0</v>
      </c>
      <c r="ER191" s="1678">
        <f t="shared" si="3294"/>
        <v>0</v>
      </c>
      <c r="ES191" s="1678">
        <f t="shared" si="3294"/>
        <v>0</v>
      </c>
      <c r="ET191" s="1678">
        <f t="shared" si="3294"/>
        <v>50</v>
      </c>
      <c r="EU191" s="1678">
        <f>SUM(EU188:EU188)</f>
        <v>0</v>
      </c>
      <c r="EV191" s="1678">
        <f>SUM(EV188:EV190)</f>
        <v>2132.0700000000002</v>
      </c>
      <c r="EW191" s="1678">
        <f t="shared" ref="EW191:FE191" si="3295">SUM(EW188:EW190)</f>
        <v>0</v>
      </c>
      <c r="EX191" s="1678">
        <f t="shared" si="3295"/>
        <v>0</v>
      </c>
      <c r="EY191" s="1678">
        <f t="shared" si="3295"/>
        <v>0</v>
      </c>
      <c r="EZ191" s="1678">
        <f t="shared" si="3295"/>
        <v>0</v>
      </c>
      <c r="FA191" s="1678">
        <f t="shared" si="3295"/>
        <v>50</v>
      </c>
      <c r="FB191" s="1678">
        <f t="shared" si="3295"/>
        <v>0</v>
      </c>
      <c r="FC191" s="1678">
        <f t="shared" si="3295"/>
        <v>0</v>
      </c>
      <c r="FD191" s="1678">
        <f t="shared" si="3295"/>
        <v>0</v>
      </c>
      <c r="FE191" s="1678">
        <f t="shared" si="3295"/>
        <v>50</v>
      </c>
      <c r="FF191" s="364"/>
      <c r="FG191" s="364"/>
      <c r="FH191" s="364"/>
      <c r="FI191" s="364"/>
      <c r="FJ191" s="364"/>
      <c r="FK191" s="364"/>
      <c r="FL191" s="1441">
        <f t="shared" si="2482"/>
        <v>0</v>
      </c>
    </row>
    <row r="192" spans="1:260" s="1464" customFormat="1" ht="15.75" customHeight="1" outlineLevel="1">
      <c r="A192" s="1490"/>
      <c r="B192" s="1728"/>
      <c r="EN192" s="1603"/>
    </row>
    <row r="193" spans="1:260" s="1474" customFormat="1" ht="15" customHeight="1" outlineLevel="1">
      <c r="A193" s="1403"/>
      <c r="B193" s="1693" t="s">
        <v>396</v>
      </c>
      <c r="C193" s="1729"/>
      <c r="D193" s="363"/>
      <c r="E193" s="1426"/>
      <c r="F193" s="1678"/>
      <c r="G193" s="1678"/>
      <c r="H193" s="355"/>
      <c r="I193" s="1494"/>
      <c r="J193" s="1494"/>
      <c r="K193" s="1494"/>
      <c r="L193" s="1494"/>
      <c r="M193" s="1494"/>
      <c r="N193" s="1494"/>
      <c r="O193" s="1464"/>
      <c r="P193" s="1678"/>
      <c r="Q193" s="1678"/>
      <c r="R193" s="1678"/>
      <c r="S193" s="1678"/>
      <c r="T193" s="1678"/>
      <c r="U193" s="1678"/>
      <c r="V193" s="1678"/>
      <c r="W193" s="1678"/>
      <c r="X193" s="1678"/>
      <c r="Y193" s="1678"/>
      <c r="Z193" s="1678"/>
      <c r="AA193" s="1678"/>
      <c r="AB193" s="1678"/>
      <c r="AC193" s="1678"/>
      <c r="AD193" s="1678"/>
      <c r="AE193" s="1678"/>
      <c r="AF193" s="1678"/>
      <c r="AG193" s="1678"/>
      <c r="AH193" s="1678"/>
      <c r="AI193" s="1678"/>
      <c r="AJ193" s="1678"/>
      <c r="AK193" s="1678"/>
      <c r="AL193" s="1678"/>
      <c r="AM193" s="1678"/>
      <c r="AN193" s="1678"/>
      <c r="AO193" s="1678"/>
      <c r="AP193" s="1678"/>
      <c r="AQ193" s="1678"/>
      <c r="AR193" s="1678"/>
      <c r="AS193" s="1678"/>
      <c r="AT193" s="1678"/>
      <c r="AU193" s="1678"/>
      <c r="AV193" s="1678"/>
      <c r="AW193" s="1678"/>
      <c r="AX193" s="1678"/>
      <c r="AY193" s="1678"/>
      <c r="AZ193" s="1678"/>
      <c r="BA193" s="1678"/>
      <c r="BB193" s="1678"/>
      <c r="BC193" s="1678"/>
      <c r="BD193" s="1678"/>
      <c r="BE193" s="1678"/>
      <c r="BF193" s="1678"/>
      <c r="BG193" s="1678"/>
      <c r="BH193" s="1678"/>
      <c r="BI193" s="1678"/>
      <c r="BJ193" s="1678"/>
      <c r="BK193" s="1678"/>
      <c r="BL193" s="1678"/>
      <c r="BM193" s="1678"/>
      <c r="BN193" s="1678"/>
      <c r="BO193" s="1678"/>
      <c r="BP193" s="1678"/>
      <c r="BQ193" s="1678"/>
      <c r="BR193" s="1678"/>
      <c r="BS193" s="1678"/>
      <c r="BT193" s="1678"/>
      <c r="BU193" s="1678"/>
      <c r="BV193" s="1678"/>
      <c r="BW193" s="1678"/>
      <c r="BX193" s="1678"/>
      <c r="BY193" s="1678"/>
      <c r="BZ193" s="1678"/>
      <c r="CA193" s="1678"/>
      <c r="CB193" s="1678"/>
      <c r="CC193" s="1678"/>
      <c r="CD193" s="1678"/>
      <c r="CE193" s="1678"/>
      <c r="CF193" s="1678"/>
      <c r="CG193" s="1678"/>
      <c r="CH193" s="1678"/>
      <c r="CI193" s="1678"/>
      <c r="CJ193" s="1678"/>
      <c r="CK193" s="1678"/>
      <c r="CL193" s="1678"/>
      <c r="CM193" s="1678"/>
      <c r="CN193" s="1678"/>
      <c r="CO193" s="1678"/>
      <c r="CP193" s="1678"/>
      <c r="CQ193" s="1678"/>
      <c r="CR193" s="1678"/>
      <c r="CS193" s="1678"/>
      <c r="CT193" s="1678"/>
      <c r="CU193" s="1678"/>
      <c r="CV193" s="1678"/>
      <c r="CW193" s="1678"/>
      <c r="CX193" s="1678"/>
      <c r="CY193" s="1678"/>
      <c r="CZ193" s="1678"/>
      <c r="DA193" s="1678"/>
      <c r="DB193" s="1678"/>
      <c r="DC193" s="1678"/>
      <c r="DD193" s="1678"/>
      <c r="DE193" s="1678"/>
      <c r="DF193" s="1678"/>
      <c r="DG193" s="1678"/>
      <c r="DH193" s="1678"/>
      <c r="DI193" s="1678"/>
      <c r="DJ193" s="1678"/>
      <c r="DK193" s="1678"/>
      <c r="DL193" s="1678"/>
      <c r="DM193" s="1678"/>
      <c r="DN193" s="1678"/>
      <c r="DO193" s="1678"/>
      <c r="DP193" s="1678"/>
      <c r="DQ193" s="1678"/>
      <c r="DR193" s="1678"/>
      <c r="DS193" s="1678"/>
      <c r="DT193" s="1678"/>
      <c r="DU193" s="1678"/>
      <c r="DV193" s="1678"/>
      <c r="DW193" s="1678"/>
      <c r="DX193" s="1678"/>
      <c r="DY193" s="1678"/>
      <c r="DZ193" s="1678"/>
      <c r="EA193" s="1678"/>
      <c r="EB193" s="1678"/>
      <c r="EC193" s="1678"/>
      <c r="ED193" s="1678"/>
      <c r="EE193" s="1678"/>
      <c r="EF193" s="1678"/>
      <c r="EG193" s="1678"/>
      <c r="EH193" s="1678"/>
      <c r="EI193" s="1678"/>
      <c r="EJ193" s="1678"/>
      <c r="EK193" s="1678"/>
      <c r="EL193" s="1678"/>
      <c r="EM193" s="1678"/>
      <c r="EN193" s="313"/>
      <c r="EO193" s="1678"/>
      <c r="EP193" s="1678"/>
      <c r="EQ193" s="1678"/>
      <c r="ER193" s="1678"/>
      <c r="ES193" s="1678"/>
      <c r="ET193" s="1678"/>
      <c r="EU193" s="363"/>
      <c r="EV193" s="1678"/>
      <c r="EW193" s="1678"/>
      <c r="EX193" s="1678"/>
      <c r="EY193" s="1678"/>
      <c r="EZ193" s="1678"/>
      <c r="FA193" s="1678"/>
      <c r="FB193" s="1678"/>
      <c r="FC193" s="1678"/>
      <c r="FD193" s="1678"/>
      <c r="FE193" s="1678"/>
      <c r="FF193" s="364"/>
      <c r="FG193" s="364"/>
      <c r="FH193" s="364"/>
      <c r="FI193" s="364"/>
      <c r="FJ193" s="364"/>
      <c r="FK193" s="364"/>
      <c r="FL193" s="1441">
        <f t="shared" si="2482"/>
        <v>0</v>
      </c>
    </row>
    <row r="194" spans="1:260" s="1474" customFormat="1" ht="15" customHeight="1" outlineLevel="1">
      <c r="A194" s="1403"/>
      <c r="B194" s="1727"/>
      <c r="C194" s="1729"/>
      <c r="D194" s="363"/>
      <c r="E194" s="1426">
        <f>+E193</f>
        <v>0</v>
      </c>
      <c r="F194" s="1678">
        <f>+F193</f>
        <v>0</v>
      </c>
      <c r="G194" s="1678">
        <f>+G193</f>
        <v>0</v>
      </c>
      <c r="H194" s="1678" t="s">
        <v>54</v>
      </c>
      <c r="I194" s="1678" t="s">
        <v>54</v>
      </c>
      <c r="J194" s="1678" t="s">
        <v>54</v>
      </c>
      <c r="K194" s="1678" t="s">
        <v>54</v>
      </c>
      <c r="L194" s="1678" t="s">
        <v>54</v>
      </c>
      <c r="M194" s="1678" t="s">
        <v>54</v>
      </c>
      <c r="N194" s="1678" t="s">
        <v>54</v>
      </c>
      <c r="O194" s="1464"/>
      <c r="P194" s="1678">
        <f>+P193</f>
        <v>0</v>
      </c>
      <c r="Q194" s="1678">
        <f t="shared" ref="Q194:AT194" si="3296">+Q193</f>
        <v>0</v>
      </c>
      <c r="R194" s="1678">
        <f t="shared" si="3296"/>
        <v>0</v>
      </c>
      <c r="S194" s="1678">
        <f t="shared" si="3296"/>
        <v>0</v>
      </c>
      <c r="T194" s="1678">
        <f t="shared" si="3296"/>
        <v>0</v>
      </c>
      <c r="U194" s="1678">
        <f t="shared" si="3296"/>
        <v>0</v>
      </c>
      <c r="V194" s="1678">
        <f t="shared" si="3296"/>
        <v>0</v>
      </c>
      <c r="W194" s="1678">
        <f t="shared" si="3296"/>
        <v>0</v>
      </c>
      <c r="X194" s="1678">
        <f t="shared" si="3296"/>
        <v>0</v>
      </c>
      <c r="Y194" s="1678">
        <f t="shared" si="3296"/>
        <v>0</v>
      </c>
      <c r="Z194" s="1678">
        <f t="shared" si="3296"/>
        <v>0</v>
      </c>
      <c r="AA194" s="1678">
        <f t="shared" si="3296"/>
        <v>0</v>
      </c>
      <c r="AB194" s="1678">
        <f t="shared" si="3296"/>
        <v>0</v>
      </c>
      <c r="AC194" s="1678">
        <f t="shared" si="3296"/>
        <v>0</v>
      </c>
      <c r="AD194" s="1678">
        <f t="shared" si="3296"/>
        <v>0</v>
      </c>
      <c r="AE194" s="1678">
        <f t="shared" si="3296"/>
        <v>0</v>
      </c>
      <c r="AF194" s="1678">
        <f t="shared" si="3296"/>
        <v>0</v>
      </c>
      <c r="AG194" s="1678">
        <f t="shared" si="3296"/>
        <v>0</v>
      </c>
      <c r="AH194" s="1678">
        <f t="shared" si="3296"/>
        <v>0</v>
      </c>
      <c r="AI194" s="1678">
        <f t="shared" si="3296"/>
        <v>0</v>
      </c>
      <c r="AJ194" s="1678">
        <f t="shared" si="3296"/>
        <v>0</v>
      </c>
      <c r="AK194" s="1678">
        <f t="shared" si="3296"/>
        <v>0</v>
      </c>
      <c r="AL194" s="1678">
        <f t="shared" si="3296"/>
        <v>0</v>
      </c>
      <c r="AM194" s="1678">
        <f t="shared" si="3296"/>
        <v>0</v>
      </c>
      <c r="AN194" s="1678">
        <f t="shared" si="3296"/>
        <v>0</v>
      </c>
      <c r="AO194" s="1678">
        <f t="shared" si="3296"/>
        <v>0</v>
      </c>
      <c r="AP194" s="1678">
        <f t="shared" si="3296"/>
        <v>0</v>
      </c>
      <c r="AQ194" s="1678">
        <f t="shared" si="3296"/>
        <v>0</v>
      </c>
      <c r="AR194" s="1678">
        <f t="shared" si="3296"/>
        <v>0</v>
      </c>
      <c r="AS194" s="1678">
        <f t="shared" si="3296"/>
        <v>0</v>
      </c>
      <c r="AT194" s="1678">
        <f t="shared" si="3296"/>
        <v>0</v>
      </c>
      <c r="AU194" s="1678" t="s">
        <v>54</v>
      </c>
      <c r="AV194" s="1678">
        <f>+AV193</f>
        <v>0</v>
      </c>
      <c r="AW194" s="1678">
        <f t="shared" ref="AW194:CN194" si="3297">+AW193</f>
        <v>0</v>
      </c>
      <c r="AX194" s="1678">
        <f t="shared" si="3297"/>
        <v>0</v>
      </c>
      <c r="AY194" s="1678">
        <f t="shared" si="3297"/>
        <v>0</v>
      </c>
      <c r="AZ194" s="1678">
        <f t="shared" si="3297"/>
        <v>0</v>
      </c>
      <c r="BA194" s="1678">
        <f t="shared" si="3297"/>
        <v>0</v>
      </c>
      <c r="BB194" s="1678">
        <f t="shared" si="3297"/>
        <v>0</v>
      </c>
      <c r="BC194" s="1678">
        <f t="shared" si="3297"/>
        <v>0</v>
      </c>
      <c r="BD194" s="1678">
        <f t="shared" si="3297"/>
        <v>0</v>
      </c>
      <c r="BE194" s="1678">
        <f t="shared" si="3297"/>
        <v>0</v>
      </c>
      <c r="BF194" s="1678">
        <f t="shared" si="3297"/>
        <v>0</v>
      </c>
      <c r="BG194" s="1678">
        <f t="shared" si="3297"/>
        <v>0</v>
      </c>
      <c r="BH194" s="1678">
        <f t="shared" si="3297"/>
        <v>0</v>
      </c>
      <c r="BI194" s="1678">
        <f t="shared" si="3297"/>
        <v>0</v>
      </c>
      <c r="BJ194" s="1678">
        <f t="shared" si="3297"/>
        <v>0</v>
      </c>
      <c r="BK194" s="1678">
        <f t="shared" si="3297"/>
        <v>0</v>
      </c>
      <c r="BL194" s="1678">
        <f t="shared" si="3297"/>
        <v>0</v>
      </c>
      <c r="BM194" s="1678">
        <f t="shared" si="3297"/>
        <v>0</v>
      </c>
      <c r="BN194" s="1678">
        <f t="shared" si="3297"/>
        <v>0</v>
      </c>
      <c r="BO194" s="1678">
        <f t="shared" si="3297"/>
        <v>0</v>
      </c>
      <c r="BP194" s="1678">
        <f t="shared" si="3297"/>
        <v>0</v>
      </c>
      <c r="BQ194" s="1678">
        <f t="shared" si="3297"/>
        <v>0</v>
      </c>
      <c r="BR194" s="1678">
        <f t="shared" si="3297"/>
        <v>0</v>
      </c>
      <c r="BS194" s="1678">
        <f t="shared" si="3297"/>
        <v>0</v>
      </c>
      <c r="BT194" s="1678">
        <f t="shared" si="3297"/>
        <v>0</v>
      </c>
      <c r="BU194" s="1678">
        <f t="shared" si="3297"/>
        <v>0</v>
      </c>
      <c r="BV194" s="1678">
        <f t="shared" si="3297"/>
        <v>0</v>
      </c>
      <c r="BW194" s="1678">
        <f t="shared" si="3297"/>
        <v>0</v>
      </c>
      <c r="BX194" s="1678">
        <f t="shared" si="3297"/>
        <v>0</v>
      </c>
      <c r="BY194" s="1678">
        <f t="shared" si="3297"/>
        <v>0</v>
      </c>
      <c r="BZ194" s="1678">
        <f t="shared" si="3297"/>
        <v>0</v>
      </c>
      <c r="CA194" s="1678">
        <f t="shared" si="3297"/>
        <v>0</v>
      </c>
      <c r="CB194" s="1678">
        <f t="shared" si="3297"/>
        <v>0</v>
      </c>
      <c r="CC194" s="1678">
        <f t="shared" si="3297"/>
        <v>0</v>
      </c>
      <c r="CD194" s="1678">
        <f t="shared" si="3297"/>
        <v>0</v>
      </c>
      <c r="CE194" s="1678">
        <f t="shared" si="3297"/>
        <v>0</v>
      </c>
      <c r="CF194" s="1678">
        <f t="shared" si="3297"/>
        <v>0</v>
      </c>
      <c r="CG194" s="1678">
        <f t="shared" si="3297"/>
        <v>0</v>
      </c>
      <c r="CH194" s="1678">
        <f t="shared" si="3297"/>
        <v>0</v>
      </c>
      <c r="CI194" s="1678">
        <f t="shared" si="3297"/>
        <v>0</v>
      </c>
      <c r="CJ194" s="1678">
        <f t="shared" si="3297"/>
        <v>0</v>
      </c>
      <c r="CK194" s="1678">
        <f t="shared" si="3297"/>
        <v>0</v>
      </c>
      <c r="CL194" s="1678">
        <f t="shared" si="3297"/>
        <v>0</v>
      </c>
      <c r="CM194" s="1678">
        <f t="shared" si="3297"/>
        <v>0</v>
      </c>
      <c r="CN194" s="1678">
        <f t="shared" si="3297"/>
        <v>0</v>
      </c>
      <c r="CO194" s="1678" t="s">
        <v>54</v>
      </c>
      <c r="CP194" s="1678">
        <f>+CP193</f>
        <v>0</v>
      </c>
      <c r="CQ194" s="1678">
        <f>+CQ193</f>
        <v>0</v>
      </c>
      <c r="CR194" s="1678">
        <f t="shared" ref="CR194:EI194" si="3298">+CR193</f>
        <v>0</v>
      </c>
      <c r="CS194" s="1678">
        <f t="shared" si="3298"/>
        <v>0</v>
      </c>
      <c r="CT194" s="1678">
        <f t="shared" si="3298"/>
        <v>0</v>
      </c>
      <c r="CU194" s="1678">
        <f t="shared" si="3298"/>
        <v>0</v>
      </c>
      <c r="CV194" s="1678">
        <f t="shared" si="3298"/>
        <v>0</v>
      </c>
      <c r="CW194" s="1678">
        <f t="shared" si="3298"/>
        <v>0</v>
      </c>
      <c r="CX194" s="1678">
        <f t="shared" si="3298"/>
        <v>0</v>
      </c>
      <c r="CY194" s="1678">
        <f t="shared" si="3298"/>
        <v>0</v>
      </c>
      <c r="CZ194" s="1678">
        <f t="shared" si="3298"/>
        <v>0</v>
      </c>
      <c r="DA194" s="1678">
        <f t="shared" si="3298"/>
        <v>0</v>
      </c>
      <c r="DB194" s="1678">
        <f t="shared" si="3298"/>
        <v>0</v>
      </c>
      <c r="DC194" s="1678">
        <f t="shared" si="3298"/>
        <v>0</v>
      </c>
      <c r="DD194" s="1678">
        <f t="shared" si="3298"/>
        <v>0</v>
      </c>
      <c r="DE194" s="1678">
        <f t="shared" si="3298"/>
        <v>0</v>
      </c>
      <c r="DF194" s="1678">
        <f t="shared" si="3298"/>
        <v>0</v>
      </c>
      <c r="DG194" s="1678">
        <f t="shared" si="3298"/>
        <v>0</v>
      </c>
      <c r="DH194" s="1678">
        <f t="shared" si="3298"/>
        <v>0</v>
      </c>
      <c r="DI194" s="1678">
        <f t="shared" si="3298"/>
        <v>0</v>
      </c>
      <c r="DJ194" s="1678">
        <f t="shared" si="3298"/>
        <v>0</v>
      </c>
      <c r="DK194" s="1678">
        <f t="shared" si="3298"/>
        <v>0</v>
      </c>
      <c r="DL194" s="1678">
        <f t="shared" si="3298"/>
        <v>0</v>
      </c>
      <c r="DM194" s="1678">
        <f t="shared" si="3298"/>
        <v>0</v>
      </c>
      <c r="DN194" s="1678">
        <f t="shared" si="3298"/>
        <v>0</v>
      </c>
      <c r="DO194" s="1678">
        <f t="shared" si="3298"/>
        <v>0</v>
      </c>
      <c r="DP194" s="1678">
        <f t="shared" si="3298"/>
        <v>0</v>
      </c>
      <c r="DQ194" s="1678">
        <f t="shared" si="3298"/>
        <v>0</v>
      </c>
      <c r="DR194" s="1678">
        <f t="shared" si="3298"/>
        <v>0</v>
      </c>
      <c r="DS194" s="1678">
        <f t="shared" si="3298"/>
        <v>0</v>
      </c>
      <c r="DT194" s="1678">
        <f t="shared" si="3298"/>
        <v>0</v>
      </c>
      <c r="DU194" s="1678">
        <f t="shared" si="3298"/>
        <v>0</v>
      </c>
      <c r="DV194" s="1678">
        <f t="shared" si="3298"/>
        <v>0</v>
      </c>
      <c r="DW194" s="1678">
        <f t="shared" si="3298"/>
        <v>0</v>
      </c>
      <c r="DX194" s="1678">
        <f t="shared" si="3298"/>
        <v>0</v>
      </c>
      <c r="DY194" s="1678">
        <f t="shared" si="3298"/>
        <v>0</v>
      </c>
      <c r="DZ194" s="1678">
        <f t="shared" si="3298"/>
        <v>0</v>
      </c>
      <c r="EA194" s="1678">
        <f t="shared" si="3298"/>
        <v>0</v>
      </c>
      <c r="EB194" s="1678">
        <f t="shared" si="3298"/>
        <v>0</v>
      </c>
      <c r="EC194" s="1678">
        <f t="shared" si="3298"/>
        <v>0</v>
      </c>
      <c r="ED194" s="1678">
        <f t="shared" si="3298"/>
        <v>0</v>
      </c>
      <c r="EE194" s="1678">
        <f t="shared" si="3298"/>
        <v>0</v>
      </c>
      <c r="EF194" s="1678">
        <f t="shared" si="3298"/>
        <v>0</v>
      </c>
      <c r="EG194" s="1678">
        <f t="shared" si="3298"/>
        <v>0</v>
      </c>
      <c r="EH194" s="1678">
        <f t="shared" si="3298"/>
        <v>0</v>
      </c>
      <c r="EI194" s="1678">
        <f t="shared" si="3298"/>
        <v>0</v>
      </c>
      <c r="EJ194" s="1678" t="s">
        <v>54</v>
      </c>
      <c r="EK194" s="1678">
        <f>+EK193</f>
        <v>0</v>
      </c>
      <c r="EL194" s="1678">
        <f t="shared" ref="EL194:ET194" si="3299">+EL193</f>
        <v>0</v>
      </c>
      <c r="EM194" s="1678">
        <f t="shared" si="3299"/>
        <v>0</v>
      </c>
      <c r="EN194" s="1426">
        <f t="shared" si="3299"/>
        <v>0</v>
      </c>
      <c r="EO194" s="1678">
        <f t="shared" si="3299"/>
        <v>0</v>
      </c>
      <c r="EP194" s="1678">
        <f t="shared" si="3299"/>
        <v>0</v>
      </c>
      <c r="EQ194" s="1678">
        <f t="shared" si="3299"/>
        <v>0</v>
      </c>
      <c r="ER194" s="1678">
        <f t="shared" si="3299"/>
        <v>0</v>
      </c>
      <c r="ES194" s="1678">
        <f t="shared" si="3299"/>
        <v>0</v>
      </c>
      <c r="ET194" s="1678">
        <f t="shared" si="3299"/>
        <v>0</v>
      </c>
      <c r="EU194" s="1678" t="s">
        <v>54</v>
      </c>
      <c r="EV194" s="1678">
        <f>+EV193</f>
        <v>0</v>
      </c>
      <c r="EW194" s="1678">
        <f t="shared" ref="EW194:FE194" si="3300">+EW193</f>
        <v>0</v>
      </c>
      <c r="EX194" s="1678">
        <f t="shared" si="3300"/>
        <v>0</v>
      </c>
      <c r="EY194" s="1678">
        <f t="shared" si="3300"/>
        <v>0</v>
      </c>
      <c r="EZ194" s="1678">
        <f t="shared" si="3300"/>
        <v>0</v>
      </c>
      <c r="FA194" s="1678">
        <f t="shared" si="3300"/>
        <v>0</v>
      </c>
      <c r="FB194" s="1678">
        <f t="shared" si="3300"/>
        <v>0</v>
      </c>
      <c r="FC194" s="1678">
        <f t="shared" si="3300"/>
        <v>0</v>
      </c>
      <c r="FD194" s="1678">
        <f t="shared" si="3300"/>
        <v>0</v>
      </c>
      <c r="FE194" s="1678">
        <f t="shared" si="3300"/>
        <v>0</v>
      </c>
      <c r="FF194" s="364" t="s">
        <v>54</v>
      </c>
      <c r="FG194" s="364" t="s">
        <v>54</v>
      </c>
      <c r="FH194" s="364" t="s">
        <v>54</v>
      </c>
      <c r="FI194" s="364" t="s">
        <v>54</v>
      </c>
      <c r="FJ194" s="364" t="s">
        <v>54</v>
      </c>
      <c r="FK194" s="364" t="s">
        <v>54</v>
      </c>
      <c r="FL194" s="1441">
        <f t="shared" si="2482"/>
        <v>0</v>
      </c>
    </row>
    <row r="195" spans="1:260" s="1730" customFormat="1" ht="15" customHeight="1" outlineLevel="1">
      <c r="A195" s="1403"/>
      <c r="B195" s="1693" t="s">
        <v>397</v>
      </c>
      <c r="C195" s="1729"/>
      <c r="D195" s="363"/>
      <c r="E195" s="1426"/>
      <c r="F195" s="1678"/>
      <c r="G195" s="1678"/>
      <c r="H195" s="355"/>
      <c r="I195" s="1494"/>
      <c r="J195" s="1494"/>
      <c r="K195" s="1494"/>
      <c r="L195" s="1494"/>
      <c r="M195" s="1494"/>
      <c r="N195" s="1494"/>
      <c r="O195" s="1464"/>
      <c r="P195" s="1678"/>
      <c r="Q195" s="1678"/>
      <c r="R195" s="1678"/>
      <c r="S195" s="1678"/>
      <c r="T195" s="1678"/>
      <c r="U195" s="1678"/>
      <c r="V195" s="1678"/>
      <c r="W195" s="1678"/>
      <c r="X195" s="1678"/>
      <c r="Y195" s="1678"/>
      <c r="Z195" s="1678"/>
      <c r="AA195" s="1678"/>
      <c r="AB195" s="1678"/>
      <c r="AC195" s="1678"/>
      <c r="AD195" s="1678"/>
      <c r="AE195" s="1678"/>
      <c r="AF195" s="1678"/>
      <c r="AG195" s="1678"/>
      <c r="AH195" s="1678"/>
      <c r="AI195" s="1678"/>
      <c r="AJ195" s="1678"/>
      <c r="AK195" s="1678"/>
      <c r="AL195" s="1678"/>
      <c r="AM195" s="1678"/>
      <c r="AN195" s="1678"/>
      <c r="AO195" s="1678"/>
      <c r="AP195" s="1678"/>
      <c r="AQ195" s="1678"/>
      <c r="AR195" s="1678"/>
      <c r="AS195" s="1678"/>
      <c r="AT195" s="1678"/>
      <c r="AU195" s="1568"/>
      <c r="AV195" s="1678"/>
      <c r="AW195" s="1678"/>
      <c r="AX195" s="1678"/>
      <c r="AY195" s="1678"/>
      <c r="AZ195" s="1678"/>
      <c r="BA195" s="1678"/>
      <c r="BB195" s="1678"/>
      <c r="BC195" s="1678"/>
      <c r="BD195" s="1678"/>
      <c r="BE195" s="1678"/>
      <c r="BF195" s="1678"/>
      <c r="BG195" s="1678"/>
      <c r="BH195" s="1678"/>
      <c r="BI195" s="1678"/>
      <c r="BJ195" s="1678"/>
      <c r="BK195" s="1678"/>
      <c r="BL195" s="1678"/>
      <c r="BM195" s="1678"/>
      <c r="BN195" s="1678"/>
      <c r="BO195" s="1678"/>
      <c r="BP195" s="1678"/>
      <c r="BQ195" s="1678"/>
      <c r="BR195" s="1678"/>
      <c r="BS195" s="1678"/>
      <c r="BT195" s="1678"/>
      <c r="BU195" s="1678"/>
      <c r="BV195" s="1678"/>
      <c r="BW195" s="1678"/>
      <c r="BX195" s="1678"/>
      <c r="BY195" s="1678"/>
      <c r="BZ195" s="1678"/>
      <c r="CA195" s="1678"/>
      <c r="CB195" s="1678"/>
      <c r="CC195" s="1678"/>
      <c r="CD195" s="1678"/>
      <c r="CE195" s="1678"/>
      <c r="CF195" s="1678"/>
      <c r="CG195" s="1678"/>
      <c r="CH195" s="1678"/>
      <c r="CI195" s="1678"/>
      <c r="CJ195" s="1678"/>
      <c r="CK195" s="1678"/>
      <c r="CL195" s="1678"/>
      <c r="CM195" s="1678"/>
      <c r="CN195" s="1678"/>
      <c r="CO195" s="1475"/>
      <c r="CP195" s="363"/>
      <c r="CQ195" s="1678"/>
      <c r="CR195" s="1678"/>
      <c r="CS195" s="1678"/>
      <c r="CT195" s="1678"/>
      <c r="CU195" s="1678"/>
      <c r="CV195" s="1678"/>
      <c r="CW195" s="1678"/>
      <c r="CX195" s="1678"/>
      <c r="CY195" s="1678"/>
      <c r="CZ195" s="1678"/>
      <c r="DA195" s="1678"/>
      <c r="DB195" s="1678"/>
      <c r="DC195" s="1678"/>
      <c r="DD195" s="1678"/>
      <c r="DE195" s="1678"/>
      <c r="DF195" s="1678"/>
      <c r="DG195" s="1678"/>
      <c r="DH195" s="1678"/>
      <c r="DI195" s="1678"/>
      <c r="DJ195" s="1678"/>
      <c r="DK195" s="1678"/>
      <c r="DL195" s="1678"/>
      <c r="DM195" s="1678"/>
      <c r="DN195" s="1678"/>
      <c r="DO195" s="1678"/>
      <c r="DP195" s="1678"/>
      <c r="DQ195" s="1678"/>
      <c r="DR195" s="1678"/>
      <c r="DS195" s="1678"/>
      <c r="DT195" s="1678"/>
      <c r="DU195" s="1678"/>
      <c r="DV195" s="1678"/>
      <c r="DW195" s="1678"/>
      <c r="DX195" s="1678"/>
      <c r="DY195" s="1678"/>
      <c r="DZ195" s="1678"/>
      <c r="EA195" s="1678"/>
      <c r="EB195" s="1678"/>
      <c r="EC195" s="1678"/>
      <c r="ED195" s="1678"/>
      <c r="EE195" s="1678"/>
      <c r="EF195" s="1678"/>
      <c r="EG195" s="1678"/>
      <c r="EH195" s="1678"/>
      <c r="EI195" s="1678"/>
      <c r="EJ195" s="1475"/>
      <c r="EK195" s="1678"/>
      <c r="EL195" s="1678"/>
      <c r="EM195" s="1678"/>
      <c r="EN195" s="1426"/>
      <c r="EO195" s="1678"/>
      <c r="EP195" s="1678"/>
      <c r="EQ195" s="1678"/>
      <c r="ER195" s="1678"/>
      <c r="ES195" s="1678"/>
      <c r="ET195" s="1678"/>
      <c r="EU195" s="363"/>
      <c r="EV195" s="1678"/>
      <c r="EW195" s="1678"/>
      <c r="EX195" s="1678"/>
      <c r="EY195" s="1678"/>
      <c r="EZ195" s="1678"/>
      <c r="FA195" s="1678"/>
      <c r="FB195" s="1678"/>
      <c r="FC195" s="1678"/>
      <c r="FD195" s="1678"/>
      <c r="FE195" s="1678"/>
      <c r="FF195" s="364"/>
      <c r="FG195" s="364"/>
      <c r="FH195" s="364"/>
      <c r="FI195" s="364"/>
      <c r="FJ195" s="364"/>
      <c r="FK195" s="364"/>
      <c r="FL195" s="1441">
        <f t="shared" si="2482"/>
        <v>0</v>
      </c>
      <c r="FM195" s="1474"/>
      <c r="FN195" s="1474"/>
      <c r="FO195" s="1474"/>
      <c r="FP195" s="1474"/>
      <c r="FQ195" s="1474"/>
      <c r="FR195" s="1474"/>
      <c r="FS195" s="1474"/>
      <c r="FT195" s="1474"/>
      <c r="FU195" s="1474"/>
      <c r="FV195" s="1474"/>
      <c r="FW195" s="1474"/>
      <c r="FX195" s="1474"/>
      <c r="FY195" s="1474"/>
      <c r="FZ195" s="1474"/>
      <c r="GA195" s="1474"/>
      <c r="GB195" s="1474"/>
      <c r="GC195" s="1474"/>
      <c r="GD195" s="1474"/>
      <c r="GE195" s="1474"/>
      <c r="GF195" s="1474"/>
      <c r="GG195" s="1474"/>
      <c r="GH195" s="1474"/>
      <c r="GI195" s="1474"/>
      <c r="GJ195" s="1474"/>
      <c r="GK195" s="1474"/>
      <c r="GL195" s="1474"/>
      <c r="GM195" s="1474"/>
      <c r="GN195" s="1474"/>
      <c r="GO195" s="1474"/>
      <c r="GP195" s="1474"/>
      <c r="GQ195" s="1474"/>
      <c r="GR195" s="1474"/>
      <c r="GS195" s="1474"/>
      <c r="GT195" s="1474"/>
      <c r="GU195" s="1474"/>
      <c r="GV195" s="1474"/>
      <c r="GW195" s="1474"/>
      <c r="GX195" s="1474"/>
      <c r="GY195" s="1474"/>
      <c r="GZ195" s="1474"/>
      <c r="HA195" s="1474"/>
      <c r="HB195" s="1474"/>
      <c r="HC195" s="1474"/>
      <c r="HD195" s="1474"/>
      <c r="HE195" s="1474"/>
      <c r="HF195" s="1474"/>
      <c r="HG195" s="1474"/>
      <c r="HH195" s="1474"/>
      <c r="HI195" s="1474"/>
      <c r="HJ195" s="1474"/>
      <c r="HK195" s="1474"/>
      <c r="HL195" s="1474"/>
      <c r="HM195" s="1474"/>
      <c r="HN195" s="1474"/>
      <c r="HO195" s="1474"/>
      <c r="HP195" s="1474"/>
      <c r="HQ195" s="1474"/>
      <c r="HR195" s="1474"/>
      <c r="HS195" s="1474"/>
      <c r="HT195" s="1474"/>
      <c r="HU195" s="1474"/>
      <c r="HV195" s="1474"/>
      <c r="HW195" s="1474"/>
      <c r="HX195" s="1474"/>
      <c r="HY195" s="1474"/>
      <c r="HZ195" s="1474"/>
      <c r="IA195" s="1474"/>
      <c r="IB195" s="1474"/>
      <c r="IC195" s="1474"/>
      <c r="ID195" s="1474"/>
      <c r="IE195" s="1474"/>
      <c r="IF195" s="1474"/>
      <c r="IG195" s="1474"/>
      <c r="IH195" s="1474"/>
      <c r="II195" s="1474"/>
      <c r="IJ195" s="1474"/>
      <c r="IK195" s="1474"/>
      <c r="IL195" s="1474"/>
      <c r="IM195" s="1474"/>
      <c r="IN195" s="1474"/>
      <c r="IO195" s="1474"/>
      <c r="IP195" s="1474"/>
      <c r="IQ195" s="1474"/>
      <c r="IR195" s="1474"/>
      <c r="IS195" s="1474"/>
      <c r="IT195" s="1474"/>
      <c r="IU195" s="1474"/>
      <c r="IV195" s="1474"/>
      <c r="IW195" s="1474"/>
      <c r="IX195" s="1474"/>
      <c r="IY195" s="1474"/>
      <c r="IZ195" s="1474"/>
    </row>
    <row r="196" spans="1:260" s="1500" customFormat="1" ht="15" customHeight="1" outlineLevel="1">
      <c r="A196" s="1490"/>
      <c r="B196" s="1693"/>
      <c r="C196" s="1440" t="s">
        <v>398</v>
      </c>
      <c r="D196" s="1440"/>
      <c r="E196" s="1666">
        <v>0</v>
      </c>
      <c r="F196" s="1655">
        <v>0</v>
      </c>
      <c r="G196" s="1655">
        <v>0</v>
      </c>
      <c r="H196" s="1655">
        <v>0</v>
      </c>
      <c r="I196" s="1655">
        <v>0</v>
      </c>
      <c r="J196" s="1655">
        <v>0</v>
      </c>
      <c r="K196" s="1655">
        <v>0</v>
      </c>
      <c r="L196" s="1655">
        <v>0</v>
      </c>
      <c r="M196" s="1655">
        <v>0</v>
      </c>
      <c r="N196" s="1655">
        <v>0</v>
      </c>
      <c r="O196" s="1464"/>
      <c r="P196" s="1655">
        <v>0</v>
      </c>
      <c r="Q196" s="1655">
        <v>0</v>
      </c>
      <c r="R196" s="1655">
        <v>0</v>
      </c>
      <c r="S196" s="1655">
        <v>0</v>
      </c>
      <c r="T196" s="1655">
        <v>0</v>
      </c>
      <c r="U196" s="1655">
        <v>0</v>
      </c>
      <c r="V196" s="1655">
        <v>0</v>
      </c>
      <c r="W196" s="1655">
        <v>0</v>
      </c>
      <c r="X196" s="1655">
        <v>0</v>
      </c>
      <c r="Y196" s="1655">
        <v>0</v>
      </c>
      <c r="Z196" s="1655">
        <v>0</v>
      </c>
      <c r="AA196" s="1655">
        <v>0</v>
      </c>
      <c r="AB196" s="1655">
        <v>0</v>
      </c>
      <c r="AC196" s="1655">
        <v>0</v>
      </c>
      <c r="AD196" s="1655">
        <v>0</v>
      </c>
      <c r="AE196" s="1655">
        <v>0</v>
      </c>
      <c r="AF196" s="1655">
        <v>0</v>
      </c>
      <c r="AG196" s="1655">
        <v>0</v>
      </c>
      <c r="AH196" s="1655">
        <v>0</v>
      </c>
      <c r="AI196" s="1655">
        <v>0</v>
      </c>
      <c r="AJ196" s="1655">
        <v>0</v>
      </c>
      <c r="AK196" s="1655">
        <v>0</v>
      </c>
      <c r="AL196" s="1655">
        <v>0</v>
      </c>
      <c r="AM196" s="1655">
        <v>0</v>
      </c>
      <c r="AN196" s="1655">
        <v>0</v>
      </c>
      <c r="AO196" s="1655">
        <v>0</v>
      </c>
      <c r="AP196" s="1655">
        <v>0</v>
      </c>
      <c r="AQ196" s="1655">
        <v>0</v>
      </c>
      <c r="AR196" s="1655">
        <v>0</v>
      </c>
      <c r="AS196" s="1655">
        <v>0</v>
      </c>
      <c r="AT196" s="1655">
        <v>0</v>
      </c>
      <c r="AU196" s="1655">
        <v>0</v>
      </c>
      <c r="AV196" s="1655">
        <v>0</v>
      </c>
      <c r="AW196" s="1655">
        <v>0</v>
      </c>
      <c r="AX196" s="1655">
        <v>0</v>
      </c>
      <c r="AY196" s="1655">
        <v>0</v>
      </c>
      <c r="AZ196" s="1655">
        <v>0</v>
      </c>
      <c r="BA196" s="1655">
        <v>0</v>
      </c>
      <c r="BB196" s="1655">
        <v>0</v>
      </c>
      <c r="BC196" s="1655">
        <v>0</v>
      </c>
      <c r="BD196" s="1655">
        <v>0</v>
      </c>
      <c r="BE196" s="1655">
        <v>0</v>
      </c>
      <c r="BF196" s="1655">
        <v>0</v>
      </c>
      <c r="BG196" s="1655">
        <v>0</v>
      </c>
      <c r="BH196" s="1655">
        <v>0</v>
      </c>
      <c r="BI196" s="1655">
        <v>0</v>
      </c>
      <c r="BJ196" s="1655">
        <v>0</v>
      </c>
      <c r="BK196" s="1655">
        <v>0</v>
      </c>
      <c r="BL196" s="1655">
        <v>0</v>
      </c>
      <c r="BM196" s="1655">
        <v>0</v>
      </c>
      <c r="BN196" s="1655">
        <v>0</v>
      </c>
      <c r="BO196" s="1655">
        <v>0</v>
      </c>
      <c r="BP196" s="1655">
        <v>0</v>
      </c>
      <c r="BQ196" s="1655">
        <v>0</v>
      </c>
      <c r="BR196" s="1655">
        <v>0</v>
      </c>
      <c r="BS196" s="1655">
        <v>0</v>
      </c>
      <c r="BT196" s="1655">
        <v>0</v>
      </c>
      <c r="BU196" s="1655">
        <v>0</v>
      </c>
      <c r="BV196" s="1655">
        <v>0</v>
      </c>
      <c r="BW196" s="1655">
        <v>0</v>
      </c>
      <c r="BX196" s="1655">
        <v>0</v>
      </c>
      <c r="BY196" s="1655">
        <v>0</v>
      </c>
      <c r="BZ196" s="1655">
        <v>0</v>
      </c>
      <c r="CA196" s="1655">
        <v>0</v>
      </c>
      <c r="CB196" s="1655">
        <v>0</v>
      </c>
      <c r="CC196" s="1655">
        <v>0</v>
      </c>
      <c r="CD196" s="1655">
        <v>0</v>
      </c>
      <c r="CE196" s="1655">
        <v>0</v>
      </c>
      <c r="CF196" s="1655">
        <v>0</v>
      </c>
      <c r="CG196" s="1655">
        <v>0</v>
      </c>
      <c r="CH196" s="1655">
        <v>0</v>
      </c>
      <c r="CI196" s="1655">
        <v>0</v>
      </c>
      <c r="CJ196" s="1655">
        <v>0</v>
      </c>
      <c r="CK196" s="1655">
        <v>0</v>
      </c>
      <c r="CL196" s="1655">
        <v>0</v>
      </c>
      <c r="CM196" s="1655">
        <v>0</v>
      </c>
      <c r="CN196" s="1655">
        <v>0</v>
      </c>
      <c r="CO196" s="1655">
        <v>0</v>
      </c>
      <c r="CP196" s="1655">
        <v>0</v>
      </c>
      <c r="CQ196" s="1655">
        <v>0</v>
      </c>
      <c r="CR196" s="1655">
        <v>0</v>
      </c>
      <c r="CS196" s="1655">
        <v>0</v>
      </c>
      <c r="CT196" s="1655">
        <v>0</v>
      </c>
      <c r="CU196" s="1655">
        <v>0</v>
      </c>
      <c r="CV196" s="1655">
        <v>0</v>
      </c>
      <c r="CW196" s="1655">
        <v>0</v>
      </c>
      <c r="CX196" s="1655">
        <v>0</v>
      </c>
      <c r="CY196" s="1655">
        <v>0</v>
      </c>
      <c r="CZ196" s="1655">
        <v>0</v>
      </c>
      <c r="DA196" s="1655">
        <v>0</v>
      </c>
      <c r="DB196" s="1655">
        <v>0</v>
      </c>
      <c r="DC196" s="1655">
        <v>0</v>
      </c>
      <c r="DD196" s="1655">
        <v>0</v>
      </c>
      <c r="DE196" s="1655">
        <v>0</v>
      </c>
      <c r="DF196" s="1655">
        <v>0</v>
      </c>
      <c r="DG196" s="1655">
        <v>0</v>
      </c>
      <c r="DH196" s="1655">
        <v>0</v>
      </c>
      <c r="DI196" s="1655">
        <v>0</v>
      </c>
      <c r="DJ196" s="1655">
        <v>0</v>
      </c>
      <c r="DK196" s="1655">
        <v>0</v>
      </c>
      <c r="DL196" s="1655">
        <v>0</v>
      </c>
      <c r="DM196" s="1655">
        <v>0</v>
      </c>
      <c r="DN196" s="1655">
        <v>0</v>
      </c>
      <c r="DO196" s="1655">
        <v>0</v>
      </c>
      <c r="DP196" s="1655">
        <v>0</v>
      </c>
      <c r="DQ196" s="1655">
        <v>0</v>
      </c>
      <c r="DR196" s="1655">
        <v>0</v>
      </c>
      <c r="DS196" s="1655">
        <v>0</v>
      </c>
      <c r="DT196" s="1655">
        <v>0</v>
      </c>
      <c r="DU196" s="1655">
        <v>0</v>
      </c>
      <c r="DV196" s="1655">
        <v>0</v>
      </c>
      <c r="DW196" s="1655">
        <v>0</v>
      </c>
      <c r="DX196" s="1655">
        <v>0</v>
      </c>
      <c r="DY196" s="1655">
        <v>0</v>
      </c>
      <c r="DZ196" s="1655">
        <v>0</v>
      </c>
      <c r="EA196" s="1655">
        <v>0</v>
      </c>
      <c r="EB196" s="1655">
        <v>0</v>
      </c>
      <c r="EC196" s="1655">
        <v>0</v>
      </c>
      <c r="ED196" s="1655">
        <v>0</v>
      </c>
      <c r="EE196" s="1655">
        <v>0</v>
      </c>
      <c r="EF196" s="1655">
        <v>0</v>
      </c>
      <c r="EG196" s="1655">
        <v>0</v>
      </c>
      <c r="EH196" s="1655">
        <v>0</v>
      </c>
      <c r="EI196" s="1655">
        <v>0</v>
      </c>
      <c r="EJ196" s="1655">
        <v>0</v>
      </c>
      <c r="EK196" s="1655">
        <v>0</v>
      </c>
      <c r="EL196" s="1655">
        <v>0</v>
      </c>
      <c r="EM196" s="1655">
        <v>0</v>
      </c>
      <c r="EN196" s="1666">
        <v>0</v>
      </c>
      <c r="EO196" s="1655">
        <v>0</v>
      </c>
      <c r="EP196" s="1655">
        <v>0</v>
      </c>
      <c r="EQ196" s="1655">
        <v>0</v>
      </c>
      <c r="ER196" s="1655">
        <v>0</v>
      </c>
      <c r="ES196" s="1655">
        <v>0</v>
      </c>
      <c r="ET196" s="1655">
        <v>0</v>
      </c>
      <c r="EU196" s="1655" t="s">
        <v>54</v>
      </c>
      <c r="EV196" s="1655">
        <v>0</v>
      </c>
      <c r="EW196" s="1655">
        <v>0</v>
      </c>
      <c r="EX196" s="1655">
        <v>0</v>
      </c>
      <c r="EY196" s="1655">
        <v>0</v>
      </c>
      <c r="EZ196" s="1655">
        <v>0</v>
      </c>
      <c r="FA196" s="1655">
        <v>0</v>
      </c>
      <c r="FB196" s="1655">
        <v>0</v>
      </c>
      <c r="FC196" s="1655">
        <v>0</v>
      </c>
      <c r="FD196" s="1655">
        <v>0</v>
      </c>
      <c r="FE196" s="1655">
        <v>0</v>
      </c>
      <c r="FF196" s="364">
        <v>0</v>
      </c>
      <c r="FG196" s="364">
        <v>0</v>
      </c>
      <c r="FH196" s="364">
        <v>0</v>
      </c>
      <c r="FI196" s="364">
        <v>0</v>
      </c>
      <c r="FJ196" s="364">
        <v>0</v>
      </c>
      <c r="FK196" s="364">
        <v>0</v>
      </c>
      <c r="FL196" s="1441">
        <f t="shared" si="2482"/>
        <v>0</v>
      </c>
    </row>
    <row r="197" spans="1:260" s="1500" customFormat="1" ht="24" customHeight="1" outlineLevel="1">
      <c r="A197" s="1490"/>
      <c r="B197" s="1571"/>
      <c r="EN197" s="1501"/>
      <c r="FL197" s="1500">
        <f t="shared" si="2482"/>
        <v>0</v>
      </c>
    </row>
    <row r="198" spans="1:260" s="1464" customFormat="1" ht="15" customHeight="1" outlineLevel="1">
      <c r="A198" s="1490"/>
      <c r="B198" s="1693" t="s">
        <v>386</v>
      </c>
      <c r="C198" s="365"/>
      <c r="D198" s="363"/>
      <c r="E198" s="314"/>
      <c r="F198" s="1431"/>
      <c r="G198" s="1431"/>
      <c r="H198" s="355"/>
      <c r="I198" s="1432"/>
      <c r="J198" s="1494"/>
      <c r="K198" s="1432"/>
      <c r="L198" s="1432"/>
      <c r="M198" s="1432"/>
      <c r="N198" s="1432"/>
      <c r="P198" s="1535"/>
      <c r="Q198" s="355"/>
      <c r="R198" s="366"/>
      <c r="S198" s="355"/>
      <c r="T198" s="366"/>
      <c r="U198" s="355"/>
      <c r="V198" s="366"/>
      <c r="W198" s="355"/>
      <c r="X198" s="366"/>
      <c r="Y198" s="355"/>
      <c r="Z198" s="1434"/>
      <c r="AA198" s="355"/>
      <c r="AB198" s="1434"/>
      <c r="AC198" s="355"/>
      <c r="AD198" s="1434"/>
      <c r="AE198" s="355"/>
      <c r="AF198" s="355"/>
      <c r="AG198" s="355"/>
      <c r="AH198" s="1434"/>
      <c r="AI198" s="355"/>
      <c r="AJ198" s="1431"/>
      <c r="AK198" s="1431"/>
      <c r="AL198" s="1431"/>
      <c r="AM198" s="1431"/>
      <c r="AN198" s="1431"/>
      <c r="AO198" s="1431"/>
      <c r="AP198" s="1431"/>
      <c r="AQ198" s="1431"/>
      <c r="AR198" s="1431"/>
      <c r="AS198" s="1431"/>
      <c r="AT198" s="1431"/>
      <c r="AU198" s="1568"/>
      <c r="AV198" s="355"/>
      <c r="AW198" s="355"/>
      <c r="AX198" s="355"/>
      <c r="AY198" s="355"/>
      <c r="AZ198" s="355"/>
      <c r="BA198" s="355"/>
      <c r="BB198" s="355"/>
      <c r="BC198" s="355"/>
      <c r="BD198" s="355"/>
      <c r="BE198" s="355"/>
      <c r="BF198" s="355"/>
      <c r="BG198" s="355"/>
      <c r="BH198" s="355"/>
      <c r="BI198" s="355"/>
      <c r="BJ198" s="355"/>
      <c r="BK198" s="355"/>
      <c r="BL198" s="355"/>
      <c r="BM198" s="1431"/>
      <c r="BN198" s="355"/>
      <c r="BO198" s="355"/>
      <c r="BP198" s="355"/>
      <c r="BQ198" s="355"/>
      <c r="BR198" s="355"/>
      <c r="BS198" s="355"/>
      <c r="BT198" s="355"/>
      <c r="BU198" s="355"/>
      <c r="BV198" s="355"/>
      <c r="BW198" s="355"/>
      <c r="BX198" s="355"/>
      <c r="BY198" s="355"/>
      <c r="BZ198" s="355"/>
      <c r="CA198" s="355"/>
      <c r="CB198" s="355"/>
      <c r="CC198" s="355"/>
      <c r="CD198" s="355"/>
      <c r="CE198" s="355"/>
      <c r="CF198" s="355"/>
      <c r="CG198" s="355"/>
      <c r="CH198" s="355"/>
      <c r="CI198" s="355"/>
      <c r="CJ198" s="355"/>
      <c r="CK198" s="355"/>
      <c r="CL198" s="355"/>
      <c r="CM198" s="355"/>
      <c r="CN198" s="355"/>
      <c r="CO198" s="1475"/>
      <c r="CP198" s="363"/>
      <c r="CQ198" s="355"/>
      <c r="CR198" s="355"/>
      <c r="CS198" s="355"/>
      <c r="CT198" s="355"/>
      <c r="CU198" s="355"/>
      <c r="CV198" s="355"/>
      <c r="CW198" s="355"/>
      <c r="CX198" s="355"/>
      <c r="CY198" s="355"/>
      <c r="CZ198" s="355"/>
      <c r="DA198" s="355"/>
      <c r="DB198" s="355"/>
      <c r="DC198" s="355"/>
      <c r="DD198" s="355"/>
      <c r="DE198" s="355"/>
      <c r="DF198" s="355"/>
      <c r="DG198" s="355"/>
      <c r="DH198" s="355"/>
      <c r="DI198" s="355"/>
      <c r="DJ198" s="355"/>
      <c r="DK198" s="355"/>
      <c r="DL198" s="355"/>
      <c r="DM198" s="355"/>
      <c r="DN198" s="355"/>
      <c r="DO198" s="355"/>
      <c r="DP198" s="355"/>
      <c r="DQ198" s="355"/>
      <c r="DR198" s="355"/>
      <c r="DS198" s="355"/>
      <c r="DT198" s="355"/>
      <c r="DU198" s="355"/>
      <c r="DV198" s="355"/>
      <c r="DW198" s="355"/>
      <c r="DX198" s="355"/>
      <c r="DY198" s="355"/>
      <c r="DZ198" s="355"/>
      <c r="EA198" s="355"/>
      <c r="EB198" s="355"/>
      <c r="EC198" s="355"/>
      <c r="ED198" s="355"/>
      <c r="EE198" s="355"/>
      <c r="EF198" s="355"/>
      <c r="EG198" s="355"/>
      <c r="EH198" s="355"/>
      <c r="EI198" s="355"/>
      <c r="EJ198" s="1475"/>
      <c r="EK198" s="365"/>
      <c r="EL198" s="1475"/>
      <c r="EM198" s="1440"/>
      <c r="EN198" s="1425"/>
      <c r="EO198" s="1440"/>
      <c r="EP198" s="1440"/>
      <c r="EQ198" s="1440"/>
      <c r="ER198" s="1440"/>
      <c r="ES198" s="1440"/>
      <c r="ET198" s="1440"/>
      <c r="EU198" s="363"/>
      <c r="EV198" s="363"/>
      <c r="EW198" s="363"/>
      <c r="EX198" s="363"/>
      <c r="EY198" s="363"/>
      <c r="EZ198" s="363"/>
      <c r="FA198" s="363"/>
      <c r="FB198" s="363"/>
      <c r="FC198" s="363"/>
      <c r="FD198" s="363"/>
      <c r="FE198" s="363"/>
      <c r="FF198" s="364"/>
      <c r="FG198" s="364"/>
      <c r="FH198" s="364"/>
      <c r="FI198" s="364"/>
      <c r="FJ198" s="364"/>
      <c r="FK198" s="364"/>
      <c r="FL198" s="1441">
        <f t="shared" si="2482"/>
        <v>0</v>
      </c>
    </row>
    <row r="199" spans="1:260" s="1464" customFormat="1" ht="15" customHeight="1" outlineLevel="1">
      <c r="A199" s="1490"/>
      <c r="B199" s="213"/>
      <c r="C199" s="365"/>
      <c r="D199" s="363"/>
      <c r="E199" s="1666">
        <v>0</v>
      </c>
      <c r="F199" s="1655">
        <v>0</v>
      </c>
      <c r="G199" s="1655">
        <v>0</v>
      </c>
      <c r="H199" s="355"/>
      <c r="I199" s="1432"/>
      <c r="J199" s="1494"/>
      <c r="K199" s="1432"/>
      <c r="L199" s="1432"/>
      <c r="M199" s="1432"/>
      <c r="N199" s="1432"/>
      <c r="P199" s="1655">
        <v>0</v>
      </c>
      <c r="Q199" s="1655">
        <v>0</v>
      </c>
      <c r="R199" s="1655">
        <v>0</v>
      </c>
      <c r="S199" s="1655">
        <v>0</v>
      </c>
      <c r="T199" s="1655">
        <v>0</v>
      </c>
      <c r="U199" s="1655">
        <v>0</v>
      </c>
      <c r="V199" s="1655">
        <v>0</v>
      </c>
      <c r="W199" s="1655">
        <v>0</v>
      </c>
      <c r="X199" s="1655">
        <v>0</v>
      </c>
      <c r="Y199" s="1655">
        <v>0</v>
      </c>
      <c r="Z199" s="1655">
        <v>0</v>
      </c>
      <c r="AA199" s="1655">
        <v>0</v>
      </c>
      <c r="AB199" s="1655">
        <v>0</v>
      </c>
      <c r="AC199" s="1655">
        <v>0</v>
      </c>
      <c r="AD199" s="1655">
        <v>0</v>
      </c>
      <c r="AE199" s="1655">
        <v>0</v>
      </c>
      <c r="AF199" s="1655">
        <v>0</v>
      </c>
      <c r="AG199" s="1655">
        <v>0</v>
      </c>
      <c r="AH199" s="1655">
        <v>0</v>
      </c>
      <c r="AI199" s="1655">
        <v>0</v>
      </c>
      <c r="AJ199" s="1655">
        <v>0</v>
      </c>
      <c r="AK199" s="1655">
        <v>0</v>
      </c>
      <c r="AL199" s="1655">
        <v>0</v>
      </c>
      <c r="AM199" s="1655">
        <v>0</v>
      </c>
      <c r="AN199" s="1655">
        <v>0</v>
      </c>
      <c r="AO199" s="1655">
        <v>0</v>
      </c>
      <c r="AP199" s="1655">
        <v>0</v>
      </c>
      <c r="AQ199" s="1655">
        <v>0</v>
      </c>
      <c r="AR199" s="1655">
        <v>0</v>
      </c>
      <c r="AS199" s="1655">
        <v>0</v>
      </c>
      <c r="AT199" s="1655">
        <v>0</v>
      </c>
      <c r="AU199" s="1655">
        <v>0</v>
      </c>
      <c r="AV199" s="1655">
        <v>0</v>
      </c>
      <c r="AW199" s="1655">
        <v>0</v>
      </c>
      <c r="AX199" s="1655">
        <v>0</v>
      </c>
      <c r="AY199" s="1655">
        <v>0</v>
      </c>
      <c r="AZ199" s="1655">
        <v>0</v>
      </c>
      <c r="BA199" s="1655">
        <v>0</v>
      </c>
      <c r="BB199" s="1655">
        <v>0</v>
      </c>
      <c r="BC199" s="1655">
        <v>0</v>
      </c>
      <c r="BD199" s="1655">
        <v>0</v>
      </c>
      <c r="BE199" s="1655">
        <v>0</v>
      </c>
      <c r="BF199" s="1655">
        <v>0</v>
      </c>
      <c r="BG199" s="1655">
        <v>0</v>
      </c>
      <c r="BH199" s="1655">
        <v>0</v>
      </c>
      <c r="BI199" s="1655">
        <v>0</v>
      </c>
      <c r="BJ199" s="1655">
        <v>0</v>
      </c>
      <c r="BK199" s="1655">
        <v>0</v>
      </c>
      <c r="BL199" s="1655">
        <v>0</v>
      </c>
      <c r="BM199" s="1655">
        <v>0</v>
      </c>
      <c r="BN199" s="1655">
        <v>0</v>
      </c>
      <c r="BO199" s="1655">
        <v>0</v>
      </c>
      <c r="BP199" s="1655">
        <v>0</v>
      </c>
      <c r="BQ199" s="1655">
        <v>0</v>
      </c>
      <c r="BR199" s="1655">
        <v>0</v>
      </c>
      <c r="BS199" s="1655">
        <v>0</v>
      </c>
      <c r="BT199" s="1655">
        <v>0</v>
      </c>
      <c r="BU199" s="1655">
        <v>0</v>
      </c>
      <c r="BV199" s="1655">
        <v>0</v>
      </c>
      <c r="BW199" s="1655">
        <v>0</v>
      </c>
      <c r="BX199" s="1655">
        <v>0</v>
      </c>
      <c r="BY199" s="1655">
        <v>0</v>
      </c>
      <c r="BZ199" s="1655">
        <v>0</v>
      </c>
      <c r="CA199" s="1655">
        <v>0</v>
      </c>
      <c r="CB199" s="1655">
        <v>0</v>
      </c>
      <c r="CC199" s="1655">
        <v>0</v>
      </c>
      <c r="CD199" s="1655">
        <v>0</v>
      </c>
      <c r="CE199" s="1655">
        <v>0</v>
      </c>
      <c r="CF199" s="1655">
        <v>0</v>
      </c>
      <c r="CG199" s="1655">
        <v>0</v>
      </c>
      <c r="CH199" s="1655">
        <v>0</v>
      </c>
      <c r="CI199" s="1655">
        <v>0</v>
      </c>
      <c r="CJ199" s="1655">
        <v>0</v>
      </c>
      <c r="CK199" s="1655">
        <v>0</v>
      </c>
      <c r="CL199" s="1655">
        <v>0</v>
      </c>
      <c r="CM199" s="1655">
        <v>0</v>
      </c>
      <c r="CN199" s="1655">
        <v>0</v>
      </c>
      <c r="CO199" s="1655">
        <v>0</v>
      </c>
      <c r="CP199" s="1655">
        <v>0</v>
      </c>
      <c r="CQ199" s="1655">
        <v>0</v>
      </c>
      <c r="CR199" s="1655">
        <v>0</v>
      </c>
      <c r="CS199" s="1655">
        <v>0</v>
      </c>
      <c r="CT199" s="1655">
        <v>0</v>
      </c>
      <c r="CU199" s="1655">
        <v>0</v>
      </c>
      <c r="CV199" s="1655">
        <v>0</v>
      </c>
      <c r="CW199" s="1655">
        <v>0</v>
      </c>
      <c r="CX199" s="1655">
        <v>0</v>
      </c>
      <c r="CY199" s="1655">
        <v>0</v>
      </c>
      <c r="CZ199" s="1655">
        <v>0</v>
      </c>
      <c r="DA199" s="1655">
        <v>0</v>
      </c>
      <c r="DB199" s="1655">
        <v>0</v>
      </c>
      <c r="DC199" s="1655">
        <v>0</v>
      </c>
      <c r="DD199" s="1655">
        <v>0</v>
      </c>
      <c r="DE199" s="1655">
        <v>0</v>
      </c>
      <c r="DF199" s="1655">
        <v>0</v>
      </c>
      <c r="DG199" s="1655">
        <v>0</v>
      </c>
      <c r="DH199" s="1655">
        <v>0</v>
      </c>
      <c r="DI199" s="1655">
        <v>0</v>
      </c>
      <c r="DJ199" s="1655">
        <v>0</v>
      </c>
      <c r="DK199" s="1655">
        <v>0</v>
      </c>
      <c r="DL199" s="1655">
        <v>0</v>
      </c>
      <c r="DM199" s="1655">
        <v>0</v>
      </c>
      <c r="DN199" s="1655">
        <v>0</v>
      </c>
      <c r="DO199" s="1655">
        <v>0</v>
      </c>
      <c r="DP199" s="1655">
        <v>0</v>
      </c>
      <c r="DQ199" s="1655">
        <v>0</v>
      </c>
      <c r="DR199" s="1655">
        <v>0</v>
      </c>
      <c r="DS199" s="1655">
        <v>0</v>
      </c>
      <c r="DT199" s="1655">
        <v>0</v>
      </c>
      <c r="DU199" s="1655">
        <v>0</v>
      </c>
      <c r="DV199" s="1655">
        <v>0</v>
      </c>
      <c r="DW199" s="1655">
        <v>0</v>
      </c>
      <c r="DX199" s="1655">
        <v>0</v>
      </c>
      <c r="DY199" s="1655">
        <v>0</v>
      </c>
      <c r="DZ199" s="1655">
        <v>0</v>
      </c>
      <c r="EA199" s="1655">
        <v>0</v>
      </c>
      <c r="EB199" s="1655">
        <v>0</v>
      </c>
      <c r="EC199" s="1655">
        <v>0</v>
      </c>
      <c r="ED199" s="1655">
        <v>0</v>
      </c>
      <c r="EE199" s="1655">
        <v>0</v>
      </c>
      <c r="EF199" s="1655">
        <v>0</v>
      </c>
      <c r="EG199" s="1655">
        <v>0</v>
      </c>
      <c r="EH199" s="1655">
        <v>0</v>
      </c>
      <c r="EI199" s="1655">
        <v>0</v>
      </c>
      <c r="EJ199" s="1655">
        <v>0</v>
      </c>
      <c r="EK199" s="1655">
        <v>0</v>
      </c>
      <c r="EL199" s="1655">
        <v>0</v>
      </c>
      <c r="EM199" s="1655">
        <v>0</v>
      </c>
      <c r="EN199" s="1666">
        <v>0</v>
      </c>
      <c r="EO199" s="1655">
        <v>0</v>
      </c>
      <c r="EP199" s="1655">
        <v>0</v>
      </c>
      <c r="EQ199" s="1655">
        <v>0</v>
      </c>
      <c r="ER199" s="1655">
        <v>0</v>
      </c>
      <c r="ES199" s="1655">
        <v>0</v>
      </c>
      <c r="ET199" s="1655">
        <v>0</v>
      </c>
      <c r="EU199" s="1655" t="s">
        <v>54</v>
      </c>
      <c r="EV199" s="1655">
        <v>0</v>
      </c>
      <c r="EW199" s="1655">
        <v>0</v>
      </c>
      <c r="EX199" s="1655">
        <v>0</v>
      </c>
      <c r="EY199" s="1655">
        <v>0</v>
      </c>
      <c r="EZ199" s="1655">
        <v>0</v>
      </c>
      <c r="FA199" s="1655">
        <v>0</v>
      </c>
      <c r="FB199" s="1655">
        <v>0</v>
      </c>
      <c r="FC199" s="1655">
        <v>0</v>
      </c>
      <c r="FD199" s="1655">
        <v>0</v>
      </c>
      <c r="FE199" s="1655">
        <v>0</v>
      </c>
      <c r="FF199" s="364"/>
      <c r="FG199" s="364"/>
      <c r="FH199" s="364"/>
      <c r="FI199" s="364"/>
      <c r="FJ199" s="364"/>
      <c r="FK199" s="364"/>
      <c r="FL199" s="1441">
        <f t="shared" si="2482"/>
        <v>0</v>
      </c>
    </row>
    <row r="200" spans="1:260" s="1464" customFormat="1" ht="15" customHeight="1" outlineLevel="1">
      <c r="A200" s="1490"/>
      <c r="B200" s="1442"/>
      <c r="C200" s="1703"/>
      <c r="D200" s="1414"/>
      <c r="E200" s="1584"/>
      <c r="F200" s="1491"/>
      <c r="G200" s="1491"/>
      <c r="H200" s="1444"/>
      <c r="I200" s="1546"/>
      <c r="J200" s="1546"/>
      <c r="K200" s="1546"/>
      <c r="L200" s="1546"/>
      <c r="M200" s="1546"/>
      <c r="N200" s="1546"/>
      <c r="P200" s="1491"/>
      <c r="Q200" s="1491"/>
      <c r="R200" s="1491"/>
      <c r="S200" s="1491"/>
      <c r="T200" s="1491"/>
      <c r="U200" s="1491"/>
      <c r="V200" s="1491"/>
      <c r="W200" s="1491"/>
      <c r="X200" s="1491"/>
      <c r="Y200" s="1491"/>
      <c r="Z200" s="1491"/>
      <c r="AA200" s="1491"/>
      <c r="AB200" s="1491"/>
      <c r="AC200" s="1491"/>
      <c r="AD200" s="1491"/>
      <c r="AE200" s="1491"/>
      <c r="AF200" s="1491"/>
      <c r="AG200" s="1491"/>
      <c r="AH200" s="1491"/>
      <c r="AI200" s="1491"/>
      <c r="AJ200" s="1491"/>
      <c r="AK200" s="1491"/>
      <c r="AL200" s="1491"/>
      <c r="AM200" s="1491"/>
      <c r="AN200" s="1491"/>
      <c r="AO200" s="1491"/>
      <c r="AP200" s="1491"/>
      <c r="AQ200" s="1491"/>
      <c r="AR200" s="1491"/>
      <c r="AS200" s="1491"/>
      <c r="AT200" s="1491"/>
      <c r="AU200" s="1491"/>
      <c r="AV200" s="1491"/>
      <c r="AW200" s="1491"/>
      <c r="AX200" s="1491"/>
      <c r="AY200" s="1491"/>
      <c r="AZ200" s="1491"/>
      <c r="BA200" s="1491"/>
      <c r="BB200" s="1491"/>
      <c r="BC200" s="1491"/>
      <c r="BD200" s="1491"/>
      <c r="BE200" s="1491"/>
      <c r="BF200" s="1491"/>
      <c r="BG200" s="1491"/>
      <c r="BH200" s="1491"/>
      <c r="BI200" s="1491"/>
      <c r="BJ200" s="1491"/>
      <c r="BK200" s="1491"/>
      <c r="BL200" s="1491"/>
      <c r="BM200" s="1491"/>
      <c r="BN200" s="1491"/>
      <c r="BO200" s="1491"/>
      <c r="BP200" s="1491"/>
      <c r="BQ200" s="1491"/>
      <c r="BR200" s="1491"/>
      <c r="BS200" s="1491"/>
      <c r="BT200" s="1491"/>
      <c r="BU200" s="1491"/>
      <c r="BV200" s="1491"/>
      <c r="BW200" s="1491"/>
      <c r="BX200" s="1491"/>
      <c r="BY200" s="1491"/>
      <c r="BZ200" s="1491"/>
      <c r="CA200" s="1491"/>
      <c r="CB200" s="1491"/>
      <c r="CC200" s="1491"/>
      <c r="CD200" s="1491"/>
      <c r="CE200" s="1491"/>
      <c r="CF200" s="1491"/>
      <c r="CG200" s="1491"/>
      <c r="CH200" s="1491"/>
      <c r="CI200" s="1491"/>
      <c r="CJ200" s="1491"/>
      <c r="CK200" s="1491"/>
      <c r="CL200" s="1491"/>
      <c r="CM200" s="1491"/>
      <c r="CN200" s="1491"/>
      <c r="CO200" s="1491"/>
      <c r="CP200" s="1491"/>
      <c r="CQ200" s="1491"/>
      <c r="CR200" s="1491"/>
      <c r="CS200" s="1491"/>
      <c r="CT200" s="1491"/>
      <c r="CU200" s="1491"/>
      <c r="CV200" s="1491"/>
      <c r="CW200" s="1491"/>
      <c r="CX200" s="1491"/>
      <c r="CY200" s="1491"/>
      <c r="CZ200" s="1491"/>
      <c r="DA200" s="1491"/>
      <c r="DB200" s="1491"/>
      <c r="DC200" s="1491"/>
      <c r="DD200" s="1491"/>
      <c r="DE200" s="1491"/>
      <c r="DF200" s="1491"/>
      <c r="DG200" s="1491"/>
      <c r="DH200" s="1491"/>
      <c r="DI200" s="1491"/>
      <c r="DJ200" s="1491"/>
      <c r="DK200" s="1491"/>
      <c r="DL200" s="1491"/>
      <c r="DM200" s="1491"/>
      <c r="DN200" s="1491"/>
      <c r="DO200" s="1491"/>
      <c r="DP200" s="1491"/>
      <c r="DQ200" s="1491"/>
      <c r="DR200" s="1491"/>
      <c r="DS200" s="1491"/>
      <c r="DT200" s="1491"/>
      <c r="DU200" s="1491"/>
      <c r="DV200" s="1491"/>
      <c r="DW200" s="1491"/>
      <c r="DX200" s="1491"/>
      <c r="DY200" s="1491"/>
      <c r="DZ200" s="1491"/>
      <c r="EA200" s="1491"/>
      <c r="EB200" s="1491"/>
      <c r="EC200" s="1491"/>
      <c r="ED200" s="1491"/>
      <c r="EE200" s="1491"/>
      <c r="EF200" s="1491"/>
      <c r="EG200" s="1491"/>
      <c r="EH200" s="1491"/>
      <c r="EI200" s="1491"/>
      <c r="EJ200" s="1491"/>
      <c r="EK200" s="1491"/>
      <c r="EL200" s="1491"/>
      <c r="EM200" s="1491"/>
      <c r="EN200" s="1584"/>
      <c r="EO200" s="1491"/>
      <c r="EP200" s="1491"/>
      <c r="EQ200" s="1491"/>
      <c r="ER200" s="1491"/>
      <c r="ES200" s="1491"/>
      <c r="ET200" s="1491"/>
      <c r="EU200" s="1441"/>
      <c r="EV200" s="1491"/>
      <c r="EW200" s="1491"/>
      <c r="EX200" s="1491"/>
      <c r="EY200" s="1491"/>
      <c r="EZ200" s="1491"/>
      <c r="FA200" s="1491"/>
      <c r="FB200" s="1491"/>
      <c r="FC200" s="1491"/>
      <c r="FD200" s="1491"/>
      <c r="FE200" s="1491"/>
      <c r="FF200" s="1448"/>
      <c r="FG200" s="1448"/>
      <c r="FH200" s="1448"/>
      <c r="FI200" s="1448"/>
      <c r="FJ200" s="1448"/>
      <c r="FK200" s="1448"/>
      <c r="FL200" s="1441">
        <f t="shared" si="2482"/>
        <v>0</v>
      </c>
    </row>
    <row r="201" spans="1:260" s="1339" customFormat="1" ht="15.75" customHeight="1" outlineLevel="1" thickBot="1">
      <c r="A201" s="1403"/>
      <c r="B201" s="1348"/>
      <c r="C201" s="1339" t="s">
        <v>139</v>
      </c>
      <c r="E201" s="1628">
        <f>SUM(E165+E175+E179+E185+E182+E191+E194+E196+E199+E173+E171)</f>
        <v>96941.9</v>
      </c>
      <c r="F201" s="1569">
        <f>SUM(F165+F175+F179+F185+F182+F191+F194+F196+F199+F173+F171)</f>
        <v>33550</v>
      </c>
      <c r="G201" s="1569">
        <f>SUM(G165+G175+G179+G185+G182+G191+G194+G196+G199+G173+G171)</f>
        <v>130491.90000000001</v>
      </c>
      <c r="H201" s="1531"/>
      <c r="I201" s="1563"/>
      <c r="J201" s="1563"/>
      <c r="K201" s="1563"/>
      <c r="L201" s="1563"/>
      <c r="M201" s="1563"/>
      <c r="N201" s="1563"/>
      <c r="P201" s="1569">
        <f t="shared" ref="P201:AU201" si="3301">SUM(P165+P175+P179+P185+P182+P191+P194+P196+P199+P173+P171)</f>
        <v>0</v>
      </c>
      <c r="Q201" s="1569">
        <f t="shared" si="3301"/>
        <v>0</v>
      </c>
      <c r="R201" s="1569">
        <f t="shared" si="3301"/>
        <v>0</v>
      </c>
      <c r="S201" s="1569">
        <f t="shared" si="3301"/>
        <v>0</v>
      </c>
      <c r="T201" s="1569">
        <f t="shared" si="3301"/>
        <v>0</v>
      </c>
      <c r="U201" s="1569">
        <f t="shared" si="3301"/>
        <v>0</v>
      </c>
      <c r="V201" s="1569">
        <f t="shared" si="3301"/>
        <v>0</v>
      </c>
      <c r="W201" s="1569">
        <f t="shared" si="3301"/>
        <v>0</v>
      </c>
      <c r="X201" s="1569">
        <f t="shared" si="3301"/>
        <v>0</v>
      </c>
      <c r="Y201" s="1569">
        <f t="shared" si="3301"/>
        <v>0</v>
      </c>
      <c r="Z201" s="1569">
        <f t="shared" si="3301"/>
        <v>0</v>
      </c>
      <c r="AA201" s="1569">
        <f t="shared" si="3301"/>
        <v>0</v>
      </c>
      <c r="AB201" s="1569">
        <f t="shared" si="3301"/>
        <v>0</v>
      </c>
      <c r="AC201" s="1569">
        <f t="shared" si="3301"/>
        <v>0</v>
      </c>
      <c r="AD201" s="1569">
        <f t="shared" si="3301"/>
        <v>0</v>
      </c>
      <c r="AE201" s="1569">
        <f t="shared" si="3301"/>
        <v>0</v>
      </c>
      <c r="AF201" s="1569">
        <f t="shared" si="3301"/>
        <v>0</v>
      </c>
      <c r="AG201" s="1569">
        <f t="shared" si="3301"/>
        <v>0</v>
      </c>
      <c r="AH201" s="1569">
        <f t="shared" si="3301"/>
        <v>0</v>
      </c>
      <c r="AI201" s="1569">
        <f t="shared" si="3301"/>
        <v>0</v>
      </c>
      <c r="AJ201" s="1569">
        <f t="shared" si="3301"/>
        <v>0</v>
      </c>
      <c r="AK201" s="1569">
        <f t="shared" si="3301"/>
        <v>0</v>
      </c>
      <c r="AL201" s="1569">
        <f t="shared" si="3301"/>
        <v>0</v>
      </c>
      <c r="AM201" s="1569">
        <f t="shared" si="3301"/>
        <v>0</v>
      </c>
      <c r="AN201" s="1569">
        <f t="shared" si="3301"/>
        <v>0</v>
      </c>
      <c r="AO201" s="1569">
        <f t="shared" si="3301"/>
        <v>0</v>
      </c>
      <c r="AP201" s="1569">
        <f t="shared" si="3301"/>
        <v>0</v>
      </c>
      <c r="AQ201" s="1569">
        <f t="shared" si="3301"/>
        <v>0</v>
      </c>
      <c r="AR201" s="1569">
        <f t="shared" si="3301"/>
        <v>0</v>
      </c>
      <c r="AS201" s="1569">
        <f t="shared" si="3301"/>
        <v>0</v>
      </c>
      <c r="AT201" s="1569">
        <f t="shared" si="3301"/>
        <v>0</v>
      </c>
      <c r="AU201" s="1569" t="e">
        <f t="shared" si="3301"/>
        <v>#VALUE!</v>
      </c>
      <c r="AV201" s="1569">
        <f t="shared" ref="AV201:CA201" si="3302">SUM(AV165+AV175+AV179+AV185+AV182+AV191+AV194+AV196+AV199+AV173+AV171)</f>
        <v>32000</v>
      </c>
      <c r="AW201" s="1569">
        <f t="shared" si="3302"/>
        <v>72328.399999999994</v>
      </c>
      <c r="AX201" s="1569">
        <f t="shared" si="3302"/>
        <v>0</v>
      </c>
      <c r="AY201" s="1569">
        <f t="shared" si="3302"/>
        <v>0</v>
      </c>
      <c r="AZ201" s="1569">
        <f t="shared" si="3302"/>
        <v>0</v>
      </c>
      <c r="BA201" s="1569">
        <f t="shared" si="3302"/>
        <v>0</v>
      </c>
      <c r="BB201" s="1569">
        <f t="shared" si="3302"/>
        <v>0</v>
      </c>
      <c r="BC201" s="1569">
        <f t="shared" si="3302"/>
        <v>4054.4000000000005</v>
      </c>
      <c r="BD201" s="1569">
        <f t="shared" si="3302"/>
        <v>108382.8</v>
      </c>
      <c r="BE201" s="1569">
        <f t="shared" si="3302"/>
        <v>62866.899999999994</v>
      </c>
      <c r="BF201" s="1569">
        <f t="shared" si="3302"/>
        <v>56977.560000000005</v>
      </c>
      <c r="BG201" s="1569">
        <f t="shared" si="3302"/>
        <v>0</v>
      </c>
      <c r="BH201" s="1569">
        <f t="shared" si="3302"/>
        <v>0</v>
      </c>
      <c r="BI201" s="1569">
        <f t="shared" si="3302"/>
        <v>0</v>
      </c>
      <c r="BJ201" s="1569">
        <f t="shared" si="3302"/>
        <v>0</v>
      </c>
      <c r="BK201" s="1569">
        <f t="shared" si="3302"/>
        <v>0</v>
      </c>
      <c r="BL201" s="1569">
        <f t="shared" si="3302"/>
        <v>7965.2362300000013</v>
      </c>
      <c r="BM201" s="1569">
        <f t="shared" si="3302"/>
        <v>127809.69623000002</v>
      </c>
      <c r="BN201" s="1569">
        <f t="shared" si="3302"/>
        <v>2075</v>
      </c>
      <c r="BO201" s="1569">
        <f t="shared" si="3302"/>
        <v>750</v>
      </c>
      <c r="BP201" s="1569">
        <f t="shared" si="3302"/>
        <v>0</v>
      </c>
      <c r="BQ201" s="1569">
        <f t="shared" si="3302"/>
        <v>0</v>
      </c>
      <c r="BR201" s="1569">
        <f t="shared" si="3302"/>
        <v>0</v>
      </c>
      <c r="BS201" s="1569">
        <f t="shared" si="3302"/>
        <v>0</v>
      </c>
      <c r="BT201" s="1569">
        <f t="shared" si="3302"/>
        <v>0</v>
      </c>
      <c r="BU201" s="1569">
        <f t="shared" si="3302"/>
        <v>262.90250000000003</v>
      </c>
      <c r="BV201" s="1569">
        <f t="shared" si="3302"/>
        <v>3087.9025000000001</v>
      </c>
      <c r="BW201" s="1569">
        <f t="shared" si="3302"/>
        <v>0</v>
      </c>
      <c r="BX201" s="1569">
        <f t="shared" si="3302"/>
        <v>0</v>
      </c>
      <c r="BY201" s="1569">
        <f t="shared" si="3302"/>
        <v>0</v>
      </c>
      <c r="BZ201" s="1569">
        <f t="shared" si="3302"/>
        <v>0</v>
      </c>
      <c r="CA201" s="1569">
        <f t="shared" si="3302"/>
        <v>0</v>
      </c>
      <c r="CB201" s="1569">
        <f t="shared" ref="CB201:CO201" si="3303">SUM(CB165+CB175+CB179+CB185+CB182+CB191+CB194+CB196+CB199+CB173+CB171)</f>
        <v>0</v>
      </c>
      <c r="CC201" s="1569">
        <f t="shared" si="3303"/>
        <v>0</v>
      </c>
      <c r="CD201" s="1569">
        <f t="shared" si="3303"/>
        <v>0</v>
      </c>
      <c r="CE201" s="1569">
        <f t="shared" si="3303"/>
        <v>0</v>
      </c>
      <c r="CF201" s="1569">
        <f t="shared" si="3303"/>
        <v>0</v>
      </c>
      <c r="CG201" s="1569">
        <f t="shared" si="3303"/>
        <v>0</v>
      </c>
      <c r="CH201" s="1569">
        <f t="shared" si="3303"/>
        <v>0</v>
      </c>
      <c r="CI201" s="1569">
        <f t="shared" si="3303"/>
        <v>0</v>
      </c>
      <c r="CJ201" s="1569">
        <f t="shared" si="3303"/>
        <v>0</v>
      </c>
      <c r="CK201" s="1569">
        <f t="shared" si="3303"/>
        <v>0</v>
      </c>
      <c r="CL201" s="1569">
        <f t="shared" si="3303"/>
        <v>0</v>
      </c>
      <c r="CM201" s="1569">
        <f t="shared" si="3303"/>
        <v>0</v>
      </c>
      <c r="CN201" s="1569">
        <f t="shared" si="3303"/>
        <v>0</v>
      </c>
      <c r="CO201" s="1569" t="e">
        <f t="shared" si="3303"/>
        <v>#VALUE!</v>
      </c>
      <c r="CP201" s="1569" t="e">
        <f>SUM(CP164+CP175+CP179+CP185+CP182+CP191+CP194+CP196+CP199+CP173+CP171)</f>
        <v>#VALUE!</v>
      </c>
      <c r="CQ201" s="1569">
        <f t="shared" ref="CQ201:DV201" si="3304">SUM(CQ165+CQ175+CQ179+CQ185+CQ182+CQ191+CQ194+CQ196+CQ199+CQ173+CQ171)</f>
        <v>32000</v>
      </c>
      <c r="CR201" s="1569">
        <f t="shared" si="3304"/>
        <v>72346.48</v>
      </c>
      <c r="CS201" s="1569">
        <f t="shared" si="3304"/>
        <v>0</v>
      </c>
      <c r="CT201" s="1569">
        <f t="shared" si="3304"/>
        <v>0</v>
      </c>
      <c r="CU201" s="1569">
        <f t="shared" si="3304"/>
        <v>0</v>
      </c>
      <c r="CV201" s="1569">
        <f t="shared" si="3304"/>
        <v>0</v>
      </c>
      <c r="CW201" s="1569">
        <f t="shared" si="3304"/>
        <v>0</v>
      </c>
      <c r="CX201" s="1569">
        <f t="shared" si="3304"/>
        <v>4054.4000000000005</v>
      </c>
      <c r="CY201" s="1569">
        <f t="shared" si="3304"/>
        <v>108400.88</v>
      </c>
      <c r="CZ201" s="1569">
        <f t="shared" si="3304"/>
        <v>64941.899999999994</v>
      </c>
      <c r="DA201" s="1569">
        <f t="shared" si="3304"/>
        <v>57709.48</v>
      </c>
      <c r="DB201" s="1569">
        <f t="shared" si="3304"/>
        <v>0</v>
      </c>
      <c r="DC201" s="1569">
        <f t="shared" si="3304"/>
        <v>0</v>
      </c>
      <c r="DD201" s="1569">
        <f t="shared" si="3304"/>
        <v>0</v>
      </c>
      <c r="DE201" s="1569">
        <f t="shared" si="3304"/>
        <v>0</v>
      </c>
      <c r="DF201" s="1569">
        <f t="shared" si="3304"/>
        <v>0</v>
      </c>
      <c r="DG201" s="1569">
        <f t="shared" si="3304"/>
        <v>8228.1387300000006</v>
      </c>
      <c r="DH201" s="1569">
        <f t="shared" si="3304"/>
        <v>130879.51873000003</v>
      </c>
      <c r="DI201" s="1569">
        <f t="shared" si="3304"/>
        <v>0</v>
      </c>
      <c r="DJ201" s="1569">
        <f t="shared" si="3304"/>
        <v>0</v>
      </c>
      <c r="DK201" s="1569">
        <f t="shared" si="3304"/>
        <v>0</v>
      </c>
      <c r="DL201" s="1569">
        <f t="shared" si="3304"/>
        <v>0</v>
      </c>
      <c r="DM201" s="1569">
        <f t="shared" si="3304"/>
        <v>0</v>
      </c>
      <c r="DN201" s="1569">
        <f t="shared" si="3304"/>
        <v>0</v>
      </c>
      <c r="DO201" s="1569">
        <f t="shared" si="3304"/>
        <v>0</v>
      </c>
      <c r="DP201" s="1569">
        <f t="shared" si="3304"/>
        <v>0</v>
      </c>
      <c r="DQ201" s="1569">
        <f t="shared" si="3304"/>
        <v>0</v>
      </c>
      <c r="DR201" s="1569">
        <f t="shared" si="3304"/>
        <v>0</v>
      </c>
      <c r="DS201" s="1569">
        <f t="shared" si="3304"/>
        <v>0</v>
      </c>
      <c r="DT201" s="1569">
        <f t="shared" si="3304"/>
        <v>0</v>
      </c>
      <c r="DU201" s="1569">
        <f t="shared" si="3304"/>
        <v>0</v>
      </c>
      <c r="DV201" s="1569">
        <f t="shared" si="3304"/>
        <v>0</v>
      </c>
      <c r="DW201" s="1569">
        <f t="shared" ref="DW201:FE201" si="3305">SUM(DW165+DW175+DW179+DW185+DW182+DW191+DW194+DW196+DW199+DW173+DW171)</f>
        <v>0</v>
      </c>
      <c r="DX201" s="1569">
        <f t="shared" si="3305"/>
        <v>0</v>
      </c>
      <c r="DY201" s="1569">
        <f t="shared" si="3305"/>
        <v>0</v>
      </c>
      <c r="DZ201" s="1569">
        <f t="shared" si="3305"/>
        <v>0</v>
      </c>
      <c r="EA201" s="1569">
        <f t="shared" si="3305"/>
        <v>0</v>
      </c>
      <c r="EB201" s="1569">
        <f t="shared" si="3305"/>
        <v>0</v>
      </c>
      <c r="EC201" s="1569">
        <f t="shared" si="3305"/>
        <v>0</v>
      </c>
      <c r="ED201" s="1569">
        <f t="shared" si="3305"/>
        <v>0</v>
      </c>
      <c r="EE201" s="1569">
        <f t="shared" si="3305"/>
        <v>0</v>
      </c>
      <c r="EF201" s="1569">
        <f t="shared" si="3305"/>
        <v>0</v>
      </c>
      <c r="EG201" s="1569">
        <f t="shared" si="3305"/>
        <v>0</v>
      </c>
      <c r="EH201" s="1569">
        <f t="shared" si="3305"/>
        <v>0</v>
      </c>
      <c r="EI201" s="1569">
        <f t="shared" si="3305"/>
        <v>0</v>
      </c>
      <c r="EJ201" s="1569" t="e">
        <f t="shared" si="3305"/>
        <v>#VALUE!</v>
      </c>
      <c r="EK201" s="1569">
        <f t="shared" si="3305"/>
        <v>6090.83</v>
      </c>
      <c r="EL201" s="1569">
        <f t="shared" si="3305"/>
        <v>5247.52</v>
      </c>
      <c r="EM201" s="1569">
        <f t="shared" si="3305"/>
        <v>715</v>
      </c>
      <c r="EN201" s="1628">
        <f t="shared" si="3305"/>
        <v>154.25</v>
      </c>
      <c r="EO201" s="1569">
        <f t="shared" si="3305"/>
        <v>0</v>
      </c>
      <c r="EP201" s="1569">
        <f t="shared" si="3305"/>
        <v>825</v>
      </c>
      <c r="EQ201" s="1569">
        <f t="shared" si="3305"/>
        <v>3914.99</v>
      </c>
      <c r="ER201" s="1569">
        <f t="shared" si="3305"/>
        <v>0</v>
      </c>
      <c r="ES201" s="1569">
        <f t="shared" si="3305"/>
        <v>0</v>
      </c>
      <c r="ET201" s="1569">
        <f t="shared" si="3305"/>
        <v>4739.99</v>
      </c>
      <c r="EU201" s="1569" t="e">
        <f t="shared" si="3305"/>
        <v>#VALUE!</v>
      </c>
      <c r="EV201" s="1569">
        <f t="shared" si="3305"/>
        <v>6090.83</v>
      </c>
      <c r="EW201" s="1569">
        <f t="shared" si="3305"/>
        <v>5247.52</v>
      </c>
      <c r="EX201" s="1569">
        <f t="shared" si="3305"/>
        <v>715</v>
      </c>
      <c r="EY201" s="1569">
        <f t="shared" si="3305"/>
        <v>154.25</v>
      </c>
      <c r="EZ201" s="1569">
        <f t="shared" si="3305"/>
        <v>0</v>
      </c>
      <c r="FA201" s="1569">
        <f t="shared" si="3305"/>
        <v>825</v>
      </c>
      <c r="FB201" s="1569">
        <f t="shared" si="3305"/>
        <v>3914.99</v>
      </c>
      <c r="FC201" s="1569">
        <f t="shared" si="3305"/>
        <v>0</v>
      </c>
      <c r="FD201" s="1569">
        <f t="shared" si="3305"/>
        <v>0</v>
      </c>
      <c r="FE201" s="1569">
        <f t="shared" si="3305"/>
        <v>4739.99</v>
      </c>
      <c r="FF201" s="1448"/>
      <c r="FG201" s="1448"/>
      <c r="FH201" s="1448"/>
      <c r="FI201" s="1448"/>
      <c r="FJ201" s="1448"/>
      <c r="FK201" s="1448"/>
      <c r="FL201" s="1441">
        <f t="shared" si="2482"/>
        <v>0</v>
      </c>
    </row>
    <row r="202" spans="1:260" s="1513" customFormat="1" ht="15.75" customHeight="1" outlineLevel="1" thickTop="1">
      <c r="A202" s="1511"/>
      <c r="B202" s="1348"/>
      <c r="C202" s="1339"/>
      <c r="D202" s="1474"/>
      <c r="E202" s="1512"/>
      <c r="I202" s="1514"/>
      <c r="J202" s="1514"/>
      <c r="K202" s="1514"/>
      <c r="L202" s="1514"/>
      <c r="M202" s="1514"/>
      <c r="N202" s="1514"/>
      <c r="O202" s="1474"/>
      <c r="P202" s="1515"/>
      <c r="R202" s="1515"/>
      <c r="T202" s="1515"/>
      <c r="V202" s="1515"/>
      <c r="X202" s="1515"/>
      <c r="Z202" s="1516"/>
      <c r="AB202" s="1516"/>
      <c r="AD202" s="1516"/>
      <c r="AH202" s="1516"/>
      <c r="AU202" s="1533"/>
      <c r="CO202" s="1474"/>
      <c r="CP202" s="1474"/>
      <c r="EJ202" s="1474"/>
      <c r="EN202" s="1512"/>
      <c r="EU202" s="1441"/>
      <c r="FF202" s="1448"/>
      <c r="FG202" s="1448"/>
      <c r="FH202" s="1448"/>
      <c r="FI202" s="1448"/>
      <c r="FJ202" s="1448"/>
      <c r="FK202" s="1448"/>
      <c r="FL202" s="1441">
        <f t="shared" si="2482"/>
        <v>0</v>
      </c>
      <c r="FM202" s="1474"/>
      <c r="FN202" s="1474"/>
      <c r="FO202" s="1474"/>
      <c r="FP202" s="1474"/>
      <c r="FQ202" s="1474"/>
      <c r="FR202" s="1474"/>
      <c r="FS202" s="1474"/>
      <c r="FT202" s="1474"/>
      <c r="FU202" s="1474"/>
      <c r="FV202" s="1474"/>
      <c r="FW202" s="1474"/>
      <c r="FX202" s="1474"/>
      <c r="FY202" s="1474"/>
      <c r="FZ202" s="1474"/>
      <c r="GA202" s="1474"/>
      <c r="GB202" s="1474"/>
      <c r="GC202" s="1474"/>
      <c r="GD202" s="1474"/>
      <c r="GE202" s="1474"/>
      <c r="GF202" s="1474"/>
      <c r="GG202" s="1474"/>
      <c r="GH202" s="1474"/>
      <c r="GI202" s="1474"/>
      <c r="GJ202" s="1474"/>
      <c r="GK202" s="1474"/>
      <c r="GL202" s="1474"/>
      <c r="GM202" s="1474"/>
      <c r="GN202" s="1474"/>
      <c r="GO202" s="1474"/>
      <c r="GP202" s="1474"/>
      <c r="GQ202" s="1474"/>
      <c r="GR202" s="1474"/>
      <c r="GS202" s="1474"/>
      <c r="GT202" s="1474"/>
      <c r="GU202" s="1474"/>
      <c r="GV202" s="1474"/>
      <c r="GW202" s="1474"/>
      <c r="GX202" s="1474"/>
      <c r="GY202" s="1474"/>
      <c r="GZ202" s="1474"/>
      <c r="HA202" s="1474"/>
      <c r="HB202" s="1474"/>
      <c r="HC202" s="1474"/>
      <c r="HD202" s="1474"/>
      <c r="HE202" s="1474"/>
      <c r="HF202" s="1474"/>
      <c r="HG202" s="1474"/>
      <c r="HH202" s="1474"/>
      <c r="HI202" s="1474"/>
      <c r="HJ202" s="1474"/>
      <c r="HK202" s="1474"/>
      <c r="HL202" s="1474"/>
      <c r="HM202" s="1474"/>
      <c r="HN202" s="1474"/>
      <c r="HO202" s="1474"/>
      <c r="HP202" s="1474"/>
      <c r="HQ202" s="1474"/>
      <c r="HR202" s="1474"/>
      <c r="HS202" s="1474"/>
      <c r="HT202" s="1474"/>
      <c r="HU202" s="1474"/>
      <c r="HV202" s="1474"/>
      <c r="HW202" s="1474"/>
      <c r="HX202" s="1474"/>
      <c r="HY202" s="1474"/>
      <c r="HZ202" s="1474"/>
      <c r="IA202" s="1474"/>
      <c r="IB202" s="1474"/>
      <c r="IC202" s="1474"/>
      <c r="ID202" s="1474"/>
      <c r="IE202" s="1474"/>
      <c r="IF202" s="1474"/>
      <c r="IG202" s="1474"/>
      <c r="IH202" s="1474"/>
      <c r="II202" s="1474"/>
      <c r="IJ202" s="1474"/>
      <c r="IK202" s="1474"/>
      <c r="IL202" s="1474"/>
      <c r="IM202" s="1474"/>
      <c r="IN202" s="1474"/>
      <c r="IO202" s="1474"/>
      <c r="IP202" s="1474"/>
      <c r="IQ202" s="1474"/>
      <c r="IR202" s="1474"/>
      <c r="IS202" s="1474"/>
      <c r="IT202" s="1474"/>
      <c r="IU202" s="1474"/>
      <c r="IV202" s="1474"/>
      <c r="IW202" s="1474"/>
      <c r="IX202" s="1474"/>
      <c r="IY202" s="1474"/>
      <c r="IZ202" s="1474"/>
    </row>
    <row r="203" spans="1:260" s="1513" customFormat="1" ht="15.75" customHeight="1" outlineLevel="1">
      <c r="A203" s="1511"/>
      <c r="B203" s="1404" t="s">
        <v>399</v>
      </c>
      <c r="C203" s="1339"/>
      <c r="D203" s="1474"/>
      <c r="E203" s="1512"/>
      <c r="I203" s="1514"/>
      <c r="J203" s="1514"/>
      <c r="K203" s="1514"/>
      <c r="L203" s="1514"/>
      <c r="M203" s="1514"/>
      <c r="N203" s="1514"/>
      <c r="O203" s="1474"/>
      <c r="P203" s="1515"/>
      <c r="R203" s="1515"/>
      <c r="T203" s="1515"/>
      <c r="V203" s="1515"/>
      <c r="X203" s="1515"/>
      <c r="Z203" s="1516"/>
      <c r="AB203" s="1516"/>
      <c r="AD203" s="1516"/>
      <c r="AH203" s="1516"/>
      <c r="AU203" s="1533"/>
      <c r="CO203" s="1474"/>
      <c r="CP203" s="1474"/>
      <c r="EJ203" s="1474"/>
      <c r="EN203" s="1512"/>
      <c r="EU203" s="1441"/>
      <c r="FF203" s="1448"/>
      <c r="FG203" s="1448"/>
      <c r="FH203" s="1448"/>
      <c r="FI203" s="1448"/>
      <c r="FJ203" s="1448"/>
      <c r="FK203" s="1448"/>
      <c r="FL203" s="1441">
        <f t="shared" ref="FL203:FL233" si="3306">+EP203-FA203</f>
        <v>0</v>
      </c>
      <c r="FM203" s="1474"/>
      <c r="FN203" s="1474"/>
      <c r="FO203" s="1474"/>
      <c r="FP203" s="1474"/>
      <c r="FQ203" s="1474"/>
      <c r="FR203" s="1474"/>
      <c r="FS203" s="1474"/>
      <c r="FT203" s="1474"/>
      <c r="FU203" s="1474"/>
      <c r="FV203" s="1474"/>
      <c r="FW203" s="1474"/>
      <c r="FX203" s="1474"/>
      <c r="FY203" s="1474"/>
      <c r="FZ203" s="1474"/>
      <c r="GA203" s="1474"/>
      <c r="GB203" s="1474"/>
      <c r="GC203" s="1474"/>
      <c r="GD203" s="1474"/>
      <c r="GE203" s="1474"/>
      <c r="GF203" s="1474"/>
      <c r="GG203" s="1474"/>
      <c r="GH203" s="1474"/>
      <c r="GI203" s="1474"/>
      <c r="GJ203" s="1474"/>
      <c r="GK203" s="1474"/>
      <c r="GL203" s="1474"/>
      <c r="GM203" s="1474"/>
      <c r="GN203" s="1474"/>
      <c r="GO203" s="1474"/>
      <c r="GP203" s="1474"/>
      <c r="GQ203" s="1474"/>
      <c r="GR203" s="1474"/>
      <c r="GS203" s="1474"/>
      <c r="GT203" s="1474"/>
      <c r="GU203" s="1474"/>
      <c r="GV203" s="1474"/>
      <c r="GW203" s="1474"/>
      <c r="GX203" s="1474"/>
      <c r="GY203" s="1474"/>
      <c r="GZ203" s="1474"/>
      <c r="HA203" s="1474"/>
      <c r="HB203" s="1474"/>
      <c r="HC203" s="1474"/>
      <c r="HD203" s="1474"/>
      <c r="HE203" s="1474"/>
      <c r="HF203" s="1474"/>
      <c r="HG203" s="1474"/>
      <c r="HH203" s="1474"/>
      <c r="HI203" s="1474"/>
      <c r="HJ203" s="1474"/>
      <c r="HK203" s="1474"/>
      <c r="HL203" s="1474"/>
      <c r="HM203" s="1474"/>
      <c r="HN203" s="1474"/>
      <c r="HO203" s="1474"/>
      <c r="HP203" s="1474"/>
      <c r="HQ203" s="1474"/>
      <c r="HR203" s="1474"/>
      <c r="HS203" s="1474"/>
      <c r="HT203" s="1474"/>
      <c r="HU203" s="1474"/>
      <c r="HV203" s="1474"/>
      <c r="HW203" s="1474"/>
      <c r="HX203" s="1474"/>
      <c r="HY203" s="1474"/>
      <c r="HZ203" s="1474"/>
      <c r="IA203" s="1474"/>
      <c r="IB203" s="1474"/>
      <c r="IC203" s="1474"/>
      <c r="ID203" s="1474"/>
      <c r="IE203" s="1474"/>
      <c r="IF203" s="1474"/>
      <c r="IG203" s="1474"/>
      <c r="IH203" s="1474"/>
      <c r="II203" s="1474"/>
      <c r="IJ203" s="1474"/>
      <c r="IK203" s="1474"/>
      <c r="IL203" s="1474"/>
      <c r="IM203" s="1474"/>
      <c r="IN203" s="1474"/>
      <c r="IO203" s="1474"/>
      <c r="IP203" s="1474"/>
      <c r="IQ203" s="1474"/>
      <c r="IR203" s="1474"/>
      <c r="IS203" s="1474"/>
      <c r="IT203" s="1474"/>
      <c r="IU203" s="1474"/>
      <c r="IV203" s="1474"/>
      <c r="IW203" s="1474"/>
      <c r="IX203" s="1474"/>
      <c r="IY203" s="1474"/>
      <c r="IZ203" s="1474"/>
    </row>
    <row r="204" spans="1:260" s="1414" customFormat="1" ht="15" customHeight="1" outlineLevel="1">
      <c r="A204" s="1403"/>
      <c r="B204" s="1731" t="s">
        <v>400</v>
      </c>
      <c r="C204" s="1403"/>
      <c r="D204" s="1403"/>
      <c r="E204" s="1564"/>
      <c r="F204" s="1451"/>
      <c r="G204" s="1451"/>
      <c r="H204" s="1444"/>
      <c r="I204" s="1563"/>
      <c r="J204" s="1563"/>
      <c r="K204" s="1563"/>
      <c r="L204" s="1563"/>
      <c r="M204" s="1546"/>
      <c r="N204" s="1546"/>
      <c r="O204" s="1417"/>
      <c r="P204" s="1565"/>
      <c r="Q204" s="1444"/>
      <c r="R204" s="1452"/>
      <c r="S204" s="1444"/>
      <c r="T204" s="1452"/>
      <c r="U204" s="1444"/>
      <c r="V204" s="1452"/>
      <c r="W204" s="1444"/>
      <c r="X204" s="1452"/>
      <c r="Y204" s="1444"/>
      <c r="Z204" s="1453"/>
      <c r="AA204" s="1444"/>
      <c r="AB204" s="1605"/>
      <c r="AC204" s="1444"/>
      <c r="AD204" s="1453"/>
      <c r="AE204" s="1444"/>
      <c r="AF204" s="1444"/>
      <c r="AG204" s="1444"/>
      <c r="AH204" s="1453"/>
      <c r="AI204" s="1444"/>
      <c r="AJ204" s="1451"/>
      <c r="AK204" s="1451"/>
      <c r="AL204" s="1451"/>
      <c r="AM204" s="1451"/>
      <c r="AN204" s="1451"/>
      <c r="AO204" s="1451"/>
      <c r="AP204" s="1451"/>
      <c r="AQ204" s="1451"/>
      <c r="AR204" s="1451"/>
      <c r="AS204" s="1451"/>
      <c r="AT204" s="1451"/>
      <c r="AU204" s="1604"/>
      <c r="AV204" s="1444"/>
      <c r="AW204" s="1444"/>
      <c r="AX204" s="1444"/>
      <c r="AY204" s="1444"/>
      <c r="AZ204" s="1444"/>
      <c r="BA204" s="1444"/>
      <c r="BB204" s="1444"/>
      <c r="BC204" s="1444"/>
      <c r="BD204" s="1444"/>
      <c r="BE204" s="1444"/>
      <c r="BF204" s="1444"/>
      <c r="BG204" s="1444"/>
      <c r="BH204" s="1444"/>
      <c r="BI204" s="1444"/>
      <c r="BJ204" s="1444"/>
      <c r="BK204" s="1444"/>
      <c r="BL204" s="1444"/>
      <c r="BM204" s="1451"/>
      <c r="BN204" s="1444"/>
      <c r="BO204" s="1444"/>
      <c r="BP204" s="1444"/>
      <c r="BQ204" s="1444"/>
      <c r="BR204" s="1444"/>
      <c r="BS204" s="1444"/>
      <c r="BT204" s="1444"/>
      <c r="BU204" s="1444"/>
      <c r="BV204" s="1444"/>
      <c r="BW204" s="1444"/>
      <c r="BX204" s="1444"/>
      <c r="BY204" s="1444"/>
      <c r="BZ204" s="1444"/>
      <c r="CA204" s="1444"/>
      <c r="CB204" s="1444"/>
      <c r="CC204" s="1444"/>
      <c r="CD204" s="1444"/>
      <c r="CE204" s="1444"/>
      <c r="CF204" s="1444"/>
      <c r="CG204" s="1444"/>
      <c r="CH204" s="1444"/>
      <c r="CI204" s="1444"/>
      <c r="CJ204" s="1444"/>
      <c r="CK204" s="1444"/>
      <c r="CL204" s="1444"/>
      <c r="CM204" s="1444"/>
      <c r="CN204" s="1444"/>
      <c r="CQ204" s="1444"/>
      <c r="CR204" s="1444"/>
      <c r="CS204" s="1444"/>
      <c r="CT204" s="1444"/>
      <c r="CU204" s="1444"/>
      <c r="CV204" s="1444"/>
      <c r="CW204" s="1444"/>
      <c r="CX204" s="1444"/>
      <c r="CY204" s="1444"/>
      <c r="CZ204" s="1444"/>
      <c r="DA204" s="1444"/>
      <c r="DB204" s="1444"/>
      <c r="DC204" s="1444"/>
      <c r="DD204" s="1444"/>
      <c r="DE204" s="1444"/>
      <c r="DF204" s="1444"/>
      <c r="DG204" s="1444"/>
      <c r="DH204" s="1444"/>
      <c r="DI204" s="1444"/>
      <c r="DJ204" s="1444"/>
      <c r="DK204" s="1444"/>
      <c r="DL204" s="1444"/>
      <c r="DM204" s="1444"/>
      <c r="DN204" s="1444"/>
      <c r="DO204" s="1444"/>
      <c r="DP204" s="1444"/>
      <c r="DQ204" s="1444"/>
      <c r="DR204" s="1444"/>
      <c r="DS204" s="1444"/>
      <c r="DT204" s="1444"/>
      <c r="DU204" s="1444"/>
      <c r="DV204" s="1444"/>
      <c r="DW204" s="1444"/>
      <c r="DX204" s="1444"/>
      <c r="DY204" s="1444"/>
      <c r="DZ204" s="1444"/>
      <c r="EA204" s="1444"/>
      <c r="EB204" s="1444"/>
      <c r="EC204" s="1444"/>
      <c r="ED204" s="1444"/>
      <c r="EE204" s="1444"/>
      <c r="EF204" s="1444"/>
      <c r="EG204" s="1444"/>
      <c r="EH204" s="1444"/>
      <c r="EI204" s="1444"/>
      <c r="EK204" s="1403"/>
      <c r="EN204" s="330"/>
      <c r="EU204" s="1441"/>
      <c r="FF204" s="1448"/>
      <c r="FG204" s="1448"/>
      <c r="FH204" s="1448"/>
      <c r="FI204" s="1448"/>
      <c r="FJ204" s="1448"/>
      <c r="FK204" s="1448"/>
      <c r="FL204" s="1441">
        <f t="shared" si="3306"/>
        <v>0</v>
      </c>
    </row>
    <row r="205" spans="1:260" s="331" customFormat="1" ht="15" customHeight="1" outlineLevel="1">
      <c r="A205" s="415">
        <v>114</v>
      </c>
      <c r="B205" s="311" t="s">
        <v>601</v>
      </c>
      <c r="C205" s="312" t="s">
        <v>93</v>
      </c>
      <c r="D205" s="312" t="s">
        <v>11</v>
      </c>
      <c r="E205" s="1971">
        <v>3166.38</v>
      </c>
      <c r="F205" s="314">
        <v>250</v>
      </c>
      <c r="G205" s="1988">
        <f t="shared" ref="G205:G215" si="3307">+E205+F205</f>
        <v>3416.38</v>
      </c>
      <c r="H205" s="1971">
        <v>30</v>
      </c>
      <c r="I205" s="417">
        <v>0</v>
      </c>
      <c r="J205" s="318">
        <v>0</v>
      </c>
      <c r="K205" s="318">
        <v>1</v>
      </c>
      <c r="L205" s="318">
        <v>0</v>
      </c>
      <c r="M205" s="318">
        <v>0</v>
      </c>
      <c r="N205" s="318">
        <f t="shared" ref="N205" si="3308">SUM(I205:M205)</f>
        <v>1</v>
      </c>
      <c r="O205" s="1122"/>
      <c r="P205" s="357"/>
      <c r="Q205" s="358">
        <f t="shared" ref="Q205:Q209" si="3309">($E205/30/8*1.5)*P205</f>
        <v>0</v>
      </c>
      <c r="R205" s="404"/>
      <c r="S205" s="358">
        <f t="shared" ref="S205:S209" si="3310">($E205/30/8*2)*R205</f>
        <v>0</v>
      </c>
      <c r="T205" s="404"/>
      <c r="U205" s="358">
        <f t="shared" ref="U205:U209" si="3311">($E205/30/8*1.5)*T205</f>
        <v>0</v>
      </c>
      <c r="V205" s="357"/>
      <c r="W205" s="358">
        <f t="shared" ref="W205:W209" si="3312">($E205/30/8*2)*V205</f>
        <v>0</v>
      </c>
      <c r="X205" s="404">
        <v>6</v>
      </c>
      <c r="Y205" s="358">
        <f t="shared" ref="Y205:Y215" si="3313">(($E205/30/8)*1.5)*X205</f>
        <v>118.73925000000001</v>
      </c>
      <c r="Z205" s="357"/>
      <c r="AA205" s="358">
        <f t="shared" ref="AA205:AA215" si="3314">(($E205/30/8)*2)*Z205</f>
        <v>0</v>
      </c>
      <c r="AB205" s="322"/>
      <c r="AC205" s="315">
        <f t="shared" ref="AC205:AC209" si="3315">(($E205/30/8)*1.5)*AB205</f>
        <v>0</v>
      </c>
      <c r="AD205" s="322"/>
      <c r="AE205" s="315">
        <f t="shared" ref="AE205:AE209" si="3316">(($E205/30/8)*2)*AD205</f>
        <v>0</v>
      </c>
      <c r="AF205" s="315"/>
      <c r="AG205" s="315">
        <f t="shared" ref="AG205" si="3317">(($E205/30/8)*1.5)*AF205</f>
        <v>0</v>
      </c>
      <c r="AH205" s="322"/>
      <c r="AI205" s="315">
        <f t="shared" ref="AI205" si="3318">(($E205/30/8)*2)*AH205</f>
        <v>0</v>
      </c>
      <c r="AJ205" s="314"/>
      <c r="AK205" s="314"/>
      <c r="AL205" s="314"/>
      <c r="AM205" s="314"/>
      <c r="AN205" s="314"/>
      <c r="AO205" s="314"/>
      <c r="AP205" s="314"/>
      <c r="AQ205" s="314"/>
      <c r="AR205" s="314"/>
      <c r="AS205" s="314"/>
      <c r="AT205" s="314"/>
      <c r="AU205" s="359"/>
      <c r="AV205" s="315">
        <f t="shared" ref="AV205:AV209" si="3319">((E205/30)*H205)*$I205</f>
        <v>0</v>
      </c>
      <c r="AW205" s="358">
        <f>((F205/30)*H205)*$I205+450</f>
        <v>450</v>
      </c>
      <c r="AX205" s="315">
        <f t="shared" ref="AX205:AX215" si="3320">P205</f>
        <v>0</v>
      </c>
      <c r="AY205" s="315">
        <f t="shared" ref="AY205:AY215" si="3321">Q205</f>
        <v>0</v>
      </c>
      <c r="AZ205" s="315">
        <f t="shared" ref="AZ205:AZ215" si="3322">R205</f>
        <v>0</v>
      </c>
      <c r="BA205" s="315">
        <f t="shared" ref="BA205:BA215" si="3323">S205</f>
        <v>0</v>
      </c>
      <c r="BB205" s="315">
        <f t="shared" ref="BB205:BB215" si="3324">AJ205+AO205</f>
        <v>0</v>
      </c>
      <c r="BC205" s="315">
        <f t="shared" ref="BC205:BC215" si="3325">(AV205+AY205+BA205)*0.1267</f>
        <v>0</v>
      </c>
      <c r="BD205" s="315">
        <f t="shared" ref="BD205:BD215" si="3326">SUM(AV205:BC205)-AX205-AZ205</f>
        <v>450</v>
      </c>
      <c r="BE205" s="315">
        <f t="shared" ref="BE205:BE209" si="3327">(($E205/30)*$H205)*$J205</f>
        <v>0</v>
      </c>
      <c r="BF205" s="906">
        <f t="shared" ref="BF205:BF208" si="3328">(($F205/30)*$H205)*$J205</f>
        <v>0</v>
      </c>
      <c r="BG205" s="315">
        <f t="shared" ref="BG205:BG214" si="3329">T205</f>
        <v>0</v>
      </c>
      <c r="BH205" s="315">
        <f t="shared" ref="BH205:BH215" si="3330">U205</f>
        <v>0</v>
      </c>
      <c r="BI205" s="315">
        <f t="shared" ref="BI205:BI215" si="3331">V205</f>
        <v>0</v>
      </c>
      <c r="BJ205" s="315">
        <f t="shared" ref="BJ205:BJ215" si="3332">W205</f>
        <v>0</v>
      </c>
      <c r="BK205" s="315">
        <f t="shared" ref="BK205:BK215" si="3333">AK205+AP205</f>
        <v>0</v>
      </c>
      <c r="BL205" s="315">
        <f t="shared" ref="BL205:BL215" si="3334">(+BE205+BH205+BJ205+BK205)*0.1267</f>
        <v>0</v>
      </c>
      <c r="BM205" s="314">
        <f t="shared" ref="BM205:BM215" si="3335">SUM(BE205:BL205)-BG205-BI205</f>
        <v>0</v>
      </c>
      <c r="BN205" s="315">
        <f t="shared" ref="BN205:BN209" si="3336">(($E205/30)*$H205)*$K205</f>
        <v>3166.38</v>
      </c>
      <c r="BO205" s="906">
        <f>(($F205/30)*$H205)*$K205+225</f>
        <v>475</v>
      </c>
      <c r="BP205" s="315">
        <f t="shared" ref="BP205:BP215" si="3337">X205</f>
        <v>6</v>
      </c>
      <c r="BQ205" s="315">
        <f t="shared" ref="BQ205:BQ215" si="3338">Y205</f>
        <v>118.73925000000001</v>
      </c>
      <c r="BR205" s="315">
        <f t="shared" ref="BR205:BR215" si="3339">Z205</f>
        <v>0</v>
      </c>
      <c r="BS205" s="315">
        <f t="shared" ref="BS205:BS215" si="3340">AA205</f>
        <v>0</v>
      </c>
      <c r="BT205" s="315">
        <f t="shared" ref="BT205:BT215" si="3341">AL205+AQ205</f>
        <v>0</v>
      </c>
      <c r="BU205" s="315">
        <f t="shared" ref="BU205:BU215" si="3342">(BN205+BQ205+BS205)*0.1267</f>
        <v>416.22460897500002</v>
      </c>
      <c r="BV205" s="315">
        <f t="shared" ref="BV205:BV215" si="3343">SUM(BN205:BU205)-BP205-BR205</f>
        <v>4176.3438589750003</v>
      </c>
      <c r="BW205" s="360">
        <f t="shared" ref="BW205" si="3344">(($E205/30)*$H205)*$L205</f>
        <v>0</v>
      </c>
      <c r="BX205" s="361">
        <f t="shared" ref="BX205:BX215" si="3345">(($F205/30)*$H205)*$L205</f>
        <v>0</v>
      </c>
      <c r="BY205" s="361">
        <f t="shared" ref="BY205" si="3346">AB205</f>
        <v>0</v>
      </c>
      <c r="BZ205" s="361">
        <f t="shared" ref="BZ205" si="3347">AC205</f>
        <v>0</v>
      </c>
      <c r="CA205" s="361">
        <f t="shared" ref="CA205" si="3348">AD205</f>
        <v>0</v>
      </c>
      <c r="CB205" s="361">
        <f t="shared" ref="CB205" si="3349">AE205</f>
        <v>0</v>
      </c>
      <c r="CC205" s="361">
        <f t="shared" ref="CC205" si="3350">AM205+AR205</f>
        <v>0</v>
      </c>
      <c r="CD205" s="361">
        <f t="shared" ref="CD205" si="3351">(BW205+BZ205+CB205)*0.1267</f>
        <v>0</v>
      </c>
      <c r="CE205" s="361">
        <f t="shared" ref="CE205" si="3352">SUM(BW205:CD205)-BY205-CA205</f>
        <v>0</v>
      </c>
      <c r="CF205" s="361">
        <f t="shared" ref="CF205" si="3353">(($E205/30)*$H205)*M205</f>
        <v>0</v>
      </c>
      <c r="CG205" s="361">
        <f t="shared" ref="CG205:CG210" si="3354">(($F205/30)*$H205)*$M205</f>
        <v>0</v>
      </c>
      <c r="CH205" s="361">
        <f t="shared" ref="CH205" si="3355">+AF205</f>
        <v>0</v>
      </c>
      <c r="CI205" s="361">
        <f t="shared" ref="CI205" si="3356">AG205</f>
        <v>0</v>
      </c>
      <c r="CJ205" s="361">
        <f t="shared" ref="CJ205" si="3357">AH205</f>
        <v>0</v>
      </c>
      <c r="CK205" s="361">
        <f t="shared" ref="CK205" si="3358">AI205</f>
        <v>0</v>
      </c>
      <c r="CL205" s="361">
        <f t="shared" ref="CL205" si="3359">AN205+AS205</f>
        <v>0</v>
      </c>
      <c r="CM205" s="361">
        <f t="shared" ref="CM205" si="3360">(CF205+CI205+CK205)*0.1267</f>
        <v>0</v>
      </c>
      <c r="CN205" s="362">
        <f t="shared" ref="CN205" si="3361">SUM(CF205:CM205)-CH205-CJ205</f>
        <v>0</v>
      </c>
      <c r="CO205" s="330"/>
      <c r="CP205" s="313" t="s">
        <v>12</v>
      </c>
      <c r="CQ205" s="315">
        <f>IF($CP205="PROQUIMA",$AV205+$BE205+$BN205+$BW205+$CF205,0)</f>
        <v>0</v>
      </c>
      <c r="CR205" s="315">
        <f>IF($CP205="PROQUIMA",$AW205+$BF205+$BO205+$BX205+$CG205,0)</f>
        <v>0</v>
      </c>
      <c r="CS205" s="315">
        <f>IF($CP205="PROQUIMA",$AX205+$BG205+$BP205+$BY205+$CH205,0)</f>
        <v>0</v>
      </c>
      <c r="CT205" s="315">
        <f>IF($CP205="PROQUIMA",$AY205+$BH205+$BQ205+$BZ205+$CI205,0)</f>
        <v>0</v>
      </c>
      <c r="CU205" s="315">
        <f>IF($CP205="PROQUIMA",$AZ205+$BI205+$BR205+$CA205+$CJ205,0)</f>
        <v>0</v>
      </c>
      <c r="CV205" s="315">
        <f t="shared" ref="CV205:CV209" si="3362">IF($CP205="PROQUIMA",$BA205+$BJ205+$BS205+$CB205+$CK205,0)</f>
        <v>0</v>
      </c>
      <c r="CW205" s="315">
        <f>IF($CP205="PROQUIMA",$BB205+$BK205+$BT205+$CC205+$CL205,0)</f>
        <v>0</v>
      </c>
      <c r="CX205" s="315">
        <f t="shared" ref="CX205:CX209" si="3363">IF($CP205="PROQUIMA",$BC205+$BL205+$BU205+$CD205+CM205,0)</f>
        <v>0</v>
      </c>
      <c r="CY205" s="315">
        <f t="shared" ref="CY205:CY209" si="3364">SUM(CQ205:CX205)-CS205-CU205</f>
        <v>0</v>
      </c>
      <c r="CZ205" s="315">
        <f>IF($CP205="UNHESA",$AV205+$BE205+$BN205+$BW205+$CF205,0)</f>
        <v>0</v>
      </c>
      <c r="DA205" s="315">
        <f t="shared" ref="DA205:DA209" si="3365">IF($CP205="UNHESA",$AW205+$BF205+$BO205+$BX205+$CG205,0)</f>
        <v>0</v>
      </c>
      <c r="DB205" s="315">
        <f>IF($CP205="UNHESA",$AX205+$BG205+$BP205+$BY205+$CH205,0)</f>
        <v>0</v>
      </c>
      <c r="DC205" s="315">
        <f>IF($CP205="UNHESA",$AY205+$BH205+$BQ205+$BZ205+$CI205,0)</f>
        <v>0</v>
      </c>
      <c r="DD205" s="315">
        <f>IF($CP205="UNHESA",$AZ205+$BI205+$BR205+$CA205+$CJ205,0)</f>
        <v>0</v>
      </c>
      <c r="DE205" s="315">
        <f>IF($CP205="UNHESA",$BA205+$BJ205+$BS205+$CB205+$CK205,0)</f>
        <v>0</v>
      </c>
      <c r="DF205" s="315">
        <f>IF($CP205="UNHESA",$BB205+$BK205+$BT205+$CC205+$CL205,0)</f>
        <v>0</v>
      </c>
      <c r="DG205" s="315">
        <f>IF($CP205="UNHESA",$BC205+$BL205+$BU205+$CD205+$CM205,0)</f>
        <v>0</v>
      </c>
      <c r="DH205" s="315">
        <f t="shared" ref="DH205:DH215" si="3366">SUM(CZ205:DG205)-DB205-DD205</f>
        <v>0</v>
      </c>
      <c r="DI205" s="315">
        <f t="shared" ref="DI205:DI208" si="3367">IF($CP205="UNHESA LIQUIDOS",$AV205+$BE205+$BN205+$BW205+$CF205,0)</f>
        <v>3166.38</v>
      </c>
      <c r="DJ205" s="315">
        <f t="shared" ref="DJ205:DJ208" si="3368">IF($CP205="UNHESA LIQUIDOS",$AW205+$BF205+$BO205+$BX205+$CG205,0)</f>
        <v>925</v>
      </c>
      <c r="DK205" s="315">
        <f t="shared" ref="DK205:DK208" si="3369">IF($CP205="UNHESA LIQUIDOS",$AX205+$BG205+$BP205+$BY205+$CH205,0)</f>
        <v>6</v>
      </c>
      <c r="DL205" s="315">
        <f t="shared" ref="DL205:DL208" si="3370">IF($CP205="UNHESA LIQUIDOS",$AY205+$BH205+$BQ205+$BZ205+$CI205,0)</f>
        <v>118.73925000000001</v>
      </c>
      <c r="DM205" s="315">
        <f t="shared" ref="DM205:DM208" si="3371">IF($CP205="UNHESA LIQUIDOS",$AZ205+$BI205+$BR205+$CA205+$CJ205,0)</f>
        <v>0</v>
      </c>
      <c r="DN205" s="315">
        <f t="shared" ref="DN205:DN208" si="3372">IF($CP205="UNHESA LIQUIDOS",$BA205+$BJ205+$BS205+$CB205+$CK205,0)</f>
        <v>0</v>
      </c>
      <c r="DO205" s="315">
        <f t="shared" ref="DO205:DO208" si="3373">IF($CP205="UNHESA LIQUIDOS",$BB205+$BK205+$BT205+$CC205+$CL205,0)</f>
        <v>0</v>
      </c>
      <c r="DP205" s="315">
        <f t="shared" ref="DP205:DP208" si="3374">IF($CP205="UNHESA LIQUIDOS",$BC205+$BL205+$BU205+$CD205+$CM205,0)</f>
        <v>416.22460897500002</v>
      </c>
      <c r="DQ205" s="315">
        <f t="shared" ref="DQ205" si="3375">SUM(DI205:DP205)-DK205-DM205</f>
        <v>4626.3438589749994</v>
      </c>
      <c r="DR205" s="360">
        <f>IF($CP205="ECONACIONAL",$AV205+$BE205+$BN205+$BW205+$CF205,0)</f>
        <v>0</v>
      </c>
      <c r="DS205" s="361">
        <f>IF($CP205="ECONACIONAL",$AW205+$BF205+$BO205+$BX205+$CG205,0)</f>
        <v>0</v>
      </c>
      <c r="DT205" s="361">
        <f>IF($CP205="ECONACIONAL",$AX205+$BG205+$BP205+$BY205+$CH205,0)</f>
        <v>0</v>
      </c>
      <c r="DU205" s="361">
        <f>IF($CP205="ECONACIONAL",$AY205+$BH205+$BQ205+$BZ205+$CI205,0)</f>
        <v>0</v>
      </c>
      <c r="DV205" s="361">
        <f>IF($CP205="ECONACIONAL",$AZ205+$BI205+$BR205+$CA205+$CJ205,0)</f>
        <v>0</v>
      </c>
      <c r="DW205" s="361">
        <f>IF($CP205="ECONACIONAL",$BA205+$BJ205+$BS205+$CB205+$CK205,0)</f>
        <v>0</v>
      </c>
      <c r="DX205" s="361">
        <f>IF($CP205="ECONACIONAL",$BB205+$BK205+$BT205+$CC205+$CL205,0)</f>
        <v>0</v>
      </c>
      <c r="DY205" s="361">
        <f>IF($CP205="ECONACIONAL",$BC205+$BL205+$BU205+$CD205+$CM205,0)</f>
        <v>0</v>
      </c>
      <c r="DZ205" s="361">
        <f t="shared" ref="DZ205" si="3376">SUM(DR205:DY205)-DT205-DV205</f>
        <v>0</v>
      </c>
      <c r="EA205" s="361">
        <f>IF($CP205="CLEARTEC",$AV205+$BE205+$BN205+$BW205+$CF205,0)</f>
        <v>0</v>
      </c>
      <c r="EB205" s="361">
        <f>IF($CP205="CLEARTEC",$AW205+$BF205+$BO205+$BX205+$CG205,0)</f>
        <v>0</v>
      </c>
      <c r="EC205" s="361">
        <f>IF($CP205="CLEARTEC",$AX205+$BG205+$BP205+$BY205+$CH205,0)</f>
        <v>0</v>
      </c>
      <c r="ED205" s="361">
        <f>IF($CP205="CLEARTEC",$AY205+$BH205+$BQ205+$BZ205+$CI205,0)</f>
        <v>0</v>
      </c>
      <c r="EE205" s="361">
        <f>IF($CP205="CLEARTEC",$AZ205+$BI205+$BR205+$CA205+$CJ205,0)</f>
        <v>0</v>
      </c>
      <c r="EF205" s="361">
        <f>IF($CP205="CLEARTEC",$BA205+$BJ205+$BS205+$CB205+$CK205,0)</f>
        <v>0</v>
      </c>
      <c r="EG205" s="361">
        <f>IF($CP205="CLEARTEC",$BB205+$BK205+$BT205+$CC205+$CL205,0)</f>
        <v>0</v>
      </c>
      <c r="EH205" s="361">
        <f>IF($CP205="CLEARTEC",$BC205+$BL205+$BU205+$CD205+$CM205,0)</f>
        <v>0</v>
      </c>
      <c r="EI205" s="362">
        <f t="shared" ref="EI205" si="3377">SUM(EA205:EH205)-EC205-EE205</f>
        <v>0</v>
      </c>
      <c r="EJ205" s="330"/>
      <c r="EK205" s="312">
        <v>35.270000000000003</v>
      </c>
      <c r="EL205" s="313">
        <v>1079.7</v>
      </c>
      <c r="EM205" s="1425"/>
      <c r="EN205" s="321">
        <f>207.75+211.5</f>
        <v>419.25</v>
      </c>
      <c r="EO205" s="313"/>
      <c r="EP205" s="313">
        <v>50</v>
      </c>
      <c r="EQ205" s="1969"/>
      <c r="ER205" s="313"/>
      <c r="ES205" s="312"/>
      <c r="ET205" s="313">
        <f t="shared" ref="ET205:ET215" si="3378">+EO205+EP205+EQ205</f>
        <v>50</v>
      </c>
      <c r="EV205" s="321">
        <f t="shared" ref="EV205:FA209" si="3379">IF($H205&lt;=15,EK205/2,EK205)</f>
        <v>35.270000000000003</v>
      </c>
      <c r="EW205" s="321">
        <f t="shared" si="3379"/>
        <v>1079.7</v>
      </c>
      <c r="EX205" s="321">
        <f t="shared" si="3379"/>
        <v>0</v>
      </c>
      <c r="EY205" s="321">
        <f t="shared" si="3379"/>
        <v>419.25</v>
      </c>
      <c r="EZ205" s="321">
        <f t="shared" si="3379"/>
        <v>0</v>
      </c>
      <c r="FA205" s="321">
        <f t="shared" si="3379"/>
        <v>50</v>
      </c>
      <c r="FB205" s="321">
        <f t="shared" ref="FB205" si="3380">IF($H205&lt;=15,EQ205/2,EQ205)</f>
        <v>0</v>
      </c>
      <c r="FC205" s="321">
        <f t="shared" ref="FC205" si="3381">IF($H205&lt;=15,ER205/2,ER205)</f>
        <v>0</v>
      </c>
      <c r="FD205" s="321">
        <f t="shared" ref="FD205:FD209" si="3382">IF($H205&lt;=15,ES205/2,ES205)</f>
        <v>0</v>
      </c>
      <c r="FE205" s="321">
        <f t="shared" ref="FE205" si="3383">IF($H205&lt;=15,ET205/2,ET205)</f>
        <v>50</v>
      </c>
      <c r="FF205" s="332">
        <v>0</v>
      </c>
      <c r="FG205" s="332">
        <v>0</v>
      </c>
      <c r="FH205" s="332">
        <v>1</v>
      </c>
      <c r="FI205" s="332">
        <v>0</v>
      </c>
      <c r="FJ205" s="332">
        <v>0</v>
      </c>
      <c r="FK205" s="332">
        <v>1</v>
      </c>
      <c r="FL205" s="331">
        <f>+EP205-FA205</f>
        <v>0</v>
      </c>
    </row>
    <row r="206" spans="1:260" s="331" customFormat="1" ht="15" customHeight="1" outlineLevel="1">
      <c r="A206" s="415">
        <f>+A205+1</f>
        <v>115</v>
      </c>
      <c r="B206" s="311" t="s">
        <v>555</v>
      </c>
      <c r="C206" s="312" t="s">
        <v>596</v>
      </c>
      <c r="D206" s="312" t="s">
        <v>11</v>
      </c>
      <c r="E206" s="1971">
        <v>3166.38</v>
      </c>
      <c r="F206" s="314">
        <v>250</v>
      </c>
      <c r="G206" s="1988">
        <f t="shared" si="3307"/>
        <v>3416.38</v>
      </c>
      <c r="H206" s="1971">
        <v>30</v>
      </c>
      <c r="I206" s="318">
        <v>0</v>
      </c>
      <c r="J206" s="1580">
        <v>0</v>
      </c>
      <c r="K206" s="1580">
        <v>1</v>
      </c>
      <c r="L206" s="318">
        <v>0</v>
      </c>
      <c r="M206" s="318">
        <v>0</v>
      </c>
      <c r="N206" s="318">
        <f t="shared" ref="N206:N209" si="3384">SUM(I206:M206)</f>
        <v>1</v>
      </c>
      <c r="O206" s="1477" t="s">
        <v>54</v>
      </c>
      <c r="P206" s="320"/>
      <c r="Q206" s="315">
        <f t="shared" si="3309"/>
        <v>0</v>
      </c>
      <c r="R206" s="321"/>
      <c r="S206" s="315">
        <f t="shared" si="3310"/>
        <v>0</v>
      </c>
      <c r="T206" s="321"/>
      <c r="U206" s="315">
        <f t="shared" si="3311"/>
        <v>0</v>
      </c>
      <c r="V206" s="320"/>
      <c r="W206" s="315">
        <f t="shared" si="3312"/>
        <v>0</v>
      </c>
      <c r="X206" s="321">
        <v>2</v>
      </c>
      <c r="Y206" s="315">
        <f t="shared" si="3313"/>
        <v>39.579750000000004</v>
      </c>
      <c r="Z206" s="322"/>
      <c r="AA206" s="315">
        <f t="shared" si="3314"/>
        <v>0</v>
      </c>
      <c r="AB206" s="322"/>
      <c r="AC206" s="315">
        <f t="shared" si="3315"/>
        <v>0</v>
      </c>
      <c r="AD206" s="322"/>
      <c r="AE206" s="315">
        <f t="shared" si="3316"/>
        <v>0</v>
      </c>
      <c r="AF206" s="315"/>
      <c r="AG206" s="315">
        <f t="shared" ref="AG206:AG210" si="3385">(($E206/30/8)*1.5)*AF206</f>
        <v>0</v>
      </c>
      <c r="AH206" s="322"/>
      <c r="AI206" s="315">
        <f t="shared" ref="AI206:AI210" si="3386">(($E206/30/8)*2)*AH206</f>
        <v>0</v>
      </c>
      <c r="AJ206" s="314"/>
      <c r="AK206" s="314"/>
      <c r="AL206" s="314"/>
      <c r="AM206" s="314"/>
      <c r="AN206" s="314"/>
      <c r="AO206" s="314"/>
      <c r="AP206" s="314"/>
      <c r="AQ206" s="314"/>
      <c r="AR206" s="314"/>
      <c r="AS206" s="314"/>
      <c r="AT206" s="314"/>
      <c r="AU206" s="359"/>
      <c r="AV206" s="315">
        <f t="shared" si="3319"/>
        <v>0</v>
      </c>
      <c r="AW206" s="358">
        <f>((F206/30)*H206)*$I206</f>
        <v>0</v>
      </c>
      <c r="AX206" s="315">
        <f t="shared" si="3320"/>
        <v>0</v>
      </c>
      <c r="AY206" s="315">
        <f t="shared" si="3321"/>
        <v>0</v>
      </c>
      <c r="AZ206" s="315">
        <f t="shared" si="3322"/>
        <v>0</v>
      </c>
      <c r="BA206" s="315">
        <f t="shared" si="3323"/>
        <v>0</v>
      </c>
      <c r="BB206" s="315">
        <f t="shared" si="3324"/>
        <v>0</v>
      </c>
      <c r="BC206" s="315">
        <f t="shared" si="3325"/>
        <v>0</v>
      </c>
      <c r="BD206" s="315">
        <f t="shared" si="3326"/>
        <v>0</v>
      </c>
      <c r="BE206" s="315">
        <f t="shared" si="3327"/>
        <v>0</v>
      </c>
      <c r="BF206" s="315">
        <f>(($F206/30)*$H206)*$J206</f>
        <v>0</v>
      </c>
      <c r="BG206" s="315">
        <f t="shared" si="3329"/>
        <v>0</v>
      </c>
      <c r="BH206" s="315">
        <f t="shared" si="3330"/>
        <v>0</v>
      </c>
      <c r="BI206" s="315">
        <f t="shared" si="3331"/>
        <v>0</v>
      </c>
      <c r="BJ206" s="315">
        <f t="shared" si="3332"/>
        <v>0</v>
      </c>
      <c r="BK206" s="315">
        <f t="shared" si="3333"/>
        <v>0</v>
      </c>
      <c r="BL206" s="315">
        <f t="shared" si="3334"/>
        <v>0</v>
      </c>
      <c r="BM206" s="314">
        <f t="shared" si="3335"/>
        <v>0</v>
      </c>
      <c r="BN206" s="315">
        <f t="shared" si="3336"/>
        <v>3166.38</v>
      </c>
      <c r="BO206" s="906">
        <f t="shared" ref="BO206:BO212" si="3387">(($F206/30)*$H206)*$K206</f>
        <v>250.00000000000003</v>
      </c>
      <c r="BP206" s="315">
        <f t="shared" si="3337"/>
        <v>2</v>
      </c>
      <c r="BQ206" s="315">
        <f t="shared" si="3338"/>
        <v>39.579750000000004</v>
      </c>
      <c r="BR206" s="315">
        <f t="shared" si="3339"/>
        <v>0</v>
      </c>
      <c r="BS206" s="315">
        <f t="shared" si="3340"/>
        <v>0</v>
      </c>
      <c r="BT206" s="315">
        <f t="shared" si="3341"/>
        <v>0</v>
      </c>
      <c r="BU206" s="315">
        <f t="shared" si="3342"/>
        <v>406.195100325</v>
      </c>
      <c r="BV206" s="315">
        <f t="shared" si="3343"/>
        <v>3862.1548503250001</v>
      </c>
      <c r="BW206" s="360">
        <f t="shared" ref="BW206:BW210" si="3388">(($E206/30)*$H206)*$L206</f>
        <v>0</v>
      </c>
      <c r="BX206" s="361">
        <f t="shared" si="3345"/>
        <v>0</v>
      </c>
      <c r="BY206" s="361">
        <f t="shared" ref="BY206" si="3389">AB206</f>
        <v>0</v>
      </c>
      <c r="BZ206" s="361">
        <f t="shared" ref="BZ206" si="3390">AC206</f>
        <v>0</v>
      </c>
      <c r="CA206" s="361">
        <f t="shared" ref="CA206" si="3391">AD206</f>
        <v>0</v>
      </c>
      <c r="CB206" s="361">
        <f t="shared" ref="CB206" si="3392">AE206</f>
        <v>0</v>
      </c>
      <c r="CC206" s="361">
        <f t="shared" ref="CC206:CC210" si="3393">AM206+AR206</f>
        <v>0</v>
      </c>
      <c r="CD206" s="361">
        <f t="shared" ref="CD206:CD210" si="3394">(BW206+BZ206+CB206)*0.1267</f>
        <v>0</v>
      </c>
      <c r="CE206" s="361">
        <f t="shared" ref="CE206:CE210" si="3395">SUM(BW206:CD206)-BY206-CA206</f>
        <v>0</v>
      </c>
      <c r="CF206" s="361">
        <f t="shared" ref="CF206:CF210" si="3396">(($E206/30)*$H206)*M206</f>
        <v>0</v>
      </c>
      <c r="CG206" s="361">
        <f t="shared" si="3354"/>
        <v>0</v>
      </c>
      <c r="CH206" s="361">
        <f t="shared" ref="CH206:CH210" si="3397">+AF206</f>
        <v>0</v>
      </c>
      <c r="CI206" s="361">
        <f t="shared" ref="CI206" si="3398">AG206</f>
        <v>0</v>
      </c>
      <c r="CJ206" s="361">
        <f t="shared" ref="CJ206" si="3399">AH206</f>
        <v>0</v>
      </c>
      <c r="CK206" s="361">
        <f t="shared" ref="CK206" si="3400">AI206</f>
        <v>0</v>
      </c>
      <c r="CL206" s="361">
        <f t="shared" ref="CL206:CL210" si="3401">AN206+AS206</f>
        <v>0</v>
      </c>
      <c r="CM206" s="361">
        <f t="shared" ref="CM206:CM210" si="3402">(CF206+CI206+CK206)*0.1267</f>
        <v>0</v>
      </c>
      <c r="CN206" s="362">
        <f t="shared" ref="CN206:CN210" si="3403">SUM(CF206:CM206)-CH206-CJ206</f>
        <v>0</v>
      </c>
      <c r="CO206" s="330"/>
      <c r="CP206" s="313" t="s">
        <v>12</v>
      </c>
      <c r="CQ206" s="315">
        <f t="shared" ref="CQ206:CQ207" si="3404">IF($CP206="PROQUIMA",$AV206+$BE206+$BN206+$BW206+$CF206,0)</f>
        <v>0</v>
      </c>
      <c r="CR206" s="315">
        <f t="shared" ref="CR206:CR207" si="3405">IF($CP206="PROQUIMA",$AW206+$BF206+$BO206+$BX206+$CG206,0)</f>
        <v>0</v>
      </c>
      <c r="CS206" s="315">
        <f t="shared" ref="CS206:CS207" si="3406">IF($CP206="PROQUIMA",$AX206+$BG206+$BP206+$BY206+$CH206,0)</f>
        <v>0</v>
      </c>
      <c r="CT206" s="315">
        <f t="shared" ref="CT206:CT207" si="3407">IF($CP206="PROQUIMA",$AY206+$BH206+$BQ206+$BZ206+$CI206,0)</f>
        <v>0</v>
      </c>
      <c r="CU206" s="315">
        <f t="shared" ref="CU206:CU207" si="3408">IF($CP206="PROQUIMA",$AZ206+$BI206+$BR206+$CA206+$CJ206,0)</f>
        <v>0</v>
      </c>
      <c r="CV206" s="315">
        <f t="shared" si="3362"/>
        <v>0</v>
      </c>
      <c r="CW206" s="315">
        <f t="shared" ref="CW206:CW207" si="3409">IF($CP206="PROQUIMA",$BB206+$BK206+$BT206+$CC206+$CL206,0)</f>
        <v>0</v>
      </c>
      <c r="CX206" s="315">
        <f t="shared" si="3363"/>
        <v>0</v>
      </c>
      <c r="CY206" s="315">
        <f t="shared" si="3364"/>
        <v>0</v>
      </c>
      <c r="CZ206" s="315">
        <f t="shared" ref="CZ206:CZ207" si="3410">IF($CP206="UNHESA",$AV206+$BE206+$BN206+$BW206+$CF206,0)</f>
        <v>0</v>
      </c>
      <c r="DA206" s="315">
        <f t="shared" si="3365"/>
        <v>0</v>
      </c>
      <c r="DB206" s="315">
        <f t="shared" ref="DB206:DB207" si="3411">IF($CP206="UNHESA",$AX206+$BG206+$BP206+$BY206+$CH206,0)</f>
        <v>0</v>
      </c>
      <c r="DC206" s="315">
        <f t="shared" ref="DC206:DC207" si="3412">IF($CP206="UNHESA",$AY206+$BH206+$BQ206+$BZ206+$CI206,0)</f>
        <v>0</v>
      </c>
      <c r="DD206" s="315">
        <f t="shared" ref="DD206:DD207" si="3413">IF($CP206="UNHESA",$AZ206+$BI206+$BR206+$CA206+$CJ206,0)</f>
        <v>0</v>
      </c>
      <c r="DE206" s="315">
        <f t="shared" ref="DE206:DE207" si="3414">IF($CP206="UNHESA",$BA206+$BJ206+$BS206+$CB206+$CK206,0)</f>
        <v>0</v>
      </c>
      <c r="DF206" s="315">
        <f t="shared" ref="DF206:DF207" si="3415">IF($CP206="UNHESA",$BB206+$BK206+$BT206+$CC206+$CL206,0)</f>
        <v>0</v>
      </c>
      <c r="DG206" s="315">
        <f t="shared" ref="DG206:DG207" si="3416">IF($CP206="UNHESA",$BC206+$BL206+$BU206+$CD206+$CM206,0)</f>
        <v>0</v>
      </c>
      <c r="DH206" s="315">
        <f t="shared" si="3366"/>
        <v>0</v>
      </c>
      <c r="DI206" s="315">
        <f>IF($CP206="UNHESA LIQUIDOS",$AV206+$BE206+$BN206+$BW206+$CF206,0)</f>
        <v>3166.38</v>
      </c>
      <c r="DJ206" s="315">
        <f>IF($CP206="UNHESA LIQUIDOS",$AW206+$BF206+$BO206+$BX206+$CG206,0)</f>
        <v>250.00000000000003</v>
      </c>
      <c r="DK206" s="315">
        <f>IF($CP206="UNHESA LIQUIDOS",$AX206+$BG206+$BP206+$BY206+$CH206,0)</f>
        <v>2</v>
      </c>
      <c r="DL206" s="315">
        <f>IF($CP206="UNHESA LIQUIDOS",$AY206+$BH206+$BQ206+$BZ206+$CI206,0)</f>
        <v>39.579750000000004</v>
      </c>
      <c r="DM206" s="315">
        <f>IF($CP206="UNHESA LIQUIDOS",$AZ206+$BI206+$BR206+$CA206+$CJ206,0)</f>
        <v>0</v>
      </c>
      <c r="DN206" s="315">
        <f>IF($CP206="UNHESA LIQUIDOS",$BA206+$BJ206+$BS206+$CB206+$CK206,0)</f>
        <v>0</v>
      </c>
      <c r="DO206" s="315">
        <f>IF($CP206="UNHESA LIQUIDOS",$BB206+$BK206+$BT206+$CC206+$CL206,0)</f>
        <v>0</v>
      </c>
      <c r="DP206" s="315">
        <f>IF($CP206="UNHESA LIQUIDOS",$BC206+$BL206+$BU206+$CD206+$CM206,0)</f>
        <v>406.195100325</v>
      </c>
      <c r="DQ206" s="315">
        <f>SUM(DI206:DP206)-DK206-DM206</f>
        <v>3862.1548503250001</v>
      </c>
      <c r="DR206" s="360">
        <f t="shared" ref="DR206" si="3417">IF($CP206="ECONACIONAL",$AV206+$BE206+$BN206+$BW206+$CF206,0)</f>
        <v>0</v>
      </c>
      <c r="DS206" s="361">
        <f t="shared" ref="DS206" si="3418">IF($CP206="ECONACIONAL",$AW206+$BF206+$BO206+$BX206+$CG206,0)</f>
        <v>0</v>
      </c>
      <c r="DT206" s="361">
        <f t="shared" ref="DT206" si="3419">IF($CP206="ECONACIONAL",$AX206+$BG206+$BP206+$BY206+$CH206,0)</f>
        <v>0</v>
      </c>
      <c r="DU206" s="361">
        <f t="shared" ref="DU206" si="3420">IF($CP206="ECONACIONAL",$AY206+$BH206+$BQ206+$BZ206+$CI206,0)</f>
        <v>0</v>
      </c>
      <c r="DV206" s="361">
        <f t="shared" ref="DV206" si="3421">IF($CP206="ECONACIONAL",$AZ206+$BI206+$BR206+$CA206+$CJ206,0)</f>
        <v>0</v>
      </c>
      <c r="DW206" s="361">
        <f t="shared" ref="DW206" si="3422">IF($CP206="ECONACIONAL",$BA206+$BJ206+$BS206+$CB206+$CK206,0)</f>
        <v>0</v>
      </c>
      <c r="DX206" s="361">
        <f t="shared" ref="DX206" si="3423">IF($CP206="ECONACIONAL",$BB206+$BK206+$BT206+$CC206+$CL206,0)</f>
        <v>0</v>
      </c>
      <c r="DY206" s="361">
        <f t="shared" ref="DY206" si="3424">IF($CP206="ECONACIONAL",$BC206+$BL206+$BU206+$CD206+$CM206,0)</f>
        <v>0</v>
      </c>
      <c r="DZ206" s="361">
        <f>SUM(DR206:DY206)-DT206-DV206</f>
        <v>0</v>
      </c>
      <c r="EA206" s="361">
        <f t="shared" ref="EA206" si="3425">IF($CP206="CLEARTEC",$AV206+$BE206+$BN206+$BW206+$CF206,0)</f>
        <v>0</v>
      </c>
      <c r="EB206" s="361">
        <f t="shared" ref="EB206" si="3426">IF($CP206="CLEARTEC",$AW206+$BF206+$BO206+$BX206+$CG206,0)</f>
        <v>0</v>
      </c>
      <c r="EC206" s="361">
        <f t="shared" ref="EC206" si="3427">IF($CP206="CLEARTEC",$AX206+$BG206+$BP206+$BY206+$CH206,0)</f>
        <v>0</v>
      </c>
      <c r="ED206" s="361">
        <f t="shared" ref="ED206" si="3428">IF($CP206="CLEARTEC",$AY206+$BH206+$BQ206+$BZ206+$CI206,0)</f>
        <v>0</v>
      </c>
      <c r="EE206" s="361">
        <f t="shared" ref="EE206" si="3429">IF($CP206="CLEARTEC",$AZ206+$BI206+$BR206+$CA206+$CJ206,0)</f>
        <v>0</v>
      </c>
      <c r="EF206" s="361">
        <f t="shared" ref="EF206" si="3430">IF($CP206="CLEARTEC",$BA206+$BJ206+$BS206+$CB206+$CK206,0)</f>
        <v>0</v>
      </c>
      <c r="EG206" s="361">
        <f t="shared" ref="EG206" si="3431">IF($CP206="CLEARTEC",$BB206+$BK206+$BT206+$CC206+$CL206,0)</f>
        <v>0</v>
      </c>
      <c r="EH206" s="361">
        <f t="shared" ref="EH206" si="3432">IF($CP206="CLEARTEC",$BC206+$BL206+$BU206+$CD206+$CM206,0)</f>
        <v>0</v>
      </c>
      <c r="EI206" s="362">
        <f>SUM(EA206:EH206)-EC206-EE206</f>
        <v>0</v>
      </c>
      <c r="EJ206" s="330"/>
      <c r="EK206" s="312"/>
      <c r="EL206" s="1425"/>
      <c r="EM206" s="313"/>
      <c r="EN206" s="312">
        <f>203+216.75</f>
        <v>419.75</v>
      </c>
      <c r="EO206" s="313"/>
      <c r="EP206" s="313">
        <v>50</v>
      </c>
      <c r="EQ206" s="1969"/>
      <c r="ER206" s="1543"/>
      <c r="ES206" s="312"/>
      <c r="ET206" s="313">
        <f t="shared" si="3378"/>
        <v>50</v>
      </c>
      <c r="EV206" s="321">
        <f t="shared" si="3379"/>
        <v>0</v>
      </c>
      <c r="EW206" s="321">
        <f t="shared" si="3379"/>
        <v>0</v>
      </c>
      <c r="EX206" s="321">
        <f t="shared" si="3379"/>
        <v>0</v>
      </c>
      <c r="EY206" s="321">
        <f t="shared" si="3379"/>
        <v>419.75</v>
      </c>
      <c r="EZ206" s="321">
        <f t="shared" si="3379"/>
        <v>0</v>
      </c>
      <c r="FA206" s="321">
        <f t="shared" si="3379"/>
        <v>50</v>
      </c>
      <c r="FB206" s="321">
        <f t="shared" ref="FB206" si="3433">IF($H206&lt;=15,EQ206/2,EQ206)</f>
        <v>0</v>
      </c>
      <c r="FC206" s="321">
        <f t="shared" ref="FC206" si="3434">IF($H206&lt;=15,ER206/2,ER206)</f>
        <v>0</v>
      </c>
      <c r="FD206" s="321">
        <f t="shared" si="3382"/>
        <v>0</v>
      </c>
      <c r="FE206" s="321">
        <f t="shared" ref="FE206" si="3435">IF($H206&lt;=15,ET206/2,ET206)</f>
        <v>50</v>
      </c>
      <c r="FF206" s="332">
        <v>0</v>
      </c>
      <c r="FG206" s="332">
        <v>1</v>
      </c>
      <c r="FH206" s="332">
        <v>0</v>
      </c>
      <c r="FI206" s="332">
        <v>0</v>
      </c>
      <c r="FJ206" s="332">
        <v>0</v>
      </c>
      <c r="FK206" s="332">
        <v>1</v>
      </c>
      <c r="FL206" s="331">
        <f t="shared" ref="FL206" si="3436">+EP206-FA206</f>
        <v>0</v>
      </c>
    </row>
    <row r="207" spans="1:260" s="2005" customFormat="1" ht="15" customHeight="1" outlineLevel="1">
      <c r="A207" s="2000">
        <f>+A206+1</f>
        <v>116</v>
      </c>
      <c r="B207" s="1899" t="s">
        <v>635</v>
      </c>
      <c r="C207" s="1900" t="s">
        <v>93</v>
      </c>
      <c r="D207" s="1900" t="s">
        <v>11</v>
      </c>
      <c r="E207" s="1971">
        <v>3166.38</v>
      </c>
      <c r="F207" s="2001">
        <v>250</v>
      </c>
      <c r="G207" s="1598">
        <f t="shared" si="3307"/>
        <v>3416.38</v>
      </c>
      <c r="H207" s="1907"/>
      <c r="I207" s="1903">
        <v>0</v>
      </c>
      <c r="J207" s="2002">
        <v>0</v>
      </c>
      <c r="K207" s="2002">
        <v>1</v>
      </c>
      <c r="L207" s="1904">
        <v>0</v>
      </c>
      <c r="M207" s="1904">
        <v>0</v>
      </c>
      <c r="N207" s="1903">
        <f t="shared" si="3384"/>
        <v>1</v>
      </c>
      <c r="O207" s="1905" t="s">
        <v>875</v>
      </c>
      <c r="P207" s="1906"/>
      <c r="Q207" s="1907">
        <f t="shared" si="3309"/>
        <v>0</v>
      </c>
      <c r="R207" s="1908"/>
      <c r="S207" s="1907">
        <f t="shared" si="3310"/>
        <v>0</v>
      </c>
      <c r="T207" s="1908"/>
      <c r="U207" s="1907">
        <f t="shared" si="3311"/>
        <v>0</v>
      </c>
      <c r="V207" s="1906"/>
      <c r="W207" s="1907">
        <f t="shared" si="3312"/>
        <v>0</v>
      </c>
      <c r="X207" s="1908"/>
      <c r="Y207" s="1907">
        <f t="shared" si="3313"/>
        <v>0</v>
      </c>
      <c r="Z207" s="1909"/>
      <c r="AA207" s="1907">
        <f t="shared" si="3314"/>
        <v>0</v>
      </c>
      <c r="AB207" s="1910"/>
      <c r="AC207" s="1901">
        <f t="shared" si="3315"/>
        <v>0</v>
      </c>
      <c r="AD207" s="1910"/>
      <c r="AE207" s="1901">
        <f t="shared" si="3316"/>
        <v>0</v>
      </c>
      <c r="AF207" s="1901"/>
      <c r="AG207" s="1901">
        <f t="shared" si="3385"/>
        <v>0</v>
      </c>
      <c r="AH207" s="1910"/>
      <c r="AI207" s="1901">
        <f t="shared" si="3386"/>
        <v>0</v>
      </c>
      <c r="AJ207" s="1902"/>
      <c r="AK207" s="1902"/>
      <c r="AL207" s="1902"/>
      <c r="AM207" s="1902"/>
      <c r="AN207" s="1902"/>
      <c r="AO207" s="1902"/>
      <c r="AP207" s="1902"/>
      <c r="AQ207" s="1902"/>
      <c r="AR207" s="1902"/>
      <c r="AS207" s="1902"/>
      <c r="AT207" s="1902"/>
      <c r="AU207" s="1911"/>
      <c r="AV207" s="1907">
        <f t="shared" si="3319"/>
        <v>0</v>
      </c>
      <c r="AW207" s="1907">
        <f t="shared" ref="AW207" si="3437">((F207/30)*H207)*$I207</f>
        <v>0</v>
      </c>
      <c r="AX207" s="1907">
        <f t="shared" si="3320"/>
        <v>0</v>
      </c>
      <c r="AY207" s="1907">
        <f t="shared" si="3321"/>
        <v>0</v>
      </c>
      <c r="AZ207" s="1907">
        <f t="shared" si="3322"/>
        <v>0</v>
      </c>
      <c r="BA207" s="1907">
        <f t="shared" si="3323"/>
        <v>0</v>
      </c>
      <c r="BB207" s="1907">
        <f t="shared" si="3324"/>
        <v>0</v>
      </c>
      <c r="BC207" s="1907">
        <f t="shared" si="3325"/>
        <v>0</v>
      </c>
      <c r="BD207" s="1907">
        <f t="shared" si="3326"/>
        <v>0</v>
      </c>
      <c r="BE207" s="1907">
        <f t="shared" si="3327"/>
        <v>0</v>
      </c>
      <c r="BF207" s="1907">
        <f t="shared" si="3328"/>
        <v>0</v>
      </c>
      <c r="BG207" s="1907">
        <f t="shared" si="3329"/>
        <v>0</v>
      </c>
      <c r="BH207" s="1907">
        <f t="shared" si="3330"/>
        <v>0</v>
      </c>
      <c r="BI207" s="1907">
        <f t="shared" si="3331"/>
        <v>0</v>
      </c>
      <c r="BJ207" s="1907">
        <f t="shared" si="3332"/>
        <v>0</v>
      </c>
      <c r="BK207" s="1907">
        <f t="shared" si="3333"/>
        <v>0</v>
      </c>
      <c r="BL207" s="1907">
        <f t="shared" si="3334"/>
        <v>0</v>
      </c>
      <c r="BM207" s="2001">
        <f t="shared" si="3335"/>
        <v>0</v>
      </c>
      <c r="BN207" s="1907">
        <f t="shared" si="3336"/>
        <v>0</v>
      </c>
      <c r="BO207" s="1907">
        <f t="shared" si="3387"/>
        <v>0</v>
      </c>
      <c r="BP207" s="1907">
        <f t="shared" si="3337"/>
        <v>0</v>
      </c>
      <c r="BQ207" s="1907">
        <f t="shared" si="3338"/>
        <v>0</v>
      </c>
      <c r="BR207" s="1907">
        <f t="shared" si="3339"/>
        <v>0</v>
      </c>
      <c r="BS207" s="1907">
        <f t="shared" si="3340"/>
        <v>0</v>
      </c>
      <c r="BT207" s="1907">
        <f t="shared" si="3341"/>
        <v>0</v>
      </c>
      <c r="BU207" s="1907">
        <f t="shared" si="3342"/>
        <v>0</v>
      </c>
      <c r="BV207" s="1907">
        <f t="shared" si="3343"/>
        <v>0</v>
      </c>
      <c r="BW207" s="1912">
        <f t="shared" si="3388"/>
        <v>0</v>
      </c>
      <c r="BX207" s="1913">
        <f t="shared" si="3345"/>
        <v>0</v>
      </c>
      <c r="BY207" s="1913">
        <f t="shared" ref="BY207:BY208" si="3438">AB207</f>
        <v>0</v>
      </c>
      <c r="BZ207" s="1913">
        <f t="shared" ref="BZ207:BZ208" si="3439">AC207</f>
        <v>0</v>
      </c>
      <c r="CA207" s="1913">
        <f t="shared" ref="CA207:CA208" si="3440">AD207</f>
        <v>0</v>
      </c>
      <c r="CB207" s="1913">
        <f t="shared" ref="CB207:CB208" si="3441">AE207</f>
        <v>0</v>
      </c>
      <c r="CC207" s="1913">
        <f t="shared" si="3393"/>
        <v>0</v>
      </c>
      <c r="CD207" s="1913">
        <f t="shared" si="3394"/>
        <v>0</v>
      </c>
      <c r="CE207" s="1913">
        <f t="shared" si="3395"/>
        <v>0</v>
      </c>
      <c r="CF207" s="1913">
        <f t="shared" si="3396"/>
        <v>0</v>
      </c>
      <c r="CG207" s="1913">
        <f t="shared" si="3354"/>
        <v>0</v>
      </c>
      <c r="CH207" s="1913">
        <f t="shared" si="3397"/>
        <v>0</v>
      </c>
      <c r="CI207" s="1913">
        <f t="shared" ref="CI207:CI208" si="3442">AG207</f>
        <v>0</v>
      </c>
      <c r="CJ207" s="1913">
        <f t="shared" ref="CJ207:CJ208" si="3443">AH207</f>
        <v>0</v>
      </c>
      <c r="CK207" s="1913">
        <f t="shared" ref="CK207:CK208" si="3444">AI207</f>
        <v>0</v>
      </c>
      <c r="CL207" s="1913">
        <f t="shared" si="3401"/>
        <v>0</v>
      </c>
      <c r="CM207" s="1913">
        <f t="shared" si="3402"/>
        <v>0</v>
      </c>
      <c r="CN207" s="1914">
        <f t="shared" si="3403"/>
        <v>0</v>
      </c>
      <c r="CO207" s="2003"/>
      <c r="CP207" s="1915" t="s">
        <v>12</v>
      </c>
      <c r="CQ207" s="1907">
        <f t="shared" si="3404"/>
        <v>0</v>
      </c>
      <c r="CR207" s="1907">
        <f t="shared" si="3405"/>
        <v>0</v>
      </c>
      <c r="CS207" s="1907">
        <f t="shared" si="3406"/>
        <v>0</v>
      </c>
      <c r="CT207" s="1907">
        <f t="shared" si="3407"/>
        <v>0</v>
      </c>
      <c r="CU207" s="1907">
        <f t="shared" si="3408"/>
        <v>0</v>
      </c>
      <c r="CV207" s="1907">
        <f t="shared" si="3362"/>
        <v>0</v>
      </c>
      <c r="CW207" s="1907">
        <f t="shared" si="3409"/>
        <v>0</v>
      </c>
      <c r="CX207" s="1907">
        <f t="shared" si="3363"/>
        <v>0</v>
      </c>
      <c r="CY207" s="1907">
        <f t="shared" si="3364"/>
        <v>0</v>
      </c>
      <c r="CZ207" s="1907">
        <f t="shared" si="3410"/>
        <v>0</v>
      </c>
      <c r="DA207" s="1907">
        <f t="shared" si="3365"/>
        <v>0</v>
      </c>
      <c r="DB207" s="1907">
        <f t="shared" si="3411"/>
        <v>0</v>
      </c>
      <c r="DC207" s="1907">
        <f t="shared" si="3412"/>
        <v>0</v>
      </c>
      <c r="DD207" s="1907">
        <f t="shared" si="3413"/>
        <v>0</v>
      </c>
      <c r="DE207" s="1907">
        <f t="shared" si="3414"/>
        <v>0</v>
      </c>
      <c r="DF207" s="1907">
        <f t="shared" si="3415"/>
        <v>0</v>
      </c>
      <c r="DG207" s="1907">
        <f t="shared" si="3416"/>
        <v>0</v>
      </c>
      <c r="DH207" s="1907">
        <f t="shared" si="3366"/>
        <v>0</v>
      </c>
      <c r="DI207" s="1907">
        <f t="shared" si="3367"/>
        <v>0</v>
      </c>
      <c r="DJ207" s="1907">
        <f>IF($CP207="UNHESA LIQUIDOS",$AW207+$BF207+$BO207+$BX207+$CG207,0)</f>
        <v>0</v>
      </c>
      <c r="DK207" s="1907">
        <f t="shared" si="3369"/>
        <v>0</v>
      </c>
      <c r="DL207" s="1907">
        <f t="shared" si="3370"/>
        <v>0</v>
      </c>
      <c r="DM207" s="1907">
        <f t="shared" si="3371"/>
        <v>0</v>
      </c>
      <c r="DN207" s="1907">
        <f t="shared" si="3372"/>
        <v>0</v>
      </c>
      <c r="DO207" s="1907">
        <f t="shared" si="3373"/>
        <v>0</v>
      </c>
      <c r="DP207" s="1907">
        <f t="shared" si="3374"/>
        <v>0</v>
      </c>
      <c r="DQ207" s="1907">
        <f t="shared" ref="DQ207:DQ208" si="3445">SUM(DI207:DP207)-DK207-DM207</f>
        <v>0</v>
      </c>
      <c r="DR207" s="1912">
        <f t="shared" ref="DR207" si="3446">IF($CP207="ECONACIONAL",$AV207+$BE207+$BN207+$BW207+$CF207,0)</f>
        <v>0</v>
      </c>
      <c r="DS207" s="1913">
        <f t="shared" ref="DS207" si="3447">IF($CP207="ECONACIONAL",$AW207+$BF207+$BO207+$BX207+$CG207,0)</f>
        <v>0</v>
      </c>
      <c r="DT207" s="1913">
        <f t="shared" ref="DT207" si="3448">IF($CP207="ECONACIONAL",$AX207+$BG207+$BP207+$BY207+$CH207,0)</f>
        <v>0</v>
      </c>
      <c r="DU207" s="1913">
        <f t="shared" ref="DU207" si="3449">IF($CP207="ECONACIONAL",$AY207+$BH207+$BQ207+$BZ207+$CI207,0)</f>
        <v>0</v>
      </c>
      <c r="DV207" s="1913">
        <f t="shared" ref="DV207" si="3450">IF($CP207="ECONACIONAL",$AZ207+$BI207+$BR207+$CA207+$CJ207,0)</f>
        <v>0</v>
      </c>
      <c r="DW207" s="1913">
        <f t="shared" ref="DW207" si="3451">IF($CP207="ECONACIONAL",$BA207+$BJ207+$BS207+$CB207+$CK207,0)</f>
        <v>0</v>
      </c>
      <c r="DX207" s="1913">
        <f t="shared" ref="DX207" si="3452">IF($CP207="ECONACIONAL",$BB207+$BK207+$BT207+$CC207+$CL207,0)</f>
        <v>0</v>
      </c>
      <c r="DY207" s="1913">
        <f t="shared" ref="DY207" si="3453">IF($CP207="ECONACIONAL",$BC207+$BL207+$BU207+$CD207+$CM207,0)</f>
        <v>0</v>
      </c>
      <c r="DZ207" s="1913">
        <f t="shared" ref="DZ207:DZ211" si="3454">SUM(DR207:DY207)-DT207-DV207</f>
        <v>0</v>
      </c>
      <c r="EA207" s="1913">
        <f t="shared" ref="EA207" si="3455">IF($CP207="CLEARTEC",$AV207+$BE207+$BN207+$BW207+$CF207,0)</f>
        <v>0</v>
      </c>
      <c r="EB207" s="1913">
        <f t="shared" ref="EB207" si="3456">IF($CP207="CLEARTEC",$AW207+$BF207+$BO207+$BX207+$CG207,0)</f>
        <v>0</v>
      </c>
      <c r="EC207" s="1913">
        <f t="shared" ref="EC207" si="3457">IF($CP207="CLEARTEC",$AX207+$BG207+$BP207+$BY207+$CH207,0)</f>
        <v>0</v>
      </c>
      <c r="ED207" s="1913">
        <f t="shared" ref="ED207" si="3458">IF($CP207="CLEARTEC",$AY207+$BH207+$BQ207+$BZ207+$CI207,0)</f>
        <v>0</v>
      </c>
      <c r="EE207" s="1913">
        <f t="shared" ref="EE207" si="3459">IF($CP207="CLEARTEC",$AZ207+$BI207+$BR207+$CA207+$CJ207,0)</f>
        <v>0</v>
      </c>
      <c r="EF207" s="1913">
        <f t="shared" ref="EF207" si="3460">IF($CP207="CLEARTEC",$BA207+$BJ207+$BS207+$CB207+$CK207,0)</f>
        <v>0</v>
      </c>
      <c r="EG207" s="1913">
        <f t="shared" ref="EG207" si="3461">IF($CP207="CLEARTEC",$BB207+$BK207+$BT207+$CC207+$CL207,0)</f>
        <v>0</v>
      </c>
      <c r="EH207" s="1913">
        <f t="shared" ref="EH207" si="3462">IF($CP207="CLEARTEC",$BC207+$BL207+$BU207+$CD207+$CM207,0)</f>
        <v>0</v>
      </c>
      <c r="EI207" s="1914">
        <f t="shared" ref="EI207:EI211" si="3463">SUM(EA207:EH207)-EC207-EE207</f>
        <v>0</v>
      </c>
      <c r="EJ207" s="2003"/>
      <c r="EK207" s="1900"/>
      <c r="EL207" s="1900"/>
      <c r="EM207" s="1900"/>
      <c r="EN207" s="1900"/>
      <c r="EO207" s="1900"/>
      <c r="EP207" s="1900"/>
      <c r="EQ207" s="1900"/>
      <c r="ER207" s="2004"/>
      <c r="ES207" s="1900"/>
      <c r="ET207" s="1900">
        <f t="shared" ref="ET207" si="3464">+EO207+EP207+EQ207</f>
        <v>0</v>
      </c>
      <c r="EV207" s="1908">
        <f t="shared" si="3379"/>
        <v>0</v>
      </c>
      <c r="EW207" s="1908">
        <f t="shared" si="3379"/>
        <v>0</v>
      </c>
      <c r="EX207" s="1908">
        <f t="shared" si="3379"/>
        <v>0</v>
      </c>
      <c r="EY207" s="1908">
        <f t="shared" si="3379"/>
        <v>0</v>
      </c>
      <c r="EZ207" s="1908">
        <f t="shared" si="3379"/>
        <v>0</v>
      </c>
      <c r="FA207" s="1908">
        <f t="shared" si="3379"/>
        <v>0</v>
      </c>
      <c r="FB207" s="1908">
        <f t="shared" ref="FB207:FB208" si="3465">IF($H207&lt;=15,EQ207/2,EQ207)</f>
        <v>0</v>
      </c>
      <c r="FC207" s="1908">
        <f t="shared" ref="FC207" si="3466">IF($H207&lt;=15,ER207/2,ER207)</f>
        <v>0</v>
      </c>
      <c r="FD207" s="1908">
        <f t="shared" ref="FD207" si="3467">IF($H207&lt;=15,ES207/2,ES207)</f>
        <v>0</v>
      </c>
      <c r="FE207" s="1577">
        <f t="shared" ref="FE207" si="3468">IF($H207&lt;=15,ET207/2,ET207)</f>
        <v>0</v>
      </c>
      <c r="FF207" s="1916">
        <v>0</v>
      </c>
      <c r="FG207" s="1916">
        <v>1</v>
      </c>
      <c r="FH207" s="1916">
        <v>0</v>
      </c>
      <c r="FI207" s="1916">
        <v>0</v>
      </c>
      <c r="FJ207" s="1916">
        <v>0</v>
      </c>
      <c r="FK207" s="1916">
        <v>1</v>
      </c>
      <c r="FL207" s="2005">
        <f>+EP207-FA207</f>
        <v>0</v>
      </c>
    </row>
    <row r="208" spans="1:260" s="331" customFormat="1" ht="15" customHeight="1" outlineLevel="1">
      <c r="A208" s="415">
        <f t="shared" ref="A208:A215" si="3469">+A207+1</f>
        <v>117</v>
      </c>
      <c r="B208" s="311" t="s">
        <v>589</v>
      </c>
      <c r="C208" s="312" t="s">
        <v>568</v>
      </c>
      <c r="D208" s="312" t="s">
        <v>11</v>
      </c>
      <c r="E208" s="1971">
        <v>3166.38</v>
      </c>
      <c r="F208" s="314">
        <v>250</v>
      </c>
      <c r="G208" s="1598">
        <f t="shared" si="3307"/>
        <v>3416.38</v>
      </c>
      <c r="H208" s="1971">
        <v>30</v>
      </c>
      <c r="I208" s="1498">
        <v>0</v>
      </c>
      <c r="J208" s="417">
        <v>0</v>
      </c>
      <c r="K208" s="417">
        <v>1</v>
      </c>
      <c r="L208" s="317">
        <v>0</v>
      </c>
      <c r="M208" s="317">
        <v>0</v>
      </c>
      <c r="N208" s="318">
        <f t="shared" si="3384"/>
        <v>1</v>
      </c>
      <c r="O208" s="1122"/>
      <c r="P208" s="357"/>
      <c r="Q208" s="315">
        <f t="shared" si="3309"/>
        <v>0</v>
      </c>
      <c r="R208" s="321"/>
      <c r="S208" s="315">
        <f t="shared" si="3310"/>
        <v>0</v>
      </c>
      <c r="T208" s="321"/>
      <c r="U208" s="315">
        <f t="shared" si="3311"/>
        <v>0</v>
      </c>
      <c r="V208" s="321"/>
      <c r="W208" s="315">
        <f t="shared" si="3312"/>
        <v>0</v>
      </c>
      <c r="X208" s="321">
        <v>15</v>
      </c>
      <c r="Y208" s="315">
        <f t="shared" si="3313"/>
        <v>296.84812500000004</v>
      </c>
      <c r="Z208" s="322"/>
      <c r="AA208" s="315">
        <f t="shared" si="3314"/>
        <v>0</v>
      </c>
      <c r="AB208" s="1732"/>
      <c r="AC208" s="324">
        <f t="shared" si="3315"/>
        <v>0</v>
      </c>
      <c r="AD208" s="323"/>
      <c r="AE208" s="324">
        <f t="shared" si="3316"/>
        <v>0</v>
      </c>
      <c r="AF208" s="324"/>
      <c r="AG208" s="324">
        <f t="shared" si="3385"/>
        <v>0</v>
      </c>
      <c r="AH208" s="323"/>
      <c r="AI208" s="324">
        <f t="shared" si="3386"/>
        <v>0</v>
      </c>
      <c r="AJ208" s="325"/>
      <c r="AK208" s="325"/>
      <c r="AL208" s="325"/>
      <c r="AM208" s="325"/>
      <c r="AN208" s="325"/>
      <c r="AO208" s="325"/>
      <c r="AP208" s="325"/>
      <c r="AQ208" s="325"/>
      <c r="AR208" s="325"/>
      <c r="AS208" s="325"/>
      <c r="AT208" s="314"/>
      <c r="AU208" s="326"/>
      <c r="AV208" s="315">
        <f t="shared" si="3319"/>
        <v>0</v>
      </c>
      <c r="AW208" s="358">
        <f>((F208/30)*H208)*$I208</f>
        <v>0</v>
      </c>
      <c r="AX208" s="315">
        <f t="shared" si="3320"/>
        <v>0</v>
      </c>
      <c r="AY208" s="315">
        <f t="shared" si="3321"/>
        <v>0</v>
      </c>
      <c r="AZ208" s="315">
        <f t="shared" si="3322"/>
        <v>0</v>
      </c>
      <c r="BA208" s="315">
        <f t="shared" si="3323"/>
        <v>0</v>
      </c>
      <c r="BB208" s="315">
        <f t="shared" si="3324"/>
        <v>0</v>
      </c>
      <c r="BC208" s="315">
        <f t="shared" si="3325"/>
        <v>0</v>
      </c>
      <c r="BD208" s="315">
        <f t="shared" si="3326"/>
        <v>0</v>
      </c>
      <c r="BE208" s="315">
        <f t="shared" si="3327"/>
        <v>0</v>
      </c>
      <c r="BF208" s="906">
        <f t="shared" si="3328"/>
        <v>0</v>
      </c>
      <c r="BG208" s="315">
        <f t="shared" si="3329"/>
        <v>0</v>
      </c>
      <c r="BH208" s="315">
        <f t="shared" si="3330"/>
        <v>0</v>
      </c>
      <c r="BI208" s="315">
        <f t="shared" si="3331"/>
        <v>0</v>
      </c>
      <c r="BJ208" s="315">
        <f t="shared" si="3332"/>
        <v>0</v>
      </c>
      <c r="BK208" s="315">
        <f t="shared" si="3333"/>
        <v>0</v>
      </c>
      <c r="BL208" s="315">
        <f t="shared" si="3334"/>
        <v>0</v>
      </c>
      <c r="BM208" s="314">
        <f t="shared" si="3335"/>
        <v>0</v>
      </c>
      <c r="BN208" s="315">
        <f t="shared" si="3336"/>
        <v>3166.38</v>
      </c>
      <c r="BO208" s="906">
        <f>(($F208/30)*$H208)*$K208+675</f>
        <v>925</v>
      </c>
      <c r="BP208" s="315">
        <f t="shared" si="3337"/>
        <v>15</v>
      </c>
      <c r="BQ208" s="315">
        <f t="shared" si="3338"/>
        <v>296.84812500000004</v>
      </c>
      <c r="BR208" s="315">
        <f t="shared" si="3339"/>
        <v>0</v>
      </c>
      <c r="BS208" s="315">
        <f t="shared" si="3340"/>
        <v>0</v>
      </c>
      <c r="BT208" s="315">
        <f t="shared" si="3341"/>
        <v>0</v>
      </c>
      <c r="BU208" s="315">
        <f t="shared" si="3342"/>
        <v>438.79100343750002</v>
      </c>
      <c r="BV208" s="315">
        <f t="shared" si="3343"/>
        <v>4827.0191284375005</v>
      </c>
      <c r="BW208" s="327">
        <f t="shared" si="3388"/>
        <v>0</v>
      </c>
      <c r="BX208" s="328">
        <f t="shared" si="3345"/>
        <v>0</v>
      </c>
      <c r="BY208" s="328">
        <f t="shared" si="3438"/>
        <v>0</v>
      </c>
      <c r="BZ208" s="328">
        <f t="shared" si="3439"/>
        <v>0</v>
      </c>
      <c r="CA208" s="328">
        <f t="shared" si="3440"/>
        <v>0</v>
      </c>
      <c r="CB208" s="328">
        <f t="shared" si="3441"/>
        <v>0</v>
      </c>
      <c r="CC208" s="328">
        <f t="shared" si="3393"/>
        <v>0</v>
      </c>
      <c r="CD208" s="328">
        <f t="shared" si="3394"/>
        <v>0</v>
      </c>
      <c r="CE208" s="328">
        <f t="shared" si="3395"/>
        <v>0</v>
      </c>
      <c r="CF208" s="328">
        <f t="shared" si="3396"/>
        <v>0</v>
      </c>
      <c r="CG208" s="328">
        <f t="shared" si="3354"/>
        <v>0</v>
      </c>
      <c r="CH208" s="328">
        <f t="shared" si="3397"/>
        <v>0</v>
      </c>
      <c r="CI208" s="328">
        <f t="shared" si="3442"/>
        <v>0</v>
      </c>
      <c r="CJ208" s="328">
        <f t="shared" si="3443"/>
        <v>0</v>
      </c>
      <c r="CK208" s="328">
        <f t="shared" si="3444"/>
        <v>0</v>
      </c>
      <c r="CL208" s="328">
        <f t="shared" si="3401"/>
        <v>0</v>
      </c>
      <c r="CM208" s="328">
        <f t="shared" si="3402"/>
        <v>0</v>
      </c>
      <c r="CN208" s="329">
        <f t="shared" si="3403"/>
        <v>0</v>
      </c>
      <c r="CO208" s="330"/>
      <c r="CP208" s="313" t="s">
        <v>12</v>
      </c>
      <c r="CQ208" s="315">
        <f>IF($CP208="PROQUIMA",$AV208+$BE208+$BN208+$BW208+$CF208,0)</f>
        <v>0</v>
      </c>
      <c r="CR208" s="315">
        <f>IF($CP208="PROQUIMA",$AW208+$BF208+$BO208+$BX208+$CG208,0)</f>
        <v>0</v>
      </c>
      <c r="CS208" s="315">
        <f>IF($CP208="PROQUIMA",$AX208+$BG208+$BP208+$BY208+$CH208,0)</f>
        <v>0</v>
      </c>
      <c r="CT208" s="315">
        <f>IF($CP208="PROQUIMA",$AY208+$BH208+$BQ208+$BZ208+$CI208,0)</f>
        <v>0</v>
      </c>
      <c r="CU208" s="315">
        <f>IF($CP208="PROQUIMA",$AZ208+$BI208+$BR208+$CA208+$CJ208,0)</f>
        <v>0</v>
      </c>
      <c r="CV208" s="315">
        <f t="shared" si="3362"/>
        <v>0</v>
      </c>
      <c r="CW208" s="315">
        <f>IF($CP208="PROQUIMA",$BB208+$BK208+$BT208+$CC208+$CL208,0)</f>
        <v>0</v>
      </c>
      <c r="CX208" s="315">
        <f t="shared" si="3363"/>
        <v>0</v>
      </c>
      <c r="CY208" s="315">
        <f t="shared" si="3364"/>
        <v>0</v>
      </c>
      <c r="CZ208" s="315">
        <f>IF($CP208="UNHESA",$AV208+$BE208+$BN208+$BW208+$CF208,0)</f>
        <v>0</v>
      </c>
      <c r="DA208" s="315">
        <f t="shared" si="3365"/>
        <v>0</v>
      </c>
      <c r="DB208" s="315">
        <f>IF($CP208="UNHESA",$AX208+$BG208+$BP208+$BY208+$CH208,0)</f>
        <v>0</v>
      </c>
      <c r="DC208" s="315">
        <f>IF($CP208="UNHESA",$AY208+$BH208+$BQ208+$BZ208+$CI208,0)</f>
        <v>0</v>
      </c>
      <c r="DD208" s="315">
        <f>IF($CP208="UNHESA",$AZ208+$BI208+$BR208+$CA208+$CJ208,0)</f>
        <v>0</v>
      </c>
      <c r="DE208" s="315">
        <f>IF($CP208="UNHESA",$BA208+$BJ208+$BS208+$CB208+$CK208,0)</f>
        <v>0</v>
      </c>
      <c r="DF208" s="315">
        <f>IF($CP208="UNHESA",$BB208+$BK208+$BT208+$CC208+$CL208,0)</f>
        <v>0</v>
      </c>
      <c r="DG208" s="315">
        <f>IF($CP208="UNHESA",$BC208+$BL208+$BU208+$CD208+$CM208,0)</f>
        <v>0</v>
      </c>
      <c r="DH208" s="315">
        <f t="shared" si="3366"/>
        <v>0</v>
      </c>
      <c r="DI208" s="324">
        <f t="shared" si="3367"/>
        <v>3166.38</v>
      </c>
      <c r="DJ208" s="324">
        <f t="shared" si="3368"/>
        <v>925</v>
      </c>
      <c r="DK208" s="324">
        <f t="shared" si="3369"/>
        <v>15</v>
      </c>
      <c r="DL208" s="324">
        <f t="shared" si="3370"/>
        <v>296.84812500000004</v>
      </c>
      <c r="DM208" s="324">
        <f t="shared" si="3371"/>
        <v>0</v>
      </c>
      <c r="DN208" s="324">
        <f t="shared" si="3372"/>
        <v>0</v>
      </c>
      <c r="DO208" s="324">
        <f t="shared" si="3373"/>
        <v>0</v>
      </c>
      <c r="DP208" s="324">
        <f t="shared" si="3374"/>
        <v>438.79100343750002</v>
      </c>
      <c r="DQ208" s="324">
        <f t="shared" si="3445"/>
        <v>4827.0191284375005</v>
      </c>
      <c r="DR208" s="327">
        <f>IF($CP208="ECONACIONAL",$AV208+$BE208+$BN208+$BW208+$CF208,0)</f>
        <v>0</v>
      </c>
      <c r="DS208" s="328">
        <f>IF($CP208="ECONACIONAL",$AW208+$BF208+$BO208+$BX208+$CG208,0)</f>
        <v>0</v>
      </c>
      <c r="DT208" s="328">
        <f>IF($CP208="ECONACIONAL",$AX208+$BG208+$BP208+$BY208+$CH208,0)</f>
        <v>0</v>
      </c>
      <c r="DU208" s="328">
        <f>IF($CP208="ECONACIONAL",$AY208+$BH208+$BQ208+$BZ208+$CI208,0)</f>
        <v>0</v>
      </c>
      <c r="DV208" s="328">
        <f>IF($CP208="ECONACIONAL",$AZ208+$BI208+$BR208+$CA208+$CJ208,0)</f>
        <v>0</v>
      </c>
      <c r="DW208" s="328">
        <f>IF($CP208="ECONACIONAL",$BA208+$BJ208+$BS208+$CB208+$CK208,0)</f>
        <v>0</v>
      </c>
      <c r="DX208" s="328">
        <f>IF($CP208="ECONACIONAL",$BB208+$BK208+$BT208+$CC208+$CL208,0)</f>
        <v>0</v>
      </c>
      <c r="DY208" s="328">
        <f>IF($CP208="ECONACIONAL",$BC208+$BL208+$BU208+$CD208+$CM208,0)</f>
        <v>0</v>
      </c>
      <c r="DZ208" s="328">
        <f t="shared" si="3454"/>
        <v>0</v>
      </c>
      <c r="EA208" s="328">
        <f>IF($CP208="CLEARTEC",$AV208+$BE208+$BN208+$BW208+$CF208,0)</f>
        <v>0</v>
      </c>
      <c r="EB208" s="328">
        <f>IF($CP208="CLEARTEC",$AW208+$BF208+$BO208+$BX208+$CG208,0)</f>
        <v>0</v>
      </c>
      <c r="EC208" s="328">
        <f>IF($CP208="CLEARTEC",$AX208+$BG208+$BP208+$BY208+$CH208,0)</f>
        <v>0</v>
      </c>
      <c r="ED208" s="328">
        <f>IF($CP208="CLEARTEC",$AY208+$BH208+$BQ208+$BZ208+$CI208,0)</f>
        <v>0</v>
      </c>
      <c r="EE208" s="328">
        <f>IF($CP208="CLEARTEC",$AZ208+$BI208+$BR208+$CA208+$CJ208,0)</f>
        <v>0</v>
      </c>
      <c r="EF208" s="328">
        <f>IF($CP208="CLEARTEC",$BA208+$BJ208+$BS208+$CB208+$CK208,0)</f>
        <v>0</v>
      </c>
      <c r="EG208" s="328">
        <f>IF($CP208="CLEARTEC",$BB208+$BK208+$BT208+$CC208+$CL208,0)</f>
        <v>0</v>
      </c>
      <c r="EH208" s="328">
        <f>IF($CP208="CLEARTEC",$BC208+$BL208+$BU208+$CD208+$CM208,0)</f>
        <v>0</v>
      </c>
      <c r="EI208" s="329">
        <f t="shared" si="3463"/>
        <v>0</v>
      </c>
      <c r="EJ208" s="330"/>
      <c r="EK208" s="313">
        <v>69.92</v>
      </c>
      <c r="EL208" s="312">
        <f>661.65+680.48</f>
        <v>1342.13</v>
      </c>
      <c r="EM208" s="313"/>
      <c r="EN208" s="312">
        <f>318.75+412.25</f>
        <v>731</v>
      </c>
      <c r="EO208" s="313"/>
      <c r="EP208" s="313">
        <v>50</v>
      </c>
      <c r="EQ208" s="2176">
        <v>177.02</v>
      </c>
      <c r="ER208" s="1425"/>
      <c r="ES208" s="312"/>
      <c r="ET208" s="321">
        <f t="shared" ref="ET208" si="3470">+EO208+EP208+EQ208</f>
        <v>227.02</v>
      </c>
      <c r="EV208" s="321">
        <f t="shared" si="3379"/>
        <v>69.92</v>
      </c>
      <c r="EW208" s="321">
        <f t="shared" si="3379"/>
        <v>1342.13</v>
      </c>
      <c r="EX208" s="321">
        <f t="shared" si="3379"/>
        <v>0</v>
      </c>
      <c r="EY208" s="321">
        <f t="shared" si="3379"/>
        <v>731</v>
      </c>
      <c r="EZ208" s="321">
        <f t="shared" si="3379"/>
        <v>0</v>
      </c>
      <c r="FA208" s="321">
        <f t="shared" si="3379"/>
        <v>50</v>
      </c>
      <c r="FB208" s="321">
        <f t="shared" si="3465"/>
        <v>177.02</v>
      </c>
      <c r="FC208" s="321">
        <f t="shared" ref="FC208" si="3471">IF($H208&lt;=15,ER208/2,ER208)</f>
        <v>0</v>
      </c>
      <c r="FD208" s="321">
        <f t="shared" ref="FD208" si="3472">IF($H208&lt;=15,ES208/2,ES208)</f>
        <v>0</v>
      </c>
      <c r="FE208" s="321">
        <f t="shared" ref="FE208" si="3473">IF($H208&lt;=15,ET208/2,ET208)</f>
        <v>227.02</v>
      </c>
      <c r="FF208" s="1599">
        <v>0.6</v>
      </c>
      <c r="FG208" s="332">
        <v>0.4</v>
      </c>
      <c r="FH208" s="332">
        <v>0</v>
      </c>
      <c r="FI208" s="332">
        <v>0</v>
      </c>
      <c r="FJ208" s="332">
        <v>0</v>
      </c>
      <c r="FK208" s="333">
        <f>FJ208+FI208+FH208+FG208+FF208</f>
        <v>1</v>
      </c>
    </row>
    <row r="209" spans="1:260" s="1977" customFormat="1" ht="15" customHeight="1" outlineLevel="1">
      <c r="A209" s="1984">
        <f t="shared" si="3469"/>
        <v>118</v>
      </c>
      <c r="B209" s="1967" t="s">
        <v>513</v>
      </c>
      <c r="C209" s="1968" t="s">
        <v>599</v>
      </c>
      <c r="D209" s="1968" t="s">
        <v>11</v>
      </c>
      <c r="E209" s="1971">
        <v>3166.38</v>
      </c>
      <c r="F209" s="1970">
        <f>250</f>
        <v>250</v>
      </c>
      <c r="G209" s="1988">
        <f t="shared" si="3307"/>
        <v>3416.38</v>
      </c>
      <c r="H209" s="1971">
        <v>30</v>
      </c>
      <c r="I209" s="1498">
        <v>0</v>
      </c>
      <c r="J209" s="417">
        <v>0</v>
      </c>
      <c r="K209" s="1987">
        <v>1</v>
      </c>
      <c r="L209" s="1972">
        <v>0</v>
      </c>
      <c r="M209" s="1972">
        <v>0</v>
      </c>
      <c r="N209" s="1972">
        <f t="shared" si="3384"/>
        <v>1</v>
      </c>
      <c r="O209" s="1642"/>
      <c r="P209" s="357"/>
      <c r="Q209" s="1971">
        <f t="shared" si="3309"/>
        <v>0</v>
      </c>
      <c r="R209" s="1974"/>
      <c r="S209" s="1971">
        <f t="shared" si="3310"/>
        <v>0</v>
      </c>
      <c r="T209" s="1974"/>
      <c r="U209" s="1971">
        <f t="shared" si="3311"/>
        <v>0</v>
      </c>
      <c r="V209" s="1974"/>
      <c r="W209" s="1971">
        <f t="shared" si="3312"/>
        <v>0</v>
      </c>
      <c r="X209" s="1974">
        <v>24</v>
      </c>
      <c r="Y209" s="1971">
        <f t="shared" si="3313"/>
        <v>474.95700000000005</v>
      </c>
      <c r="Z209" s="1975"/>
      <c r="AA209" s="1971">
        <f t="shared" si="3314"/>
        <v>0</v>
      </c>
      <c r="AB209" s="1975"/>
      <c r="AC209" s="1971">
        <f t="shared" si="3315"/>
        <v>0</v>
      </c>
      <c r="AD209" s="1975"/>
      <c r="AE209" s="1971">
        <f t="shared" si="3316"/>
        <v>0</v>
      </c>
      <c r="AF209" s="1971"/>
      <c r="AG209" s="1971">
        <f t="shared" si="3385"/>
        <v>0</v>
      </c>
      <c r="AH209" s="1975"/>
      <c r="AI209" s="1971">
        <f t="shared" si="3386"/>
        <v>0</v>
      </c>
      <c r="AJ209" s="1970"/>
      <c r="AK209" s="1970"/>
      <c r="AL209" s="1970"/>
      <c r="AM209" s="1970"/>
      <c r="AN209" s="1970"/>
      <c r="AO209" s="1970"/>
      <c r="AP209" s="1970"/>
      <c r="AQ209" s="1970"/>
      <c r="AR209" s="1970"/>
      <c r="AS209" s="1970"/>
      <c r="AT209" s="1970"/>
      <c r="AU209" s="326"/>
      <c r="AV209" s="1971">
        <f t="shared" si="3319"/>
        <v>0</v>
      </c>
      <c r="AW209" s="1979">
        <f>((F209/30)*H209)*$I209</f>
        <v>0</v>
      </c>
      <c r="AX209" s="1971">
        <f t="shared" si="3320"/>
        <v>0</v>
      </c>
      <c r="AY209" s="1971">
        <f t="shared" si="3321"/>
        <v>0</v>
      </c>
      <c r="AZ209" s="1971">
        <f t="shared" si="3322"/>
        <v>0</v>
      </c>
      <c r="BA209" s="1971">
        <f t="shared" si="3323"/>
        <v>0</v>
      </c>
      <c r="BB209" s="1971">
        <f t="shared" si="3324"/>
        <v>0</v>
      </c>
      <c r="BC209" s="1971">
        <f t="shared" si="3325"/>
        <v>0</v>
      </c>
      <c r="BD209" s="1971">
        <f t="shared" si="3326"/>
        <v>0</v>
      </c>
      <c r="BE209" s="1971">
        <f t="shared" si="3327"/>
        <v>0</v>
      </c>
      <c r="BF209" s="1971">
        <f>(($F209/30)*$H209)*$J209</f>
        <v>0</v>
      </c>
      <c r="BG209" s="1971">
        <f t="shared" si="3329"/>
        <v>0</v>
      </c>
      <c r="BH209" s="1971">
        <f t="shared" si="3330"/>
        <v>0</v>
      </c>
      <c r="BI209" s="1971">
        <f t="shared" si="3331"/>
        <v>0</v>
      </c>
      <c r="BJ209" s="1971">
        <f t="shared" si="3332"/>
        <v>0</v>
      </c>
      <c r="BK209" s="1971">
        <f t="shared" si="3333"/>
        <v>0</v>
      </c>
      <c r="BL209" s="1971">
        <f t="shared" si="3334"/>
        <v>0</v>
      </c>
      <c r="BM209" s="1970">
        <f t="shared" si="3335"/>
        <v>0</v>
      </c>
      <c r="BN209" s="1971">
        <f t="shared" si="3336"/>
        <v>3166.38</v>
      </c>
      <c r="BO209" s="1971">
        <f>(($F209/30)*$H209)*$K209+1350</f>
        <v>1600</v>
      </c>
      <c r="BP209" s="1971">
        <f t="shared" si="3337"/>
        <v>24</v>
      </c>
      <c r="BQ209" s="1971">
        <f t="shared" si="3338"/>
        <v>474.95700000000005</v>
      </c>
      <c r="BR209" s="1971">
        <f t="shared" si="3339"/>
        <v>0</v>
      </c>
      <c r="BS209" s="1971">
        <f t="shared" si="3340"/>
        <v>0</v>
      </c>
      <c r="BT209" s="1971">
        <f t="shared" si="3341"/>
        <v>0</v>
      </c>
      <c r="BU209" s="1971">
        <f t="shared" si="3342"/>
        <v>461.35739790000002</v>
      </c>
      <c r="BV209" s="1971">
        <f t="shared" si="3343"/>
        <v>5702.6943979000007</v>
      </c>
      <c r="BW209" s="1981">
        <f t="shared" si="3388"/>
        <v>0</v>
      </c>
      <c r="BX209" s="1982">
        <f t="shared" si="3345"/>
        <v>0</v>
      </c>
      <c r="BY209" s="1982">
        <f>AB209</f>
        <v>0</v>
      </c>
      <c r="BZ209" s="1982">
        <f>AC209</f>
        <v>0</v>
      </c>
      <c r="CA209" s="1982">
        <f>AD209</f>
        <v>0</v>
      </c>
      <c r="CB209" s="1982">
        <f>AE209</f>
        <v>0</v>
      </c>
      <c r="CC209" s="1982">
        <f t="shared" si="3393"/>
        <v>0</v>
      </c>
      <c r="CD209" s="1982">
        <f t="shared" si="3394"/>
        <v>0</v>
      </c>
      <c r="CE209" s="1982">
        <f t="shared" si="3395"/>
        <v>0</v>
      </c>
      <c r="CF209" s="1982">
        <f t="shared" si="3396"/>
        <v>0</v>
      </c>
      <c r="CG209" s="1982">
        <f t="shared" si="3354"/>
        <v>0</v>
      </c>
      <c r="CH209" s="1982">
        <f t="shared" si="3397"/>
        <v>0</v>
      </c>
      <c r="CI209" s="1982">
        <f>AG209</f>
        <v>0</v>
      </c>
      <c r="CJ209" s="1982">
        <f>AH209</f>
        <v>0</v>
      </c>
      <c r="CK209" s="1982">
        <f>AI209</f>
        <v>0</v>
      </c>
      <c r="CL209" s="1982">
        <f t="shared" si="3401"/>
        <v>0</v>
      </c>
      <c r="CM209" s="1982">
        <f t="shared" si="3402"/>
        <v>0</v>
      </c>
      <c r="CN209" s="1983">
        <f t="shared" si="3403"/>
        <v>0</v>
      </c>
      <c r="CO209" s="1976"/>
      <c r="CP209" s="1969" t="s">
        <v>12</v>
      </c>
      <c r="CQ209" s="1971">
        <f>IF($CP209="PROQUIMA",$AV209+$BE209+$BN209+$BW209+$CF209,0)</f>
        <v>0</v>
      </c>
      <c r="CR209" s="1971">
        <f>IF($CP209="PROQUIMA",$AW209+$BF209+$BO209+$BX209+$CG209,0)</f>
        <v>0</v>
      </c>
      <c r="CS209" s="1971">
        <f>IF($CP209="PROQUIMA",$AX209+$BG209+$BP209+$BY209+$CH209,0)</f>
        <v>0</v>
      </c>
      <c r="CT209" s="1971">
        <f>IF($CP209="PROQUIMA",$AY209+$BH209+$BQ209+$BZ209+$CI209,0)</f>
        <v>0</v>
      </c>
      <c r="CU209" s="1971">
        <f>IF($CP209="PROQUIMA",$AZ209+$BI209+$BR209+$CA209+$CJ209,0)</f>
        <v>0</v>
      </c>
      <c r="CV209" s="1971">
        <f t="shared" si="3362"/>
        <v>0</v>
      </c>
      <c r="CW209" s="1971">
        <f>IF($CP209="PROQUIMA",$BB209+$BK209+$BT209+$CC209+$CL209,0)</f>
        <v>0</v>
      </c>
      <c r="CX209" s="1971">
        <f t="shared" si="3363"/>
        <v>0</v>
      </c>
      <c r="CY209" s="1971">
        <f t="shared" si="3364"/>
        <v>0</v>
      </c>
      <c r="CZ209" s="1971">
        <f>IF($CP209="UNHESA",$AV209+$BE209+$BN209+$BW209+$CF209,0)</f>
        <v>0</v>
      </c>
      <c r="DA209" s="1971">
        <f t="shared" si="3365"/>
        <v>0</v>
      </c>
      <c r="DB209" s="1971">
        <f>IF($CP209="UNHESA",$AX209+$BG209+$BP209+$BY209+$CH209,0)</f>
        <v>0</v>
      </c>
      <c r="DC209" s="1971">
        <f>IF($CP209="UNHESA",$AY209+$BH209+$BQ209+$BZ209+$CI209,0)</f>
        <v>0</v>
      </c>
      <c r="DD209" s="1971">
        <f>IF($CP209="UNHESA",$AZ209+$BI209+$BR209+$CA209+$CJ209,0)</f>
        <v>0</v>
      </c>
      <c r="DE209" s="1971">
        <f>IF($CP209="UNHESA",$BA209+$BJ209+$BS209+$CB209+$CK209,0)</f>
        <v>0</v>
      </c>
      <c r="DF209" s="1971">
        <f>IF($CP209="UNHESA",$BB209+$BK209+$BT209+$CC209+$CL209,0)</f>
        <v>0</v>
      </c>
      <c r="DG209" s="1971">
        <f>IF($CP209="UNHESA",$BC209+$BL209+$BU209+$CD209+$CM209,0)</f>
        <v>0</v>
      </c>
      <c r="DH209" s="1971">
        <f t="shared" si="3366"/>
        <v>0</v>
      </c>
      <c r="DI209" s="1971">
        <f>IF($CP209="UNHESA LIQUIDOS",$AV209+$BE209+$BN209+$BW209+$CF209,0)</f>
        <v>3166.38</v>
      </c>
      <c r="DJ209" s="1971">
        <f>IF($CP209="UNHESA LIQUIDOS",$AW209+$BF209+$BO209+$BX209+$CG209,0)</f>
        <v>1600</v>
      </c>
      <c r="DK209" s="1971">
        <f>IF($CP209="UNHESA LIQUIDOS",$AX209+$BG209+$BP209+$BY209+$CH209,0)</f>
        <v>24</v>
      </c>
      <c r="DL209" s="1971">
        <f>IF($CP209="UNHESA LIQUIDOS",$AY209+$BH209+$BQ209+$BZ209+$CI209,0)</f>
        <v>474.95700000000005</v>
      </c>
      <c r="DM209" s="1971">
        <f>IF($CP209="UNHESA LIQUIDOS",$AZ209+$BI209+$BR209+$CA209+$CJ209,0)</f>
        <v>0</v>
      </c>
      <c r="DN209" s="1971">
        <f>IF($CP209="UNHESA LIQUIDOS",$BA209+$BJ209+$BS209+$CB209+$CK209,0)</f>
        <v>0</v>
      </c>
      <c r="DO209" s="1971">
        <f>IF($CP209="UNHESA LIQUIDOS",$BB209+$BK209+$BT209+$CC209+$CL209,0)</f>
        <v>0</v>
      </c>
      <c r="DP209" s="1971">
        <f>IF($CP209="UNHESA LIQUIDOS",$BC209+$BL209+$BU209+$CD209+$CM209,0)</f>
        <v>461.35739790000002</v>
      </c>
      <c r="DQ209" s="1971">
        <f>SUM(DI209:DP209)-DK209-DM209</f>
        <v>5702.6943979000007</v>
      </c>
      <c r="DR209" s="1981">
        <f>IF($CP209="ECONACIONAL",$AV209+$BE209+$BN209+$BW209+$CF209,0)</f>
        <v>0</v>
      </c>
      <c r="DS209" s="1982">
        <f>IF($CP209="ECONACIONAL",$AW209+$BF209+$BO209+$BX209+$CG209,0)</f>
        <v>0</v>
      </c>
      <c r="DT209" s="1982">
        <f>IF($CP209="ECONACIONAL",$AX209+$BG209+$BP209+$BY209+$CH209,0)</f>
        <v>0</v>
      </c>
      <c r="DU209" s="1982">
        <f>IF($CP209="ECONACIONAL",$AY209+$BH209+$BQ209+$BZ209+$CI209,0)</f>
        <v>0</v>
      </c>
      <c r="DV209" s="1982">
        <f>IF($CP209="ECONACIONAL",$AZ209+$BI209+$BR209+$CA209+$CJ209,0)</f>
        <v>0</v>
      </c>
      <c r="DW209" s="1982">
        <f>IF($CP209="ECONACIONAL",$BA209+$BJ209+$BS209+$CB209+$CK209,0)</f>
        <v>0</v>
      </c>
      <c r="DX209" s="1982">
        <f>IF($CP209="ECONACIONAL",$BB209+$BK209+$BT209+$CC209+$CL209,0)</f>
        <v>0</v>
      </c>
      <c r="DY209" s="1982">
        <f>IF($CP209="ECONACIONAL",$BC209+$BL209+$BU209+$CD209+$CM209,0)</f>
        <v>0</v>
      </c>
      <c r="DZ209" s="1982">
        <f t="shared" si="3454"/>
        <v>0</v>
      </c>
      <c r="EA209" s="1982">
        <f>IF($CP209="CLEARTEC",$AV209+$BE209+$BN209+$BW209+$CF209,0)</f>
        <v>0</v>
      </c>
      <c r="EB209" s="1982">
        <f>IF($CP209="CLEARTEC",$AW209+$BF209+$BO209+$BX209+$CG209,0)</f>
        <v>0</v>
      </c>
      <c r="EC209" s="1982">
        <f>IF($CP209="CLEARTEC",$AX209+$BG209+$BP209+$BY209+$CH209,0)</f>
        <v>0</v>
      </c>
      <c r="ED209" s="1982">
        <f>IF($CP209="CLEARTEC",$AY209+$BH209+$BQ209+$BZ209+$CI209,0)</f>
        <v>0</v>
      </c>
      <c r="EE209" s="1982">
        <f>IF($CP209="CLEARTEC",$AZ209+$BI209+$BR209+$CA209+$CJ209,0)</f>
        <v>0</v>
      </c>
      <c r="EF209" s="1982">
        <f>IF($CP209="CLEARTEC",$BA209+$BJ209+$BS209+$CB209+$CK209,0)</f>
        <v>0</v>
      </c>
      <c r="EG209" s="1982">
        <f>IF($CP209="CLEARTEC",$BB209+$BK209+$BT209+$CC209+$CL209,0)</f>
        <v>0</v>
      </c>
      <c r="EH209" s="1982">
        <f>IF($CP209="CLEARTEC",$BC209+$BL209+$BU209+$CD209+$CM209,0)</f>
        <v>0</v>
      </c>
      <c r="EI209" s="1983">
        <f t="shared" si="3463"/>
        <v>0</v>
      </c>
      <c r="EJ209" s="1976"/>
      <c r="EK209" s="1969">
        <v>56.87</v>
      </c>
      <c r="EL209" s="1969">
        <v>573.22</v>
      </c>
      <c r="EM209" s="1969"/>
      <c r="EN209" s="1968">
        <f>207.5+319.5</f>
        <v>527</v>
      </c>
      <c r="EO209" s="1969"/>
      <c r="EP209" s="1969">
        <f>55+50</f>
        <v>105</v>
      </c>
      <c r="EQ209" s="1425"/>
      <c r="ER209" s="1425"/>
      <c r="ES209" s="1968"/>
      <c r="ET209" s="1969">
        <f>+EO209+EP209+EQ209</f>
        <v>105</v>
      </c>
      <c r="EV209" s="1974">
        <f>IF($H209&lt;=15,EK209/2,EK209)</f>
        <v>56.87</v>
      </c>
      <c r="EW209" s="1974">
        <f>IF($H209&lt;=15,EL209/2,EL209)</f>
        <v>573.22</v>
      </c>
      <c r="EX209" s="1974">
        <f>IF($H209&lt;=15,EM209/2,EM209)</f>
        <v>0</v>
      </c>
      <c r="EY209" s="1974">
        <f>IF($H209&lt;=15,EN209/2,EN209)</f>
        <v>527</v>
      </c>
      <c r="EZ209" s="1974">
        <f t="shared" si="3379"/>
        <v>0</v>
      </c>
      <c r="FA209" s="1974">
        <f>IF($H209&lt;=15,EP209/2,EP209)</f>
        <v>105</v>
      </c>
      <c r="FB209" s="1974">
        <f>IF($H209&lt;=15,EQ209/2,EQ209)</f>
        <v>0</v>
      </c>
      <c r="FC209" s="1974">
        <f>IF($H209&lt;=15,ER209/2,ER209)</f>
        <v>0</v>
      </c>
      <c r="FD209" s="1974">
        <f t="shared" si="3382"/>
        <v>0</v>
      </c>
      <c r="FE209" s="1974">
        <f>IF($H209&lt;=15,ET209/2,ET209)</f>
        <v>105</v>
      </c>
      <c r="FF209" s="1599">
        <v>1</v>
      </c>
      <c r="FG209" s="1978">
        <v>0</v>
      </c>
      <c r="FH209" s="1978">
        <v>0</v>
      </c>
      <c r="FI209" s="1978">
        <v>0</v>
      </c>
      <c r="FJ209" s="1978">
        <v>0</v>
      </c>
      <c r="FK209" s="1978">
        <f>SUM(FF209:FJ209)</f>
        <v>1</v>
      </c>
      <c r="FL209" s="1977">
        <f>+EP209-FA209</f>
        <v>0</v>
      </c>
    </row>
    <row r="210" spans="1:260" s="331" customFormat="1" ht="15" customHeight="1" outlineLevel="1">
      <c r="A210" s="415">
        <f t="shared" si="3469"/>
        <v>119</v>
      </c>
      <c r="B210" s="311" t="s">
        <v>537</v>
      </c>
      <c r="C210" s="312" t="s">
        <v>597</v>
      </c>
      <c r="D210" s="312" t="s">
        <v>11</v>
      </c>
      <c r="E210" s="1971">
        <v>3166.38</v>
      </c>
      <c r="F210" s="314">
        <v>450</v>
      </c>
      <c r="G210" s="1970">
        <f t="shared" si="3307"/>
        <v>3616.38</v>
      </c>
      <c r="H210" s="1971">
        <v>30</v>
      </c>
      <c r="I210" s="318">
        <v>0</v>
      </c>
      <c r="J210" s="1498">
        <v>0</v>
      </c>
      <c r="K210" s="417">
        <v>1</v>
      </c>
      <c r="L210" s="318">
        <v>0</v>
      </c>
      <c r="M210" s="318">
        <v>0</v>
      </c>
      <c r="N210" s="318">
        <f t="shared" ref="N210:N215" si="3474">SUM(I210:M210)</f>
        <v>1</v>
      </c>
      <c r="O210" s="319"/>
      <c r="P210" s="320"/>
      <c r="Q210" s="315">
        <f t="shared" ref="Q210:Q215" si="3475">($E210/30/8*1.5)*P210</f>
        <v>0</v>
      </c>
      <c r="R210" s="321">
        <v>12</v>
      </c>
      <c r="S210" s="315">
        <f t="shared" ref="S210:S215" si="3476">($E210/30/8*2)*R210</f>
        <v>316.63800000000003</v>
      </c>
      <c r="T210" s="321"/>
      <c r="U210" s="315">
        <f t="shared" ref="U210:U215" si="3477">($E210/30/8*1.5)*T210</f>
        <v>0</v>
      </c>
      <c r="V210" s="321"/>
      <c r="W210" s="315">
        <f t="shared" ref="W210:W215" si="3478">($E210/30/8*2)*V210</f>
        <v>0</v>
      </c>
      <c r="X210" s="409">
        <v>4</v>
      </c>
      <c r="Y210" s="315">
        <f t="shared" si="3313"/>
        <v>79.159500000000008</v>
      </c>
      <c r="Z210" s="322"/>
      <c r="AA210" s="315">
        <f t="shared" si="3314"/>
        <v>0</v>
      </c>
      <c r="AB210" s="322"/>
      <c r="AC210" s="315">
        <f>(($E210/30/8)*1.5)*AB210</f>
        <v>0</v>
      </c>
      <c r="AD210" s="322"/>
      <c r="AE210" s="315">
        <f>(($E210/30/8)*2)*AD210</f>
        <v>0</v>
      </c>
      <c r="AF210" s="315"/>
      <c r="AG210" s="315">
        <f t="shared" si="3385"/>
        <v>0</v>
      </c>
      <c r="AH210" s="322"/>
      <c r="AI210" s="315">
        <f t="shared" si="3386"/>
        <v>0</v>
      </c>
      <c r="AJ210" s="314"/>
      <c r="AK210" s="314"/>
      <c r="AL210" s="314"/>
      <c r="AM210" s="314"/>
      <c r="AN210" s="314"/>
      <c r="AO210" s="314"/>
      <c r="AP210" s="314"/>
      <c r="AQ210" s="314"/>
      <c r="AR210" s="314"/>
      <c r="AS210" s="314"/>
      <c r="AT210" s="314"/>
      <c r="AU210" s="326"/>
      <c r="AV210" s="315">
        <f>((E210/30)*H210)*$I210</f>
        <v>0</v>
      </c>
      <c r="AW210" s="906">
        <f>((F210/30)*H210)*$I210+225</f>
        <v>225</v>
      </c>
      <c r="AX210" s="315">
        <f t="shared" si="3320"/>
        <v>0</v>
      </c>
      <c r="AY210" s="315">
        <f t="shared" si="3321"/>
        <v>0</v>
      </c>
      <c r="AZ210" s="315">
        <f t="shared" si="3322"/>
        <v>12</v>
      </c>
      <c r="BA210" s="315">
        <f t="shared" si="3323"/>
        <v>316.63800000000003</v>
      </c>
      <c r="BB210" s="315">
        <f t="shared" si="3324"/>
        <v>0</v>
      </c>
      <c r="BC210" s="315">
        <f t="shared" si="3325"/>
        <v>40.118034600000009</v>
      </c>
      <c r="BD210" s="315">
        <f t="shared" si="3326"/>
        <v>581.75603460000002</v>
      </c>
      <c r="BE210" s="315">
        <f t="shared" ref="BE210:BE215" si="3479">(($E210/30)*$H210)*$J210</f>
        <v>0</v>
      </c>
      <c r="BF210" s="315">
        <f t="shared" ref="BF210:BF213" si="3480">(($F210/30)*$H210)*$J210</f>
        <v>0</v>
      </c>
      <c r="BG210" s="315">
        <f t="shared" si="3329"/>
        <v>0</v>
      </c>
      <c r="BH210" s="315">
        <f t="shared" si="3330"/>
        <v>0</v>
      </c>
      <c r="BI210" s="315">
        <f t="shared" si="3331"/>
        <v>0</v>
      </c>
      <c r="BJ210" s="315">
        <f t="shared" si="3332"/>
        <v>0</v>
      </c>
      <c r="BK210" s="315">
        <f t="shared" si="3333"/>
        <v>0</v>
      </c>
      <c r="BL210" s="315">
        <f t="shared" si="3334"/>
        <v>0</v>
      </c>
      <c r="BM210" s="314">
        <f t="shared" si="3335"/>
        <v>0</v>
      </c>
      <c r="BN210" s="315">
        <f t="shared" ref="BN210:BN215" si="3481">(($E210/30)*$H210)*$K210</f>
        <v>3166.38</v>
      </c>
      <c r="BO210" s="906">
        <f>(($F210/30)*$H210)*$K210+225</f>
        <v>675</v>
      </c>
      <c r="BP210" s="315">
        <f t="shared" si="3337"/>
        <v>4</v>
      </c>
      <c r="BQ210" s="315">
        <f t="shared" si="3338"/>
        <v>79.159500000000008</v>
      </c>
      <c r="BR210" s="315">
        <f t="shared" si="3339"/>
        <v>0</v>
      </c>
      <c r="BS210" s="315">
        <f t="shared" si="3340"/>
        <v>0</v>
      </c>
      <c r="BT210" s="315">
        <f t="shared" si="3341"/>
        <v>0</v>
      </c>
      <c r="BU210" s="315">
        <f t="shared" si="3342"/>
        <v>411.20985465000007</v>
      </c>
      <c r="BV210" s="315">
        <f t="shared" si="3343"/>
        <v>4331.74935465</v>
      </c>
      <c r="BW210" s="360">
        <f t="shared" si="3388"/>
        <v>0</v>
      </c>
      <c r="BX210" s="361">
        <f t="shared" si="3345"/>
        <v>0</v>
      </c>
      <c r="BY210" s="361">
        <f t="shared" ref="BY210:CB210" si="3482">AB210</f>
        <v>0</v>
      </c>
      <c r="BZ210" s="361">
        <f t="shared" si="3482"/>
        <v>0</v>
      </c>
      <c r="CA210" s="361">
        <f t="shared" si="3482"/>
        <v>0</v>
      </c>
      <c r="CB210" s="361">
        <f t="shared" si="3482"/>
        <v>0</v>
      </c>
      <c r="CC210" s="361">
        <f t="shared" si="3393"/>
        <v>0</v>
      </c>
      <c r="CD210" s="361">
        <f t="shared" si="3394"/>
        <v>0</v>
      </c>
      <c r="CE210" s="361">
        <f t="shared" si="3395"/>
        <v>0</v>
      </c>
      <c r="CF210" s="361">
        <f t="shared" si="3396"/>
        <v>0</v>
      </c>
      <c r="CG210" s="361">
        <f t="shared" si="3354"/>
        <v>0</v>
      </c>
      <c r="CH210" s="361">
        <f t="shared" si="3397"/>
        <v>0</v>
      </c>
      <c r="CI210" s="361">
        <f t="shared" ref="CI210:CK210" si="3483">AG210</f>
        <v>0</v>
      </c>
      <c r="CJ210" s="361">
        <f t="shared" si="3483"/>
        <v>0</v>
      </c>
      <c r="CK210" s="361">
        <f t="shared" si="3483"/>
        <v>0</v>
      </c>
      <c r="CL210" s="361">
        <f t="shared" si="3401"/>
        <v>0</v>
      </c>
      <c r="CM210" s="361">
        <f t="shared" si="3402"/>
        <v>0</v>
      </c>
      <c r="CN210" s="362">
        <f t="shared" si="3403"/>
        <v>0</v>
      </c>
      <c r="CO210" s="330"/>
      <c r="CP210" s="313" t="s">
        <v>12</v>
      </c>
      <c r="CQ210" s="315">
        <f>IF($CP210="PROQUIMA",$AV210+$BE210+$BN210+$BW210+$CF210,0)</f>
        <v>0</v>
      </c>
      <c r="CR210" s="315">
        <f>IF($CP210="PROQUIMA",$AW210+$BF210+$BO210+$BX210+$CG210,0)</f>
        <v>0</v>
      </c>
      <c r="CS210" s="315">
        <f>IF($CP210="PROQUIMA",$AX210+$BG210+$BP210+$BY210+$CH210,0)</f>
        <v>0</v>
      </c>
      <c r="CT210" s="315">
        <f>IF($CP210="PROQUIMA",$AY210+$BH210+$BQ210+$BZ210+$CI210,0)</f>
        <v>0</v>
      </c>
      <c r="CU210" s="315">
        <f>IF($CP210="PROQUIMA",$AZ210+$BI210+$BR210+$CA210+$CJ210,0)</f>
        <v>0</v>
      </c>
      <c r="CV210" s="315">
        <f>IF($CP210="PROQUIMA",$BA210+$BJ210+$BS210+$CB210+$CK210,0)</f>
        <v>0</v>
      </c>
      <c r="CW210" s="315">
        <f>IF($CP210="PROQUIMA",$BB210+$BK210+$BT210+$CC210+$CL210,0)</f>
        <v>0</v>
      </c>
      <c r="CX210" s="315">
        <f>IF($CP210="PROQUIMA",$BC210+$BL210+$BU210+$CD210+CM210,0)</f>
        <v>0</v>
      </c>
      <c r="CY210" s="315">
        <f>SUM(CQ210:CX210)-CS210-CU210</f>
        <v>0</v>
      </c>
      <c r="CZ210" s="315">
        <f t="shared" ref="CZ210:CZ215" si="3484">IF($CP210="UNHESA",$AV210+$BE210+$BN210+$BW210+$CF210,0)</f>
        <v>0</v>
      </c>
      <c r="DA210" s="315">
        <f t="shared" ref="DA210:DA215" si="3485">IF($CP210="UNHESA",$AW210+$BF210+$BO210+$BX210+$CG210,0)</f>
        <v>0</v>
      </c>
      <c r="DB210" s="315">
        <f t="shared" ref="DB210:DB215" si="3486">IF($CP210="UNHESA",$AX210+$BG210+$BP210+$BY210+$CH210,0)</f>
        <v>0</v>
      </c>
      <c r="DC210" s="315">
        <f t="shared" ref="DC210:DC215" si="3487">IF($CP210="UNHESA",$AY210+$BH210+$BQ210+$BZ210+$CI210,0)</f>
        <v>0</v>
      </c>
      <c r="DD210" s="315">
        <f t="shared" ref="DD210:DD215" si="3488">IF($CP210="UNHESA",$AZ210+$BI210+$BR210+$CA210+$CJ210,0)</f>
        <v>0</v>
      </c>
      <c r="DE210" s="315">
        <f t="shared" ref="DE210:DE215" si="3489">IF($CP210="UNHESA",$BA210+$BJ210+$BS210+$CB210+$CK210,0)</f>
        <v>0</v>
      </c>
      <c r="DF210" s="315">
        <f t="shared" ref="DF210:DF215" si="3490">IF($CP210="UNHESA",$BB210+$BK210+$BT210+$CC210+$CL210,0)</f>
        <v>0</v>
      </c>
      <c r="DG210" s="315">
        <f t="shared" ref="DG210:DG215" si="3491">IF($CP210="UNHESA",$BC210+$BL210+$BU210+$CD210+$CM210,0)</f>
        <v>0</v>
      </c>
      <c r="DH210" s="315">
        <f t="shared" si="3366"/>
        <v>0</v>
      </c>
      <c r="DI210" s="315">
        <f>IF($CP210="UNHESA LIQUIDOS",$AV210+$BE210+$BN210+$BW210+$CF210,0)</f>
        <v>3166.38</v>
      </c>
      <c r="DJ210" s="315">
        <f>IF($CP210="UNHESA LIQUIDOS",$AW210+$BF210+$BO210+$BX210+$CG210,0)</f>
        <v>900</v>
      </c>
      <c r="DK210" s="315">
        <f>IF($CP210="UNHESA LIQUIDOS",$AX210+$BG210+$BP210+$BY210+$CH210,0)</f>
        <v>4</v>
      </c>
      <c r="DL210" s="315">
        <f>IF($CP210="UNHESA LIQUIDOS",$AY210+$BH210+$BQ210+$BZ210+$CI210,0)</f>
        <v>79.159500000000008</v>
      </c>
      <c r="DM210" s="315">
        <f>IF($CP210="UNHESA LIQUIDOS",$AZ210+$BI210+$BR210+$CA210+$CJ210,0)</f>
        <v>12</v>
      </c>
      <c r="DN210" s="315">
        <f>IF($CP210="UNHESA LIQUIDOS",$BA210+$BJ210+$BS210+$CB210+$CK210,0)</f>
        <v>316.63800000000003</v>
      </c>
      <c r="DO210" s="315">
        <f>IF($CP210="UNHESA LIQUIDOS",$BB210+$BK210+$BT210+$CC210+$CL210,0)</f>
        <v>0</v>
      </c>
      <c r="DP210" s="315">
        <f>IF($CP210="UNHESA LIQUIDOS",$BC210+$BL210+$BU210+$CD210+$CM210,0)</f>
        <v>451.32788925000006</v>
      </c>
      <c r="DQ210" s="315">
        <f>SUM(DI210:DP210)-DK210-DM210</f>
        <v>4913.50538925</v>
      </c>
      <c r="DR210" s="360">
        <f>IF($CP210="ECONACIONAL",$AV210+$BE210+$BN210+$BW210+$CF210,0)</f>
        <v>0</v>
      </c>
      <c r="DS210" s="361">
        <f>IF($CP210="ECONACIONAL",$AW210+$BF210+$BO210+$BX210+$CG210,0)</f>
        <v>0</v>
      </c>
      <c r="DT210" s="361">
        <f>IF($CP210="ECONACIONAL",$AX210+$BG210+$BP210+$BY210+$CH210,0)</f>
        <v>0</v>
      </c>
      <c r="DU210" s="361">
        <f>IF($CP210="ECONACIONAL",$AY210+$BH210+$BQ210+$BZ210+$CI210,0)</f>
        <v>0</v>
      </c>
      <c r="DV210" s="361">
        <f>IF($CP210="ECONACIONAL",$AZ210+$BI210+$BR210+$CA210+$CJ210,0)</f>
        <v>0</v>
      </c>
      <c r="DW210" s="361">
        <f>IF($CP210="ECONACIONAL",$BA210+$BJ210+$BS210+$CB210+$CK210,0)</f>
        <v>0</v>
      </c>
      <c r="DX210" s="361">
        <f>IF($CP210="ECONACIONAL",$BB210+$BK210+$BT210+$CC210+$CL210,0)</f>
        <v>0</v>
      </c>
      <c r="DY210" s="361">
        <f>IF($CP210="ECONACIONAL",$BC210+$BL210+$BU210+$CD210+$CM210,0)</f>
        <v>0</v>
      </c>
      <c r="DZ210" s="361">
        <f t="shared" si="3454"/>
        <v>0</v>
      </c>
      <c r="EA210" s="361">
        <f>IF($CP210="CLEARTEC",$AV210+$BE210+$BN210+$BW210+$CF210,0)</f>
        <v>0</v>
      </c>
      <c r="EB210" s="361">
        <f>IF($CP210="CLEARTEC",$AW210+$BF210+$BO210+$BX210+$CG210,0)</f>
        <v>0</v>
      </c>
      <c r="EC210" s="361">
        <f>IF($CP210="CLEARTEC",$AX210+$BG210+$BP210+$BY210+$CH210,0)</f>
        <v>0</v>
      </c>
      <c r="ED210" s="361">
        <f>IF($CP210="CLEARTEC",$AY210+$BH210+$BQ210+$BZ210+$CI210,0)</f>
        <v>0</v>
      </c>
      <c r="EE210" s="361">
        <f>IF($CP210="CLEARTEC",$AZ210+$BI210+$BR210+$CA210+$CJ210,0)</f>
        <v>0</v>
      </c>
      <c r="EF210" s="361">
        <f>IF($CP210="CLEARTEC",$BA210+$BJ210+$BS210+$CB210+$CK210,0)</f>
        <v>0</v>
      </c>
      <c r="EG210" s="361">
        <f>IF($CP210="CLEARTEC",$BB210+$BK210+$BT210+$CC210+$CL210,0)</f>
        <v>0</v>
      </c>
      <c r="EH210" s="361">
        <f>IF($CP210="CLEARTEC",$BC210+$BL210+$BU210+$CD210+$CM210,0)</f>
        <v>0</v>
      </c>
      <c r="EI210" s="362">
        <f t="shared" si="3463"/>
        <v>0</v>
      </c>
      <c r="EJ210" s="330"/>
      <c r="EK210" s="1596">
        <v>82.22</v>
      </c>
      <c r="EL210" s="313">
        <v>748.92</v>
      </c>
      <c r="EM210" s="313"/>
      <c r="EN210" s="313"/>
      <c r="EO210" s="313"/>
      <c r="EP210" s="313">
        <v>50</v>
      </c>
      <c r="EQ210" s="1425"/>
      <c r="ER210" s="1425"/>
      <c r="ES210" s="313"/>
      <c r="ET210" s="313">
        <f>+EO210+EP210+EQ210</f>
        <v>50</v>
      </c>
      <c r="EV210" s="321">
        <f t="shared" ref="EV210:EV213" si="3492">IF($H210&lt;=15,EK210/2,EK210)</f>
        <v>82.22</v>
      </c>
      <c r="EW210" s="321">
        <f t="shared" ref="EW210:EW215" si="3493">IF($H210&lt;=15,EL210/2,EL210)</f>
        <v>748.92</v>
      </c>
      <c r="EX210" s="321">
        <f t="shared" ref="EX210:EX215" si="3494">IF($H210&lt;=15,EM210/2,EM210)</f>
        <v>0</v>
      </c>
      <c r="EY210" s="321">
        <f t="shared" ref="EY210:EY215" si="3495">IF($H210&lt;=15,EN210/2,EN210)</f>
        <v>0</v>
      </c>
      <c r="EZ210" s="321">
        <f t="shared" ref="EZ210:EZ215" si="3496">IF($H210&lt;=15,EO210/2,EO210)</f>
        <v>0</v>
      </c>
      <c r="FA210" s="321">
        <f t="shared" ref="FA210:FA215" si="3497">IF($H210&lt;=15,EP210/2,EP210)</f>
        <v>50</v>
      </c>
      <c r="FB210" s="321">
        <f>IF($H210&lt;=15,EQ210/2,EQ210)</f>
        <v>0</v>
      </c>
      <c r="FC210" s="321">
        <f t="shared" ref="FC210:FC213" si="3498">IF($H210&lt;=15,ER210/2,ER210)</f>
        <v>0</v>
      </c>
      <c r="FD210" s="321">
        <f t="shared" ref="FD210:FD213" si="3499">IF($H210&lt;=15,ES210/2,ES210)</f>
        <v>0</v>
      </c>
      <c r="FE210" s="321">
        <f t="shared" ref="FE210:FE213" si="3500">IF($H210&lt;=15,ET210/2,ET210)</f>
        <v>50</v>
      </c>
      <c r="FF210" s="332">
        <v>0</v>
      </c>
      <c r="FG210" s="332">
        <v>0</v>
      </c>
      <c r="FH210" s="332">
        <v>1</v>
      </c>
      <c r="FI210" s="332">
        <v>0</v>
      </c>
      <c r="FJ210" s="332">
        <v>0</v>
      </c>
      <c r="FK210" s="332">
        <v>1</v>
      </c>
      <c r="FL210" s="331">
        <f>+EP210-FA210</f>
        <v>0</v>
      </c>
    </row>
    <row r="211" spans="1:260" s="331" customFormat="1" ht="15" customHeight="1" outlineLevel="1">
      <c r="A211" s="415">
        <f t="shared" si="3469"/>
        <v>120</v>
      </c>
      <c r="B211" s="311" t="s">
        <v>378</v>
      </c>
      <c r="C211" s="312" t="s">
        <v>597</v>
      </c>
      <c r="D211" s="312" t="s">
        <v>11</v>
      </c>
      <c r="E211" s="1971">
        <v>3166.38</v>
      </c>
      <c r="F211" s="314">
        <v>250</v>
      </c>
      <c r="G211" s="1988">
        <f t="shared" si="3307"/>
        <v>3416.38</v>
      </c>
      <c r="H211" s="1971">
        <v>30</v>
      </c>
      <c r="I211" s="318">
        <v>0</v>
      </c>
      <c r="J211" s="318">
        <v>0</v>
      </c>
      <c r="K211" s="417">
        <v>1</v>
      </c>
      <c r="L211" s="318">
        <v>0</v>
      </c>
      <c r="M211" s="318">
        <v>0</v>
      </c>
      <c r="N211" s="318">
        <f t="shared" si="3474"/>
        <v>1</v>
      </c>
      <c r="O211" s="1122"/>
      <c r="P211" s="320">
        <v>2</v>
      </c>
      <c r="Q211" s="315">
        <f t="shared" si="3475"/>
        <v>39.579750000000004</v>
      </c>
      <c r="R211" s="321"/>
      <c r="S211" s="315">
        <f t="shared" si="3476"/>
        <v>0</v>
      </c>
      <c r="T211" s="321"/>
      <c r="U211" s="315">
        <f t="shared" si="3477"/>
        <v>0</v>
      </c>
      <c r="V211" s="320"/>
      <c r="W211" s="315">
        <f t="shared" si="3478"/>
        <v>0</v>
      </c>
      <c r="X211" s="321">
        <v>34</v>
      </c>
      <c r="Y211" s="315">
        <f t="shared" si="3313"/>
        <v>672.85575000000006</v>
      </c>
      <c r="Z211" s="322"/>
      <c r="AA211" s="315">
        <f t="shared" si="3314"/>
        <v>0</v>
      </c>
      <c r="AB211" s="322"/>
      <c r="AC211" s="315">
        <f t="shared" ref="AC211:AC215" si="3501">(($E211/30/8)*1.5)*AB211</f>
        <v>0</v>
      </c>
      <c r="AD211" s="322"/>
      <c r="AE211" s="315">
        <f t="shared" ref="AE211:AE215" si="3502">(($E211/30/8)*2)*AD211</f>
        <v>0</v>
      </c>
      <c r="AF211" s="315"/>
      <c r="AG211" s="315">
        <f t="shared" ref="AG211:AG215" si="3503">(($E211/30/8)*1.5)*AF211</f>
        <v>0</v>
      </c>
      <c r="AH211" s="322"/>
      <c r="AI211" s="315">
        <f t="shared" ref="AI211:AI215" si="3504">(($E211/30/8)*2)*AH211</f>
        <v>0</v>
      </c>
      <c r="AJ211" s="314"/>
      <c r="AK211" s="314"/>
      <c r="AL211" s="314"/>
      <c r="AM211" s="314"/>
      <c r="AN211" s="314"/>
      <c r="AO211" s="314"/>
      <c r="AP211" s="314"/>
      <c r="AQ211" s="314"/>
      <c r="AR211" s="314"/>
      <c r="AS211" s="314"/>
      <c r="AT211" s="314"/>
      <c r="AU211" s="359"/>
      <c r="AV211" s="315">
        <v>0</v>
      </c>
      <c r="AW211" s="906">
        <f>((F211/30)*H211)*$I211</f>
        <v>0</v>
      </c>
      <c r="AX211" s="315">
        <f t="shared" si="3320"/>
        <v>2</v>
      </c>
      <c r="AY211" s="315">
        <f t="shared" si="3321"/>
        <v>39.579750000000004</v>
      </c>
      <c r="AZ211" s="315">
        <f t="shared" si="3322"/>
        <v>0</v>
      </c>
      <c r="BA211" s="315">
        <f t="shared" si="3323"/>
        <v>0</v>
      </c>
      <c r="BB211" s="315">
        <f t="shared" si="3324"/>
        <v>0</v>
      </c>
      <c r="BC211" s="315">
        <f t="shared" si="3325"/>
        <v>5.0147543250000011</v>
      </c>
      <c r="BD211" s="315">
        <f t="shared" si="3326"/>
        <v>44.594504325000003</v>
      </c>
      <c r="BE211" s="315">
        <f t="shared" si="3479"/>
        <v>0</v>
      </c>
      <c r="BF211" s="906">
        <f t="shared" si="3480"/>
        <v>0</v>
      </c>
      <c r="BG211" s="315">
        <f t="shared" si="3329"/>
        <v>0</v>
      </c>
      <c r="BH211" s="315">
        <f t="shared" si="3330"/>
        <v>0</v>
      </c>
      <c r="BI211" s="315">
        <f t="shared" si="3331"/>
        <v>0</v>
      </c>
      <c r="BJ211" s="315">
        <f t="shared" si="3332"/>
        <v>0</v>
      </c>
      <c r="BK211" s="315">
        <f t="shared" si="3333"/>
        <v>0</v>
      </c>
      <c r="BL211" s="315">
        <f t="shared" si="3334"/>
        <v>0</v>
      </c>
      <c r="BM211" s="314">
        <f t="shared" si="3335"/>
        <v>0</v>
      </c>
      <c r="BN211" s="315">
        <f t="shared" si="3481"/>
        <v>3166.38</v>
      </c>
      <c r="BO211" s="1539">
        <f>(($F211/30)*$H211)*$K211+1350</f>
        <v>1600</v>
      </c>
      <c r="BP211" s="315">
        <f>X211</f>
        <v>34</v>
      </c>
      <c r="BQ211" s="315">
        <f t="shared" si="3338"/>
        <v>672.85575000000006</v>
      </c>
      <c r="BR211" s="315">
        <f t="shared" si="3339"/>
        <v>0</v>
      </c>
      <c r="BS211" s="315">
        <f t="shared" si="3340"/>
        <v>0</v>
      </c>
      <c r="BT211" s="315">
        <f t="shared" si="3341"/>
        <v>0</v>
      </c>
      <c r="BU211" s="315">
        <f t="shared" si="3342"/>
        <v>486.43116952500009</v>
      </c>
      <c r="BV211" s="315">
        <f t="shared" si="3343"/>
        <v>5925.6669195249997</v>
      </c>
      <c r="BW211" s="360">
        <f t="shared" ref="BW211:BW213" si="3505">(($E211/30)*$H211)*$L211</f>
        <v>0</v>
      </c>
      <c r="BX211" s="361">
        <f t="shared" si="3345"/>
        <v>0</v>
      </c>
      <c r="BY211" s="361">
        <f t="shared" ref="BY211:BY212" si="3506">AB211</f>
        <v>0</v>
      </c>
      <c r="BZ211" s="361">
        <f t="shared" ref="BZ211:BZ212" si="3507">AC211</f>
        <v>0</v>
      </c>
      <c r="CA211" s="361">
        <f t="shared" ref="CA211:CA212" si="3508">AD211</f>
        <v>0</v>
      </c>
      <c r="CB211" s="361">
        <f t="shared" ref="CB211:CB212" si="3509">AE211</f>
        <v>0</v>
      </c>
      <c r="CC211" s="361">
        <f t="shared" ref="CC211:CC212" si="3510">AM211+AR211</f>
        <v>0</v>
      </c>
      <c r="CD211" s="361">
        <f t="shared" ref="CD211:CD212" si="3511">(BW211+BZ211+CB211)*0.1267</f>
        <v>0</v>
      </c>
      <c r="CE211" s="361">
        <f t="shared" ref="CE211:CE212" si="3512">SUM(BW211:CD211)-BY211-CA211</f>
        <v>0</v>
      </c>
      <c r="CF211" s="361">
        <v>0</v>
      </c>
      <c r="CG211" s="361">
        <v>0</v>
      </c>
      <c r="CH211" s="361">
        <v>0</v>
      </c>
      <c r="CI211" s="361">
        <v>0</v>
      </c>
      <c r="CJ211" s="361">
        <v>0</v>
      </c>
      <c r="CK211" s="361">
        <v>0</v>
      </c>
      <c r="CL211" s="361">
        <v>0</v>
      </c>
      <c r="CM211" s="361">
        <v>0</v>
      </c>
      <c r="CN211" s="362">
        <v>0</v>
      </c>
      <c r="CO211" s="330"/>
      <c r="CP211" s="313" t="s">
        <v>12</v>
      </c>
      <c r="CQ211" s="315">
        <v>0</v>
      </c>
      <c r="CR211" s="315">
        <v>0</v>
      </c>
      <c r="CS211" s="315">
        <v>0</v>
      </c>
      <c r="CT211" s="315">
        <v>0</v>
      </c>
      <c r="CU211" s="315">
        <v>0</v>
      </c>
      <c r="CV211" s="315">
        <v>0</v>
      </c>
      <c r="CW211" s="315">
        <v>0</v>
      </c>
      <c r="CX211" s="315">
        <v>0</v>
      </c>
      <c r="CY211" s="315">
        <v>0</v>
      </c>
      <c r="CZ211" s="315">
        <f t="shared" si="3484"/>
        <v>0</v>
      </c>
      <c r="DA211" s="315">
        <f t="shared" si="3485"/>
        <v>0</v>
      </c>
      <c r="DB211" s="315">
        <f t="shared" si="3486"/>
        <v>0</v>
      </c>
      <c r="DC211" s="315">
        <f t="shared" si="3487"/>
        <v>0</v>
      </c>
      <c r="DD211" s="315">
        <f t="shared" si="3488"/>
        <v>0</v>
      </c>
      <c r="DE211" s="315">
        <f t="shared" si="3489"/>
        <v>0</v>
      </c>
      <c r="DF211" s="315">
        <f t="shared" si="3490"/>
        <v>0</v>
      </c>
      <c r="DG211" s="315">
        <f t="shared" si="3491"/>
        <v>0</v>
      </c>
      <c r="DH211" s="315">
        <f t="shared" si="3366"/>
        <v>0</v>
      </c>
      <c r="DI211" s="315">
        <f>IF($CP211="UNHESA LIQUIDOS",$AV211+$BE211+$BN211+$BW211+$CF211,0)</f>
        <v>3166.38</v>
      </c>
      <c r="DJ211" s="315">
        <f>IF($CP211="UNHESA LIQUIDOS",$AW211+$BF211+$BO211+$BX211+$CG211,0)</f>
        <v>1600</v>
      </c>
      <c r="DK211" s="315">
        <f>IF($CP211="UNHESA LIQUIDOS",$AX211+$BG211+$BP211+$BY211+$CH211,0)</f>
        <v>36</v>
      </c>
      <c r="DL211" s="315">
        <f>IF($CP211="UNHESA LIQUIDOS",$AY211+$BH211+$BQ211+$BZ211+$CI211,0)</f>
        <v>712.43550000000005</v>
      </c>
      <c r="DM211" s="315">
        <f>IF($CP211="UNHESA LIQUIDOS",$AZ211+$BI211+$BR211+$CA211+$CJ211,0)</f>
        <v>0</v>
      </c>
      <c r="DN211" s="315">
        <f>IF($CP211="UNHESA LIQUIDOS",$BA211+$BJ211+$BS211+$CB211+$CK211,0)</f>
        <v>0</v>
      </c>
      <c r="DO211" s="315">
        <f>IF($CP211="UNHESA LIQUIDOS",$BB211+$BK211+$BT211+$CC211+$CL211,0)</f>
        <v>0</v>
      </c>
      <c r="DP211" s="315">
        <f>IF($CP211="UNHESA LIQUIDOS",$BC211+$BL211+$BU211+$CD211+$CM211,0)</f>
        <v>491.4459238500001</v>
      </c>
      <c r="DQ211" s="315">
        <f>SUM(DI211:DP211)-DK211-DM211</f>
        <v>5970.2614238500009</v>
      </c>
      <c r="DR211" s="360">
        <f>IF($CP211="ECONACIONAL",$AV211+$BE211+$BN211+$BW211+$CF211,0)</f>
        <v>0</v>
      </c>
      <c r="DS211" s="361">
        <f>IF($CP211="ECONACIONAL",$AW211+$BF211+$BO211+$BX211+$CG211,0)</f>
        <v>0</v>
      </c>
      <c r="DT211" s="361">
        <f>IF($CP211="ECONACIONAL",$AX211+$BG211+$BP211+$BY211+$CH211,0)</f>
        <v>0</v>
      </c>
      <c r="DU211" s="361">
        <f>IF($CP211="ECONACIONAL",$AY211+$BH211+$BQ211+$BZ211+$CI211,0)</f>
        <v>0</v>
      </c>
      <c r="DV211" s="361">
        <f>IF($CP211="ECONACIONAL",$AZ211+$BI211+$BR211+$CA211+$CJ211,0)</f>
        <v>0</v>
      </c>
      <c r="DW211" s="361">
        <f>IF($CP211="ECONACIONAL",$BA211+$BJ211+$BS211+$CB211+$CK211,0)</f>
        <v>0</v>
      </c>
      <c r="DX211" s="361">
        <f>IF($CP211="ECONACIONAL",$BB211+$BK211+$BT211+$CC211+$CL211,0)</f>
        <v>0</v>
      </c>
      <c r="DY211" s="361">
        <f>IF($CP211="ECONACIONAL",$BC211+$BL211+$BU211+$CD211+$CM211,0)</f>
        <v>0</v>
      </c>
      <c r="DZ211" s="361">
        <f t="shared" si="3454"/>
        <v>0</v>
      </c>
      <c r="EA211" s="361">
        <f>IF($CP211="CLEARTEC",$AV211+$BE211+$BN211+$BW211+$CF211,0)</f>
        <v>0</v>
      </c>
      <c r="EB211" s="361">
        <f>IF($CP211="CLEARTEC",$AW211+$BF211+$BO211+$BX211+$CG211,0)</f>
        <v>0</v>
      </c>
      <c r="EC211" s="361">
        <f>IF($CP211="CLEARTEC",$AX211+$BG211+$BP211+$BY211+$CH211,0)</f>
        <v>0</v>
      </c>
      <c r="ED211" s="361">
        <f>IF($CP211="CLEARTEC",$AY211+$BH211+$BQ211+$BZ211+$CI211,0)</f>
        <v>0</v>
      </c>
      <c r="EE211" s="361">
        <f>IF($CP211="CLEARTEC",$AZ211+$BI211+$BR211+$CA211+$CJ211,0)</f>
        <v>0</v>
      </c>
      <c r="EF211" s="361">
        <f>IF($CP211="CLEARTEC",$BA211+$BJ211+$BS211+$CB211+$CK211,0)</f>
        <v>0</v>
      </c>
      <c r="EG211" s="361">
        <f>IF($CP211="CLEARTEC",$BB211+$BK211+$BT211+$CC211+$CL211,0)</f>
        <v>0</v>
      </c>
      <c r="EH211" s="361">
        <f>IF($CP211="CLEARTEC",$BC211+$BL211+$BU211+$CD211+$CM211,0)</f>
        <v>0</v>
      </c>
      <c r="EI211" s="362">
        <f t="shared" si="3463"/>
        <v>0</v>
      </c>
      <c r="EJ211" s="330"/>
      <c r="EK211" s="1596">
        <v>99.57</v>
      </c>
      <c r="EL211" s="312"/>
      <c r="EM211" s="313"/>
      <c r="EN211" s="313">
        <f>162+253</f>
        <v>415</v>
      </c>
      <c r="EO211" s="313"/>
      <c r="EP211" s="313">
        <v>50</v>
      </c>
      <c r="EQ211" s="1425"/>
      <c r="ER211" s="1425"/>
      <c r="ES211" s="313"/>
      <c r="ET211" s="313">
        <f t="shared" si="3378"/>
        <v>50</v>
      </c>
      <c r="EV211" s="321">
        <f t="shared" si="3492"/>
        <v>99.57</v>
      </c>
      <c r="EW211" s="321">
        <f t="shared" si="3493"/>
        <v>0</v>
      </c>
      <c r="EX211" s="321">
        <f t="shared" si="3494"/>
        <v>0</v>
      </c>
      <c r="EY211" s="321">
        <f t="shared" si="3495"/>
        <v>415</v>
      </c>
      <c r="EZ211" s="321">
        <f t="shared" si="3496"/>
        <v>0</v>
      </c>
      <c r="FA211" s="321">
        <f t="shared" si="3497"/>
        <v>50</v>
      </c>
      <c r="FB211" s="321">
        <f t="shared" ref="FB211:FB215" si="3513">IF($H211&lt;=15,EQ211/2,EQ211)</f>
        <v>0</v>
      </c>
      <c r="FC211" s="321">
        <f t="shared" si="3498"/>
        <v>0</v>
      </c>
      <c r="FD211" s="321">
        <f t="shared" si="3499"/>
        <v>0</v>
      </c>
      <c r="FE211" s="321">
        <f t="shared" si="3500"/>
        <v>50</v>
      </c>
      <c r="FF211" s="332">
        <v>0</v>
      </c>
      <c r="FG211" s="332">
        <v>0</v>
      </c>
      <c r="FH211" s="332">
        <v>1</v>
      </c>
      <c r="FI211" s="332">
        <v>0</v>
      </c>
      <c r="FJ211" s="332">
        <v>0</v>
      </c>
      <c r="FK211" s="332">
        <v>1</v>
      </c>
      <c r="FL211" s="331">
        <f>+EP211-FA211</f>
        <v>0</v>
      </c>
    </row>
    <row r="212" spans="1:260" s="331" customFormat="1" ht="15" customHeight="1" outlineLevel="1">
      <c r="A212" s="415">
        <f t="shared" si="3469"/>
        <v>121</v>
      </c>
      <c r="B212" s="311" t="s">
        <v>577</v>
      </c>
      <c r="C212" s="312" t="s">
        <v>595</v>
      </c>
      <c r="D212" s="312" t="s">
        <v>11</v>
      </c>
      <c r="E212" s="1971">
        <v>3166.38</v>
      </c>
      <c r="F212" s="314">
        <f>250</f>
        <v>250</v>
      </c>
      <c r="G212" s="1988">
        <f t="shared" si="3307"/>
        <v>3416.38</v>
      </c>
      <c r="H212" s="1971">
        <v>30</v>
      </c>
      <c r="I212" s="318">
        <v>0</v>
      </c>
      <c r="J212" s="1498">
        <v>0</v>
      </c>
      <c r="K212" s="417">
        <v>1</v>
      </c>
      <c r="L212" s="318">
        <v>0</v>
      </c>
      <c r="M212" s="318">
        <v>0</v>
      </c>
      <c r="N212" s="318">
        <f t="shared" si="3474"/>
        <v>1</v>
      </c>
      <c r="O212" s="1122"/>
      <c r="P212" s="320"/>
      <c r="Q212" s="315">
        <f t="shared" si="3475"/>
        <v>0</v>
      </c>
      <c r="R212" s="321"/>
      <c r="S212" s="315">
        <f t="shared" si="3476"/>
        <v>0</v>
      </c>
      <c r="T212" s="321"/>
      <c r="U212" s="315">
        <f t="shared" si="3477"/>
        <v>0</v>
      </c>
      <c r="V212" s="320"/>
      <c r="W212" s="315">
        <f t="shared" si="3478"/>
        <v>0</v>
      </c>
      <c r="X212" s="321">
        <v>2</v>
      </c>
      <c r="Y212" s="315">
        <f t="shared" si="3313"/>
        <v>39.579750000000004</v>
      </c>
      <c r="Z212" s="322"/>
      <c r="AA212" s="315">
        <f t="shared" si="3314"/>
        <v>0</v>
      </c>
      <c r="AB212" s="322"/>
      <c r="AC212" s="315">
        <f t="shared" si="3501"/>
        <v>0</v>
      </c>
      <c r="AD212" s="322"/>
      <c r="AE212" s="315">
        <f t="shared" si="3502"/>
        <v>0</v>
      </c>
      <c r="AF212" s="315"/>
      <c r="AG212" s="315">
        <f t="shared" si="3503"/>
        <v>0</v>
      </c>
      <c r="AH212" s="322"/>
      <c r="AI212" s="315">
        <f t="shared" si="3504"/>
        <v>0</v>
      </c>
      <c r="AJ212" s="314"/>
      <c r="AK212" s="314"/>
      <c r="AL212" s="314"/>
      <c r="AM212" s="314"/>
      <c r="AN212" s="314"/>
      <c r="AO212" s="314"/>
      <c r="AP212" s="314"/>
      <c r="AQ212" s="314"/>
      <c r="AR212" s="314"/>
      <c r="AS212" s="314"/>
      <c r="AT212" s="314"/>
      <c r="AU212" s="1626"/>
      <c r="AV212" s="315">
        <f t="shared" ref="AV212:AV215" si="3514">((E212/30)*H212)*$I212</f>
        <v>0</v>
      </c>
      <c r="AW212" s="906">
        <f>((F212/30)*H212)*$I212</f>
        <v>0</v>
      </c>
      <c r="AX212" s="315">
        <f t="shared" si="3320"/>
        <v>0</v>
      </c>
      <c r="AY212" s="315">
        <f t="shared" si="3321"/>
        <v>0</v>
      </c>
      <c r="AZ212" s="315">
        <f t="shared" si="3322"/>
        <v>0</v>
      </c>
      <c r="BA212" s="315">
        <f t="shared" si="3323"/>
        <v>0</v>
      </c>
      <c r="BB212" s="315">
        <f t="shared" si="3324"/>
        <v>0</v>
      </c>
      <c r="BC212" s="315">
        <f t="shared" si="3325"/>
        <v>0</v>
      </c>
      <c r="BD212" s="315">
        <f t="shared" si="3326"/>
        <v>0</v>
      </c>
      <c r="BE212" s="315">
        <f>(($E212/30)*$H212)*$J212</f>
        <v>0</v>
      </c>
      <c r="BF212" s="906">
        <f t="shared" si="3480"/>
        <v>0</v>
      </c>
      <c r="BG212" s="315">
        <f t="shared" si="3329"/>
        <v>0</v>
      </c>
      <c r="BH212" s="315">
        <f t="shared" si="3330"/>
        <v>0</v>
      </c>
      <c r="BI212" s="315">
        <f t="shared" si="3331"/>
        <v>0</v>
      </c>
      <c r="BJ212" s="315">
        <f t="shared" si="3332"/>
        <v>0</v>
      </c>
      <c r="BK212" s="315">
        <f t="shared" si="3333"/>
        <v>0</v>
      </c>
      <c r="BL212" s="315">
        <f t="shared" si="3334"/>
        <v>0</v>
      </c>
      <c r="BM212" s="314">
        <f t="shared" si="3335"/>
        <v>0</v>
      </c>
      <c r="BN212" s="315">
        <f t="shared" si="3481"/>
        <v>3166.38</v>
      </c>
      <c r="BO212" s="906">
        <f t="shared" si="3387"/>
        <v>250.00000000000003</v>
      </c>
      <c r="BP212" s="315">
        <f t="shared" si="3337"/>
        <v>2</v>
      </c>
      <c r="BQ212" s="315">
        <f t="shared" si="3338"/>
        <v>39.579750000000004</v>
      </c>
      <c r="BR212" s="315">
        <f t="shared" si="3339"/>
        <v>0</v>
      </c>
      <c r="BS212" s="315">
        <f t="shared" si="3340"/>
        <v>0</v>
      </c>
      <c r="BT212" s="315">
        <f t="shared" si="3341"/>
        <v>0</v>
      </c>
      <c r="BU212" s="315">
        <f t="shared" si="3342"/>
        <v>406.195100325</v>
      </c>
      <c r="BV212" s="315">
        <f t="shared" si="3343"/>
        <v>3862.1548503250001</v>
      </c>
      <c r="BW212" s="360">
        <f t="shared" si="3505"/>
        <v>0</v>
      </c>
      <c r="BX212" s="361">
        <f t="shared" si="3345"/>
        <v>0</v>
      </c>
      <c r="BY212" s="361">
        <f t="shared" si="3506"/>
        <v>0</v>
      </c>
      <c r="BZ212" s="361">
        <f t="shared" si="3507"/>
        <v>0</v>
      </c>
      <c r="CA212" s="361">
        <f t="shared" si="3508"/>
        <v>0</v>
      </c>
      <c r="CB212" s="361">
        <f t="shared" si="3509"/>
        <v>0</v>
      </c>
      <c r="CC212" s="361">
        <f t="shared" si="3510"/>
        <v>0</v>
      </c>
      <c r="CD212" s="361">
        <f t="shared" si="3511"/>
        <v>0</v>
      </c>
      <c r="CE212" s="361">
        <f t="shared" si="3512"/>
        <v>0</v>
      </c>
      <c r="CF212" s="1508"/>
      <c r="CG212" s="1508"/>
      <c r="CH212" s="1508"/>
      <c r="CI212" s="1508"/>
      <c r="CJ212" s="1508"/>
      <c r="CK212" s="1508"/>
      <c r="CL212" s="1508"/>
      <c r="CM212" s="1508"/>
      <c r="CN212" s="1508"/>
      <c r="CO212" s="330"/>
      <c r="CP212" s="313" t="s">
        <v>12</v>
      </c>
      <c r="CQ212" s="315">
        <f t="shared" ref="CQ212:CQ215" si="3515">IF($CP212="PROQUIMA",$AV212+$BE212+$BN212+$BW212+$CF212,0)</f>
        <v>0</v>
      </c>
      <c r="CR212" s="315">
        <f t="shared" ref="CR212:CR215" si="3516">IF($CP212="PROQUIMA",$AW212+$BF212+$BO212+$BX212+$CG212,0)</f>
        <v>0</v>
      </c>
      <c r="CS212" s="315">
        <f t="shared" ref="CS212:CS215" si="3517">IF($CP212="PROQUIMA",$AX212+$BG212+$BP212+$BY212+$CH212,0)</f>
        <v>0</v>
      </c>
      <c r="CT212" s="315">
        <f t="shared" ref="CT212:CT215" si="3518">IF($CP212="PROQUIMA",$AY212+$BH212+$BQ212+$BZ212+$CI212,0)</f>
        <v>0</v>
      </c>
      <c r="CU212" s="315">
        <f t="shared" ref="CU212:CU215" si="3519">IF($CP212="PROQUIMA",$AZ212+$BI212+$BR212+$CA212+$CJ212,0)</f>
        <v>0</v>
      </c>
      <c r="CV212" s="315">
        <f t="shared" ref="CV212:CV215" si="3520">IF($CP212="PROQUIMA",$BA212+$BJ212+$BS212+$CB212+$CK212,0)</f>
        <v>0</v>
      </c>
      <c r="CW212" s="315">
        <f t="shared" ref="CW212:CW215" si="3521">IF($CP212="PROQUIMA",$BB212+$BK212+$BT212+$CC212+$CL212,0)</f>
        <v>0</v>
      </c>
      <c r="CX212" s="315">
        <f t="shared" ref="CX212:CX215" si="3522">IF($CP212="PROQUIMA",$BC212+$BL212+$BU212+$CD212+CM212,0)</f>
        <v>0</v>
      </c>
      <c r="CY212" s="315">
        <f t="shared" ref="CY212:CY215" si="3523">SUM(CQ212:CX212)-CS212-CU212</f>
        <v>0</v>
      </c>
      <c r="CZ212" s="315">
        <f t="shared" si="3484"/>
        <v>0</v>
      </c>
      <c r="DA212" s="315">
        <f t="shared" si="3485"/>
        <v>0</v>
      </c>
      <c r="DB212" s="315">
        <f t="shared" si="3486"/>
        <v>0</v>
      </c>
      <c r="DC212" s="315">
        <f t="shared" si="3487"/>
        <v>0</v>
      </c>
      <c r="DD212" s="315">
        <f t="shared" si="3488"/>
        <v>0</v>
      </c>
      <c r="DE212" s="315">
        <f t="shared" si="3489"/>
        <v>0</v>
      </c>
      <c r="DF212" s="315">
        <f t="shared" si="3490"/>
        <v>0</v>
      </c>
      <c r="DG212" s="315">
        <f t="shared" si="3491"/>
        <v>0</v>
      </c>
      <c r="DH212" s="315">
        <f t="shared" si="3366"/>
        <v>0</v>
      </c>
      <c r="DI212" s="315">
        <f t="shared" ref="DI212:DI215" si="3524">IF($CP212="UNHESA LIQUIDOS",$AV212+$BE212+$BN212+$BW212+$CF212,0)</f>
        <v>3166.38</v>
      </c>
      <c r="DJ212" s="315">
        <f t="shared" ref="DJ212:DJ215" si="3525">IF($CP212="UNHESA LIQUIDOS",$AW212+$BF212+$BO212+$BX212+$CG212,0)</f>
        <v>250.00000000000003</v>
      </c>
      <c r="DK212" s="315">
        <f t="shared" ref="DK212:DK215" si="3526">IF($CP212="UNHESA LIQUIDOS",$AX212+$BG212+$BP212+$BY212+$CH212,0)</f>
        <v>2</v>
      </c>
      <c r="DL212" s="315">
        <f t="shared" ref="DL212:DL215" si="3527">IF($CP212="UNHESA LIQUIDOS",$AY212+$BH212+$BQ212+$BZ212+$CI212,0)</f>
        <v>39.579750000000004</v>
      </c>
      <c r="DM212" s="315">
        <f t="shared" ref="DM212:DM215" si="3528">IF($CP212="UNHESA LIQUIDOS",$AZ212+$BI212+$BR212+$CA212+$CJ212,0)</f>
        <v>0</v>
      </c>
      <c r="DN212" s="315">
        <f t="shared" ref="DN212:DN215" si="3529">IF($CP212="UNHESA LIQUIDOS",$BA212+$BJ212+$BS212+$CB212+$CK212,0)</f>
        <v>0</v>
      </c>
      <c r="DO212" s="315">
        <f t="shared" ref="DO212:DO215" si="3530">IF($CP212="UNHESA LIQUIDOS",$BB212+$BK212+$BT212+$CC212+$CL212,0)</f>
        <v>0</v>
      </c>
      <c r="DP212" s="315">
        <f t="shared" ref="DP212:DP215" si="3531">IF($CP212="UNHESA LIQUIDOS",$BC212+$BL212+$BU212+$CD212+$CM212,0)</f>
        <v>406.195100325</v>
      </c>
      <c r="DQ212" s="315">
        <f t="shared" ref="DQ212:DQ215" si="3532">SUM(DI212:DP212)-DK212-DM212</f>
        <v>3862.1548503250001</v>
      </c>
      <c r="DR212" s="1593"/>
      <c r="DS212" s="1594"/>
      <c r="DT212" s="1594"/>
      <c r="DU212" s="1594"/>
      <c r="DV212" s="1594"/>
      <c r="DW212" s="1594"/>
      <c r="DX212" s="1594"/>
      <c r="DY212" s="1594"/>
      <c r="DZ212" s="1594"/>
      <c r="EA212" s="1594"/>
      <c r="EB212" s="1594"/>
      <c r="EC212" s="1594"/>
      <c r="ED212" s="1594"/>
      <c r="EE212" s="1594"/>
      <c r="EF212" s="1594"/>
      <c r="EG212" s="1594"/>
      <c r="EH212" s="1594"/>
      <c r="EI212" s="1595"/>
      <c r="EJ212" s="330"/>
      <c r="EK212" s="1596">
        <v>41.41</v>
      </c>
      <c r="EL212" s="313"/>
      <c r="EM212" s="313"/>
      <c r="EN212" s="313"/>
      <c r="EO212" s="313"/>
      <c r="EP212" s="313">
        <v>50</v>
      </c>
      <c r="EQ212" s="1425"/>
      <c r="ER212" s="313"/>
      <c r="ES212" s="313"/>
      <c r="ET212" s="313">
        <f t="shared" si="3378"/>
        <v>50</v>
      </c>
      <c r="EV212" s="321">
        <f t="shared" si="3492"/>
        <v>41.41</v>
      </c>
      <c r="EW212" s="321">
        <f t="shared" si="3493"/>
        <v>0</v>
      </c>
      <c r="EX212" s="321">
        <f t="shared" si="3494"/>
        <v>0</v>
      </c>
      <c r="EY212" s="321">
        <f t="shared" si="3495"/>
        <v>0</v>
      </c>
      <c r="EZ212" s="321">
        <f t="shared" si="3496"/>
        <v>0</v>
      </c>
      <c r="FA212" s="321">
        <f t="shared" si="3497"/>
        <v>50</v>
      </c>
      <c r="FB212" s="321">
        <f t="shared" si="3513"/>
        <v>0</v>
      </c>
      <c r="FC212" s="321">
        <f t="shared" si="3498"/>
        <v>0</v>
      </c>
      <c r="FD212" s="321">
        <f t="shared" si="3499"/>
        <v>0</v>
      </c>
      <c r="FE212" s="321">
        <f t="shared" si="3500"/>
        <v>50</v>
      </c>
      <c r="FF212" s="332">
        <v>0</v>
      </c>
      <c r="FG212" s="332">
        <v>0</v>
      </c>
      <c r="FH212" s="332">
        <v>1</v>
      </c>
      <c r="FI212" s="332">
        <v>0</v>
      </c>
      <c r="FJ212" s="332">
        <v>0</v>
      </c>
      <c r="FK212" s="332">
        <f>SUM(FF212:FJ212)</f>
        <v>1</v>
      </c>
      <c r="FL212" s="331">
        <f t="shared" ref="FL212:FL218" si="3533">+EP212-FA212</f>
        <v>0</v>
      </c>
    </row>
    <row r="213" spans="1:260" s="331" customFormat="1" ht="15" customHeight="1" outlineLevel="1">
      <c r="A213" s="415">
        <f t="shared" si="3469"/>
        <v>122</v>
      </c>
      <c r="B213" s="311" t="s">
        <v>632</v>
      </c>
      <c r="C213" s="312" t="s">
        <v>595</v>
      </c>
      <c r="D213" s="312" t="s">
        <v>11</v>
      </c>
      <c r="E213" s="1971">
        <v>3166.38</v>
      </c>
      <c r="F213" s="314">
        <f>250</f>
        <v>250</v>
      </c>
      <c r="G213" s="1988">
        <f t="shared" si="3307"/>
        <v>3416.38</v>
      </c>
      <c r="H213" s="1971">
        <v>30</v>
      </c>
      <c r="I213" s="318">
        <v>0</v>
      </c>
      <c r="J213" s="1498">
        <v>0</v>
      </c>
      <c r="K213" s="417">
        <v>1</v>
      </c>
      <c r="L213" s="318">
        <v>0</v>
      </c>
      <c r="M213" s="318">
        <v>0</v>
      </c>
      <c r="N213" s="318">
        <f t="shared" si="3474"/>
        <v>1</v>
      </c>
      <c r="O213" s="1122"/>
      <c r="P213" s="320"/>
      <c r="Q213" s="315">
        <f t="shared" si="3475"/>
        <v>0</v>
      </c>
      <c r="R213" s="321"/>
      <c r="S213" s="315">
        <f t="shared" si="3476"/>
        <v>0</v>
      </c>
      <c r="T213" s="321"/>
      <c r="U213" s="315">
        <f t="shared" si="3477"/>
        <v>0</v>
      </c>
      <c r="V213" s="320"/>
      <c r="W213" s="315">
        <f t="shared" si="3478"/>
        <v>0</v>
      </c>
      <c r="X213" s="321">
        <v>6</v>
      </c>
      <c r="Y213" s="315">
        <f t="shared" si="3313"/>
        <v>118.73925000000001</v>
      </c>
      <c r="Z213" s="322"/>
      <c r="AA213" s="315">
        <f t="shared" si="3314"/>
        <v>0</v>
      </c>
      <c r="AB213" s="322"/>
      <c r="AC213" s="315">
        <f t="shared" si="3501"/>
        <v>0</v>
      </c>
      <c r="AD213" s="322"/>
      <c r="AE213" s="315">
        <f t="shared" si="3502"/>
        <v>0</v>
      </c>
      <c r="AF213" s="315"/>
      <c r="AG213" s="315">
        <f t="shared" si="3503"/>
        <v>0</v>
      </c>
      <c r="AH213" s="322"/>
      <c r="AI213" s="315">
        <f t="shared" si="3504"/>
        <v>0</v>
      </c>
      <c r="AJ213" s="314"/>
      <c r="AK213" s="314"/>
      <c r="AL213" s="314"/>
      <c r="AM213" s="314"/>
      <c r="AN213" s="314"/>
      <c r="AO213" s="314"/>
      <c r="AP213" s="314"/>
      <c r="AQ213" s="314"/>
      <c r="AR213" s="314"/>
      <c r="AS213" s="314"/>
      <c r="AT213" s="314"/>
      <c r="AU213" s="1626"/>
      <c r="AV213" s="315">
        <f t="shared" si="3514"/>
        <v>0</v>
      </c>
      <c r="AW213" s="315">
        <f>((F213/30)*H213)*$I213+450</f>
        <v>450</v>
      </c>
      <c r="AX213" s="315">
        <f t="shared" si="3320"/>
        <v>0</v>
      </c>
      <c r="AY213" s="315">
        <f t="shared" si="3321"/>
        <v>0</v>
      </c>
      <c r="AZ213" s="315">
        <f t="shared" si="3322"/>
        <v>0</v>
      </c>
      <c r="BA213" s="315">
        <f t="shared" si="3323"/>
        <v>0</v>
      </c>
      <c r="BB213" s="315">
        <f t="shared" si="3324"/>
        <v>0</v>
      </c>
      <c r="BC213" s="315">
        <f t="shared" si="3325"/>
        <v>0</v>
      </c>
      <c r="BD213" s="315">
        <f t="shared" si="3326"/>
        <v>450</v>
      </c>
      <c r="BE213" s="315">
        <f t="shared" si="3479"/>
        <v>0</v>
      </c>
      <c r="BF213" s="906">
        <f t="shared" si="3480"/>
        <v>0</v>
      </c>
      <c r="BG213" s="315">
        <f t="shared" si="3329"/>
        <v>0</v>
      </c>
      <c r="BH213" s="315">
        <f t="shared" si="3330"/>
        <v>0</v>
      </c>
      <c r="BI213" s="315">
        <f t="shared" si="3331"/>
        <v>0</v>
      </c>
      <c r="BJ213" s="315">
        <f t="shared" si="3332"/>
        <v>0</v>
      </c>
      <c r="BK213" s="315">
        <f t="shared" si="3333"/>
        <v>0</v>
      </c>
      <c r="BL213" s="315">
        <f t="shared" si="3334"/>
        <v>0</v>
      </c>
      <c r="BM213" s="314">
        <f t="shared" si="3335"/>
        <v>0</v>
      </c>
      <c r="BN213" s="315">
        <f t="shared" si="3481"/>
        <v>3166.38</v>
      </c>
      <c r="BO213" s="416">
        <f>(($F213/30)*$H213)*$K213+225</f>
        <v>475</v>
      </c>
      <c r="BP213" s="315">
        <f t="shared" si="3337"/>
        <v>6</v>
      </c>
      <c r="BQ213" s="315">
        <f t="shared" si="3338"/>
        <v>118.73925000000001</v>
      </c>
      <c r="BR213" s="315">
        <f t="shared" si="3339"/>
        <v>0</v>
      </c>
      <c r="BS213" s="315">
        <f t="shared" si="3340"/>
        <v>0</v>
      </c>
      <c r="BT213" s="315">
        <f t="shared" si="3341"/>
        <v>0</v>
      </c>
      <c r="BU213" s="315">
        <f t="shared" si="3342"/>
        <v>416.22460897500002</v>
      </c>
      <c r="BV213" s="315">
        <f t="shared" si="3343"/>
        <v>4176.3438589750003</v>
      </c>
      <c r="BW213" s="360">
        <f t="shared" si="3505"/>
        <v>0</v>
      </c>
      <c r="BX213" s="361">
        <f t="shared" si="3345"/>
        <v>0</v>
      </c>
      <c r="BY213" s="361">
        <f t="shared" ref="BY213" si="3534">AB213</f>
        <v>0</v>
      </c>
      <c r="BZ213" s="361">
        <f t="shared" ref="BZ213" si="3535">AC213</f>
        <v>0</v>
      </c>
      <c r="CA213" s="361">
        <f t="shared" ref="CA213" si="3536">AD213</f>
        <v>0</v>
      </c>
      <c r="CB213" s="361">
        <f t="shared" ref="CB213" si="3537">AE213</f>
        <v>0</v>
      </c>
      <c r="CC213" s="361">
        <f t="shared" ref="CC213" si="3538">AM213+AR213</f>
        <v>0</v>
      </c>
      <c r="CD213" s="361">
        <f t="shared" ref="CD213" si="3539">(BW213+BZ213+CB213)*0.1267</f>
        <v>0</v>
      </c>
      <c r="CE213" s="361">
        <f t="shared" ref="CE213" si="3540">SUM(BW213:CD213)-BY213-CA213</f>
        <v>0</v>
      </c>
      <c r="CF213" s="1508"/>
      <c r="CG213" s="1508"/>
      <c r="CH213" s="1508"/>
      <c r="CI213" s="1508"/>
      <c r="CJ213" s="1508"/>
      <c r="CK213" s="1508"/>
      <c r="CL213" s="1508"/>
      <c r="CM213" s="1508"/>
      <c r="CN213" s="1508"/>
      <c r="CO213" s="330"/>
      <c r="CP213" s="313" t="s">
        <v>12</v>
      </c>
      <c r="CQ213" s="315">
        <f t="shared" si="3515"/>
        <v>0</v>
      </c>
      <c r="CR213" s="315">
        <f t="shared" si="3516"/>
        <v>0</v>
      </c>
      <c r="CS213" s="315">
        <f t="shared" si="3517"/>
        <v>0</v>
      </c>
      <c r="CT213" s="315">
        <f t="shared" si="3518"/>
        <v>0</v>
      </c>
      <c r="CU213" s="315">
        <f t="shared" si="3519"/>
        <v>0</v>
      </c>
      <c r="CV213" s="315">
        <f t="shared" si="3520"/>
        <v>0</v>
      </c>
      <c r="CW213" s="315">
        <f t="shared" si="3521"/>
        <v>0</v>
      </c>
      <c r="CX213" s="315">
        <f t="shared" si="3522"/>
        <v>0</v>
      </c>
      <c r="CY213" s="315">
        <f t="shared" si="3523"/>
        <v>0</v>
      </c>
      <c r="CZ213" s="315">
        <f t="shared" si="3484"/>
        <v>0</v>
      </c>
      <c r="DA213" s="315">
        <f t="shared" si="3485"/>
        <v>0</v>
      </c>
      <c r="DB213" s="315">
        <f t="shared" si="3486"/>
        <v>0</v>
      </c>
      <c r="DC213" s="315">
        <f t="shared" si="3487"/>
        <v>0</v>
      </c>
      <c r="DD213" s="315">
        <f t="shared" si="3488"/>
        <v>0</v>
      </c>
      <c r="DE213" s="315">
        <f t="shared" si="3489"/>
        <v>0</v>
      </c>
      <c r="DF213" s="315">
        <f t="shared" si="3490"/>
        <v>0</v>
      </c>
      <c r="DG213" s="315">
        <f t="shared" si="3491"/>
        <v>0</v>
      </c>
      <c r="DH213" s="315">
        <f t="shared" si="3366"/>
        <v>0</v>
      </c>
      <c r="DI213" s="315">
        <f t="shared" si="3524"/>
        <v>3166.38</v>
      </c>
      <c r="DJ213" s="315">
        <f t="shared" si="3525"/>
        <v>925</v>
      </c>
      <c r="DK213" s="315">
        <f t="shared" si="3526"/>
        <v>6</v>
      </c>
      <c r="DL213" s="315">
        <f t="shared" si="3527"/>
        <v>118.73925000000001</v>
      </c>
      <c r="DM213" s="315">
        <f t="shared" si="3528"/>
        <v>0</v>
      </c>
      <c r="DN213" s="315">
        <f t="shared" si="3529"/>
        <v>0</v>
      </c>
      <c r="DO213" s="315">
        <f t="shared" si="3530"/>
        <v>0</v>
      </c>
      <c r="DP213" s="315">
        <f t="shared" si="3531"/>
        <v>416.22460897500002</v>
      </c>
      <c r="DQ213" s="315">
        <f t="shared" si="3532"/>
        <v>4626.3438589749994</v>
      </c>
      <c r="DR213" s="1593"/>
      <c r="DS213" s="1594"/>
      <c r="DT213" s="1594"/>
      <c r="DU213" s="1594"/>
      <c r="DV213" s="1594"/>
      <c r="DW213" s="1594"/>
      <c r="DX213" s="1594"/>
      <c r="DY213" s="1594"/>
      <c r="DZ213" s="1594"/>
      <c r="EA213" s="1594"/>
      <c r="EB213" s="1594"/>
      <c r="EC213" s="1594"/>
      <c r="ED213" s="1594"/>
      <c r="EE213" s="1594"/>
      <c r="EF213" s="1594"/>
      <c r="EG213" s="1594"/>
      <c r="EH213" s="1594"/>
      <c r="EI213" s="1595"/>
      <c r="EJ213" s="330"/>
      <c r="EK213" s="1596">
        <v>9.92</v>
      </c>
      <c r="EL213" s="313"/>
      <c r="EM213" s="313"/>
      <c r="EN213" s="313">
        <f>277.75+372</f>
        <v>649.75</v>
      </c>
      <c r="EO213" s="313"/>
      <c r="EP213" s="313">
        <v>50</v>
      </c>
      <c r="EQ213" s="1425"/>
      <c r="ER213" s="1425"/>
      <c r="ES213" s="313"/>
      <c r="ET213" s="313">
        <f t="shared" si="3378"/>
        <v>50</v>
      </c>
      <c r="EV213" s="321">
        <f t="shared" si="3492"/>
        <v>9.92</v>
      </c>
      <c r="EW213" s="321">
        <f t="shared" si="3493"/>
        <v>0</v>
      </c>
      <c r="EX213" s="321">
        <f t="shared" si="3494"/>
        <v>0</v>
      </c>
      <c r="EY213" s="321">
        <f t="shared" si="3495"/>
        <v>649.75</v>
      </c>
      <c r="EZ213" s="321">
        <f t="shared" si="3496"/>
        <v>0</v>
      </c>
      <c r="FA213" s="321">
        <f t="shared" si="3497"/>
        <v>50</v>
      </c>
      <c r="FB213" s="321">
        <f t="shared" si="3513"/>
        <v>0</v>
      </c>
      <c r="FC213" s="321">
        <f t="shared" si="3498"/>
        <v>0</v>
      </c>
      <c r="FD213" s="321">
        <f t="shared" si="3499"/>
        <v>0</v>
      </c>
      <c r="FE213" s="321">
        <f t="shared" si="3500"/>
        <v>50</v>
      </c>
      <c r="FF213" s="332">
        <v>0</v>
      </c>
      <c r="FG213" s="332">
        <v>0</v>
      </c>
      <c r="FH213" s="332">
        <v>1</v>
      </c>
      <c r="FI213" s="332">
        <v>0</v>
      </c>
      <c r="FJ213" s="332">
        <v>0</v>
      </c>
      <c r="FK213" s="332">
        <f>SUM(FF213:FJ213)</f>
        <v>1</v>
      </c>
      <c r="FL213" s="331">
        <f t="shared" si="3533"/>
        <v>0</v>
      </c>
    </row>
    <row r="214" spans="1:260" s="330" customFormat="1" ht="15" customHeight="1" outlineLevel="1">
      <c r="A214" s="415">
        <f t="shared" si="3469"/>
        <v>123</v>
      </c>
      <c r="B214" s="311" t="s">
        <v>528</v>
      </c>
      <c r="C214" s="312" t="s">
        <v>595</v>
      </c>
      <c r="D214" s="312" t="s">
        <v>11</v>
      </c>
      <c r="E214" s="1971">
        <v>3166.38</v>
      </c>
      <c r="F214" s="314">
        <v>250</v>
      </c>
      <c r="G214" s="1988">
        <f t="shared" si="3307"/>
        <v>3416.38</v>
      </c>
      <c r="H214" s="1971">
        <v>18</v>
      </c>
      <c r="I214" s="1498">
        <v>0</v>
      </c>
      <c r="J214" s="318">
        <v>0</v>
      </c>
      <c r="K214" s="417">
        <v>1</v>
      </c>
      <c r="L214" s="1498">
        <v>0</v>
      </c>
      <c r="M214" s="318">
        <v>0</v>
      </c>
      <c r="N214" s="318">
        <f t="shared" si="3474"/>
        <v>1</v>
      </c>
      <c r="O214" s="1477" t="s">
        <v>873</v>
      </c>
      <c r="P214" s="320">
        <v>2</v>
      </c>
      <c r="Q214" s="315">
        <f t="shared" si="3475"/>
        <v>39.579750000000004</v>
      </c>
      <c r="R214" s="321"/>
      <c r="S214" s="315">
        <f t="shared" si="3476"/>
        <v>0</v>
      </c>
      <c r="T214" s="321"/>
      <c r="U214" s="315">
        <f t="shared" si="3477"/>
        <v>0</v>
      </c>
      <c r="V214" s="320"/>
      <c r="W214" s="315">
        <f t="shared" si="3478"/>
        <v>0</v>
      </c>
      <c r="X214" s="321">
        <v>2</v>
      </c>
      <c r="Y214" s="315">
        <f t="shared" si="3313"/>
        <v>39.579750000000004</v>
      </c>
      <c r="Z214" s="322"/>
      <c r="AA214" s="315">
        <f t="shared" si="3314"/>
        <v>0</v>
      </c>
      <c r="AB214" s="322">
        <v>0</v>
      </c>
      <c r="AC214" s="315">
        <f t="shared" si="3501"/>
        <v>0</v>
      </c>
      <c r="AD214" s="322"/>
      <c r="AE214" s="315">
        <f t="shared" si="3502"/>
        <v>0</v>
      </c>
      <c r="AF214" s="315">
        <v>0</v>
      </c>
      <c r="AG214" s="315">
        <f t="shared" si="3503"/>
        <v>0</v>
      </c>
      <c r="AH214" s="322"/>
      <c r="AI214" s="315">
        <f t="shared" si="3504"/>
        <v>0</v>
      </c>
      <c r="AJ214" s="314"/>
      <c r="AK214" s="314"/>
      <c r="AL214" s="314"/>
      <c r="AM214" s="314"/>
      <c r="AN214" s="314"/>
      <c r="AO214" s="314"/>
      <c r="AP214" s="314"/>
      <c r="AQ214" s="314"/>
      <c r="AR214" s="314"/>
      <c r="AS214" s="314"/>
      <c r="AT214" s="314"/>
      <c r="AU214" s="359"/>
      <c r="AV214" s="315">
        <f t="shared" si="3514"/>
        <v>0</v>
      </c>
      <c r="AW214" s="315">
        <f>((F214/30)*H214)*$I214+225</f>
        <v>225</v>
      </c>
      <c r="AX214" s="315">
        <f t="shared" si="3320"/>
        <v>2</v>
      </c>
      <c r="AY214" s="315">
        <f t="shared" si="3321"/>
        <v>39.579750000000004</v>
      </c>
      <c r="AZ214" s="315">
        <f t="shared" si="3322"/>
        <v>0</v>
      </c>
      <c r="BA214" s="315">
        <f t="shared" si="3323"/>
        <v>0</v>
      </c>
      <c r="BB214" s="315">
        <f t="shared" si="3324"/>
        <v>0</v>
      </c>
      <c r="BC214" s="315">
        <f t="shared" si="3325"/>
        <v>5.0147543250000011</v>
      </c>
      <c r="BD214" s="315">
        <f t="shared" si="3326"/>
        <v>269.594504325</v>
      </c>
      <c r="BE214" s="315">
        <f>(($E214/30)*$H214)*$J214</f>
        <v>0</v>
      </c>
      <c r="BF214" s="906">
        <f>(($F214/30)*$H214)*$J214</f>
        <v>0</v>
      </c>
      <c r="BG214" s="315">
        <f t="shared" si="3329"/>
        <v>0</v>
      </c>
      <c r="BH214" s="315">
        <f t="shared" si="3330"/>
        <v>0</v>
      </c>
      <c r="BI214" s="315">
        <f t="shared" si="3331"/>
        <v>0</v>
      </c>
      <c r="BJ214" s="315">
        <f t="shared" si="3332"/>
        <v>0</v>
      </c>
      <c r="BK214" s="315">
        <f t="shared" si="3333"/>
        <v>0</v>
      </c>
      <c r="BL214" s="315">
        <f t="shared" si="3334"/>
        <v>0</v>
      </c>
      <c r="BM214" s="314">
        <f t="shared" si="3335"/>
        <v>0</v>
      </c>
      <c r="BN214" s="315">
        <f t="shared" si="3481"/>
        <v>1899.8280000000002</v>
      </c>
      <c r="BO214" s="906">
        <f>(($F214/30)*$H214)*$K214+225</f>
        <v>375</v>
      </c>
      <c r="BP214" s="315">
        <f t="shared" si="3337"/>
        <v>2</v>
      </c>
      <c r="BQ214" s="315">
        <f t="shared" si="3338"/>
        <v>39.579750000000004</v>
      </c>
      <c r="BR214" s="315">
        <f t="shared" si="3339"/>
        <v>0</v>
      </c>
      <c r="BS214" s="315">
        <f t="shared" si="3340"/>
        <v>0</v>
      </c>
      <c r="BT214" s="315">
        <f t="shared" si="3341"/>
        <v>0</v>
      </c>
      <c r="BU214" s="315">
        <f t="shared" si="3342"/>
        <v>245.72296192500005</v>
      </c>
      <c r="BV214" s="315">
        <f t="shared" si="3343"/>
        <v>2560.1307119250005</v>
      </c>
      <c r="BW214" s="360">
        <f>(($E214/30)*$H214)*$L214</f>
        <v>0</v>
      </c>
      <c r="BX214" s="361">
        <f t="shared" si="3345"/>
        <v>0</v>
      </c>
      <c r="BY214" s="361">
        <f t="shared" ref="BY214:CB215" si="3541">AB214</f>
        <v>0</v>
      </c>
      <c r="BZ214" s="361">
        <f t="shared" si="3541"/>
        <v>0</v>
      </c>
      <c r="CA214" s="361">
        <f t="shared" si="3541"/>
        <v>0</v>
      </c>
      <c r="CB214" s="361">
        <f t="shared" si="3541"/>
        <v>0</v>
      </c>
      <c r="CC214" s="361">
        <f>AM214+AR214</f>
        <v>0</v>
      </c>
      <c r="CD214" s="361">
        <f>(BW214+BZ214+CB214)*0.1267</f>
        <v>0</v>
      </c>
      <c r="CE214" s="361">
        <f>SUM(BW214:CD214)-BY214-CA214</f>
        <v>0</v>
      </c>
      <c r="CF214" s="361">
        <f>(($E214/30)*$H214)*M214</f>
        <v>0</v>
      </c>
      <c r="CG214" s="361">
        <f>(($F214/30)*$H214)*$M214</f>
        <v>0</v>
      </c>
      <c r="CH214" s="361">
        <f>+AF214</f>
        <v>0</v>
      </c>
      <c r="CI214" s="361">
        <f t="shared" ref="CI214:CK215" si="3542">AG214</f>
        <v>0</v>
      </c>
      <c r="CJ214" s="361">
        <f t="shared" si="3542"/>
        <v>0</v>
      </c>
      <c r="CK214" s="361">
        <f t="shared" si="3542"/>
        <v>0</v>
      </c>
      <c r="CL214" s="361">
        <f>AN214+AS214</f>
        <v>0</v>
      </c>
      <c r="CM214" s="361">
        <f>(CF214+CI214+CK214)*0.1267</f>
        <v>0</v>
      </c>
      <c r="CN214" s="362">
        <f>SUM(CF214:CM214)-CH214-CJ214</f>
        <v>0</v>
      </c>
      <c r="CP214" s="313" t="s">
        <v>12</v>
      </c>
      <c r="CQ214" s="315">
        <f t="shared" si="3515"/>
        <v>0</v>
      </c>
      <c r="CR214" s="315">
        <f t="shared" si="3516"/>
        <v>0</v>
      </c>
      <c r="CS214" s="315">
        <f t="shared" si="3517"/>
        <v>0</v>
      </c>
      <c r="CT214" s="315">
        <f t="shared" si="3518"/>
        <v>0</v>
      </c>
      <c r="CU214" s="315">
        <f t="shared" si="3519"/>
        <v>0</v>
      </c>
      <c r="CV214" s="315">
        <f t="shared" si="3520"/>
        <v>0</v>
      </c>
      <c r="CW214" s="315">
        <f t="shared" si="3521"/>
        <v>0</v>
      </c>
      <c r="CX214" s="315">
        <f t="shared" si="3522"/>
        <v>0</v>
      </c>
      <c r="CY214" s="315">
        <f t="shared" si="3523"/>
        <v>0</v>
      </c>
      <c r="CZ214" s="315">
        <f t="shared" si="3484"/>
        <v>0</v>
      </c>
      <c r="DA214" s="315">
        <f t="shared" si="3485"/>
        <v>0</v>
      </c>
      <c r="DB214" s="315">
        <f t="shared" si="3486"/>
        <v>0</v>
      </c>
      <c r="DC214" s="315">
        <f t="shared" si="3487"/>
        <v>0</v>
      </c>
      <c r="DD214" s="315">
        <f t="shared" si="3488"/>
        <v>0</v>
      </c>
      <c r="DE214" s="315">
        <f t="shared" si="3489"/>
        <v>0</v>
      </c>
      <c r="DF214" s="315">
        <f t="shared" si="3490"/>
        <v>0</v>
      </c>
      <c r="DG214" s="315">
        <f t="shared" si="3491"/>
        <v>0</v>
      </c>
      <c r="DH214" s="315">
        <f t="shared" si="3366"/>
        <v>0</v>
      </c>
      <c r="DI214" s="315">
        <f t="shared" si="3524"/>
        <v>1899.8280000000002</v>
      </c>
      <c r="DJ214" s="315">
        <f t="shared" si="3525"/>
        <v>600</v>
      </c>
      <c r="DK214" s="315">
        <f t="shared" si="3526"/>
        <v>4</v>
      </c>
      <c r="DL214" s="315">
        <f t="shared" si="3527"/>
        <v>79.159500000000008</v>
      </c>
      <c r="DM214" s="315">
        <f t="shared" si="3528"/>
        <v>0</v>
      </c>
      <c r="DN214" s="315">
        <f t="shared" si="3529"/>
        <v>0</v>
      </c>
      <c r="DO214" s="315">
        <f t="shared" si="3530"/>
        <v>0</v>
      </c>
      <c r="DP214" s="315">
        <f t="shared" si="3531"/>
        <v>250.73771625000006</v>
      </c>
      <c r="DQ214" s="315">
        <f t="shared" si="3532"/>
        <v>2829.7252162500008</v>
      </c>
      <c r="DR214" s="360">
        <f>IF($CP214="ECONACIONAL",$AV214+$BE214+$BN214+$BW214+$CF214,0)</f>
        <v>0</v>
      </c>
      <c r="DS214" s="361">
        <f>IF($CP214="ECONACIONAL",$AW214+$BF214+$BO214+$BX214+$CG214,0)</f>
        <v>0</v>
      </c>
      <c r="DT214" s="361">
        <f>IF($CP214="ECONACIONAL",$AX214+$BG214+$BP214+$BY214+$CH214,0)</f>
        <v>0</v>
      </c>
      <c r="DU214" s="361">
        <f>IF($CP214="ECONACIONAL",$AY214+$BH214+$BQ214+$BZ214+$CI214,0)</f>
        <v>0</v>
      </c>
      <c r="DV214" s="361">
        <f>IF($CP214="ECONACIONAL",$AZ214+$BI214+$BR214+$CA214+$CJ214,0)</f>
        <v>0</v>
      </c>
      <c r="DW214" s="361">
        <f>IF($CP214="ECONACIONAL",$BA214+$BJ214+$BS214+$CB214+$CK214,0)</f>
        <v>0</v>
      </c>
      <c r="DX214" s="361">
        <f>IF($CP214="ECONACIONAL",$BB214+$BK214+$BT214+$CC214+$CL214,0)</f>
        <v>0</v>
      </c>
      <c r="DY214" s="361">
        <f>IF($CP214="ECONACIONAL",$BC214+$BL214+$BU214+$CD214+$CM214,0)</f>
        <v>0</v>
      </c>
      <c r="DZ214" s="361">
        <f>SUM(DR214:DY214)-DT214-DV214</f>
        <v>0</v>
      </c>
      <c r="EA214" s="361">
        <f>IF($CP214="CLEARTEC",$AV214+$BE214+$BN214+$BW214+$CF214,0)</f>
        <v>0</v>
      </c>
      <c r="EB214" s="361">
        <f>IF($CP214="CLEARTEC",$AW214+$BF214+$BO214+$BX214+$CG214,0)</f>
        <v>0</v>
      </c>
      <c r="EC214" s="361">
        <f>IF($CP214="CLEARTEC",$AX214+$BG214+$BP214+$BY214+$CH214,0)</f>
        <v>0</v>
      </c>
      <c r="ED214" s="361">
        <f>IF($CP214="CLEARTEC",$AY214+$BH214+$BQ214+$BZ214+$CI214,0)</f>
        <v>0</v>
      </c>
      <c r="EE214" s="361">
        <f>IF($CP214="CLEARTEC",$AZ214+$BI214+$BR214+$CA214+$CJ214,0)</f>
        <v>0</v>
      </c>
      <c r="EF214" s="361">
        <f>IF($CP214="CLEARTEC",$BA214+$BJ214+$BS214+$CB214+$CK214,0)</f>
        <v>0</v>
      </c>
      <c r="EG214" s="361">
        <f>IF($CP214="CLEARTEC",$BB214+$BK214+$BT214+$CC214+$CL214,0)</f>
        <v>0</v>
      </c>
      <c r="EH214" s="361">
        <f>IF($CP214="CLEARTEC",$BC214+$BL214+$BU214+$CD214+$CM214,0)</f>
        <v>0</v>
      </c>
      <c r="EI214" s="362">
        <f>SUM(EA214:EH214)-EC214-EE214</f>
        <v>0</v>
      </c>
      <c r="EK214" s="1596">
        <v>16.600000000000001</v>
      </c>
      <c r="EL214" s="313"/>
      <c r="EM214" s="313"/>
      <c r="EN214" s="313"/>
      <c r="EO214" s="313"/>
      <c r="EP214" s="313">
        <v>50</v>
      </c>
      <c r="EQ214" s="1425"/>
      <c r="ER214" s="313"/>
      <c r="ES214" s="313"/>
      <c r="ET214" s="313">
        <f>+EO214+EP214+EQ214</f>
        <v>50</v>
      </c>
      <c r="EU214" s="1733"/>
      <c r="EV214" s="321">
        <f>IF($H214&lt;=15,EK214/2,EK214)</f>
        <v>16.600000000000001</v>
      </c>
      <c r="EW214" s="321">
        <f t="shared" si="3493"/>
        <v>0</v>
      </c>
      <c r="EX214" s="321">
        <f t="shared" si="3494"/>
        <v>0</v>
      </c>
      <c r="EY214" s="321">
        <f t="shared" si="3495"/>
        <v>0</v>
      </c>
      <c r="EZ214" s="321">
        <f t="shared" si="3496"/>
        <v>0</v>
      </c>
      <c r="FA214" s="321">
        <f t="shared" si="3497"/>
        <v>50</v>
      </c>
      <c r="FB214" s="321">
        <f t="shared" si="3513"/>
        <v>0</v>
      </c>
      <c r="FC214" s="321">
        <f t="shared" ref="FC214:FE215" si="3543">IF($H214&lt;=15,ER214/2,ER214)</f>
        <v>0</v>
      </c>
      <c r="FD214" s="321">
        <f t="shared" si="3543"/>
        <v>0</v>
      </c>
      <c r="FE214" s="321">
        <f t="shared" si="3543"/>
        <v>50</v>
      </c>
      <c r="FF214" s="332">
        <v>0</v>
      </c>
      <c r="FG214" s="332">
        <v>0</v>
      </c>
      <c r="FH214" s="332">
        <v>1</v>
      </c>
      <c r="FI214" s="332">
        <v>0</v>
      </c>
      <c r="FJ214" s="332">
        <v>0</v>
      </c>
      <c r="FK214" s="332">
        <v>1</v>
      </c>
      <c r="FL214" s="331">
        <f t="shared" si="3533"/>
        <v>0</v>
      </c>
    </row>
    <row r="215" spans="1:260" s="331" customFormat="1" ht="15" customHeight="1" outlineLevel="1">
      <c r="A215" s="415">
        <f t="shared" si="3469"/>
        <v>124</v>
      </c>
      <c r="B215" s="311" t="s">
        <v>519</v>
      </c>
      <c r="C215" s="312" t="s">
        <v>600</v>
      </c>
      <c r="D215" s="312" t="s">
        <v>11</v>
      </c>
      <c r="E215" s="1971">
        <v>3166.38</v>
      </c>
      <c r="F215" s="314">
        <f>250</f>
        <v>250</v>
      </c>
      <c r="G215" s="1988">
        <f t="shared" si="3307"/>
        <v>3416.38</v>
      </c>
      <c r="H215" s="1971">
        <v>30</v>
      </c>
      <c r="I215" s="318">
        <v>0</v>
      </c>
      <c r="J215" s="318">
        <v>0</v>
      </c>
      <c r="K215" s="417">
        <v>1</v>
      </c>
      <c r="L215" s="318">
        <v>0</v>
      </c>
      <c r="M215" s="318">
        <v>0</v>
      </c>
      <c r="N215" s="318">
        <f t="shared" si="3474"/>
        <v>1</v>
      </c>
      <c r="O215" s="319"/>
      <c r="P215" s="410">
        <v>0</v>
      </c>
      <c r="Q215" s="411">
        <f t="shared" si="3475"/>
        <v>0</v>
      </c>
      <c r="R215" s="412"/>
      <c r="S215" s="411">
        <f t="shared" si="3476"/>
        <v>0</v>
      </c>
      <c r="T215" s="412"/>
      <c r="U215" s="411">
        <f t="shared" si="3477"/>
        <v>0</v>
      </c>
      <c r="V215" s="412"/>
      <c r="W215" s="411">
        <f t="shared" si="3478"/>
        <v>0</v>
      </c>
      <c r="X215" s="413">
        <v>29</v>
      </c>
      <c r="Y215" s="411">
        <f t="shared" si="3313"/>
        <v>573.90637500000003</v>
      </c>
      <c r="Z215" s="414"/>
      <c r="AA215" s="411">
        <f t="shared" si="3314"/>
        <v>0</v>
      </c>
      <c r="AB215" s="322"/>
      <c r="AC215" s="315">
        <f t="shared" si="3501"/>
        <v>0</v>
      </c>
      <c r="AD215" s="322"/>
      <c r="AE215" s="315">
        <f t="shared" si="3502"/>
        <v>0</v>
      </c>
      <c r="AF215" s="315"/>
      <c r="AG215" s="315">
        <f t="shared" si="3503"/>
        <v>0</v>
      </c>
      <c r="AH215" s="322"/>
      <c r="AI215" s="315">
        <f t="shared" si="3504"/>
        <v>0</v>
      </c>
      <c r="AJ215" s="314"/>
      <c r="AK215" s="314"/>
      <c r="AL215" s="314"/>
      <c r="AM215" s="314"/>
      <c r="AN215" s="314"/>
      <c r="AO215" s="1526"/>
      <c r="AP215" s="314"/>
      <c r="AQ215" s="314"/>
      <c r="AR215" s="314"/>
      <c r="AS215" s="314"/>
      <c r="AT215" s="314"/>
      <c r="AU215" s="326"/>
      <c r="AV215" s="411">
        <f t="shared" si="3514"/>
        <v>0</v>
      </c>
      <c r="AW215" s="1722">
        <f>((F215/30)*H215)*$I215+225</f>
        <v>225</v>
      </c>
      <c r="AX215" s="411">
        <f t="shared" si="3320"/>
        <v>0</v>
      </c>
      <c r="AY215" s="411">
        <f t="shared" si="3321"/>
        <v>0</v>
      </c>
      <c r="AZ215" s="411">
        <f t="shared" si="3322"/>
        <v>0</v>
      </c>
      <c r="BA215" s="411">
        <f t="shared" si="3323"/>
        <v>0</v>
      </c>
      <c r="BB215" s="411">
        <f t="shared" si="3324"/>
        <v>0</v>
      </c>
      <c r="BC215" s="411">
        <f t="shared" si="3325"/>
        <v>0</v>
      </c>
      <c r="BD215" s="411">
        <f t="shared" si="3326"/>
        <v>225</v>
      </c>
      <c r="BE215" s="411">
        <f t="shared" si="3479"/>
        <v>0</v>
      </c>
      <c r="BF215" s="1722">
        <f t="shared" ref="BF215" si="3544">(($F215/30)*$H215)*$J215</f>
        <v>0</v>
      </c>
      <c r="BG215" s="411">
        <f>T215</f>
        <v>0</v>
      </c>
      <c r="BH215" s="411">
        <f t="shared" si="3330"/>
        <v>0</v>
      </c>
      <c r="BI215" s="411">
        <f t="shared" si="3331"/>
        <v>0</v>
      </c>
      <c r="BJ215" s="411">
        <f t="shared" si="3332"/>
        <v>0</v>
      </c>
      <c r="BK215" s="411">
        <f t="shared" si="3333"/>
        <v>0</v>
      </c>
      <c r="BL215" s="411">
        <f t="shared" si="3334"/>
        <v>0</v>
      </c>
      <c r="BM215" s="1718">
        <f t="shared" si="3335"/>
        <v>0</v>
      </c>
      <c r="BN215" s="411">
        <f t="shared" si="3481"/>
        <v>3166.38</v>
      </c>
      <c r="BO215" s="1722">
        <f>(($F215/30)*$H215)*$K215+1125</f>
        <v>1375</v>
      </c>
      <c r="BP215" s="411">
        <f t="shared" si="3337"/>
        <v>29</v>
      </c>
      <c r="BQ215" s="411">
        <f t="shared" si="3338"/>
        <v>573.90637500000003</v>
      </c>
      <c r="BR215" s="411">
        <f t="shared" si="3339"/>
        <v>0</v>
      </c>
      <c r="BS215" s="411">
        <f t="shared" si="3340"/>
        <v>0</v>
      </c>
      <c r="BT215" s="411">
        <f t="shared" si="3341"/>
        <v>0</v>
      </c>
      <c r="BU215" s="411">
        <f t="shared" si="3342"/>
        <v>473.89428371250006</v>
      </c>
      <c r="BV215" s="411">
        <f t="shared" si="3343"/>
        <v>5589.1806587124993</v>
      </c>
      <c r="BW215" s="1593">
        <f>(($E215/30)*$H215)*$L215</f>
        <v>0</v>
      </c>
      <c r="BX215" s="1594">
        <f t="shared" si="3345"/>
        <v>0</v>
      </c>
      <c r="BY215" s="1594">
        <f t="shared" si="3541"/>
        <v>0</v>
      </c>
      <c r="BZ215" s="1594">
        <f t="shared" si="3541"/>
        <v>0</v>
      </c>
      <c r="CA215" s="1594">
        <f t="shared" si="3541"/>
        <v>0</v>
      </c>
      <c r="CB215" s="1594">
        <f t="shared" si="3541"/>
        <v>0</v>
      </c>
      <c r="CC215" s="1594">
        <f>AM215+AR215</f>
        <v>0</v>
      </c>
      <c r="CD215" s="1594">
        <f>(BW215+BZ215+CB215)*0.1267</f>
        <v>0</v>
      </c>
      <c r="CE215" s="1594">
        <f>SUM(BW215:CD215)-BY215-CA215</f>
        <v>0</v>
      </c>
      <c r="CF215" s="1594">
        <f>(($E215/30)*$H215)*M215</f>
        <v>0</v>
      </c>
      <c r="CG215" s="1594">
        <f>(($F215/30)*$H215)*$M215</f>
        <v>0</v>
      </c>
      <c r="CH215" s="1594">
        <f>+AF215</f>
        <v>0</v>
      </c>
      <c r="CI215" s="1594">
        <f t="shared" si="3542"/>
        <v>0</v>
      </c>
      <c r="CJ215" s="1594">
        <f t="shared" si="3542"/>
        <v>0</v>
      </c>
      <c r="CK215" s="1594">
        <f t="shared" si="3542"/>
        <v>0</v>
      </c>
      <c r="CL215" s="1594">
        <f>AN215+AS215</f>
        <v>0</v>
      </c>
      <c r="CM215" s="1594">
        <f>(CF215+CI215+CK215)*0.1267</f>
        <v>0</v>
      </c>
      <c r="CN215" s="1595">
        <f>SUM(CF215:CM215)-CH215-CJ215</f>
        <v>0</v>
      </c>
      <c r="CO215" s="330"/>
      <c r="CP215" s="1717" t="s">
        <v>12</v>
      </c>
      <c r="CQ215" s="411">
        <f t="shared" si="3515"/>
        <v>0</v>
      </c>
      <c r="CR215" s="411">
        <f t="shared" si="3516"/>
        <v>0</v>
      </c>
      <c r="CS215" s="411">
        <f t="shared" si="3517"/>
        <v>0</v>
      </c>
      <c r="CT215" s="411">
        <f t="shared" si="3518"/>
        <v>0</v>
      </c>
      <c r="CU215" s="411">
        <f t="shared" si="3519"/>
        <v>0</v>
      </c>
      <c r="CV215" s="411">
        <f t="shared" si="3520"/>
        <v>0</v>
      </c>
      <c r="CW215" s="411">
        <f t="shared" si="3521"/>
        <v>0</v>
      </c>
      <c r="CX215" s="411">
        <f t="shared" si="3522"/>
        <v>0</v>
      </c>
      <c r="CY215" s="411">
        <f t="shared" si="3523"/>
        <v>0</v>
      </c>
      <c r="CZ215" s="411">
        <f t="shared" si="3484"/>
        <v>0</v>
      </c>
      <c r="DA215" s="411">
        <f t="shared" si="3485"/>
        <v>0</v>
      </c>
      <c r="DB215" s="411">
        <f t="shared" si="3486"/>
        <v>0</v>
      </c>
      <c r="DC215" s="411">
        <f t="shared" si="3487"/>
        <v>0</v>
      </c>
      <c r="DD215" s="411">
        <f t="shared" si="3488"/>
        <v>0</v>
      </c>
      <c r="DE215" s="411">
        <f t="shared" si="3489"/>
        <v>0</v>
      </c>
      <c r="DF215" s="411">
        <f t="shared" si="3490"/>
        <v>0</v>
      </c>
      <c r="DG215" s="411">
        <f t="shared" si="3491"/>
        <v>0</v>
      </c>
      <c r="DH215" s="411">
        <f t="shared" si="3366"/>
        <v>0</v>
      </c>
      <c r="DI215" s="411">
        <f t="shared" si="3524"/>
        <v>3166.38</v>
      </c>
      <c r="DJ215" s="411">
        <f t="shared" si="3525"/>
        <v>1600</v>
      </c>
      <c r="DK215" s="411">
        <f t="shared" si="3526"/>
        <v>29</v>
      </c>
      <c r="DL215" s="411">
        <f t="shared" si="3527"/>
        <v>573.90637500000003</v>
      </c>
      <c r="DM215" s="411">
        <f t="shared" si="3528"/>
        <v>0</v>
      </c>
      <c r="DN215" s="411">
        <f t="shared" si="3529"/>
        <v>0</v>
      </c>
      <c r="DO215" s="411">
        <f t="shared" si="3530"/>
        <v>0</v>
      </c>
      <c r="DP215" s="411">
        <f t="shared" si="3531"/>
        <v>473.89428371250006</v>
      </c>
      <c r="DQ215" s="411">
        <f t="shared" si="3532"/>
        <v>5814.1806587124993</v>
      </c>
      <c r="DR215" s="360">
        <f>IF($CP215="ECONACIONAL",$AV215+$BE215+$BN215+$BW215+$CF215,0)</f>
        <v>0</v>
      </c>
      <c r="DS215" s="361">
        <f>IF($CP215="ECONACIONAL",$AW215+$BF215+$BO215+$BX215+$CG215,0)</f>
        <v>0</v>
      </c>
      <c r="DT215" s="361">
        <f>IF($CP215="ECONACIONAL",$AX215+$BG215+$BP215+$BY215+$CH215,0)</f>
        <v>0</v>
      </c>
      <c r="DU215" s="361">
        <f>IF($CP215="ECONACIONAL",$AY215+$BH215+$BQ215+$BZ215+$CI215,0)</f>
        <v>0</v>
      </c>
      <c r="DV215" s="361">
        <f>IF($CP215="ECONACIONAL",$AZ215+$BI215+$BR215+$CA215+$CJ215,0)</f>
        <v>0</v>
      </c>
      <c r="DW215" s="361">
        <f>IF($CP215="ECONACIONAL",$BA215+$BJ215+$BS215+$CB215+$CK215,0)</f>
        <v>0</v>
      </c>
      <c r="DX215" s="361">
        <f>IF($CP215="ECONACIONAL",$BB215+$BK215+$BT215+$CC215+$CL215,0)</f>
        <v>0</v>
      </c>
      <c r="DY215" s="361">
        <f>IF($CP215="ECONACIONAL",$BC215+$BL215+$BU215+$CD215+$CM215,0)</f>
        <v>0</v>
      </c>
      <c r="DZ215" s="361">
        <f>SUM(DR215:DY215)-DT215-DV215</f>
        <v>0</v>
      </c>
      <c r="EA215" s="361">
        <f>IF($CP215="CLEARTEC",$AV215+$BE215+$BN215+$BW215+$CF215,0)</f>
        <v>0</v>
      </c>
      <c r="EB215" s="361">
        <f>IF($CP215="CLEARTEC",$AW215+$BF215+$BO215+$BX215+$CG215,0)</f>
        <v>0</v>
      </c>
      <c r="EC215" s="361">
        <f>IF($CP215="CLEARTEC",$AX215+$BG215+$BP215+$BY215+$CH215,0)</f>
        <v>0</v>
      </c>
      <c r="ED215" s="361">
        <f>IF($CP215="CLEARTEC",$AY215+$BH215+$BQ215+$BZ215+$CI215,0)</f>
        <v>0</v>
      </c>
      <c r="EE215" s="361">
        <f>IF($CP215="CLEARTEC",$AZ215+$BI215+$BR215+$CA215+$CJ215,0)</f>
        <v>0</v>
      </c>
      <c r="EF215" s="361">
        <f>IF($CP215="CLEARTEC",$BA215+$BJ215+$BS215+$CB215+$CK215,0)</f>
        <v>0</v>
      </c>
      <c r="EG215" s="361">
        <f>IF($CP215="CLEARTEC",$BB215+$BK215+$BT215+$CC215+$CL215,0)</f>
        <v>0</v>
      </c>
      <c r="EH215" s="361">
        <f>IF($CP215="CLEARTEC",$BC215+$BL215+$BU215+$CD215+$CM215,0)</f>
        <v>0</v>
      </c>
      <c r="EI215" s="362">
        <f>SUM(EA215:EH215)-EC215-EE215</f>
        <v>0</v>
      </c>
      <c r="EJ215" s="330"/>
      <c r="EK215" s="1596">
        <v>98.52</v>
      </c>
      <c r="EL215" s="1717">
        <v>623.4</v>
      </c>
      <c r="EM215" s="1717"/>
      <c r="EN215" s="1717"/>
      <c r="EO215" s="1717"/>
      <c r="EP215" s="1717">
        <v>50</v>
      </c>
      <c r="EQ215" s="1425"/>
      <c r="ER215" s="1969"/>
      <c r="ES215" s="313"/>
      <c r="ET215" s="313">
        <f t="shared" si="3378"/>
        <v>50</v>
      </c>
      <c r="EU215" s="1501"/>
      <c r="EV215" s="321">
        <f>IF($H215&lt;=15,EK215/2,EK215)</f>
        <v>98.52</v>
      </c>
      <c r="EW215" s="321">
        <f t="shared" si="3493"/>
        <v>623.4</v>
      </c>
      <c r="EX215" s="321">
        <f t="shared" si="3494"/>
        <v>0</v>
      </c>
      <c r="EY215" s="321">
        <f t="shared" si="3495"/>
        <v>0</v>
      </c>
      <c r="EZ215" s="321">
        <f t="shared" si="3496"/>
        <v>0</v>
      </c>
      <c r="FA215" s="321">
        <f t="shared" si="3497"/>
        <v>50</v>
      </c>
      <c r="FB215" s="321">
        <f t="shared" si="3513"/>
        <v>0</v>
      </c>
      <c r="FC215" s="321">
        <f t="shared" si="3543"/>
        <v>0</v>
      </c>
      <c r="FD215" s="321">
        <f t="shared" si="3543"/>
        <v>0</v>
      </c>
      <c r="FE215" s="321">
        <f t="shared" si="3543"/>
        <v>50</v>
      </c>
      <c r="FF215" s="332">
        <v>0</v>
      </c>
      <c r="FG215" s="332">
        <v>0</v>
      </c>
      <c r="FH215" s="332">
        <v>1</v>
      </c>
      <c r="FI215" s="332">
        <v>0</v>
      </c>
      <c r="FJ215" s="332">
        <v>0</v>
      </c>
      <c r="FK215" s="332">
        <v>1</v>
      </c>
      <c r="FL215" s="331">
        <f t="shared" si="3533"/>
        <v>0</v>
      </c>
    </row>
    <row r="216" spans="1:260" s="1582" customFormat="1" ht="15.75" customHeight="1" outlineLevel="1" thickBot="1">
      <c r="A216" s="1418"/>
      <c r="B216" s="1600"/>
      <c r="C216" s="1582" t="s">
        <v>382</v>
      </c>
      <c r="E216" s="1583">
        <f>SUM(E205:E215)</f>
        <v>34830.180000000008</v>
      </c>
      <c r="F216" s="1583">
        <f>SUM(F205:F215)</f>
        <v>2950</v>
      </c>
      <c r="G216" s="1583">
        <f>SUM(G205:G215)</f>
        <v>37780.18</v>
      </c>
      <c r="H216" s="1584"/>
      <c r="I216" s="1585"/>
      <c r="J216" s="1585"/>
      <c r="K216" s="1585"/>
      <c r="L216" s="1585"/>
      <c r="M216" s="1585"/>
      <c r="N216" s="1585"/>
      <c r="O216" s="1619"/>
      <c r="P216" s="1734">
        <f t="shared" ref="P216:AT216" si="3545">SUM(P205:P215)</f>
        <v>4</v>
      </c>
      <c r="Q216" s="1734">
        <f t="shared" si="3545"/>
        <v>79.159500000000008</v>
      </c>
      <c r="R216" s="1734">
        <f t="shared" si="3545"/>
        <v>12</v>
      </c>
      <c r="S216" s="1734">
        <f t="shared" si="3545"/>
        <v>316.63800000000003</v>
      </c>
      <c r="T216" s="1734">
        <f t="shared" si="3545"/>
        <v>0</v>
      </c>
      <c r="U216" s="1734">
        <f t="shared" si="3545"/>
        <v>0</v>
      </c>
      <c r="V216" s="1734">
        <f t="shared" si="3545"/>
        <v>0</v>
      </c>
      <c r="W216" s="1734">
        <f t="shared" si="3545"/>
        <v>0</v>
      </c>
      <c r="X216" s="1734">
        <f t="shared" si="3545"/>
        <v>124</v>
      </c>
      <c r="Y216" s="1734">
        <f t="shared" si="3545"/>
        <v>2453.9445000000005</v>
      </c>
      <c r="Z216" s="1734">
        <f t="shared" si="3545"/>
        <v>0</v>
      </c>
      <c r="AA216" s="1734">
        <f t="shared" si="3545"/>
        <v>0</v>
      </c>
      <c r="AB216" s="1583">
        <f t="shared" si="3545"/>
        <v>0</v>
      </c>
      <c r="AC216" s="1583">
        <f t="shared" si="3545"/>
        <v>0</v>
      </c>
      <c r="AD216" s="1583">
        <f t="shared" si="3545"/>
        <v>0</v>
      </c>
      <c r="AE216" s="1583">
        <f t="shared" si="3545"/>
        <v>0</v>
      </c>
      <c r="AF216" s="1583">
        <f t="shared" si="3545"/>
        <v>0</v>
      </c>
      <c r="AG216" s="1583">
        <f t="shared" si="3545"/>
        <v>0</v>
      </c>
      <c r="AH216" s="1583">
        <f t="shared" si="3545"/>
        <v>0</v>
      </c>
      <c r="AI216" s="1583">
        <f t="shared" si="3545"/>
        <v>0</v>
      </c>
      <c r="AJ216" s="1583">
        <f t="shared" si="3545"/>
        <v>0</v>
      </c>
      <c r="AK216" s="1583">
        <f t="shared" si="3545"/>
        <v>0</v>
      </c>
      <c r="AL216" s="1583">
        <f t="shared" si="3545"/>
        <v>0</v>
      </c>
      <c r="AM216" s="1583">
        <f t="shared" si="3545"/>
        <v>0</v>
      </c>
      <c r="AN216" s="1583">
        <f t="shared" si="3545"/>
        <v>0</v>
      </c>
      <c r="AO216" s="1583">
        <f t="shared" si="3545"/>
        <v>0</v>
      </c>
      <c r="AP216" s="1583">
        <f t="shared" si="3545"/>
        <v>0</v>
      </c>
      <c r="AQ216" s="1583">
        <f t="shared" si="3545"/>
        <v>0</v>
      </c>
      <c r="AR216" s="1583">
        <f t="shared" si="3545"/>
        <v>0</v>
      </c>
      <c r="AS216" s="1583">
        <f t="shared" si="3545"/>
        <v>0</v>
      </c>
      <c r="AT216" s="1583">
        <f t="shared" si="3545"/>
        <v>0</v>
      </c>
      <c r="AU216" s="1583" t="s">
        <v>54</v>
      </c>
      <c r="AV216" s="1734">
        <f t="shared" ref="AV216:CA216" si="3546">SUM(AV205:AV215)</f>
        <v>0</v>
      </c>
      <c r="AW216" s="1734">
        <f t="shared" si="3546"/>
        <v>1575</v>
      </c>
      <c r="AX216" s="1734">
        <f t="shared" si="3546"/>
        <v>4</v>
      </c>
      <c r="AY216" s="1734">
        <f t="shared" si="3546"/>
        <v>79.159500000000008</v>
      </c>
      <c r="AZ216" s="1734">
        <f t="shared" si="3546"/>
        <v>12</v>
      </c>
      <c r="BA216" s="1734">
        <f t="shared" si="3546"/>
        <v>316.63800000000003</v>
      </c>
      <c r="BB216" s="1734">
        <f t="shared" si="3546"/>
        <v>0</v>
      </c>
      <c r="BC216" s="1734">
        <f t="shared" si="3546"/>
        <v>50.147543250000005</v>
      </c>
      <c r="BD216" s="1734">
        <f t="shared" si="3546"/>
        <v>2020.9450432499998</v>
      </c>
      <c r="BE216" s="1734">
        <f t="shared" si="3546"/>
        <v>0</v>
      </c>
      <c r="BF216" s="1734">
        <f t="shared" si="3546"/>
        <v>0</v>
      </c>
      <c r="BG216" s="1734">
        <f t="shared" si="3546"/>
        <v>0</v>
      </c>
      <c r="BH216" s="1734">
        <f t="shared" si="3546"/>
        <v>0</v>
      </c>
      <c r="BI216" s="1734">
        <f t="shared" si="3546"/>
        <v>0</v>
      </c>
      <c r="BJ216" s="1734">
        <f t="shared" si="3546"/>
        <v>0</v>
      </c>
      <c r="BK216" s="1734">
        <f t="shared" si="3546"/>
        <v>0</v>
      </c>
      <c r="BL216" s="1734">
        <f t="shared" si="3546"/>
        <v>0</v>
      </c>
      <c r="BM216" s="1734">
        <f t="shared" si="3546"/>
        <v>0</v>
      </c>
      <c r="BN216" s="1734">
        <f t="shared" si="3546"/>
        <v>30397.248000000007</v>
      </c>
      <c r="BO216" s="1734">
        <f t="shared" si="3546"/>
        <v>8000</v>
      </c>
      <c r="BP216" s="1734">
        <f t="shared" si="3546"/>
        <v>124</v>
      </c>
      <c r="BQ216" s="1734">
        <f t="shared" si="3546"/>
        <v>2453.9445000000005</v>
      </c>
      <c r="BR216" s="1734">
        <f t="shared" si="3546"/>
        <v>0</v>
      </c>
      <c r="BS216" s="1734">
        <f t="shared" si="3546"/>
        <v>0</v>
      </c>
      <c r="BT216" s="1734">
        <f t="shared" si="3546"/>
        <v>0</v>
      </c>
      <c r="BU216" s="1734">
        <f t="shared" si="3546"/>
        <v>4162.2460897500005</v>
      </c>
      <c r="BV216" s="1734">
        <f t="shared" si="3546"/>
        <v>45013.438589750003</v>
      </c>
      <c r="BW216" s="1734">
        <f t="shared" si="3546"/>
        <v>0</v>
      </c>
      <c r="BX216" s="1734">
        <f t="shared" si="3546"/>
        <v>0</v>
      </c>
      <c r="BY216" s="1734">
        <f t="shared" si="3546"/>
        <v>0</v>
      </c>
      <c r="BZ216" s="1734">
        <f t="shared" si="3546"/>
        <v>0</v>
      </c>
      <c r="CA216" s="1734">
        <f t="shared" si="3546"/>
        <v>0</v>
      </c>
      <c r="CB216" s="1734">
        <f t="shared" ref="CB216:DG216" si="3547">SUM(CB205:CB215)</f>
        <v>0</v>
      </c>
      <c r="CC216" s="1734">
        <f t="shared" si="3547"/>
        <v>0</v>
      </c>
      <c r="CD216" s="1734">
        <f t="shared" si="3547"/>
        <v>0</v>
      </c>
      <c r="CE216" s="1734">
        <f t="shared" si="3547"/>
        <v>0</v>
      </c>
      <c r="CF216" s="1734">
        <f t="shared" si="3547"/>
        <v>0</v>
      </c>
      <c r="CG216" s="1734">
        <f t="shared" si="3547"/>
        <v>0</v>
      </c>
      <c r="CH216" s="1734">
        <f t="shared" si="3547"/>
        <v>0</v>
      </c>
      <c r="CI216" s="1734">
        <f t="shared" si="3547"/>
        <v>0</v>
      </c>
      <c r="CJ216" s="1734">
        <f t="shared" si="3547"/>
        <v>0</v>
      </c>
      <c r="CK216" s="1734">
        <f t="shared" si="3547"/>
        <v>0</v>
      </c>
      <c r="CL216" s="1734">
        <f t="shared" si="3547"/>
        <v>0</v>
      </c>
      <c r="CM216" s="1734">
        <f t="shared" si="3547"/>
        <v>0</v>
      </c>
      <c r="CN216" s="1734">
        <f t="shared" si="3547"/>
        <v>0</v>
      </c>
      <c r="CO216" s="1734">
        <f t="shared" si="3547"/>
        <v>0</v>
      </c>
      <c r="CP216" s="1734">
        <f t="shared" si="3547"/>
        <v>0</v>
      </c>
      <c r="CQ216" s="1734">
        <f t="shared" si="3547"/>
        <v>0</v>
      </c>
      <c r="CR216" s="1734">
        <f t="shared" si="3547"/>
        <v>0</v>
      </c>
      <c r="CS216" s="1734">
        <f t="shared" si="3547"/>
        <v>0</v>
      </c>
      <c r="CT216" s="1734">
        <f t="shared" si="3547"/>
        <v>0</v>
      </c>
      <c r="CU216" s="1734">
        <f t="shared" si="3547"/>
        <v>0</v>
      </c>
      <c r="CV216" s="1734">
        <f t="shared" si="3547"/>
        <v>0</v>
      </c>
      <c r="CW216" s="1734">
        <f t="shared" si="3547"/>
        <v>0</v>
      </c>
      <c r="CX216" s="1734">
        <f t="shared" si="3547"/>
        <v>0</v>
      </c>
      <c r="CY216" s="1734">
        <f t="shared" si="3547"/>
        <v>0</v>
      </c>
      <c r="CZ216" s="1734">
        <f t="shared" si="3547"/>
        <v>0</v>
      </c>
      <c r="DA216" s="1734">
        <f t="shared" si="3547"/>
        <v>0</v>
      </c>
      <c r="DB216" s="1734">
        <f t="shared" si="3547"/>
        <v>0</v>
      </c>
      <c r="DC216" s="1734">
        <f t="shared" si="3547"/>
        <v>0</v>
      </c>
      <c r="DD216" s="1734">
        <f t="shared" si="3547"/>
        <v>0</v>
      </c>
      <c r="DE216" s="1734">
        <f t="shared" si="3547"/>
        <v>0</v>
      </c>
      <c r="DF216" s="1734">
        <f t="shared" si="3547"/>
        <v>0</v>
      </c>
      <c r="DG216" s="1734">
        <f t="shared" si="3547"/>
        <v>0</v>
      </c>
      <c r="DH216" s="1734">
        <f t="shared" ref="DH216:EI216" si="3548">SUM(DH205:DH215)</f>
        <v>0</v>
      </c>
      <c r="DI216" s="1734">
        <f t="shared" si="3548"/>
        <v>30397.248000000007</v>
      </c>
      <c r="DJ216" s="1734">
        <f t="shared" si="3548"/>
        <v>9575</v>
      </c>
      <c r="DK216" s="1734">
        <f t="shared" si="3548"/>
        <v>128</v>
      </c>
      <c r="DL216" s="1734">
        <f t="shared" si="3548"/>
        <v>2533.1040000000003</v>
      </c>
      <c r="DM216" s="1734">
        <f t="shared" si="3548"/>
        <v>12</v>
      </c>
      <c r="DN216" s="1734">
        <f t="shared" si="3548"/>
        <v>316.63800000000003</v>
      </c>
      <c r="DO216" s="1734">
        <f t="shared" si="3548"/>
        <v>0</v>
      </c>
      <c r="DP216" s="1734">
        <f t="shared" si="3548"/>
        <v>4212.3936330000006</v>
      </c>
      <c r="DQ216" s="1734">
        <f t="shared" si="3548"/>
        <v>47034.383633000005</v>
      </c>
      <c r="DR216" s="1584">
        <f t="shared" si="3548"/>
        <v>0</v>
      </c>
      <c r="DS216" s="1584">
        <f t="shared" si="3548"/>
        <v>0</v>
      </c>
      <c r="DT216" s="1584">
        <f t="shared" si="3548"/>
        <v>0</v>
      </c>
      <c r="DU216" s="1584">
        <f t="shared" si="3548"/>
        <v>0</v>
      </c>
      <c r="DV216" s="1584">
        <f t="shared" si="3548"/>
        <v>0</v>
      </c>
      <c r="DW216" s="1584">
        <f t="shared" si="3548"/>
        <v>0</v>
      </c>
      <c r="DX216" s="1584">
        <f t="shared" si="3548"/>
        <v>0</v>
      </c>
      <c r="DY216" s="1584">
        <f t="shared" si="3548"/>
        <v>0</v>
      </c>
      <c r="DZ216" s="1584">
        <f t="shared" si="3548"/>
        <v>0</v>
      </c>
      <c r="EA216" s="1584">
        <f t="shared" si="3548"/>
        <v>0</v>
      </c>
      <c r="EB216" s="1584">
        <f t="shared" si="3548"/>
        <v>0</v>
      </c>
      <c r="EC216" s="1584">
        <f t="shared" si="3548"/>
        <v>0</v>
      </c>
      <c r="ED216" s="1584">
        <f t="shared" si="3548"/>
        <v>0</v>
      </c>
      <c r="EE216" s="1584">
        <f t="shared" si="3548"/>
        <v>0</v>
      </c>
      <c r="EF216" s="1584">
        <f t="shared" si="3548"/>
        <v>0</v>
      </c>
      <c r="EG216" s="1584">
        <f t="shared" si="3548"/>
        <v>0</v>
      </c>
      <c r="EH216" s="1584">
        <f t="shared" si="3548"/>
        <v>0</v>
      </c>
      <c r="EI216" s="1584">
        <f t="shared" si="3548"/>
        <v>0</v>
      </c>
      <c r="EJ216" s="1584"/>
      <c r="EK216" s="1734">
        <f t="shared" ref="EK216:ET216" si="3549">SUM(EK205:EK215)</f>
        <v>510.3</v>
      </c>
      <c r="EL216" s="1734">
        <f t="shared" si="3549"/>
        <v>4367.37</v>
      </c>
      <c r="EM216" s="1734">
        <f t="shared" si="3549"/>
        <v>0</v>
      </c>
      <c r="EN216" s="1734">
        <f t="shared" si="3549"/>
        <v>3161.75</v>
      </c>
      <c r="EO216" s="1734">
        <f t="shared" si="3549"/>
        <v>0</v>
      </c>
      <c r="EP216" s="1734">
        <f t="shared" si="3549"/>
        <v>555</v>
      </c>
      <c r="EQ216" s="1734">
        <f t="shared" si="3549"/>
        <v>177.02</v>
      </c>
      <c r="ER216" s="1734">
        <f t="shared" si="3549"/>
        <v>0</v>
      </c>
      <c r="ES216" s="1734">
        <f t="shared" si="3549"/>
        <v>0</v>
      </c>
      <c r="ET216" s="1734">
        <f t="shared" si="3549"/>
        <v>732.02</v>
      </c>
      <c r="EU216" s="331"/>
      <c r="EV216" s="1586">
        <f t="shared" ref="EV216:FE216" si="3550">SUM(EV205:EV215)</f>
        <v>510.3</v>
      </c>
      <c r="EW216" s="1586">
        <f t="shared" si="3550"/>
        <v>4367.37</v>
      </c>
      <c r="EX216" s="1586">
        <f t="shared" si="3550"/>
        <v>0</v>
      </c>
      <c r="EY216" s="1586">
        <f t="shared" si="3550"/>
        <v>3161.75</v>
      </c>
      <c r="EZ216" s="1586">
        <f t="shared" si="3550"/>
        <v>0</v>
      </c>
      <c r="FA216" s="1586">
        <f t="shared" si="3550"/>
        <v>555</v>
      </c>
      <c r="FB216" s="1586">
        <f t="shared" si="3550"/>
        <v>177.02</v>
      </c>
      <c r="FC216" s="1586">
        <f t="shared" si="3550"/>
        <v>0</v>
      </c>
      <c r="FD216" s="1586">
        <f t="shared" si="3550"/>
        <v>0</v>
      </c>
      <c r="FE216" s="1586">
        <f t="shared" si="3550"/>
        <v>732.02</v>
      </c>
      <c r="FF216" s="1648"/>
      <c r="FG216" s="1648"/>
      <c r="FH216" s="1648"/>
      <c r="FI216" s="1648"/>
      <c r="FJ216" s="1648"/>
      <c r="FK216" s="1648"/>
      <c r="FL216" s="331">
        <f t="shared" si="3533"/>
        <v>0</v>
      </c>
    </row>
    <row r="217" spans="1:260" s="1513" customFormat="1" ht="15.75" customHeight="1" outlineLevel="1" thickTop="1">
      <c r="A217" s="1511"/>
      <c r="B217" s="1348"/>
      <c r="C217" s="1339"/>
      <c r="D217" s="1474"/>
      <c r="E217" s="1512"/>
      <c r="I217" s="1514"/>
      <c r="J217" s="1514"/>
      <c r="K217" s="1514"/>
      <c r="L217" s="1514"/>
      <c r="M217" s="1514"/>
      <c r="N217" s="1514"/>
      <c r="O217" s="1474"/>
      <c r="P217" s="1515"/>
      <c r="R217" s="1515"/>
      <c r="T217" s="1515"/>
      <c r="V217" s="1515"/>
      <c r="X217" s="1515"/>
      <c r="Z217" s="1516"/>
      <c r="AB217" s="1516"/>
      <c r="AD217" s="1516"/>
      <c r="AH217" s="1516"/>
      <c r="AU217" s="1533"/>
      <c r="CO217" s="1474"/>
      <c r="CP217" s="1474"/>
      <c r="DJ217" s="1491"/>
      <c r="EJ217" s="1474"/>
      <c r="EU217" s="1441"/>
      <c r="FF217" s="1448"/>
      <c r="FG217" s="1448"/>
      <c r="FH217" s="1448"/>
      <c r="FI217" s="1448"/>
      <c r="FJ217" s="1448"/>
      <c r="FK217" s="1448"/>
      <c r="FL217" s="331">
        <f t="shared" si="3533"/>
        <v>0</v>
      </c>
      <c r="FM217" s="1474"/>
      <c r="FN217" s="1474"/>
      <c r="FO217" s="1474"/>
      <c r="FP217" s="1474"/>
      <c r="FQ217" s="1474"/>
      <c r="FR217" s="1474"/>
      <c r="FS217" s="1474"/>
      <c r="FT217" s="1474"/>
      <c r="FU217" s="1474"/>
      <c r="FV217" s="1474"/>
      <c r="FW217" s="1474"/>
      <c r="FX217" s="1474"/>
      <c r="FY217" s="1474"/>
      <c r="FZ217" s="1474"/>
      <c r="GA217" s="1474"/>
      <c r="GB217" s="1474"/>
      <c r="GC217" s="1474"/>
      <c r="GD217" s="1474"/>
      <c r="GE217" s="1474"/>
      <c r="GF217" s="1474"/>
      <c r="GG217" s="1474"/>
      <c r="GH217" s="1474"/>
      <c r="GI217" s="1474"/>
      <c r="GJ217" s="1474"/>
      <c r="GK217" s="1474"/>
      <c r="GL217" s="1474"/>
      <c r="GM217" s="1474"/>
      <c r="GN217" s="1474"/>
      <c r="GO217" s="1474"/>
      <c r="GP217" s="1474"/>
      <c r="GQ217" s="1474"/>
      <c r="GR217" s="1474"/>
      <c r="GS217" s="1474"/>
      <c r="GT217" s="1474"/>
      <c r="GU217" s="1474"/>
      <c r="GV217" s="1474"/>
      <c r="GW217" s="1474"/>
      <c r="GX217" s="1474"/>
      <c r="GY217" s="1474"/>
      <c r="GZ217" s="1474"/>
      <c r="HA217" s="1474"/>
      <c r="HB217" s="1474"/>
      <c r="HC217" s="1474"/>
      <c r="HD217" s="1474"/>
      <c r="HE217" s="1474"/>
      <c r="HF217" s="1474"/>
      <c r="HG217" s="1474"/>
      <c r="HH217" s="1474"/>
      <c r="HI217" s="1474"/>
      <c r="HJ217" s="1474"/>
      <c r="HK217" s="1474"/>
      <c r="HL217" s="1474"/>
      <c r="HM217" s="1474"/>
      <c r="HN217" s="1474"/>
      <c r="HO217" s="1474"/>
      <c r="HP217" s="1474"/>
      <c r="HQ217" s="1474"/>
      <c r="HR217" s="1474"/>
      <c r="HS217" s="1474"/>
      <c r="HT217" s="1474"/>
      <c r="HU217" s="1474"/>
      <c r="HV217" s="1474"/>
      <c r="HW217" s="1474"/>
      <c r="HX217" s="1474"/>
      <c r="HY217" s="1474"/>
      <c r="HZ217" s="1474"/>
      <c r="IA217" s="1474"/>
      <c r="IB217" s="1474"/>
      <c r="IC217" s="1474"/>
      <c r="ID217" s="1474"/>
      <c r="IE217" s="1474"/>
      <c r="IF217" s="1474"/>
      <c r="IG217" s="1474"/>
      <c r="IH217" s="1474"/>
      <c r="II217" s="1474"/>
      <c r="IJ217" s="1474"/>
      <c r="IK217" s="1474"/>
      <c r="IL217" s="1474"/>
      <c r="IM217" s="1474"/>
      <c r="IN217" s="1474"/>
      <c r="IO217" s="1474"/>
      <c r="IP217" s="1474"/>
      <c r="IQ217" s="1474"/>
      <c r="IR217" s="1474"/>
      <c r="IS217" s="1474"/>
      <c r="IT217" s="1474"/>
      <c r="IU217" s="1474"/>
      <c r="IV217" s="1474"/>
      <c r="IW217" s="1474"/>
      <c r="IX217" s="1474"/>
      <c r="IY217" s="1474"/>
      <c r="IZ217" s="1474"/>
    </row>
    <row r="218" spans="1:260" s="1513" customFormat="1" ht="15.75" customHeight="1" outlineLevel="1">
      <c r="A218" s="1511"/>
      <c r="B218" s="1404" t="s">
        <v>401</v>
      </c>
      <c r="C218" s="1339"/>
      <c r="D218" s="1474"/>
      <c r="E218" s="1512"/>
      <c r="I218" s="1514"/>
      <c r="J218" s="1514"/>
      <c r="K218" s="1514"/>
      <c r="L218" s="1514"/>
      <c r="M218" s="1514"/>
      <c r="N218" s="1514"/>
      <c r="O218" s="1474"/>
      <c r="P218" s="1515"/>
      <c r="R218" s="1515"/>
      <c r="T218" s="1515"/>
      <c r="V218" s="1515"/>
      <c r="X218" s="1515"/>
      <c r="Z218" s="1516"/>
      <c r="AB218" s="1516"/>
      <c r="AD218" s="1516"/>
      <c r="AH218" s="1516"/>
      <c r="AU218" s="1533"/>
      <c r="CO218" s="1474"/>
      <c r="CP218" s="1474"/>
      <c r="DJ218" s="1491"/>
      <c r="EJ218" s="1474"/>
      <c r="EU218" s="1441"/>
      <c r="FF218" s="1448"/>
      <c r="FG218" s="1448"/>
      <c r="FH218" s="1448"/>
      <c r="FI218" s="1448"/>
      <c r="FJ218" s="1448"/>
      <c r="FK218" s="1448"/>
      <c r="FL218" s="331">
        <f t="shared" si="3533"/>
        <v>0</v>
      </c>
      <c r="FM218" s="1474"/>
      <c r="FN218" s="1474"/>
      <c r="FO218" s="1474"/>
      <c r="FP218" s="1474"/>
      <c r="FQ218" s="1474"/>
      <c r="FR218" s="1474"/>
      <c r="FS218" s="1474"/>
      <c r="FT218" s="1474"/>
      <c r="FU218" s="1474"/>
      <c r="FV218" s="1474"/>
      <c r="FW218" s="1474"/>
      <c r="FX218" s="1474"/>
      <c r="FY218" s="1474"/>
      <c r="FZ218" s="1474"/>
      <c r="GA218" s="1474"/>
      <c r="GB218" s="1474"/>
      <c r="GC218" s="1474"/>
      <c r="GD218" s="1474"/>
      <c r="GE218" s="1474"/>
      <c r="GF218" s="1474"/>
      <c r="GG218" s="1474"/>
      <c r="GH218" s="1474"/>
      <c r="GI218" s="1474"/>
      <c r="GJ218" s="1474"/>
      <c r="GK218" s="1474"/>
      <c r="GL218" s="1474"/>
      <c r="GM218" s="1474"/>
      <c r="GN218" s="1474"/>
      <c r="GO218" s="1474"/>
      <c r="GP218" s="1474"/>
      <c r="GQ218" s="1474"/>
      <c r="GR218" s="1474"/>
      <c r="GS218" s="1474"/>
      <c r="GT218" s="1474"/>
      <c r="GU218" s="1474"/>
      <c r="GV218" s="1474"/>
      <c r="GW218" s="1474"/>
      <c r="GX218" s="1474"/>
      <c r="GY218" s="1474"/>
      <c r="GZ218" s="1474"/>
      <c r="HA218" s="1474"/>
      <c r="HB218" s="1474"/>
      <c r="HC218" s="1474"/>
      <c r="HD218" s="1474"/>
      <c r="HE218" s="1474"/>
      <c r="HF218" s="1474"/>
      <c r="HG218" s="1474"/>
      <c r="HH218" s="1474"/>
      <c r="HI218" s="1474"/>
      <c r="HJ218" s="1474"/>
      <c r="HK218" s="1474"/>
      <c r="HL218" s="1474"/>
      <c r="HM218" s="1474"/>
      <c r="HN218" s="1474"/>
      <c r="HO218" s="1474"/>
      <c r="HP218" s="1474"/>
      <c r="HQ218" s="1474"/>
      <c r="HR218" s="1474"/>
      <c r="HS218" s="1474"/>
      <c r="HT218" s="1474"/>
      <c r="HU218" s="1474"/>
      <c r="HV218" s="1474"/>
      <c r="HW218" s="1474"/>
      <c r="HX218" s="1474"/>
      <c r="HY218" s="1474"/>
      <c r="HZ218" s="1474"/>
      <c r="IA218" s="1474"/>
      <c r="IB218" s="1474"/>
      <c r="IC218" s="1474"/>
      <c r="ID218" s="1474"/>
      <c r="IE218" s="1474"/>
      <c r="IF218" s="1474"/>
      <c r="IG218" s="1474"/>
      <c r="IH218" s="1474"/>
      <c r="II218" s="1474"/>
      <c r="IJ218" s="1474"/>
      <c r="IK218" s="1474"/>
      <c r="IL218" s="1474"/>
      <c r="IM218" s="1474"/>
      <c r="IN218" s="1474"/>
      <c r="IO218" s="1474"/>
      <c r="IP218" s="1474"/>
      <c r="IQ218" s="1474"/>
      <c r="IR218" s="1474"/>
      <c r="IS218" s="1474"/>
      <c r="IT218" s="1474"/>
      <c r="IU218" s="1474"/>
      <c r="IV218" s="1474"/>
      <c r="IW218" s="1474"/>
      <c r="IX218" s="1474"/>
      <c r="IY218" s="1474"/>
      <c r="IZ218" s="1474"/>
    </row>
    <row r="219" spans="1:260" s="1513" customFormat="1" ht="15" customHeight="1" outlineLevel="1">
      <c r="A219" s="1511"/>
      <c r="B219" s="1348" t="s">
        <v>397</v>
      </c>
      <c r="C219" s="1339"/>
      <c r="D219" s="1474"/>
      <c r="E219" s="1512"/>
      <c r="I219" s="1514"/>
      <c r="J219" s="1514"/>
      <c r="K219" s="1514"/>
      <c r="L219" s="1514"/>
      <c r="M219" s="1514"/>
      <c r="N219" s="1514"/>
      <c r="O219" s="1474"/>
      <c r="P219" s="1515"/>
      <c r="R219" s="1515"/>
      <c r="T219" s="1515"/>
      <c r="V219" s="1515"/>
      <c r="X219" s="1515"/>
      <c r="Z219" s="1516"/>
      <c r="AB219" s="1516"/>
      <c r="AD219" s="1516"/>
      <c r="AH219" s="1516"/>
      <c r="AU219" s="1533"/>
      <c r="CO219" s="1474"/>
      <c r="CP219" s="1474"/>
      <c r="EJ219" s="1474"/>
      <c r="EU219" s="1441"/>
      <c r="FF219" s="1448"/>
      <c r="FG219" s="1448"/>
      <c r="FH219" s="1448"/>
      <c r="FI219" s="1448"/>
      <c r="FJ219" s="1448"/>
      <c r="FK219" s="1448"/>
      <c r="FL219" s="1441">
        <f t="shared" si="3306"/>
        <v>0</v>
      </c>
      <c r="FM219" s="1474"/>
      <c r="FN219" s="1474"/>
      <c r="FO219" s="1474"/>
      <c r="FP219" s="1474"/>
      <c r="FQ219" s="1474"/>
      <c r="FR219" s="1474"/>
      <c r="FS219" s="1474"/>
      <c r="FT219" s="1474"/>
      <c r="FU219" s="1474"/>
      <c r="FV219" s="1474"/>
      <c r="FW219" s="1474"/>
      <c r="FX219" s="1474"/>
      <c r="FY219" s="1474"/>
      <c r="FZ219" s="1474"/>
      <c r="GA219" s="1474"/>
      <c r="GB219" s="1474"/>
      <c r="GC219" s="1474"/>
      <c r="GD219" s="1474"/>
      <c r="GE219" s="1474"/>
      <c r="GF219" s="1474"/>
      <c r="GG219" s="1474"/>
      <c r="GH219" s="1474"/>
      <c r="GI219" s="1474"/>
      <c r="GJ219" s="1474"/>
      <c r="GK219" s="1474"/>
      <c r="GL219" s="1474"/>
      <c r="GM219" s="1474"/>
      <c r="GN219" s="1474"/>
      <c r="GO219" s="1474"/>
      <c r="GP219" s="1474"/>
      <c r="GQ219" s="1474"/>
      <c r="GR219" s="1474"/>
      <c r="GS219" s="1474"/>
      <c r="GT219" s="1474"/>
      <c r="GU219" s="1474"/>
      <c r="GV219" s="1474"/>
      <c r="GW219" s="1474"/>
      <c r="GX219" s="1474"/>
      <c r="GY219" s="1474"/>
      <c r="GZ219" s="1474"/>
      <c r="HA219" s="1474"/>
      <c r="HB219" s="1474"/>
      <c r="HC219" s="1474"/>
      <c r="HD219" s="1474"/>
      <c r="HE219" s="1474"/>
      <c r="HF219" s="1474"/>
      <c r="HG219" s="1474"/>
      <c r="HH219" s="1474"/>
      <c r="HI219" s="1474"/>
      <c r="HJ219" s="1474"/>
      <c r="HK219" s="1474"/>
      <c r="HL219" s="1474"/>
      <c r="HM219" s="1474"/>
      <c r="HN219" s="1474"/>
      <c r="HO219" s="1474"/>
      <c r="HP219" s="1474"/>
      <c r="HQ219" s="1474"/>
      <c r="HR219" s="1474"/>
      <c r="HS219" s="1474"/>
      <c r="HT219" s="1474"/>
      <c r="HU219" s="1474"/>
      <c r="HV219" s="1474"/>
      <c r="HW219" s="1474"/>
      <c r="HX219" s="1474"/>
      <c r="HY219" s="1474"/>
      <c r="HZ219" s="1474"/>
      <c r="IA219" s="1474"/>
      <c r="IB219" s="1474"/>
      <c r="IC219" s="1474"/>
      <c r="ID219" s="1474"/>
      <c r="IE219" s="1474"/>
      <c r="IF219" s="1474"/>
      <c r="IG219" s="1474"/>
      <c r="IH219" s="1474"/>
      <c r="II219" s="1474"/>
      <c r="IJ219" s="1474"/>
      <c r="IK219" s="1474"/>
      <c r="IL219" s="1474"/>
      <c r="IM219" s="1474"/>
      <c r="IN219" s="1474"/>
      <c r="IO219" s="1474"/>
      <c r="IP219" s="1474"/>
      <c r="IQ219" s="1474"/>
      <c r="IR219" s="1474"/>
      <c r="IS219" s="1474"/>
      <c r="IT219" s="1474"/>
      <c r="IU219" s="1474"/>
      <c r="IV219" s="1474"/>
      <c r="IW219" s="1474"/>
      <c r="IX219" s="1474"/>
      <c r="IY219" s="1474"/>
      <c r="IZ219" s="1474"/>
    </row>
    <row r="220" spans="1:260" s="1441" customFormat="1" ht="15" customHeight="1" outlineLevel="1">
      <c r="A220" s="1490"/>
      <c r="B220" s="213"/>
      <c r="C220" s="365"/>
      <c r="D220" s="363"/>
      <c r="E220" s="1426"/>
      <c r="F220" s="1431"/>
      <c r="G220" s="1431"/>
      <c r="H220" s="355"/>
      <c r="I220" s="1432"/>
      <c r="J220" s="1432"/>
      <c r="K220" s="1432"/>
      <c r="L220" s="1432"/>
      <c r="M220" s="1432"/>
      <c r="N220" s="1432"/>
      <c r="O220" s="1474"/>
      <c r="P220" s="1535"/>
      <c r="Q220" s="355"/>
      <c r="R220" s="366"/>
      <c r="S220" s="355"/>
      <c r="T220" s="366"/>
      <c r="U220" s="355"/>
      <c r="V220" s="366"/>
      <c r="W220" s="355"/>
      <c r="X220" s="366"/>
      <c r="Y220" s="355"/>
      <c r="Z220" s="1434"/>
      <c r="AA220" s="355"/>
      <c r="AB220" s="1434"/>
      <c r="AC220" s="355"/>
      <c r="AD220" s="1434"/>
      <c r="AE220" s="355"/>
      <c r="AF220" s="355"/>
      <c r="AG220" s="355"/>
      <c r="AH220" s="1434"/>
      <c r="AI220" s="355"/>
      <c r="AJ220" s="1431"/>
      <c r="AK220" s="1431"/>
      <c r="AL220" s="1431"/>
      <c r="AM220" s="1431"/>
      <c r="AN220" s="1431"/>
      <c r="AO220" s="1431"/>
      <c r="AP220" s="1431"/>
      <c r="AQ220" s="1431"/>
      <c r="AR220" s="1431"/>
      <c r="AS220" s="1431"/>
      <c r="AT220" s="1431"/>
      <c r="AU220" s="1568"/>
      <c r="AV220" s="355"/>
      <c r="AW220" s="355"/>
      <c r="AX220" s="355"/>
      <c r="AY220" s="355"/>
      <c r="AZ220" s="355"/>
      <c r="BA220" s="355"/>
      <c r="BB220" s="355"/>
      <c r="BC220" s="355"/>
      <c r="BD220" s="355"/>
      <c r="BE220" s="355"/>
      <c r="BF220" s="355"/>
      <c r="BG220" s="355"/>
      <c r="BH220" s="355"/>
      <c r="BI220" s="355"/>
      <c r="BJ220" s="355"/>
      <c r="BK220" s="355"/>
      <c r="BL220" s="355"/>
      <c r="BM220" s="1431"/>
      <c r="BN220" s="355"/>
      <c r="BO220" s="355"/>
      <c r="BP220" s="355"/>
      <c r="BQ220" s="355"/>
      <c r="BR220" s="355"/>
      <c r="BS220" s="355"/>
      <c r="BT220" s="355"/>
      <c r="BU220" s="355"/>
      <c r="BV220" s="355"/>
      <c r="BW220" s="355"/>
      <c r="BX220" s="355"/>
      <c r="BY220" s="355"/>
      <c r="BZ220" s="355"/>
      <c r="CA220" s="355"/>
      <c r="CB220" s="355"/>
      <c r="CC220" s="355"/>
      <c r="CD220" s="355"/>
      <c r="CE220" s="355"/>
      <c r="CF220" s="355"/>
      <c r="CG220" s="355"/>
      <c r="CH220" s="355"/>
      <c r="CI220" s="355"/>
      <c r="CJ220" s="355"/>
      <c r="CK220" s="355"/>
      <c r="CL220" s="355"/>
      <c r="CM220" s="355"/>
      <c r="CN220" s="355"/>
      <c r="CO220" s="363"/>
      <c r="CP220" s="363"/>
      <c r="CQ220" s="355"/>
      <c r="CR220" s="355"/>
      <c r="CS220" s="355"/>
      <c r="CT220" s="355"/>
      <c r="CU220" s="355"/>
      <c r="CV220" s="355"/>
      <c r="CW220" s="355"/>
      <c r="CX220" s="355"/>
      <c r="CY220" s="355"/>
      <c r="CZ220" s="355"/>
      <c r="DA220" s="355"/>
      <c r="DB220" s="355"/>
      <c r="DC220" s="355"/>
      <c r="DD220" s="355"/>
      <c r="DE220" s="355"/>
      <c r="DF220" s="355"/>
      <c r="DG220" s="355"/>
      <c r="DH220" s="355"/>
      <c r="DI220" s="355"/>
      <c r="DJ220" s="355"/>
      <c r="DK220" s="355"/>
      <c r="DL220" s="355"/>
      <c r="DM220" s="355"/>
      <c r="DN220" s="355"/>
      <c r="DO220" s="355"/>
      <c r="DP220" s="355"/>
      <c r="DQ220" s="355"/>
      <c r="DR220" s="355"/>
      <c r="DS220" s="355"/>
      <c r="DT220" s="355"/>
      <c r="DU220" s="355"/>
      <c r="DV220" s="355"/>
      <c r="DW220" s="355"/>
      <c r="DX220" s="355"/>
      <c r="DY220" s="355"/>
      <c r="DZ220" s="355"/>
      <c r="EA220" s="355"/>
      <c r="EB220" s="355"/>
      <c r="EC220" s="355"/>
      <c r="ED220" s="355"/>
      <c r="EE220" s="355"/>
      <c r="EF220" s="355"/>
      <c r="EG220" s="355"/>
      <c r="EH220" s="355"/>
      <c r="EI220" s="355"/>
      <c r="EJ220" s="363"/>
      <c r="EK220" s="365"/>
      <c r="EL220" s="363"/>
      <c r="EM220" s="363"/>
      <c r="EN220" s="363"/>
      <c r="EO220" s="363"/>
      <c r="EP220" s="363"/>
      <c r="EQ220" s="363"/>
      <c r="ER220" s="363"/>
      <c r="ES220" s="363"/>
      <c r="ET220" s="363">
        <f>+EO220+EP220+EQ220</f>
        <v>0</v>
      </c>
      <c r="EU220" s="363"/>
      <c r="EV220" s="363"/>
      <c r="EW220" s="363"/>
      <c r="EX220" s="363"/>
      <c r="EY220" s="363"/>
      <c r="EZ220" s="363">
        <f>IF($H220&lt;=15,EO220/2,EO220)</f>
        <v>0</v>
      </c>
      <c r="FA220" s="363">
        <f>IF($H220&lt;=15,EP220/2,EP220)</f>
        <v>0</v>
      </c>
      <c r="FB220" s="363">
        <f>IF($H220&lt;=15,EQ220/2,EQ220)</f>
        <v>0</v>
      </c>
      <c r="FC220" s="363"/>
      <c r="FD220" s="363"/>
      <c r="FE220" s="363"/>
      <c r="FF220" s="364"/>
      <c r="FG220" s="364"/>
      <c r="FH220" s="364"/>
      <c r="FI220" s="364"/>
      <c r="FJ220" s="364"/>
      <c r="FK220" s="364"/>
      <c r="FL220" s="1441">
        <f t="shared" si="3306"/>
        <v>0</v>
      </c>
    </row>
    <row r="221" spans="1:260" s="1339" customFormat="1" ht="15.75" customHeight="1" outlineLevel="1" thickBot="1">
      <c r="A221" s="1403"/>
      <c r="B221" s="1348"/>
      <c r="C221" s="1339" t="s">
        <v>433</v>
      </c>
      <c r="E221" s="1583">
        <f>+E220</f>
        <v>0</v>
      </c>
      <c r="F221" s="1735">
        <f>+F220</f>
        <v>0</v>
      </c>
      <c r="G221" s="1735">
        <f>+G220</f>
        <v>0</v>
      </c>
      <c r="H221" s="1491"/>
      <c r="I221" s="1563"/>
      <c r="J221" s="1563"/>
      <c r="K221" s="1563"/>
      <c r="L221" s="1563"/>
      <c r="M221" s="1563"/>
      <c r="N221" s="1563"/>
      <c r="O221" s="1474"/>
      <c r="P221" s="1491">
        <f t="shared" ref="P221:AT221" si="3551">+P220</f>
        <v>0</v>
      </c>
      <c r="Q221" s="1491">
        <f t="shared" si="3551"/>
        <v>0</v>
      </c>
      <c r="R221" s="1491">
        <f t="shared" si="3551"/>
        <v>0</v>
      </c>
      <c r="S221" s="1491">
        <f t="shared" si="3551"/>
        <v>0</v>
      </c>
      <c r="T221" s="1491">
        <f t="shared" si="3551"/>
        <v>0</v>
      </c>
      <c r="U221" s="1491">
        <f t="shared" si="3551"/>
        <v>0</v>
      </c>
      <c r="V221" s="1491">
        <f t="shared" si="3551"/>
        <v>0</v>
      </c>
      <c r="W221" s="1491">
        <f t="shared" si="3551"/>
        <v>0</v>
      </c>
      <c r="X221" s="1491">
        <f t="shared" si="3551"/>
        <v>0</v>
      </c>
      <c r="Y221" s="1491">
        <f t="shared" si="3551"/>
        <v>0</v>
      </c>
      <c r="Z221" s="1491">
        <f t="shared" si="3551"/>
        <v>0</v>
      </c>
      <c r="AA221" s="1491">
        <f t="shared" si="3551"/>
        <v>0</v>
      </c>
      <c r="AB221" s="1491">
        <f t="shared" si="3551"/>
        <v>0</v>
      </c>
      <c r="AC221" s="1491">
        <f t="shared" si="3551"/>
        <v>0</v>
      </c>
      <c r="AD221" s="1491">
        <f t="shared" si="3551"/>
        <v>0</v>
      </c>
      <c r="AE221" s="1491">
        <f t="shared" si="3551"/>
        <v>0</v>
      </c>
      <c r="AF221" s="1491">
        <f t="shared" si="3551"/>
        <v>0</v>
      </c>
      <c r="AG221" s="1491">
        <f t="shared" si="3551"/>
        <v>0</v>
      </c>
      <c r="AH221" s="1491">
        <f t="shared" si="3551"/>
        <v>0</v>
      </c>
      <c r="AI221" s="1491">
        <f t="shared" si="3551"/>
        <v>0</v>
      </c>
      <c r="AJ221" s="1491">
        <f t="shared" si="3551"/>
        <v>0</v>
      </c>
      <c r="AK221" s="1491">
        <f t="shared" si="3551"/>
        <v>0</v>
      </c>
      <c r="AL221" s="1491">
        <f t="shared" si="3551"/>
        <v>0</v>
      </c>
      <c r="AM221" s="1491">
        <f t="shared" si="3551"/>
        <v>0</v>
      </c>
      <c r="AN221" s="1491">
        <f t="shared" si="3551"/>
        <v>0</v>
      </c>
      <c r="AO221" s="1491">
        <f t="shared" si="3551"/>
        <v>0</v>
      </c>
      <c r="AP221" s="1491">
        <f t="shared" si="3551"/>
        <v>0</v>
      </c>
      <c r="AQ221" s="1491">
        <f t="shared" si="3551"/>
        <v>0</v>
      </c>
      <c r="AR221" s="1491">
        <f t="shared" si="3551"/>
        <v>0</v>
      </c>
      <c r="AS221" s="1491">
        <f t="shared" si="3551"/>
        <v>0</v>
      </c>
      <c r="AT221" s="1491">
        <f t="shared" si="3551"/>
        <v>0</v>
      </c>
      <c r="AU221" s="1491" t="s">
        <v>54</v>
      </c>
      <c r="AV221" s="1491">
        <f t="shared" ref="AV221:CA221" si="3552">+AV220</f>
        <v>0</v>
      </c>
      <c r="AW221" s="1491">
        <f t="shared" si="3552"/>
        <v>0</v>
      </c>
      <c r="AX221" s="1491">
        <f t="shared" si="3552"/>
        <v>0</v>
      </c>
      <c r="AY221" s="1491">
        <f t="shared" si="3552"/>
        <v>0</v>
      </c>
      <c r="AZ221" s="1491">
        <f t="shared" si="3552"/>
        <v>0</v>
      </c>
      <c r="BA221" s="1491">
        <f t="shared" si="3552"/>
        <v>0</v>
      </c>
      <c r="BB221" s="1491">
        <f t="shared" si="3552"/>
        <v>0</v>
      </c>
      <c r="BC221" s="1491">
        <f t="shared" si="3552"/>
        <v>0</v>
      </c>
      <c r="BD221" s="1491">
        <f t="shared" si="3552"/>
        <v>0</v>
      </c>
      <c r="BE221" s="1491">
        <f t="shared" si="3552"/>
        <v>0</v>
      </c>
      <c r="BF221" s="1491">
        <f t="shared" si="3552"/>
        <v>0</v>
      </c>
      <c r="BG221" s="1491">
        <f t="shared" si="3552"/>
        <v>0</v>
      </c>
      <c r="BH221" s="1491">
        <f t="shared" si="3552"/>
        <v>0</v>
      </c>
      <c r="BI221" s="1491">
        <f t="shared" si="3552"/>
        <v>0</v>
      </c>
      <c r="BJ221" s="1491">
        <f t="shared" si="3552"/>
        <v>0</v>
      </c>
      <c r="BK221" s="1491">
        <f t="shared" si="3552"/>
        <v>0</v>
      </c>
      <c r="BL221" s="1491">
        <f t="shared" si="3552"/>
        <v>0</v>
      </c>
      <c r="BM221" s="1491">
        <f t="shared" si="3552"/>
        <v>0</v>
      </c>
      <c r="BN221" s="1491">
        <f t="shared" si="3552"/>
        <v>0</v>
      </c>
      <c r="BO221" s="1491">
        <f t="shared" si="3552"/>
        <v>0</v>
      </c>
      <c r="BP221" s="1491">
        <f t="shared" si="3552"/>
        <v>0</v>
      </c>
      <c r="BQ221" s="1491">
        <f t="shared" si="3552"/>
        <v>0</v>
      </c>
      <c r="BR221" s="1491">
        <f t="shared" si="3552"/>
        <v>0</v>
      </c>
      <c r="BS221" s="1491">
        <f t="shared" si="3552"/>
        <v>0</v>
      </c>
      <c r="BT221" s="1491">
        <f t="shared" si="3552"/>
        <v>0</v>
      </c>
      <c r="BU221" s="1491">
        <f t="shared" si="3552"/>
        <v>0</v>
      </c>
      <c r="BV221" s="1491">
        <f t="shared" si="3552"/>
        <v>0</v>
      </c>
      <c r="BW221" s="1491">
        <f t="shared" si="3552"/>
        <v>0</v>
      </c>
      <c r="BX221" s="1491">
        <f t="shared" si="3552"/>
        <v>0</v>
      </c>
      <c r="BY221" s="1491">
        <f t="shared" si="3552"/>
        <v>0</v>
      </c>
      <c r="BZ221" s="1491">
        <f t="shared" si="3552"/>
        <v>0</v>
      </c>
      <c r="CA221" s="1491">
        <f t="shared" si="3552"/>
        <v>0</v>
      </c>
      <c r="CB221" s="1491">
        <f t="shared" ref="CB221:DG221" si="3553">+CB220</f>
        <v>0</v>
      </c>
      <c r="CC221" s="1491">
        <f t="shared" si="3553"/>
        <v>0</v>
      </c>
      <c r="CD221" s="1491">
        <f t="shared" si="3553"/>
        <v>0</v>
      </c>
      <c r="CE221" s="1491">
        <f t="shared" si="3553"/>
        <v>0</v>
      </c>
      <c r="CF221" s="1491">
        <f t="shared" si="3553"/>
        <v>0</v>
      </c>
      <c r="CG221" s="1491">
        <f t="shared" si="3553"/>
        <v>0</v>
      </c>
      <c r="CH221" s="1491">
        <f t="shared" si="3553"/>
        <v>0</v>
      </c>
      <c r="CI221" s="1491">
        <f t="shared" si="3553"/>
        <v>0</v>
      </c>
      <c r="CJ221" s="1491">
        <f t="shared" si="3553"/>
        <v>0</v>
      </c>
      <c r="CK221" s="1491">
        <f t="shared" si="3553"/>
        <v>0</v>
      </c>
      <c r="CL221" s="1491">
        <f t="shared" si="3553"/>
        <v>0</v>
      </c>
      <c r="CM221" s="1491">
        <f t="shared" si="3553"/>
        <v>0</v>
      </c>
      <c r="CN221" s="1491">
        <f t="shared" si="3553"/>
        <v>0</v>
      </c>
      <c r="CO221" s="1491">
        <f t="shared" si="3553"/>
        <v>0</v>
      </c>
      <c r="CP221" s="1491">
        <f t="shared" si="3553"/>
        <v>0</v>
      </c>
      <c r="CQ221" s="1491">
        <f t="shared" si="3553"/>
        <v>0</v>
      </c>
      <c r="CR221" s="1491">
        <f t="shared" si="3553"/>
        <v>0</v>
      </c>
      <c r="CS221" s="1491">
        <f t="shared" si="3553"/>
        <v>0</v>
      </c>
      <c r="CT221" s="1491">
        <f t="shared" si="3553"/>
        <v>0</v>
      </c>
      <c r="CU221" s="1491">
        <f t="shared" si="3553"/>
        <v>0</v>
      </c>
      <c r="CV221" s="1491">
        <f t="shared" si="3553"/>
        <v>0</v>
      </c>
      <c r="CW221" s="1491">
        <f t="shared" si="3553"/>
        <v>0</v>
      </c>
      <c r="CX221" s="1491">
        <f t="shared" si="3553"/>
        <v>0</v>
      </c>
      <c r="CY221" s="1491">
        <f t="shared" si="3553"/>
        <v>0</v>
      </c>
      <c r="CZ221" s="1491">
        <f t="shared" si="3553"/>
        <v>0</v>
      </c>
      <c r="DA221" s="1491">
        <f t="shared" si="3553"/>
        <v>0</v>
      </c>
      <c r="DB221" s="1491">
        <f t="shared" si="3553"/>
        <v>0</v>
      </c>
      <c r="DC221" s="1491">
        <f t="shared" si="3553"/>
        <v>0</v>
      </c>
      <c r="DD221" s="1491">
        <f t="shared" si="3553"/>
        <v>0</v>
      </c>
      <c r="DE221" s="1491">
        <f t="shared" si="3553"/>
        <v>0</v>
      </c>
      <c r="DF221" s="1491">
        <f t="shared" si="3553"/>
        <v>0</v>
      </c>
      <c r="DG221" s="1491">
        <f t="shared" si="3553"/>
        <v>0</v>
      </c>
      <c r="DH221" s="1491">
        <f t="shared" ref="DH221:EM221" si="3554">+DH220</f>
        <v>0</v>
      </c>
      <c r="DI221" s="1491">
        <f t="shared" si="3554"/>
        <v>0</v>
      </c>
      <c r="DJ221" s="1491">
        <f t="shared" si="3554"/>
        <v>0</v>
      </c>
      <c r="DK221" s="1491">
        <f t="shared" si="3554"/>
        <v>0</v>
      </c>
      <c r="DL221" s="1491">
        <f t="shared" si="3554"/>
        <v>0</v>
      </c>
      <c r="DM221" s="1491">
        <f t="shared" si="3554"/>
        <v>0</v>
      </c>
      <c r="DN221" s="1491">
        <f t="shared" si="3554"/>
        <v>0</v>
      </c>
      <c r="DO221" s="1491">
        <f t="shared" si="3554"/>
        <v>0</v>
      </c>
      <c r="DP221" s="1491">
        <f t="shared" si="3554"/>
        <v>0</v>
      </c>
      <c r="DQ221" s="1491">
        <f t="shared" si="3554"/>
        <v>0</v>
      </c>
      <c r="DR221" s="1491">
        <f t="shared" si="3554"/>
        <v>0</v>
      </c>
      <c r="DS221" s="1491">
        <f t="shared" si="3554"/>
        <v>0</v>
      </c>
      <c r="DT221" s="1491">
        <f t="shared" si="3554"/>
        <v>0</v>
      </c>
      <c r="DU221" s="1491">
        <f t="shared" si="3554"/>
        <v>0</v>
      </c>
      <c r="DV221" s="1491">
        <f t="shared" si="3554"/>
        <v>0</v>
      </c>
      <c r="DW221" s="1491">
        <f t="shared" si="3554"/>
        <v>0</v>
      </c>
      <c r="DX221" s="1491">
        <f t="shared" si="3554"/>
        <v>0</v>
      </c>
      <c r="DY221" s="1491">
        <f t="shared" si="3554"/>
        <v>0</v>
      </c>
      <c r="DZ221" s="1491">
        <f t="shared" si="3554"/>
        <v>0</v>
      </c>
      <c r="EA221" s="1491">
        <f t="shared" si="3554"/>
        <v>0</v>
      </c>
      <c r="EB221" s="1491">
        <f t="shared" si="3554"/>
        <v>0</v>
      </c>
      <c r="EC221" s="1491">
        <f t="shared" si="3554"/>
        <v>0</v>
      </c>
      <c r="ED221" s="1491">
        <f t="shared" si="3554"/>
        <v>0</v>
      </c>
      <c r="EE221" s="1491">
        <f t="shared" si="3554"/>
        <v>0</v>
      </c>
      <c r="EF221" s="1491">
        <f t="shared" si="3554"/>
        <v>0</v>
      </c>
      <c r="EG221" s="1491">
        <f t="shared" si="3554"/>
        <v>0</v>
      </c>
      <c r="EH221" s="1491">
        <f t="shared" si="3554"/>
        <v>0</v>
      </c>
      <c r="EI221" s="1491">
        <f t="shared" si="3554"/>
        <v>0</v>
      </c>
      <c r="EJ221" s="1491">
        <f t="shared" si="3554"/>
        <v>0</v>
      </c>
      <c r="EK221" s="1491">
        <f t="shared" si="3554"/>
        <v>0</v>
      </c>
      <c r="EL221" s="1491">
        <f t="shared" si="3554"/>
        <v>0</v>
      </c>
      <c r="EM221" s="1491">
        <f t="shared" si="3554"/>
        <v>0</v>
      </c>
      <c r="EN221" s="1491">
        <f t="shared" ref="EN221:ET221" si="3555">+EN220</f>
        <v>0</v>
      </c>
      <c r="EO221" s="1491">
        <f t="shared" si="3555"/>
        <v>0</v>
      </c>
      <c r="EP221" s="1491">
        <f t="shared" si="3555"/>
        <v>0</v>
      </c>
      <c r="EQ221" s="1491">
        <f t="shared" si="3555"/>
        <v>0</v>
      </c>
      <c r="ER221" s="1491">
        <f t="shared" si="3555"/>
        <v>0</v>
      </c>
      <c r="ES221" s="1491">
        <f t="shared" si="3555"/>
        <v>0</v>
      </c>
      <c r="ET221" s="1491">
        <f t="shared" si="3555"/>
        <v>0</v>
      </c>
      <c r="EU221" s="1491"/>
      <c r="EV221" s="1491">
        <f t="shared" ref="EV221:FE221" si="3556">+EV220</f>
        <v>0</v>
      </c>
      <c r="EW221" s="1491">
        <f t="shared" si="3556"/>
        <v>0</v>
      </c>
      <c r="EX221" s="1491">
        <f t="shared" si="3556"/>
        <v>0</v>
      </c>
      <c r="EY221" s="1491">
        <f t="shared" si="3556"/>
        <v>0</v>
      </c>
      <c r="EZ221" s="1491">
        <f t="shared" si="3556"/>
        <v>0</v>
      </c>
      <c r="FA221" s="1491">
        <f t="shared" si="3556"/>
        <v>0</v>
      </c>
      <c r="FB221" s="1491">
        <f t="shared" si="3556"/>
        <v>0</v>
      </c>
      <c r="FC221" s="1491">
        <f t="shared" si="3556"/>
        <v>0</v>
      </c>
      <c r="FD221" s="1491">
        <f t="shared" si="3556"/>
        <v>0</v>
      </c>
      <c r="FE221" s="1491">
        <f t="shared" si="3556"/>
        <v>0</v>
      </c>
      <c r="FF221" s="1448"/>
      <c r="FG221" s="1448"/>
      <c r="FH221" s="1448"/>
      <c r="FI221" s="1448"/>
      <c r="FJ221" s="1448"/>
      <c r="FK221" s="1448"/>
      <c r="FL221" s="1441">
        <f t="shared" si="3306"/>
        <v>0</v>
      </c>
    </row>
    <row r="222" spans="1:260" s="1513" customFormat="1" ht="15.75" customHeight="1" outlineLevel="1" thickTop="1">
      <c r="A222" s="1511"/>
      <c r="B222" s="1348"/>
      <c r="C222" s="1339"/>
      <c r="D222" s="1474"/>
      <c r="E222" s="1512"/>
      <c r="I222" s="1514"/>
      <c r="J222" s="1514"/>
      <c r="K222" s="1514"/>
      <c r="L222" s="1514"/>
      <c r="M222" s="1514"/>
      <c r="N222" s="1514"/>
      <c r="O222" s="1474"/>
      <c r="P222" s="1515"/>
      <c r="R222" s="1515"/>
      <c r="T222" s="1515"/>
      <c r="V222" s="1515"/>
      <c r="X222" s="1515"/>
      <c r="Z222" s="1516"/>
      <c r="AB222" s="1516"/>
      <c r="AD222" s="1516"/>
      <c r="AH222" s="1516"/>
      <c r="AU222" s="1533"/>
      <c r="CO222" s="1474"/>
      <c r="CP222" s="1474"/>
      <c r="EJ222" s="1474"/>
      <c r="EU222" s="1441"/>
      <c r="FF222" s="1448"/>
      <c r="FG222" s="1448"/>
      <c r="FH222" s="1448"/>
      <c r="FI222" s="1448"/>
      <c r="FJ222" s="1448"/>
      <c r="FK222" s="1448"/>
      <c r="FL222" s="1441">
        <f t="shared" si="3306"/>
        <v>0</v>
      </c>
      <c r="FM222" s="1474"/>
      <c r="FN222" s="1474"/>
      <c r="FO222" s="1474"/>
      <c r="FP222" s="1474"/>
      <c r="FQ222" s="1474"/>
      <c r="FR222" s="1474"/>
      <c r="FS222" s="1474"/>
      <c r="FT222" s="1474"/>
      <c r="FU222" s="1474"/>
      <c r="FV222" s="1474"/>
      <c r="FW222" s="1474"/>
      <c r="FX222" s="1474"/>
      <c r="FY222" s="1474"/>
      <c r="FZ222" s="1474"/>
      <c r="GA222" s="1474"/>
      <c r="GB222" s="1474"/>
      <c r="GC222" s="1474"/>
      <c r="GD222" s="1474"/>
      <c r="GE222" s="1474"/>
      <c r="GF222" s="1474"/>
      <c r="GG222" s="1474"/>
      <c r="GH222" s="1474"/>
      <c r="GI222" s="1474"/>
      <c r="GJ222" s="1474"/>
      <c r="GK222" s="1474"/>
      <c r="GL222" s="1474"/>
      <c r="GM222" s="1474"/>
      <c r="GN222" s="1474"/>
      <c r="GO222" s="1474"/>
      <c r="GP222" s="1474"/>
      <c r="GQ222" s="1474"/>
      <c r="GR222" s="1474"/>
      <c r="GS222" s="1474"/>
      <c r="GT222" s="1474"/>
      <c r="GU222" s="1474"/>
      <c r="GV222" s="1474"/>
      <c r="GW222" s="1474"/>
      <c r="GX222" s="1474"/>
      <c r="GY222" s="1474"/>
      <c r="GZ222" s="1474"/>
      <c r="HA222" s="1474"/>
      <c r="HB222" s="1474"/>
      <c r="HC222" s="1474"/>
      <c r="HD222" s="1474"/>
      <c r="HE222" s="1474"/>
      <c r="HF222" s="1474"/>
      <c r="HG222" s="1474"/>
      <c r="HH222" s="1474"/>
      <c r="HI222" s="1474"/>
      <c r="HJ222" s="1474"/>
      <c r="HK222" s="1474"/>
      <c r="HL222" s="1474"/>
      <c r="HM222" s="1474"/>
      <c r="HN222" s="1474"/>
      <c r="HO222" s="1474"/>
      <c r="HP222" s="1474"/>
      <c r="HQ222" s="1474"/>
      <c r="HR222" s="1474"/>
      <c r="HS222" s="1474"/>
      <c r="HT222" s="1474"/>
      <c r="HU222" s="1474"/>
      <c r="HV222" s="1474"/>
      <c r="HW222" s="1474"/>
      <c r="HX222" s="1474"/>
      <c r="HY222" s="1474"/>
      <c r="HZ222" s="1474"/>
      <c r="IA222" s="1474"/>
      <c r="IB222" s="1474"/>
      <c r="IC222" s="1474"/>
      <c r="ID222" s="1474"/>
      <c r="IE222" s="1474"/>
      <c r="IF222" s="1474"/>
      <c r="IG222" s="1474"/>
      <c r="IH222" s="1474"/>
      <c r="II222" s="1474"/>
      <c r="IJ222" s="1474"/>
      <c r="IK222" s="1474"/>
      <c r="IL222" s="1474"/>
      <c r="IM222" s="1474"/>
      <c r="IN222" s="1474"/>
      <c r="IO222" s="1474"/>
      <c r="IP222" s="1474"/>
      <c r="IQ222" s="1474"/>
      <c r="IR222" s="1474"/>
      <c r="IS222" s="1474"/>
      <c r="IT222" s="1474"/>
      <c r="IU222" s="1474"/>
      <c r="IV222" s="1474"/>
      <c r="IW222" s="1474"/>
      <c r="IX222" s="1474"/>
      <c r="IY222" s="1474"/>
      <c r="IZ222" s="1474"/>
    </row>
    <row r="223" spans="1:260" s="1513" customFormat="1" ht="15.75" customHeight="1" outlineLevel="1">
      <c r="A223" s="1511"/>
      <c r="B223" s="1404" t="s">
        <v>429</v>
      </c>
      <c r="C223" s="1339"/>
      <c r="D223" s="1474"/>
      <c r="E223" s="1512"/>
      <c r="I223" s="1514"/>
      <c r="J223" s="1514"/>
      <c r="K223" s="1514"/>
      <c r="L223" s="1514"/>
      <c r="M223" s="1514"/>
      <c r="N223" s="1514"/>
      <c r="O223" s="1474"/>
      <c r="P223" s="1515"/>
      <c r="R223" s="1515"/>
      <c r="T223" s="1515"/>
      <c r="V223" s="1515"/>
      <c r="X223" s="1515"/>
      <c r="Z223" s="1516"/>
      <c r="AB223" s="1516"/>
      <c r="AD223" s="1516"/>
      <c r="AH223" s="1516"/>
      <c r="AU223" s="1533"/>
      <c r="CO223" s="1474"/>
      <c r="CP223" s="1474"/>
      <c r="EJ223" s="1474"/>
      <c r="EU223" s="1441"/>
      <c r="FF223" s="1448"/>
      <c r="FG223" s="1448"/>
      <c r="FH223" s="1448"/>
      <c r="FI223" s="1448"/>
      <c r="FJ223" s="1448"/>
      <c r="FK223" s="1448"/>
      <c r="FL223" s="1441">
        <f t="shared" si="3306"/>
        <v>0</v>
      </c>
      <c r="FM223" s="1474"/>
      <c r="FN223" s="1474"/>
      <c r="FO223" s="1474"/>
      <c r="FP223" s="1474"/>
      <c r="FQ223" s="1474"/>
      <c r="FR223" s="1474"/>
      <c r="FS223" s="1474"/>
      <c r="FT223" s="1474"/>
      <c r="FU223" s="1474"/>
      <c r="FV223" s="1474"/>
      <c r="FW223" s="1474"/>
      <c r="FX223" s="1474"/>
      <c r="FY223" s="1474"/>
      <c r="FZ223" s="1474"/>
      <c r="GA223" s="1474"/>
      <c r="GB223" s="1474"/>
      <c r="GC223" s="1474"/>
      <c r="GD223" s="1474"/>
      <c r="GE223" s="1474"/>
      <c r="GF223" s="1474"/>
      <c r="GG223" s="1474"/>
      <c r="GH223" s="1474"/>
      <c r="GI223" s="1474"/>
      <c r="GJ223" s="1474"/>
      <c r="GK223" s="1474"/>
      <c r="GL223" s="1474"/>
      <c r="GM223" s="1474"/>
      <c r="GN223" s="1474"/>
      <c r="GO223" s="1474"/>
      <c r="GP223" s="1474"/>
      <c r="GQ223" s="1474"/>
      <c r="GR223" s="1474"/>
      <c r="GS223" s="1474"/>
      <c r="GT223" s="1474"/>
      <c r="GU223" s="1474"/>
      <c r="GV223" s="1474"/>
      <c r="GW223" s="1474"/>
      <c r="GX223" s="1474"/>
      <c r="GY223" s="1474"/>
      <c r="GZ223" s="1474"/>
      <c r="HA223" s="1474"/>
      <c r="HB223" s="1474"/>
      <c r="HC223" s="1474"/>
      <c r="HD223" s="1474"/>
      <c r="HE223" s="1474"/>
      <c r="HF223" s="1474"/>
      <c r="HG223" s="1474"/>
      <c r="HH223" s="1474"/>
      <c r="HI223" s="1474"/>
      <c r="HJ223" s="1474"/>
      <c r="HK223" s="1474"/>
      <c r="HL223" s="1474"/>
      <c r="HM223" s="1474"/>
      <c r="HN223" s="1474"/>
      <c r="HO223" s="1474"/>
      <c r="HP223" s="1474"/>
      <c r="HQ223" s="1474"/>
      <c r="HR223" s="1474"/>
      <c r="HS223" s="1474"/>
      <c r="HT223" s="1474"/>
      <c r="HU223" s="1474"/>
      <c r="HV223" s="1474"/>
      <c r="HW223" s="1474"/>
      <c r="HX223" s="1474"/>
      <c r="HY223" s="1474"/>
      <c r="HZ223" s="1474"/>
      <c r="IA223" s="1474"/>
      <c r="IB223" s="1474"/>
      <c r="IC223" s="1474"/>
      <c r="ID223" s="1474"/>
      <c r="IE223" s="1474"/>
      <c r="IF223" s="1474"/>
      <c r="IG223" s="1474"/>
      <c r="IH223" s="1474"/>
      <c r="II223" s="1474"/>
      <c r="IJ223" s="1474"/>
      <c r="IK223" s="1474"/>
      <c r="IL223" s="1474"/>
      <c r="IM223" s="1474"/>
      <c r="IN223" s="1474"/>
      <c r="IO223" s="1474"/>
      <c r="IP223" s="1474"/>
      <c r="IQ223" s="1474"/>
      <c r="IR223" s="1474"/>
      <c r="IS223" s="1474"/>
      <c r="IT223" s="1474"/>
      <c r="IU223" s="1474"/>
      <c r="IV223" s="1474"/>
      <c r="IW223" s="1474"/>
      <c r="IX223" s="1474"/>
      <c r="IY223" s="1474"/>
      <c r="IZ223" s="1474"/>
    </row>
    <row r="224" spans="1:260" s="1603" customFormat="1" ht="15" customHeight="1" outlineLevel="1" thickBot="1">
      <c r="A224" s="415">
        <f>A215+1</f>
        <v>125</v>
      </c>
      <c r="B224" s="311" t="s">
        <v>540</v>
      </c>
      <c r="C224" s="312" t="s">
        <v>415</v>
      </c>
      <c r="D224" s="313" t="s">
        <v>11</v>
      </c>
      <c r="E224" s="1971">
        <v>3166.38</v>
      </c>
      <c r="F224" s="314">
        <f>500</f>
        <v>500</v>
      </c>
      <c r="G224" s="1970">
        <f>+E224+F224</f>
        <v>3666.38</v>
      </c>
      <c r="H224" s="1971">
        <v>30</v>
      </c>
      <c r="I224" s="318">
        <v>0</v>
      </c>
      <c r="J224" s="1498">
        <v>1</v>
      </c>
      <c r="K224" s="1498">
        <v>0</v>
      </c>
      <c r="L224" s="318">
        <v>0</v>
      </c>
      <c r="M224" s="318">
        <v>0</v>
      </c>
      <c r="N224" s="318">
        <f>SUM(I224:M224)</f>
        <v>1</v>
      </c>
      <c r="P224" s="320"/>
      <c r="Q224" s="315">
        <f>($E224/30/8*1.5)*P224</f>
        <v>0</v>
      </c>
      <c r="R224" s="321"/>
      <c r="S224" s="315">
        <f>($E224/30/8*2)*R224</f>
        <v>0</v>
      </c>
      <c r="T224" s="321"/>
      <c r="U224" s="315">
        <f>($E224/30/8*1.5)*T224</f>
        <v>0</v>
      </c>
      <c r="V224" s="321"/>
      <c r="W224" s="315">
        <f>($E224/30/8*2)*V224</f>
        <v>0</v>
      </c>
      <c r="X224" s="321"/>
      <c r="Y224" s="315">
        <f>(($E224/30/8)*1.5)*X224</f>
        <v>0</v>
      </c>
      <c r="Z224" s="322"/>
      <c r="AA224" s="315">
        <f>(($E224/30/8)*2)*Z224</f>
        <v>0</v>
      </c>
      <c r="AB224" s="322"/>
      <c r="AC224" s="315">
        <f>(($E224/30/8)*1.5)*AB224</f>
        <v>0</v>
      </c>
      <c r="AD224" s="322"/>
      <c r="AE224" s="315">
        <f>(($E224/30/8)*2)*AD224</f>
        <v>0</v>
      </c>
      <c r="AF224" s="315"/>
      <c r="AG224" s="315">
        <f>(($E224/30/8)*1.5)*AF224</f>
        <v>0</v>
      </c>
      <c r="AH224" s="322"/>
      <c r="AI224" s="315">
        <f>(($E224/30/8)*2)*AH224</f>
        <v>0</v>
      </c>
      <c r="AJ224" s="314"/>
      <c r="AK224" s="314"/>
      <c r="AL224" s="314"/>
      <c r="AM224" s="314"/>
      <c r="AN224" s="314"/>
      <c r="AO224" s="325"/>
      <c r="AP224" s="325"/>
      <c r="AQ224" s="314"/>
      <c r="AR224" s="314"/>
      <c r="AS224" s="314"/>
      <c r="AT224" s="314"/>
      <c r="AU224" s="326"/>
      <c r="AV224" s="315">
        <f>((E224/30)*H224)*$I224</f>
        <v>0</v>
      </c>
      <c r="AW224" s="315">
        <f>((F224/30)*H224)*$I224</f>
        <v>0</v>
      </c>
      <c r="AX224" s="315">
        <f t="shared" ref="AX224:BA225" si="3557">P224</f>
        <v>0</v>
      </c>
      <c r="AY224" s="315">
        <f t="shared" si="3557"/>
        <v>0</v>
      </c>
      <c r="AZ224" s="315">
        <f t="shared" si="3557"/>
        <v>0</v>
      </c>
      <c r="BA224" s="315">
        <f t="shared" si="3557"/>
        <v>0</v>
      </c>
      <c r="BB224" s="315">
        <f>AJ224+AO224</f>
        <v>0</v>
      </c>
      <c r="BC224" s="315">
        <f>(AV224+AY224+BA224)*0.1267</f>
        <v>0</v>
      </c>
      <c r="BD224" s="315">
        <f>SUM(AV224:BC224)-AX224-AZ224</f>
        <v>0</v>
      </c>
      <c r="BE224" s="315">
        <f>(($E224/30)*$H224)*$J224</f>
        <v>3166.38</v>
      </c>
      <c r="BF224" s="1426">
        <f>(($F224/30)*$H224)*$J224+4639.42</f>
        <v>5139.42</v>
      </c>
      <c r="BG224" s="315">
        <f t="shared" ref="BG224:BJ225" si="3558">T224</f>
        <v>0</v>
      </c>
      <c r="BH224" s="315">
        <f t="shared" si="3558"/>
        <v>0</v>
      </c>
      <c r="BI224" s="315">
        <f t="shared" si="3558"/>
        <v>0</v>
      </c>
      <c r="BJ224" s="315">
        <f t="shared" si="3558"/>
        <v>0</v>
      </c>
      <c r="BK224" s="315">
        <v>0</v>
      </c>
      <c r="BL224" s="315">
        <f>(+BE224+BH224+BJ224+BK224)*0.1267</f>
        <v>401.18034600000004</v>
      </c>
      <c r="BM224" s="314">
        <f>SUM(BE224:BL224)-BG224-BI224</f>
        <v>8706.9803459999985</v>
      </c>
      <c r="BN224" s="315">
        <f>(($E224/30)*$H224)*$K224</f>
        <v>0</v>
      </c>
      <c r="BO224" s="1426">
        <f>(($F224/30)*$H224)*$K224</f>
        <v>0</v>
      </c>
      <c r="BP224" s="315">
        <f t="shared" ref="BP224:BR225" si="3559">X224</f>
        <v>0</v>
      </c>
      <c r="BQ224" s="315">
        <f t="shared" si="3559"/>
        <v>0</v>
      </c>
      <c r="BR224" s="315">
        <f t="shared" si="3559"/>
        <v>0</v>
      </c>
      <c r="BS224" s="315">
        <f>AA224</f>
        <v>0</v>
      </c>
      <c r="BT224" s="315">
        <f>AL224+AQ224</f>
        <v>0</v>
      </c>
      <c r="BU224" s="315">
        <f>(BN224+BQ224+BS224)*0.1267</f>
        <v>0</v>
      </c>
      <c r="BV224" s="315">
        <f>SUM(BN224:BU224)-BP224-BR224</f>
        <v>0</v>
      </c>
      <c r="BW224" s="360">
        <f>(($E224/30)*$H224)*$L224</f>
        <v>0</v>
      </c>
      <c r="BX224" s="361">
        <f>(($F224/30)*$H224)*$L224</f>
        <v>0</v>
      </c>
      <c r="BY224" s="361">
        <f t="shared" ref="BY224:CB225" si="3560">AB224</f>
        <v>0</v>
      </c>
      <c r="BZ224" s="361">
        <f t="shared" si="3560"/>
        <v>0</v>
      </c>
      <c r="CA224" s="361">
        <f t="shared" si="3560"/>
        <v>0</v>
      </c>
      <c r="CB224" s="361">
        <f t="shared" si="3560"/>
        <v>0</v>
      </c>
      <c r="CC224" s="361">
        <f>AM224+AR224</f>
        <v>0</v>
      </c>
      <c r="CD224" s="361">
        <f>(BW224+BZ224+CB224)*0.1267</f>
        <v>0</v>
      </c>
      <c r="CE224" s="361">
        <f>SUM(BW224:CD224)-BY224-CA224</f>
        <v>0</v>
      </c>
      <c r="CF224" s="361">
        <f>(($E224/30)*$H224)*M224</f>
        <v>0</v>
      </c>
      <c r="CG224" s="361">
        <f>(($F224/30)*$H224)*$M224</f>
        <v>0</v>
      </c>
      <c r="CH224" s="361">
        <f>+AF224</f>
        <v>0</v>
      </c>
      <c r="CI224" s="361">
        <f t="shared" ref="CI224:CK225" si="3561">AG224</f>
        <v>0</v>
      </c>
      <c r="CJ224" s="361">
        <f t="shared" si="3561"/>
        <v>0</v>
      </c>
      <c r="CK224" s="361">
        <f t="shared" si="3561"/>
        <v>0</v>
      </c>
      <c r="CL224" s="361">
        <f>AN224+AS224</f>
        <v>0</v>
      </c>
      <c r="CM224" s="361">
        <f>(CF224+CI224+CK224)*0.1267</f>
        <v>0</v>
      </c>
      <c r="CN224" s="362">
        <f>SUM(CF224:CM224)-CH224-CJ224</f>
        <v>0</v>
      </c>
      <c r="CO224" s="1534"/>
      <c r="CP224" s="313" t="s">
        <v>11</v>
      </c>
      <c r="CQ224" s="315">
        <f>IF($CP224="PROQUIMA",$AV224+$BE224+$BN224+$BW224+$CF224,0)</f>
        <v>0</v>
      </c>
      <c r="CR224" s="315">
        <f>IF($CP224="PROQUIMA",$AW224+$BF224+$BO224+$BX224+$CG224,0)</f>
        <v>0</v>
      </c>
      <c r="CS224" s="315">
        <f>IF($CP224="PROQUIMA",$AX224+$BG224+$BP224+$BY224+$CH224,0)</f>
        <v>0</v>
      </c>
      <c r="CT224" s="315">
        <f>IF($CP224="PROQUIMA",$AY224+$BH224+$BQ224+$BZ224+$CI224,0)</f>
        <v>0</v>
      </c>
      <c r="CU224" s="315">
        <f>IF($CP224="PROQUIMA",$AZ224+$BI224+$BR224+$CA224+$CJ224,0)</f>
        <v>0</v>
      </c>
      <c r="CV224" s="315">
        <f>IF($CP224="PROQUIMA",$BA224+$BJ224+$BS224+$CB224+$CK224,0)</f>
        <v>0</v>
      </c>
      <c r="CW224" s="315">
        <f>IF($CP224="PROQUIMA",$BB224+$BK224+$BT224+$CC224+$CL224,0)</f>
        <v>0</v>
      </c>
      <c r="CX224" s="315">
        <f>IF($CP224="PROQUIMA",$BC224+$BL224+$BU224+$CD224+CM224,0)</f>
        <v>0</v>
      </c>
      <c r="CY224" s="315">
        <f>SUM(CQ224:CX224)-CS224-CU224</f>
        <v>0</v>
      </c>
      <c r="CZ224" s="315">
        <f>IF($CP224="UNHESA",$AV224+$BE224+$BN224+$BW224+$CF224,0)</f>
        <v>3166.38</v>
      </c>
      <c r="DA224" s="315">
        <f>IF($CP224="UNHESA",$AW224+$BF224+$BO224+$BX224+$CG224,0)</f>
        <v>5139.42</v>
      </c>
      <c r="DB224" s="315">
        <f>IF($CP224="UNHESA",$AX224+$BG224+$BP224+$BY224+$CH224,0)</f>
        <v>0</v>
      </c>
      <c r="DC224" s="315">
        <f>IF($CP224="UNHESA",$AY224+$BH224+$BQ224+$BZ224+$CI224,0)</f>
        <v>0</v>
      </c>
      <c r="DD224" s="315">
        <f>IF($CP224="UNHESA",$AZ224+$BI224+$BR224+$CA224+$CJ224,0)</f>
        <v>0</v>
      </c>
      <c r="DE224" s="315">
        <f>IF($CP224="UNHESA",$BA224+$BJ224+$BS224+$CB224+$CK224,0)</f>
        <v>0</v>
      </c>
      <c r="DF224" s="315">
        <f>IF($CP224="UNHESA",$BB224+$BK224+$BT224+$CC224+$CL224,0)</f>
        <v>0</v>
      </c>
      <c r="DG224" s="315">
        <f>IF($CP224="UNHESA",$BC224+$BL224+$BU224+$CD224+$CM224,0)</f>
        <v>401.18034600000004</v>
      </c>
      <c r="DH224" s="315">
        <f>SUM(CZ224:DG224)-DB224-DD224</f>
        <v>8706.9803459999985</v>
      </c>
      <c r="DI224" s="315">
        <f>IF($CP224="UNHESA LIQUIDOS",$AV224+$BE224+$BN224+$BW224+$CF224,0)</f>
        <v>0</v>
      </c>
      <c r="DJ224" s="315">
        <f>IF($CP224="UNHESA LIQUIDOS",$AW224+$BF224+$BO224+$BX224+$CG224,0)</f>
        <v>0</v>
      </c>
      <c r="DK224" s="315">
        <f>IF($CP224="UNHESA LIQUIDOS",$AX224+$BG224+$BP224+$BY224+$CH224,0)</f>
        <v>0</v>
      </c>
      <c r="DL224" s="315">
        <f>IF($CP224="UNHESA LIQUIDOS",$AY224+$BH224+$BQ224+$BZ224+$CI224,0)</f>
        <v>0</v>
      </c>
      <c r="DM224" s="315">
        <f>IF($CP224="UNHESA LIQUIDOS",$AZ224+$BI224+$BR224+$CA224+$CJ224,0)</f>
        <v>0</v>
      </c>
      <c r="DN224" s="315">
        <f>IF($CP224="UNHESA LIQUIDOS",$BA224+$BJ224+$BS224+$CB224+$CK224,0)</f>
        <v>0</v>
      </c>
      <c r="DO224" s="315">
        <f>IF($CP224="UNHESA LIQUIDOS",$BB224+$BK224+$BT224+$CC224+$CL224,0)</f>
        <v>0</v>
      </c>
      <c r="DP224" s="315">
        <f>IF($CP224="UNHESA LIQUIDOS",$BC224+$BL224+$BU224+$CD224+$CM224,0)</f>
        <v>0</v>
      </c>
      <c r="DQ224" s="315">
        <f>SUM(DI224:DP224)-DK224-DM224</f>
        <v>0</v>
      </c>
      <c r="DR224" s="1593">
        <f>IF($CP224="ECONACIONAL",$AV224+$BE224+$BN224+$BW224+$CF224,0)</f>
        <v>0</v>
      </c>
      <c r="DS224" s="1594">
        <f>IF($CP224="ECONACIONAL",$AW224+$BF224+$BO224+$BX224+$CG224,0)</f>
        <v>0</v>
      </c>
      <c r="DT224" s="1594">
        <f>IF($CP224="ECONACIONAL",$AX224+$BG224+$BP224+$BY224+$CH224,0)</f>
        <v>0</v>
      </c>
      <c r="DU224" s="1594">
        <f>IF($CP224="ECONACIONAL",$AY224+$BH224+$BQ224+$BZ224+$CI224,0)</f>
        <v>0</v>
      </c>
      <c r="DV224" s="1594">
        <f>IF($CP224="ECONACIONAL",$AZ224+$BI224+$BR224+$CA224+$CJ224,0)</f>
        <v>0</v>
      </c>
      <c r="DW224" s="1594">
        <f>IF($CP224="ECONACIONAL",$BA224+$BJ224+$BS224+$CB224+$CK224,0)</f>
        <v>0</v>
      </c>
      <c r="DX224" s="1594">
        <f>IF($CP224="ECONACIONAL",$BB224+$BK224+$BT224+$CC224+$CL224,0)</f>
        <v>0</v>
      </c>
      <c r="DY224" s="1594">
        <f>IF($CP224="ECONACIONAL",$BC224+$BL224+$BU224+$CD224+$CM224,0)</f>
        <v>0</v>
      </c>
      <c r="DZ224" s="1594">
        <f>SUM(DR224:DY224)-DT224-DV224</f>
        <v>0</v>
      </c>
      <c r="EA224" s="1594">
        <f>IF($CP224="CLEARTEC",$AV224+$BE224+$BN224+$BW224+$CF224,0)</f>
        <v>0</v>
      </c>
      <c r="EB224" s="1594">
        <f>IF($CP224="CLEARTEC",$AW224+$BF224+$BO224+$BX224+$CG224,0)</f>
        <v>0</v>
      </c>
      <c r="EC224" s="1594">
        <f>IF($CP224="CLEARTEC",$AX224+$BG224+$BP224+$BY224+$CH224,0)</f>
        <v>0</v>
      </c>
      <c r="ED224" s="1594">
        <f>IF($CP224="CLEARTEC",$AY224+$BH224+$BQ224+$BZ224+$CI224,0)</f>
        <v>0</v>
      </c>
      <c r="EE224" s="1594">
        <f>IF($CP224="CLEARTEC",$AZ224+$BI224+$BR224+$CA224+$CJ224,0)</f>
        <v>0</v>
      </c>
      <c r="EF224" s="1594">
        <f>IF($CP224="CLEARTEC",$BA224+$BJ224+$BS224+$CB224+$CK224,0)</f>
        <v>0</v>
      </c>
      <c r="EG224" s="1594">
        <f>IF($CP224="CLEARTEC",$BB224+$BK224+$BT224+$CC224+$CL224,0)</f>
        <v>0</v>
      </c>
      <c r="EH224" s="1594">
        <f>IF($CP224="CLEARTEC",$BC224+$BL224+$BU224+$CD224+$CM224,0)</f>
        <v>0</v>
      </c>
      <c r="EI224" s="1595">
        <f>SUM(EA224:EH224)-EC224-EE224</f>
        <v>0</v>
      </c>
      <c r="EJ224" s="1534"/>
      <c r="EK224" s="1736">
        <v>375.67</v>
      </c>
      <c r="EL224" s="1736"/>
      <c r="EM224" s="1736"/>
      <c r="EN224" s="1736"/>
      <c r="EO224" s="1736"/>
      <c r="EP224" s="313">
        <f>125</f>
        <v>125</v>
      </c>
      <c r="EQ224" s="365">
        <v>150</v>
      </c>
      <c r="ER224" s="1543"/>
      <c r="ES224" s="1543"/>
      <c r="ET224" s="313">
        <f>+EO224+EP224+EQ224</f>
        <v>275</v>
      </c>
      <c r="EU224" s="331"/>
      <c r="EV224" s="321">
        <f t="shared" ref="EV224:FE225" si="3562">IF($H224&lt;=15,EK224/2,EK224)</f>
        <v>375.67</v>
      </c>
      <c r="EW224" s="321">
        <f t="shared" si="3562"/>
        <v>0</v>
      </c>
      <c r="EX224" s="321">
        <f t="shared" si="3562"/>
        <v>0</v>
      </c>
      <c r="EY224" s="321">
        <f t="shared" si="3562"/>
        <v>0</v>
      </c>
      <c r="EZ224" s="321">
        <f t="shared" si="3562"/>
        <v>0</v>
      </c>
      <c r="FA224" s="321">
        <f t="shared" si="3562"/>
        <v>125</v>
      </c>
      <c r="FB224" s="321">
        <f t="shared" si="3562"/>
        <v>150</v>
      </c>
      <c r="FC224" s="321">
        <f t="shared" si="3562"/>
        <v>0</v>
      </c>
      <c r="FD224" s="321">
        <f t="shared" si="3562"/>
        <v>0</v>
      </c>
      <c r="FE224" s="321">
        <f t="shared" si="3562"/>
        <v>275</v>
      </c>
      <c r="FF224" s="332">
        <v>0</v>
      </c>
      <c r="FG224" s="332">
        <v>0</v>
      </c>
      <c r="FH224" s="332">
        <v>1</v>
      </c>
      <c r="FI224" s="332">
        <v>0</v>
      </c>
      <c r="FJ224" s="332">
        <v>0</v>
      </c>
      <c r="FK224" s="332">
        <v>1</v>
      </c>
      <c r="FL224" s="331">
        <f t="shared" si="3306"/>
        <v>0</v>
      </c>
    </row>
    <row r="225" spans="1:260" s="1441" customFormat="1" ht="15" customHeight="1" outlineLevel="1" thickTop="1" thickBot="1">
      <c r="A225" s="1454">
        <f>A224+1</f>
        <v>126</v>
      </c>
      <c r="B225" s="213" t="s">
        <v>544</v>
      </c>
      <c r="C225" s="365" t="s">
        <v>415</v>
      </c>
      <c r="D225" s="363" t="s">
        <v>11</v>
      </c>
      <c r="E225" s="1971">
        <v>3166.38</v>
      </c>
      <c r="F225" s="1431">
        <v>250</v>
      </c>
      <c r="G225" s="1970">
        <f>+E225+F225</f>
        <v>3416.38</v>
      </c>
      <c r="H225" s="1971">
        <v>30</v>
      </c>
      <c r="I225" s="1432">
        <v>0</v>
      </c>
      <c r="J225" s="1432">
        <v>1</v>
      </c>
      <c r="K225" s="1494">
        <v>0</v>
      </c>
      <c r="L225" s="1432">
        <v>0</v>
      </c>
      <c r="M225" s="1432">
        <v>0</v>
      </c>
      <c r="N225" s="1432">
        <f>SUM(I225:M225)</f>
        <v>1</v>
      </c>
      <c r="O225" s="1464"/>
      <c r="P225" s="1535"/>
      <c r="Q225" s="355">
        <f>($E225/30/8*1.5)*P225</f>
        <v>0</v>
      </c>
      <c r="R225" s="366"/>
      <c r="S225" s="355">
        <f>($E225/30/8*2)*R225</f>
        <v>0</v>
      </c>
      <c r="T225" s="366"/>
      <c r="U225" s="355">
        <f>($E225/30/8*1.5)*T225</f>
        <v>0</v>
      </c>
      <c r="V225" s="366"/>
      <c r="W225" s="355">
        <f>($E225/30/8*2)*V225</f>
        <v>0</v>
      </c>
      <c r="X225" s="366"/>
      <c r="Y225" s="355">
        <f>(($E225/30/8)*1.5)*X225</f>
        <v>0</v>
      </c>
      <c r="Z225" s="1434"/>
      <c r="AA225" s="355">
        <f>(($E225/30/8)*2)*Z225</f>
        <v>0</v>
      </c>
      <c r="AB225" s="1434"/>
      <c r="AC225" s="355">
        <f>(($E225/30/8)*1.5)*AB225</f>
        <v>0</v>
      </c>
      <c r="AD225" s="1434"/>
      <c r="AE225" s="355">
        <f>(($E225/30/8)*2)*AD225</f>
        <v>0</v>
      </c>
      <c r="AF225" s="355"/>
      <c r="AG225" s="355">
        <f>(($E225/30/8)*1.5)*AF225</f>
        <v>0</v>
      </c>
      <c r="AH225" s="1434"/>
      <c r="AI225" s="355">
        <f>(($E225/30/8)*2)*AH225</f>
        <v>0</v>
      </c>
      <c r="AJ225" s="1431"/>
      <c r="AK225" s="1431"/>
      <c r="AL225" s="1431"/>
      <c r="AM225" s="1431"/>
      <c r="AN225" s="1431"/>
      <c r="AO225" s="1462"/>
      <c r="AP225" s="1462"/>
      <c r="AQ225" s="1431"/>
      <c r="AR225" s="1431"/>
      <c r="AS225" s="1431"/>
      <c r="AT225" s="1431"/>
      <c r="AU225" s="1568"/>
      <c r="AV225" s="355">
        <f>((E225/30)*H225)*$I225</f>
        <v>0</v>
      </c>
      <c r="AW225" s="355">
        <f>((F225/30)*H225)*$I225</f>
        <v>0</v>
      </c>
      <c r="AX225" s="355">
        <f t="shared" si="3557"/>
        <v>0</v>
      </c>
      <c r="AY225" s="355">
        <f t="shared" si="3557"/>
        <v>0</v>
      </c>
      <c r="AZ225" s="355">
        <f t="shared" si="3557"/>
        <v>0</v>
      </c>
      <c r="BA225" s="355">
        <f t="shared" si="3557"/>
        <v>0</v>
      </c>
      <c r="BB225" s="355">
        <f>AJ225+AO225</f>
        <v>0</v>
      </c>
      <c r="BC225" s="355">
        <f>(AV225+AY225+BA225)*0.1267</f>
        <v>0</v>
      </c>
      <c r="BD225" s="355">
        <f>SUM(AV225:BC225)-AX225-AZ225</f>
        <v>0</v>
      </c>
      <c r="BE225" s="355">
        <f>(($E225/30)*$H225)*$J225</f>
        <v>3166.38</v>
      </c>
      <c r="BF225" s="1426">
        <f>(($F225/30)*$H225)*$J225+1360.55</f>
        <v>1610.55</v>
      </c>
      <c r="BG225" s="355">
        <f t="shared" si="3558"/>
        <v>0</v>
      </c>
      <c r="BH225" s="355">
        <f t="shared" si="3558"/>
        <v>0</v>
      </c>
      <c r="BI225" s="355">
        <f t="shared" si="3558"/>
        <v>0</v>
      </c>
      <c r="BJ225" s="355">
        <f t="shared" si="3558"/>
        <v>0</v>
      </c>
      <c r="BK225" s="355">
        <v>0</v>
      </c>
      <c r="BL225" s="355">
        <f>(+BE225+BH225+BJ225+BK225)*0.1267</f>
        <v>401.18034600000004</v>
      </c>
      <c r="BM225" s="1431">
        <f>SUM(BE225:BL225)-BG225-BI225</f>
        <v>5178.1103460000004</v>
      </c>
      <c r="BN225" s="355">
        <f>(($E225/30)*$H225)*$K225</f>
        <v>0</v>
      </c>
      <c r="BO225" s="1664">
        <f>(($F225/30)*$H225)*$K225</f>
        <v>0</v>
      </c>
      <c r="BP225" s="355">
        <f>X225</f>
        <v>0</v>
      </c>
      <c r="BQ225" s="355">
        <f t="shared" si="3559"/>
        <v>0</v>
      </c>
      <c r="BR225" s="355">
        <f t="shared" si="3559"/>
        <v>0</v>
      </c>
      <c r="BS225" s="355">
        <f>AA225</f>
        <v>0</v>
      </c>
      <c r="BT225" s="355">
        <f>AL225+AQ225</f>
        <v>0</v>
      </c>
      <c r="BU225" s="355">
        <f>(BN225+BQ225+BS225)*0.1267</f>
        <v>0</v>
      </c>
      <c r="BV225" s="355">
        <f>SUM(BN225:BU225)-BP225-BR225</f>
        <v>0</v>
      </c>
      <c r="BW225" s="1495">
        <f>(($E225/30)*$H225)*$L225</f>
        <v>0</v>
      </c>
      <c r="BX225" s="1496">
        <f>(($F225/30)*$H225)*$L225</f>
        <v>0</v>
      </c>
      <c r="BY225" s="1496">
        <f t="shared" si="3560"/>
        <v>0</v>
      </c>
      <c r="BZ225" s="1496">
        <f t="shared" si="3560"/>
        <v>0</v>
      </c>
      <c r="CA225" s="1496">
        <f t="shared" si="3560"/>
        <v>0</v>
      </c>
      <c r="CB225" s="1496">
        <f t="shared" si="3560"/>
        <v>0</v>
      </c>
      <c r="CC225" s="1496">
        <f>AM225+AR225</f>
        <v>0</v>
      </c>
      <c r="CD225" s="1496">
        <f>(BW225+BZ225+CB225)*0.1267</f>
        <v>0</v>
      </c>
      <c r="CE225" s="1496">
        <f>SUM(BW225:CD225)-BY225-CA225</f>
        <v>0</v>
      </c>
      <c r="CF225" s="1496">
        <f>(($E225/30)*$H225)*M225</f>
        <v>0</v>
      </c>
      <c r="CG225" s="1496">
        <f>(($F225/30)*$H225)*$M225</f>
        <v>0</v>
      </c>
      <c r="CH225" s="1496">
        <f>+AF225</f>
        <v>0</v>
      </c>
      <c r="CI225" s="1496">
        <f t="shared" si="3561"/>
        <v>0</v>
      </c>
      <c r="CJ225" s="1496">
        <f t="shared" si="3561"/>
        <v>0</v>
      </c>
      <c r="CK225" s="1496">
        <f t="shared" si="3561"/>
        <v>0</v>
      </c>
      <c r="CL225" s="1496">
        <f>AN225+AS225</f>
        <v>0</v>
      </c>
      <c r="CM225" s="1496">
        <f>(CF225+CI225+CK225)*0.1267</f>
        <v>0</v>
      </c>
      <c r="CN225" s="1497">
        <f>SUM(CF225:CM225)-CH225-CJ225</f>
        <v>0</v>
      </c>
      <c r="CO225" s="1474"/>
      <c r="CP225" s="313" t="s">
        <v>11</v>
      </c>
      <c r="CQ225" s="315">
        <f t="shared" ref="CQ225" si="3563">IF($CP225="PROQUIMA",$AV225+$BE225+$BN225+$BW225+$CF225,0)</f>
        <v>0</v>
      </c>
      <c r="CR225" s="315">
        <f t="shared" ref="CR225" si="3564">IF($CP225="PROQUIMA",$AW225+$BF225+$BO225+$BX225+$CG225,0)</f>
        <v>0</v>
      </c>
      <c r="CS225" s="315">
        <f t="shared" ref="CS225" si="3565">IF($CP225="PROQUIMA",$AX225+$BG225+$BP225+$BY225+$CH225,0)</f>
        <v>0</v>
      </c>
      <c r="CT225" s="315">
        <f t="shared" ref="CT225" si="3566">IF($CP225="PROQUIMA",$AY225+$BH225+$BQ225+$BZ225+$CI225,0)</f>
        <v>0</v>
      </c>
      <c r="CU225" s="315">
        <f t="shared" ref="CU225" si="3567">IF($CP225="PROQUIMA",$AZ225+$BI225+$BR225+$CA225+$CJ225,0)</f>
        <v>0</v>
      </c>
      <c r="CV225" s="315">
        <f t="shared" ref="CV225" si="3568">IF($CP225="PROQUIMA",$BA225+$BJ225+$BS225+$CB225+$CK225,0)</f>
        <v>0</v>
      </c>
      <c r="CW225" s="315">
        <f t="shared" ref="CW225" si="3569">IF($CP225="PROQUIMA",$BB225+$BK225+$BT225+$CC225+$CL225,0)</f>
        <v>0</v>
      </c>
      <c r="CX225" s="315">
        <f t="shared" ref="CX225" si="3570">IF($CP225="PROQUIMA",$BC225+$BL225+$BU225+$CD225+CM225,0)</f>
        <v>0</v>
      </c>
      <c r="CY225" s="315">
        <f t="shared" ref="CY225" si="3571">SUM(CQ225:CX225)-CS225-CU225</f>
        <v>0</v>
      </c>
      <c r="CZ225" s="315">
        <f>IF($CP225="UNHESA",$AV225+$BE225+$BN225+$BW225+$CF225,0)</f>
        <v>3166.38</v>
      </c>
      <c r="DA225" s="315">
        <f>IF($CP225="UNHESA",$AW225+$BF225+$BO225+$BX225+$CG225,0)</f>
        <v>1610.55</v>
      </c>
      <c r="DB225" s="315">
        <f t="shared" ref="DB225" si="3572">IF($CP225="UNHESA",$AX225+$BG225+$BP225+$BY225+$CH225,0)</f>
        <v>0</v>
      </c>
      <c r="DC225" s="315">
        <f t="shared" ref="DC225" si="3573">IF($CP225="UNHESA",$AY225+$BH225+$BQ225+$BZ225+$CI225,0)</f>
        <v>0</v>
      </c>
      <c r="DD225" s="315">
        <f t="shared" ref="DD225" si="3574">IF($CP225="UNHESA",$AZ225+$BI225+$BR225+$CA225+$CJ225,0)</f>
        <v>0</v>
      </c>
      <c r="DE225" s="315">
        <f t="shared" ref="DE225" si="3575">IF($CP225="UNHESA",$BA225+$BJ225+$BS225+$CB225+$CK225,0)</f>
        <v>0</v>
      </c>
      <c r="DF225" s="315">
        <f t="shared" ref="DF225" si="3576">IF($CP225="UNHESA",$BB225+$BK225+$BT225+$CC225+$CL225,0)</f>
        <v>0</v>
      </c>
      <c r="DG225" s="315">
        <f t="shared" ref="DG225" si="3577">IF($CP225="UNHESA",$BC225+$BL225+$BU225+$CD225+$CM225,0)</f>
        <v>401.18034600000004</v>
      </c>
      <c r="DH225" s="315">
        <f t="shared" ref="DH225" si="3578">SUM(CZ225:DG225)-DB225-DD225</f>
        <v>5178.1103460000004</v>
      </c>
      <c r="DI225" s="315">
        <f t="shared" ref="DI225" si="3579">IF($CP225="UNHESA LIQUIDOS",$AV225+$BE225+$BN225+$BW225+$CF225,0)</f>
        <v>0</v>
      </c>
      <c r="DJ225" s="315">
        <f t="shared" ref="DJ225" si="3580">IF($CP225="UNHESA LIQUIDOS",$AW225+$BF225+$BO225+$BX225+$CG225,0)</f>
        <v>0</v>
      </c>
      <c r="DK225" s="315">
        <f t="shared" ref="DK225" si="3581">IF($CP225="UNHESA LIQUIDOS",$AX225+$BG225+$BP225+$BY225+$CH225,0)</f>
        <v>0</v>
      </c>
      <c r="DL225" s="315">
        <f t="shared" ref="DL225" si="3582">IF($CP225="UNHESA LIQUIDOS",$AY225+$BH225+$BQ225+$BZ225+$CI225,0)</f>
        <v>0</v>
      </c>
      <c r="DM225" s="315">
        <f t="shared" ref="DM225" si="3583">IF($CP225="UNHESA LIQUIDOS",$AZ225+$BI225+$BR225+$CA225+$CJ225,0)</f>
        <v>0</v>
      </c>
      <c r="DN225" s="315">
        <f t="shared" ref="DN225" si="3584">IF($CP225="UNHESA LIQUIDOS",$BA225+$BJ225+$BS225+$CB225+$CK225,0)</f>
        <v>0</v>
      </c>
      <c r="DO225" s="315">
        <f t="shared" ref="DO225" si="3585">IF($CP225="UNHESA LIQUIDOS",$BB225+$BK225+$BT225+$CC225+$CL225,0)</f>
        <v>0</v>
      </c>
      <c r="DP225" s="315">
        <f t="shared" ref="DP225" si="3586">IF($CP225="UNHESA LIQUIDOS",$BC225+$BL225+$BU225+$CD225+$CM225,0)</f>
        <v>0</v>
      </c>
      <c r="DQ225" s="315">
        <f t="shared" ref="DQ225" si="3587">SUM(DI225:DP225)-DK225-DM225</f>
        <v>0</v>
      </c>
      <c r="DR225" s="1593">
        <f t="shared" ref="DR225" si="3588">IF($CP225="ECONACIONAL",$AV225+$BE225+$BN225+$BW225+$CF225,0)</f>
        <v>0</v>
      </c>
      <c r="DS225" s="1594">
        <f t="shared" ref="DS225" si="3589">IF($CP225="ECONACIONAL",$AW225+$BF225+$BO225+$BX225+$CG225,0)</f>
        <v>0</v>
      </c>
      <c r="DT225" s="1594">
        <f t="shared" ref="DT225" si="3590">IF($CP225="ECONACIONAL",$AX225+$BG225+$BP225+$BY225+$CH225,0)</f>
        <v>0</v>
      </c>
      <c r="DU225" s="1594">
        <f t="shared" ref="DU225" si="3591">IF($CP225="ECONACIONAL",$AY225+$BH225+$BQ225+$BZ225+$CI225,0)</f>
        <v>0</v>
      </c>
      <c r="DV225" s="1594">
        <f t="shared" ref="DV225" si="3592">IF($CP225="ECONACIONAL",$AZ225+$BI225+$BR225+$CA225+$CJ225,0)</f>
        <v>0</v>
      </c>
      <c r="DW225" s="1594">
        <f t="shared" ref="DW225" si="3593">IF($CP225="ECONACIONAL",$BA225+$BJ225+$BS225+$CB225+$CK225,0)</f>
        <v>0</v>
      </c>
      <c r="DX225" s="1594">
        <f t="shared" ref="DX225" si="3594">IF($CP225="ECONACIONAL",$BB225+$BK225+$BT225+$CC225+$CL225,0)</f>
        <v>0</v>
      </c>
      <c r="DY225" s="1594">
        <f t="shared" ref="DY225" si="3595">IF($CP225="ECONACIONAL",$BC225+$BL225+$BU225+$CD225+$CM225,0)</f>
        <v>0</v>
      </c>
      <c r="DZ225" s="1594">
        <f t="shared" ref="DZ225" si="3596">SUM(DR225:DY225)-DT225-DV225</f>
        <v>0</v>
      </c>
      <c r="EA225" s="1594">
        <f t="shared" ref="EA225" si="3597">IF($CP225="CLEARTEC",$AV225+$BE225+$BN225+$BW225+$CF225,0)</f>
        <v>0</v>
      </c>
      <c r="EB225" s="1594">
        <f t="shared" ref="EB225" si="3598">IF($CP225="CLEARTEC",$AW225+$BF225+$BO225+$BX225+$CG225,0)</f>
        <v>0</v>
      </c>
      <c r="EC225" s="1594">
        <f t="shared" ref="EC225" si="3599">IF($CP225="CLEARTEC",$AX225+$BG225+$BP225+$BY225+$CH225,0)</f>
        <v>0</v>
      </c>
      <c r="ED225" s="1594">
        <f t="shared" ref="ED225" si="3600">IF($CP225="CLEARTEC",$AY225+$BH225+$BQ225+$BZ225+$CI225,0)</f>
        <v>0</v>
      </c>
      <c r="EE225" s="1594">
        <f t="shared" ref="EE225" si="3601">IF($CP225="CLEARTEC",$AZ225+$BI225+$BR225+$CA225+$CJ225,0)</f>
        <v>0</v>
      </c>
      <c r="EF225" s="1594">
        <f t="shared" ref="EF225" si="3602">IF($CP225="CLEARTEC",$BA225+$BJ225+$BS225+$CB225+$CK225,0)</f>
        <v>0</v>
      </c>
      <c r="EG225" s="1594">
        <f t="shared" ref="EG225" si="3603">IF($CP225="CLEARTEC",$BB225+$BK225+$BT225+$CC225+$CL225,0)</f>
        <v>0</v>
      </c>
      <c r="EH225" s="1594">
        <f t="shared" ref="EH225" si="3604">IF($CP225="CLEARTEC",$BC225+$BL225+$BU225+$CD225+$CM225,0)</f>
        <v>0</v>
      </c>
      <c r="EI225" s="1595">
        <f t="shared" ref="EI225" si="3605">SUM(EA225:EH225)-EC225-EE225</f>
        <v>0</v>
      </c>
      <c r="EJ225" s="1474"/>
      <c r="EK225" s="1736">
        <v>76.92</v>
      </c>
      <c r="EL225" s="1475"/>
      <c r="EM225" s="1475"/>
      <c r="EN225" s="363"/>
      <c r="EO225" s="1475"/>
      <c r="EP225" s="1737">
        <f>60+50</f>
        <v>110</v>
      </c>
      <c r="EQ225" s="1543"/>
      <c r="ER225" s="1475"/>
      <c r="ES225" s="1543"/>
      <c r="ET225" s="363">
        <f>+EO225+EP225+EQ225</f>
        <v>110</v>
      </c>
      <c r="EV225" s="321">
        <f t="shared" si="3562"/>
        <v>76.92</v>
      </c>
      <c r="EW225" s="321">
        <f t="shared" si="3562"/>
        <v>0</v>
      </c>
      <c r="EX225" s="321">
        <f t="shared" si="3562"/>
        <v>0</v>
      </c>
      <c r="EY225" s="321">
        <f t="shared" si="3562"/>
        <v>0</v>
      </c>
      <c r="EZ225" s="321">
        <f t="shared" si="3562"/>
        <v>0</v>
      </c>
      <c r="FA225" s="321">
        <f t="shared" si="3562"/>
        <v>110</v>
      </c>
      <c r="FB225" s="321">
        <f t="shared" si="3562"/>
        <v>0</v>
      </c>
      <c r="FC225" s="321">
        <f t="shared" si="3562"/>
        <v>0</v>
      </c>
      <c r="FD225" s="321">
        <f t="shared" si="3562"/>
        <v>0</v>
      </c>
      <c r="FE225" s="321">
        <f t="shared" si="3562"/>
        <v>110</v>
      </c>
      <c r="FF225" s="364">
        <v>0</v>
      </c>
      <c r="FG225" s="364">
        <v>0</v>
      </c>
      <c r="FH225" s="364">
        <v>1</v>
      </c>
      <c r="FI225" s="364">
        <v>0</v>
      </c>
      <c r="FJ225" s="364">
        <v>0</v>
      </c>
      <c r="FK225" s="364">
        <v>1</v>
      </c>
      <c r="FL225" s="1441">
        <f t="shared" si="3306"/>
        <v>0</v>
      </c>
    </row>
    <row r="226" spans="1:260" s="1531" customFormat="1" ht="12" customHeight="1" thickTop="1" thickBot="1">
      <c r="A226" s="1511"/>
      <c r="B226" s="1348"/>
      <c r="C226" s="1403" t="s">
        <v>434</v>
      </c>
      <c r="D226" s="1339"/>
      <c r="E226" s="1545">
        <f>SUM(E224:E225)</f>
        <v>6332.76</v>
      </c>
      <c r="F226" s="1545">
        <f>SUM(F224:F225)</f>
        <v>750</v>
      </c>
      <c r="G226" s="1545">
        <f>SUM(G224:G225)</f>
        <v>7082.76</v>
      </c>
      <c r="H226" s="1531">
        <v>0</v>
      </c>
      <c r="I226" s="1563"/>
      <c r="J226" s="1563"/>
      <c r="K226" s="1563"/>
      <c r="L226" s="1563"/>
      <c r="M226" s="1563"/>
      <c r="N226" s="1563"/>
      <c r="O226" s="1339"/>
      <c r="P226" s="1738">
        <f t="shared" ref="P226:AU226" si="3606">SUM(P224:P225)</f>
        <v>0</v>
      </c>
      <c r="Q226" s="1738">
        <f t="shared" si="3606"/>
        <v>0</v>
      </c>
      <c r="R226" s="1738">
        <f t="shared" si="3606"/>
        <v>0</v>
      </c>
      <c r="S226" s="1738">
        <f t="shared" si="3606"/>
        <v>0</v>
      </c>
      <c r="T226" s="1738">
        <f t="shared" si="3606"/>
        <v>0</v>
      </c>
      <c r="U226" s="1738">
        <f t="shared" si="3606"/>
        <v>0</v>
      </c>
      <c r="V226" s="1738">
        <f t="shared" si="3606"/>
        <v>0</v>
      </c>
      <c r="W226" s="1738">
        <f t="shared" si="3606"/>
        <v>0</v>
      </c>
      <c r="X226" s="1738">
        <f t="shared" si="3606"/>
        <v>0</v>
      </c>
      <c r="Y226" s="1738">
        <f t="shared" si="3606"/>
        <v>0</v>
      </c>
      <c r="Z226" s="1738">
        <f t="shared" si="3606"/>
        <v>0</v>
      </c>
      <c r="AA226" s="1738">
        <f t="shared" si="3606"/>
        <v>0</v>
      </c>
      <c r="AB226" s="1738">
        <f t="shared" si="3606"/>
        <v>0</v>
      </c>
      <c r="AC226" s="1738">
        <f t="shared" si="3606"/>
        <v>0</v>
      </c>
      <c r="AD226" s="1738">
        <f t="shared" si="3606"/>
        <v>0</v>
      </c>
      <c r="AE226" s="1738">
        <f t="shared" si="3606"/>
        <v>0</v>
      </c>
      <c r="AF226" s="1738">
        <f t="shared" si="3606"/>
        <v>0</v>
      </c>
      <c r="AG226" s="1738">
        <f t="shared" si="3606"/>
        <v>0</v>
      </c>
      <c r="AH226" s="1738">
        <f t="shared" si="3606"/>
        <v>0</v>
      </c>
      <c r="AI226" s="1738">
        <f t="shared" si="3606"/>
        <v>0</v>
      </c>
      <c r="AJ226" s="1738">
        <f t="shared" si="3606"/>
        <v>0</v>
      </c>
      <c r="AK226" s="1738">
        <f t="shared" si="3606"/>
        <v>0</v>
      </c>
      <c r="AL226" s="1738">
        <f t="shared" si="3606"/>
        <v>0</v>
      </c>
      <c r="AM226" s="1738">
        <f t="shared" si="3606"/>
        <v>0</v>
      </c>
      <c r="AN226" s="1738">
        <f t="shared" si="3606"/>
        <v>0</v>
      </c>
      <c r="AO226" s="1738">
        <f t="shared" si="3606"/>
        <v>0</v>
      </c>
      <c r="AP226" s="1738">
        <f t="shared" si="3606"/>
        <v>0</v>
      </c>
      <c r="AQ226" s="1738">
        <f t="shared" si="3606"/>
        <v>0</v>
      </c>
      <c r="AR226" s="1738">
        <f t="shared" si="3606"/>
        <v>0</v>
      </c>
      <c r="AS226" s="1738">
        <f t="shared" si="3606"/>
        <v>0</v>
      </c>
      <c r="AT226" s="1738">
        <f t="shared" si="3606"/>
        <v>0</v>
      </c>
      <c r="AU226" s="1738">
        <f t="shared" si="3606"/>
        <v>0</v>
      </c>
      <c r="AV226" s="1738">
        <f t="shared" ref="AV226:CA226" si="3607">SUM(AV224:AV225)</f>
        <v>0</v>
      </c>
      <c r="AW226" s="1738">
        <f t="shared" si="3607"/>
        <v>0</v>
      </c>
      <c r="AX226" s="1738">
        <f t="shared" si="3607"/>
        <v>0</v>
      </c>
      <c r="AY226" s="1738">
        <f t="shared" si="3607"/>
        <v>0</v>
      </c>
      <c r="AZ226" s="1738">
        <f t="shared" si="3607"/>
        <v>0</v>
      </c>
      <c r="BA226" s="1738">
        <f t="shared" si="3607"/>
        <v>0</v>
      </c>
      <c r="BB226" s="1738">
        <f t="shared" si="3607"/>
        <v>0</v>
      </c>
      <c r="BC226" s="1738">
        <f t="shared" si="3607"/>
        <v>0</v>
      </c>
      <c r="BD226" s="1738">
        <f t="shared" si="3607"/>
        <v>0</v>
      </c>
      <c r="BE226" s="1738">
        <f t="shared" si="3607"/>
        <v>6332.76</v>
      </c>
      <c r="BF226" s="1738">
        <f>SUM(BF224:BF225)</f>
        <v>6749.97</v>
      </c>
      <c r="BG226" s="1738">
        <f t="shared" si="3607"/>
        <v>0</v>
      </c>
      <c r="BH226" s="1738">
        <f t="shared" si="3607"/>
        <v>0</v>
      </c>
      <c r="BI226" s="1738">
        <f t="shared" si="3607"/>
        <v>0</v>
      </c>
      <c r="BJ226" s="1738">
        <f t="shared" si="3607"/>
        <v>0</v>
      </c>
      <c r="BK226" s="1738">
        <f t="shared" si="3607"/>
        <v>0</v>
      </c>
      <c r="BL226" s="1738">
        <f t="shared" si="3607"/>
        <v>802.36069200000009</v>
      </c>
      <c r="BM226" s="1738">
        <f t="shared" si="3607"/>
        <v>13885.090691999998</v>
      </c>
      <c r="BN226" s="1738">
        <f t="shared" si="3607"/>
        <v>0</v>
      </c>
      <c r="BO226" s="1738">
        <f t="shared" si="3607"/>
        <v>0</v>
      </c>
      <c r="BP226" s="1738">
        <f t="shared" si="3607"/>
        <v>0</v>
      </c>
      <c r="BQ226" s="1738">
        <f t="shared" si="3607"/>
        <v>0</v>
      </c>
      <c r="BR226" s="1738">
        <f t="shared" si="3607"/>
        <v>0</v>
      </c>
      <c r="BS226" s="1738">
        <f t="shared" si="3607"/>
        <v>0</v>
      </c>
      <c r="BT226" s="1738">
        <f t="shared" si="3607"/>
        <v>0</v>
      </c>
      <c r="BU226" s="1738">
        <f t="shared" si="3607"/>
        <v>0</v>
      </c>
      <c r="BV226" s="1738">
        <f t="shared" si="3607"/>
        <v>0</v>
      </c>
      <c r="BW226" s="1738">
        <f t="shared" si="3607"/>
        <v>0</v>
      </c>
      <c r="BX226" s="1738">
        <f t="shared" si="3607"/>
        <v>0</v>
      </c>
      <c r="BY226" s="1738">
        <f t="shared" si="3607"/>
        <v>0</v>
      </c>
      <c r="BZ226" s="1738">
        <f t="shared" si="3607"/>
        <v>0</v>
      </c>
      <c r="CA226" s="1738">
        <f t="shared" si="3607"/>
        <v>0</v>
      </c>
      <c r="CB226" s="1738">
        <f t="shared" ref="CB226:CN226" si="3608">SUM(CB224:CB225)</f>
        <v>0</v>
      </c>
      <c r="CC226" s="1738">
        <f t="shared" si="3608"/>
        <v>0</v>
      </c>
      <c r="CD226" s="1738">
        <f t="shared" si="3608"/>
        <v>0</v>
      </c>
      <c r="CE226" s="1738">
        <f t="shared" si="3608"/>
        <v>0</v>
      </c>
      <c r="CF226" s="1738">
        <f t="shared" si="3608"/>
        <v>0</v>
      </c>
      <c r="CG226" s="1738">
        <f t="shared" si="3608"/>
        <v>0</v>
      </c>
      <c r="CH226" s="1738">
        <f t="shared" si="3608"/>
        <v>0</v>
      </c>
      <c r="CI226" s="1738">
        <f t="shared" si="3608"/>
        <v>0</v>
      </c>
      <c r="CJ226" s="1738">
        <f t="shared" si="3608"/>
        <v>0</v>
      </c>
      <c r="CK226" s="1738">
        <f t="shared" si="3608"/>
        <v>0</v>
      </c>
      <c r="CL226" s="1738">
        <f t="shared" si="3608"/>
        <v>0</v>
      </c>
      <c r="CM226" s="1738">
        <f t="shared" si="3608"/>
        <v>0</v>
      </c>
      <c r="CN226" s="1738">
        <f t="shared" si="3608"/>
        <v>0</v>
      </c>
      <c r="CO226" s="1531" t="s">
        <v>54</v>
      </c>
      <c r="CQ226" s="1531">
        <f t="shared" ref="CQ226:EI226" si="3609">SUM(CQ224:CQ225)</f>
        <v>0</v>
      </c>
      <c r="CR226" s="1531">
        <f t="shared" si="3609"/>
        <v>0</v>
      </c>
      <c r="CS226" s="1531">
        <f t="shared" si="3609"/>
        <v>0</v>
      </c>
      <c r="CT226" s="1531">
        <f t="shared" si="3609"/>
        <v>0</v>
      </c>
      <c r="CU226" s="1531">
        <f t="shared" si="3609"/>
        <v>0</v>
      </c>
      <c r="CV226" s="1531">
        <f t="shared" si="3609"/>
        <v>0</v>
      </c>
      <c r="CW226" s="1531">
        <f t="shared" si="3609"/>
        <v>0</v>
      </c>
      <c r="CX226" s="1531">
        <f t="shared" si="3609"/>
        <v>0</v>
      </c>
      <c r="CY226" s="1531">
        <f t="shared" si="3609"/>
        <v>0</v>
      </c>
      <c r="CZ226" s="1531">
        <f t="shared" si="3609"/>
        <v>6332.76</v>
      </c>
      <c r="DA226" s="1531">
        <f t="shared" si="3609"/>
        <v>6749.97</v>
      </c>
      <c r="DB226" s="1531">
        <f t="shared" si="3609"/>
        <v>0</v>
      </c>
      <c r="DC226" s="1531">
        <f t="shared" si="3609"/>
        <v>0</v>
      </c>
      <c r="DD226" s="1531">
        <f t="shared" si="3609"/>
        <v>0</v>
      </c>
      <c r="DE226" s="1531">
        <f t="shared" si="3609"/>
        <v>0</v>
      </c>
      <c r="DF226" s="1531">
        <f t="shared" si="3609"/>
        <v>0</v>
      </c>
      <c r="DG226" s="1531">
        <f t="shared" si="3609"/>
        <v>802.36069200000009</v>
      </c>
      <c r="DH226" s="1531">
        <f t="shared" si="3609"/>
        <v>13885.090691999998</v>
      </c>
      <c r="DI226" s="1531">
        <f t="shared" si="3609"/>
        <v>0</v>
      </c>
      <c r="DJ226" s="1531">
        <f t="shared" si="3609"/>
        <v>0</v>
      </c>
      <c r="DK226" s="1531">
        <f t="shared" si="3609"/>
        <v>0</v>
      </c>
      <c r="DL226" s="1531">
        <f t="shared" si="3609"/>
        <v>0</v>
      </c>
      <c r="DM226" s="1531">
        <f t="shared" si="3609"/>
        <v>0</v>
      </c>
      <c r="DN226" s="1531">
        <f t="shared" si="3609"/>
        <v>0</v>
      </c>
      <c r="DO226" s="1531">
        <f t="shared" si="3609"/>
        <v>0</v>
      </c>
      <c r="DP226" s="1531">
        <f t="shared" si="3609"/>
        <v>0</v>
      </c>
      <c r="DQ226" s="1531">
        <f t="shared" si="3609"/>
        <v>0</v>
      </c>
      <c r="DR226" s="1531">
        <f t="shared" si="3609"/>
        <v>0</v>
      </c>
      <c r="DS226" s="1531">
        <f t="shared" si="3609"/>
        <v>0</v>
      </c>
      <c r="DT226" s="1531">
        <f t="shared" si="3609"/>
        <v>0</v>
      </c>
      <c r="DU226" s="1531">
        <f t="shared" si="3609"/>
        <v>0</v>
      </c>
      <c r="DV226" s="1531">
        <f t="shared" si="3609"/>
        <v>0</v>
      </c>
      <c r="DW226" s="1531">
        <f t="shared" si="3609"/>
        <v>0</v>
      </c>
      <c r="DX226" s="1531">
        <f t="shared" si="3609"/>
        <v>0</v>
      </c>
      <c r="DY226" s="1531">
        <f t="shared" si="3609"/>
        <v>0</v>
      </c>
      <c r="DZ226" s="1531">
        <f t="shared" si="3609"/>
        <v>0</v>
      </c>
      <c r="EA226" s="1531">
        <f t="shared" si="3609"/>
        <v>0</v>
      </c>
      <c r="EB226" s="1531">
        <f t="shared" si="3609"/>
        <v>0</v>
      </c>
      <c r="EC226" s="1531">
        <f t="shared" si="3609"/>
        <v>0</v>
      </c>
      <c r="ED226" s="1531">
        <f t="shared" si="3609"/>
        <v>0</v>
      </c>
      <c r="EE226" s="1531">
        <f t="shared" si="3609"/>
        <v>0</v>
      </c>
      <c r="EF226" s="1531">
        <f t="shared" si="3609"/>
        <v>0</v>
      </c>
      <c r="EG226" s="1531">
        <f t="shared" si="3609"/>
        <v>0</v>
      </c>
      <c r="EH226" s="1531">
        <f t="shared" si="3609"/>
        <v>0</v>
      </c>
      <c r="EI226" s="1531">
        <f t="shared" si="3609"/>
        <v>0</v>
      </c>
      <c r="EJ226" s="1531" t="s">
        <v>54</v>
      </c>
      <c r="EK226" s="1531">
        <f t="shared" ref="EK226:ET226" si="3610">SUM(EK224:EK225)</f>
        <v>452.59000000000003</v>
      </c>
      <c r="EL226" s="1531">
        <f t="shared" si="3610"/>
        <v>0</v>
      </c>
      <c r="EM226" s="1531">
        <f t="shared" si="3610"/>
        <v>0</v>
      </c>
      <c r="EN226" s="1531">
        <f t="shared" si="3610"/>
        <v>0</v>
      </c>
      <c r="EO226" s="1531">
        <f t="shared" si="3610"/>
        <v>0</v>
      </c>
      <c r="EP226" s="1531">
        <f t="shared" si="3610"/>
        <v>235</v>
      </c>
      <c r="EQ226" s="1531">
        <f t="shared" si="3610"/>
        <v>150</v>
      </c>
      <c r="ER226" s="1531">
        <f t="shared" si="3610"/>
        <v>0</v>
      </c>
      <c r="ES226" s="1531">
        <f t="shared" si="3610"/>
        <v>0</v>
      </c>
      <c r="ET226" s="1531">
        <f t="shared" si="3610"/>
        <v>385</v>
      </c>
      <c r="EU226" s="1441"/>
      <c r="EV226" s="1658">
        <f t="shared" ref="EV226:FK226" si="3611">SUM(EV224:EV225)</f>
        <v>452.59000000000003</v>
      </c>
      <c r="EW226" s="1658">
        <f t="shared" si="3611"/>
        <v>0</v>
      </c>
      <c r="EX226" s="1658">
        <f t="shared" si="3611"/>
        <v>0</v>
      </c>
      <c r="EY226" s="1658">
        <f t="shared" si="3611"/>
        <v>0</v>
      </c>
      <c r="EZ226" s="1658">
        <f t="shared" si="3611"/>
        <v>0</v>
      </c>
      <c r="FA226" s="1658">
        <f t="shared" si="3611"/>
        <v>235</v>
      </c>
      <c r="FB226" s="1658">
        <f t="shared" si="3611"/>
        <v>150</v>
      </c>
      <c r="FC226" s="1658">
        <f t="shared" si="3611"/>
        <v>0</v>
      </c>
      <c r="FD226" s="1658">
        <f t="shared" si="3611"/>
        <v>0</v>
      </c>
      <c r="FE226" s="1658">
        <f t="shared" si="3611"/>
        <v>385</v>
      </c>
      <c r="FF226" s="1658">
        <f t="shared" si="3611"/>
        <v>0</v>
      </c>
      <c r="FG226" s="1658">
        <f t="shared" si="3611"/>
        <v>0</v>
      </c>
      <c r="FH226" s="1658">
        <f t="shared" si="3611"/>
        <v>2</v>
      </c>
      <c r="FI226" s="1658">
        <f t="shared" si="3611"/>
        <v>0</v>
      </c>
      <c r="FJ226" s="1658">
        <f t="shared" si="3611"/>
        <v>0</v>
      </c>
      <c r="FK226" s="1658">
        <f t="shared" si="3611"/>
        <v>2</v>
      </c>
      <c r="FL226" s="1441">
        <f t="shared" si="3306"/>
        <v>0</v>
      </c>
      <c r="FM226" s="1339"/>
      <c r="FN226" s="1339"/>
      <c r="FO226" s="1339"/>
      <c r="FP226" s="1339"/>
      <c r="FQ226" s="1339"/>
      <c r="FR226" s="1339"/>
      <c r="FS226" s="1339"/>
      <c r="FT226" s="1339"/>
      <c r="FU226" s="1339"/>
      <c r="FV226" s="1339"/>
      <c r="FW226" s="1339"/>
      <c r="FX226" s="1339"/>
      <c r="FY226" s="1339"/>
      <c r="FZ226" s="1339"/>
      <c r="GA226" s="1339"/>
      <c r="GB226" s="1339"/>
      <c r="GC226" s="1339"/>
      <c r="GD226" s="1339"/>
      <c r="GE226" s="1339"/>
      <c r="GF226" s="1339"/>
      <c r="GG226" s="1339"/>
      <c r="GH226" s="1339"/>
      <c r="GI226" s="1339"/>
      <c r="GJ226" s="1339"/>
      <c r="GK226" s="1339"/>
      <c r="GL226" s="1339"/>
      <c r="GM226" s="1339"/>
      <c r="GN226" s="1339"/>
      <c r="GO226" s="1339"/>
      <c r="GP226" s="1339"/>
      <c r="GQ226" s="1339"/>
      <c r="GR226" s="1339"/>
      <c r="GS226" s="1339"/>
      <c r="GT226" s="1339"/>
      <c r="GU226" s="1339"/>
      <c r="GV226" s="1339"/>
      <c r="GW226" s="1339"/>
      <c r="GX226" s="1339"/>
      <c r="GY226" s="1339"/>
      <c r="GZ226" s="1339"/>
      <c r="HA226" s="1339"/>
      <c r="HB226" s="1339"/>
      <c r="HC226" s="1339"/>
      <c r="HD226" s="1339"/>
      <c r="HE226" s="1339"/>
      <c r="HF226" s="1339"/>
      <c r="HG226" s="1339"/>
      <c r="HH226" s="1339"/>
      <c r="HI226" s="1339"/>
      <c r="HJ226" s="1339"/>
      <c r="HK226" s="1339"/>
      <c r="HL226" s="1339"/>
      <c r="HM226" s="1339"/>
      <c r="HN226" s="1339"/>
      <c r="HO226" s="1339"/>
      <c r="HP226" s="1339"/>
      <c r="HQ226" s="1339"/>
      <c r="HR226" s="1339"/>
      <c r="HS226" s="1339"/>
      <c r="HT226" s="1339"/>
      <c r="HU226" s="1339"/>
      <c r="HV226" s="1339"/>
      <c r="HW226" s="1339"/>
      <c r="HX226" s="1339"/>
      <c r="HY226" s="1339"/>
      <c r="HZ226" s="1339"/>
      <c r="IA226" s="1339"/>
      <c r="IB226" s="1339"/>
      <c r="IC226" s="1339"/>
      <c r="ID226" s="1339"/>
      <c r="IE226" s="1339"/>
      <c r="IF226" s="1339"/>
      <c r="IG226" s="1339"/>
      <c r="IH226" s="1339"/>
      <c r="II226" s="1339"/>
      <c r="IJ226" s="1339"/>
      <c r="IK226" s="1339"/>
      <c r="IL226" s="1339"/>
      <c r="IM226" s="1339"/>
      <c r="IN226" s="1339"/>
      <c r="IO226" s="1339"/>
      <c r="IP226" s="1339"/>
      <c r="IQ226" s="1339"/>
      <c r="IR226" s="1339"/>
      <c r="IS226" s="1339"/>
      <c r="IT226" s="1339"/>
      <c r="IU226" s="1339"/>
      <c r="IV226" s="1339"/>
      <c r="IW226" s="1339"/>
      <c r="IX226" s="1339"/>
      <c r="IY226" s="1339"/>
      <c r="IZ226" s="1339"/>
    </row>
    <row r="227" spans="1:260" s="1513" customFormat="1" ht="12" customHeight="1" thickTop="1">
      <c r="A227" s="1511"/>
      <c r="B227" s="1348"/>
      <c r="C227" s="1339"/>
      <c r="D227" s="1474"/>
      <c r="I227" s="1514"/>
      <c r="J227" s="1514"/>
      <c r="K227" s="1514"/>
      <c r="L227" s="1514"/>
      <c r="M227" s="1514"/>
      <c r="N227" s="1514"/>
      <c r="O227" s="1474"/>
      <c r="P227" s="1739"/>
      <c r="Q227" s="1740"/>
      <c r="R227" s="1739"/>
      <c r="S227" s="1740"/>
      <c r="T227" s="1741"/>
      <c r="U227" s="1742"/>
      <c r="V227" s="1741"/>
      <c r="W227" s="1742"/>
      <c r="X227" s="1739"/>
      <c r="Y227" s="1740"/>
      <c r="Z227" s="1743"/>
      <c r="AA227" s="1740"/>
      <c r="AB227" s="1744"/>
      <c r="AC227" s="1745"/>
      <c r="AD227" s="1744"/>
      <c r="AE227" s="1745"/>
      <c r="AF227" s="1746"/>
      <c r="AG227" s="1746"/>
      <c r="AH227" s="1747"/>
      <c r="AI227" s="1746"/>
      <c r="AU227" s="1533"/>
      <c r="BO227" s="1513" t="s">
        <v>54</v>
      </c>
      <c r="CO227" s="1474" t="s">
        <v>205</v>
      </c>
      <c r="CP227" s="1474"/>
      <c r="EJ227" s="1474"/>
      <c r="ET227" s="1748"/>
      <c r="EU227" s="1441"/>
      <c r="FF227" s="1514"/>
      <c r="FG227" s="1514"/>
      <c r="FH227" s="1514"/>
      <c r="FI227" s="1514"/>
      <c r="FJ227" s="1514"/>
      <c r="FK227" s="1514"/>
      <c r="FL227" s="1441">
        <f t="shared" si="3306"/>
        <v>0</v>
      </c>
      <c r="FM227" s="1474"/>
      <c r="FN227" s="1474"/>
      <c r="FO227" s="1474"/>
      <c r="FP227" s="1474"/>
      <c r="FQ227" s="1474"/>
      <c r="FR227" s="1474"/>
      <c r="FS227" s="1474"/>
      <c r="FT227" s="1474"/>
      <c r="FU227" s="1474"/>
      <c r="FV227" s="1474"/>
      <c r="FW227" s="1474"/>
      <c r="FX227" s="1474"/>
      <c r="FY227" s="1474"/>
      <c r="FZ227" s="1474"/>
      <c r="GA227" s="1474"/>
      <c r="GB227" s="1474"/>
      <c r="GC227" s="1474"/>
      <c r="GD227" s="1474"/>
      <c r="GE227" s="1474"/>
      <c r="GF227" s="1474"/>
      <c r="GG227" s="1474"/>
      <c r="GH227" s="1474"/>
      <c r="GI227" s="1474"/>
      <c r="GJ227" s="1474"/>
      <c r="GK227" s="1474"/>
      <c r="GL227" s="1474"/>
      <c r="GM227" s="1474"/>
      <c r="GN227" s="1474"/>
      <c r="GO227" s="1474"/>
      <c r="GP227" s="1474"/>
      <c r="GQ227" s="1474"/>
      <c r="GR227" s="1474"/>
      <c r="GS227" s="1474"/>
      <c r="GT227" s="1474"/>
      <c r="GU227" s="1474"/>
      <c r="GV227" s="1474"/>
      <c r="GW227" s="1474"/>
      <c r="GX227" s="1474"/>
      <c r="GY227" s="1474"/>
      <c r="GZ227" s="1474"/>
      <c r="HA227" s="1474"/>
      <c r="HB227" s="1474"/>
      <c r="HC227" s="1474"/>
      <c r="HD227" s="1474"/>
      <c r="HE227" s="1474"/>
      <c r="HF227" s="1474"/>
      <c r="HG227" s="1474"/>
      <c r="HH227" s="1474"/>
      <c r="HI227" s="1474"/>
      <c r="HJ227" s="1474"/>
      <c r="HK227" s="1474"/>
      <c r="HL227" s="1474"/>
      <c r="HM227" s="1474"/>
      <c r="HN227" s="1474"/>
      <c r="HO227" s="1474"/>
      <c r="HP227" s="1474"/>
      <c r="HQ227" s="1474"/>
      <c r="HR227" s="1474"/>
      <c r="HS227" s="1474"/>
      <c r="HT227" s="1474"/>
      <c r="HU227" s="1474"/>
      <c r="HV227" s="1474"/>
      <c r="HW227" s="1474"/>
      <c r="HX227" s="1474"/>
      <c r="HY227" s="1474"/>
      <c r="HZ227" s="1474"/>
      <c r="IA227" s="1474"/>
      <c r="IB227" s="1474"/>
      <c r="IC227" s="1474"/>
      <c r="ID227" s="1474"/>
      <c r="IE227" s="1474"/>
      <c r="IF227" s="1474"/>
      <c r="IG227" s="1474"/>
      <c r="IH227" s="1474"/>
      <c r="II227" s="1474"/>
      <c r="IJ227" s="1474"/>
      <c r="IK227" s="1474"/>
      <c r="IL227" s="1474"/>
      <c r="IM227" s="1474"/>
      <c r="IN227" s="1474"/>
      <c r="IO227" s="1474"/>
      <c r="IP227" s="1474"/>
      <c r="IQ227" s="1474"/>
      <c r="IR227" s="1474"/>
      <c r="IS227" s="1474"/>
      <c r="IT227" s="1474"/>
      <c r="IU227" s="1474"/>
      <c r="IV227" s="1474"/>
      <c r="IW227" s="1474"/>
      <c r="IX227" s="1474"/>
      <c r="IY227" s="1474"/>
      <c r="IZ227" s="1474"/>
    </row>
    <row r="228" spans="1:260" s="1474" customFormat="1" ht="12" customHeight="1" thickBot="1">
      <c r="A228" s="1403"/>
      <c r="B228" s="1348"/>
      <c r="C228" s="1339" t="s">
        <v>403</v>
      </c>
      <c r="E228" s="1749">
        <f>+E216+E221+E226</f>
        <v>41162.94000000001</v>
      </c>
      <c r="F228" s="1749">
        <f>+F216+F221+F226</f>
        <v>3700</v>
      </c>
      <c r="G228" s="1749">
        <f>+G216+G221+G226</f>
        <v>44862.94</v>
      </c>
      <c r="H228" s="1513"/>
      <c r="I228" s="1514"/>
      <c r="J228" s="1514"/>
      <c r="K228" s="1514"/>
      <c r="L228" s="1514"/>
      <c r="M228" s="1514"/>
      <c r="N228" s="1514"/>
      <c r="P228" s="1749">
        <f t="shared" ref="P228:AT228" si="3612">+P216+P221+P226</f>
        <v>4</v>
      </c>
      <c r="Q228" s="1749">
        <f t="shared" si="3612"/>
        <v>79.159500000000008</v>
      </c>
      <c r="R228" s="1749">
        <f t="shared" si="3612"/>
        <v>12</v>
      </c>
      <c r="S228" s="1749">
        <f t="shared" si="3612"/>
        <v>316.63800000000003</v>
      </c>
      <c r="T228" s="1749">
        <f t="shared" si="3612"/>
        <v>0</v>
      </c>
      <c r="U228" s="1749">
        <f t="shared" si="3612"/>
        <v>0</v>
      </c>
      <c r="V228" s="1749">
        <f t="shared" si="3612"/>
        <v>0</v>
      </c>
      <c r="W228" s="1749">
        <f t="shared" si="3612"/>
        <v>0</v>
      </c>
      <c r="X228" s="1749">
        <f t="shared" si="3612"/>
        <v>124</v>
      </c>
      <c r="Y228" s="1749">
        <f t="shared" si="3612"/>
        <v>2453.9445000000005</v>
      </c>
      <c r="Z228" s="1749">
        <f t="shared" si="3612"/>
        <v>0</v>
      </c>
      <c r="AA228" s="1749">
        <f t="shared" si="3612"/>
        <v>0</v>
      </c>
      <c r="AB228" s="1749">
        <f t="shared" si="3612"/>
        <v>0</v>
      </c>
      <c r="AC228" s="1749">
        <f t="shared" si="3612"/>
        <v>0</v>
      </c>
      <c r="AD228" s="1749">
        <f t="shared" si="3612"/>
        <v>0</v>
      </c>
      <c r="AE228" s="1749">
        <f t="shared" si="3612"/>
        <v>0</v>
      </c>
      <c r="AF228" s="1749">
        <f t="shared" si="3612"/>
        <v>0</v>
      </c>
      <c r="AG228" s="1749">
        <f t="shared" si="3612"/>
        <v>0</v>
      </c>
      <c r="AH228" s="1749">
        <f t="shared" si="3612"/>
        <v>0</v>
      </c>
      <c r="AI228" s="1749">
        <f t="shared" si="3612"/>
        <v>0</v>
      </c>
      <c r="AJ228" s="1749">
        <f t="shared" si="3612"/>
        <v>0</v>
      </c>
      <c r="AK228" s="1749">
        <f t="shared" si="3612"/>
        <v>0</v>
      </c>
      <c r="AL228" s="1749">
        <f t="shared" si="3612"/>
        <v>0</v>
      </c>
      <c r="AM228" s="1749">
        <f t="shared" si="3612"/>
        <v>0</v>
      </c>
      <c r="AN228" s="1749">
        <f t="shared" si="3612"/>
        <v>0</v>
      </c>
      <c r="AO228" s="1749">
        <f t="shared" si="3612"/>
        <v>0</v>
      </c>
      <c r="AP228" s="1749">
        <f t="shared" si="3612"/>
        <v>0</v>
      </c>
      <c r="AQ228" s="1749">
        <f t="shared" si="3612"/>
        <v>0</v>
      </c>
      <c r="AR228" s="1749">
        <f t="shared" si="3612"/>
        <v>0</v>
      </c>
      <c r="AS228" s="1749">
        <f t="shared" si="3612"/>
        <v>0</v>
      </c>
      <c r="AT228" s="1749">
        <f t="shared" si="3612"/>
        <v>0</v>
      </c>
      <c r="AU228" s="1749" t="s">
        <v>54</v>
      </c>
      <c r="AV228" s="1749">
        <f t="shared" ref="AV228:CN228" si="3613">+AV216+AV221+AV226</f>
        <v>0</v>
      </c>
      <c r="AW228" s="1749">
        <f t="shared" si="3613"/>
        <v>1575</v>
      </c>
      <c r="AX228" s="1749">
        <f t="shared" si="3613"/>
        <v>4</v>
      </c>
      <c r="AY228" s="1749">
        <f t="shared" si="3613"/>
        <v>79.159500000000008</v>
      </c>
      <c r="AZ228" s="1749">
        <f t="shared" si="3613"/>
        <v>12</v>
      </c>
      <c r="BA228" s="1749">
        <f t="shared" si="3613"/>
        <v>316.63800000000003</v>
      </c>
      <c r="BB228" s="1749">
        <f t="shared" si="3613"/>
        <v>0</v>
      </c>
      <c r="BC228" s="1749">
        <f t="shared" si="3613"/>
        <v>50.147543250000005</v>
      </c>
      <c r="BD228" s="1749">
        <f t="shared" si="3613"/>
        <v>2020.9450432499998</v>
      </c>
      <c r="BE228" s="1749">
        <f t="shared" si="3613"/>
        <v>6332.76</v>
      </c>
      <c r="BF228" s="1749">
        <f t="shared" si="3613"/>
        <v>6749.97</v>
      </c>
      <c r="BG228" s="1749">
        <f t="shared" si="3613"/>
        <v>0</v>
      </c>
      <c r="BH228" s="1749">
        <f t="shared" si="3613"/>
        <v>0</v>
      </c>
      <c r="BI228" s="1749">
        <f t="shared" si="3613"/>
        <v>0</v>
      </c>
      <c r="BJ228" s="1749">
        <f t="shared" si="3613"/>
        <v>0</v>
      </c>
      <c r="BK228" s="1749">
        <f t="shared" si="3613"/>
        <v>0</v>
      </c>
      <c r="BL228" s="1749">
        <f t="shared" si="3613"/>
        <v>802.36069200000009</v>
      </c>
      <c r="BM228" s="1749">
        <f t="shared" si="3613"/>
        <v>13885.090691999998</v>
      </c>
      <c r="BN228" s="1749">
        <f t="shared" si="3613"/>
        <v>30397.248000000007</v>
      </c>
      <c r="BO228" s="1749">
        <f t="shared" si="3613"/>
        <v>8000</v>
      </c>
      <c r="BP228" s="1749">
        <f t="shared" si="3613"/>
        <v>124</v>
      </c>
      <c r="BQ228" s="1749">
        <f t="shared" si="3613"/>
        <v>2453.9445000000005</v>
      </c>
      <c r="BR228" s="1749">
        <f t="shared" si="3613"/>
        <v>0</v>
      </c>
      <c r="BS228" s="1749">
        <f t="shared" si="3613"/>
        <v>0</v>
      </c>
      <c r="BT228" s="1749">
        <f t="shared" si="3613"/>
        <v>0</v>
      </c>
      <c r="BU228" s="1749">
        <f t="shared" si="3613"/>
        <v>4162.2460897500005</v>
      </c>
      <c r="BV228" s="1749">
        <f t="shared" si="3613"/>
        <v>45013.438589750003</v>
      </c>
      <c r="BW228" s="1749">
        <f t="shared" si="3613"/>
        <v>0</v>
      </c>
      <c r="BX228" s="1749">
        <f t="shared" si="3613"/>
        <v>0</v>
      </c>
      <c r="BY228" s="1749">
        <f t="shared" si="3613"/>
        <v>0</v>
      </c>
      <c r="BZ228" s="1749">
        <f t="shared" si="3613"/>
        <v>0</v>
      </c>
      <c r="CA228" s="1749">
        <f t="shared" si="3613"/>
        <v>0</v>
      </c>
      <c r="CB228" s="1749">
        <f t="shared" si="3613"/>
        <v>0</v>
      </c>
      <c r="CC228" s="1749">
        <f t="shared" si="3613"/>
        <v>0</v>
      </c>
      <c r="CD228" s="1749">
        <f t="shared" si="3613"/>
        <v>0</v>
      </c>
      <c r="CE228" s="1749">
        <f t="shared" si="3613"/>
        <v>0</v>
      </c>
      <c r="CF228" s="1749">
        <f t="shared" si="3613"/>
        <v>0</v>
      </c>
      <c r="CG228" s="1749">
        <f t="shared" si="3613"/>
        <v>0</v>
      </c>
      <c r="CH228" s="1749">
        <f t="shared" si="3613"/>
        <v>0</v>
      </c>
      <c r="CI228" s="1749">
        <f t="shared" si="3613"/>
        <v>0</v>
      </c>
      <c r="CJ228" s="1749">
        <f t="shared" si="3613"/>
        <v>0</v>
      </c>
      <c r="CK228" s="1749">
        <f t="shared" si="3613"/>
        <v>0</v>
      </c>
      <c r="CL228" s="1749">
        <f t="shared" si="3613"/>
        <v>0</v>
      </c>
      <c r="CM228" s="1749">
        <f t="shared" si="3613"/>
        <v>0</v>
      </c>
      <c r="CN228" s="1749">
        <f t="shared" si="3613"/>
        <v>0</v>
      </c>
      <c r="CO228" s="1750" t="s">
        <v>54</v>
      </c>
      <c r="CP228" s="1749"/>
      <c r="CQ228" s="1749">
        <f t="shared" ref="CQ228:EI228" si="3614">+CQ216+CQ221+CQ226</f>
        <v>0</v>
      </c>
      <c r="CR228" s="1749">
        <f t="shared" si="3614"/>
        <v>0</v>
      </c>
      <c r="CS228" s="1749">
        <f t="shared" si="3614"/>
        <v>0</v>
      </c>
      <c r="CT228" s="1749">
        <f t="shared" si="3614"/>
        <v>0</v>
      </c>
      <c r="CU228" s="1749">
        <f t="shared" si="3614"/>
        <v>0</v>
      </c>
      <c r="CV228" s="1749">
        <f t="shared" si="3614"/>
        <v>0</v>
      </c>
      <c r="CW228" s="1749">
        <f t="shared" si="3614"/>
        <v>0</v>
      </c>
      <c r="CX228" s="1749">
        <f t="shared" si="3614"/>
        <v>0</v>
      </c>
      <c r="CY228" s="1749">
        <f t="shared" si="3614"/>
        <v>0</v>
      </c>
      <c r="CZ228" s="1749">
        <f t="shared" si="3614"/>
        <v>6332.76</v>
      </c>
      <c r="DA228" s="1749">
        <f t="shared" si="3614"/>
        <v>6749.97</v>
      </c>
      <c r="DB228" s="1749">
        <f t="shared" si="3614"/>
        <v>0</v>
      </c>
      <c r="DC228" s="1749">
        <f t="shared" si="3614"/>
        <v>0</v>
      </c>
      <c r="DD228" s="1749">
        <f t="shared" si="3614"/>
        <v>0</v>
      </c>
      <c r="DE228" s="1749">
        <f t="shared" si="3614"/>
        <v>0</v>
      </c>
      <c r="DF228" s="1749">
        <f t="shared" si="3614"/>
        <v>0</v>
      </c>
      <c r="DG228" s="1749">
        <f t="shared" si="3614"/>
        <v>802.36069200000009</v>
      </c>
      <c r="DH228" s="1749">
        <f t="shared" si="3614"/>
        <v>13885.090691999998</v>
      </c>
      <c r="DI228" s="1749">
        <f t="shared" si="3614"/>
        <v>30397.248000000007</v>
      </c>
      <c r="DJ228" s="1749">
        <f t="shared" si="3614"/>
        <v>9575</v>
      </c>
      <c r="DK228" s="1749">
        <f t="shared" si="3614"/>
        <v>128</v>
      </c>
      <c r="DL228" s="1749">
        <f t="shared" si="3614"/>
        <v>2533.1040000000003</v>
      </c>
      <c r="DM228" s="1749">
        <f t="shared" si="3614"/>
        <v>12</v>
      </c>
      <c r="DN228" s="1749">
        <f t="shared" si="3614"/>
        <v>316.63800000000003</v>
      </c>
      <c r="DO228" s="1749">
        <f t="shared" si="3614"/>
        <v>0</v>
      </c>
      <c r="DP228" s="1749">
        <f t="shared" si="3614"/>
        <v>4212.3936330000006</v>
      </c>
      <c r="DQ228" s="1749">
        <f t="shared" si="3614"/>
        <v>47034.383633000005</v>
      </c>
      <c r="DR228" s="1749">
        <f t="shared" si="3614"/>
        <v>0</v>
      </c>
      <c r="DS228" s="1749">
        <f t="shared" si="3614"/>
        <v>0</v>
      </c>
      <c r="DT228" s="1749">
        <f t="shared" si="3614"/>
        <v>0</v>
      </c>
      <c r="DU228" s="1749">
        <f t="shared" si="3614"/>
        <v>0</v>
      </c>
      <c r="DV228" s="1749">
        <f t="shared" si="3614"/>
        <v>0</v>
      </c>
      <c r="DW228" s="1749">
        <f t="shared" si="3614"/>
        <v>0</v>
      </c>
      <c r="DX228" s="1749">
        <f t="shared" si="3614"/>
        <v>0</v>
      </c>
      <c r="DY228" s="1749">
        <f t="shared" si="3614"/>
        <v>0</v>
      </c>
      <c r="DZ228" s="1749">
        <f t="shared" si="3614"/>
        <v>0</v>
      </c>
      <c r="EA228" s="1749">
        <f t="shared" si="3614"/>
        <v>0</v>
      </c>
      <c r="EB228" s="1749">
        <f t="shared" si="3614"/>
        <v>0</v>
      </c>
      <c r="EC228" s="1749">
        <f t="shared" si="3614"/>
        <v>0</v>
      </c>
      <c r="ED228" s="1749">
        <f t="shared" si="3614"/>
        <v>0</v>
      </c>
      <c r="EE228" s="1749">
        <f t="shared" si="3614"/>
        <v>0</v>
      </c>
      <c r="EF228" s="1749">
        <f t="shared" si="3614"/>
        <v>0</v>
      </c>
      <c r="EG228" s="1749">
        <f t="shared" si="3614"/>
        <v>0</v>
      </c>
      <c r="EH228" s="1749">
        <f t="shared" si="3614"/>
        <v>0</v>
      </c>
      <c r="EI228" s="1749">
        <f t="shared" si="3614"/>
        <v>0</v>
      </c>
      <c r="EJ228" s="1750"/>
      <c r="EK228" s="1751">
        <f t="shared" ref="EK228:ET228" si="3615">+EK216+EK221+EK226</f>
        <v>962.8900000000001</v>
      </c>
      <c r="EL228" s="1751">
        <f t="shared" si="3615"/>
        <v>4367.37</v>
      </c>
      <c r="EM228" s="1751">
        <f t="shared" si="3615"/>
        <v>0</v>
      </c>
      <c r="EN228" s="1751">
        <f t="shared" si="3615"/>
        <v>3161.75</v>
      </c>
      <c r="EO228" s="1751">
        <f t="shared" si="3615"/>
        <v>0</v>
      </c>
      <c r="EP228" s="1751">
        <f t="shared" si="3615"/>
        <v>790</v>
      </c>
      <c r="EQ228" s="1751">
        <f t="shared" si="3615"/>
        <v>327.02</v>
      </c>
      <c r="ER228" s="1751">
        <f t="shared" si="3615"/>
        <v>0</v>
      </c>
      <c r="ES228" s="1751">
        <f t="shared" si="3615"/>
        <v>0</v>
      </c>
      <c r="ET228" s="1751">
        <f t="shared" si="3615"/>
        <v>1117.02</v>
      </c>
      <c r="EU228" s="1441"/>
      <c r="EV228" s="1749">
        <f t="shared" ref="EV228:FE228" si="3616">+EV216+EV221+EV226</f>
        <v>962.8900000000001</v>
      </c>
      <c r="EW228" s="1749">
        <f t="shared" si="3616"/>
        <v>4367.37</v>
      </c>
      <c r="EX228" s="1749">
        <f t="shared" si="3616"/>
        <v>0</v>
      </c>
      <c r="EY228" s="1749">
        <f t="shared" si="3616"/>
        <v>3161.75</v>
      </c>
      <c r="EZ228" s="1749">
        <f t="shared" si="3616"/>
        <v>0</v>
      </c>
      <c r="FA228" s="1749">
        <f t="shared" si="3616"/>
        <v>790</v>
      </c>
      <c r="FB228" s="1749">
        <f t="shared" si="3616"/>
        <v>327.02</v>
      </c>
      <c r="FC228" s="1749">
        <f t="shared" si="3616"/>
        <v>0</v>
      </c>
      <c r="FD228" s="1749">
        <f t="shared" si="3616"/>
        <v>0</v>
      </c>
      <c r="FE228" s="1749">
        <f t="shared" si="3616"/>
        <v>1117.02</v>
      </c>
      <c r="FF228" s="1514"/>
      <c r="FG228" s="1514"/>
      <c r="FH228" s="1514"/>
      <c r="FI228" s="1514"/>
      <c r="FJ228" s="1514"/>
      <c r="FK228" s="1514"/>
      <c r="FL228" s="1441">
        <f t="shared" si="3306"/>
        <v>0</v>
      </c>
    </row>
    <row r="229" spans="1:260" s="1513" customFormat="1" ht="12" customHeight="1" thickTop="1">
      <c r="A229" s="1511"/>
      <c r="B229" s="1348"/>
      <c r="C229" s="1339"/>
      <c r="D229" s="1474"/>
      <c r="I229" s="1514"/>
      <c r="J229" s="1514"/>
      <c r="K229" s="1514"/>
      <c r="L229" s="1514"/>
      <c r="M229" s="1514"/>
      <c r="N229" s="1514"/>
      <c r="O229" s="1474"/>
      <c r="P229" s="1515"/>
      <c r="R229" s="1515"/>
      <c r="T229" s="1515"/>
      <c r="V229" s="1515"/>
      <c r="X229" s="1515"/>
      <c r="Z229" s="1516"/>
      <c r="AB229" s="1516"/>
      <c r="AD229" s="1516"/>
      <c r="AH229" s="1516"/>
      <c r="AU229" s="1533"/>
      <c r="CO229" s="1474"/>
      <c r="CP229" s="1474"/>
      <c r="EJ229" s="1474"/>
      <c r="EU229" s="1441"/>
      <c r="FF229" s="1514"/>
      <c r="FG229" s="1514"/>
      <c r="FH229" s="1514"/>
      <c r="FI229" s="1514"/>
      <c r="FJ229" s="1514"/>
      <c r="FK229" s="1514"/>
      <c r="FL229" s="1441">
        <f t="shared" si="3306"/>
        <v>0</v>
      </c>
      <c r="FM229" s="1474"/>
      <c r="FN229" s="1474"/>
      <c r="FO229" s="1474"/>
      <c r="FP229" s="1474"/>
      <c r="FQ229" s="1474"/>
      <c r="FR229" s="1474"/>
      <c r="FS229" s="1474"/>
      <c r="FT229" s="1474"/>
      <c r="FU229" s="1474"/>
      <c r="FV229" s="1474"/>
      <c r="FW229" s="1474"/>
      <c r="FX229" s="1474"/>
      <c r="FY229" s="1474"/>
      <c r="FZ229" s="1474"/>
      <c r="GA229" s="1474"/>
      <c r="GB229" s="1474"/>
      <c r="GC229" s="1474"/>
      <c r="GD229" s="1474"/>
      <c r="GE229" s="1474"/>
      <c r="GF229" s="1474"/>
      <c r="GG229" s="1474"/>
      <c r="GH229" s="1474"/>
      <c r="GI229" s="1474"/>
      <c r="GJ229" s="1474"/>
      <c r="GK229" s="1474"/>
      <c r="GL229" s="1474"/>
      <c r="GM229" s="1474"/>
      <c r="GN229" s="1474"/>
      <c r="GO229" s="1474"/>
      <c r="GP229" s="1474"/>
      <c r="GQ229" s="1474"/>
      <c r="GR229" s="1474"/>
      <c r="GS229" s="1474"/>
      <c r="GT229" s="1474"/>
      <c r="GU229" s="1474"/>
      <c r="GV229" s="1474"/>
      <c r="GW229" s="1474"/>
      <c r="GX229" s="1474"/>
      <c r="GY229" s="1474"/>
      <c r="GZ229" s="1474"/>
      <c r="HA229" s="1474"/>
      <c r="HB229" s="1474"/>
      <c r="HC229" s="1474"/>
      <c r="HD229" s="1474"/>
      <c r="HE229" s="1474"/>
      <c r="HF229" s="1474"/>
      <c r="HG229" s="1474"/>
      <c r="HH229" s="1474"/>
      <c r="HI229" s="1474"/>
      <c r="HJ229" s="1474"/>
      <c r="HK229" s="1474"/>
      <c r="HL229" s="1474"/>
      <c r="HM229" s="1474"/>
      <c r="HN229" s="1474"/>
      <c r="HO229" s="1474"/>
      <c r="HP229" s="1474"/>
      <c r="HQ229" s="1474"/>
      <c r="HR229" s="1474"/>
      <c r="HS229" s="1474"/>
      <c r="HT229" s="1474"/>
      <c r="HU229" s="1474"/>
      <c r="HV229" s="1474"/>
      <c r="HW229" s="1474"/>
      <c r="HX229" s="1474"/>
      <c r="HY229" s="1474"/>
      <c r="HZ229" s="1474"/>
      <c r="IA229" s="1474"/>
      <c r="IB229" s="1474"/>
      <c r="IC229" s="1474"/>
      <c r="ID229" s="1474"/>
      <c r="IE229" s="1474"/>
      <c r="IF229" s="1474"/>
      <c r="IG229" s="1474"/>
      <c r="IH229" s="1474"/>
      <c r="II229" s="1474"/>
      <c r="IJ229" s="1474"/>
      <c r="IK229" s="1474"/>
      <c r="IL229" s="1474"/>
      <c r="IM229" s="1474"/>
      <c r="IN229" s="1474"/>
      <c r="IO229" s="1474"/>
      <c r="IP229" s="1474"/>
      <c r="IQ229" s="1474"/>
      <c r="IR229" s="1474"/>
      <c r="IS229" s="1474"/>
      <c r="IT229" s="1474"/>
      <c r="IU229" s="1474"/>
      <c r="IV229" s="1474"/>
      <c r="IW229" s="1474"/>
      <c r="IX229" s="1474"/>
      <c r="IY229" s="1474"/>
      <c r="IZ229" s="1474"/>
    </row>
    <row r="230" spans="1:260" s="1474" customFormat="1" ht="12" customHeight="1" thickBot="1">
      <c r="A230" s="1403"/>
      <c r="B230" s="1348"/>
      <c r="C230" s="1403" t="s">
        <v>140</v>
      </c>
      <c r="E230" s="1749">
        <f>E228+E201+E150+E72</f>
        <v>615969.89000000013</v>
      </c>
      <c r="F230" s="1749">
        <f>F228+F201+F150+F72</f>
        <v>293001.36</v>
      </c>
      <c r="G230" s="1749">
        <f>G228+G201+G150+G72</f>
        <v>908556.9700000002</v>
      </c>
      <c r="H230" s="1513"/>
      <c r="I230" s="1514"/>
      <c r="J230" s="1514"/>
      <c r="K230" s="1514"/>
      <c r="L230" s="1514"/>
      <c r="M230" s="1514"/>
      <c r="N230" s="1514"/>
      <c r="P230" s="1749">
        <f t="shared" ref="P230:AT230" si="3617">P228+P201+P150+P72</f>
        <v>117.5</v>
      </c>
      <c r="Q230" s="1749">
        <f t="shared" si="3617"/>
        <v>2325.3103125000002</v>
      </c>
      <c r="R230" s="1749">
        <f t="shared" si="3617"/>
        <v>12</v>
      </c>
      <c r="S230" s="1749">
        <f t="shared" si="3617"/>
        <v>316.63800000000003</v>
      </c>
      <c r="T230" s="1749">
        <f t="shared" si="3617"/>
        <v>305</v>
      </c>
      <c r="U230" s="1749">
        <f t="shared" si="3617"/>
        <v>6174.1686874999996</v>
      </c>
      <c r="V230" s="1749">
        <f t="shared" si="3617"/>
        <v>0</v>
      </c>
      <c r="W230" s="1749">
        <f t="shared" si="3617"/>
        <v>0</v>
      </c>
      <c r="X230" s="1749">
        <f t="shared" si="3617"/>
        <v>124</v>
      </c>
      <c r="Y230" s="1749">
        <f t="shared" si="3617"/>
        <v>2453.9445000000005</v>
      </c>
      <c r="Z230" s="1749">
        <f t="shared" si="3617"/>
        <v>0</v>
      </c>
      <c r="AA230" s="1749">
        <f t="shared" si="3617"/>
        <v>0</v>
      </c>
      <c r="AB230" s="1749">
        <f t="shared" si="3617"/>
        <v>0</v>
      </c>
      <c r="AC230" s="1749">
        <f t="shared" si="3617"/>
        <v>0</v>
      </c>
      <c r="AD230" s="1749">
        <f t="shared" si="3617"/>
        <v>0</v>
      </c>
      <c r="AE230" s="1749">
        <f t="shared" si="3617"/>
        <v>0</v>
      </c>
      <c r="AF230" s="1749">
        <f t="shared" si="3617"/>
        <v>0</v>
      </c>
      <c r="AG230" s="1749">
        <f t="shared" si="3617"/>
        <v>0</v>
      </c>
      <c r="AH230" s="1749">
        <f t="shared" si="3617"/>
        <v>0</v>
      </c>
      <c r="AI230" s="1749">
        <f t="shared" si="3617"/>
        <v>0</v>
      </c>
      <c r="AJ230" s="1749">
        <f t="shared" si="3617"/>
        <v>0</v>
      </c>
      <c r="AK230" s="1749">
        <f t="shared" si="3617"/>
        <v>0</v>
      </c>
      <c r="AL230" s="1749">
        <f t="shared" si="3617"/>
        <v>0</v>
      </c>
      <c r="AM230" s="1749">
        <f t="shared" si="3617"/>
        <v>0</v>
      </c>
      <c r="AN230" s="1749">
        <f t="shared" si="3617"/>
        <v>0</v>
      </c>
      <c r="AO230" s="1749">
        <f t="shared" si="3617"/>
        <v>0</v>
      </c>
      <c r="AP230" s="1749">
        <f t="shared" si="3617"/>
        <v>0</v>
      </c>
      <c r="AQ230" s="1749">
        <f t="shared" si="3617"/>
        <v>0</v>
      </c>
      <c r="AR230" s="1749">
        <f t="shared" si="3617"/>
        <v>0</v>
      </c>
      <c r="AS230" s="1749">
        <f t="shared" si="3617"/>
        <v>0</v>
      </c>
      <c r="AT230" s="1749" t="e">
        <f t="shared" si="3617"/>
        <v>#REF!</v>
      </c>
      <c r="AU230" s="1749" t="s">
        <v>54</v>
      </c>
      <c r="AV230" s="1749">
        <f t="shared" ref="AV230:CN230" si="3618">AV228+AV201+AV150+AV72</f>
        <v>316310.99153333332</v>
      </c>
      <c r="AW230" s="1749">
        <f t="shared" si="3618"/>
        <v>336502.74300000002</v>
      </c>
      <c r="AX230" s="1749">
        <f t="shared" si="3618"/>
        <v>117.5</v>
      </c>
      <c r="AY230" s="1749">
        <f t="shared" si="3618"/>
        <v>2325.3103125000002</v>
      </c>
      <c r="AZ230" s="1749">
        <f t="shared" si="3618"/>
        <v>12</v>
      </c>
      <c r="BA230" s="1749">
        <f t="shared" si="3618"/>
        <v>316.63800000000003</v>
      </c>
      <c r="BB230" s="1749">
        <f t="shared" si="3618"/>
        <v>0</v>
      </c>
      <c r="BC230" s="1749">
        <f t="shared" si="3618"/>
        <v>40411.337478467089</v>
      </c>
      <c r="BD230" s="1749">
        <f t="shared" si="3618"/>
        <v>695867.02032430051</v>
      </c>
      <c r="BE230" s="1749">
        <f t="shared" si="3618"/>
        <v>232955.00380000001</v>
      </c>
      <c r="BF230" s="1749">
        <f t="shared" si="3618"/>
        <v>124872.535</v>
      </c>
      <c r="BG230" s="1749">
        <f t="shared" si="3618"/>
        <v>305</v>
      </c>
      <c r="BH230" s="1749">
        <f t="shared" si="3618"/>
        <v>6174.1686874999996</v>
      </c>
      <c r="BI230" s="1749">
        <f t="shared" si="3618"/>
        <v>0</v>
      </c>
      <c r="BJ230" s="1749">
        <f t="shared" si="3618"/>
        <v>0</v>
      </c>
      <c r="BK230" s="1749">
        <f t="shared" si="3618"/>
        <v>0</v>
      </c>
      <c r="BL230" s="1749">
        <f t="shared" si="3618"/>
        <v>27351.891154166253</v>
      </c>
      <c r="BM230" s="1749">
        <f t="shared" si="3618"/>
        <v>391353.59864166623</v>
      </c>
      <c r="BN230" s="1749">
        <f t="shared" si="3618"/>
        <v>32472.248000000007</v>
      </c>
      <c r="BO230" s="1749">
        <f t="shared" si="3618"/>
        <v>10100</v>
      </c>
      <c r="BP230" s="1749">
        <f t="shared" si="3618"/>
        <v>124</v>
      </c>
      <c r="BQ230" s="1749">
        <f t="shared" si="3618"/>
        <v>2453.9445000000005</v>
      </c>
      <c r="BR230" s="1749">
        <f t="shared" si="3618"/>
        <v>0</v>
      </c>
      <c r="BS230" s="1749">
        <f t="shared" si="3618"/>
        <v>0</v>
      </c>
      <c r="BT230" s="1749">
        <f t="shared" si="3618"/>
        <v>0</v>
      </c>
      <c r="BU230" s="1749">
        <f t="shared" si="3618"/>
        <v>4425.1485897500006</v>
      </c>
      <c r="BV230" s="1749">
        <f t="shared" si="3618"/>
        <v>49451.34108975</v>
      </c>
      <c r="BW230" s="1749">
        <f t="shared" si="3618"/>
        <v>17025.206666666665</v>
      </c>
      <c r="BX230" s="1749">
        <f t="shared" si="3618"/>
        <v>8244.3833333333332</v>
      </c>
      <c r="BY230" s="1749">
        <f t="shared" si="3618"/>
        <v>0</v>
      </c>
      <c r="BZ230" s="1749">
        <f t="shared" si="3618"/>
        <v>0</v>
      </c>
      <c r="CA230" s="1749">
        <f t="shared" si="3618"/>
        <v>0</v>
      </c>
      <c r="CB230" s="1749">
        <f t="shared" si="3618"/>
        <v>0</v>
      </c>
      <c r="CC230" s="1749">
        <f t="shared" si="3618"/>
        <v>0</v>
      </c>
      <c r="CD230" s="1749">
        <f t="shared" si="3618"/>
        <v>2157.0936846666668</v>
      </c>
      <c r="CE230" s="1749">
        <f t="shared" si="3618"/>
        <v>27426.683684666667</v>
      </c>
      <c r="CF230" s="1749">
        <f t="shared" si="3618"/>
        <v>0</v>
      </c>
      <c r="CG230" s="1749">
        <f t="shared" si="3618"/>
        <v>0</v>
      </c>
      <c r="CH230" s="1749">
        <f t="shared" si="3618"/>
        <v>0</v>
      </c>
      <c r="CI230" s="1749">
        <f t="shared" si="3618"/>
        <v>0</v>
      </c>
      <c r="CJ230" s="1749">
        <f t="shared" si="3618"/>
        <v>0</v>
      </c>
      <c r="CK230" s="1749">
        <f t="shared" si="3618"/>
        <v>0</v>
      </c>
      <c r="CL230" s="1749">
        <f t="shared" si="3618"/>
        <v>0</v>
      </c>
      <c r="CM230" s="1749">
        <f t="shared" si="3618"/>
        <v>0</v>
      </c>
      <c r="CN230" s="1749">
        <f t="shared" si="3618"/>
        <v>0</v>
      </c>
      <c r="CO230" s="1750" t="s">
        <v>54</v>
      </c>
      <c r="CP230" s="1749"/>
      <c r="CQ230" s="1522">
        <f t="shared" ref="CQ230:DH230" si="3619">CQ228+CQ201+CQ150+CQ72</f>
        <v>330810.76400000002</v>
      </c>
      <c r="CR230" s="1749">
        <f t="shared" si="3619"/>
        <v>353902.50133333332</v>
      </c>
      <c r="CS230" s="1749">
        <f t="shared" si="3619"/>
        <v>179.5</v>
      </c>
      <c r="CT230" s="1522">
        <f t="shared" si="3619"/>
        <v>3552.2825625000005</v>
      </c>
      <c r="CU230" s="1749">
        <f t="shared" si="3619"/>
        <v>0</v>
      </c>
      <c r="CV230" s="1749">
        <f t="shared" si="3619"/>
        <v>0</v>
      </c>
      <c r="CW230" s="1749">
        <f t="shared" si="3619"/>
        <v>0</v>
      </c>
      <c r="CX230" s="1749">
        <f t="shared" si="3619"/>
        <v>42142.072999468757</v>
      </c>
      <c r="CY230" s="1749">
        <f t="shared" si="3619"/>
        <v>730407.62089530216</v>
      </c>
      <c r="CZ230" s="1749">
        <f t="shared" si="3619"/>
        <v>234105.43800000002</v>
      </c>
      <c r="DA230" s="1749">
        <f t="shared" si="3619"/>
        <v>111539.97</v>
      </c>
      <c r="DB230" s="1749">
        <f t="shared" si="3619"/>
        <v>225</v>
      </c>
      <c r="DC230" s="1749">
        <f t="shared" si="3619"/>
        <v>4566.1619375000009</v>
      </c>
      <c r="DD230" s="1749">
        <f t="shared" si="3619"/>
        <v>0</v>
      </c>
      <c r="DE230" s="1752">
        <f t="shared" si="3619"/>
        <v>0</v>
      </c>
      <c r="DF230" s="1749">
        <f t="shared" si="3619"/>
        <v>0</v>
      </c>
      <c r="DG230" s="1749">
        <f t="shared" si="3619"/>
        <v>27515.641712081255</v>
      </c>
      <c r="DH230" s="1749">
        <f t="shared" si="3619"/>
        <v>377727.21164958127</v>
      </c>
      <c r="DI230" s="1749">
        <f>DI228+DI150+DI72</f>
        <v>33847.248000000007</v>
      </c>
      <c r="DJ230" s="1749">
        <f>DJ228+DJ150+DJ72</f>
        <v>14277.19</v>
      </c>
      <c r="DK230" s="1749">
        <f t="shared" ref="DK230:EI230" si="3620">DK228+DK201+DK150+DK72</f>
        <v>142</v>
      </c>
      <c r="DL230" s="1749">
        <f t="shared" si="3620"/>
        <v>2834.9790000000003</v>
      </c>
      <c r="DM230" s="1749">
        <f t="shared" si="3620"/>
        <v>12</v>
      </c>
      <c r="DN230" s="1749">
        <f t="shared" si="3620"/>
        <v>316.63800000000003</v>
      </c>
      <c r="DO230" s="1749">
        <f t="shared" si="3620"/>
        <v>0</v>
      </c>
      <c r="DP230" s="1749">
        <f t="shared" si="3620"/>
        <v>4687.756195500001</v>
      </c>
      <c r="DQ230" s="1749">
        <f t="shared" si="3620"/>
        <v>55963.811195500006</v>
      </c>
      <c r="DR230" s="1749">
        <f t="shared" si="3620"/>
        <v>0</v>
      </c>
      <c r="DS230" s="1749">
        <f t="shared" si="3620"/>
        <v>0</v>
      </c>
      <c r="DT230" s="1749">
        <f t="shared" si="3620"/>
        <v>0</v>
      </c>
      <c r="DU230" s="1749">
        <f t="shared" si="3620"/>
        <v>0</v>
      </c>
      <c r="DV230" s="1749">
        <f t="shared" si="3620"/>
        <v>0</v>
      </c>
      <c r="DW230" s="1749">
        <f t="shared" si="3620"/>
        <v>0</v>
      </c>
      <c r="DX230" s="1749">
        <f t="shared" si="3620"/>
        <v>0</v>
      </c>
      <c r="DY230" s="1749">
        <f t="shared" si="3620"/>
        <v>0</v>
      </c>
      <c r="DZ230" s="1749">
        <f t="shared" si="3620"/>
        <v>0</v>
      </c>
      <c r="EA230" s="1749">
        <f t="shared" si="3620"/>
        <v>0</v>
      </c>
      <c r="EB230" s="1749">
        <f t="shared" si="3620"/>
        <v>0</v>
      </c>
      <c r="EC230" s="1749">
        <f t="shared" si="3620"/>
        <v>0</v>
      </c>
      <c r="ED230" s="1749">
        <f t="shared" si="3620"/>
        <v>0</v>
      </c>
      <c r="EE230" s="1749">
        <f t="shared" si="3620"/>
        <v>0</v>
      </c>
      <c r="EF230" s="1749">
        <f t="shared" si="3620"/>
        <v>0</v>
      </c>
      <c r="EG230" s="1749">
        <f t="shared" si="3620"/>
        <v>0</v>
      </c>
      <c r="EH230" s="1749">
        <f t="shared" si="3620"/>
        <v>0</v>
      </c>
      <c r="EI230" s="1749">
        <f t="shared" si="3620"/>
        <v>0</v>
      </c>
      <c r="EJ230" s="1753"/>
      <c r="EK230" s="1751">
        <f t="shared" ref="EK230:ET230" si="3621">EK228+EK201+EK150+EK72</f>
        <v>34728.92</v>
      </c>
      <c r="EL230" s="1751">
        <f t="shared" si="3621"/>
        <v>26882.659999999996</v>
      </c>
      <c r="EM230" s="1751">
        <f t="shared" si="3621"/>
        <v>2661</v>
      </c>
      <c r="EN230" s="1751">
        <f t="shared" si="3621"/>
        <v>18187.75</v>
      </c>
      <c r="EO230" s="1751">
        <f t="shared" si="3621"/>
        <v>856.5</v>
      </c>
      <c r="EP230" s="1751">
        <f t="shared" si="3621"/>
        <v>6795</v>
      </c>
      <c r="EQ230" s="1754">
        <f t="shared" si="3621"/>
        <v>10519.66</v>
      </c>
      <c r="ER230" s="1751">
        <f t="shared" si="3621"/>
        <v>0</v>
      </c>
      <c r="ES230" s="1751">
        <f t="shared" si="3621"/>
        <v>430</v>
      </c>
      <c r="ET230" s="1751">
        <f t="shared" si="3621"/>
        <v>18877.78</v>
      </c>
      <c r="EU230" s="1441"/>
      <c r="EV230" s="1749">
        <f t="shared" ref="EV230:FE230" si="3622">EV228+EV201+EV150+EV72</f>
        <v>34785.910000000003</v>
      </c>
      <c r="EW230" s="1749">
        <f t="shared" si="3622"/>
        <v>26405.084999999999</v>
      </c>
      <c r="EX230" s="1749">
        <f t="shared" si="3622"/>
        <v>2661</v>
      </c>
      <c r="EY230" s="1749">
        <f t="shared" si="3622"/>
        <v>18187.75</v>
      </c>
      <c r="EZ230" s="1749">
        <f t="shared" si="3622"/>
        <v>856.5</v>
      </c>
      <c r="FA230" s="1749">
        <f t="shared" si="3622"/>
        <v>6795</v>
      </c>
      <c r="FB230" s="1749">
        <f t="shared" si="3622"/>
        <v>11226.279999999999</v>
      </c>
      <c r="FC230" s="1749">
        <f t="shared" si="3622"/>
        <v>0</v>
      </c>
      <c r="FD230" s="1749">
        <f t="shared" si="3622"/>
        <v>430</v>
      </c>
      <c r="FE230" s="1749">
        <f t="shared" si="3622"/>
        <v>18852.78</v>
      </c>
      <c r="FF230" s="1514"/>
      <c r="FG230" s="1514"/>
      <c r="FH230" s="1514"/>
      <c r="FI230" s="1514"/>
      <c r="FJ230" s="1514"/>
      <c r="FK230" s="1514"/>
      <c r="FL230" s="1441">
        <f t="shared" si="3306"/>
        <v>0</v>
      </c>
    </row>
    <row r="231" spans="1:260" s="1513" customFormat="1" ht="12" customHeight="1" thickTop="1">
      <c r="A231" s="1511"/>
      <c r="B231" s="1348"/>
      <c r="C231" s="1339"/>
      <c r="D231" s="1474"/>
      <c r="I231" s="1514"/>
      <c r="J231" s="1514"/>
      <c r="K231" s="1514"/>
      <c r="L231" s="1514"/>
      <c r="M231" s="1514"/>
      <c r="N231" s="1514"/>
      <c r="O231" s="1474"/>
      <c r="P231" s="1515"/>
      <c r="R231" s="1515"/>
      <c r="T231" s="1515"/>
      <c r="V231" s="1515"/>
      <c r="X231" s="1515"/>
      <c r="Z231" s="1516"/>
      <c r="AB231" s="1516"/>
      <c r="AD231" s="1516"/>
      <c r="AH231" s="1516"/>
      <c r="AU231" s="1533"/>
      <c r="CO231" s="1474"/>
      <c r="CP231" s="1474"/>
      <c r="EJ231" s="1474"/>
      <c r="EU231" s="1441"/>
      <c r="FF231" s="1514"/>
      <c r="FG231" s="1514"/>
      <c r="FH231" s="1514"/>
      <c r="FI231" s="1514"/>
      <c r="FJ231" s="1514"/>
      <c r="FK231" s="1514"/>
      <c r="FL231" s="1441">
        <f t="shared" si="3306"/>
        <v>0</v>
      </c>
      <c r="FM231" s="1474"/>
      <c r="FN231" s="1474"/>
      <c r="FO231" s="1474"/>
      <c r="FP231" s="1474"/>
      <c r="FQ231" s="1474"/>
      <c r="FR231" s="1474"/>
      <c r="FS231" s="1474"/>
      <c r="FT231" s="1474"/>
      <c r="FU231" s="1474"/>
      <c r="FV231" s="1474"/>
      <c r="FW231" s="1474"/>
      <c r="FX231" s="1474"/>
      <c r="FY231" s="1474"/>
      <c r="FZ231" s="1474"/>
      <c r="GA231" s="1474"/>
      <c r="GB231" s="1474"/>
      <c r="GC231" s="1474"/>
      <c r="GD231" s="1474"/>
      <c r="GE231" s="1474"/>
      <c r="GF231" s="1474"/>
      <c r="GG231" s="1474"/>
      <c r="GH231" s="1474"/>
      <c r="GI231" s="1474"/>
      <c r="GJ231" s="1474"/>
      <c r="GK231" s="1474"/>
      <c r="GL231" s="1474"/>
      <c r="GM231" s="1474"/>
      <c r="GN231" s="1474"/>
      <c r="GO231" s="1474"/>
      <c r="GP231" s="1474"/>
      <c r="GQ231" s="1474"/>
      <c r="GR231" s="1474"/>
      <c r="GS231" s="1474"/>
      <c r="GT231" s="1474"/>
      <c r="GU231" s="1474"/>
      <c r="GV231" s="1474"/>
      <c r="GW231" s="1474"/>
      <c r="GX231" s="1474"/>
      <c r="GY231" s="1474"/>
      <c r="GZ231" s="1474"/>
      <c r="HA231" s="1474"/>
      <c r="HB231" s="1474"/>
      <c r="HC231" s="1474"/>
      <c r="HD231" s="1474"/>
      <c r="HE231" s="1474"/>
      <c r="HF231" s="1474"/>
      <c r="HG231" s="1474"/>
      <c r="HH231" s="1474"/>
      <c r="HI231" s="1474"/>
      <c r="HJ231" s="1474"/>
      <c r="HK231" s="1474"/>
      <c r="HL231" s="1474"/>
      <c r="HM231" s="1474"/>
      <c r="HN231" s="1474"/>
      <c r="HO231" s="1474"/>
      <c r="HP231" s="1474"/>
      <c r="HQ231" s="1474"/>
      <c r="HR231" s="1474"/>
      <c r="HS231" s="1474"/>
      <c r="HT231" s="1474"/>
      <c r="HU231" s="1474"/>
      <c r="HV231" s="1474"/>
      <c r="HW231" s="1474"/>
      <c r="HX231" s="1474"/>
      <c r="HY231" s="1474"/>
      <c r="HZ231" s="1474"/>
      <c r="IA231" s="1474"/>
      <c r="IB231" s="1474"/>
      <c r="IC231" s="1474"/>
      <c r="ID231" s="1474"/>
      <c r="IE231" s="1474"/>
      <c r="IF231" s="1474"/>
      <c r="IG231" s="1474"/>
      <c r="IH231" s="1474"/>
      <c r="II231" s="1474"/>
      <c r="IJ231" s="1474"/>
      <c r="IK231" s="1474"/>
      <c r="IL231" s="1474"/>
      <c r="IM231" s="1474"/>
      <c r="IN231" s="1474"/>
      <c r="IO231" s="1474"/>
      <c r="IP231" s="1474"/>
      <c r="IQ231" s="1474"/>
      <c r="IR231" s="1474"/>
      <c r="IS231" s="1474"/>
      <c r="IT231" s="1474"/>
      <c r="IU231" s="1474"/>
      <c r="IV231" s="1474"/>
      <c r="IW231" s="1474"/>
      <c r="IX231" s="1474"/>
      <c r="IY231" s="1474"/>
      <c r="IZ231" s="1474"/>
    </row>
    <row r="232" spans="1:260" s="1513" customFormat="1" ht="11.25" customHeight="1">
      <c r="A232" s="1511"/>
      <c r="B232" s="1348"/>
      <c r="C232" s="1339"/>
      <c r="D232" s="1474"/>
      <c r="I232" s="1514"/>
      <c r="J232" s="1514"/>
      <c r="K232" s="1514"/>
      <c r="L232" s="1514"/>
      <c r="M232" s="1514"/>
      <c r="N232" s="1514"/>
      <c r="O232" s="1474"/>
      <c r="P232" s="1515"/>
      <c r="R232" s="1515"/>
      <c r="T232" s="1515"/>
      <c r="V232" s="1515"/>
      <c r="X232" s="1515"/>
      <c r="Z232" s="1516"/>
      <c r="AB232" s="1516"/>
      <c r="AD232" s="1516"/>
      <c r="AH232" s="1516"/>
      <c r="AU232" s="1533"/>
      <c r="CO232" s="1474"/>
      <c r="CP232" s="1474"/>
      <c r="EJ232" s="1474"/>
      <c r="EL232" s="1511"/>
      <c r="EU232" s="1441"/>
      <c r="FF232" s="1514"/>
      <c r="FG232" s="1514"/>
      <c r="FH232" s="1514"/>
      <c r="FI232" s="1514"/>
      <c r="FJ232" s="1514"/>
      <c r="FK232" s="1514"/>
      <c r="FL232" s="1441">
        <f t="shared" si="3306"/>
        <v>0</v>
      </c>
      <c r="FM232" s="1474"/>
      <c r="FN232" s="1474"/>
      <c r="FO232" s="1474"/>
      <c r="FP232" s="1474"/>
      <c r="FQ232" s="1474"/>
      <c r="FR232" s="1474"/>
      <c r="FS232" s="1474"/>
      <c r="FT232" s="1474"/>
      <c r="FU232" s="1474"/>
      <c r="FV232" s="1474"/>
      <c r="FW232" s="1474"/>
      <c r="FX232" s="1474"/>
      <c r="FY232" s="1474"/>
      <c r="FZ232" s="1474"/>
      <c r="GA232" s="1474"/>
      <c r="GB232" s="1474"/>
      <c r="GC232" s="1474"/>
      <c r="GD232" s="1474"/>
      <c r="GE232" s="1474"/>
      <c r="GF232" s="1474"/>
      <c r="GG232" s="1474"/>
      <c r="GH232" s="1474"/>
      <c r="GI232" s="1474"/>
      <c r="GJ232" s="1474"/>
      <c r="GK232" s="1474"/>
      <c r="GL232" s="1474"/>
      <c r="GM232" s="1474"/>
      <c r="GN232" s="1474"/>
      <c r="GO232" s="1474"/>
      <c r="GP232" s="1474"/>
      <c r="GQ232" s="1474"/>
      <c r="GR232" s="1474"/>
      <c r="GS232" s="1474"/>
      <c r="GT232" s="1474"/>
      <c r="GU232" s="1474"/>
      <c r="GV232" s="1474"/>
      <c r="GW232" s="1474"/>
      <c r="GX232" s="1474"/>
      <c r="GY232" s="1474"/>
      <c r="GZ232" s="1474"/>
      <c r="HA232" s="1474"/>
      <c r="HB232" s="1474"/>
      <c r="HC232" s="1474"/>
      <c r="HD232" s="1474"/>
      <c r="HE232" s="1474"/>
      <c r="HF232" s="1474"/>
      <c r="HG232" s="1474"/>
      <c r="HH232" s="1474"/>
      <c r="HI232" s="1474"/>
      <c r="HJ232" s="1474"/>
      <c r="HK232" s="1474"/>
      <c r="HL232" s="1474"/>
      <c r="HM232" s="1474"/>
      <c r="HN232" s="1474"/>
      <c r="HO232" s="1474"/>
      <c r="HP232" s="1474"/>
      <c r="HQ232" s="1474"/>
      <c r="HR232" s="1474"/>
      <c r="HS232" s="1474"/>
      <c r="HT232" s="1474"/>
      <c r="HU232" s="1474"/>
      <c r="HV232" s="1474"/>
      <c r="HW232" s="1474"/>
      <c r="HX232" s="1474"/>
      <c r="HY232" s="1474"/>
      <c r="HZ232" s="1474"/>
      <c r="IA232" s="1474"/>
      <c r="IB232" s="1474"/>
      <c r="IC232" s="1474"/>
      <c r="ID232" s="1474"/>
      <c r="IE232" s="1474"/>
      <c r="IF232" s="1474"/>
      <c r="IG232" s="1474"/>
      <c r="IH232" s="1474"/>
      <c r="II232" s="1474"/>
      <c r="IJ232" s="1474"/>
      <c r="IK232" s="1474"/>
      <c r="IL232" s="1474"/>
      <c r="IM232" s="1474"/>
      <c r="IN232" s="1474"/>
      <c r="IO232" s="1474"/>
      <c r="IP232" s="1474"/>
      <c r="IQ232" s="1474"/>
      <c r="IR232" s="1474"/>
      <c r="IS232" s="1474"/>
      <c r="IT232" s="1474"/>
      <c r="IU232" s="1474"/>
      <c r="IV232" s="1474"/>
      <c r="IW232" s="1474"/>
      <c r="IX232" s="1474"/>
      <c r="IY232" s="1474"/>
      <c r="IZ232" s="1474"/>
    </row>
    <row r="233" spans="1:260" s="1513" customFormat="1" ht="11.25" customHeight="1">
      <c r="A233" s="1511"/>
      <c r="B233" s="1348"/>
      <c r="C233" s="1339"/>
      <c r="D233" s="1474"/>
      <c r="E233" s="1755">
        <f>SUM(E9:E230)-E19-E28-E42-E50-E59-E65-E71-E72-E79-E91-E99-E116-E121-E122-E134-E142-E143-E149-E150-E161-E164-E165-E175-E179-E182-E185-E191-E194-E196-E199-E201-E216-E221-E226-E228-E230-E173-E171</f>
        <v>615969.88999999512</v>
      </c>
      <c r="F233" s="1755">
        <f>SUM(F9:F230)-F19-F28-F42-F50-F59-F65-F71-F72-F79-F91-F99-F116-F121-F122-F134-F142-F143-F149-F150-F161-F164-F165-F175-F179-F182-F185-F191-F194-F196-F199-F201-F216-F221-F226-F228-F230-F173-F171</f>
        <v>293351.36</v>
      </c>
      <c r="G233" s="1755">
        <f>SUM(G9:G230)-G19-G28-G42-G50-G59-G65-G71-G72-G79-G91-G99-G116-G121-G122-G134-G142-G143-G149-G150-G161-G164-G165-G175-G179-G182-G185-G191-G194-G196-G199-G201-G216-G221-G226-G228-G230-G173-G171</f>
        <v>908556.96999999264</v>
      </c>
      <c r="I233" s="1514"/>
      <c r="J233" s="1514"/>
      <c r="K233" s="1514"/>
      <c r="L233" s="1514"/>
      <c r="M233" s="1514"/>
      <c r="N233" s="1514"/>
      <c r="O233" s="1474"/>
      <c r="P233" s="1755">
        <f t="shared" ref="P233:AS233" si="3623">SUM(P9:P230)-P19-P28-P42-P50-P59-P65-P71-P72-P79-P91-P99-P116-P121-P122-P134-P142-P143-P149-P150-P161-P164-P165-P175-P179-P182-P185-P191-P194-P196-P199-P201-P216-P221-P226-P228-P230-P173-P171</f>
        <v>117.5</v>
      </c>
      <c r="Q233" s="1755">
        <f t="shared" si="3623"/>
        <v>2325.3103125000021</v>
      </c>
      <c r="R233" s="1755">
        <f t="shared" si="3623"/>
        <v>12</v>
      </c>
      <c r="S233" s="1755">
        <f t="shared" si="3623"/>
        <v>316.63800000000003</v>
      </c>
      <c r="T233" s="1755">
        <f t="shared" si="3623"/>
        <v>305</v>
      </c>
      <c r="U233" s="1755">
        <f t="shared" si="3623"/>
        <v>6174.1686874999923</v>
      </c>
      <c r="V233" s="1755">
        <f t="shared" si="3623"/>
        <v>0</v>
      </c>
      <c r="W233" s="1755">
        <f t="shared" si="3623"/>
        <v>0</v>
      </c>
      <c r="X233" s="1755">
        <f t="shared" si="3623"/>
        <v>124</v>
      </c>
      <c r="Y233" s="1755">
        <f t="shared" si="3623"/>
        <v>2453.9445000000005</v>
      </c>
      <c r="Z233" s="1755">
        <f t="shared" si="3623"/>
        <v>0</v>
      </c>
      <c r="AA233" s="1755">
        <f t="shared" si="3623"/>
        <v>0</v>
      </c>
      <c r="AB233" s="1755">
        <f t="shared" si="3623"/>
        <v>0</v>
      </c>
      <c r="AC233" s="1755">
        <f t="shared" si="3623"/>
        <v>0</v>
      </c>
      <c r="AD233" s="1755">
        <f t="shared" si="3623"/>
        <v>0</v>
      </c>
      <c r="AE233" s="1755">
        <f t="shared" si="3623"/>
        <v>0</v>
      </c>
      <c r="AF233" s="1755">
        <f t="shared" si="3623"/>
        <v>0</v>
      </c>
      <c r="AG233" s="1755">
        <f t="shared" si="3623"/>
        <v>0</v>
      </c>
      <c r="AH233" s="1755">
        <f t="shared" si="3623"/>
        <v>0</v>
      </c>
      <c r="AI233" s="1755">
        <f t="shared" si="3623"/>
        <v>0</v>
      </c>
      <c r="AJ233" s="1755">
        <f t="shared" si="3623"/>
        <v>0</v>
      </c>
      <c r="AK233" s="1755">
        <f t="shared" si="3623"/>
        <v>0</v>
      </c>
      <c r="AL233" s="1755">
        <f t="shared" si="3623"/>
        <v>0</v>
      </c>
      <c r="AM233" s="1755">
        <f t="shared" si="3623"/>
        <v>0</v>
      </c>
      <c r="AN233" s="1755">
        <f t="shared" si="3623"/>
        <v>0</v>
      </c>
      <c r="AO233" s="1755">
        <f t="shared" si="3623"/>
        <v>0</v>
      </c>
      <c r="AP233" s="1755">
        <f t="shared" si="3623"/>
        <v>0</v>
      </c>
      <c r="AQ233" s="1755">
        <f t="shared" si="3623"/>
        <v>0</v>
      </c>
      <c r="AR233" s="1755">
        <f t="shared" si="3623"/>
        <v>0</v>
      </c>
      <c r="AS233" s="1755">
        <f t="shared" si="3623"/>
        <v>0</v>
      </c>
      <c r="AT233" s="1755" t="e">
        <f>SUM(AT9:AT230)-AT19-AT28-AT42-AT50-AT59-AT65-AT71-AT72-AT79-AT91-AT99--AT116-AT121-AT122-AT134-AT142-AT143-AT149-AT150-AT161-AT164-AT165-AT175-AT179-AT182-AT185-AT191-AT194-AT196-AT199-AT201-AT216-AT221-AT226-AT228-AT230-AT173-AT171</f>
        <v>#REF!</v>
      </c>
      <c r="AU233" s="1756" t="e">
        <f t="shared" ref="AU233:CE233" si="3624">SUM(AU9:AU230)-AU19-AU28-AU42-AU50-AU59-AU65-AU71-AU72-AU79-AU91-AU99-AU116-AU121-AU122-AU134-AU142-AU143-AU149-AU150-AU161-AU164-AU165-AU175-AU179-AU182-AU185-AU191-AU194-AU196-AU199-AU201-AU216-AU221-AU226-AU228-AU230-AU173-AU171</f>
        <v>#VALUE!</v>
      </c>
      <c r="AV233" s="1755">
        <f t="shared" si="3624"/>
        <v>316310.9915333332</v>
      </c>
      <c r="AW233" s="1755">
        <f t="shared" si="3624"/>
        <v>336502.74299999967</v>
      </c>
      <c r="AX233" s="1755">
        <f t="shared" si="3624"/>
        <v>117.5</v>
      </c>
      <c r="AY233" s="1755">
        <f t="shared" si="3624"/>
        <v>2325.3103125000021</v>
      </c>
      <c r="AZ233" s="1755">
        <f t="shared" si="3624"/>
        <v>12</v>
      </c>
      <c r="BA233" s="1755">
        <f t="shared" si="3624"/>
        <v>316.63800000000003</v>
      </c>
      <c r="BB233" s="1755">
        <f t="shared" si="3624"/>
        <v>0</v>
      </c>
      <c r="BC233" s="1755">
        <f t="shared" si="3624"/>
        <v>40411.33747846703</v>
      </c>
      <c r="BD233" s="1755">
        <f t="shared" si="3624"/>
        <v>695867.02032430028</v>
      </c>
      <c r="BE233" s="1755">
        <f t="shared" si="3624"/>
        <v>232955.00380000001</v>
      </c>
      <c r="BF233" s="1755">
        <f t="shared" si="3624"/>
        <v>124872.53499999987</v>
      </c>
      <c r="BG233" s="1755">
        <f t="shared" si="3624"/>
        <v>305</v>
      </c>
      <c r="BH233" s="1755">
        <f t="shared" si="3624"/>
        <v>6174.1686874999923</v>
      </c>
      <c r="BI233" s="1755">
        <f t="shared" si="3624"/>
        <v>0</v>
      </c>
      <c r="BJ233" s="1755">
        <f t="shared" si="3624"/>
        <v>0</v>
      </c>
      <c r="BK233" s="1755">
        <f t="shared" si="3624"/>
        <v>0</v>
      </c>
      <c r="BL233" s="1755">
        <f t="shared" si="3624"/>
        <v>27351.891154166144</v>
      </c>
      <c r="BM233" s="1755">
        <f t="shared" si="3624"/>
        <v>391353.59864166629</v>
      </c>
      <c r="BN233" s="1755">
        <f t="shared" si="3624"/>
        <v>32472.248000000007</v>
      </c>
      <c r="BO233" s="1755">
        <f t="shared" si="3624"/>
        <v>10100</v>
      </c>
      <c r="BP233" s="1755">
        <f t="shared" si="3624"/>
        <v>124</v>
      </c>
      <c r="BQ233" s="1755">
        <f t="shared" si="3624"/>
        <v>2453.9445000000005</v>
      </c>
      <c r="BR233" s="1755">
        <f t="shared" si="3624"/>
        <v>0</v>
      </c>
      <c r="BS233" s="1755">
        <f t="shared" si="3624"/>
        <v>0</v>
      </c>
      <c r="BT233" s="1755">
        <f t="shared" si="3624"/>
        <v>0</v>
      </c>
      <c r="BU233" s="1755">
        <f t="shared" si="3624"/>
        <v>4425.1485897500006</v>
      </c>
      <c r="BV233" s="1755">
        <f t="shared" si="3624"/>
        <v>49451.341089750029</v>
      </c>
      <c r="BW233" s="1755">
        <f t="shared" si="3624"/>
        <v>17025.206666666665</v>
      </c>
      <c r="BX233" s="1755">
        <f t="shared" si="3624"/>
        <v>8244.3833333333296</v>
      </c>
      <c r="BY233" s="1755">
        <f t="shared" si="3624"/>
        <v>0</v>
      </c>
      <c r="BZ233" s="1755">
        <f t="shared" si="3624"/>
        <v>0</v>
      </c>
      <c r="CA233" s="1755">
        <f t="shared" si="3624"/>
        <v>0</v>
      </c>
      <c r="CB233" s="1755">
        <f t="shared" si="3624"/>
        <v>0</v>
      </c>
      <c r="CC233" s="1755">
        <f t="shared" si="3624"/>
        <v>0</v>
      </c>
      <c r="CD233" s="1755">
        <f t="shared" si="3624"/>
        <v>2157.0936846666668</v>
      </c>
      <c r="CE233" s="1755">
        <f t="shared" si="3624"/>
        <v>27426.683684666652</v>
      </c>
      <c r="CF233" s="1755">
        <f t="shared" ref="CF233:CO233" si="3625">SUM(CF9:CF230)-CF19-CF28-CF42-CF50-CF59-CF65-CF71-CF72-CF79-CF91-CF99--CF116-CF121-CF122-CF134-CF142-CF143-CF149-CF150-CF161-CF164-CF165-CF175-CF179-CF182-CF185-CF191-CF194-CF196-CF199-CF201-CF216-CF221-CF226-CF228-CF230-CF173-CF171</f>
        <v>0</v>
      </c>
      <c r="CG233" s="1755">
        <f t="shared" si="3625"/>
        <v>0</v>
      </c>
      <c r="CH233" s="1755">
        <f t="shared" si="3625"/>
        <v>0</v>
      </c>
      <c r="CI233" s="1755">
        <f t="shared" si="3625"/>
        <v>0</v>
      </c>
      <c r="CJ233" s="1755">
        <f t="shared" si="3625"/>
        <v>0</v>
      </c>
      <c r="CK233" s="1755">
        <f t="shared" si="3625"/>
        <v>0</v>
      </c>
      <c r="CL233" s="1755">
        <f t="shared" si="3625"/>
        <v>0</v>
      </c>
      <c r="CM233" s="1755">
        <f t="shared" si="3625"/>
        <v>0</v>
      </c>
      <c r="CN233" s="1755">
        <f t="shared" si="3625"/>
        <v>0</v>
      </c>
      <c r="CO233" s="1755" t="e">
        <f t="shared" si="3625"/>
        <v>#VALUE!</v>
      </c>
      <c r="CP233" s="1755"/>
      <c r="CQ233" s="1755">
        <f t="shared" ref="CQ233:EI233" si="3626">SUM(CQ9:CQ230)-CQ19-CQ28-CQ42-CQ50-CQ59-CQ65-CQ71-CQ72-CQ79-CQ91-CQ99-CQ116-CQ121-CQ122-CQ134-CQ142-CQ143-CQ149-CQ150-CQ161-CQ164-CQ165-CQ175-CQ179-CQ182-CQ185-CQ191-CQ194-CQ196-CQ199-CQ201-CQ216-CQ221-CQ226-CQ228-CQ230-CQ173-CQ171</f>
        <v>330810.76399999991</v>
      </c>
      <c r="CR233" s="1755">
        <f t="shared" si="3626"/>
        <v>353902.50133333355</v>
      </c>
      <c r="CS233" s="1755">
        <f t="shared" si="3626"/>
        <v>179.5</v>
      </c>
      <c r="CT233" s="1755">
        <f t="shared" si="3626"/>
        <v>3552.2825624999959</v>
      </c>
      <c r="CU233" s="1755">
        <f t="shared" si="3626"/>
        <v>0</v>
      </c>
      <c r="CV233" s="1755">
        <f t="shared" si="3626"/>
        <v>0</v>
      </c>
      <c r="CW233" s="1755">
        <f t="shared" si="3626"/>
        <v>0</v>
      </c>
      <c r="CX233" s="1755">
        <f t="shared" si="3626"/>
        <v>42142.072999468684</v>
      </c>
      <c r="CY233" s="1755">
        <f t="shared" si="3626"/>
        <v>730407.6208952989</v>
      </c>
      <c r="CZ233" s="1755">
        <f t="shared" si="3626"/>
        <v>234105.43800000026</v>
      </c>
      <c r="DA233" s="1755">
        <f t="shared" si="3626"/>
        <v>111539.9699999999</v>
      </c>
      <c r="DB233" s="1755">
        <f t="shared" si="3626"/>
        <v>225</v>
      </c>
      <c r="DC233" s="1755">
        <f t="shared" si="3626"/>
        <v>4566.1619375000009</v>
      </c>
      <c r="DD233" s="1755">
        <f t="shared" si="3626"/>
        <v>0</v>
      </c>
      <c r="DE233" s="1755">
        <f t="shared" si="3626"/>
        <v>0</v>
      </c>
      <c r="DF233" s="1755">
        <f t="shared" si="3626"/>
        <v>0</v>
      </c>
      <c r="DG233" s="1755">
        <f t="shared" si="3626"/>
        <v>27515.641712081248</v>
      </c>
      <c r="DH233" s="1755">
        <f t="shared" si="3626"/>
        <v>377727.21164958202</v>
      </c>
      <c r="DI233" s="1755">
        <f t="shared" si="3626"/>
        <v>33847.248000000007</v>
      </c>
      <c r="DJ233" s="1755">
        <f t="shared" si="3626"/>
        <v>14277.189999999997</v>
      </c>
      <c r="DK233" s="1755">
        <f t="shared" si="3626"/>
        <v>142</v>
      </c>
      <c r="DL233" s="1755">
        <f t="shared" si="3626"/>
        <v>2834.9790000000012</v>
      </c>
      <c r="DM233" s="1755">
        <f t="shared" si="3626"/>
        <v>12</v>
      </c>
      <c r="DN233" s="1755">
        <f t="shared" si="3626"/>
        <v>316.63800000000003</v>
      </c>
      <c r="DO233" s="1755">
        <f t="shared" si="3626"/>
        <v>0</v>
      </c>
      <c r="DP233" s="1755">
        <f t="shared" si="3626"/>
        <v>4687.7561955000028</v>
      </c>
      <c r="DQ233" s="1755">
        <f t="shared" si="3626"/>
        <v>55963.811195499991</v>
      </c>
      <c r="DR233" s="1755">
        <f t="shared" si="3626"/>
        <v>0</v>
      </c>
      <c r="DS233" s="1755">
        <f t="shared" si="3626"/>
        <v>0</v>
      </c>
      <c r="DT233" s="1755">
        <f t="shared" si="3626"/>
        <v>0</v>
      </c>
      <c r="DU233" s="1755">
        <f t="shared" si="3626"/>
        <v>0</v>
      </c>
      <c r="DV233" s="1755">
        <f t="shared" si="3626"/>
        <v>0</v>
      </c>
      <c r="DW233" s="1755">
        <f t="shared" si="3626"/>
        <v>0</v>
      </c>
      <c r="DX233" s="1755">
        <f t="shared" si="3626"/>
        <v>0</v>
      </c>
      <c r="DY233" s="1755">
        <f t="shared" si="3626"/>
        <v>0</v>
      </c>
      <c r="DZ233" s="1755">
        <f t="shared" si="3626"/>
        <v>0</v>
      </c>
      <c r="EA233" s="1755">
        <f t="shared" si="3626"/>
        <v>0</v>
      </c>
      <c r="EB233" s="1755">
        <f t="shared" si="3626"/>
        <v>0</v>
      </c>
      <c r="EC233" s="1755">
        <f t="shared" si="3626"/>
        <v>0</v>
      </c>
      <c r="ED233" s="1755">
        <f t="shared" si="3626"/>
        <v>0</v>
      </c>
      <c r="EE233" s="1755">
        <f t="shared" si="3626"/>
        <v>0</v>
      </c>
      <c r="EF233" s="1755">
        <f t="shared" si="3626"/>
        <v>0</v>
      </c>
      <c r="EG233" s="1755">
        <f t="shared" si="3626"/>
        <v>0</v>
      </c>
      <c r="EH233" s="1755">
        <f t="shared" si="3626"/>
        <v>0</v>
      </c>
      <c r="EI233" s="1755">
        <f t="shared" si="3626"/>
        <v>0</v>
      </c>
      <c r="EJ233" s="1755"/>
      <c r="EK233" s="1755">
        <f t="shared" ref="EK233:ET233" si="3627">SUM(EK9:EK230)-EK19-EK28-EK42-EK50-EK59-EK65-EK71-EK72-EK79-EK91-EK99-EK116-EK121-EK122-EK134-EK142-EK143-EK149-EK150-EK161-EK164-EK165-EK175-EK179-EK182-EK185-EK191-EK194-EK196-EK199-EK201-EK216-EK221-EK226-EK228-EK230-EK173-EK171</f>
        <v>34728.91999999994</v>
      </c>
      <c r="EL233" s="1755">
        <f t="shared" si="3627"/>
        <v>26882.659999999982</v>
      </c>
      <c r="EM233" s="1755">
        <f t="shared" si="3627"/>
        <v>2661</v>
      </c>
      <c r="EN233" s="1757">
        <f t="shared" si="3627"/>
        <v>18187.75</v>
      </c>
      <c r="EO233" s="1755">
        <f t="shared" si="3627"/>
        <v>856.5</v>
      </c>
      <c r="EP233" s="1755">
        <f t="shared" si="3627"/>
        <v>6795</v>
      </c>
      <c r="EQ233" s="1755">
        <f t="shared" si="3627"/>
        <v>11226.279999999981</v>
      </c>
      <c r="ER233" s="1755">
        <f t="shared" si="3627"/>
        <v>0</v>
      </c>
      <c r="ES233" s="1755">
        <f t="shared" si="3627"/>
        <v>430</v>
      </c>
      <c r="ET233" s="1755">
        <f t="shared" si="3627"/>
        <v>18877.780000000006</v>
      </c>
      <c r="EU233" s="1755"/>
      <c r="EV233" s="1755">
        <f t="shared" ref="EV233:FE233" si="3628">SUM(EV9:EV230)-EV19-EV28-EV42-EV50-EV59-EV65-EV71-EV72-EV79-EV91-EV99-EV116-EV121-EV122-EV134-EV142-EV143-EV149-EV150-EV161-EV164-EV165-EV175-EV179-EV182-EV185-EV191-EV194-EV196-EV199-EV201-EV216-EV221-EV226-EV228-EV230-EV173-EV171</f>
        <v>34785.909999999974</v>
      </c>
      <c r="EW233" s="1755">
        <f t="shared" si="3628"/>
        <v>26405.084999999985</v>
      </c>
      <c r="EX233" s="1755">
        <f t="shared" si="3628"/>
        <v>2661</v>
      </c>
      <c r="EY233" s="1755">
        <f t="shared" si="3628"/>
        <v>18187.75</v>
      </c>
      <c r="EZ233" s="1755">
        <f t="shared" si="3628"/>
        <v>856.5</v>
      </c>
      <c r="FA233" s="1755">
        <f t="shared" si="3628"/>
        <v>6795</v>
      </c>
      <c r="FB233" s="1755">
        <f t="shared" si="3628"/>
        <v>11226.279999999977</v>
      </c>
      <c r="FC233" s="1755">
        <f t="shared" si="3628"/>
        <v>0</v>
      </c>
      <c r="FD233" s="1755">
        <f t="shared" si="3628"/>
        <v>430</v>
      </c>
      <c r="FE233" s="1755">
        <f t="shared" si="3628"/>
        <v>18852.780000000006</v>
      </c>
      <c r="FF233" s="1514"/>
      <c r="FG233" s="1514"/>
      <c r="FH233" s="1514"/>
      <c r="FI233" s="1514"/>
      <c r="FJ233" s="1514"/>
      <c r="FK233" s="1514"/>
      <c r="FL233" s="1441">
        <f t="shared" si="3306"/>
        <v>0</v>
      </c>
      <c r="FM233" s="1474"/>
      <c r="FN233" s="1474"/>
      <c r="FO233" s="1474"/>
      <c r="FP233" s="1474"/>
      <c r="FQ233" s="1474"/>
      <c r="FR233" s="1474"/>
      <c r="FS233" s="1474"/>
      <c r="FT233" s="1474"/>
      <c r="FU233" s="1474"/>
      <c r="FV233" s="1474"/>
      <c r="FW233" s="1474"/>
      <c r="FX233" s="1474"/>
      <c r="FY233" s="1474"/>
      <c r="FZ233" s="1474"/>
      <c r="GA233" s="1474"/>
      <c r="GB233" s="1474"/>
      <c r="GC233" s="1474"/>
      <c r="GD233" s="1474"/>
      <c r="GE233" s="1474"/>
      <c r="GF233" s="1474"/>
      <c r="GG233" s="1474"/>
      <c r="GH233" s="1474"/>
      <c r="GI233" s="1474"/>
      <c r="GJ233" s="1474"/>
      <c r="GK233" s="1474"/>
      <c r="GL233" s="1474"/>
      <c r="GM233" s="1474"/>
      <c r="GN233" s="1474"/>
      <c r="GO233" s="1474"/>
      <c r="GP233" s="1474"/>
      <c r="GQ233" s="1474"/>
      <c r="GR233" s="1474"/>
      <c r="GS233" s="1474"/>
      <c r="GT233" s="1474"/>
      <c r="GU233" s="1474"/>
      <c r="GV233" s="1474"/>
      <c r="GW233" s="1474"/>
      <c r="GX233" s="1474"/>
      <c r="GY233" s="1474"/>
      <c r="GZ233" s="1474"/>
      <c r="HA233" s="1474"/>
      <c r="HB233" s="1474"/>
      <c r="HC233" s="1474"/>
      <c r="HD233" s="1474"/>
      <c r="HE233" s="1474"/>
      <c r="HF233" s="1474"/>
      <c r="HG233" s="1474"/>
      <c r="HH233" s="1474"/>
      <c r="HI233" s="1474"/>
      <c r="HJ233" s="1474"/>
      <c r="HK233" s="1474"/>
      <c r="HL233" s="1474"/>
      <c r="HM233" s="1474"/>
      <c r="HN233" s="1474"/>
      <c r="HO233" s="1474"/>
      <c r="HP233" s="1474"/>
      <c r="HQ233" s="1474"/>
      <c r="HR233" s="1474"/>
      <c r="HS233" s="1474"/>
      <c r="HT233" s="1474"/>
      <c r="HU233" s="1474"/>
      <c r="HV233" s="1474"/>
      <c r="HW233" s="1474"/>
      <c r="HX233" s="1474"/>
      <c r="HY233" s="1474"/>
      <c r="HZ233" s="1474"/>
      <c r="IA233" s="1474"/>
      <c r="IB233" s="1474"/>
      <c r="IC233" s="1474"/>
      <c r="ID233" s="1474"/>
      <c r="IE233" s="1474"/>
      <c r="IF233" s="1474"/>
      <c r="IG233" s="1474"/>
      <c r="IH233" s="1474"/>
      <c r="II233" s="1474"/>
      <c r="IJ233" s="1474"/>
      <c r="IK233" s="1474"/>
      <c r="IL233" s="1474"/>
      <c r="IM233" s="1474"/>
      <c r="IN233" s="1474"/>
      <c r="IO233" s="1474"/>
      <c r="IP233" s="1474"/>
      <c r="IQ233" s="1474"/>
      <c r="IR233" s="1474"/>
      <c r="IS233" s="1474"/>
      <c r="IT233" s="1474"/>
      <c r="IU233" s="1474"/>
      <c r="IV233" s="1474"/>
      <c r="IW233" s="1474"/>
      <c r="IX233" s="1474"/>
      <c r="IY233" s="1474"/>
      <c r="IZ233" s="1474"/>
    </row>
    <row r="234" spans="1:260" s="1513" customFormat="1" ht="11.25" customHeight="1">
      <c r="A234" s="1511"/>
      <c r="B234" s="1348"/>
      <c r="C234" s="1339"/>
      <c r="D234" s="1474"/>
      <c r="E234" s="1758">
        <f>ROUND((E230-E233),2)</f>
        <v>0</v>
      </c>
      <c r="F234" s="1758">
        <f>ROUND((F230-F233),2)</f>
        <v>-350</v>
      </c>
      <c r="G234" s="1758">
        <f>ROUND((G230-G233),2)</f>
        <v>0</v>
      </c>
      <c r="I234" s="1514"/>
      <c r="J234" s="1514"/>
      <c r="K234" s="1514"/>
      <c r="L234" s="1514"/>
      <c r="M234" s="1514"/>
      <c r="N234" s="1514"/>
      <c r="O234" s="1474"/>
      <c r="P234" s="1758">
        <f t="shared" ref="P234:AT234" si="3629">ROUND((P230-P233),2)</f>
        <v>0</v>
      </c>
      <c r="Q234" s="1758">
        <f t="shared" si="3629"/>
        <v>0</v>
      </c>
      <c r="R234" s="1758">
        <f t="shared" si="3629"/>
        <v>0</v>
      </c>
      <c r="S234" s="1758">
        <f t="shared" si="3629"/>
        <v>0</v>
      </c>
      <c r="T234" s="1758">
        <f t="shared" si="3629"/>
        <v>0</v>
      </c>
      <c r="U234" s="1758">
        <f t="shared" si="3629"/>
        <v>0</v>
      </c>
      <c r="V234" s="1758">
        <f t="shared" si="3629"/>
        <v>0</v>
      </c>
      <c r="W234" s="1758">
        <f t="shared" si="3629"/>
        <v>0</v>
      </c>
      <c r="X234" s="1758">
        <f t="shared" si="3629"/>
        <v>0</v>
      </c>
      <c r="Y234" s="1758">
        <f t="shared" si="3629"/>
        <v>0</v>
      </c>
      <c r="Z234" s="1758">
        <f t="shared" si="3629"/>
        <v>0</v>
      </c>
      <c r="AA234" s="1758">
        <f t="shared" si="3629"/>
        <v>0</v>
      </c>
      <c r="AB234" s="1758">
        <f t="shared" si="3629"/>
        <v>0</v>
      </c>
      <c r="AC234" s="1758">
        <f t="shared" si="3629"/>
        <v>0</v>
      </c>
      <c r="AD234" s="1758">
        <f t="shared" si="3629"/>
        <v>0</v>
      </c>
      <c r="AE234" s="1758">
        <f t="shared" si="3629"/>
        <v>0</v>
      </c>
      <c r="AF234" s="1758">
        <f t="shared" si="3629"/>
        <v>0</v>
      </c>
      <c r="AG234" s="1758">
        <f t="shared" si="3629"/>
        <v>0</v>
      </c>
      <c r="AH234" s="1758">
        <f t="shared" si="3629"/>
        <v>0</v>
      </c>
      <c r="AI234" s="1758">
        <f t="shared" si="3629"/>
        <v>0</v>
      </c>
      <c r="AJ234" s="1758">
        <f t="shared" si="3629"/>
        <v>0</v>
      </c>
      <c r="AK234" s="1758">
        <f t="shared" si="3629"/>
        <v>0</v>
      </c>
      <c r="AL234" s="1758">
        <f t="shared" si="3629"/>
        <v>0</v>
      </c>
      <c r="AM234" s="1758">
        <f t="shared" si="3629"/>
        <v>0</v>
      </c>
      <c r="AN234" s="1758">
        <f t="shared" si="3629"/>
        <v>0</v>
      </c>
      <c r="AO234" s="1758">
        <f t="shared" si="3629"/>
        <v>0</v>
      </c>
      <c r="AP234" s="1758">
        <f t="shared" si="3629"/>
        <v>0</v>
      </c>
      <c r="AQ234" s="1758">
        <f t="shared" si="3629"/>
        <v>0</v>
      </c>
      <c r="AR234" s="1758">
        <f t="shared" si="3629"/>
        <v>0</v>
      </c>
      <c r="AS234" s="1758">
        <f t="shared" si="3629"/>
        <v>0</v>
      </c>
      <c r="AT234" s="1758" t="e">
        <f t="shared" si="3629"/>
        <v>#REF!</v>
      </c>
      <c r="AU234" s="1759"/>
      <c r="AV234" s="1758">
        <f t="shared" ref="AV234:CN234" si="3630">ROUND((AV230-AV233),2)</f>
        <v>0</v>
      </c>
      <c r="AW234" s="1758">
        <f t="shared" si="3630"/>
        <v>0</v>
      </c>
      <c r="AX234" s="1758">
        <f t="shared" si="3630"/>
        <v>0</v>
      </c>
      <c r="AY234" s="1758">
        <f t="shared" si="3630"/>
        <v>0</v>
      </c>
      <c r="AZ234" s="1758">
        <f t="shared" si="3630"/>
        <v>0</v>
      </c>
      <c r="BA234" s="1758">
        <f t="shared" si="3630"/>
        <v>0</v>
      </c>
      <c r="BB234" s="1758">
        <f t="shared" si="3630"/>
        <v>0</v>
      </c>
      <c r="BC234" s="1758">
        <f t="shared" si="3630"/>
        <v>0</v>
      </c>
      <c r="BD234" s="1758">
        <f t="shared" si="3630"/>
        <v>0</v>
      </c>
      <c r="BE234" s="1758">
        <f>ROUND((BE230-BE233),2)</f>
        <v>0</v>
      </c>
      <c r="BF234" s="1758">
        <f>ROUND((BF230-BF233),2)</f>
        <v>0</v>
      </c>
      <c r="BG234" s="1758">
        <f t="shared" si="3630"/>
        <v>0</v>
      </c>
      <c r="BH234" s="1758">
        <f t="shared" si="3630"/>
        <v>0</v>
      </c>
      <c r="BI234" s="1758">
        <f t="shared" si="3630"/>
        <v>0</v>
      </c>
      <c r="BJ234" s="1758">
        <f t="shared" si="3630"/>
        <v>0</v>
      </c>
      <c r="BK234" s="1758">
        <f t="shared" si="3630"/>
        <v>0</v>
      </c>
      <c r="BL234" s="1758">
        <f>ROUND((BL230-BL233),2)</f>
        <v>0</v>
      </c>
      <c r="BM234" s="1758">
        <f>ROUND((BM230-BM233),2)</f>
        <v>0</v>
      </c>
      <c r="BN234" s="1758">
        <f t="shared" si="3630"/>
        <v>0</v>
      </c>
      <c r="BO234" s="1758">
        <f t="shared" si="3630"/>
        <v>0</v>
      </c>
      <c r="BP234" s="1758">
        <f t="shared" si="3630"/>
        <v>0</v>
      </c>
      <c r="BQ234" s="1758">
        <f t="shared" si="3630"/>
        <v>0</v>
      </c>
      <c r="BR234" s="1758">
        <f t="shared" si="3630"/>
        <v>0</v>
      </c>
      <c r="BS234" s="1758">
        <f t="shared" si="3630"/>
        <v>0</v>
      </c>
      <c r="BT234" s="1758">
        <f t="shared" si="3630"/>
        <v>0</v>
      </c>
      <c r="BU234" s="1758">
        <f t="shared" si="3630"/>
        <v>0</v>
      </c>
      <c r="BV234" s="1758">
        <f t="shared" si="3630"/>
        <v>0</v>
      </c>
      <c r="BW234" s="1758">
        <f t="shared" si="3630"/>
        <v>0</v>
      </c>
      <c r="BX234" s="1758">
        <f>ROUND((BX230-BX233),2)</f>
        <v>0</v>
      </c>
      <c r="BY234" s="1758">
        <f t="shared" si="3630"/>
        <v>0</v>
      </c>
      <c r="BZ234" s="1758">
        <f t="shared" si="3630"/>
        <v>0</v>
      </c>
      <c r="CA234" s="1758">
        <f t="shared" si="3630"/>
        <v>0</v>
      </c>
      <c r="CB234" s="1758">
        <f t="shared" si="3630"/>
        <v>0</v>
      </c>
      <c r="CC234" s="1758">
        <f t="shared" si="3630"/>
        <v>0</v>
      </c>
      <c r="CD234" s="1758">
        <f t="shared" si="3630"/>
        <v>0</v>
      </c>
      <c r="CE234" s="1758">
        <f t="shared" si="3630"/>
        <v>0</v>
      </c>
      <c r="CF234" s="1758">
        <f t="shared" si="3630"/>
        <v>0</v>
      </c>
      <c r="CG234" s="1758">
        <f t="shared" si="3630"/>
        <v>0</v>
      </c>
      <c r="CH234" s="1758">
        <f t="shared" si="3630"/>
        <v>0</v>
      </c>
      <c r="CI234" s="1758">
        <f t="shared" si="3630"/>
        <v>0</v>
      </c>
      <c r="CJ234" s="1758">
        <f t="shared" si="3630"/>
        <v>0</v>
      </c>
      <c r="CK234" s="1758">
        <f t="shared" si="3630"/>
        <v>0</v>
      </c>
      <c r="CL234" s="1758">
        <f t="shared" si="3630"/>
        <v>0</v>
      </c>
      <c r="CM234" s="1758">
        <f t="shared" si="3630"/>
        <v>0</v>
      </c>
      <c r="CN234" s="1758">
        <f t="shared" si="3630"/>
        <v>0</v>
      </c>
      <c r="CO234" s="1474"/>
      <c r="CP234" s="1474"/>
      <c r="CQ234" s="1758">
        <f t="shared" ref="CQ234:EI234" si="3631">ROUND((CQ230-CQ233),2)</f>
        <v>0</v>
      </c>
      <c r="CR234" s="1758">
        <f t="shared" si="3631"/>
        <v>0</v>
      </c>
      <c r="CS234" s="1758">
        <f t="shared" si="3631"/>
        <v>0</v>
      </c>
      <c r="CT234" s="1758">
        <f t="shared" si="3631"/>
        <v>0</v>
      </c>
      <c r="CU234" s="1758">
        <f t="shared" si="3631"/>
        <v>0</v>
      </c>
      <c r="CV234" s="1758">
        <f t="shared" si="3631"/>
        <v>0</v>
      </c>
      <c r="CW234" s="1758">
        <f t="shared" si="3631"/>
        <v>0</v>
      </c>
      <c r="CX234" s="1758">
        <f t="shared" si="3631"/>
        <v>0</v>
      </c>
      <c r="CY234" s="1758">
        <f t="shared" si="3631"/>
        <v>0</v>
      </c>
      <c r="CZ234" s="1758">
        <f t="shared" si="3631"/>
        <v>0</v>
      </c>
      <c r="DA234" s="1758">
        <f>ROUND((DA230-DA233),2)</f>
        <v>0</v>
      </c>
      <c r="DB234" s="1758">
        <f t="shared" si="3631"/>
        <v>0</v>
      </c>
      <c r="DC234" s="1758">
        <f t="shared" si="3631"/>
        <v>0</v>
      </c>
      <c r="DD234" s="1758">
        <f t="shared" si="3631"/>
        <v>0</v>
      </c>
      <c r="DE234" s="1758">
        <f t="shared" si="3631"/>
        <v>0</v>
      </c>
      <c r="DF234" s="1758">
        <f t="shared" si="3631"/>
        <v>0</v>
      </c>
      <c r="DG234" s="1758">
        <f>ROUND((DG230-DG233),2)</f>
        <v>0</v>
      </c>
      <c r="DH234" s="1758">
        <f t="shared" si="3631"/>
        <v>0</v>
      </c>
      <c r="DI234" s="1758">
        <f t="shared" si="3631"/>
        <v>0</v>
      </c>
      <c r="DJ234" s="1758">
        <f t="shared" si="3631"/>
        <v>0</v>
      </c>
      <c r="DK234" s="1758">
        <f t="shared" si="3631"/>
        <v>0</v>
      </c>
      <c r="DL234" s="1758">
        <f t="shared" si="3631"/>
        <v>0</v>
      </c>
      <c r="DM234" s="1758">
        <f t="shared" si="3631"/>
        <v>0</v>
      </c>
      <c r="DN234" s="1758">
        <f t="shared" si="3631"/>
        <v>0</v>
      </c>
      <c r="DO234" s="1758">
        <f t="shared" si="3631"/>
        <v>0</v>
      </c>
      <c r="DP234" s="1758">
        <f t="shared" si="3631"/>
        <v>0</v>
      </c>
      <c r="DQ234" s="1758">
        <f t="shared" si="3631"/>
        <v>0</v>
      </c>
      <c r="DR234" s="1758">
        <f t="shared" si="3631"/>
        <v>0</v>
      </c>
      <c r="DS234" s="1758">
        <f t="shared" si="3631"/>
        <v>0</v>
      </c>
      <c r="DT234" s="1758">
        <f t="shared" si="3631"/>
        <v>0</v>
      </c>
      <c r="DU234" s="1758">
        <f t="shared" si="3631"/>
        <v>0</v>
      </c>
      <c r="DV234" s="1758">
        <f t="shared" si="3631"/>
        <v>0</v>
      </c>
      <c r="DW234" s="1758">
        <f t="shared" si="3631"/>
        <v>0</v>
      </c>
      <c r="DX234" s="1758">
        <f t="shared" si="3631"/>
        <v>0</v>
      </c>
      <c r="DY234" s="1758">
        <f t="shared" si="3631"/>
        <v>0</v>
      </c>
      <c r="DZ234" s="1758">
        <f t="shared" si="3631"/>
        <v>0</v>
      </c>
      <c r="EA234" s="1758">
        <f t="shared" si="3631"/>
        <v>0</v>
      </c>
      <c r="EB234" s="1758">
        <f t="shared" si="3631"/>
        <v>0</v>
      </c>
      <c r="EC234" s="1758">
        <f t="shared" si="3631"/>
        <v>0</v>
      </c>
      <c r="ED234" s="1758">
        <f t="shared" si="3631"/>
        <v>0</v>
      </c>
      <c r="EE234" s="1758">
        <f t="shared" si="3631"/>
        <v>0</v>
      </c>
      <c r="EF234" s="1758">
        <f t="shared" si="3631"/>
        <v>0</v>
      </c>
      <c r="EG234" s="1758">
        <f t="shared" si="3631"/>
        <v>0</v>
      </c>
      <c r="EH234" s="1758">
        <f t="shared" si="3631"/>
        <v>0</v>
      </c>
      <c r="EI234" s="1758">
        <f t="shared" si="3631"/>
        <v>0</v>
      </c>
      <c r="EJ234" s="1759"/>
      <c r="EK234" s="1758">
        <f t="shared" ref="EK234:ET234" si="3632">ROUND((EK230-EK233),2)</f>
        <v>0</v>
      </c>
      <c r="EL234" s="1758">
        <f t="shared" si="3632"/>
        <v>0</v>
      </c>
      <c r="EM234" s="1758">
        <f t="shared" si="3632"/>
        <v>0</v>
      </c>
      <c r="EN234" s="1758">
        <f t="shared" si="3632"/>
        <v>0</v>
      </c>
      <c r="EO234" s="1758">
        <f t="shared" si="3632"/>
        <v>0</v>
      </c>
      <c r="EP234" s="1758">
        <f>ROUND((EP230-EP233),2)</f>
        <v>0</v>
      </c>
      <c r="EQ234" s="1758">
        <f>ROUND((EQ230-EQ233),2)</f>
        <v>-706.62</v>
      </c>
      <c r="ER234" s="1758">
        <f t="shared" si="3632"/>
        <v>0</v>
      </c>
      <c r="ES234" s="1758">
        <f>ROUND((ES230-ES233),2)</f>
        <v>0</v>
      </c>
      <c r="ET234" s="1758">
        <f t="shared" si="3632"/>
        <v>0</v>
      </c>
      <c r="EU234" s="1441"/>
      <c r="EV234" s="1758">
        <f t="shared" ref="EV234:FE234" si="3633">ROUND((EV230-EV233),2)</f>
        <v>0</v>
      </c>
      <c r="EW234" s="1758">
        <f t="shared" si="3633"/>
        <v>0</v>
      </c>
      <c r="EX234" s="1758">
        <f t="shared" si="3633"/>
        <v>0</v>
      </c>
      <c r="EY234" s="1758">
        <f t="shared" si="3633"/>
        <v>0</v>
      </c>
      <c r="EZ234" s="1758">
        <f t="shared" si="3633"/>
        <v>0</v>
      </c>
      <c r="FA234" s="1758">
        <f t="shared" si="3633"/>
        <v>0</v>
      </c>
      <c r="FB234" s="1758">
        <f t="shared" si="3633"/>
        <v>0</v>
      </c>
      <c r="FC234" s="1758">
        <f t="shared" si="3633"/>
        <v>0</v>
      </c>
      <c r="FD234" s="1758">
        <f>ROUND((FD230-FD233),2)</f>
        <v>0</v>
      </c>
      <c r="FE234" s="1758">
        <f t="shared" si="3633"/>
        <v>0</v>
      </c>
      <c r="FF234" s="1514"/>
      <c r="FG234" s="1514"/>
      <c r="FH234" s="1514"/>
      <c r="FI234" s="1514"/>
      <c r="FJ234" s="1514"/>
      <c r="FK234" s="1514"/>
      <c r="FL234" s="1441">
        <f>+EM234-EX234</f>
        <v>0</v>
      </c>
      <c r="FM234" s="1474"/>
      <c r="FN234" s="1474"/>
      <c r="FO234" s="1474"/>
      <c r="FP234" s="1474"/>
      <c r="FQ234" s="1474"/>
      <c r="FR234" s="1474"/>
      <c r="FS234" s="1474"/>
      <c r="FT234" s="1474"/>
      <c r="FU234" s="1474"/>
      <c r="FV234" s="1474"/>
      <c r="FW234" s="1474"/>
      <c r="FX234" s="1474"/>
      <c r="FY234" s="1474"/>
      <c r="FZ234" s="1474"/>
      <c r="GA234" s="1474"/>
      <c r="GB234" s="1474"/>
      <c r="GC234" s="1474"/>
      <c r="GD234" s="1474"/>
      <c r="GE234" s="1474"/>
      <c r="GF234" s="1474"/>
      <c r="GG234" s="1474"/>
      <c r="GH234" s="1474"/>
      <c r="GI234" s="1474"/>
      <c r="GJ234" s="1474"/>
      <c r="GK234" s="1474"/>
      <c r="GL234" s="1474"/>
      <c r="GM234" s="1474"/>
      <c r="GN234" s="1474"/>
      <c r="GO234" s="1474"/>
      <c r="GP234" s="1474"/>
      <c r="GQ234" s="1474"/>
      <c r="GR234" s="1474"/>
      <c r="GS234" s="1474"/>
      <c r="GT234" s="1474"/>
      <c r="GU234" s="1474"/>
      <c r="GV234" s="1474"/>
      <c r="GW234" s="1474"/>
      <c r="GX234" s="1474"/>
      <c r="GY234" s="1474"/>
      <c r="GZ234" s="1474"/>
      <c r="HA234" s="1474"/>
      <c r="HB234" s="1474"/>
      <c r="HC234" s="1474"/>
      <c r="HD234" s="1474"/>
      <c r="HE234" s="1474"/>
      <c r="HF234" s="1474"/>
      <c r="HG234" s="1474"/>
      <c r="HH234" s="1474"/>
      <c r="HI234" s="1474"/>
      <c r="HJ234" s="1474"/>
      <c r="HK234" s="1474"/>
      <c r="HL234" s="1474"/>
      <c r="HM234" s="1474"/>
      <c r="HN234" s="1474"/>
      <c r="HO234" s="1474"/>
      <c r="HP234" s="1474"/>
      <c r="HQ234" s="1474"/>
      <c r="HR234" s="1474"/>
      <c r="HS234" s="1474"/>
      <c r="HT234" s="1474"/>
      <c r="HU234" s="1474"/>
      <c r="HV234" s="1474"/>
      <c r="HW234" s="1474"/>
      <c r="HX234" s="1474"/>
      <c r="HY234" s="1474"/>
      <c r="HZ234" s="1474"/>
      <c r="IA234" s="1474"/>
      <c r="IB234" s="1474"/>
      <c r="IC234" s="1474"/>
      <c r="ID234" s="1474"/>
      <c r="IE234" s="1474"/>
      <c r="IF234" s="1474"/>
      <c r="IG234" s="1474"/>
      <c r="IH234" s="1474"/>
      <c r="II234" s="1474"/>
      <c r="IJ234" s="1474"/>
      <c r="IK234" s="1474"/>
      <c r="IL234" s="1474"/>
      <c r="IM234" s="1474"/>
      <c r="IN234" s="1474"/>
      <c r="IO234" s="1474"/>
      <c r="IP234" s="1474"/>
      <c r="IQ234" s="1474"/>
      <c r="IR234" s="1474"/>
      <c r="IS234" s="1474"/>
      <c r="IT234" s="1474"/>
      <c r="IU234" s="1474"/>
      <c r="IV234" s="1474"/>
      <c r="IW234" s="1474"/>
      <c r="IX234" s="1474"/>
      <c r="IY234" s="1474"/>
      <c r="IZ234" s="1474"/>
    </row>
    <row r="235" spans="1:260" s="1513" customFormat="1" ht="11.25" customHeight="1">
      <c r="A235" s="1511"/>
      <c r="B235" s="1348"/>
      <c r="C235" s="1339"/>
      <c r="D235" s="1474"/>
      <c r="E235" s="1760" t="str">
        <f>IF(E234&lt;&gt;0,"Error,  Total general no coincide  con la suma individual","")</f>
        <v/>
      </c>
      <c r="F235" s="1760" t="str">
        <f>IF(F234&lt;&gt;0,"Error,  Total general no coincide  con la suma individual","")</f>
        <v>Error,  Total general no coincide  con la suma individual</v>
      </c>
      <c r="G235" s="1760" t="str">
        <f>IF(G234&lt;&gt;0,"Error,  Total general no coincide  con la suma individual","")</f>
        <v/>
      </c>
      <c r="I235" s="1514"/>
      <c r="J235" s="1514"/>
      <c r="K235" s="1514"/>
      <c r="L235" s="1514"/>
      <c r="M235" s="1514"/>
      <c r="N235" s="1514"/>
      <c r="O235" s="1474"/>
      <c r="P235" s="1760" t="str">
        <f t="shared" ref="P235:AT235" si="3634">IF(P234&lt;&gt;0,"Error,  Total general no coincide  con la suma individual","")</f>
        <v/>
      </c>
      <c r="Q235" s="1760" t="str">
        <f t="shared" si="3634"/>
        <v/>
      </c>
      <c r="R235" s="1760" t="str">
        <f t="shared" si="3634"/>
        <v/>
      </c>
      <c r="S235" s="1760" t="str">
        <f t="shared" si="3634"/>
        <v/>
      </c>
      <c r="T235" s="1760" t="str">
        <f t="shared" si="3634"/>
        <v/>
      </c>
      <c r="U235" s="1760" t="str">
        <f t="shared" si="3634"/>
        <v/>
      </c>
      <c r="V235" s="1760" t="str">
        <f t="shared" si="3634"/>
        <v/>
      </c>
      <c r="W235" s="1760" t="str">
        <f t="shared" si="3634"/>
        <v/>
      </c>
      <c r="X235" s="1760" t="str">
        <f t="shared" si="3634"/>
        <v/>
      </c>
      <c r="Y235" s="1760" t="str">
        <f t="shared" si="3634"/>
        <v/>
      </c>
      <c r="Z235" s="1760" t="str">
        <f t="shared" si="3634"/>
        <v/>
      </c>
      <c r="AA235" s="1760" t="str">
        <f t="shared" si="3634"/>
        <v/>
      </c>
      <c r="AB235" s="1760" t="str">
        <f t="shared" si="3634"/>
        <v/>
      </c>
      <c r="AC235" s="1760" t="str">
        <f t="shared" si="3634"/>
        <v/>
      </c>
      <c r="AD235" s="1760" t="str">
        <f t="shared" si="3634"/>
        <v/>
      </c>
      <c r="AE235" s="1760" t="str">
        <f t="shared" si="3634"/>
        <v/>
      </c>
      <c r="AF235" s="1760" t="str">
        <f t="shared" si="3634"/>
        <v/>
      </c>
      <c r="AG235" s="1760" t="str">
        <f t="shared" si="3634"/>
        <v/>
      </c>
      <c r="AH235" s="1760" t="str">
        <f t="shared" si="3634"/>
        <v/>
      </c>
      <c r="AI235" s="1760" t="str">
        <f t="shared" si="3634"/>
        <v/>
      </c>
      <c r="AJ235" s="1760" t="str">
        <f t="shared" si="3634"/>
        <v/>
      </c>
      <c r="AK235" s="1760" t="str">
        <f t="shared" si="3634"/>
        <v/>
      </c>
      <c r="AL235" s="1760" t="str">
        <f t="shared" si="3634"/>
        <v/>
      </c>
      <c r="AM235" s="1760" t="str">
        <f t="shared" si="3634"/>
        <v/>
      </c>
      <c r="AN235" s="1760" t="str">
        <f t="shared" si="3634"/>
        <v/>
      </c>
      <c r="AO235" s="1760" t="str">
        <f t="shared" si="3634"/>
        <v/>
      </c>
      <c r="AP235" s="1760" t="str">
        <f t="shared" si="3634"/>
        <v/>
      </c>
      <c r="AQ235" s="1760" t="str">
        <f t="shared" si="3634"/>
        <v/>
      </c>
      <c r="AR235" s="1760" t="str">
        <f t="shared" si="3634"/>
        <v/>
      </c>
      <c r="AS235" s="1760" t="str">
        <f t="shared" si="3634"/>
        <v/>
      </c>
      <c r="AT235" s="1760" t="e">
        <f t="shared" si="3634"/>
        <v>#REF!</v>
      </c>
      <c r="AU235" s="1759"/>
      <c r="AV235" s="1760" t="str">
        <f t="shared" ref="AV235:CN235" si="3635">IF(AV234&lt;&gt;0,"Error,  Total general no coincide  con la suma individual","")</f>
        <v/>
      </c>
      <c r="AW235" s="1760" t="str">
        <f t="shared" si="3635"/>
        <v/>
      </c>
      <c r="AX235" s="1760" t="str">
        <f t="shared" si="3635"/>
        <v/>
      </c>
      <c r="AY235" s="1760" t="str">
        <f t="shared" si="3635"/>
        <v/>
      </c>
      <c r="AZ235" s="1760" t="str">
        <f t="shared" si="3635"/>
        <v/>
      </c>
      <c r="BA235" s="1760" t="str">
        <f t="shared" si="3635"/>
        <v/>
      </c>
      <c r="BB235" s="1760" t="str">
        <f t="shared" si="3635"/>
        <v/>
      </c>
      <c r="BC235" s="1760" t="str">
        <f t="shared" si="3635"/>
        <v/>
      </c>
      <c r="BD235" s="1760" t="str">
        <f t="shared" si="3635"/>
        <v/>
      </c>
      <c r="BE235" s="1760" t="str">
        <f t="shared" si="3635"/>
        <v/>
      </c>
      <c r="BF235" s="1760"/>
      <c r="BG235" s="1760" t="str">
        <f t="shared" si="3635"/>
        <v/>
      </c>
      <c r="BH235" s="1760" t="str">
        <f t="shared" si="3635"/>
        <v/>
      </c>
      <c r="BI235" s="1760" t="str">
        <f t="shared" si="3635"/>
        <v/>
      </c>
      <c r="BJ235" s="1760" t="str">
        <f t="shared" si="3635"/>
        <v/>
      </c>
      <c r="BK235" s="1760" t="str">
        <f t="shared" si="3635"/>
        <v/>
      </c>
      <c r="BL235" s="1760" t="str">
        <f t="shared" si="3635"/>
        <v/>
      </c>
      <c r="BM235" s="1760" t="str">
        <f t="shared" si="3635"/>
        <v/>
      </c>
      <c r="BN235" s="1760" t="str">
        <f t="shared" si="3635"/>
        <v/>
      </c>
      <c r="BO235" s="1760" t="str">
        <f t="shared" si="3635"/>
        <v/>
      </c>
      <c r="BP235" s="1760" t="str">
        <f t="shared" si="3635"/>
        <v/>
      </c>
      <c r="BQ235" s="1760" t="str">
        <f t="shared" si="3635"/>
        <v/>
      </c>
      <c r="BR235" s="1760" t="str">
        <f t="shared" si="3635"/>
        <v/>
      </c>
      <c r="BS235" s="1760" t="str">
        <f t="shared" si="3635"/>
        <v/>
      </c>
      <c r="BT235" s="1760" t="str">
        <f t="shared" si="3635"/>
        <v/>
      </c>
      <c r="BU235" s="1760" t="str">
        <f t="shared" si="3635"/>
        <v/>
      </c>
      <c r="BV235" s="1760" t="str">
        <f t="shared" si="3635"/>
        <v/>
      </c>
      <c r="BW235" s="1760" t="str">
        <f t="shared" si="3635"/>
        <v/>
      </c>
      <c r="BX235" s="1760" t="str">
        <f>IF(BX234&lt;&gt;0,"Error,  Total general no coincide  con la suma individual","")</f>
        <v/>
      </c>
      <c r="BY235" s="1760" t="str">
        <f t="shared" si="3635"/>
        <v/>
      </c>
      <c r="BZ235" s="1760" t="str">
        <f t="shared" si="3635"/>
        <v/>
      </c>
      <c r="CA235" s="1760" t="str">
        <f t="shared" si="3635"/>
        <v/>
      </c>
      <c r="CB235" s="1760" t="str">
        <f t="shared" si="3635"/>
        <v/>
      </c>
      <c r="CC235" s="1760" t="str">
        <f t="shared" si="3635"/>
        <v/>
      </c>
      <c r="CD235" s="1760" t="str">
        <f t="shared" si="3635"/>
        <v/>
      </c>
      <c r="CE235" s="1760" t="str">
        <f t="shared" si="3635"/>
        <v/>
      </c>
      <c r="CF235" s="1760" t="str">
        <f t="shared" si="3635"/>
        <v/>
      </c>
      <c r="CG235" s="1760" t="str">
        <f t="shared" si="3635"/>
        <v/>
      </c>
      <c r="CH235" s="1760" t="str">
        <f t="shared" si="3635"/>
        <v/>
      </c>
      <c r="CI235" s="1760" t="str">
        <f t="shared" si="3635"/>
        <v/>
      </c>
      <c r="CJ235" s="1760" t="str">
        <f t="shared" si="3635"/>
        <v/>
      </c>
      <c r="CK235" s="1760" t="str">
        <f t="shared" si="3635"/>
        <v/>
      </c>
      <c r="CL235" s="1760" t="str">
        <f t="shared" si="3635"/>
        <v/>
      </c>
      <c r="CM235" s="1760" t="str">
        <f t="shared" si="3635"/>
        <v/>
      </c>
      <c r="CN235" s="1760" t="str">
        <f t="shared" si="3635"/>
        <v/>
      </c>
      <c r="CO235" s="1474"/>
      <c r="CP235" s="1474"/>
      <c r="CQ235" s="1760" t="str">
        <f t="shared" ref="CQ235:EI235" si="3636">IF(CQ234&lt;&gt;0,"Error,  Total general no coincide  con la suma individual","")</f>
        <v/>
      </c>
      <c r="CR235" s="1760" t="str">
        <f t="shared" si="3636"/>
        <v/>
      </c>
      <c r="CS235" s="1760" t="str">
        <f t="shared" si="3636"/>
        <v/>
      </c>
      <c r="CT235" s="1760" t="str">
        <f t="shared" si="3636"/>
        <v/>
      </c>
      <c r="CU235" s="1760" t="str">
        <f t="shared" si="3636"/>
        <v/>
      </c>
      <c r="CV235" s="1760" t="str">
        <f t="shared" si="3636"/>
        <v/>
      </c>
      <c r="CW235" s="1760" t="str">
        <f t="shared" si="3636"/>
        <v/>
      </c>
      <c r="CX235" s="1760" t="str">
        <f t="shared" si="3636"/>
        <v/>
      </c>
      <c r="CY235" s="1760" t="str">
        <f t="shared" si="3636"/>
        <v/>
      </c>
      <c r="CZ235" s="1760" t="str">
        <f t="shared" si="3636"/>
        <v/>
      </c>
      <c r="DA235" s="1760" t="str">
        <f t="shared" si="3636"/>
        <v/>
      </c>
      <c r="DB235" s="1760" t="str">
        <f t="shared" si="3636"/>
        <v/>
      </c>
      <c r="DC235" s="1760" t="str">
        <f t="shared" si="3636"/>
        <v/>
      </c>
      <c r="DD235" s="1760" t="str">
        <f t="shared" si="3636"/>
        <v/>
      </c>
      <c r="DE235" s="1760" t="str">
        <f t="shared" si="3636"/>
        <v/>
      </c>
      <c r="DF235" s="1760" t="str">
        <f t="shared" si="3636"/>
        <v/>
      </c>
      <c r="DG235" s="1760" t="str">
        <f t="shared" si="3636"/>
        <v/>
      </c>
      <c r="DH235" s="1760" t="str">
        <f t="shared" si="3636"/>
        <v/>
      </c>
      <c r="DI235" s="1760" t="str">
        <f t="shared" si="3636"/>
        <v/>
      </c>
      <c r="DJ235" s="1760" t="str">
        <f t="shared" si="3636"/>
        <v/>
      </c>
      <c r="DK235" s="1760" t="str">
        <f t="shared" si="3636"/>
        <v/>
      </c>
      <c r="DL235" s="1760" t="str">
        <f t="shared" si="3636"/>
        <v/>
      </c>
      <c r="DM235" s="1760" t="str">
        <f t="shared" si="3636"/>
        <v/>
      </c>
      <c r="DN235" s="1760" t="str">
        <f t="shared" si="3636"/>
        <v/>
      </c>
      <c r="DO235" s="1760" t="str">
        <f t="shared" si="3636"/>
        <v/>
      </c>
      <c r="DP235" s="1760" t="str">
        <f t="shared" si="3636"/>
        <v/>
      </c>
      <c r="DQ235" s="1760" t="str">
        <f t="shared" si="3636"/>
        <v/>
      </c>
      <c r="DR235" s="1760" t="str">
        <f t="shared" si="3636"/>
        <v/>
      </c>
      <c r="DS235" s="1760" t="str">
        <f t="shared" si="3636"/>
        <v/>
      </c>
      <c r="DT235" s="1760" t="str">
        <f t="shared" si="3636"/>
        <v/>
      </c>
      <c r="DU235" s="1760" t="str">
        <f t="shared" si="3636"/>
        <v/>
      </c>
      <c r="DV235" s="1760" t="str">
        <f t="shared" si="3636"/>
        <v/>
      </c>
      <c r="DW235" s="1760" t="str">
        <f t="shared" si="3636"/>
        <v/>
      </c>
      <c r="DX235" s="1760" t="str">
        <f t="shared" si="3636"/>
        <v/>
      </c>
      <c r="DY235" s="1760" t="str">
        <f t="shared" si="3636"/>
        <v/>
      </c>
      <c r="DZ235" s="1760" t="str">
        <f t="shared" si="3636"/>
        <v/>
      </c>
      <c r="EA235" s="1760" t="str">
        <f t="shared" si="3636"/>
        <v/>
      </c>
      <c r="EB235" s="1760" t="str">
        <f t="shared" si="3636"/>
        <v/>
      </c>
      <c r="EC235" s="1760" t="str">
        <f t="shared" si="3636"/>
        <v/>
      </c>
      <c r="ED235" s="1760" t="str">
        <f t="shared" si="3636"/>
        <v/>
      </c>
      <c r="EE235" s="1760" t="str">
        <f t="shared" si="3636"/>
        <v/>
      </c>
      <c r="EF235" s="1760" t="str">
        <f t="shared" si="3636"/>
        <v/>
      </c>
      <c r="EG235" s="1760" t="str">
        <f t="shared" si="3636"/>
        <v/>
      </c>
      <c r="EH235" s="1760" t="str">
        <f t="shared" si="3636"/>
        <v/>
      </c>
      <c r="EI235" s="1760" t="str">
        <f t="shared" si="3636"/>
        <v/>
      </c>
      <c r="EJ235" s="1759"/>
      <c r="EK235" s="1760" t="str">
        <f t="shared" ref="EK235:ET235" si="3637">IF(EK234&lt;&gt;0,"Error,  Total general no coincide  con la suma individual","")</f>
        <v/>
      </c>
      <c r="EL235" s="1760" t="str">
        <f t="shared" si="3637"/>
        <v/>
      </c>
      <c r="EM235" s="1760" t="str">
        <f t="shared" si="3637"/>
        <v/>
      </c>
      <c r="EN235" s="1760" t="str">
        <f t="shared" si="3637"/>
        <v/>
      </c>
      <c r="EO235" s="1760"/>
      <c r="EP235" s="1760"/>
      <c r="EQ235" s="1760"/>
      <c r="ER235" s="1760" t="str">
        <f t="shared" si="3637"/>
        <v/>
      </c>
      <c r="ES235" s="1760" t="str">
        <f>IF(ES234&lt;&gt;0,"Error,  Total general no coincide  con la suma individual","")</f>
        <v/>
      </c>
      <c r="ET235" s="1760" t="str">
        <f t="shared" si="3637"/>
        <v/>
      </c>
      <c r="EU235" s="1441"/>
      <c r="EV235" s="1760" t="str">
        <f t="shared" ref="EV235:FE235" si="3638">IF(EV234&lt;&gt;0,"Error,  Total general no coincide  con la suma individual","")</f>
        <v/>
      </c>
      <c r="EW235" s="1760" t="str">
        <f t="shared" si="3638"/>
        <v/>
      </c>
      <c r="EX235" s="1760" t="str">
        <f t="shared" si="3638"/>
        <v/>
      </c>
      <c r="EY235" s="1760" t="str">
        <f t="shared" si="3638"/>
        <v/>
      </c>
      <c r="EZ235" s="1760"/>
      <c r="FA235" s="1760"/>
      <c r="FB235" s="1760"/>
      <c r="FC235" s="1760" t="str">
        <f t="shared" si="3638"/>
        <v/>
      </c>
      <c r="FD235" s="1760" t="str">
        <f t="shared" si="3638"/>
        <v/>
      </c>
      <c r="FE235" s="1760" t="str">
        <f t="shared" si="3638"/>
        <v/>
      </c>
      <c r="FF235" s="1514"/>
      <c r="FG235" s="1514"/>
      <c r="FH235" s="1514"/>
      <c r="FI235" s="1514"/>
      <c r="FJ235" s="1514"/>
      <c r="FK235" s="1514"/>
      <c r="FL235" s="1441" t="e">
        <f>+EM235-EX235</f>
        <v>#VALUE!</v>
      </c>
      <c r="FM235" s="1474"/>
      <c r="FN235" s="1474"/>
      <c r="FO235" s="1474"/>
      <c r="FP235" s="1474"/>
      <c r="FQ235" s="1474"/>
      <c r="FR235" s="1474"/>
      <c r="FS235" s="1474"/>
      <c r="FT235" s="1474"/>
      <c r="FU235" s="1474"/>
      <c r="FV235" s="1474"/>
      <c r="FW235" s="1474"/>
      <c r="FX235" s="1474"/>
      <c r="FY235" s="1474"/>
      <c r="FZ235" s="1474"/>
      <c r="GA235" s="1474"/>
      <c r="GB235" s="1474"/>
      <c r="GC235" s="1474"/>
      <c r="GD235" s="1474"/>
      <c r="GE235" s="1474"/>
      <c r="GF235" s="1474"/>
      <c r="GG235" s="1474"/>
      <c r="GH235" s="1474"/>
      <c r="GI235" s="1474"/>
      <c r="GJ235" s="1474"/>
      <c r="GK235" s="1474"/>
      <c r="GL235" s="1474"/>
      <c r="GM235" s="1474"/>
      <c r="GN235" s="1474"/>
      <c r="GO235" s="1474"/>
      <c r="GP235" s="1474"/>
      <c r="GQ235" s="1474"/>
      <c r="GR235" s="1474"/>
      <c r="GS235" s="1474"/>
      <c r="GT235" s="1474"/>
      <c r="GU235" s="1474"/>
      <c r="GV235" s="1474"/>
      <c r="GW235" s="1474"/>
      <c r="GX235" s="1474"/>
      <c r="GY235" s="1474"/>
      <c r="GZ235" s="1474"/>
      <c r="HA235" s="1474"/>
      <c r="HB235" s="1474"/>
      <c r="HC235" s="1474"/>
      <c r="HD235" s="1474"/>
      <c r="HE235" s="1474"/>
      <c r="HF235" s="1474"/>
      <c r="HG235" s="1474"/>
      <c r="HH235" s="1474"/>
      <c r="HI235" s="1474"/>
      <c r="HJ235" s="1474"/>
      <c r="HK235" s="1474"/>
      <c r="HL235" s="1474"/>
      <c r="HM235" s="1474"/>
      <c r="HN235" s="1474"/>
      <c r="HO235" s="1474"/>
      <c r="HP235" s="1474"/>
      <c r="HQ235" s="1474"/>
      <c r="HR235" s="1474"/>
      <c r="HS235" s="1474"/>
      <c r="HT235" s="1474"/>
      <c r="HU235" s="1474"/>
      <c r="HV235" s="1474"/>
      <c r="HW235" s="1474"/>
      <c r="HX235" s="1474"/>
      <c r="HY235" s="1474"/>
      <c r="HZ235" s="1474"/>
      <c r="IA235" s="1474"/>
      <c r="IB235" s="1474"/>
      <c r="IC235" s="1474"/>
      <c r="ID235" s="1474"/>
      <c r="IE235" s="1474"/>
      <c r="IF235" s="1474"/>
      <c r="IG235" s="1474"/>
      <c r="IH235" s="1474"/>
      <c r="II235" s="1474"/>
      <c r="IJ235" s="1474"/>
      <c r="IK235" s="1474"/>
      <c r="IL235" s="1474"/>
      <c r="IM235" s="1474"/>
      <c r="IN235" s="1474"/>
      <c r="IO235" s="1474"/>
      <c r="IP235" s="1474"/>
      <c r="IQ235" s="1474"/>
      <c r="IR235" s="1474"/>
      <c r="IS235" s="1474"/>
      <c r="IT235" s="1474"/>
      <c r="IU235" s="1474"/>
      <c r="IV235" s="1474"/>
      <c r="IW235" s="1474"/>
      <c r="IX235" s="1474"/>
      <c r="IY235" s="1474"/>
      <c r="IZ235" s="1474"/>
    </row>
    <row r="236" spans="1:260" s="1513" customFormat="1">
      <c r="A236" s="1511"/>
      <c r="B236" s="1348"/>
      <c r="C236" s="1339"/>
      <c r="D236" s="1474"/>
      <c r="I236" s="1514"/>
      <c r="J236" s="1514"/>
      <c r="K236" s="1514"/>
      <c r="L236" s="1514"/>
      <c r="M236" s="1514"/>
      <c r="N236" s="1514"/>
      <c r="O236" s="1474"/>
      <c r="P236" s="1515"/>
      <c r="R236" s="1515"/>
      <c r="T236" s="1515"/>
      <c r="V236" s="1515"/>
      <c r="X236" s="1515"/>
      <c r="Z236" s="1516"/>
      <c r="AB236" s="1516"/>
      <c r="AD236" s="1516"/>
      <c r="AH236" s="1516"/>
      <c r="AU236" s="1533"/>
      <c r="BF236" s="1512"/>
      <c r="CO236" s="1474"/>
      <c r="CP236" s="1474"/>
      <c r="EJ236" s="1474"/>
      <c r="EU236" s="1441"/>
      <c r="FF236" s="1514"/>
      <c r="FG236" s="1514"/>
      <c r="FH236" s="1514"/>
      <c r="FI236" s="1514"/>
      <c r="FJ236" s="1514"/>
      <c r="FK236" s="1514"/>
      <c r="FL236" s="1474"/>
      <c r="FM236" s="1474"/>
      <c r="FN236" s="1474"/>
      <c r="FO236" s="1474"/>
      <c r="FP236" s="1474"/>
      <c r="FQ236" s="1474"/>
      <c r="FR236" s="1474"/>
      <c r="FS236" s="1474"/>
      <c r="FT236" s="1474"/>
      <c r="FU236" s="1474"/>
      <c r="FV236" s="1474"/>
      <c r="FW236" s="1474"/>
      <c r="FX236" s="1474"/>
      <c r="FY236" s="1474"/>
      <c r="FZ236" s="1474"/>
      <c r="GA236" s="1474"/>
      <c r="GB236" s="1474"/>
      <c r="GC236" s="1474"/>
      <c r="GD236" s="1474"/>
      <c r="GE236" s="1474"/>
      <c r="GF236" s="1474"/>
      <c r="GG236" s="1474"/>
      <c r="GH236" s="1474"/>
      <c r="GI236" s="1474"/>
      <c r="GJ236" s="1474"/>
      <c r="GK236" s="1474"/>
      <c r="GL236" s="1474"/>
      <c r="GM236" s="1474"/>
      <c r="GN236" s="1474"/>
      <c r="GO236" s="1474"/>
      <c r="GP236" s="1474"/>
      <c r="GQ236" s="1474"/>
      <c r="GR236" s="1474"/>
      <c r="GS236" s="1474"/>
      <c r="GT236" s="1474"/>
      <c r="GU236" s="1474"/>
      <c r="GV236" s="1474"/>
      <c r="GW236" s="1474"/>
      <c r="GX236" s="1474"/>
      <c r="GY236" s="1474"/>
      <c r="GZ236" s="1474"/>
      <c r="HA236" s="1474"/>
      <c r="HB236" s="1474"/>
      <c r="HC236" s="1474"/>
      <c r="HD236" s="1474"/>
      <c r="HE236" s="1474"/>
      <c r="HF236" s="1474"/>
      <c r="HG236" s="1474"/>
      <c r="HH236" s="1474"/>
      <c r="HI236" s="1474"/>
      <c r="HJ236" s="1474"/>
      <c r="HK236" s="1474"/>
      <c r="HL236" s="1474"/>
      <c r="HM236" s="1474"/>
      <c r="HN236" s="1474"/>
      <c r="HO236" s="1474"/>
      <c r="HP236" s="1474"/>
      <c r="HQ236" s="1474"/>
      <c r="HR236" s="1474"/>
      <c r="HS236" s="1474"/>
      <c r="HT236" s="1474"/>
      <c r="HU236" s="1474"/>
      <c r="HV236" s="1474"/>
      <c r="HW236" s="1474"/>
      <c r="HX236" s="1474"/>
      <c r="HY236" s="1474"/>
      <c r="HZ236" s="1474"/>
      <c r="IA236" s="1474"/>
      <c r="IB236" s="1474"/>
      <c r="IC236" s="1474"/>
      <c r="ID236" s="1474"/>
      <c r="IE236" s="1474"/>
      <c r="IF236" s="1474"/>
      <c r="IG236" s="1474"/>
      <c r="IH236" s="1474"/>
      <c r="II236" s="1474"/>
      <c r="IJ236" s="1474"/>
      <c r="IK236" s="1474"/>
      <c r="IL236" s="1474"/>
      <c r="IM236" s="1474"/>
      <c r="IN236" s="1474"/>
      <c r="IO236" s="1474"/>
      <c r="IP236" s="1474"/>
      <c r="IQ236" s="1474"/>
      <c r="IR236" s="1474"/>
      <c r="IS236" s="1474"/>
      <c r="IT236" s="1474"/>
      <c r="IU236" s="1474"/>
      <c r="IV236" s="1474"/>
      <c r="IW236" s="1474"/>
      <c r="IX236" s="1474"/>
      <c r="IY236" s="1474"/>
      <c r="IZ236" s="1474"/>
    </row>
    <row r="237" spans="1:260" s="1513" customFormat="1" ht="13.5" thickBot="1">
      <c r="A237" s="1511"/>
      <c r="B237" s="1633" t="s">
        <v>141</v>
      </c>
      <c r="C237" s="1403"/>
      <c r="D237" s="1414"/>
      <c r="F237" s="1761" t="s">
        <v>142</v>
      </c>
      <c r="G237" s="1441"/>
      <c r="H237" s="1441"/>
      <c r="I237" s="1441"/>
      <c r="J237" s="1441"/>
      <c r="K237" s="1441"/>
      <c r="L237" s="1441"/>
      <c r="M237" s="1441"/>
      <c r="N237" s="1441"/>
      <c r="O237" s="1441"/>
      <c r="P237" s="1515"/>
      <c r="R237" s="1474"/>
      <c r="T237" s="1515"/>
      <c r="V237" s="1515"/>
      <c r="X237" s="1515"/>
      <c r="Z237" s="1516"/>
      <c r="AB237" s="1516"/>
      <c r="AD237" s="1516"/>
      <c r="AH237" s="1516"/>
      <c r="AU237" s="1533"/>
      <c r="AV237" s="1755">
        <f>AV230+BE230+BN230+BW230+CF230</f>
        <v>598763.44999999995</v>
      </c>
      <c r="AW237" s="1755">
        <f>AW230+BF230+BO230+BX230+CG230</f>
        <v>479719.66133333341</v>
      </c>
      <c r="AX237" s="1755">
        <f>AX230+BG230+BP230+BY230+CH230</f>
        <v>546.5</v>
      </c>
      <c r="AY237" s="1755">
        <f t="shared" ref="AY237:BA237" si="3639">AY230+BH230+BQ230+BZ230+CI230</f>
        <v>10953.423500000001</v>
      </c>
      <c r="AZ237" s="1755">
        <f t="shared" si="3639"/>
        <v>12</v>
      </c>
      <c r="BA237" s="1755">
        <f t="shared" si="3639"/>
        <v>316.63800000000003</v>
      </c>
      <c r="BB237" s="1755">
        <f>BB230+BK230+BT230+CC230+CL230</f>
        <v>0</v>
      </c>
      <c r="BC237" s="1755">
        <f>BC230+BL230+BU230+CD230+CM230</f>
        <v>74345.47090705001</v>
      </c>
      <c r="BD237" s="1755">
        <f>BD230+BM230+BV230+CE230+CN230</f>
        <v>1164098.6437403832</v>
      </c>
      <c r="BE237" s="1474"/>
      <c r="BF237" s="1474"/>
      <c r="BG237" s="1474"/>
      <c r="BH237" s="1474"/>
      <c r="BI237" s="1474"/>
      <c r="CO237" s="1474"/>
      <c r="CP237" s="1474"/>
      <c r="CQ237" s="1755">
        <f>ROUND((CQ230-'Nomina Proquima'!G143),2)</f>
        <v>0</v>
      </c>
      <c r="CR237" s="1755">
        <f>ROUND((CR230-'Nomina Proquima'!H143),2)</f>
        <v>0</v>
      </c>
      <c r="CS237" s="1755">
        <f>ROUND((CS230-'Nomina Proquima'!J143),2)</f>
        <v>0</v>
      </c>
      <c r="CT237" s="1755">
        <f>ROUND((CT230-'Nomina Proquima'!K143),2)</f>
        <v>-0.02</v>
      </c>
      <c r="CU237" s="1755">
        <f>ROUND((CU230-'Nomina Proquima'!L143),2)</f>
        <v>0</v>
      </c>
      <c r="CV237" s="1755">
        <f>ROUND((CV230-'Nomina Proquima'!M143),2)</f>
        <v>0</v>
      </c>
      <c r="CW237" s="1755">
        <f>ROUND((CW230-'Nomina Proquima'!N143),2)</f>
        <v>0</v>
      </c>
      <c r="CZ237" s="1755">
        <f>ROUND((CZ230-'Nomina Unhesa'!G163+'Nomina Unhesa'!G160),2)</f>
        <v>2882.76</v>
      </c>
      <c r="DA237" s="1755">
        <f>ROUND((DA230-'Nomina Unhesa'!H163+'Nomina Unhesa'!H160),2)</f>
        <v>2047.78</v>
      </c>
      <c r="DB237" s="1755">
        <f>ROUND((DB230-'Nomina Unhesa'!J163+'Nomina Unhesa'!J160),2)</f>
        <v>0</v>
      </c>
      <c r="DC237" s="1755">
        <f>ROUND((DC230-'Nomina Unhesa'!K163+'Nomina Unhesa'!K160),2)</f>
        <v>-24.84</v>
      </c>
      <c r="DD237" s="1755">
        <f>ROUND((DD230-'Nomina Unhesa'!L163+'Nomina Unhesa'!L160),2)</f>
        <v>0</v>
      </c>
      <c r="DE237" s="1755">
        <f>ROUND((DE230-'Nomina Unhesa'!M163+'Nomina Unhesa'!M160),2)</f>
        <v>0</v>
      </c>
      <c r="DF237" s="1755">
        <f>ROUND((DF230-'Nomina Unhesa'!O163),2)</f>
        <v>0</v>
      </c>
      <c r="DI237" s="1513">
        <f>DI230-'Nomina Unhesa'!G160</f>
        <v>-2882.7619999999952</v>
      </c>
      <c r="DJ237" s="1513">
        <f>DJ230-'Nomina Unhesa'!H160</f>
        <v>-2047.7800000000007</v>
      </c>
      <c r="DK237" s="1513">
        <f>DK230-'Nomina Unhesa'!J160</f>
        <v>14</v>
      </c>
      <c r="DL237" s="1513">
        <f>DL230-'Nomina Unhesa'!K160</f>
        <v>301.85900000000038</v>
      </c>
      <c r="DM237" s="1513">
        <f>DM230-'Nomina Unhesa'!L160</f>
        <v>0</v>
      </c>
      <c r="DN237" s="1513">
        <f>DN230-'Nomina Unhesa'!M160</f>
        <v>-1.9999999999527063E-3</v>
      </c>
      <c r="DO237" s="1513">
        <f>DO230-'Nomina Unhesa'!N160</f>
        <v>0</v>
      </c>
      <c r="DR237" s="1755" t="e">
        <f>ROUND((DR230-'Nomina Econacional'!G38),2)</f>
        <v>#N/A</v>
      </c>
      <c r="DS237" s="1755" t="e">
        <f>ROUND((DS230-'Nomina Econacional'!H38),2)</f>
        <v>#N/A</v>
      </c>
      <c r="DT237" s="1755" t="e">
        <f>ROUND((DT230-'Nomina Econacional'!J38),2)</f>
        <v>#N/A</v>
      </c>
      <c r="DU237" s="1755" t="e">
        <f>ROUND((DU230-'Nomina Econacional'!K38),2)</f>
        <v>#N/A</v>
      </c>
      <c r="DV237" s="1755" t="e">
        <f>ROUND((DV230-'Nomina Econacional'!L38),2)</f>
        <v>#N/A</v>
      </c>
      <c r="DW237" s="1755" t="e">
        <f>ROUND((DW230-'Nomina Econacional'!M38),2)</f>
        <v>#N/A</v>
      </c>
      <c r="DX237" s="1755" t="e">
        <f>ROUND((DX230-'Nomina Econacional'!N38),2)</f>
        <v>#N/A</v>
      </c>
      <c r="EJ237" s="1474"/>
      <c r="EK237" s="1755">
        <f t="shared" ref="EK237:ET237" si="3640">IF($H$10=30,EV230-EK230,(EK230-(EV230*2)))</f>
        <v>56.990000000005239</v>
      </c>
      <c r="EL237" s="1755">
        <f t="shared" si="3640"/>
        <v>-477.57499999999709</v>
      </c>
      <c r="EM237" s="1755">
        <f t="shared" si="3640"/>
        <v>0</v>
      </c>
      <c r="EN237" s="1755">
        <f t="shared" si="3640"/>
        <v>0</v>
      </c>
      <c r="EO237" s="1755">
        <f t="shared" si="3640"/>
        <v>0</v>
      </c>
      <c r="EP237" s="1755">
        <f t="shared" si="3640"/>
        <v>0</v>
      </c>
      <c r="EQ237" s="1755">
        <f t="shared" si="3640"/>
        <v>706.61999999999898</v>
      </c>
      <c r="ER237" s="1755">
        <f>IF($H$10=30,FC230-ER230,(ER230-(FC230*2)))</f>
        <v>0</v>
      </c>
      <c r="ES237" s="1755">
        <f>IF($H$10=30,FD230-ES230,(ES230-(FD230*2)))</f>
        <v>0</v>
      </c>
      <c r="ET237" s="1755">
        <f t="shared" si="3640"/>
        <v>-25</v>
      </c>
      <c r="EU237" s="1441"/>
      <c r="FF237" s="1514"/>
      <c r="FG237" s="1514"/>
      <c r="FH237" s="1514"/>
      <c r="FI237" s="1514"/>
      <c r="FJ237" s="1514"/>
      <c r="FK237" s="1514"/>
      <c r="FL237" s="1474"/>
      <c r="FM237" s="1474"/>
      <c r="FN237" s="1474"/>
      <c r="FO237" s="1474"/>
      <c r="FP237" s="1474"/>
      <c r="FQ237" s="1474"/>
      <c r="FR237" s="1474"/>
      <c r="FS237" s="1474"/>
      <c r="FT237" s="1474"/>
      <c r="FU237" s="1474"/>
      <c r="FV237" s="1474"/>
      <c r="FW237" s="1474"/>
      <c r="FX237" s="1474"/>
      <c r="FY237" s="1474"/>
      <c r="FZ237" s="1474"/>
      <c r="GA237" s="1474"/>
      <c r="GB237" s="1474"/>
      <c r="GC237" s="1474"/>
      <c r="GD237" s="1474"/>
      <c r="GE237" s="1474"/>
      <c r="GF237" s="1474"/>
      <c r="GG237" s="1474"/>
      <c r="GH237" s="1474"/>
      <c r="GI237" s="1474"/>
      <c r="GJ237" s="1474"/>
      <c r="GK237" s="1474"/>
      <c r="GL237" s="1474"/>
      <c r="GM237" s="1474"/>
      <c r="GN237" s="1474"/>
      <c r="GO237" s="1474"/>
      <c r="GP237" s="1474"/>
      <c r="GQ237" s="1474"/>
      <c r="GR237" s="1474"/>
      <c r="GS237" s="1474"/>
      <c r="GT237" s="1474"/>
      <c r="GU237" s="1474"/>
      <c r="GV237" s="1474"/>
      <c r="GW237" s="1474"/>
      <c r="GX237" s="1474"/>
      <c r="GY237" s="1474"/>
      <c r="GZ237" s="1474"/>
      <c r="HA237" s="1474"/>
      <c r="HB237" s="1474"/>
      <c r="HC237" s="1474"/>
      <c r="HD237" s="1474"/>
      <c r="HE237" s="1474"/>
      <c r="HF237" s="1474"/>
      <c r="HG237" s="1474"/>
      <c r="HH237" s="1474"/>
      <c r="HI237" s="1474"/>
      <c r="HJ237" s="1474"/>
      <c r="HK237" s="1474"/>
      <c r="HL237" s="1474"/>
      <c r="HM237" s="1474"/>
      <c r="HN237" s="1474"/>
      <c r="HO237" s="1474"/>
      <c r="HP237" s="1474"/>
      <c r="HQ237" s="1474"/>
      <c r="HR237" s="1474"/>
      <c r="HS237" s="1474"/>
      <c r="HT237" s="1474"/>
      <c r="HU237" s="1474"/>
      <c r="HV237" s="1474"/>
      <c r="HW237" s="1474"/>
      <c r="HX237" s="1474"/>
      <c r="HY237" s="1474"/>
      <c r="HZ237" s="1474"/>
      <c r="IA237" s="1474"/>
      <c r="IB237" s="1474"/>
      <c r="IC237" s="1474"/>
      <c r="ID237" s="1474"/>
      <c r="IE237" s="1474"/>
      <c r="IF237" s="1474"/>
      <c r="IG237" s="1474"/>
      <c r="IH237" s="1474"/>
      <c r="II237" s="1474"/>
      <c r="IJ237" s="1474"/>
      <c r="IK237" s="1474"/>
      <c r="IL237" s="1474"/>
      <c r="IM237" s="1474"/>
      <c r="IN237" s="1474"/>
      <c r="IO237" s="1474"/>
      <c r="IP237" s="1474"/>
      <c r="IQ237" s="1474"/>
      <c r="IR237" s="1474"/>
      <c r="IS237" s="1474"/>
      <c r="IT237" s="1474"/>
      <c r="IU237" s="1474"/>
      <c r="IV237" s="1474"/>
      <c r="IW237" s="1474"/>
      <c r="IX237" s="1474"/>
      <c r="IY237" s="1474"/>
      <c r="IZ237" s="1474"/>
    </row>
    <row r="238" spans="1:260" s="1513" customFormat="1" ht="12.75">
      <c r="A238" s="1511"/>
      <c r="B238" s="1762"/>
      <c r="C238" s="1763" t="s">
        <v>143</v>
      </c>
      <c r="D238" s="1764" t="s">
        <v>144</v>
      </c>
      <c r="F238" s="1765"/>
      <c r="G238" s="1441"/>
      <c r="H238" s="1441"/>
      <c r="I238" s="1441"/>
      <c r="J238" s="1441"/>
      <c r="K238" s="1441"/>
      <c r="L238" s="1441"/>
      <c r="M238" s="1441"/>
      <c r="N238" s="1441"/>
      <c r="O238" s="1500"/>
      <c r="P238" s="1515"/>
      <c r="R238" s="1474"/>
      <c r="T238" s="1515"/>
      <c r="V238" s="1515"/>
      <c r="X238" s="1515"/>
      <c r="Z238" s="1516"/>
      <c r="AB238" s="1516"/>
      <c r="AD238" s="1516"/>
      <c r="AH238" s="1516"/>
      <c r="AU238" s="1533"/>
      <c r="AV238" s="1755">
        <f>CQ230+CZ230+DI230+DR230+EA230</f>
        <v>598763.45000000007</v>
      </c>
      <c r="AW238" s="1755">
        <f>CR230+DA230+DJ230+DS230+EB230</f>
        <v>479719.66133333329</v>
      </c>
      <c r="AX238" s="1755">
        <f t="shared" ref="AX238:BD238" si="3641">CS230+DB230+DK230+DT230+EC230</f>
        <v>546.5</v>
      </c>
      <c r="AY238" s="1755">
        <f t="shared" si="3641"/>
        <v>10953.423500000001</v>
      </c>
      <c r="AZ238" s="1755">
        <f t="shared" si="3641"/>
        <v>12</v>
      </c>
      <c r="BA238" s="1755">
        <f t="shared" si="3641"/>
        <v>316.63800000000003</v>
      </c>
      <c r="BB238" s="1755">
        <f>CW230+DF230+DO230+DX230+EG230</f>
        <v>0</v>
      </c>
      <c r="BC238" s="1755">
        <f>CX230+DG230+DP230+DY230+EH230</f>
        <v>74345.47090705001</v>
      </c>
      <c r="BD238" s="1755">
        <f t="shared" si="3641"/>
        <v>1164098.6437403834</v>
      </c>
      <c r="BE238" s="1474"/>
      <c r="BF238" s="1474"/>
      <c r="BG238" s="1474"/>
      <c r="BH238" s="1474"/>
      <c r="BI238" s="1474"/>
      <c r="CO238" s="1474"/>
      <c r="CP238" s="1474"/>
      <c r="CQ238" s="1760" t="str">
        <f t="shared" ref="CQ238:CW238" si="3642">IF(CQ237&lt;&gt;0,"Error,  No coincide con la individual","")</f>
        <v/>
      </c>
      <c r="CR238" s="1760" t="str">
        <f t="shared" si="3642"/>
        <v/>
      </c>
      <c r="CS238" s="1760" t="str">
        <f t="shared" si="3642"/>
        <v/>
      </c>
      <c r="CT238" s="1760" t="str">
        <f t="shared" si="3642"/>
        <v>Error,  No coincide con la individual</v>
      </c>
      <c r="CU238" s="1760" t="str">
        <f t="shared" si="3642"/>
        <v/>
      </c>
      <c r="CV238" s="1760" t="str">
        <f t="shared" si="3642"/>
        <v/>
      </c>
      <c r="CW238" s="1760" t="str">
        <f t="shared" si="3642"/>
        <v/>
      </c>
      <c r="CZ238" s="1760" t="str">
        <f t="shared" ref="CZ238:DF238" si="3643">IF(CZ237&lt;&gt;0,"Error,  No coincide con la individual","")</f>
        <v>Error,  No coincide con la individual</v>
      </c>
      <c r="DA238" s="1760" t="str">
        <f t="shared" si="3643"/>
        <v>Error,  No coincide con la individual</v>
      </c>
      <c r="DB238" s="1760" t="str">
        <f t="shared" si="3643"/>
        <v/>
      </c>
      <c r="DC238" s="1760" t="str">
        <f t="shared" si="3643"/>
        <v>Error,  No coincide con la individual</v>
      </c>
      <c r="DD238" s="1760" t="str">
        <f t="shared" si="3643"/>
        <v/>
      </c>
      <c r="DE238" s="1760" t="str">
        <f t="shared" si="3643"/>
        <v/>
      </c>
      <c r="DF238" s="1760" t="str">
        <f t="shared" si="3643"/>
        <v/>
      </c>
      <c r="DI238" s="1760" t="str">
        <f>IF(DI237&lt;&gt;0,"Error,  No coincide con la individual","")</f>
        <v>Error,  No coincide con la individual</v>
      </c>
      <c r="DJ238" s="1760" t="str">
        <f t="shared" ref="DJ238:DO238" si="3644">IF(DJ237&lt;&gt;0,"Error,  No coincide con la individual","")</f>
        <v>Error,  No coincide con la individual</v>
      </c>
      <c r="DK238" s="1760" t="str">
        <f t="shared" si="3644"/>
        <v>Error,  No coincide con la individual</v>
      </c>
      <c r="DL238" s="1760" t="str">
        <f>IF(DL237&lt;&gt;0,"Error,  No coincide con la individual","")</f>
        <v>Error,  No coincide con la individual</v>
      </c>
      <c r="DM238" s="1760" t="str">
        <f t="shared" si="3644"/>
        <v/>
      </c>
      <c r="DN238" s="1760" t="str">
        <f t="shared" si="3644"/>
        <v>Error,  No coincide con la individual</v>
      </c>
      <c r="DO238" s="1760" t="str">
        <f t="shared" si="3644"/>
        <v/>
      </c>
      <c r="DR238" s="1760" t="e">
        <f>IF(DR237&lt;&gt;0,"Error,  No coincide con la individual","")</f>
        <v>#N/A</v>
      </c>
      <c r="DS238" s="1760" t="e">
        <f t="shared" ref="DS238:DX238" si="3645">IF(DS237&lt;&gt;0,"Error,  No coincide con la individual","")</f>
        <v>#N/A</v>
      </c>
      <c r="DT238" s="1760" t="e">
        <f t="shared" si="3645"/>
        <v>#N/A</v>
      </c>
      <c r="DU238" s="1760" t="e">
        <f t="shared" si="3645"/>
        <v>#N/A</v>
      </c>
      <c r="DV238" s="1760" t="e">
        <f t="shared" si="3645"/>
        <v>#N/A</v>
      </c>
      <c r="DW238" s="1760" t="e">
        <f t="shared" si="3645"/>
        <v>#N/A</v>
      </c>
      <c r="DX238" s="1760" t="e">
        <f t="shared" si="3645"/>
        <v>#N/A</v>
      </c>
      <c r="EJ238" s="1474"/>
      <c r="EK238" s="1760">
        <f>EV230-'Nomina Proquima'!Q143-'Nomina Unhesa'!R163</f>
        <v>0</v>
      </c>
      <c r="EL238" s="1766">
        <f>EW230-'Nomina Proquima'!R143-'Nomina Unhesa'!S163</f>
        <v>-4.9999999991996447E-3</v>
      </c>
      <c r="EM238" s="1760">
        <f>EX230-'Nomina Proquima'!S143-'Nomina Unhesa'!T163-'Nomina Econacional'!S38</f>
        <v>0</v>
      </c>
      <c r="EN238" s="1760">
        <f>EY230-'Nomina Proquima'!V143-'Nomina Unhesa'!W163</f>
        <v>0</v>
      </c>
      <c r="EO238" s="1760"/>
      <c r="EP238" s="1760"/>
      <c r="EQ238" s="1760"/>
      <c r="ER238" s="1755">
        <f>FE230-'Nomina Proquima'!W143-'Nomina Unhesa'!X163</f>
        <v>0</v>
      </c>
      <c r="ES238" s="1755">
        <f>FD230-'Nomina Proquima'!T143-'Nomina Unhesa'!U163</f>
        <v>0</v>
      </c>
      <c r="ET238" s="1755">
        <f>FE230-'Nomina Proquima'!W143-'Nomina Unhesa'!X163</f>
        <v>0</v>
      </c>
      <c r="EU238" s="1441"/>
      <c r="FF238" s="1514"/>
      <c r="FG238" s="1514"/>
      <c r="FH238" s="1514"/>
      <c r="FI238" s="1514"/>
      <c r="FJ238" s="1514"/>
      <c r="FK238" s="1514"/>
      <c r="FL238" s="1474"/>
      <c r="FM238" s="1474"/>
      <c r="FN238" s="1474"/>
      <c r="FO238" s="1474"/>
      <c r="FP238" s="1474"/>
      <c r="FQ238" s="1474"/>
      <c r="FR238" s="1474"/>
      <c r="FS238" s="1474"/>
      <c r="FT238" s="1474"/>
      <c r="FU238" s="1474"/>
      <c r="FV238" s="1474"/>
      <c r="FW238" s="1474"/>
      <c r="FX238" s="1474"/>
      <c r="FY238" s="1474"/>
      <c r="FZ238" s="1474"/>
      <c r="GA238" s="1474"/>
      <c r="GB238" s="1474"/>
      <c r="GC238" s="1474"/>
      <c r="GD238" s="1474"/>
      <c r="GE238" s="1474"/>
      <c r="GF238" s="1474"/>
      <c r="GG238" s="1474"/>
      <c r="GH238" s="1474"/>
      <c r="GI238" s="1474"/>
      <c r="GJ238" s="1474"/>
      <c r="GK238" s="1474"/>
      <c r="GL238" s="1474"/>
      <c r="GM238" s="1474"/>
      <c r="GN238" s="1474"/>
      <c r="GO238" s="1474"/>
      <c r="GP238" s="1474"/>
      <c r="GQ238" s="1474"/>
      <c r="GR238" s="1474"/>
      <c r="GS238" s="1474"/>
      <c r="GT238" s="1474"/>
      <c r="GU238" s="1474"/>
      <c r="GV238" s="1474"/>
      <c r="GW238" s="1474"/>
      <c r="GX238" s="1474"/>
      <c r="GY238" s="1474"/>
      <c r="GZ238" s="1474"/>
      <c r="HA238" s="1474"/>
      <c r="HB238" s="1474"/>
      <c r="HC238" s="1474"/>
      <c r="HD238" s="1474"/>
      <c r="HE238" s="1474"/>
      <c r="HF238" s="1474"/>
      <c r="HG238" s="1474"/>
      <c r="HH238" s="1474"/>
      <c r="HI238" s="1474"/>
      <c r="HJ238" s="1474"/>
      <c r="HK238" s="1474"/>
      <c r="HL238" s="1474"/>
      <c r="HM238" s="1474"/>
      <c r="HN238" s="1474"/>
      <c r="HO238" s="1474"/>
      <c r="HP238" s="1474"/>
      <c r="HQ238" s="1474"/>
      <c r="HR238" s="1474"/>
      <c r="HS238" s="1474"/>
      <c r="HT238" s="1474"/>
      <c r="HU238" s="1474"/>
      <c r="HV238" s="1474"/>
      <c r="HW238" s="1474"/>
      <c r="HX238" s="1474"/>
      <c r="HY238" s="1474"/>
      <c r="HZ238" s="1474"/>
      <c r="IA238" s="1474"/>
      <c r="IB238" s="1474"/>
      <c r="IC238" s="1474"/>
      <c r="ID238" s="1474"/>
      <c r="IE238" s="1474"/>
      <c r="IF238" s="1474"/>
      <c r="IG238" s="1474"/>
      <c r="IH238" s="1474"/>
      <c r="II238" s="1474"/>
      <c r="IJ238" s="1474"/>
      <c r="IK238" s="1474"/>
      <c r="IL238" s="1474"/>
      <c r="IM238" s="1474"/>
      <c r="IN238" s="1474"/>
      <c r="IO238" s="1474"/>
      <c r="IP238" s="1474"/>
      <c r="IQ238" s="1474"/>
      <c r="IR238" s="1474"/>
      <c r="IS238" s="1474"/>
      <c r="IT238" s="1474"/>
      <c r="IU238" s="1474"/>
      <c r="IV238" s="1474"/>
      <c r="IW238" s="1474"/>
      <c r="IX238" s="1474"/>
      <c r="IY238" s="1474"/>
      <c r="IZ238" s="1474"/>
    </row>
    <row r="239" spans="1:260" s="1513" customFormat="1" ht="12.75">
      <c r="A239" s="1511"/>
      <c r="B239" s="1767" t="s">
        <v>145</v>
      </c>
      <c r="C239" s="1768"/>
      <c r="D239" s="1769"/>
      <c r="F239" s="1765"/>
      <c r="G239" s="1441"/>
      <c r="H239" s="1441"/>
      <c r="I239" s="1770" t="s">
        <v>41</v>
      </c>
      <c r="J239" s="1770" t="s">
        <v>42</v>
      </c>
      <c r="K239" s="1770" t="s">
        <v>43</v>
      </c>
      <c r="L239" s="1770" t="s">
        <v>146</v>
      </c>
      <c r="M239" s="1407"/>
      <c r="N239" s="1407"/>
      <c r="O239" s="1414"/>
      <c r="P239" s="1515"/>
      <c r="R239" s="1474"/>
      <c r="T239" s="1515"/>
      <c r="V239" s="1515"/>
      <c r="X239" s="1515"/>
      <c r="Z239" s="1516"/>
      <c r="AB239" s="1516"/>
      <c r="AD239" s="1516"/>
      <c r="AH239" s="1516"/>
      <c r="AU239" s="1533"/>
      <c r="AV239" s="1755">
        <f>AV237-AV238</f>
        <v>0</v>
      </c>
      <c r="AW239" s="1755">
        <f>AW237-AW238</f>
        <v>0</v>
      </c>
      <c r="AX239" s="1755">
        <f t="shared" ref="AX239:BC239" si="3646">AX237-AX238</f>
        <v>0</v>
      </c>
      <c r="AY239" s="1755">
        <f t="shared" si="3646"/>
        <v>0</v>
      </c>
      <c r="AZ239" s="1755">
        <f t="shared" si="3646"/>
        <v>0</v>
      </c>
      <c r="BA239" s="1755">
        <f>BA237-BA238</f>
        <v>0</v>
      </c>
      <c r="BB239" s="1755">
        <f>BB237-BB238</f>
        <v>0</v>
      </c>
      <c r="BC239" s="1755">
        <f t="shared" si="3646"/>
        <v>0</v>
      </c>
      <c r="BD239" s="1755">
        <f>BD237-BD238</f>
        <v>0</v>
      </c>
      <c r="BE239" s="1474"/>
      <c r="BF239" s="1474"/>
      <c r="BG239" s="1474"/>
      <c r="BH239" s="1474"/>
      <c r="BI239" s="1474"/>
      <c r="CO239" s="1474"/>
      <c r="CP239" s="1474"/>
      <c r="EJ239" s="1474"/>
      <c r="EL239" s="1513" t="s">
        <v>54</v>
      </c>
      <c r="ET239" s="1771">
        <f>+EP233+EQ233+EO233-ET233</f>
        <v>0</v>
      </c>
      <c r="EU239" s="1441"/>
      <c r="FF239" s="1514"/>
      <c r="FG239" s="1514"/>
      <c r="FH239" s="1514"/>
      <c r="FI239" s="1514"/>
      <c r="FJ239" s="1514"/>
      <c r="FK239" s="1514"/>
      <c r="FL239" s="1474"/>
      <c r="FM239" s="1474"/>
      <c r="FN239" s="1474"/>
      <c r="FO239" s="1474"/>
      <c r="FP239" s="1474"/>
      <c r="FQ239" s="1474"/>
      <c r="FR239" s="1474"/>
      <c r="FS239" s="1474"/>
      <c r="FT239" s="1474"/>
      <c r="FU239" s="1474"/>
      <c r="FV239" s="1474"/>
      <c r="FW239" s="1474"/>
      <c r="FX239" s="1474"/>
      <c r="FY239" s="1474"/>
      <c r="FZ239" s="1474"/>
      <c r="GA239" s="1474"/>
      <c r="GB239" s="1474"/>
      <c r="GC239" s="1474"/>
      <c r="GD239" s="1474"/>
      <c r="GE239" s="1474"/>
      <c r="GF239" s="1474"/>
      <c r="GG239" s="1474"/>
      <c r="GH239" s="1474"/>
      <c r="GI239" s="1474"/>
      <c r="GJ239" s="1474"/>
      <c r="GK239" s="1474"/>
      <c r="GL239" s="1474"/>
      <c r="GM239" s="1474"/>
      <c r="GN239" s="1474"/>
      <c r="GO239" s="1474"/>
      <c r="GP239" s="1474"/>
      <c r="GQ239" s="1474"/>
      <c r="GR239" s="1474"/>
      <c r="GS239" s="1474"/>
      <c r="GT239" s="1474"/>
      <c r="GU239" s="1474"/>
      <c r="GV239" s="1474"/>
      <c r="GW239" s="1474"/>
      <c r="GX239" s="1474"/>
      <c r="GY239" s="1474"/>
      <c r="GZ239" s="1474"/>
      <c r="HA239" s="1474"/>
      <c r="HB239" s="1474"/>
      <c r="HC239" s="1474"/>
      <c r="HD239" s="1474"/>
      <c r="HE239" s="1474"/>
      <c r="HF239" s="1474"/>
      <c r="HG239" s="1474"/>
      <c r="HH239" s="1474"/>
      <c r="HI239" s="1474"/>
      <c r="HJ239" s="1474"/>
      <c r="HK239" s="1474"/>
      <c r="HL239" s="1474"/>
      <c r="HM239" s="1474"/>
      <c r="HN239" s="1474"/>
      <c r="HO239" s="1474"/>
      <c r="HP239" s="1474"/>
      <c r="HQ239" s="1474"/>
      <c r="HR239" s="1474"/>
      <c r="HS239" s="1474"/>
      <c r="HT239" s="1474"/>
      <c r="HU239" s="1474"/>
      <c r="HV239" s="1474"/>
      <c r="HW239" s="1474"/>
      <c r="HX239" s="1474"/>
      <c r="HY239" s="1474"/>
      <c r="HZ239" s="1474"/>
      <c r="IA239" s="1474"/>
      <c r="IB239" s="1474"/>
      <c r="IC239" s="1474"/>
      <c r="ID239" s="1474"/>
      <c r="IE239" s="1474"/>
      <c r="IF239" s="1474"/>
      <c r="IG239" s="1474"/>
      <c r="IH239" s="1474"/>
      <c r="II239" s="1474"/>
      <c r="IJ239" s="1474"/>
      <c r="IK239" s="1474"/>
      <c r="IL239" s="1474"/>
      <c r="IM239" s="1474"/>
      <c r="IN239" s="1474"/>
      <c r="IO239" s="1474"/>
      <c r="IP239" s="1474"/>
      <c r="IQ239" s="1474"/>
      <c r="IR239" s="1474"/>
      <c r="IS239" s="1474"/>
      <c r="IT239" s="1474"/>
      <c r="IU239" s="1474"/>
      <c r="IV239" s="1474"/>
      <c r="IW239" s="1474"/>
      <c r="IX239" s="1474"/>
      <c r="IY239" s="1474"/>
      <c r="IZ239" s="1474"/>
    </row>
    <row r="240" spans="1:260" s="1513" customFormat="1" ht="12.75">
      <c r="A240" s="1511"/>
      <c r="B240" s="1767" t="s">
        <v>147</v>
      </c>
      <c r="C240" s="1768"/>
      <c r="D240" s="1769"/>
      <c r="F240" s="1772" t="s">
        <v>148</v>
      </c>
      <c r="G240" s="1441"/>
      <c r="H240" s="1441"/>
      <c r="I240" s="1433">
        <f>+CY228-CX228+EI228-EH228</f>
        <v>0</v>
      </c>
      <c r="J240" s="1433">
        <f>+DH228-DG228+DQ228-DP228</f>
        <v>55904.72</v>
      </c>
      <c r="K240" s="1433">
        <f>+DZ228-DY228</f>
        <v>0</v>
      </c>
      <c r="L240" s="1433">
        <f>SUM(I240:K240)</f>
        <v>55904.72</v>
      </c>
      <c r="M240" s="1417"/>
      <c r="N240" s="1417"/>
      <c r="O240" s="1414"/>
      <c r="P240" s="1515"/>
      <c r="R240" s="1474"/>
      <c r="T240" s="1515"/>
      <c r="V240" s="1515"/>
      <c r="X240" s="1515"/>
      <c r="Z240" s="1516"/>
      <c r="AB240" s="1516"/>
      <c r="AD240" s="1516"/>
      <c r="AH240" s="1516"/>
      <c r="AU240" s="1533"/>
      <c r="AV240" s="1760" t="str">
        <f>IF(AV239&lt;&gt;0,"Error,  totales reales con coinciden con totales contables","")</f>
        <v/>
      </c>
      <c r="AW240" s="1760" t="str">
        <f>IF(AW239&lt;&gt;0,"Error,  totales reales con coinciden con totales contables","")</f>
        <v/>
      </c>
      <c r="AX240" s="1760" t="str">
        <f t="shared" ref="AX240:BD240" si="3647">IF(AX239&lt;&gt;0,"Error,  totales reales con coinciden con totales contables","")</f>
        <v/>
      </c>
      <c r="AY240" s="1760" t="str">
        <f t="shared" si="3647"/>
        <v/>
      </c>
      <c r="AZ240" s="1760" t="str">
        <f t="shared" si="3647"/>
        <v/>
      </c>
      <c r="BA240" s="1760" t="str">
        <f t="shared" si="3647"/>
        <v/>
      </c>
      <c r="BB240" s="1760" t="str">
        <f t="shared" si="3647"/>
        <v/>
      </c>
      <c r="BC240" s="1760" t="str">
        <f t="shared" si="3647"/>
        <v/>
      </c>
      <c r="BD240" s="1760" t="str">
        <f t="shared" si="3647"/>
        <v/>
      </c>
      <c r="BE240" s="1474"/>
      <c r="BF240" s="1474"/>
      <c r="BG240" s="1474"/>
      <c r="BH240" s="1474"/>
      <c r="BI240" s="1474"/>
      <c r="CO240" s="1474"/>
      <c r="CP240" s="1474"/>
      <c r="EJ240" s="1534"/>
      <c r="EU240" s="1441"/>
      <c r="FF240" s="1514"/>
      <c r="FG240" s="1514"/>
      <c r="FH240" s="1514"/>
      <c r="FI240" s="1514"/>
      <c r="FJ240" s="1514"/>
      <c r="FK240" s="1514"/>
      <c r="FL240" s="1474"/>
      <c r="FM240" s="1474"/>
      <c r="FN240" s="1474"/>
      <c r="FO240" s="1474"/>
      <c r="FP240" s="1474"/>
      <c r="FQ240" s="1474"/>
      <c r="FR240" s="1474"/>
      <c r="FS240" s="1474"/>
      <c r="FT240" s="1474"/>
      <c r="FU240" s="1474"/>
      <c r="FV240" s="1474"/>
      <c r="FW240" s="1474"/>
      <c r="FX240" s="1474"/>
      <c r="FY240" s="1474"/>
      <c r="FZ240" s="1474"/>
      <c r="GA240" s="1474"/>
      <c r="GB240" s="1474"/>
      <c r="GC240" s="1474"/>
      <c r="GD240" s="1474"/>
      <c r="GE240" s="1474"/>
      <c r="GF240" s="1474"/>
      <c r="GG240" s="1474"/>
      <c r="GH240" s="1474"/>
      <c r="GI240" s="1474"/>
      <c r="GJ240" s="1474"/>
      <c r="GK240" s="1474"/>
      <c r="GL240" s="1474"/>
      <c r="GM240" s="1474"/>
      <c r="GN240" s="1474"/>
      <c r="GO240" s="1474"/>
      <c r="GP240" s="1474"/>
      <c r="GQ240" s="1474"/>
      <c r="GR240" s="1474"/>
      <c r="GS240" s="1474"/>
      <c r="GT240" s="1474"/>
      <c r="GU240" s="1474"/>
      <c r="GV240" s="1474"/>
      <c r="GW240" s="1474"/>
      <c r="GX240" s="1474"/>
      <c r="GY240" s="1474"/>
      <c r="GZ240" s="1474"/>
      <c r="HA240" s="1474"/>
      <c r="HB240" s="1474"/>
      <c r="HC240" s="1474"/>
      <c r="HD240" s="1474"/>
      <c r="HE240" s="1474"/>
      <c r="HF240" s="1474"/>
      <c r="HG240" s="1474"/>
      <c r="HH240" s="1474"/>
      <c r="HI240" s="1474"/>
      <c r="HJ240" s="1474"/>
      <c r="HK240" s="1474"/>
      <c r="HL240" s="1474"/>
      <c r="HM240" s="1474"/>
      <c r="HN240" s="1474"/>
      <c r="HO240" s="1474"/>
      <c r="HP240" s="1474"/>
      <c r="HQ240" s="1474"/>
      <c r="HR240" s="1474"/>
      <c r="HS240" s="1474"/>
      <c r="HT240" s="1474"/>
      <c r="HU240" s="1474"/>
      <c r="HV240" s="1474"/>
      <c r="HW240" s="1474"/>
      <c r="HX240" s="1474"/>
      <c r="HY240" s="1474"/>
      <c r="HZ240" s="1474"/>
      <c r="IA240" s="1474"/>
      <c r="IB240" s="1474"/>
      <c r="IC240" s="1474"/>
      <c r="ID240" s="1474"/>
      <c r="IE240" s="1474"/>
      <c r="IF240" s="1474"/>
      <c r="IG240" s="1474"/>
      <c r="IH240" s="1474"/>
      <c r="II240" s="1474"/>
      <c r="IJ240" s="1474"/>
      <c r="IK240" s="1474"/>
      <c r="IL240" s="1474"/>
      <c r="IM240" s="1474"/>
      <c r="IN240" s="1474"/>
      <c r="IO240" s="1474"/>
      <c r="IP240" s="1474"/>
      <c r="IQ240" s="1474"/>
      <c r="IR240" s="1474"/>
      <c r="IS240" s="1474"/>
      <c r="IT240" s="1474"/>
      <c r="IU240" s="1474"/>
      <c r="IV240" s="1474"/>
      <c r="IW240" s="1474"/>
      <c r="IX240" s="1474"/>
      <c r="IY240" s="1474"/>
      <c r="IZ240" s="1474"/>
    </row>
    <row r="241" spans="1:260" s="1513" customFormat="1" ht="12.75">
      <c r="A241" s="1511"/>
      <c r="B241" s="1767" t="s">
        <v>149</v>
      </c>
      <c r="C241" s="1773"/>
      <c r="D241" s="1769"/>
      <c r="F241" s="1772" t="s">
        <v>150</v>
      </c>
      <c r="G241" s="1441"/>
      <c r="H241" s="1441"/>
      <c r="I241" s="1433">
        <f>+CY229-CX229+EI229-EH229</f>
        <v>0</v>
      </c>
      <c r="J241" s="1433">
        <f>+DH229-DG229+DQ229-DP229</f>
        <v>0</v>
      </c>
      <c r="K241" s="1433">
        <f>+DZ229-DY229</f>
        <v>0</v>
      </c>
      <c r="L241" s="1433">
        <f>SUM(I241:K241)</f>
        <v>0</v>
      </c>
      <c r="M241" s="1417"/>
      <c r="N241" s="1417"/>
      <c r="O241" s="1414"/>
      <c r="P241" s="1515"/>
      <c r="R241" s="1474"/>
      <c r="T241" s="1515"/>
      <c r="V241" s="1515"/>
      <c r="X241" s="1515"/>
      <c r="Z241" s="1516"/>
      <c r="AB241" s="1516"/>
      <c r="AD241" s="1516"/>
      <c r="AH241" s="1516"/>
      <c r="AU241" s="1533"/>
      <c r="AW241" s="1474"/>
      <c r="AX241" s="1474"/>
      <c r="AY241" s="1474"/>
      <c r="AZ241" s="1474"/>
      <c r="BA241" s="1474"/>
      <c r="BB241" s="1474"/>
      <c r="BC241" s="1474"/>
      <c r="BD241" s="1474"/>
      <c r="BE241" s="1474"/>
      <c r="BF241" s="1474"/>
      <c r="BG241" s="1474"/>
      <c r="BH241" s="1474"/>
      <c r="BI241" s="1474"/>
      <c r="CO241" s="1474"/>
      <c r="CP241" s="1474"/>
      <c r="EJ241" s="1534"/>
      <c r="EU241" s="1441"/>
      <c r="FF241" s="1514"/>
      <c r="FG241" s="1514"/>
      <c r="FH241" s="1514"/>
      <c r="FI241" s="1514"/>
      <c r="FJ241" s="1514"/>
      <c r="FK241" s="1514"/>
      <c r="FL241" s="1474"/>
      <c r="FM241" s="1474"/>
      <c r="FN241" s="1474"/>
      <c r="FO241" s="1474"/>
      <c r="FP241" s="1474"/>
      <c r="FQ241" s="1474"/>
      <c r="FR241" s="1474"/>
      <c r="FS241" s="1474"/>
      <c r="FT241" s="1474"/>
      <c r="FU241" s="1474"/>
      <c r="FV241" s="1474"/>
      <c r="FW241" s="1474"/>
      <c r="FX241" s="1474"/>
      <c r="FY241" s="1474"/>
      <c r="FZ241" s="1474"/>
      <c r="GA241" s="1474"/>
      <c r="GB241" s="1474"/>
      <c r="GC241" s="1474"/>
      <c r="GD241" s="1474"/>
      <c r="GE241" s="1474"/>
      <c r="GF241" s="1474"/>
      <c r="GG241" s="1474"/>
      <c r="GH241" s="1474"/>
      <c r="GI241" s="1474"/>
      <c r="GJ241" s="1474"/>
      <c r="GK241" s="1474"/>
      <c r="GL241" s="1474"/>
      <c r="GM241" s="1474"/>
      <c r="GN241" s="1474"/>
      <c r="GO241" s="1474"/>
      <c r="GP241" s="1474"/>
      <c r="GQ241" s="1474"/>
      <c r="GR241" s="1474"/>
      <c r="GS241" s="1474"/>
      <c r="GT241" s="1474"/>
      <c r="GU241" s="1474"/>
      <c r="GV241" s="1474"/>
      <c r="GW241" s="1474"/>
      <c r="GX241" s="1474"/>
      <c r="GY241" s="1474"/>
      <c r="GZ241" s="1474"/>
      <c r="HA241" s="1474"/>
      <c r="HB241" s="1474"/>
      <c r="HC241" s="1474"/>
      <c r="HD241" s="1474"/>
      <c r="HE241" s="1474"/>
      <c r="HF241" s="1474"/>
      <c r="HG241" s="1474"/>
      <c r="HH241" s="1474"/>
      <c r="HI241" s="1474"/>
      <c r="HJ241" s="1474"/>
      <c r="HK241" s="1474"/>
      <c r="HL241" s="1474"/>
      <c r="HM241" s="1474"/>
      <c r="HN241" s="1474"/>
      <c r="HO241" s="1474"/>
      <c r="HP241" s="1474"/>
      <c r="HQ241" s="1474"/>
      <c r="HR241" s="1474"/>
      <c r="HS241" s="1474"/>
      <c r="HT241" s="1474"/>
      <c r="HU241" s="1474"/>
      <c r="HV241" s="1474"/>
      <c r="HW241" s="1474"/>
      <c r="HX241" s="1474"/>
      <c r="HY241" s="1474"/>
      <c r="HZ241" s="1474"/>
      <c r="IA241" s="1474"/>
      <c r="IB241" s="1474"/>
      <c r="IC241" s="1474"/>
      <c r="ID241" s="1474"/>
      <c r="IE241" s="1474"/>
      <c r="IF241" s="1474"/>
      <c r="IG241" s="1474"/>
      <c r="IH241" s="1474"/>
      <c r="II241" s="1474"/>
      <c r="IJ241" s="1474"/>
      <c r="IK241" s="1474"/>
      <c r="IL241" s="1474"/>
      <c r="IM241" s="1474"/>
      <c r="IN241" s="1474"/>
      <c r="IO241" s="1474"/>
      <c r="IP241" s="1474"/>
      <c r="IQ241" s="1474"/>
      <c r="IR241" s="1474"/>
      <c r="IS241" s="1474"/>
      <c r="IT241" s="1474"/>
      <c r="IU241" s="1474"/>
      <c r="IV241" s="1474"/>
      <c r="IW241" s="1474"/>
      <c r="IX241" s="1474"/>
      <c r="IY241" s="1474"/>
      <c r="IZ241" s="1474"/>
    </row>
    <row r="242" spans="1:260" s="1513" customFormat="1" ht="13.5" thickBot="1">
      <c r="A242" s="1511"/>
      <c r="B242" s="1767" t="s">
        <v>151</v>
      </c>
      <c r="C242" s="1768"/>
      <c r="D242" s="1769"/>
      <c r="F242" s="1772" t="s">
        <v>152</v>
      </c>
      <c r="G242" s="1441"/>
      <c r="H242" s="1441"/>
      <c r="I242" s="1774">
        <f>+I241-I240</f>
        <v>0</v>
      </c>
      <c r="J242" s="1774">
        <f>+J241-J240</f>
        <v>-55904.72</v>
      </c>
      <c r="K242" s="1774">
        <f>+K241-K240</f>
        <v>0</v>
      </c>
      <c r="L242" s="1774">
        <f>+L241-L240</f>
        <v>-55904.72</v>
      </c>
      <c r="M242" s="1775"/>
      <c r="N242" s="1775"/>
      <c r="O242" s="1414"/>
      <c r="P242" s="1515"/>
      <c r="R242" s="1474"/>
      <c r="T242" s="1515"/>
      <c r="V242" s="1515"/>
      <c r="X242" s="1515"/>
      <c r="Z242" s="1516"/>
      <c r="AB242" s="1516"/>
      <c r="AD242" s="1516"/>
      <c r="AH242" s="1516"/>
      <c r="AU242" s="1533"/>
      <c r="AW242" s="1474"/>
      <c r="AX242" s="1474"/>
      <c r="AY242" s="1474"/>
      <c r="AZ242" s="1474"/>
      <c r="BA242" s="1474"/>
      <c r="BB242" s="1474"/>
      <c r="BC242" s="1474"/>
      <c r="BD242" s="1474"/>
      <c r="BE242" s="1474"/>
      <c r="BF242" s="1474"/>
      <c r="BG242" s="1474"/>
      <c r="BH242" s="1474"/>
      <c r="BI242" s="1474"/>
      <c r="CO242" s="1474"/>
      <c r="CP242" s="1474"/>
      <c r="EJ242" s="1474"/>
      <c r="EU242" s="1441"/>
      <c r="FF242" s="1514"/>
      <c r="FG242" s="1514"/>
      <c r="FH242" s="1514"/>
      <c r="FI242" s="1514"/>
      <c r="FJ242" s="1514"/>
      <c r="FK242" s="1514"/>
      <c r="FL242" s="1474"/>
      <c r="FM242" s="1474"/>
      <c r="FN242" s="1474"/>
      <c r="FO242" s="1474"/>
      <c r="FP242" s="1474"/>
      <c r="FQ242" s="1474"/>
      <c r="FR242" s="1474"/>
      <c r="FS242" s="1474"/>
      <c r="FT242" s="1474"/>
      <c r="FU242" s="1474"/>
      <c r="FV242" s="1474"/>
      <c r="FW242" s="1474"/>
      <c r="FX242" s="1474"/>
      <c r="FY242" s="1474"/>
      <c r="FZ242" s="1474"/>
      <c r="GA242" s="1474"/>
      <c r="GB242" s="1474"/>
      <c r="GC242" s="1474"/>
      <c r="GD242" s="1474"/>
      <c r="GE242" s="1474"/>
      <c r="GF242" s="1474"/>
      <c r="GG242" s="1474"/>
      <c r="GH242" s="1474"/>
      <c r="GI242" s="1474"/>
      <c r="GJ242" s="1474"/>
      <c r="GK242" s="1474"/>
      <c r="GL242" s="1474"/>
      <c r="GM242" s="1474"/>
      <c r="GN242" s="1474"/>
      <c r="GO242" s="1474"/>
      <c r="GP242" s="1474"/>
      <c r="GQ242" s="1474"/>
      <c r="GR242" s="1474"/>
      <c r="GS242" s="1474"/>
      <c r="GT242" s="1474"/>
      <c r="GU242" s="1474"/>
      <c r="GV242" s="1474"/>
      <c r="GW242" s="1474"/>
      <c r="GX242" s="1474"/>
      <c r="GY242" s="1474"/>
      <c r="GZ242" s="1474"/>
      <c r="HA242" s="1474"/>
      <c r="HB242" s="1474"/>
      <c r="HC242" s="1474"/>
      <c r="HD242" s="1474"/>
      <c r="HE242" s="1474"/>
      <c r="HF242" s="1474"/>
      <c r="HG242" s="1474"/>
      <c r="HH242" s="1474"/>
      <c r="HI242" s="1474"/>
      <c r="HJ242" s="1474"/>
      <c r="HK242" s="1474"/>
      <c r="HL242" s="1474"/>
      <c r="HM242" s="1474"/>
      <c r="HN242" s="1474"/>
      <c r="HO242" s="1474"/>
      <c r="HP242" s="1474"/>
      <c r="HQ242" s="1474"/>
      <c r="HR242" s="1474"/>
      <c r="HS242" s="1474"/>
      <c r="HT242" s="1474"/>
      <c r="HU242" s="1474"/>
      <c r="HV242" s="1474"/>
      <c r="HW242" s="1474"/>
      <c r="HX242" s="1474"/>
      <c r="HY242" s="1474"/>
      <c r="HZ242" s="1474"/>
      <c r="IA242" s="1474"/>
      <c r="IB242" s="1474"/>
      <c r="IC242" s="1474"/>
      <c r="ID242" s="1474"/>
      <c r="IE242" s="1474"/>
      <c r="IF242" s="1474"/>
      <c r="IG242" s="1474"/>
      <c r="IH242" s="1474"/>
      <c r="II242" s="1474"/>
      <c r="IJ242" s="1474"/>
      <c r="IK242" s="1474"/>
      <c r="IL242" s="1474"/>
      <c r="IM242" s="1474"/>
      <c r="IN242" s="1474"/>
      <c r="IO242" s="1474"/>
      <c r="IP242" s="1474"/>
      <c r="IQ242" s="1474"/>
      <c r="IR242" s="1474"/>
      <c r="IS242" s="1474"/>
      <c r="IT242" s="1474"/>
      <c r="IU242" s="1474"/>
      <c r="IV242" s="1474"/>
      <c r="IW242" s="1474"/>
      <c r="IX242" s="1474"/>
      <c r="IY242" s="1474"/>
      <c r="IZ242" s="1474"/>
    </row>
    <row r="243" spans="1:260" s="1513" customFormat="1" ht="12" thickTop="1">
      <c r="A243" s="1511"/>
      <c r="B243" s="1767" t="s">
        <v>153</v>
      </c>
      <c r="C243" s="1768"/>
      <c r="D243" s="1769">
        <f>SUM(D239:D242)</f>
        <v>0</v>
      </c>
      <c r="G243" s="1514"/>
      <c r="H243" s="1514"/>
      <c r="I243" s="1514"/>
      <c r="J243" s="1514"/>
      <c r="K243" s="1514"/>
      <c r="L243" s="1514"/>
      <c r="M243" s="1474"/>
      <c r="N243" s="1515"/>
      <c r="P243" s="1515"/>
      <c r="R243" s="1474"/>
      <c r="T243" s="1515"/>
      <c r="V243" s="1515"/>
      <c r="X243" s="1515"/>
      <c r="Z243" s="1516"/>
      <c r="AB243" s="1516"/>
      <c r="AD243" s="1516"/>
      <c r="AH243" s="1516"/>
      <c r="AU243" s="1533"/>
      <c r="AV243" s="1513">
        <f>AV228+BE228+BN228+BW228+CF228</f>
        <v>36730.008000000009</v>
      </c>
      <c r="AW243" s="1474"/>
      <c r="AX243" s="1474"/>
      <c r="AY243" s="1474"/>
      <c r="AZ243" s="1474"/>
      <c r="BA243" s="1474"/>
      <c r="BB243" s="1474"/>
      <c r="BC243" s="1474"/>
      <c r="BD243" s="1474"/>
      <c r="BE243" s="1474"/>
      <c r="BF243" s="1474"/>
      <c r="BG243" s="1474"/>
      <c r="BH243" s="1474"/>
      <c r="BI243" s="1474"/>
      <c r="CO243" s="1474"/>
      <c r="CP243" s="1474"/>
      <c r="EJ243" s="1474"/>
      <c r="EU243" s="1441"/>
      <c r="FF243" s="1514"/>
      <c r="FG243" s="1514"/>
      <c r="FH243" s="1514"/>
      <c r="FI243" s="1514"/>
      <c r="FJ243" s="1514"/>
      <c r="FK243" s="1514"/>
      <c r="FL243" s="1474"/>
      <c r="FM243" s="1474"/>
      <c r="FN243" s="1474"/>
      <c r="FO243" s="1474"/>
      <c r="FP243" s="1474"/>
      <c r="FQ243" s="1474"/>
      <c r="FR243" s="1474"/>
      <c r="FS243" s="1474"/>
      <c r="FT243" s="1474"/>
      <c r="FU243" s="1474"/>
      <c r="FV243" s="1474"/>
      <c r="FW243" s="1474"/>
      <c r="FX243" s="1474"/>
      <c r="FY243" s="1474"/>
      <c r="FZ243" s="1474"/>
      <c r="GA243" s="1474"/>
      <c r="GB243" s="1474"/>
      <c r="GC243" s="1474"/>
      <c r="GD243" s="1474"/>
      <c r="GE243" s="1474"/>
      <c r="GF243" s="1474"/>
      <c r="GG243" s="1474"/>
      <c r="GH243" s="1474"/>
      <c r="GI243" s="1474"/>
      <c r="GJ243" s="1474"/>
      <c r="GK243" s="1474"/>
      <c r="GL243" s="1474"/>
      <c r="GM243" s="1474"/>
      <c r="GN243" s="1474"/>
      <c r="GO243" s="1474"/>
      <c r="GP243" s="1474"/>
      <c r="GQ243" s="1474"/>
      <c r="GR243" s="1474"/>
      <c r="GS243" s="1474"/>
      <c r="GT243" s="1474"/>
      <c r="GU243" s="1474"/>
      <c r="GV243" s="1474"/>
      <c r="GW243" s="1474"/>
      <c r="GX243" s="1474"/>
      <c r="GY243" s="1474"/>
      <c r="GZ243" s="1474"/>
      <c r="HA243" s="1474"/>
      <c r="HB243" s="1474"/>
      <c r="HC243" s="1474"/>
      <c r="HD243" s="1474"/>
      <c r="HE243" s="1474"/>
      <c r="HF243" s="1474"/>
      <c r="HG243" s="1474"/>
      <c r="HH243" s="1474"/>
      <c r="HI243" s="1474"/>
      <c r="HJ243" s="1474"/>
      <c r="HK243" s="1474"/>
      <c r="HL243" s="1474"/>
      <c r="HM243" s="1474"/>
      <c r="HN243" s="1474"/>
      <c r="HO243" s="1474"/>
      <c r="HP243" s="1474"/>
      <c r="HQ243" s="1474"/>
      <c r="HR243" s="1474"/>
      <c r="HS243" s="1474"/>
      <c r="HT243" s="1474"/>
      <c r="HU243" s="1474"/>
      <c r="HV243" s="1474"/>
      <c r="HW243" s="1474"/>
      <c r="HX243" s="1474"/>
      <c r="HY243" s="1474"/>
      <c r="HZ243" s="1474"/>
      <c r="IA243" s="1474"/>
      <c r="IB243" s="1474"/>
      <c r="IC243" s="1474"/>
      <c r="ID243" s="1474"/>
      <c r="IE243" s="1474"/>
      <c r="IF243" s="1474"/>
      <c r="IG243" s="1474"/>
      <c r="IH243" s="1474"/>
      <c r="II243" s="1474"/>
      <c r="IJ243" s="1474"/>
      <c r="IK243" s="1474"/>
      <c r="IL243" s="1474"/>
      <c r="IM243" s="1474"/>
      <c r="IN243" s="1474"/>
      <c r="IO243" s="1474"/>
      <c r="IP243" s="1474"/>
      <c r="IQ243" s="1474"/>
      <c r="IR243" s="1474"/>
      <c r="IS243" s="1474"/>
      <c r="IT243" s="1474"/>
      <c r="IU243" s="1474"/>
      <c r="IV243" s="1474"/>
      <c r="IW243" s="1474"/>
      <c r="IX243" s="1474"/>
      <c r="IY243" s="1474"/>
      <c r="IZ243" s="1474"/>
    </row>
    <row r="244" spans="1:260" s="1513" customFormat="1">
      <c r="A244" s="1511"/>
      <c r="B244" s="1767" t="s">
        <v>154</v>
      </c>
      <c r="C244" s="1776">
        <f>P228+T228+X228+AB228+AF228</f>
        <v>128</v>
      </c>
      <c r="D244" s="1777">
        <f>+R228+V228+Z228+AD228+AH228</f>
        <v>12</v>
      </c>
      <c r="G244" s="1514"/>
      <c r="H244" s="1514"/>
      <c r="I244" s="1514"/>
      <c r="J244" s="1514"/>
      <c r="K244" s="1514"/>
      <c r="L244" s="1514"/>
      <c r="M244" s="1474"/>
      <c r="N244" s="1515"/>
      <c r="P244" s="1515"/>
      <c r="R244" s="1474"/>
      <c r="T244" s="1515"/>
      <c r="V244" s="1515"/>
      <c r="X244" s="1515"/>
      <c r="Z244" s="1516"/>
      <c r="AB244" s="1516"/>
      <c r="AD244" s="1516"/>
      <c r="AH244" s="1516"/>
      <c r="AU244" s="1533"/>
      <c r="AW244" s="1474"/>
      <c r="AX244" s="1474"/>
      <c r="AY244" s="1474"/>
      <c r="AZ244" s="1474"/>
      <c r="BA244" s="1474"/>
      <c r="BB244" s="1474"/>
      <c r="BC244" s="1474"/>
      <c r="BD244" s="1474"/>
      <c r="BE244" s="1474"/>
      <c r="BF244" s="1474"/>
      <c r="BG244" s="1474"/>
      <c r="BH244" s="1474"/>
      <c r="BI244" s="1474"/>
      <c r="CO244" s="1474"/>
      <c r="CP244" s="1474"/>
      <c r="EJ244" s="1474"/>
      <c r="EU244" s="1441"/>
      <c r="FF244" s="1514"/>
      <c r="FG244" s="1514"/>
      <c r="FH244" s="1514"/>
      <c r="FI244" s="1514"/>
      <c r="FJ244" s="1514"/>
      <c r="FK244" s="1514"/>
      <c r="FL244" s="1474"/>
      <c r="FM244" s="1474"/>
      <c r="FN244" s="1474"/>
      <c r="FO244" s="1474"/>
      <c r="FP244" s="1474"/>
      <c r="FQ244" s="1474"/>
      <c r="FR244" s="1474"/>
      <c r="FS244" s="1474"/>
      <c r="FT244" s="1474"/>
      <c r="FU244" s="1474"/>
      <c r="FV244" s="1474"/>
      <c r="FW244" s="1474"/>
      <c r="FX244" s="1474"/>
      <c r="FY244" s="1474"/>
      <c r="FZ244" s="1474"/>
      <c r="GA244" s="1474"/>
      <c r="GB244" s="1474"/>
      <c r="GC244" s="1474"/>
      <c r="GD244" s="1474"/>
      <c r="GE244" s="1474"/>
      <c r="GF244" s="1474"/>
      <c r="GG244" s="1474"/>
      <c r="GH244" s="1474"/>
      <c r="GI244" s="1474"/>
      <c r="GJ244" s="1474"/>
      <c r="GK244" s="1474"/>
      <c r="GL244" s="1474"/>
      <c r="GM244" s="1474"/>
      <c r="GN244" s="1474"/>
      <c r="GO244" s="1474"/>
      <c r="GP244" s="1474"/>
      <c r="GQ244" s="1474"/>
      <c r="GR244" s="1474"/>
      <c r="GS244" s="1474"/>
      <c r="GT244" s="1474"/>
      <c r="GU244" s="1474"/>
      <c r="GV244" s="1474"/>
      <c r="GW244" s="1474"/>
      <c r="GX244" s="1474"/>
      <c r="GY244" s="1474"/>
      <c r="GZ244" s="1474"/>
      <c r="HA244" s="1474"/>
      <c r="HB244" s="1474"/>
      <c r="HC244" s="1474"/>
      <c r="HD244" s="1474"/>
      <c r="HE244" s="1474"/>
      <c r="HF244" s="1474"/>
      <c r="HG244" s="1474"/>
      <c r="HH244" s="1474"/>
      <c r="HI244" s="1474"/>
      <c r="HJ244" s="1474"/>
      <c r="HK244" s="1474"/>
      <c r="HL244" s="1474"/>
      <c r="HM244" s="1474"/>
      <c r="HN244" s="1474"/>
      <c r="HO244" s="1474"/>
      <c r="HP244" s="1474"/>
      <c r="HQ244" s="1474"/>
      <c r="HR244" s="1474"/>
      <c r="HS244" s="1474"/>
      <c r="HT244" s="1474"/>
      <c r="HU244" s="1474"/>
      <c r="HV244" s="1474"/>
      <c r="HW244" s="1474"/>
      <c r="HX244" s="1474"/>
      <c r="HY244" s="1474"/>
      <c r="HZ244" s="1474"/>
      <c r="IA244" s="1474"/>
      <c r="IB244" s="1474"/>
      <c r="IC244" s="1474"/>
      <c r="ID244" s="1474"/>
      <c r="IE244" s="1474"/>
      <c r="IF244" s="1474"/>
      <c r="IG244" s="1474"/>
      <c r="IH244" s="1474"/>
      <c r="II244" s="1474"/>
      <c r="IJ244" s="1474"/>
      <c r="IK244" s="1474"/>
      <c r="IL244" s="1474"/>
      <c r="IM244" s="1474"/>
      <c r="IN244" s="1474"/>
      <c r="IO244" s="1474"/>
      <c r="IP244" s="1474"/>
      <c r="IQ244" s="1474"/>
      <c r="IR244" s="1474"/>
      <c r="IS244" s="1474"/>
      <c r="IT244" s="1474"/>
      <c r="IU244" s="1474"/>
      <c r="IV244" s="1474"/>
      <c r="IW244" s="1474"/>
      <c r="IX244" s="1474"/>
      <c r="IY244" s="1474"/>
      <c r="IZ244" s="1474"/>
    </row>
    <row r="245" spans="1:260" s="1513" customFormat="1">
      <c r="A245" s="1511"/>
      <c r="B245" s="1767" t="s">
        <v>155</v>
      </c>
      <c r="C245" s="1768">
        <f>+C243-C244</f>
        <v>-128</v>
      </c>
      <c r="D245" s="1769">
        <f>+D243-D244</f>
        <v>-12</v>
      </c>
      <c r="G245" s="1514"/>
      <c r="H245" s="1514"/>
      <c r="I245" s="1514"/>
      <c r="J245" s="1514"/>
      <c r="K245" s="1514"/>
      <c r="L245" s="1514"/>
      <c r="M245" s="1474"/>
      <c r="N245" s="1515"/>
      <c r="P245" s="1515"/>
      <c r="R245" s="1474"/>
      <c r="T245" s="1515"/>
      <c r="V245" s="1515"/>
      <c r="X245" s="1515"/>
      <c r="Z245" s="1516"/>
      <c r="AB245" s="1516"/>
      <c r="AD245" s="1516"/>
      <c r="AH245" s="1516"/>
      <c r="AU245" s="1533"/>
      <c r="AW245" s="1474"/>
      <c r="AX245" s="1474"/>
      <c r="AY245" s="1474"/>
      <c r="AZ245" s="1474"/>
      <c r="BA245" s="1474"/>
      <c r="BB245" s="1474"/>
      <c r="BC245" s="1474"/>
      <c r="BD245" s="1474"/>
      <c r="BE245" s="1474"/>
      <c r="BF245" s="1474"/>
      <c r="BG245" s="1474"/>
      <c r="BH245" s="1474"/>
      <c r="BI245" s="1474"/>
      <c r="CO245" s="1474"/>
      <c r="CP245" s="1474"/>
      <c r="EJ245" s="1474"/>
      <c r="EU245" s="1441"/>
      <c r="FF245" s="1514"/>
      <c r="FG245" s="1514"/>
      <c r="FH245" s="1514"/>
      <c r="FI245" s="1514"/>
      <c r="FJ245" s="1514"/>
      <c r="FK245" s="1514"/>
      <c r="FL245" s="1474"/>
      <c r="FM245" s="1474"/>
      <c r="FN245" s="1474"/>
      <c r="FO245" s="1474"/>
      <c r="FP245" s="1474"/>
      <c r="FQ245" s="1474"/>
      <c r="FR245" s="1474"/>
      <c r="FS245" s="1474"/>
      <c r="FT245" s="1474"/>
      <c r="FU245" s="1474"/>
      <c r="FV245" s="1474"/>
      <c r="FW245" s="1474"/>
      <c r="FX245" s="1474"/>
      <c r="FY245" s="1474"/>
      <c r="FZ245" s="1474"/>
      <c r="GA245" s="1474"/>
      <c r="GB245" s="1474"/>
      <c r="GC245" s="1474"/>
      <c r="GD245" s="1474"/>
      <c r="GE245" s="1474"/>
      <c r="GF245" s="1474"/>
      <c r="GG245" s="1474"/>
      <c r="GH245" s="1474"/>
      <c r="GI245" s="1474"/>
      <c r="GJ245" s="1474"/>
      <c r="GK245" s="1474"/>
      <c r="GL245" s="1474"/>
      <c r="GM245" s="1474"/>
      <c r="GN245" s="1474"/>
      <c r="GO245" s="1474"/>
      <c r="GP245" s="1474"/>
      <c r="GQ245" s="1474"/>
      <c r="GR245" s="1474"/>
      <c r="GS245" s="1474"/>
      <c r="GT245" s="1474"/>
      <c r="GU245" s="1474"/>
      <c r="GV245" s="1474"/>
      <c r="GW245" s="1474"/>
      <c r="GX245" s="1474"/>
      <c r="GY245" s="1474"/>
      <c r="GZ245" s="1474"/>
      <c r="HA245" s="1474"/>
      <c r="HB245" s="1474"/>
      <c r="HC245" s="1474"/>
      <c r="HD245" s="1474"/>
      <c r="HE245" s="1474"/>
      <c r="HF245" s="1474"/>
      <c r="HG245" s="1474"/>
      <c r="HH245" s="1474"/>
      <c r="HI245" s="1474"/>
      <c r="HJ245" s="1474"/>
      <c r="HK245" s="1474"/>
      <c r="HL245" s="1474"/>
      <c r="HM245" s="1474"/>
      <c r="HN245" s="1474"/>
      <c r="HO245" s="1474"/>
      <c r="HP245" s="1474"/>
      <c r="HQ245" s="1474"/>
      <c r="HR245" s="1474"/>
      <c r="HS245" s="1474"/>
      <c r="HT245" s="1474"/>
      <c r="HU245" s="1474"/>
      <c r="HV245" s="1474"/>
      <c r="HW245" s="1474"/>
      <c r="HX245" s="1474"/>
      <c r="HY245" s="1474"/>
      <c r="HZ245" s="1474"/>
      <c r="IA245" s="1474"/>
      <c r="IB245" s="1474"/>
      <c r="IC245" s="1474"/>
      <c r="ID245" s="1474"/>
      <c r="IE245" s="1474"/>
      <c r="IF245" s="1474"/>
      <c r="IG245" s="1474"/>
      <c r="IH245" s="1474"/>
      <c r="II245" s="1474"/>
      <c r="IJ245" s="1474"/>
      <c r="IK245" s="1474"/>
      <c r="IL245" s="1474"/>
      <c r="IM245" s="1474"/>
      <c r="IN245" s="1474"/>
      <c r="IO245" s="1474"/>
      <c r="IP245" s="1474"/>
      <c r="IQ245" s="1474"/>
      <c r="IR245" s="1474"/>
      <c r="IS245" s="1474"/>
      <c r="IT245" s="1474"/>
      <c r="IU245" s="1474"/>
      <c r="IV245" s="1474"/>
      <c r="IW245" s="1474"/>
      <c r="IX245" s="1474"/>
      <c r="IY245" s="1474"/>
      <c r="IZ245" s="1474"/>
    </row>
    <row r="246" spans="1:260" s="1513" customFormat="1" ht="12.75">
      <c r="A246" s="1511"/>
      <c r="B246" s="1778"/>
      <c r="C246" s="1779"/>
      <c r="D246" s="1417"/>
      <c r="F246" s="1761" t="s">
        <v>156</v>
      </c>
      <c r="G246" s="1514"/>
      <c r="H246" s="1514"/>
      <c r="I246" s="1514"/>
      <c r="J246" s="1514"/>
      <c r="K246" s="1514"/>
      <c r="L246" s="1514"/>
      <c r="M246" s="1474"/>
      <c r="N246" s="1515"/>
      <c r="P246" s="1515"/>
      <c r="R246" s="1474"/>
      <c r="T246" s="1515"/>
      <c r="V246" s="1515"/>
      <c r="X246" s="1515"/>
      <c r="Z246" s="1516"/>
      <c r="AB246" s="1516"/>
      <c r="AD246" s="1516"/>
      <c r="AH246" s="1516"/>
      <c r="AU246" s="1533"/>
      <c r="AW246" s="1474"/>
      <c r="AX246" s="1474"/>
      <c r="AY246" s="1474"/>
      <c r="AZ246" s="1474"/>
      <c r="BA246" s="1474"/>
      <c r="BB246" s="1474"/>
      <c r="BC246" s="1474"/>
      <c r="BD246" s="1474"/>
      <c r="BE246" s="1474"/>
      <c r="BF246" s="1474"/>
      <c r="BG246" s="1474"/>
      <c r="BH246" s="1474"/>
      <c r="BI246" s="1474"/>
      <c r="CO246" s="1474"/>
      <c r="CP246" s="1474"/>
      <c r="EJ246" s="1474"/>
      <c r="EU246" s="1441"/>
      <c r="FF246" s="1514"/>
      <c r="FG246" s="1514"/>
      <c r="FH246" s="1514"/>
      <c r="FI246" s="1514"/>
      <c r="FJ246" s="1514"/>
      <c r="FK246" s="1514"/>
      <c r="FL246" s="1474"/>
      <c r="FM246" s="1474"/>
      <c r="FN246" s="1474"/>
      <c r="FO246" s="1474"/>
      <c r="FP246" s="1474"/>
      <c r="FQ246" s="1474"/>
      <c r="FR246" s="1474"/>
      <c r="FS246" s="1474"/>
      <c r="FT246" s="1474"/>
      <c r="FU246" s="1474"/>
      <c r="FV246" s="1474"/>
      <c r="FW246" s="1474"/>
      <c r="FX246" s="1474"/>
      <c r="FY246" s="1474"/>
      <c r="FZ246" s="1474"/>
      <c r="GA246" s="1474"/>
      <c r="GB246" s="1474"/>
      <c r="GC246" s="1474"/>
      <c r="GD246" s="1474"/>
      <c r="GE246" s="1474"/>
      <c r="GF246" s="1474"/>
      <c r="GG246" s="1474"/>
      <c r="GH246" s="1474"/>
      <c r="GI246" s="1474"/>
      <c r="GJ246" s="1474"/>
      <c r="GK246" s="1474"/>
      <c r="GL246" s="1474"/>
      <c r="GM246" s="1474"/>
      <c r="GN246" s="1474"/>
      <c r="GO246" s="1474"/>
      <c r="GP246" s="1474"/>
      <c r="GQ246" s="1474"/>
      <c r="GR246" s="1474"/>
      <c r="GS246" s="1474"/>
      <c r="GT246" s="1474"/>
      <c r="GU246" s="1474"/>
      <c r="GV246" s="1474"/>
      <c r="GW246" s="1474"/>
      <c r="GX246" s="1474"/>
      <c r="GY246" s="1474"/>
      <c r="GZ246" s="1474"/>
      <c r="HA246" s="1474"/>
      <c r="HB246" s="1474"/>
      <c r="HC246" s="1474"/>
      <c r="HD246" s="1474"/>
      <c r="HE246" s="1474"/>
      <c r="HF246" s="1474"/>
      <c r="HG246" s="1474"/>
      <c r="HH246" s="1474"/>
      <c r="HI246" s="1474"/>
      <c r="HJ246" s="1474"/>
      <c r="HK246" s="1474"/>
      <c r="HL246" s="1474"/>
      <c r="HM246" s="1474"/>
      <c r="HN246" s="1474"/>
      <c r="HO246" s="1474"/>
      <c r="HP246" s="1474"/>
      <c r="HQ246" s="1474"/>
      <c r="HR246" s="1474"/>
      <c r="HS246" s="1474"/>
      <c r="HT246" s="1474"/>
      <c r="HU246" s="1474"/>
      <c r="HV246" s="1474"/>
      <c r="HW246" s="1474"/>
      <c r="HX246" s="1474"/>
      <c r="HY246" s="1474"/>
      <c r="HZ246" s="1474"/>
      <c r="IA246" s="1474"/>
      <c r="IB246" s="1474"/>
      <c r="IC246" s="1474"/>
      <c r="ID246" s="1474"/>
      <c r="IE246" s="1474"/>
      <c r="IF246" s="1474"/>
      <c r="IG246" s="1474"/>
      <c r="IH246" s="1474"/>
      <c r="II246" s="1474"/>
      <c r="IJ246" s="1474"/>
      <c r="IK246" s="1474"/>
      <c r="IL246" s="1474"/>
      <c r="IM246" s="1474"/>
      <c r="IN246" s="1474"/>
      <c r="IO246" s="1474"/>
      <c r="IP246" s="1474"/>
      <c r="IQ246" s="1474"/>
      <c r="IR246" s="1474"/>
      <c r="IS246" s="1474"/>
      <c r="IT246" s="1474"/>
      <c r="IU246" s="1474"/>
      <c r="IV246" s="1474"/>
      <c r="IW246" s="1474"/>
      <c r="IX246" s="1474"/>
      <c r="IY246" s="1474"/>
      <c r="IZ246" s="1474"/>
    </row>
    <row r="247" spans="1:260" s="1474" customFormat="1" ht="12.75">
      <c r="A247" s="1403"/>
      <c r="B247" s="1762"/>
      <c r="C247" s="1403" t="s">
        <v>583</v>
      </c>
      <c r="D247" s="1414"/>
      <c r="E247" s="1513"/>
      <c r="F247" s="1765"/>
      <c r="G247" s="1514"/>
      <c r="H247" s="1514"/>
      <c r="I247" s="2224" t="s">
        <v>157</v>
      </c>
      <c r="J247" s="2224"/>
      <c r="K247" s="2224"/>
      <c r="L247" s="2224"/>
      <c r="M247" s="2224"/>
      <c r="N247" s="2224"/>
      <c r="O247" s="1780" t="s">
        <v>158</v>
      </c>
      <c r="P247" s="1781" t="s">
        <v>155</v>
      </c>
      <c r="S247" s="1513"/>
      <c r="T247" s="1515"/>
      <c r="U247" s="1513"/>
      <c r="V247" s="1515"/>
      <c r="W247" s="1513"/>
      <c r="X247" s="1515"/>
      <c r="Y247" s="1513"/>
      <c r="Z247" s="1516"/>
      <c r="AA247" s="1513"/>
      <c r="AB247" s="1516"/>
      <c r="AC247" s="1513"/>
      <c r="AD247" s="1516"/>
      <c r="AE247" s="1513"/>
      <c r="AF247" s="1513"/>
      <c r="AG247" s="1513"/>
      <c r="AH247" s="1516"/>
      <c r="AI247" s="1513"/>
      <c r="AJ247" s="1513"/>
      <c r="AK247" s="1513"/>
      <c r="AL247" s="1513"/>
      <c r="AM247" s="1513"/>
      <c r="AN247" s="1513"/>
      <c r="AO247" s="1513"/>
      <c r="AP247" s="1513"/>
      <c r="AQ247" s="1513"/>
      <c r="AR247" s="1513"/>
      <c r="AS247" s="1513"/>
      <c r="AT247" s="1513"/>
      <c r="AU247" s="1533"/>
      <c r="AV247" s="1513"/>
      <c r="BJ247" s="1513"/>
      <c r="BK247" s="1513"/>
      <c r="BL247" s="1513"/>
      <c r="BM247" s="1513"/>
      <c r="BN247" s="1513"/>
      <c r="BO247" s="1513"/>
      <c r="BP247" s="1513"/>
      <c r="BQ247" s="1513"/>
      <c r="BR247" s="1513"/>
      <c r="BS247" s="1513"/>
      <c r="BT247" s="1513"/>
      <c r="BU247" s="1513"/>
      <c r="BV247" s="1513"/>
      <c r="BW247" s="1513"/>
      <c r="BX247" s="1513"/>
      <c r="BY247" s="1513"/>
      <c r="BZ247" s="1513"/>
      <c r="CA247" s="1513"/>
      <c r="CB247" s="1513"/>
      <c r="CC247" s="1513"/>
      <c r="CD247" s="1513"/>
      <c r="CE247" s="1513"/>
      <c r="CF247" s="1513"/>
      <c r="CG247" s="1513"/>
      <c r="CH247" s="1513"/>
      <c r="CI247" s="1513"/>
      <c r="CJ247" s="1513"/>
      <c r="CK247" s="1513"/>
      <c r="CL247" s="1513"/>
      <c r="CM247" s="1513"/>
      <c r="CN247" s="1513"/>
      <c r="CQ247" s="1513"/>
      <c r="CR247" s="1513"/>
      <c r="CS247" s="1513"/>
      <c r="CT247" s="1513"/>
      <c r="CU247" s="1513"/>
      <c r="CV247" s="1513"/>
      <c r="CW247" s="1513"/>
      <c r="CX247" s="1513"/>
      <c r="CY247" s="1513"/>
      <c r="CZ247" s="1513"/>
      <c r="DA247" s="1513"/>
      <c r="DB247" s="1513"/>
      <c r="DC247" s="1513"/>
      <c r="DD247" s="1513"/>
      <c r="DE247" s="1513"/>
      <c r="DF247" s="1513"/>
      <c r="DG247" s="1513"/>
      <c r="DH247" s="1513"/>
      <c r="DI247" s="1513"/>
      <c r="DJ247" s="1513"/>
      <c r="DK247" s="1513"/>
      <c r="DL247" s="1513"/>
      <c r="DM247" s="1513"/>
      <c r="DN247" s="1513"/>
      <c r="DO247" s="1513"/>
      <c r="DP247" s="1513"/>
      <c r="DQ247" s="1513"/>
      <c r="DR247" s="1513"/>
      <c r="DS247" s="1513"/>
      <c r="DT247" s="1513"/>
      <c r="DU247" s="1513"/>
      <c r="DV247" s="1513"/>
      <c r="DW247" s="1513"/>
      <c r="DX247" s="1513"/>
      <c r="DY247" s="1513"/>
      <c r="DZ247" s="1513"/>
      <c r="EA247" s="1513"/>
      <c r="EB247" s="1513"/>
      <c r="EC247" s="1513"/>
      <c r="ED247" s="1513"/>
      <c r="EE247" s="1513"/>
      <c r="EF247" s="1513"/>
      <c r="EG247" s="1513"/>
      <c r="EH247" s="1513"/>
      <c r="EI247" s="1513"/>
      <c r="EK247" s="1513"/>
      <c r="EL247" s="1513"/>
      <c r="EM247" s="1513"/>
      <c r="EN247" s="1513"/>
      <c r="EO247" s="1513"/>
      <c r="EP247" s="1513"/>
      <c r="EQ247" s="1513"/>
      <c r="ER247" s="1513"/>
      <c r="ES247" s="1513"/>
      <c r="ET247" s="1513"/>
      <c r="EU247" s="1441"/>
      <c r="EV247" s="1513"/>
      <c r="EW247" s="1513"/>
      <c r="EX247" s="1513"/>
      <c r="EY247" s="1513"/>
      <c r="EZ247" s="1513"/>
      <c r="FA247" s="1513"/>
      <c r="FB247" s="1513"/>
      <c r="FC247" s="1513"/>
      <c r="FD247" s="1513"/>
      <c r="FE247" s="1513"/>
      <c r="FF247" s="1514"/>
      <c r="FG247" s="1514"/>
      <c r="FH247" s="1514"/>
      <c r="FI247" s="1514"/>
      <c r="FJ247" s="1514"/>
      <c r="FK247" s="1514"/>
    </row>
    <row r="248" spans="1:260" s="1417" customFormat="1" ht="12.75">
      <c r="A248" s="1779"/>
      <c r="B248" s="1762"/>
      <c r="C248" s="1490"/>
      <c r="G248" s="1546"/>
      <c r="H248" s="1546"/>
      <c r="I248" s="1782" t="s">
        <v>41</v>
      </c>
      <c r="J248" s="1782" t="s">
        <v>159</v>
      </c>
      <c r="K248" s="1782" t="s">
        <v>42</v>
      </c>
      <c r="L248" s="1782" t="s">
        <v>160</v>
      </c>
      <c r="M248" s="1782" t="s">
        <v>161</v>
      </c>
      <c r="N248" s="1782" t="s">
        <v>146</v>
      </c>
      <c r="O248" s="1783" t="s">
        <v>162</v>
      </c>
      <c r="P248" s="1784"/>
      <c r="AU248" s="1414"/>
      <c r="CO248" s="1414"/>
      <c r="CP248" s="1414"/>
      <c r="EJ248" s="1414"/>
      <c r="EK248" s="1414"/>
      <c r="EL248" s="1414"/>
      <c r="EM248" s="1414"/>
      <c r="EN248" s="1414"/>
      <c r="EO248" s="1414"/>
      <c r="EP248" s="1414"/>
      <c r="EQ248" s="1414"/>
      <c r="ER248" s="1414"/>
      <c r="ES248" s="1414"/>
      <c r="ET248" s="1414"/>
      <c r="EU248" s="1441"/>
      <c r="EV248" s="1414"/>
      <c r="EW248" s="1414"/>
      <c r="EX248" s="1414"/>
      <c r="EY248" s="1414"/>
      <c r="EZ248" s="1414"/>
      <c r="FA248" s="1414"/>
      <c r="FB248" s="1414"/>
      <c r="FC248" s="1414"/>
      <c r="FD248" s="1414"/>
      <c r="FE248" s="1414"/>
      <c r="FF248" s="1414"/>
      <c r="FG248" s="1414"/>
      <c r="FH248" s="1414"/>
      <c r="FI248" s="1414"/>
      <c r="FJ248" s="1414"/>
      <c r="FK248" s="1414"/>
      <c r="FL248" s="1414"/>
      <c r="FM248" s="1414"/>
      <c r="FN248" s="1414"/>
      <c r="FO248" s="1414"/>
      <c r="FP248" s="1414"/>
    </row>
    <row r="249" spans="1:260" s="1417" customFormat="1" ht="15">
      <c r="A249" s="1779"/>
      <c r="B249" s="1762"/>
      <c r="C249" s="1490"/>
      <c r="D249" s="1414"/>
      <c r="E249" s="1451"/>
      <c r="F249" s="1417" t="s">
        <v>163</v>
      </c>
      <c r="G249" s="1546"/>
      <c r="H249" s="1546"/>
      <c r="I249" s="1785">
        <f>+AV228</f>
        <v>0</v>
      </c>
      <c r="J249" s="1785">
        <f>+CF228</f>
        <v>0</v>
      </c>
      <c r="K249" s="1785">
        <f>+BE228</f>
        <v>6332.76</v>
      </c>
      <c r="L249" s="1785">
        <f>+BN228</f>
        <v>30397.248000000007</v>
      </c>
      <c r="M249" s="1785">
        <f>+BW228</f>
        <v>0</v>
      </c>
      <c r="N249" s="1785">
        <f>SUM(I249:M249)</f>
        <v>36730.008000000009</v>
      </c>
      <c r="O249" s="1786"/>
      <c r="P249" s="1787">
        <f>+N249-O249</f>
        <v>36730.008000000009</v>
      </c>
      <c r="AU249" s="1414"/>
      <c r="BN249" s="1451"/>
      <c r="CO249" s="1414"/>
      <c r="CP249" s="1414"/>
      <c r="CQ249" s="1451"/>
      <c r="CZ249" s="1451"/>
      <c r="DI249" s="1451"/>
      <c r="EJ249" s="1414"/>
      <c r="EK249" s="1403"/>
      <c r="EL249" s="1414"/>
      <c r="EM249" s="1604"/>
      <c r="EN249" s="1604"/>
      <c r="EO249" s="1604"/>
      <c r="EP249" s="1604"/>
      <c r="EQ249" s="1604"/>
      <c r="ER249" s="1604"/>
      <c r="ES249" s="1414"/>
      <c r="ET249" s="1414"/>
      <c r="EU249" s="1441"/>
      <c r="EV249" s="1414"/>
      <c r="EW249" s="1414"/>
      <c r="EX249" s="1414"/>
      <c r="EY249" s="1414"/>
      <c r="EZ249" s="1414"/>
      <c r="FA249" s="1414"/>
      <c r="FB249" s="1414"/>
      <c r="FC249" s="1414"/>
      <c r="FD249" s="1414"/>
      <c r="FE249" s="1414"/>
      <c r="FF249" s="1414"/>
      <c r="FG249" s="1414"/>
      <c r="FH249" s="1414"/>
      <c r="FI249" s="1414"/>
      <c r="FJ249" s="1414"/>
      <c r="FK249" s="1414"/>
      <c r="FL249" s="1414"/>
      <c r="FM249" s="1414"/>
      <c r="FN249" s="1414"/>
      <c r="FO249" s="1414"/>
      <c r="FP249" s="1414"/>
    </row>
    <row r="250" spans="1:260" s="1414" customFormat="1" ht="15">
      <c r="A250" s="1403"/>
      <c r="B250" s="1788"/>
      <c r="C250" s="1488"/>
      <c r="D250" s="1441"/>
      <c r="E250" s="1451"/>
      <c r="F250" s="1417" t="s">
        <v>164</v>
      </c>
      <c r="G250" s="1546"/>
      <c r="H250" s="1546"/>
      <c r="I250" s="1785">
        <f>+AW228</f>
        <v>1575</v>
      </c>
      <c r="J250" s="1785">
        <f>+CG228</f>
        <v>0</v>
      </c>
      <c r="K250" s="1785">
        <f>+BF228</f>
        <v>6749.97</v>
      </c>
      <c r="L250" s="1785">
        <f>+BO228</f>
        <v>8000</v>
      </c>
      <c r="M250" s="1785">
        <f>+BX228</f>
        <v>0</v>
      </c>
      <c r="N250" s="1785">
        <f>SUM(I250:M250)</f>
        <v>16324.970000000001</v>
      </c>
      <c r="O250" s="1786"/>
      <c r="P250" s="1787">
        <f>+N250-O250</f>
        <v>16324.970000000001</v>
      </c>
      <c r="S250" s="1417"/>
      <c r="T250" s="1673"/>
      <c r="U250" s="1417"/>
      <c r="V250" s="1417"/>
      <c r="W250" s="1417"/>
      <c r="X250" s="1417"/>
      <c r="Y250" s="1417"/>
      <c r="Z250" s="1417"/>
      <c r="AA250" s="1417"/>
      <c r="AB250" s="1417"/>
      <c r="AC250" s="1417"/>
      <c r="AD250" s="1417"/>
      <c r="AE250" s="1417"/>
      <c r="AF250" s="1417"/>
      <c r="AG250" s="1417"/>
      <c r="AH250" s="1417"/>
      <c r="AI250" s="1417"/>
      <c r="AJ250" s="1417"/>
      <c r="AK250" s="1417"/>
      <c r="AL250" s="1417"/>
      <c r="AM250" s="1417"/>
      <c r="AN250" s="1417"/>
      <c r="AO250" s="1417"/>
      <c r="AP250" s="1417"/>
      <c r="AQ250" s="1417"/>
      <c r="AR250" s="1417"/>
      <c r="AS250" s="1417"/>
      <c r="AT250" s="1417"/>
      <c r="AV250" s="1417"/>
      <c r="BJ250" s="1417"/>
      <c r="BK250" s="1417"/>
      <c r="BL250" s="1417"/>
      <c r="BM250" s="1417"/>
      <c r="BN250" s="1451"/>
      <c r="BO250" s="1417"/>
      <c r="BP250" s="1417"/>
      <c r="BQ250" s="1417"/>
      <c r="BR250" s="1417"/>
      <c r="BS250" s="1417"/>
      <c r="BT250" s="1417"/>
      <c r="BU250" s="1417"/>
      <c r="BV250" s="1417"/>
      <c r="BW250" s="1417"/>
      <c r="BX250" s="1417"/>
      <c r="BY250" s="1417"/>
      <c r="BZ250" s="1417"/>
      <c r="CA250" s="1417"/>
      <c r="CB250" s="1417"/>
      <c r="CC250" s="1417"/>
      <c r="CD250" s="1417"/>
      <c r="CE250" s="1417"/>
      <c r="CF250" s="1417"/>
      <c r="CG250" s="1417"/>
      <c r="CH250" s="1417"/>
      <c r="CI250" s="1417"/>
      <c r="CJ250" s="1417"/>
      <c r="CK250" s="1417"/>
      <c r="CL250" s="1417"/>
      <c r="CM250" s="1417"/>
      <c r="CN250" s="1417"/>
      <c r="CQ250" s="1451"/>
      <c r="CR250" s="1417"/>
      <c r="CS250" s="1417"/>
      <c r="CT250" s="1417"/>
      <c r="CU250" s="1417"/>
      <c r="CV250" s="1417"/>
      <c r="CW250" s="1417"/>
      <c r="CX250" s="1417"/>
      <c r="CY250" s="1417"/>
      <c r="CZ250" s="1451"/>
      <c r="DA250" s="1417"/>
      <c r="DB250" s="1417"/>
      <c r="DC250" s="1417"/>
      <c r="DD250" s="1417"/>
      <c r="DE250" s="1417"/>
      <c r="DF250" s="1417"/>
      <c r="DG250" s="1417"/>
      <c r="DH250" s="1417"/>
      <c r="DI250" s="1451"/>
      <c r="DJ250" s="1417"/>
      <c r="DK250" s="1417"/>
      <c r="DL250" s="1417"/>
      <c r="DM250" s="1417"/>
      <c r="DN250" s="1417"/>
      <c r="DO250" s="1417"/>
      <c r="DP250" s="1417"/>
      <c r="DQ250" s="1417"/>
      <c r="DR250" s="1417"/>
      <c r="DS250" s="1417"/>
      <c r="DT250" s="1417"/>
      <c r="DU250" s="1417"/>
      <c r="DV250" s="1417"/>
      <c r="DW250" s="1417"/>
      <c r="DX250" s="1417"/>
      <c r="DY250" s="1417"/>
      <c r="DZ250" s="1417"/>
      <c r="EA250" s="1417"/>
      <c r="EB250" s="1417"/>
      <c r="EC250" s="1417"/>
      <c r="ED250" s="1417"/>
      <c r="EE250" s="1417"/>
      <c r="EF250" s="1417"/>
      <c r="EG250" s="1417"/>
      <c r="EH250" s="1417"/>
      <c r="EI250" s="1417"/>
      <c r="EK250" s="1403"/>
      <c r="EM250" s="1604"/>
      <c r="EN250" s="1604"/>
      <c r="EO250" s="1604"/>
      <c r="EP250" s="1604"/>
      <c r="EQ250" s="1604"/>
      <c r="ER250" s="1604"/>
      <c r="EU250" s="1441"/>
    </row>
    <row r="251" spans="1:260" s="1414" customFormat="1" ht="15">
      <c r="A251" s="1403"/>
      <c r="B251" s="1788"/>
      <c r="C251" s="1488"/>
      <c r="D251" s="1441"/>
      <c r="E251" s="1451"/>
      <c r="F251" s="1417" t="s">
        <v>9</v>
      </c>
      <c r="G251" s="1546"/>
      <c r="H251" s="1546"/>
      <c r="I251" s="1785">
        <f>+BB228</f>
        <v>0</v>
      </c>
      <c r="J251" s="1785">
        <f>+CL228</f>
        <v>0</v>
      </c>
      <c r="K251" s="1785">
        <f>+BK228</f>
        <v>0</v>
      </c>
      <c r="L251" s="1785">
        <f>+BT228</f>
        <v>0</v>
      </c>
      <c r="M251" s="1785">
        <f>+CC228</f>
        <v>0</v>
      </c>
      <c r="N251" s="1785">
        <f>SUM(I251:M251)</f>
        <v>0</v>
      </c>
      <c r="O251" s="1786"/>
      <c r="P251" s="1787">
        <f>+N251-O251</f>
        <v>0</v>
      </c>
      <c r="S251" s="1417"/>
      <c r="T251" s="1673"/>
      <c r="U251" s="1417"/>
      <c r="V251" s="1417"/>
      <c r="W251" s="1417"/>
      <c r="X251" s="1417"/>
      <c r="Y251" s="1417"/>
      <c r="Z251" s="1417"/>
      <c r="AA251" s="1417"/>
      <c r="AB251" s="1417"/>
      <c r="AC251" s="1417"/>
      <c r="AD251" s="1417"/>
      <c r="AE251" s="1417"/>
      <c r="AF251" s="1417"/>
      <c r="AG251" s="1417"/>
      <c r="AH251" s="1417"/>
      <c r="AI251" s="1417"/>
      <c r="AJ251" s="1417"/>
      <c r="AK251" s="1417"/>
      <c r="AL251" s="1417"/>
      <c r="AM251" s="1417"/>
      <c r="AN251" s="1417"/>
      <c r="AO251" s="1417"/>
      <c r="AP251" s="1417"/>
      <c r="AQ251" s="1417"/>
      <c r="AR251" s="1417"/>
      <c r="AS251" s="1417"/>
      <c r="AT251" s="1417"/>
      <c r="AV251" s="1417"/>
      <c r="BJ251" s="1417"/>
      <c r="BK251" s="1417"/>
      <c r="BL251" s="1417"/>
      <c r="BM251" s="1417"/>
      <c r="BN251" s="1451"/>
      <c r="BO251" s="1417"/>
      <c r="BP251" s="1417"/>
      <c r="BQ251" s="1417"/>
      <c r="BR251" s="1417"/>
      <c r="BS251" s="1417"/>
      <c r="BT251" s="1417"/>
      <c r="BU251" s="1417"/>
      <c r="BV251" s="1417"/>
      <c r="BW251" s="1417"/>
      <c r="BX251" s="1417"/>
      <c r="BY251" s="1417"/>
      <c r="BZ251" s="1417"/>
      <c r="CA251" s="1417"/>
      <c r="CB251" s="1417"/>
      <c r="CC251" s="1417"/>
      <c r="CD251" s="1417"/>
      <c r="CE251" s="1417"/>
      <c r="CF251" s="1417"/>
      <c r="CG251" s="1417"/>
      <c r="CH251" s="1417"/>
      <c r="CI251" s="1417"/>
      <c r="CJ251" s="1417"/>
      <c r="CK251" s="1417"/>
      <c r="CL251" s="1417"/>
      <c r="CM251" s="1417"/>
      <c r="CN251" s="1417"/>
      <c r="CQ251" s="1451"/>
      <c r="CR251" s="1417"/>
      <c r="CS251" s="1417"/>
      <c r="CT251" s="1417"/>
      <c r="CU251" s="1417"/>
      <c r="CV251" s="1417"/>
      <c r="CW251" s="1417"/>
      <c r="CX251" s="1417"/>
      <c r="CY251" s="1417"/>
      <c r="CZ251" s="1451"/>
      <c r="DA251" s="1417"/>
      <c r="DB251" s="1417"/>
      <c r="DC251" s="1417"/>
      <c r="DD251" s="1417"/>
      <c r="DE251" s="1417"/>
      <c r="DF251" s="1417"/>
      <c r="DG251" s="1417"/>
      <c r="DH251" s="1417"/>
      <c r="DI251" s="1451"/>
      <c r="DJ251" s="1417"/>
      <c r="DK251" s="1417"/>
      <c r="DL251" s="1417"/>
      <c r="DM251" s="1417"/>
      <c r="DN251" s="1417"/>
      <c r="DO251" s="1417"/>
      <c r="DP251" s="1417"/>
      <c r="DQ251" s="1417"/>
      <c r="DR251" s="1417"/>
      <c r="DS251" s="1417"/>
      <c r="DT251" s="1417"/>
      <c r="DU251" s="1417"/>
      <c r="DV251" s="1417"/>
      <c r="DW251" s="1417"/>
      <c r="DX251" s="1417"/>
      <c r="DY251" s="1417"/>
      <c r="DZ251" s="1417"/>
      <c r="EA251" s="1417"/>
      <c r="EB251" s="1417"/>
      <c r="EC251" s="1417"/>
      <c r="ED251" s="1417"/>
      <c r="EE251" s="1417"/>
      <c r="EF251" s="1417"/>
      <c r="EG251" s="1417"/>
      <c r="EH251" s="1417"/>
      <c r="EI251" s="1417"/>
      <c r="EK251" s="1403"/>
      <c r="EM251" s="1604"/>
      <c r="EN251" s="1604"/>
      <c r="EO251" s="1604"/>
      <c r="EP251" s="1604"/>
      <c r="EQ251" s="1604"/>
      <c r="ER251" s="1604"/>
      <c r="EU251" s="1441"/>
    </row>
    <row r="252" spans="1:260" s="1414" customFormat="1">
      <c r="A252" s="1403"/>
      <c r="B252" s="1788"/>
      <c r="C252" s="1488"/>
      <c r="D252" s="1433"/>
      <c r="E252" s="1451"/>
      <c r="F252" s="1417" t="s">
        <v>165</v>
      </c>
      <c r="G252" s="1546"/>
      <c r="H252" s="1546"/>
      <c r="I252" s="1785">
        <f>+BA228+AY228</f>
        <v>395.79750000000001</v>
      </c>
      <c r="J252" s="1785">
        <f>+CI228+CK228</f>
        <v>0</v>
      </c>
      <c r="K252" s="1785">
        <f>+BH228+BJ228</f>
        <v>0</v>
      </c>
      <c r="L252" s="1785">
        <f>+BQ228+BS228</f>
        <v>2453.9445000000005</v>
      </c>
      <c r="M252" s="1785">
        <f>+BZ228+CB228</f>
        <v>0</v>
      </c>
      <c r="N252" s="1785">
        <f>SUM(I252:M252)</f>
        <v>2849.7420000000006</v>
      </c>
      <c r="O252" s="1786"/>
      <c r="P252" s="1787">
        <f>+N252-O252</f>
        <v>2849.7420000000006</v>
      </c>
      <c r="S252" s="1417"/>
      <c r="T252" s="1673"/>
      <c r="U252" s="1417"/>
      <c r="V252" s="1417"/>
      <c r="W252" s="1417"/>
      <c r="X252" s="1417"/>
      <c r="Y252" s="1417"/>
      <c r="Z252" s="1417"/>
      <c r="AA252" s="1417"/>
      <c r="AB252" s="1417"/>
      <c r="AC252" s="1417"/>
      <c r="AD252" s="1417"/>
      <c r="AE252" s="1417"/>
      <c r="AF252" s="1417"/>
      <c r="AG252" s="1417"/>
      <c r="AH252" s="1417"/>
      <c r="AI252" s="1417"/>
      <c r="AJ252" s="1417"/>
      <c r="AK252" s="1417"/>
      <c r="AL252" s="1417"/>
      <c r="AM252" s="1417"/>
      <c r="AN252" s="1417"/>
      <c r="AO252" s="1417"/>
      <c r="AP252" s="1417"/>
      <c r="AQ252" s="1417"/>
      <c r="AR252" s="1417"/>
      <c r="AS252" s="1417"/>
      <c r="AT252" s="1417"/>
      <c r="AV252" s="1417"/>
      <c r="BJ252" s="1417"/>
      <c r="BK252" s="1417"/>
      <c r="BL252" s="1417"/>
      <c r="BM252" s="1417"/>
      <c r="BN252" s="1451"/>
      <c r="BO252" s="1417"/>
      <c r="BP252" s="1417"/>
      <c r="BQ252" s="1417"/>
      <c r="BR252" s="1417"/>
      <c r="BS252" s="1417"/>
      <c r="BT252" s="1417"/>
      <c r="BU252" s="1417"/>
      <c r="BV252" s="1417"/>
      <c r="BW252" s="1417"/>
      <c r="BX252" s="1417"/>
      <c r="BY252" s="1417"/>
      <c r="BZ252" s="1417"/>
      <c r="CA252" s="1417"/>
      <c r="CB252" s="1417"/>
      <c r="CC252" s="1417"/>
      <c r="CD252" s="1417"/>
      <c r="CE252" s="1417"/>
      <c r="CF252" s="1417"/>
      <c r="CG252" s="1417"/>
      <c r="CH252" s="1417"/>
      <c r="CI252" s="1417"/>
      <c r="CJ252" s="1417"/>
      <c r="CK252" s="1417"/>
      <c r="CL252" s="1417"/>
      <c r="CM252" s="1417"/>
      <c r="CN252" s="1417"/>
      <c r="CQ252" s="1451"/>
      <c r="CR252" s="1417"/>
      <c r="CS252" s="1417"/>
      <c r="CT252" s="1417"/>
      <c r="CU252" s="1417"/>
      <c r="CV252" s="1417"/>
      <c r="CW252" s="1417"/>
      <c r="CX252" s="1417"/>
      <c r="CY252" s="1417"/>
      <c r="CZ252" s="1451"/>
      <c r="DA252" s="1417"/>
      <c r="DB252" s="1417"/>
      <c r="DC252" s="1417"/>
      <c r="DD252" s="1417"/>
      <c r="DE252" s="1417"/>
      <c r="DF252" s="1417"/>
      <c r="DG252" s="1417"/>
      <c r="DH252" s="1417"/>
      <c r="DI252" s="1451"/>
      <c r="DJ252" s="1417"/>
      <c r="DK252" s="1417"/>
      <c r="DL252" s="1417"/>
      <c r="DM252" s="1417"/>
      <c r="DN252" s="1417"/>
      <c r="DO252" s="1417"/>
      <c r="DP252" s="1417"/>
      <c r="DQ252" s="1417"/>
      <c r="DR252" s="1417"/>
      <c r="DS252" s="1417"/>
      <c r="DT252" s="1417"/>
      <c r="DU252" s="1417"/>
      <c r="DV252" s="1417"/>
      <c r="DW252" s="1417"/>
      <c r="DX252" s="1417"/>
      <c r="DY252" s="1417"/>
      <c r="DZ252" s="1417"/>
      <c r="EA252" s="1417"/>
      <c r="EB252" s="1417"/>
      <c r="EC252" s="1417"/>
      <c r="ED252" s="1417"/>
      <c r="EE252" s="1417"/>
      <c r="EF252" s="1417"/>
      <c r="EG252" s="1417"/>
      <c r="EH252" s="1417"/>
      <c r="EI252" s="1417"/>
      <c r="EK252" s="1779"/>
      <c r="EL252" s="1779"/>
      <c r="EM252" s="1779"/>
      <c r="EN252" s="1779"/>
      <c r="EO252" s="1779"/>
      <c r="EP252" s="1779"/>
      <c r="EQ252" s="1779"/>
      <c r="ER252" s="1779"/>
      <c r="ES252" s="1779"/>
      <c r="ET252" s="1779"/>
    </row>
    <row r="253" spans="1:260" s="1417" customFormat="1" ht="15.75" thickBot="1">
      <c r="A253" s="1779"/>
      <c r="B253" s="1762"/>
      <c r="C253" s="1490"/>
      <c r="D253" s="1433"/>
      <c r="E253" s="1451"/>
      <c r="G253" s="1546"/>
      <c r="H253" s="1546"/>
      <c r="I253" s="1789">
        <f t="shared" ref="I253:P253" si="3648">SUM(I249:I252)</f>
        <v>1970.7975000000001</v>
      </c>
      <c r="J253" s="1789">
        <f t="shared" si="3648"/>
        <v>0</v>
      </c>
      <c r="K253" s="1789">
        <f t="shared" si="3648"/>
        <v>13082.73</v>
      </c>
      <c r="L253" s="1789">
        <f t="shared" si="3648"/>
        <v>40851.192500000005</v>
      </c>
      <c r="M253" s="1789">
        <f t="shared" si="3648"/>
        <v>0</v>
      </c>
      <c r="N253" s="1789">
        <f t="shared" si="3648"/>
        <v>55904.720000000008</v>
      </c>
      <c r="O253" s="1790">
        <f t="shared" si="3648"/>
        <v>0</v>
      </c>
      <c r="P253" s="1791">
        <f t="shared" si="3648"/>
        <v>55904.720000000008</v>
      </c>
      <c r="AU253" s="1414"/>
      <c r="BN253" s="1451"/>
      <c r="CO253" s="1414"/>
      <c r="CP253" s="1414"/>
      <c r="CQ253" s="1451"/>
      <c r="CZ253" s="1451"/>
      <c r="DI253" s="1451"/>
      <c r="EJ253" s="1414"/>
      <c r="EK253" s="1403"/>
      <c r="EL253" s="1414"/>
      <c r="EM253" s="1604"/>
      <c r="EN253" s="1604"/>
      <c r="EO253" s="1604"/>
      <c r="EP253" s="1604"/>
      <c r="EQ253" s="1604"/>
      <c r="ER253" s="1604"/>
      <c r="ES253" s="1414"/>
      <c r="ET253" s="1414"/>
      <c r="EU253" s="1414"/>
      <c r="EV253" s="1414"/>
      <c r="EW253" s="1414"/>
      <c r="EX253" s="1414"/>
      <c r="EY253" s="1414"/>
      <c r="EZ253" s="1414"/>
      <c r="FA253" s="1414"/>
      <c r="FB253" s="1414"/>
      <c r="FC253" s="1414"/>
      <c r="FD253" s="1414"/>
      <c r="FE253" s="1414"/>
      <c r="FF253" s="1414"/>
      <c r="FG253" s="1414"/>
      <c r="FH253" s="1414"/>
      <c r="FI253" s="1414"/>
      <c r="FJ253" s="1414"/>
      <c r="FK253" s="1414"/>
      <c r="FL253" s="1414"/>
      <c r="FM253" s="1414"/>
      <c r="FN253" s="1414"/>
      <c r="FO253" s="1414"/>
      <c r="FP253" s="1414"/>
    </row>
    <row r="254" spans="1:260" s="1417" customFormat="1" ht="15.75" thickTop="1">
      <c r="A254" s="1779"/>
      <c r="B254" s="1762"/>
      <c r="C254" s="1490"/>
      <c r="D254" s="1433"/>
      <c r="E254" s="1451"/>
      <c r="G254" s="1546"/>
      <c r="H254" s="1546"/>
      <c r="I254" s="1787"/>
      <c r="J254" s="1787"/>
      <c r="K254" s="1787"/>
      <c r="L254" s="1787"/>
      <c r="M254" s="1787"/>
      <c r="N254" s="1787"/>
      <c r="O254" s="1787"/>
      <c r="P254" s="1787"/>
      <c r="AU254" s="1414"/>
      <c r="BN254" s="1451"/>
      <c r="CO254" s="1414"/>
      <c r="CP254" s="1414"/>
      <c r="CQ254" s="1451"/>
      <c r="CZ254" s="1451"/>
      <c r="DI254" s="1451"/>
      <c r="EJ254" s="1414"/>
      <c r="EK254" s="1403"/>
      <c r="EL254" s="1414"/>
      <c r="EM254" s="1604"/>
      <c r="EN254" s="1604"/>
      <c r="EO254" s="1604"/>
      <c r="EP254" s="1604"/>
      <c r="EQ254" s="1604"/>
      <c r="ER254" s="1604"/>
      <c r="ES254" s="1414"/>
      <c r="ET254" s="1414"/>
      <c r="EU254" s="1414"/>
      <c r="EV254" s="1414"/>
      <c r="EW254" s="1414"/>
      <c r="EX254" s="1414"/>
      <c r="EY254" s="1414"/>
      <c r="EZ254" s="1414"/>
      <c r="FA254" s="1414"/>
      <c r="FB254" s="1414"/>
      <c r="FC254" s="1414"/>
      <c r="FD254" s="1414"/>
      <c r="FE254" s="1414"/>
      <c r="FF254" s="1414"/>
      <c r="FG254" s="1414"/>
      <c r="FH254" s="1414"/>
      <c r="FI254" s="1414"/>
      <c r="FJ254" s="1414"/>
      <c r="FK254" s="1414"/>
      <c r="FL254" s="1414"/>
      <c r="FM254" s="1414"/>
      <c r="FN254" s="1414"/>
      <c r="FO254" s="1414"/>
      <c r="FP254" s="1414"/>
    </row>
    <row r="255" spans="1:260" s="1417" customFormat="1" ht="15">
      <c r="A255" s="1779"/>
      <c r="B255" s="1788"/>
      <c r="C255" s="1488"/>
      <c r="D255" s="1441"/>
      <c r="E255" s="1451"/>
      <c r="H255" s="1546"/>
      <c r="I255" s="1546"/>
      <c r="J255" s="1787"/>
      <c r="K255" s="1787"/>
      <c r="L255" s="1787"/>
      <c r="M255" s="1787"/>
      <c r="N255" s="1787"/>
      <c r="O255" s="1792"/>
      <c r="P255" s="1793"/>
      <c r="AU255" s="1414"/>
      <c r="BN255" s="1451"/>
      <c r="CO255" s="1414"/>
      <c r="CP255" s="1414"/>
      <c r="CQ255" s="1451"/>
      <c r="CZ255" s="1451"/>
      <c r="DI255" s="1451"/>
      <c r="EJ255" s="1414"/>
      <c r="EK255" s="1403"/>
      <c r="EL255" s="1414"/>
      <c r="EM255" s="1604"/>
      <c r="EN255" s="1604"/>
      <c r="EO255" s="1604"/>
      <c r="EP255" s="1604"/>
      <c r="EQ255" s="1604"/>
      <c r="ER255" s="1604"/>
      <c r="ES255" s="1414"/>
      <c r="ET255" s="1414"/>
      <c r="EU255" s="1414"/>
      <c r="EV255" s="1414"/>
      <c r="EW255" s="1414"/>
      <c r="EX255" s="1414"/>
      <c r="EY255" s="1414"/>
      <c r="EZ255" s="1414"/>
      <c r="FA255" s="1414"/>
      <c r="FB255" s="1414"/>
      <c r="FC255" s="1414"/>
      <c r="FD255" s="1414"/>
      <c r="FE255" s="1414"/>
      <c r="FF255" s="1414"/>
      <c r="FG255" s="1414"/>
      <c r="FH255" s="1414"/>
      <c r="FI255" s="1414"/>
      <c r="FJ255" s="1414"/>
      <c r="FK255" s="1414"/>
      <c r="FL255" s="1414"/>
      <c r="FM255" s="1414"/>
      <c r="FN255" s="1414"/>
      <c r="FO255" s="1414"/>
      <c r="FP255" s="1414"/>
    </row>
    <row r="256" spans="1:260" s="1417" customFormat="1" ht="15">
      <c r="A256" s="1779"/>
      <c r="B256" s="1778"/>
      <c r="C256" s="1779"/>
      <c r="D256" s="1441"/>
      <c r="E256" s="1451"/>
      <c r="H256" s="1546"/>
      <c r="I256" s="1546"/>
      <c r="J256" s="1787"/>
      <c r="K256" s="1792"/>
      <c r="L256" s="1787"/>
      <c r="M256" s="1787"/>
      <c r="N256" s="1787"/>
      <c r="O256" s="1792"/>
      <c r="P256" s="1793"/>
      <c r="AU256" s="1414"/>
      <c r="BN256" s="1451"/>
      <c r="CO256" s="1414"/>
      <c r="CP256" s="1414"/>
      <c r="CQ256" s="1451"/>
      <c r="CZ256" s="1451"/>
      <c r="DI256" s="1451"/>
      <c r="EJ256" s="1414"/>
      <c r="EK256" s="1403"/>
      <c r="EL256" s="1414"/>
      <c r="EM256" s="1604"/>
      <c r="EN256" s="1604"/>
      <c r="EO256" s="1604"/>
      <c r="EP256" s="1604"/>
      <c r="EQ256" s="1604"/>
      <c r="ER256" s="1604"/>
      <c r="ES256" s="1414"/>
      <c r="ET256" s="1414"/>
      <c r="EU256" s="1414"/>
      <c r="EV256" s="1414"/>
      <c r="EW256" s="1414"/>
      <c r="EX256" s="1414"/>
      <c r="EY256" s="1414"/>
      <c r="EZ256" s="1414"/>
      <c r="FA256" s="1414"/>
      <c r="FB256" s="1414"/>
      <c r="FC256" s="1414"/>
      <c r="FD256" s="1414"/>
      <c r="FE256" s="1414"/>
      <c r="FF256" s="1414"/>
      <c r="FG256" s="1414"/>
      <c r="FH256" s="1414"/>
      <c r="FI256" s="1414"/>
      <c r="FJ256" s="1414"/>
      <c r="FK256" s="1414"/>
      <c r="FL256" s="1414"/>
      <c r="FM256" s="1414"/>
      <c r="FN256" s="1414"/>
      <c r="FO256" s="1414"/>
      <c r="FP256" s="1414"/>
    </row>
    <row r="257" spans="1:172" s="1417" customFormat="1" ht="15">
      <c r="A257" s="1779"/>
      <c r="B257" s="1778"/>
      <c r="C257" s="1779"/>
      <c r="D257" s="1433"/>
      <c r="E257" s="1451"/>
      <c r="H257" s="1546"/>
      <c r="I257" s="1546"/>
      <c r="J257" s="1787"/>
      <c r="K257" s="1792"/>
      <c r="L257" s="1787"/>
      <c r="M257" s="1787"/>
      <c r="N257" s="1787"/>
      <c r="O257" s="1792"/>
      <c r="P257" s="1793"/>
      <c r="AU257" s="1414"/>
      <c r="BN257" s="1451"/>
      <c r="CO257" s="1414"/>
      <c r="CP257" s="1414"/>
      <c r="CQ257" s="1451"/>
      <c r="CZ257" s="1451"/>
      <c r="DI257" s="1451"/>
      <c r="EJ257" s="1414"/>
      <c r="EK257" s="1403"/>
      <c r="EL257" s="1414"/>
      <c r="EM257" s="1604"/>
      <c r="EN257" s="1604"/>
      <c r="EO257" s="1604"/>
      <c r="EP257" s="1604"/>
      <c r="EQ257" s="1604"/>
      <c r="ER257" s="1604"/>
      <c r="ES257" s="1414"/>
      <c r="ET257" s="1414"/>
      <c r="EU257" s="1414"/>
      <c r="EV257" s="1414"/>
      <c r="EW257" s="1414"/>
      <c r="EX257" s="1414"/>
      <c r="EY257" s="1414"/>
      <c r="EZ257" s="1414"/>
      <c r="FA257" s="1414"/>
      <c r="FB257" s="1414"/>
      <c r="FC257" s="1414"/>
      <c r="FD257" s="1414"/>
      <c r="FE257" s="1414"/>
      <c r="FF257" s="1414"/>
      <c r="FG257" s="1414"/>
      <c r="FH257" s="1414"/>
      <c r="FI257" s="1414"/>
      <c r="FJ257" s="1414"/>
      <c r="FK257" s="1414"/>
      <c r="FL257" s="1414"/>
      <c r="FM257" s="1414"/>
      <c r="FN257" s="1414"/>
      <c r="FO257" s="1414"/>
      <c r="FP257" s="1414"/>
    </row>
    <row r="258" spans="1:172" s="1414" customFormat="1" ht="15">
      <c r="A258" s="1403"/>
      <c r="B258" s="1788"/>
      <c r="C258" s="1488"/>
      <c r="D258" s="1433"/>
      <c r="E258" s="1451"/>
      <c r="F258" s="1794" t="s">
        <v>166</v>
      </c>
      <c r="G258" s="1795"/>
      <c r="H258" s="1795"/>
      <c r="I258" s="1795"/>
      <c r="J258" s="1796"/>
      <c r="K258" s="1795"/>
      <c r="L258" s="1795"/>
      <c r="M258" s="1795"/>
      <c r="N258" s="1796"/>
      <c r="O258" s="1796"/>
      <c r="Q258" s="1417"/>
      <c r="S258" s="1417"/>
      <c r="T258" s="1417"/>
      <c r="U258" s="1417"/>
      <c r="V258" s="1417"/>
      <c r="W258" s="1417"/>
      <c r="X258" s="1417"/>
      <c r="Y258" s="1417"/>
      <c r="Z258" s="1417"/>
      <c r="AA258" s="1417"/>
      <c r="AB258" s="1417"/>
      <c r="AC258" s="1417"/>
      <c r="AD258" s="1417"/>
      <c r="AE258" s="1417"/>
      <c r="AF258" s="1417"/>
      <c r="AG258" s="1417"/>
      <c r="AH258" s="1417"/>
      <c r="AI258" s="1417"/>
      <c r="AJ258" s="1417"/>
      <c r="AK258" s="1417"/>
      <c r="AL258" s="1417"/>
      <c r="AM258" s="1417"/>
      <c r="AN258" s="1417"/>
      <c r="AO258" s="1417"/>
      <c r="AP258" s="1417"/>
      <c r="AQ258" s="1417"/>
      <c r="AR258" s="1417"/>
      <c r="AS258" s="1417"/>
      <c r="AT258" s="1417"/>
      <c r="AV258" s="1417"/>
      <c r="BJ258" s="1417"/>
      <c r="BK258" s="1417"/>
      <c r="BL258" s="1417"/>
      <c r="BM258" s="1417"/>
      <c r="BN258" s="1451"/>
      <c r="BO258" s="1417"/>
      <c r="BP258" s="1417"/>
      <c r="BQ258" s="1417"/>
      <c r="BR258" s="1417"/>
      <c r="BS258" s="1417"/>
      <c r="BT258" s="1417"/>
      <c r="BU258" s="1417"/>
      <c r="BV258" s="1417"/>
      <c r="BW258" s="1417"/>
      <c r="BX258" s="1417"/>
      <c r="BY258" s="1417"/>
      <c r="BZ258" s="1417"/>
      <c r="CA258" s="1417"/>
      <c r="CB258" s="1417"/>
      <c r="CC258" s="1417"/>
      <c r="CD258" s="1417"/>
      <c r="CE258" s="1417"/>
      <c r="CF258" s="1417"/>
      <c r="CG258" s="1417"/>
      <c r="CH258" s="1417"/>
      <c r="CI258" s="1417"/>
      <c r="CJ258" s="1417"/>
      <c r="CK258" s="1417"/>
      <c r="CL258" s="1417"/>
      <c r="CM258" s="1417"/>
      <c r="CN258" s="1417"/>
      <c r="CQ258" s="1513"/>
      <c r="CR258" s="1513"/>
      <c r="CS258" s="1513"/>
      <c r="CT258" s="1513"/>
      <c r="CU258" s="1513"/>
      <c r="CV258" s="1513"/>
      <c r="CW258" s="1513"/>
      <c r="CX258" s="1513"/>
      <c r="CY258" s="1513"/>
      <c r="CZ258" s="1513"/>
      <c r="DA258" s="1513"/>
      <c r="DB258" s="1513"/>
      <c r="DC258" s="1513"/>
      <c r="DD258" s="1513"/>
      <c r="DE258" s="1513"/>
      <c r="DF258" s="1513"/>
      <c r="DG258" s="1513"/>
      <c r="DH258" s="1513"/>
      <c r="DI258" s="1513"/>
      <c r="DJ258" s="1513"/>
      <c r="DK258" s="1513"/>
      <c r="DL258" s="1513"/>
      <c r="DM258" s="1513"/>
      <c r="DN258" s="1513"/>
      <c r="DO258" s="1513"/>
      <c r="DP258" s="1513"/>
      <c r="DQ258" s="1513"/>
      <c r="DR258" s="1513"/>
      <c r="DS258" s="1513"/>
      <c r="DT258" s="1513"/>
      <c r="DU258" s="1513"/>
      <c r="DV258" s="1513"/>
      <c r="DW258" s="1513"/>
      <c r="DX258" s="1513"/>
      <c r="DY258" s="1513"/>
      <c r="DZ258" s="1513"/>
      <c r="EA258" s="1513"/>
      <c r="EB258" s="1513"/>
      <c r="EC258" s="1513"/>
      <c r="ED258" s="1513"/>
      <c r="EE258" s="1513"/>
      <c r="EF258" s="1513"/>
      <c r="EG258" s="1513"/>
      <c r="EH258" s="1513"/>
      <c r="EI258" s="1513"/>
      <c r="EK258" s="1403"/>
      <c r="EM258" s="1797"/>
      <c r="EN258" s="1797"/>
      <c r="EO258" s="1797"/>
      <c r="EP258" s="1797"/>
      <c r="EQ258" s="1797"/>
      <c r="ER258" s="1797"/>
      <c r="ES258" s="1604"/>
      <c r="ET258" s="1604"/>
    </row>
    <row r="259" spans="1:172" s="1417" customFormat="1" ht="12" customHeight="1">
      <c r="A259" s="1779"/>
      <c r="B259" s="1788"/>
      <c r="C259" s="1488"/>
      <c r="D259" s="1433"/>
      <c r="E259" s="1451"/>
      <c r="F259" s="1796"/>
      <c r="G259" s="1795"/>
      <c r="H259" s="1795"/>
      <c r="I259" s="2221" t="s">
        <v>10</v>
      </c>
      <c r="J259" s="2221"/>
      <c r="K259" s="2221" t="s">
        <v>11</v>
      </c>
      <c r="L259" s="2221"/>
      <c r="M259" s="1798" t="s">
        <v>13</v>
      </c>
      <c r="N259" s="1798" t="s">
        <v>167</v>
      </c>
      <c r="O259" s="1796"/>
      <c r="AU259" s="1414"/>
      <c r="BN259" s="1451"/>
      <c r="BV259" s="1799"/>
      <c r="CC259" s="1799"/>
      <c r="CT259" s="1451"/>
      <c r="CU259" s="1451"/>
      <c r="DC259" s="1451"/>
      <c r="DD259" s="1451"/>
      <c r="DE259" s="1451"/>
      <c r="DI259" s="1451"/>
      <c r="EJ259" s="1414"/>
      <c r="EK259" s="1403"/>
      <c r="EM259" s="1414"/>
      <c r="EN259" s="1414"/>
      <c r="EO259" s="1414"/>
      <c r="EP259" s="1414"/>
      <c r="EQ259" s="1414"/>
      <c r="ER259" s="1414"/>
      <c r="ES259" s="1414"/>
      <c r="ET259" s="1414"/>
      <c r="EU259" s="1414"/>
      <c r="EV259" s="1414"/>
      <c r="EW259" s="1414"/>
      <c r="EX259" s="1414"/>
      <c r="EY259" s="1414"/>
      <c r="EZ259" s="1414"/>
      <c r="FA259" s="1414"/>
      <c r="FB259" s="1414"/>
      <c r="FC259" s="1414"/>
      <c r="FD259" s="1414"/>
      <c r="FE259" s="1414"/>
      <c r="FF259" s="1414"/>
      <c r="FG259" s="1414"/>
      <c r="FH259" s="1414"/>
      <c r="FI259" s="1414"/>
      <c r="FJ259" s="1414"/>
      <c r="FK259" s="1414"/>
      <c r="FL259" s="1414"/>
      <c r="FM259" s="1414"/>
      <c r="FN259" s="1414"/>
      <c r="FO259" s="1414"/>
      <c r="FP259" s="1414"/>
    </row>
    <row r="260" spans="1:172" s="1414" customFormat="1" ht="12">
      <c r="A260" s="1403"/>
      <c r="B260" s="1762"/>
      <c r="C260" s="1490"/>
      <c r="D260" s="1441"/>
      <c r="E260" s="1451"/>
      <c r="F260" s="1800" t="s">
        <v>168</v>
      </c>
      <c r="G260" s="1796"/>
      <c r="H260" s="1801"/>
      <c r="I260" s="1802" t="s">
        <v>41</v>
      </c>
      <c r="J260" s="1803" t="s">
        <v>159</v>
      </c>
      <c r="K260" s="1804" t="s">
        <v>42</v>
      </c>
      <c r="L260" s="1805" t="s">
        <v>169</v>
      </c>
      <c r="M260" s="1802"/>
      <c r="N260" s="1802"/>
      <c r="O260" s="1796"/>
      <c r="Q260" s="1417"/>
      <c r="S260" s="1451"/>
      <c r="T260" s="1417"/>
      <c r="U260" s="1417"/>
      <c r="V260" s="1417"/>
      <c r="W260" s="1417"/>
      <c r="X260" s="1417"/>
      <c r="Y260" s="1417"/>
      <c r="Z260" s="1417"/>
      <c r="AA260" s="1417"/>
      <c r="AB260" s="1417"/>
      <c r="AC260" s="1417"/>
      <c r="AD260" s="1417"/>
      <c r="AE260" s="1417"/>
      <c r="AF260" s="1417"/>
      <c r="AG260" s="1417"/>
      <c r="AH260" s="1417"/>
      <c r="AI260" s="1417"/>
      <c r="AJ260" s="1417"/>
      <c r="AK260" s="1417"/>
      <c r="AL260" s="1417"/>
      <c r="AM260" s="1417"/>
      <c r="AN260" s="1417"/>
      <c r="AO260" s="1417"/>
      <c r="AP260" s="1417"/>
      <c r="AQ260" s="1417"/>
      <c r="AR260" s="1417"/>
      <c r="AS260" s="1417"/>
      <c r="AT260" s="1417"/>
      <c r="AV260" s="1417"/>
      <c r="BJ260" s="1451"/>
      <c r="BK260" s="1417"/>
      <c r="BL260" s="1417"/>
      <c r="BM260" s="1417"/>
      <c r="BN260" s="1451"/>
      <c r="BO260" s="1417"/>
      <c r="BP260" s="1417"/>
      <c r="BQ260" s="1417"/>
      <c r="BR260" s="1417"/>
      <c r="BS260" s="1417"/>
      <c r="BT260" s="1417"/>
      <c r="BU260" s="1417"/>
      <c r="BV260" s="1451"/>
      <c r="BW260" s="1417"/>
      <c r="BX260" s="1417"/>
      <c r="BY260" s="1806"/>
      <c r="BZ260" s="1806"/>
      <c r="CA260" s="1806"/>
      <c r="CB260" s="1806"/>
      <c r="CC260" s="1417"/>
      <c r="CD260" s="1417"/>
      <c r="CE260" s="1417"/>
      <c r="CF260" s="1417"/>
      <c r="CG260" s="1417"/>
      <c r="CH260" s="1417"/>
      <c r="CI260" s="1417"/>
      <c r="CJ260" s="1417"/>
      <c r="CK260" s="1417"/>
      <c r="CL260" s="1417"/>
      <c r="CU260" s="1513"/>
      <c r="CV260" s="1513"/>
      <c r="CW260" s="1417"/>
      <c r="CX260" s="1417"/>
      <c r="CY260" s="1806"/>
      <c r="CZ260" s="1806"/>
      <c r="DA260" s="1806"/>
      <c r="DB260" s="1417"/>
      <c r="DC260" s="1806"/>
      <c r="DD260" s="1513"/>
      <c r="DE260" s="1513"/>
      <c r="DF260" s="1513"/>
      <c r="DG260" s="1417"/>
      <c r="DH260" s="1417"/>
      <c r="DI260" s="1807"/>
      <c r="DJ260" s="1807"/>
      <c r="DK260" s="1807"/>
      <c r="DL260" s="1807"/>
      <c r="DM260" s="1807"/>
      <c r="DN260" s="1807"/>
      <c r="DO260" s="1807"/>
      <c r="DP260" s="1807"/>
      <c r="DQ260" s="1807"/>
      <c r="DR260" s="1807"/>
      <c r="DS260" s="1807"/>
      <c r="DT260" s="1807"/>
      <c r="DU260" s="1807"/>
      <c r="DV260" s="1807"/>
      <c r="DW260" s="1807"/>
      <c r="DX260" s="1807"/>
      <c r="DY260" s="1807"/>
      <c r="DZ260" s="1807"/>
      <c r="EA260" s="1807"/>
      <c r="EB260" s="1807"/>
      <c r="EC260" s="1807"/>
      <c r="ED260" s="1807"/>
      <c r="EE260" s="1807"/>
      <c r="EF260" s="1807"/>
      <c r="EG260" s="1807"/>
      <c r="EH260" s="1807"/>
      <c r="EI260" s="1807"/>
      <c r="EJ260" s="1807"/>
      <c r="EK260" s="1449"/>
    </row>
    <row r="261" spans="1:172" s="1433" customFormat="1" ht="12">
      <c r="A261" s="1488"/>
      <c r="B261" s="1762"/>
      <c r="C261" s="1490"/>
      <c r="D261" s="1441"/>
      <c r="E261" s="1451"/>
      <c r="F261" s="1808" t="s">
        <v>170</v>
      </c>
      <c r="G261" s="1809"/>
      <c r="H261" s="1809"/>
      <c r="I261" s="1810">
        <f>+BD19</f>
        <v>263074.01610380004</v>
      </c>
      <c r="J261" s="1810">
        <f>+CN19</f>
        <v>0</v>
      </c>
      <c r="K261" s="1810">
        <f>+BM19</f>
        <v>37102.681037999995</v>
      </c>
      <c r="L261" s="1810">
        <f>+BV19</f>
        <v>0</v>
      </c>
      <c r="M261" s="1810">
        <f>+CE19</f>
        <v>2890.05</v>
      </c>
      <c r="N261" s="1810">
        <f t="shared" ref="N261:N268" si="3649">SUM(I261:M261)</f>
        <v>303066.74714180001</v>
      </c>
      <c r="O261" s="1796"/>
      <c r="S261" s="1451"/>
      <c r="AU261" s="1441"/>
      <c r="BJ261" s="1451"/>
      <c r="BN261" s="1451"/>
      <c r="BV261" s="1451"/>
      <c r="BY261" s="1811"/>
      <c r="BZ261" s="1811"/>
      <c r="CA261" s="1811"/>
      <c r="CB261" s="1811"/>
      <c r="CO261" s="1417"/>
      <c r="CU261" s="1451"/>
      <c r="CV261" s="1451"/>
      <c r="CY261" s="1811"/>
      <c r="CZ261" s="1811"/>
      <c r="DA261" s="1811"/>
      <c r="DC261" s="1811"/>
      <c r="DD261" s="1451"/>
      <c r="DE261" s="1451"/>
      <c r="DF261" s="1451"/>
      <c r="DJ261" s="1451"/>
      <c r="EJ261" s="1417"/>
      <c r="EK261" s="1490"/>
      <c r="EL261" s="1441"/>
      <c r="ES261" s="1441"/>
      <c r="ET261" s="1441"/>
    </row>
    <row r="262" spans="1:172" s="1433" customFormat="1" ht="12">
      <c r="A262" s="1488"/>
      <c r="B262" s="1762"/>
      <c r="C262" s="1490"/>
      <c r="D262" s="1441"/>
      <c r="E262" s="1451"/>
      <c r="F262" s="1808" t="s">
        <v>171</v>
      </c>
      <c r="G262" s="1809"/>
      <c r="H262" s="1809"/>
      <c r="I262" s="1810">
        <f>+BD28</f>
        <v>19527.319961000001</v>
      </c>
      <c r="J262" s="1810">
        <f>+CN28</f>
        <v>0</v>
      </c>
      <c r="K262" s="1810">
        <f>+BM28</f>
        <v>5726.3405190000003</v>
      </c>
      <c r="L262" s="1810">
        <f>+BV28</f>
        <v>0</v>
      </c>
      <c r="M262" s="1810">
        <f>+CE28</f>
        <v>0</v>
      </c>
      <c r="N262" s="1810">
        <f t="shared" si="3649"/>
        <v>25253.660480000002</v>
      </c>
      <c r="O262" s="1796"/>
      <c r="S262" s="1451"/>
      <c r="AU262" s="1441"/>
      <c r="BJ262" s="1451"/>
      <c r="BN262" s="1451"/>
      <c r="BV262" s="1451"/>
      <c r="BY262" s="1811"/>
      <c r="BZ262" s="1811"/>
      <c r="CA262" s="1811"/>
      <c r="CB262" s="1811"/>
      <c r="CO262" s="1417"/>
      <c r="CU262" s="1451"/>
      <c r="CV262" s="1451"/>
      <c r="CW262" s="1417"/>
      <c r="CX262" s="1417"/>
      <c r="CY262" s="1444"/>
      <c r="CZ262" s="1444"/>
      <c r="DA262" s="1444"/>
      <c r="DB262" s="1417"/>
      <c r="DC262" s="1444"/>
      <c r="DD262" s="1451"/>
      <c r="DE262" s="1451"/>
      <c r="DF262" s="1451"/>
      <c r="DI262" s="1451"/>
      <c r="DJ262" s="1451"/>
      <c r="DK262" s="1451"/>
      <c r="DL262" s="1451"/>
      <c r="DM262" s="1451"/>
      <c r="DN262" s="1451"/>
      <c r="DO262" s="1451"/>
      <c r="DP262" s="1451"/>
      <c r="DQ262" s="1451"/>
      <c r="DR262" s="1451"/>
      <c r="DS262" s="1451"/>
      <c r="DT262" s="1451"/>
      <c r="DU262" s="1451"/>
      <c r="DV262" s="1451"/>
      <c r="DW262" s="1451"/>
      <c r="DX262" s="1451"/>
      <c r="DY262" s="1451"/>
      <c r="DZ262" s="1451"/>
      <c r="EA262" s="1451"/>
      <c r="EB262" s="1451"/>
      <c r="EC262" s="1451"/>
      <c r="ED262" s="1451"/>
      <c r="EE262" s="1451"/>
      <c r="EF262" s="1451"/>
      <c r="EG262" s="1451"/>
      <c r="EH262" s="1451"/>
      <c r="EI262" s="1451"/>
      <c r="EJ262" s="1451"/>
      <c r="EK262" s="1403"/>
      <c r="EL262" s="1414"/>
      <c r="EM262" s="1414"/>
      <c r="EN262" s="1414"/>
      <c r="EO262" s="1414"/>
      <c r="EP262" s="1414"/>
      <c r="EQ262" s="1414"/>
      <c r="ER262" s="1414"/>
      <c r="ES262" s="1414"/>
      <c r="ET262" s="1414"/>
      <c r="EU262" s="1417"/>
      <c r="EV262" s="1417"/>
      <c r="EW262" s="1417"/>
      <c r="EX262" s="1417"/>
      <c r="EY262" s="1417"/>
      <c r="EZ262" s="1417"/>
      <c r="FA262" s="1417"/>
      <c r="FB262" s="1417"/>
      <c r="FC262" s="1417"/>
      <c r="FD262" s="1417"/>
    </row>
    <row r="263" spans="1:172" s="1433" customFormat="1" ht="12">
      <c r="A263" s="1488"/>
      <c r="B263" s="1762"/>
      <c r="C263" s="1490"/>
      <c r="D263" s="1441"/>
      <c r="E263" s="1451"/>
      <c r="F263" s="1808" t="s">
        <v>172</v>
      </c>
      <c r="G263" s="1809"/>
      <c r="H263" s="1809"/>
      <c r="I263" s="1810">
        <f>+BD42</f>
        <v>45614.565097099992</v>
      </c>
      <c r="J263" s="1810">
        <f>+CN42</f>
        <v>0</v>
      </c>
      <c r="K263" s="1810">
        <f>+BM42</f>
        <v>35297.350097099996</v>
      </c>
      <c r="L263" s="1810">
        <f>+BV42</f>
        <v>0</v>
      </c>
      <c r="M263" s="1810">
        <f>+CE42</f>
        <v>10469.492795133332</v>
      </c>
      <c r="N263" s="1810">
        <f t="shared" si="3649"/>
        <v>91381.407989333326</v>
      </c>
      <c r="O263" s="1796"/>
      <c r="S263" s="1451"/>
      <c r="AU263" s="1441"/>
      <c r="BJ263" s="1451"/>
      <c r="BN263" s="1451"/>
      <c r="BV263" s="1451"/>
      <c r="BY263" s="1811"/>
      <c r="BZ263" s="1811"/>
      <c r="CA263" s="1811"/>
      <c r="CB263" s="1811"/>
      <c r="CO263" s="1417"/>
      <c r="CU263" s="1451"/>
      <c r="CV263" s="1451"/>
      <c r="CW263" s="1417"/>
      <c r="CX263" s="1417"/>
      <c r="CY263" s="1444"/>
      <c r="CZ263" s="1444"/>
      <c r="DA263" s="1444"/>
      <c r="DB263" s="1417"/>
      <c r="DC263" s="1444"/>
      <c r="DD263" s="1451"/>
      <c r="DE263" s="1451"/>
      <c r="DF263" s="1451"/>
      <c r="DI263" s="1451"/>
      <c r="DJ263" s="1451"/>
      <c r="DK263" s="1451"/>
      <c r="DL263" s="1451"/>
      <c r="DM263" s="1451"/>
      <c r="DN263" s="1451"/>
      <c r="DO263" s="1451"/>
      <c r="DP263" s="1451"/>
      <c r="DQ263" s="1451"/>
      <c r="DR263" s="1451"/>
      <c r="DS263" s="1451"/>
      <c r="DT263" s="1451"/>
      <c r="DU263" s="1451"/>
      <c r="DV263" s="1451"/>
      <c r="DW263" s="1451"/>
      <c r="DX263" s="1451"/>
      <c r="DY263" s="1451"/>
      <c r="DZ263" s="1451"/>
      <c r="EA263" s="1451"/>
      <c r="EB263" s="1451"/>
      <c r="EC263" s="1451"/>
      <c r="ED263" s="1451"/>
      <c r="EE263" s="1451"/>
      <c r="EF263" s="1451"/>
      <c r="EG263" s="1451"/>
      <c r="EH263" s="1451"/>
      <c r="EI263" s="1451"/>
      <c r="EJ263" s="1451"/>
      <c r="EK263" s="1403"/>
      <c r="EL263" s="1414"/>
      <c r="EM263" s="1414"/>
      <c r="EN263" s="1414"/>
      <c r="EO263" s="1414"/>
      <c r="EP263" s="1414"/>
      <c r="EQ263" s="1414"/>
      <c r="ER263" s="1414"/>
      <c r="ES263" s="1414"/>
      <c r="ET263" s="1414"/>
      <c r="EU263" s="1417"/>
      <c r="EV263" s="1417"/>
      <c r="EW263" s="1417"/>
      <c r="EX263" s="1417"/>
      <c r="EY263" s="1417"/>
      <c r="EZ263" s="1417"/>
      <c r="FA263" s="1417"/>
      <c r="FB263" s="1417"/>
      <c r="FC263" s="1417"/>
      <c r="FD263" s="1417"/>
    </row>
    <row r="264" spans="1:172" s="1433" customFormat="1" ht="12">
      <c r="A264" s="1488"/>
      <c r="B264" s="1762"/>
      <c r="C264" s="1490"/>
      <c r="D264" s="1441"/>
      <c r="E264" s="1451"/>
      <c r="F264" s="1808" t="s">
        <v>173</v>
      </c>
      <c r="G264" s="1809"/>
      <c r="H264" s="1809"/>
      <c r="I264" s="1810">
        <f>+BD50</f>
        <v>42014.334383000001</v>
      </c>
      <c r="J264" s="1810">
        <f>+CN50</f>
        <v>0</v>
      </c>
      <c r="K264" s="1810">
        <f>+BM50</f>
        <v>0</v>
      </c>
      <c r="L264" s="1810">
        <f>+BV50</f>
        <v>0</v>
      </c>
      <c r="M264" s="1810">
        <f>+CE50</f>
        <v>0</v>
      </c>
      <c r="N264" s="1810">
        <f t="shared" si="3649"/>
        <v>42014.334383000001</v>
      </c>
      <c r="O264" s="1796"/>
      <c r="S264" s="1451"/>
      <c r="AU264" s="1441"/>
      <c r="BJ264" s="1451"/>
      <c r="BN264" s="1451"/>
      <c r="BV264" s="1451"/>
      <c r="BY264" s="1811"/>
      <c r="BZ264" s="1811"/>
      <c r="CA264" s="1811"/>
      <c r="CB264" s="1811"/>
      <c r="CO264" s="1417"/>
      <c r="CU264" s="1451"/>
      <c r="CV264" s="1451"/>
      <c r="CW264" s="1417"/>
      <c r="CX264" s="1417"/>
      <c r="CY264" s="1444"/>
      <c r="CZ264" s="1444"/>
      <c r="DA264" s="1444"/>
      <c r="DB264" s="1417"/>
      <c r="DC264" s="1444"/>
      <c r="DD264" s="1451"/>
      <c r="DE264" s="1451"/>
      <c r="DF264" s="1451"/>
      <c r="DK264" s="1417"/>
      <c r="DL264" s="1417"/>
      <c r="DM264" s="1417"/>
      <c r="DN264" s="1417"/>
      <c r="DO264" s="1417"/>
      <c r="DP264" s="1417"/>
      <c r="DQ264" s="1417"/>
      <c r="DR264" s="1417"/>
      <c r="DS264" s="1417"/>
      <c r="DT264" s="1417"/>
      <c r="DU264" s="1417"/>
      <c r="DV264" s="1417"/>
      <c r="DW264" s="1417"/>
      <c r="DX264" s="1417"/>
      <c r="DY264" s="1417"/>
      <c r="DZ264" s="1417"/>
      <c r="EA264" s="1417"/>
      <c r="EB264" s="1417"/>
      <c r="EC264" s="1417"/>
      <c r="ED264" s="1417"/>
      <c r="EE264" s="1417"/>
      <c r="EF264" s="1417"/>
      <c r="EG264" s="1417"/>
      <c r="EH264" s="1417"/>
      <c r="EI264" s="1417"/>
      <c r="EJ264" s="1417"/>
      <c r="EK264" s="1403"/>
      <c r="EL264" s="1414"/>
      <c r="EM264" s="1414"/>
      <c r="EN264" s="1414"/>
      <c r="EO264" s="1414"/>
      <c r="EP264" s="1414"/>
      <c r="EQ264" s="1414"/>
      <c r="ER264" s="1414"/>
      <c r="ES264" s="1414"/>
      <c r="ET264" s="1414"/>
      <c r="EU264" s="1417"/>
      <c r="EV264" s="1417"/>
      <c r="EW264" s="1417"/>
      <c r="EX264" s="1417"/>
      <c r="EY264" s="1417"/>
      <c r="EZ264" s="1417"/>
      <c r="FA264" s="1417"/>
      <c r="FB264" s="1417"/>
      <c r="FC264" s="1417"/>
      <c r="FD264" s="1417"/>
    </row>
    <row r="265" spans="1:172" s="1433" customFormat="1" ht="12">
      <c r="A265" s="1488"/>
      <c r="B265" s="1762"/>
      <c r="C265" s="1490"/>
      <c r="D265" s="1441"/>
      <c r="E265" s="1451"/>
      <c r="F265" s="1808" t="s">
        <v>174</v>
      </c>
      <c r="G265" s="1809"/>
      <c r="H265" s="1809"/>
      <c r="I265" s="1810">
        <f>+BD59</f>
        <v>13838.112603993752</v>
      </c>
      <c r="J265" s="1810">
        <f>+CN59</f>
        <v>0</v>
      </c>
      <c r="K265" s="1810">
        <f>+BM59</f>
        <v>15613.108735906248</v>
      </c>
      <c r="L265" s="1810">
        <f>+BV59</f>
        <v>0</v>
      </c>
      <c r="M265" s="1810">
        <f>+CE59</f>
        <v>1268.78125</v>
      </c>
      <c r="N265" s="1810">
        <f t="shared" si="3649"/>
        <v>30720.002589899999</v>
      </c>
      <c r="O265" s="1796"/>
      <c r="S265" s="1451"/>
      <c r="AU265" s="1441"/>
      <c r="BJ265" s="1451"/>
      <c r="BN265" s="1451"/>
      <c r="BV265" s="1451"/>
      <c r="BY265" s="1811"/>
      <c r="BZ265" s="1811"/>
      <c r="CA265" s="1811"/>
      <c r="CB265" s="1811"/>
      <c r="CO265" s="1417"/>
      <c r="CU265" s="1451"/>
      <c r="CV265" s="1451"/>
      <c r="CW265" s="1417"/>
      <c r="CX265" s="1417"/>
      <c r="CY265" s="1444"/>
      <c r="CZ265" s="1444"/>
      <c r="DA265" s="1444"/>
      <c r="DB265" s="1417"/>
      <c r="DC265" s="1444"/>
      <c r="DD265" s="1451"/>
      <c r="DE265" s="1451"/>
      <c r="DF265" s="1451"/>
      <c r="DK265" s="1417"/>
      <c r="DL265" s="1417"/>
      <c r="DM265" s="1417"/>
      <c r="DN265" s="1417"/>
      <c r="DO265" s="1417"/>
      <c r="DP265" s="1417"/>
      <c r="DQ265" s="1417"/>
      <c r="DR265" s="1417"/>
      <c r="DS265" s="1417"/>
      <c r="DT265" s="1417"/>
      <c r="DU265" s="1417"/>
      <c r="DV265" s="1417"/>
      <c r="DW265" s="1417"/>
      <c r="DX265" s="1417"/>
      <c r="DY265" s="1417"/>
      <c r="DZ265" s="1417"/>
      <c r="EA265" s="1417"/>
      <c r="EB265" s="1417"/>
      <c r="EC265" s="1417"/>
      <c r="ED265" s="1417"/>
      <c r="EE265" s="1417"/>
      <c r="EF265" s="1417"/>
      <c r="EG265" s="1417"/>
      <c r="EH265" s="1417"/>
      <c r="EI265" s="1417"/>
      <c r="EJ265" s="1417"/>
      <c r="EK265" s="1403"/>
      <c r="EL265" s="1414"/>
      <c r="EM265" s="1414"/>
      <c r="EN265" s="1414"/>
      <c r="EO265" s="1414"/>
      <c r="EP265" s="1414"/>
      <c r="EQ265" s="1414"/>
      <c r="ER265" s="1414"/>
      <c r="ES265" s="1414"/>
      <c r="ET265" s="1414"/>
      <c r="EU265" s="1417"/>
      <c r="EV265" s="1417"/>
      <c r="EW265" s="1417"/>
      <c r="EX265" s="1417"/>
      <c r="EY265" s="1417"/>
      <c r="EZ265" s="1417"/>
      <c r="FA265" s="1417"/>
      <c r="FB265" s="1417"/>
      <c r="FC265" s="1417"/>
      <c r="FD265" s="1417"/>
    </row>
    <row r="266" spans="1:172" s="1433" customFormat="1" ht="12">
      <c r="A266" s="1488"/>
      <c r="B266" s="1788"/>
      <c r="C266" s="1488"/>
      <c r="E266" s="1451"/>
      <c r="F266" s="1808" t="s">
        <v>175</v>
      </c>
      <c r="G266" s="1809"/>
      <c r="H266" s="1809"/>
      <c r="I266" s="1810">
        <f>BD65</f>
        <v>11198.812818599999</v>
      </c>
      <c r="J266" s="1810">
        <f>CN65</f>
        <v>0</v>
      </c>
      <c r="K266" s="1810">
        <f>BM65</f>
        <v>9954.5002831999991</v>
      </c>
      <c r="L266" s="1810">
        <f>BV65</f>
        <v>0</v>
      </c>
      <c r="M266" s="1810">
        <f>CE65</f>
        <v>3732.9376062000001</v>
      </c>
      <c r="N266" s="1810">
        <f t="shared" si="3649"/>
        <v>24886.250708</v>
      </c>
      <c r="O266" s="1796"/>
      <c r="AU266" s="1441"/>
      <c r="BN266" s="1451"/>
      <c r="BV266" s="1451"/>
      <c r="BY266" s="1811"/>
      <c r="BZ266" s="1811"/>
      <c r="CA266" s="1811"/>
      <c r="CB266" s="1811"/>
      <c r="CO266" s="1417"/>
      <c r="CU266" s="1451"/>
      <c r="CV266" s="1451"/>
      <c r="CW266" s="1417"/>
      <c r="CX266" s="1417"/>
      <c r="CY266" s="1444"/>
      <c r="CZ266" s="1444"/>
      <c r="DA266" s="1444"/>
      <c r="DB266" s="1417"/>
      <c r="DC266" s="1444"/>
      <c r="DD266" s="1417"/>
      <c r="EJ266" s="1417"/>
      <c r="EK266" s="1490"/>
      <c r="EL266" s="1441"/>
      <c r="EM266" s="1441"/>
      <c r="EN266" s="1441"/>
      <c r="EO266" s="1441"/>
      <c r="EP266" s="1441"/>
      <c r="EQ266" s="1441"/>
      <c r="ER266" s="1441"/>
      <c r="ES266" s="1441"/>
      <c r="ET266" s="1441"/>
    </row>
    <row r="267" spans="1:172" s="1433" customFormat="1" ht="12">
      <c r="A267" s="1488"/>
      <c r="B267" s="1788"/>
      <c r="C267" s="1488"/>
      <c r="F267" s="1808" t="s">
        <v>176</v>
      </c>
      <c r="G267" s="1809"/>
      <c r="H267" s="1809"/>
      <c r="I267" s="1810">
        <f>BD71</f>
        <v>10238.300500000001</v>
      </c>
      <c r="J267" s="1810">
        <f>CN71</f>
        <v>0</v>
      </c>
      <c r="K267" s="1810">
        <f>BM71</f>
        <v>8235.1547500000015</v>
      </c>
      <c r="L267" s="1810">
        <f>BV71</f>
        <v>0</v>
      </c>
      <c r="M267" s="1810">
        <f>CE71</f>
        <v>3783.7197500000002</v>
      </c>
      <c r="N267" s="1810">
        <f t="shared" si="3649"/>
        <v>22257.175000000003</v>
      </c>
      <c r="O267" s="1796"/>
      <c r="AU267" s="1441"/>
      <c r="BV267" s="1451"/>
      <c r="BY267" s="1811"/>
      <c r="BZ267" s="1811"/>
      <c r="CA267" s="1811"/>
      <c r="CB267" s="1811"/>
      <c r="CO267" s="1417"/>
      <c r="CU267" s="1451"/>
      <c r="CV267" s="1451"/>
      <c r="CW267" s="1417"/>
      <c r="CX267" s="1417"/>
      <c r="CY267" s="1444"/>
      <c r="CZ267" s="1444"/>
      <c r="DA267" s="1444"/>
      <c r="DB267" s="1417"/>
      <c r="DC267" s="1444"/>
      <c r="DD267" s="1417"/>
      <c r="DI267" s="1417"/>
      <c r="DJ267" s="1417"/>
      <c r="EJ267" s="1417"/>
      <c r="EK267" s="1490"/>
      <c r="EL267" s="1441"/>
      <c r="EM267" s="1441"/>
      <c r="EN267" s="1441"/>
      <c r="EO267" s="1441"/>
      <c r="EP267" s="1441"/>
      <c r="EQ267" s="1441"/>
      <c r="ER267" s="1441"/>
      <c r="ES267" s="1441"/>
      <c r="ET267" s="1441"/>
    </row>
    <row r="268" spans="1:172" s="1433" customFormat="1" ht="12">
      <c r="A268" s="1488"/>
      <c r="B268" s="1788"/>
      <c r="C268" s="1488"/>
      <c r="E268" s="1451"/>
      <c r="F268" s="1808" t="s">
        <v>177</v>
      </c>
      <c r="G268" s="1809"/>
      <c r="H268" s="1809"/>
      <c r="I268" s="1810">
        <f>BD79</f>
        <v>17658.878833333332</v>
      </c>
      <c r="J268" s="1810">
        <f>CN79</f>
        <v>0</v>
      </c>
      <c r="K268" s="1810">
        <f>BM79</f>
        <v>11865.579549999999</v>
      </c>
      <c r="L268" s="1810">
        <f>BV79</f>
        <v>0</v>
      </c>
      <c r="M268" s="1810">
        <f>CE79</f>
        <v>3476.6422833333331</v>
      </c>
      <c r="N268" s="1810">
        <f t="shared" si="3649"/>
        <v>33001.100666666665</v>
      </c>
      <c r="O268" s="1796"/>
      <c r="S268" s="1451"/>
      <c r="AU268" s="1441"/>
      <c r="BJ268" s="1451"/>
      <c r="BN268" s="1451"/>
      <c r="BV268" s="1451"/>
      <c r="BY268" s="1811"/>
      <c r="BZ268" s="1811"/>
      <c r="CA268" s="1811"/>
      <c r="CB268" s="1811"/>
      <c r="CO268" s="1417"/>
      <c r="CU268" s="1451"/>
      <c r="CV268" s="1451"/>
      <c r="CW268" s="1417"/>
      <c r="CX268" s="1417"/>
      <c r="CY268" s="1444"/>
      <c r="CZ268" s="1444"/>
      <c r="DA268" s="1444"/>
      <c r="DB268" s="1417"/>
      <c r="DC268" s="1444"/>
      <c r="DD268" s="1451"/>
      <c r="DE268" s="1451"/>
      <c r="DF268" s="1451"/>
      <c r="DI268" s="1451"/>
      <c r="DJ268" s="1451"/>
      <c r="DK268" s="1451"/>
      <c r="DL268" s="1451"/>
      <c r="DM268" s="1451"/>
      <c r="DN268" s="1451"/>
      <c r="DO268" s="1451"/>
      <c r="DP268" s="1451"/>
      <c r="DQ268" s="1451"/>
      <c r="DR268" s="1451"/>
      <c r="DS268" s="1451"/>
      <c r="DT268" s="1451"/>
      <c r="DU268" s="1451"/>
      <c r="DV268" s="1451"/>
      <c r="DW268" s="1451"/>
      <c r="DX268" s="1451"/>
      <c r="DY268" s="1451"/>
      <c r="DZ268" s="1451"/>
      <c r="EA268" s="1451"/>
      <c r="EB268" s="1451"/>
      <c r="EC268" s="1451"/>
      <c r="ED268" s="1451"/>
      <c r="EE268" s="1451"/>
      <c r="EF268" s="1451"/>
      <c r="EG268" s="1451"/>
      <c r="EH268" s="1451"/>
      <c r="EI268" s="1451"/>
      <c r="EJ268" s="1451"/>
      <c r="EK268" s="1403"/>
      <c r="EL268" s="1414"/>
      <c r="EM268" s="1414"/>
      <c r="EN268" s="1414"/>
      <c r="EO268" s="1414"/>
      <c r="EP268" s="1414"/>
      <c r="EQ268" s="1414"/>
      <c r="ER268" s="1414"/>
      <c r="ES268" s="1414"/>
      <c r="ET268" s="1414"/>
      <c r="EU268" s="1417"/>
      <c r="EV268" s="1417"/>
      <c r="EW268" s="1417"/>
      <c r="EX268" s="1417"/>
      <c r="EY268" s="1417"/>
      <c r="EZ268" s="1417"/>
      <c r="FA268" s="1417"/>
      <c r="FB268" s="1417"/>
      <c r="FC268" s="1417"/>
      <c r="FD268" s="1417"/>
    </row>
    <row r="269" spans="1:172" s="1433" customFormat="1" ht="12">
      <c r="A269" s="1488"/>
      <c r="B269" s="1788"/>
      <c r="C269" s="1488"/>
      <c r="F269" s="1808" t="s">
        <v>178</v>
      </c>
      <c r="G269" s="1809"/>
      <c r="H269" s="1809"/>
      <c r="I269" s="1810">
        <f>BD80</f>
        <v>0</v>
      </c>
      <c r="J269" s="1810">
        <f>CN80</f>
        <v>0</v>
      </c>
      <c r="K269" s="1810">
        <f>BM80</f>
        <v>0</v>
      </c>
      <c r="L269" s="1810">
        <f>BV80</f>
        <v>0</v>
      </c>
      <c r="M269" s="1810">
        <f>CE80</f>
        <v>0</v>
      </c>
      <c r="N269" s="1810">
        <f t="shared" ref="N269:N284" si="3650">SUM(I269:M269)</f>
        <v>0</v>
      </c>
      <c r="O269" s="1796"/>
      <c r="S269" s="1513"/>
      <c r="V269" s="1812"/>
      <c r="AU269" s="1441"/>
      <c r="BJ269" s="1513"/>
      <c r="BK269" s="1513"/>
      <c r="BL269" s="1513"/>
      <c r="BM269" s="1513"/>
      <c r="BN269" s="1513"/>
      <c r="BO269" s="1513"/>
      <c r="BP269" s="1513"/>
      <c r="BQ269" s="1513"/>
      <c r="BR269" s="1513"/>
      <c r="BS269" s="1513"/>
      <c r="BT269" s="1513"/>
      <c r="BU269" s="1513"/>
      <c r="BV269" s="1451"/>
      <c r="BY269" s="1811"/>
      <c r="BZ269" s="1811"/>
      <c r="CA269" s="1811"/>
      <c r="CB269" s="1811"/>
      <c r="CO269" s="1417"/>
      <c r="CU269" s="1451"/>
      <c r="CV269" s="1451"/>
      <c r="CW269" s="1417"/>
      <c r="CX269" s="1417"/>
      <c r="CY269" s="1813"/>
      <c r="CZ269" s="1813"/>
      <c r="DA269" s="1813"/>
      <c r="DB269" s="1417"/>
      <c r="DC269" s="1813"/>
      <c r="DD269" s="1451"/>
      <c r="DE269" s="1451"/>
      <c r="DF269" s="1451"/>
      <c r="DK269" s="1513"/>
      <c r="DL269" s="1513"/>
      <c r="DM269" s="1513"/>
      <c r="DN269" s="1513"/>
      <c r="DO269" s="1513"/>
      <c r="DP269" s="1513"/>
      <c r="DQ269" s="1513"/>
      <c r="DR269" s="1513"/>
      <c r="DS269" s="1513"/>
      <c r="DT269" s="1513"/>
      <c r="DU269" s="1513"/>
      <c r="DV269" s="1513"/>
      <c r="DW269" s="1513"/>
      <c r="DX269" s="1513"/>
      <c r="DY269" s="1513"/>
      <c r="DZ269" s="1513"/>
      <c r="EA269" s="1513"/>
      <c r="EB269" s="1513"/>
      <c r="EC269" s="1513"/>
      <c r="ED269" s="1513"/>
      <c r="EE269" s="1513"/>
      <c r="EF269" s="1513"/>
      <c r="EG269" s="1513"/>
      <c r="EH269" s="1513"/>
      <c r="EI269" s="1513"/>
      <c r="EJ269" s="1513"/>
      <c r="EK269" s="1403"/>
      <c r="EL269" s="1474"/>
      <c r="EM269" s="1474"/>
      <c r="EN269" s="1474"/>
      <c r="EO269" s="1474"/>
      <c r="EP269" s="1474"/>
      <c r="EQ269" s="1474"/>
      <c r="ER269" s="1474"/>
      <c r="ES269" s="1414"/>
      <c r="ET269" s="1414"/>
      <c r="EU269" s="1417"/>
      <c r="EV269" s="1417"/>
      <c r="EW269" s="1417"/>
      <c r="EX269" s="1417"/>
      <c r="EY269" s="1417"/>
      <c r="EZ269" s="1417"/>
      <c r="FA269" s="1417"/>
      <c r="FB269" s="1417"/>
      <c r="FC269" s="1417"/>
      <c r="FD269" s="1417"/>
    </row>
    <row r="270" spans="1:172" s="1433" customFormat="1" ht="12">
      <c r="A270" s="1488"/>
      <c r="B270" s="1788"/>
      <c r="C270" s="1488"/>
      <c r="F270" s="1808" t="s">
        <v>179</v>
      </c>
      <c r="G270" s="1809"/>
      <c r="H270" s="1809"/>
      <c r="I270" s="1810">
        <f>BD81</f>
        <v>0</v>
      </c>
      <c r="J270" s="1810">
        <f>CN81</f>
        <v>0</v>
      </c>
      <c r="K270" s="1810">
        <f>BM81</f>
        <v>0</v>
      </c>
      <c r="L270" s="1810">
        <f>BV81</f>
        <v>0</v>
      </c>
      <c r="M270" s="1810">
        <f>CE81</f>
        <v>0</v>
      </c>
      <c r="N270" s="1810">
        <f t="shared" si="3650"/>
        <v>0</v>
      </c>
      <c r="O270" s="1796"/>
      <c r="S270" s="1513"/>
      <c r="AU270" s="1441"/>
      <c r="BJ270" s="1513"/>
      <c r="BK270" s="1513"/>
      <c r="BL270" s="1513"/>
      <c r="BM270" s="1513"/>
      <c r="BN270" s="1513"/>
      <c r="BO270" s="1513"/>
      <c r="BP270" s="1513"/>
      <c r="BQ270" s="1513"/>
      <c r="BR270" s="1513"/>
      <c r="BS270" s="1513"/>
      <c r="BT270" s="1513"/>
      <c r="BU270" s="1513"/>
      <c r="BV270" s="1451"/>
      <c r="BY270" s="1811"/>
      <c r="BZ270" s="1811"/>
      <c r="CA270" s="1811"/>
      <c r="CB270" s="1811"/>
      <c r="CO270" s="1417"/>
      <c r="CU270" s="1451"/>
      <c r="CV270" s="1451"/>
      <c r="CW270" s="1417"/>
      <c r="CX270" s="1417"/>
      <c r="CY270" s="1813"/>
      <c r="CZ270" s="1813"/>
      <c r="DA270" s="1813"/>
      <c r="DB270" s="1417"/>
      <c r="DC270" s="1813"/>
      <c r="DD270" s="1451"/>
      <c r="DE270" s="1451"/>
      <c r="DF270" s="1451"/>
      <c r="DK270" s="1513"/>
      <c r="DL270" s="1513"/>
      <c r="DM270" s="1513"/>
      <c r="DN270" s="1513"/>
      <c r="DO270" s="1513"/>
      <c r="DP270" s="1513"/>
      <c r="DQ270" s="1513"/>
      <c r="DR270" s="1513"/>
      <c r="DS270" s="1513"/>
      <c r="DT270" s="1513"/>
      <c r="DU270" s="1513"/>
      <c r="DV270" s="1513"/>
      <c r="DW270" s="1513"/>
      <c r="DX270" s="1513"/>
      <c r="DY270" s="1513"/>
      <c r="DZ270" s="1513"/>
      <c r="EA270" s="1513"/>
      <c r="EB270" s="1513"/>
      <c r="EC270" s="1513"/>
      <c r="ED270" s="1513"/>
      <c r="EE270" s="1513"/>
      <c r="EF270" s="1513"/>
      <c r="EG270" s="1513"/>
      <c r="EH270" s="1513"/>
      <c r="EI270" s="1513"/>
      <c r="EJ270" s="1513"/>
      <c r="EK270" s="1403"/>
      <c r="EL270" s="1474"/>
      <c r="EM270" s="1474"/>
      <c r="EN270" s="1474"/>
      <c r="EO270" s="1474"/>
      <c r="EP270" s="1474"/>
      <c r="EQ270" s="1474"/>
      <c r="ER270" s="1474"/>
      <c r="ES270" s="1414"/>
      <c r="ET270" s="1414"/>
      <c r="EU270" s="1417"/>
      <c r="EV270" s="1417"/>
      <c r="EW270" s="1417"/>
      <c r="EX270" s="1417"/>
      <c r="EY270" s="1417"/>
      <c r="EZ270" s="1417"/>
      <c r="FA270" s="1417"/>
      <c r="FB270" s="1417"/>
      <c r="FC270" s="1417"/>
      <c r="FD270" s="1417"/>
    </row>
    <row r="271" spans="1:172" s="1433" customFormat="1" ht="12">
      <c r="A271" s="1488"/>
      <c r="B271" s="1788"/>
      <c r="C271" s="1488"/>
      <c r="E271" s="1451"/>
      <c r="F271" s="1808" t="s">
        <v>180</v>
      </c>
      <c r="G271" s="1809"/>
      <c r="H271" s="1809"/>
      <c r="I271" s="1810">
        <f>BD82</f>
        <v>0</v>
      </c>
      <c r="J271" s="1810">
        <f>CN82</f>
        <v>0</v>
      </c>
      <c r="K271" s="1810">
        <f>BM82</f>
        <v>0</v>
      </c>
      <c r="L271" s="1810">
        <f>BV82</f>
        <v>0</v>
      </c>
      <c r="M271" s="1810">
        <f>CE82</f>
        <v>0</v>
      </c>
      <c r="N271" s="1810">
        <f t="shared" si="3650"/>
        <v>0</v>
      </c>
      <c r="O271" s="1796"/>
      <c r="S271" s="1417"/>
      <c r="AU271" s="1441"/>
      <c r="BJ271" s="1417"/>
      <c r="BK271" s="1417"/>
      <c r="BL271" s="1417"/>
      <c r="BM271" s="1417"/>
      <c r="BN271" s="1451"/>
      <c r="BO271" s="1417"/>
      <c r="BP271" s="1417"/>
      <c r="BQ271" s="1417"/>
      <c r="BR271" s="1417"/>
      <c r="BS271" s="1417"/>
      <c r="BT271" s="1417"/>
      <c r="BU271" s="1417"/>
      <c r="BV271" s="1451"/>
      <c r="BY271" s="1811"/>
      <c r="BZ271" s="1811"/>
      <c r="CA271" s="1811"/>
      <c r="CB271" s="1811"/>
      <c r="CO271" s="1417"/>
      <c r="CU271" s="1451"/>
      <c r="CV271" s="1451"/>
      <c r="CW271" s="1417"/>
      <c r="CX271" s="1417"/>
      <c r="CY271" s="1806"/>
      <c r="CZ271" s="1806"/>
      <c r="DA271" s="1806"/>
      <c r="DB271" s="1417"/>
      <c r="DC271" s="1806"/>
      <c r="DD271" s="1451"/>
      <c r="DE271" s="1451"/>
      <c r="DF271" s="1451"/>
      <c r="EJ271" s="1417"/>
      <c r="EK271" s="1490"/>
      <c r="EL271" s="1441"/>
      <c r="EM271" s="1441"/>
      <c r="EN271" s="1441"/>
      <c r="EO271" s="1441"/>
      <c r="EP271" s="1441"/>
      <c r="EQ271" s="1441"/>
      <c r="ER271" s="1441"/>
      <c r="ES271" s="1441"/>
      <c r="ET271" s="1441"/>
    </row>
    <row r="272" spans="1:172" s="1433" customFormat="1" ht="12">
      <c r="A272" s="1488"/>
      <c r="B272" s="1788"/>
      <c r="C272" s="1488"/>
      <c r="E272" s="1451"/>
      <c r="F272" s="1808" t="s">
        <v>117</v>
      </c>
      <c r="G272" s="1809"/>
      <c r="H272" s="1809"/>
      <c r="I272" s="1810">
        <f>BD83</f>
        <v>11545.99</v>
      </c>
      <c r="J272" s="1810">
        <f>CN83</f>
        <v>0</v>
      </c>
      <c r="K272" s="1810">
        <f>BM83</f>
        <v>15950.725</v>
      </c>
      <c r="L272" s="1810">
        <f>BV83</f>
        <v>0</v>
      </c>
      <c r="M272" s="1810">
        <f>CE83</f>
        <v>1368.2449999999999</v>
      </c>
      <c r="N272" s="1810">
        <f t="shared" si="3650"/>
        <v>28864.959999999999</v>
      </c>
      <c r="O272" s="1796"/>
      <c r="S272" s="1451"/>
      <c r="AU272" s="1441"/>
      <c r="BJ272" s="1451"/>
      <c r="BK272" s="1417"/>
      <c r="BL272" s="1417"/>
      <c r="BM272" s="1417"/>
      <c r="BN272" s="1451"/>
      <c r="BO272" s="1417"/>
      <c r="BP272" s="1417"/>
      <c r="BQ272" s="1417"/>
      <c r="BR272" s="1417"/>
      <c r="BS272" s="1417"/>
      <c r="BT272" s="1417"/>
      <c r="BU272" s="1417"/>
      <c r="BV272" s="1451"/>
      <c r="BY272" s="1811"/>
      <c r="BZ272" s="1811"/>
      <c r="CA272" s="1811"/>
      <c r="CB272" s="1811"/>
      <c r="CO272" s="1417"/>
      <c r="CU272" s="1451"/>
      <c r="CV272" s="1451"/>
      <c r="CW272" s="1417"/>
      <c r="CX272" s="1417"/>
      <c r="CY272" s="1444"/>
      <c r="CZ272" s="1444"/>
      <c r="DA272" s="1444"/>
      <c r="DB272" s="1444"/>
      <c r="DC272" s="1444"/>
      <c r="DD272" s="1451"/>
      <c r="DE272" s="1451"/>
      <c r="DF272" s="1451"/>
      <c r="DK272" s="1417"/>
      <c r="DL272" s="1417"/>
      <c r="DM272" s="1417"/>
      <c r="DN272" s="1417"/>
      <c r="DO272" s="1417"/>
      <c r="DP272" s="1417"/>
      <c r="DQ272" s="1417"/>
      <c r="DR272" s="1417"/>
      <c r="DS272" s="1417"/>
      <c r="DT272" s="1417"/>
      <c r="DU272" s="1417"/>
      <c r="DV272" s="1417"/>
      <c r="DW272" s="1417"/>
      <c r="DX272" s="1417"/>
      <c r="DY272" s="1417"/>
      <c r="DZ272" s="1417"/>
      <c r="EA272" s="1417"/>
      <c r="EB272" s="1417"/>
      <c r="EC272" s="1417"/>
      <c r="ED272" s="1417"/>
      <c r="EE272" s="1417"/>
      <c r="EF272" s="1417"/>
      <c r="EG272" s="1417"/>
      <c r="EH272" s="1417"/>
      <c r="EI272" s="1417"/>
      <c r="EJ272" s="1417"/>
      <c r="EK272" s="1403"/>
      <c r="EL272" s="1414"/>
      <c r="EM272" s="1414"/>
      <c r="EN272" s="1414"/>
      <c r="EO272" s="1414"/>
      <c r="EP272" s="1414"/>
      <c r="EQ272" s="1414"/>
      <c r="ER272" s="1414"/>
      <c r="ES272" s="1414"/>
      <c r="ET272" s="1414"/>
      <c r="EU272" s="1417"/>
      <c r="EV272" s="1417"/>
      <c r="EW272" s="1417"/>
      <c r="EX272" s="1417"/>
      <c r="EY272" s="1417"/>
      <c r="EZ272" s="1417"/>
      <c r="FA272" s="1417"/>
      <c r="FB272" s="1417"/>
      <c r="FC272" s="1417"/>
      <c r="FD272" s="1417"/>
    </row>
    <row r="273" spans="1:160" s="1433" customFormat="1" ht="12">
      <c r="A273" s="1488"/>
      <c r="B273" s="1788"/>
      <c r="C273" s="1488"/>
      <c r="E273" s="1451"/>
      <c r="F273" s="1808" t="s">
        <v>181</v>
      </c>
      <c r="G273" s="1809"/>
      <c r="H273" s="1809"/>
      <c r="I273" s="1810" t="e">
        <f>#REF!</f>
        <v>#REF!</v>
      </c>
      <c r="J273" s="1810" t="e">
        <f>#REF!</f>
        <v>#REF!</v>
      </c>
      <c r="K273" s="1810" t="e">
        <f>#REF!</f>
        <v>#REF!</v>
      </c>
      <c r="L273" s="1810" t="e">
        <f>#REF!</f>
        <v>#REF!</v>
      </c>
      <c r="M273" s="1810" t="e">
        <f>#REF!</f>
        <v>#REF!</v>
      </c>
      <c r="N273" s="1810" t="e">
        <f t="shared" si="3650"/>
        <v>#REF!</v>
      </c>
      <c r="O273" s="1796"/>
      <c r="S273" s="1451"/>
      <c r="AU273" s="1441"/>
      <c r="BJ273" s="1451"/>
      <c r="BK273" s="1417"/>
      <c r="BL273" s="1417"/>
      <c r="BM273" s="1417"/>
      <c r="BN273" s="1451"/>
      <c r="BO273" s="1417"/>
      <c r="BP273" s="1417"/>
      <c r="BQ273" s="1417"/>
      <c r="BR273" s="1417"/>
      <c r="BS273" s="1417"/>
      <c r="BT273" s="1417"/>
      <c r="BU273" s="1417"/>
      <c r="BV273" s="1451"/>
      <c r="BY273" s="1811"/>
      <c r="BZ273" s="1811"/>
      <c r="CA273" s="1811"/>
      <c r="CB273" s="1811"/>
      <c r="CO273" s="1417"/>
      <c r="CU273" s="1451"/>
      <c r="CV273" s="1451"/>
      <c r="CW273" s="1417"/>
      <c r="CX273" s="1417"/>
      <c r="CY273" s="1444"/>
      <c r="CZ273" s="1444"/>
      <c r="DA273" s="1444"/>
      <c r="DB273" s="1444"/>
      <c r="DC273" s="1444"/>
      <c r="DD273" s="1451"/>
      <c r="DE273" s="1451"/>
      <c r="DF273" s="1451"/>
      <c r="DK273" s="1417"/>
      <c r="DL273" s="1417"/>
      <c r="DM273" s="1417"/>
      <c r="DN273" s="1417"/>
      <c r="DO273" s="1417"/>
      <c r="DP273" s="1417"/>
      <c r="DQ273" s="1417"/>
      <c r="DR273" s="1417"/>
      <c r="DS273" s="1417"/>
      <c r="DT273" s="1417"/>
      <c r="DU273" s="1417"/>
      <c r="DV273" s="1417"/>
      <c r="DW273" s="1417"/>
      <c r="DX273" s="1417"/>
      <c r="DY273" s="1417"/>
      <c r="DZ273" s="1417"/>
      <c r="EA273" s="1417"/>
      <c r="EB273" s="1417"/>
      <c r="EC273" s="1417"/>
      <c r="ED273" s="1417"/>
      <c r="EE273" s="1417"/>
      <c r="EF273" s="1417"/>
      <c r="EG273" s="1417"/>
      <c r="EH273" s="1417"/>
      <c r="EI273" s="1417"/>
      <c r="EJ273" s="1417"/>
      <c r="EK273" s="1403"/>
      <c r="EL273" s="1414"/>
      <c r="EM273" s="1414"/>
      <c r="EN273" s="1414"/>
      <c r="EO273" s="1414"/>
      <c r="EP273" s="1414"/>
      <c r="EQ273" s="1414"/>
      <c r="ER273" s="1414"/>
      <c r="ES273" s="1414"/>
      <c r="ET273" s="1414"/>
      <c r="EU273" s="1417"/>
      <c r="EV273" s="1417"/>
      <c r="EW273" s="1417"/>
      <c r="EX273" s="1417"/>
      <c r="EY273" s="1417"/>
      <c r="EZ273" s="1417"/>
      <c r="FA273" s="1417"/>
      <c r="FB273" s="1417"/>
      <c r="FC273" s="1417"/>
      <c r="FD273" s="1417"/>
    </row>
    <row r="274" spans="1:160" s="1433" customFormat="1" ht="12">
      <c r="A274" s="1488"/>
      <c r="B274" s="1788"/>
      <c r="C274" s="1488"/>
      <c r="E274" s="1451"/>
      <c r="F274" s="1808"/>
      <c r="G274" s="1809"/>
      <c r="H274" s="1809"/>
      <c r="I274" s="1810" t="e">
        <f>#REF!</f>
        <v>#REF!</v>
      </c>
      <c r="J274" s="1810" t="e">
        <f>#REF!</f>
        <v>#REF!</v>
      </c>
      <c r="K274" s="1810" t="e">
        <f>#REF!</f>
        <v>#REF!</v>
      </c>
      <c r="L274" s="1810" t="e">
        <f>#REF!</f>
        <v>#REF!</v>
      </c>
      <c r="M274" s="1810" t="e">
        <f>#REF!</f>
        <v>#REF!</v>
      </c>
      <c r="N274" s="1810" t="e">
        <f t="shared" si="3650"/>
        <v>#REF!</v>
      </c>
      <c r="O274" s="1796"/>
      <c r="S274" s="1451"/>
      <c r="AU274" s="1441"/>
      <c r="BJ274" s="1451"/>
      <c r="BK274" s="1417"/>
      <c r="BL274" s="1417"/>
      <c r="BM274" s="1417"/>
      <c r="BN274" s="1451"/>
      <c r="BO274" s="1417"/>
      <c r="BP274" s="1417"/>
      <c r="BQ274" s="1417"/>
      <c r="BR274" s="1417"/>
      <c r="BS274" s="1417"/>
      <c r="BT274" s="1417"/>
      <c r="BU274" s="1417"/>
      <c r="BV274" s="1451"/>
      <c r="BY274" s="1811"/>
      <c r="BZ274" s="1811"/>
      <c r="CA274" s="1811"/>
      <c r="CB274" s="1811"/>
      <c r="CO274" s="1417"/>
      <c r="CU274" s="1451"/>
      <c r="CV274" s="1451"/>
      <c r="CW274" s="1417"/>
      <c r="CX274" s="1417"/>
      <c r="CY274" s="1444"/>
      <c r="CZ274" s="1444"/>
      <c r="DA274" s="1444"/>
      <c r="DB274" s="1444"/>
      <c r="DC274" s="1444"/>
      <c r="DD274" s="1451"/>
      <c r="DE274" s="1451"/>
      <c r="DF274" s="1451"/>
      <c r="DK274" s="1417"/>
      <c r="DL274" s="1417"/>
      <c r="DM274" s="1417"/>
      <c r="DN274" s="1417"/>
      <c r="DO274" s="1417"/>
      <c r="DP274" s="1417"/>
      <c r="DQ274" s="1417"/>
      <c r="DR274" s="1417"/>
      <c r="DS274" s="1417"/>
      <c r="DT274" s="1417"/>
      <c r="DU274" s="1417"/>
      <c r="DV274" s="1417"/>
      <c r="DW274" s="1417"/>
      <c r="DX274" s="1417"/>
      <c r="DY274" s="1417"/>
      <c r="DZ274" s="1417"/>
      <c r="EA274" s="1417"/>
      <c r="EB274" s="1417"/>
      <c r="EC274" s="1417"/>
      <c r="ED274" s="1417"/>
      <c r="EE274" s="1417"/>
      <c r="EF274" s="1417"/>
      <c r="EG274" s="1417"/>
      <c r="EH274" s="1417"/>
      <c r="EI274" s="1417"/>
      <c r="EJ274" s="1417"/>
      <c r="EK274" s="1403"/>
      <c r="EL274" s="1414"/>
      <c r="EM274" s="1414"/>
      <c r="EN274" s="1414"/>
      <c r="EO274" s="1414"/>
      <c r="EP274" s="1414"/>
      <c r="EQ274" s="1414"/>
      <c r="ER274" s="1414"/>
      <c r="ES274" s="1414"/>
      <c r="ET274" s="1414"/>
      <c r="EU274" s="1417"/>
      <c r="EV274" s="1417"/>
      <c r="EW274" s="1417"/>
      <c r="EX274" s="1417"/>
      <c r="EY274" s="1417"/>
      <c r="EZ274" s="1417"/>
      <c r="FA274" s="1417"/>
      <c r="FB274" s="1417"/>
      <c r="FC274" s="1417"/>
      <c r="FD274" s="1417"/>
    </row>
    <row r="275" spans="1:160" s="1433" customFormat="1" ht="12">
      <c r="A275" s="1488"/>
      <c r="B275" s="1788"/>
      <c r="C275" s="1488"/>
      <c r="E275" s="1451"/>
      <c r="F275" s="1808" t="s">
        <v>183</v>
      </c>
      <c r="G275" s="1809"/>
      <c r="H275" s="1809"/>
      <c r="I275" s="1810">
        <f>BD91</f>
        <v>36551.241000000002</v>
      </c>
      <c r="J275" s="1810">
        <f>CN91</f>
        <v>0</v>
      </c>
      <c r="K275" s="1810">
        <f>BM91</f>
        <v>56954.600048150001</v>
      </c>
      <c r="L275" s="1810">
        <f>BV91</f>
        <v>1350</v>
      </c>
      <c r="M275" s="1810">
        <f>CE91</f>
        <v>1368.2449999999999</v>
      </c>
      <c r="N275" s="1810">
        <f t="shared" si="3650"/>
        <v>96224.086048149999</v>
      </c>
      <c r="O275" s="1796"/>
      <c r="S275" s="1451"/>
      <c r="AU275" s="1441"/>
      <c r="BJ275" s="1451"/>
      <c r="BK275" s="1417"/>
      <c r="BL275" s="1417"/>
      <c r="BM275" s="1417"/>
      <c r="BN275" s="1451"/>
      <c r="BO275" s="1417"/>
      <c r="BP275" s="1417"/>
      <c r="BQ275" s="1417"/>
      <c r="BR275" s="1417"/>
      <c r="BS275" s="1417"/>
      <c r="BT275" s="1417"/>
      <c r="BU275" s="1417"/>
      <c r="BV275" s="1451"/>
      <c r="BY275" s="1811"/>
      <c r="BZ275" s="1811"/>
      <c r="CA275" s="1811"/>
      <c r="CB275" s="1811"/>
      <c r="CO275" s="1417"/>
      <c r="CU275" s="1451"/>
      <c r="CV275" s="1451"/>
      <c r="CY275" s="1444"/>
      <c r="CZ275" s="1444"/>
      <c r="DA275" s="1444"/>
      <c r="DB275" s="1444"/>
      <c r="DC275" s="1444"/>
      <c r="DD275" s="1451"/>
      <c r="DE275" s="1451"/>
      <c r="DF275" s="1451"/>
      <c r="DK275" s="1417"/>
      <c r="DL275" s="1417"/>
      <c r="DM275" s="1417"/>
      <c r="DN275" s="1417"/>
      <c r="DO275" s="1417"/>
      <c r="DP275" s="1417"/>
      <c r="DQ275" s="1417"/>
      <c r="DR275" s="1417"/>
      <c r="DS275" s="1417"/>
      <c r="DT275" s="1417"/>
      <c r="DU275" s="1417"/>
      <c r="DV275" s="1417"/>
      <c r="DW275" s="1417"/>
      <c r="DX275" s="1417"/>
      <c r="DY275" s="1417"/>
      <c r="DZ275" s="1417"/>
      <c r="EA275" s="1417"/>
      <c r="EB275" s="1417"/>
      <c r="EC275" s="1417"/>
      <c r="ED275" s="1417"/>
      <c r="EE275" s="1417"/>
      <c r="EF275" s="1417"/>
      <c r="EG275" s="1417"/>
      <c r="EH275" s="1417"/>
      <c r="EI275" s="1417"/>
      <c r="EJ275" s="1417"/>
      <c r="EK275" s="1403"/>
      <c r="EL275" s="1414"/>
      <c r="EM275" s="1414"/>
      <c r="EN275" s="1414"/>
      <c r="EO275" s="1414"/>
      <c r="EP275" s="1414"/>
      <c r="EQ275" s="1414"/>
      <c r="ER275" s="1414"/>
      <c r="ES275" s="1414"/>
      <c r="ET275" s="1414"/>
      <c r="EU275" s="1417"/>
      <c r="EV275" s="1417"/>
      <c r="EW275" s="1417"/>
      <c r="EX275" s="1417"/>
      <c r="EY275" s="1417"/>
      <c r="EZ275" s="1417"/>
      <c r="FA275" s="1417"/>
      <c r="FB275" s="1417"/>
      <c r="FC275" s="1417"/>
      <c r="FD275" s="1417"/>
    </row>
    <row r="276" spans="1:160" s="1433" customFormat="1" ht="12">
      <c r="A276" s="1488"/>
      <c r="B276" s="1762"/>
      <c r="C276" s="1490"/>
      <c r="D276" s="1441"/>
      <c r="E276" s="1451"/>
      <c r="F276" s="1808" t="s">
        <v>184</v>
      </c>
      <c r="G276" s="1809"/>
      <c r="H276" s="1809"/>
      <c r="I276" s="1810">
        <f>BD92</f>
        <v>0</v>
      </c>
      <c r="J276" s="1810">
        <f>CN92</f>
        <v>0</v>
      </c>
      <c r="K276" s="1810">
        <f>BM92</f>
        <v>0</v>
      </c>
      <c r="L276" s="1810">
        <f>BV92</f>
        <v>0</v>
      </c>
      <c r="M276" s="1810">
        <f>CE92</f>
        <v>0</v>
      </c>
      <c r="N276" s="1810">
        <f t="shared" si="3650"/>
        <v>0</v>
      </c>
      <c r="O276" s="1796"/>
      <c r="S276" s="1451"/>
      <c r="AU276" s="1441"/>
      <c r="BJ276" s="1451"/>
      <c r="BK276" s="1417"/>
      <c r="BL276" s="1417"/>
      <c r="BM276" s="1417"/>
      <c r="BN276" s="1451"/>
      <c r="BO276" s="1417"/>
      <c r="BP276" s="1417"/>
      <c r="BQ276" s="1417"/>
      <c r="BR276" s="1417"/>
      <c r="BS276" s="1417"/>
      <c r="BT276" s="1417"/>
      <c r="BU276" s="1417"/>
      <c r="BV276" s="1451"/>
      <c r="BY276" s="1811"/>
      <c r="BZ276" s="1811"/>
      <c r="CA276" s="1811"/>
      <c r="CB276" s="1811"/>
      <c r="CO276" s="1417"/>
      <c r="CU276" s="1451"/>
      <c r="CV276" s="1451"/>
      <c r="CY276" s="1444"/>
      <c r="CZ276" s="1444"/>
      <c r="DA276" s="1444"/>
      <c r="DB276" s="1444"/>
      <c r="DC276" s="1444"/>
      <c r="DD276" s="1451"/>
      <c r="DE276" s="1451"/>
      <c r="DF276" s="1451"/>
      <c r="DK276" s="1417"/>
      <c r="DL276" s="1417"/>
      <c r="DM276" s="1417"/>
      <c r="DN276" s="1417"/>
      <c r="DO276" s="1417"/>
      <c r="DP276" s="1417"/>
      <c r="DQ276" s="1417"/>
      <c r="DR276" s="1417"/>
      <c r="DS276" s="1417"/>
      <c r="DT276" s="1417"/>
      <c r="DU276" s="1417"/>
      <c r="DV276" s="1417"/>
      <c r="DW276" s="1417"/>
      <c r="DX276" s="1417"/>
      <c r="DY276" s="1417"/>
      <c r="DZ276" s="1417"/>
      <c r="EA276" s="1417"/>
      <c r="EB276" s="1417"/>
      <c r="EC276" s="1417"/>
      <c r="ED276" s="1417"/>
      <c r="EE276" s="1417"/>
      <c r="EF276" s="1417"/>
      <c r="EG276" s="1417"/>
      <c r="EH276" s="1417"/>
      <c r="EI276" s="1417"/>
      <c r="EJ276" s="1417"/>
      <c r="EK276" s="1403"/>
      <c r="EL276" s="1414"/>
      <c r="EM276" s="1414"/>
      <c r="EN276" s="1414"/>
      <c r="EO276" s="1414"/>
      <c r="EP276" s="1414"/>
      <c r="EQ276" s="1414"/>
      <c r="ER276" s="1414"/>
      <c r="ES276" s="1414"/>
      <c r="ET276" s="1414"/>
      <c r="EU276" s="1417"/>
      <c r="EV276" s="1417"/>
      <c r="EW276" s="1417"/>
      <c r="EX276" s="1417"/>
      <c r="EY276" s="1417"/>
      <c r="EZ276" s="1417"/>
      <c r="FA276" s="1417"/>
      <c r="FB276" s="1417"/>
      <c r="FC276" s="1417"/>
      <c r="FD276" s="1417"/>
    </row>
    <row r="277" spans="1:160" s="1433" customFormat="1" ht="12">
      <c r="A277" s="1488"/>
      <c r="B277" s="1762"/>
      <c r="C277" s="1490"/>
      <c r="D277" s="1441"/>
      <c r="E277" s="1451"/>
      <c r="F277" s="1808" t="s">
        <v>185</v>
      </c>
      <c r="G277" s="1809"/>
      <c r="H277" s="1809"/>
      <c r="I277" s="1810">
        <f>BD210</f>
        <v>581.75603460000002</v>
      </c>
      <c r="J277" s="1810">
        <f>CN210</f>
        <v>0</v>
      </c>
      <c r="K277" s="1810">
        <f>BM210</f>
        <v>0</v>
      </c>
      <c r="L277" s="1810">
        <f>BV210</f>
        <v>4331.74935465</v>
      </c>
      <c r="M277" s="1810">
        <f>CE210</f>
        <v>0</v>
      </c>
      <c r="N277" s="1810">
        <f t="shared" si="3650"/>
        <v>4913.50538925</v>
      </c>
      <c r="O277" s="1796"/>
      <c r="S277" s="1451"/>
      <c r="AU277" s="1441"/>
      <c r="BJ277" s="1451"/>
      <c r="BK277" s="1417"/>
      <c r="BL277" s="1417"/>
      <c r="BM277" s="1417"/>
      <c r="BN277" s="1451"/>
      <c r="BO277" s="1417"/>
      <c r="BP277" s="1417"/>
      <c r="BQ277" s="1417"/>
      <c r="BR277" s="1417"/>
      <c r="BS277" s="1417"/>
      <c r="BT277" s="1417"/>
      <c r="BU277" s="1417"/>
      <c r="BV277" s="1451"/>
      <c r="BY277" s="1811"/>
      <c r="BZ277" s="1811"/>
      <c r="CA277" s="1811"/>
      <c r="CB277" s="1811"/>
      <c r="CO277" s="1417"/>
      <c r="CU277" s="1451"/>
      <c r="CV277" s="1451"/>
      <c r="CY277" s="1444"/>
      <c r="CZ277" s="1444"/>
      <c r="DA277" s="1444"/>
      <c r="DB277" s="1444"/>
      <c r="DC277" s="1444"/>
      <c r="DD277" s="1451"/>
      <c r="DE277" s="1451"/>
      <c r="DF277" s="1451"/>
      <c r="DK277" s="1417"/>
      <c r="DL277" s="1417"/>
      <c r="DM277" s="1417"/>
      <c r="DN277" s="1417"/>
      <c r="DO277" s="1417"/>
      <c r="DP277" s="1417"/>
      <c r="DQ277" s="1417"/>
      <c r="DR277" s="1417"/>
      <c r="DS277" s="1417"/>
      <c r="DT277" s="1417"/>
      <c r="DU277" s="1417"/>
      <c r="DV277" s="1417"/>
      <c r="DW277" s="1417"/>
      <c r="DX277" s="1417"/>
      <c r="DY277" s="1417"/>
      <c r="DZ277" s="1417"/>
      <c r="EA277" s="1417"/>
      <c r="EB277" s="1417"/>
      <c r="EC277" s="1417"/>
      <c r="ED277" s="1417"/>
      <c r="EE277" s="1417"/>
      <c r="EF277" s="1417"/>
      <c r="EG277" s="1417"/>
      <c r="EH277" s="1417"/>
      <c r="EI277" s="1417"/>
      <c r="EJ277" s="1417"/>
      <c r="EK277" s="1403"/>
      <c r="EL277" s="1414"/>
      <c r="EM277" s="1414"/>
      <c r="EN277" s="1414"/>
      <c r="EO277" s="1414"/>
      <c r="EP277" s="1414"/>
      <c r="EQ277" s="1414"/>
      <c r="ER277" s="1414"/>
      <c r="ES277" s="1414"/>
      <c r="ET277" s="1414"/>
      <c r="EU277" s="1417"/>
      <c r="EV277" s="1417"/>
      <c r="EW277" s="1417"/>
      <c r="EX277" s="1417"/>
      <c r="EY277" s="1417"/>
      <c r="EZ277" s="1417"/>
      <c r="FA277" s="1417"/>
      <c r="FB277" s="1417"/>
      <c r="FC277" s="1417"/>
      <c r="FD277" s="1417"/>
    </row>
    <row r="278" spans="1:160" s="1433" customFormat="1" ht="12">
      <c r="A278" s="1488"/>
      <c r="B278" s="1762"/>
      <c r="C278" s="1490"/>
      <c r="D278" s="1441"/>
      <c r="E278" s="1451"/>
      <c r="F278" s="1808" t="s">
        <v>186</v>
      </c>
      <c r="G278" s="1809"/>
      <c r="H278" s="1809"/>
      <c r="I278" s="1810" t="e">
        <f>#REF!</f>
        <v>#REF!</v>
      </c>
      <c r="J278" s="1810" t="e">
        <f>#REF!</f>
        <v>#REF!</v>
      </c>
      <c r="K278" s="1810" t="e">
        <f>#REF!</f>
        <v>#REF!</v>
      </c>
      <c r="L278" s="1810" t="e">
        <f>#REF!</f>
        <v>#REF!</v>
      </c>
      <c r="M278" s="1810" t="e">
        <f>#REF!</f>
        <v>#REF!</v>
      </c>
      <c r="N278" s="1810" t="e">
        <f t="shared" si="3650"/>
        <v>#REF!</v>
      </c>
      <c r="O278" s="1796"/>
      <c r="S278" s="1451"/>
      <c r="AU278" s="1441"/>
      <c r="BJ278" s="1451"/>
      <c r="BK278" s="1417"/>
      <c r="BL278" s="1417"/>
      <c r="BM278" s="1417"/>
      <c r="BN278" s="1451"/>
      <c r="BO278" s="1417"/>
      <c r="BP278" s="1417"/>
      <c r="BQ278" s="1417"/>
      <c r="BR278" s="1417"/>
      <c r="BS278" s="1417"/>
      <c r="BT278" s="1417"/>
      <c r="BU278" s="1417"/>
      <c r="BV278" s="1451"/>
      <c r="BY278" s="1811"/>
      <c r="BZ278" s="1811"/>
      <c r="CA278" s="1811"/>
      <c r="CB278" s="1811"/>
      <c r="CO278" s="1417"/>
      <c r="CU278" s="1451"/>
      <c r="CV278" s="1451"/>
      <c r="CY278" s="1444"/>
      <c r="CZ278" s="1444"/>
      <c r="DA278" s="1444"/>
      <c r="DB278" s="1444"/>
      <c r="DC278" s="1444"/>
      <c r="DD278" s="1451"/>
      <c r="DE278" s="1451"/>
      <c r="DF278" s="1451"/>
      <c r="DK278" s="1417"/>
      <c r="DL278" s="1417"/>
      <c r="DM278" s="1417"/>
      <c r="DN278" s="1417"/>
      <c r="DO278" s="1417"/>
      <c r="DP278" s="1417"/>
      <c r="DQ278" s="1417"/>
      <c r="DR278" s="1417"/>
      <c r="DS278" s="1417"/>
      <c r="DT278" s="1417"/>
      <c r="DU278" s="1417"/>
      <c r="DV278" s="1417"/>
      <c r="DW278" s="1417"/>
      <c r="DX278" s="1417"/>
      <c r="DY278" s="1417"/>
      <c r="DZ278" s="1417"/>
      <c r="EA278" s="1417"/>
      <c r="EB278" s="1417"/>
      <c r="EC278" s="1417"/>
      <c r="ED278" s="1417"/>
      <c r="EE278" s="1417"/>
      <c r="EF278" s="1417"/>
      <c r="EG278" s="1417"/>
      <c r="EH278" s="1417"/>
      <c r="EI278" s="1417"/>
      <c r="EJ278" s="1417"/>
      <c r="EK278" s="1403"/>
      <c r="EL278" s="1414"/>
      <c r="EM278" s="1414"/>
      <c r="EN278" s="1414"/>
      <c r="EO278" s="1414"/>
      <c r="EP278" s="1414"/>
      <c r="EQ278" s="1414"/>
      <c r="ER278" s="1414"/>
      <c r="ES278" s="1414"/>
      <c r="ET278" s="1414"/>
      <c r="EU278" s="1417"/>
      <c r="EV278" s="1417"/>
      <c r="EW278" s="1417"/>
      <c r="EX278" s="1417"/>
      <c r="EY278" s="1417"/>
      <c r="EZ278" s="1417"/>
      <c r="FA278" s="1417"/>
      <c r="FB278" s="1417"/>
      <c r="FC278" s="1417"/>
      <c r="FD278" s="1417"/>
    </row>
    <row r="279" spans="1:160" s="1433" customFormat="1" ht="12">
      <c r="A279" s="1488"/>
      <c r="B279" s="1762"/>
      <c r="C279" s="1490"/>
      <c r="D279" s="1441"/>
      <c r="E279" s="1451"/>
      <c r="F279" s="1808" t="s">
        <v>187</v>
      </c>
      <c r="G279" s="1809"/>
      <c r="H279" s="1809"/>
      <c r="I279" s="1810" t="e">
        <f>#REF!</f>
        <v>#REF!</v>
      </c>
      <c r="J279" s="1810" t="e">
        <f>#REF!</f>
        <v>#REF!</v>
      </c>
      <c r="K279" s="1810" t="e">
        <f>#REF!</f>
        <v>#REF!</v>
      </c>
      <c r="L279" s="1810" t="e">
        <f>#REF!</f>
        <v>#REF!</v>
      </c>
      <c r="M279" s="1810" t="e">
        <f>#REF!</f>
        <v>#REF!</v>
      </c>
      <c r="N279" s="1810" t="e">
        <f>SUM(I279:M279)</f>
        <v>#REF!</v>
      </c>
      <c r="O279" s="1796"/>
      <c r="S279" s="1417"/>
      <c r="AU279" s="1441"/>
      <c r="BJ279" s="1417"/>
      <c r="BK279" s="1417"/>
      <c r="BL279" s="1417"/>
      <c r="BM279" s="1417"/>
      <c r="BN279" s="1451"/>
      <c r="BO279" s="1417"/>
      <c r="BP279" s="1417"/>
      <c r="BQ279" s="1417"/>
      <c r="BR279" s="1417"/>
      <c r="BS279" s="1417"/>
      <c r="BT279" s="1417"/>
      <c r="BU279" s="1417"/>
      <c r="BV279" s="1451"/>
      <c r="BY279" s="1811"/>
      <c r="BZ279" s="1811"/>
      <c r="CA279" s="1811"/>
      <c r="CB279" s="1811"/>
      <c r="CO279" s="1417"/>
      <c r="CU279" s="1451"/>
      <c r="CV279" s="1451"/>
      <c r="CY279" s="1444"/>
      <c r="CZ279" s="1444"/>
      <c r="DA279" s="1444"/>
      <c r="DB279" s="1444"/>
      <c r="DC279" s="1444"/>
      <c r="DG279" s="1451"/>
      <c r="DH279" s="1417"/>
      <c r="DK279" s="1417"/>
      <c r="DL279" s="1417"/>
      <c r="DM279" s="1417"/>
      <c r="DN279" s="1417"/>
      <c r="DO279" s="1417"/>
      <c r="DP279" s="1417"/>
      <c r="DQ279" s="1417"/>
      <c r="DR279" s="1417"/>
      <c r="DS279" s="1417"/>
      <c r="DT279" s="1417"/>
      <c r="DU279" s="1417"/>
      <c r="DV279" s="1417"/>
      <c r="DW279" s="1417"/>
      <c r="DX279" s="1417"/>
      <c r="DY279" s="1417"/>
      <c r="DZ279" s="1417"/>
      <c r="EA279" s="1417"/>
      <c r="EB279" s="1417"/>
      <c r="EC279" s="1417"/>
      <c r="ED279" s="1417"/>
      <c r="EE279" s="1417"/>
      <c r="EF279" s="1417"/>
      <c r="EG279" s="1417"/>
      <c r="EH279" s="1417"/>
      <c r="EI279" s="1417"/>
      <c r="EJ279" s="1417"/>
      <c r="EK279" s="1403"/>
      <c r="EL279" s="1414"/>
      <c r="EM279" s="1414"/>
      <c r="EN279" s="1414"/>
      <c r="EO279" s="1414"/>
      <c r="EP279" s="1414"/>
      <c r="EQ279" s="1414"/>
      <c r="ER279" s="1414"/>
      <c r="ES279" s="1414"/>
      <c r="ET279" s="1414"/>
      <c r="EU279" s="1417"/>
      <c r="EV279" s="1417"/>
      <c r="EW279" s="1417"/>
      <c r="EX279" s="1417"/>
      <c r="EY279" s="1417"/>
      <c r="EZ279" s="1417"/>
      <c r="FA279" s="1417"/>
      <c r="FB279" s="1417"/>
      <c r="FC279" s="1417"/>
      <c r="FD279" s="1417"/>
    </row>
    <row r="280" spans="1:160" s="1433" customFormat="1" ht="12">
      <c r="A280" s="1488"/>
      <c r="B280" s="1762"/>
      <c r="C280" s="1490"/>
      <c r="D280" s="1441"/>
      <c r="E280" s="1451"/>
      <c r="F280" s="1808" t="s">
        <v>188</v>
      </c>
      <c r="G280" s="1809"/>
      <c r="H280" s="1809"/>
      <c r="I280" s="1810">
        <f>BD93</f>
        <v>0</v>
      </c>
      <c r="J280" s="1810">
        <f>CN93</f>
        <v>0</v>
      </c>
      <c r="K280" s="1810">
        <f>BM93</f>
        <v>3817.5603460000002</v>
      </c>
      <c r="L280" s="1810">
        <f>BV93</f>
        <v>0</v>
      </c>
      <c r="M280" s="1810">
        <f>CE93</f>
        <v>0</v>
      </c>
      <c r="N280" s="1810">
        <f>SUM(I280:M280)</f>
        <v>3817.5603460000002</v>
      </c>
      <c r="O280" s="1796"/>
      <c r="S280" s="1417"/>
      <c r="AU280" s="1441"/>
      <c r="BJ280" s="1417"/>
      <c r="BK280" s="1417"/>
      <c r="BL280" s="1417"/>
      <c r="BM280" s="1417"/>
      <c r="BN280" s="1451"/>
      <c r="BO280" s="1417"/>
      <c r="BP280" s="1417"/>
      <c r="BQ280" s="1417"/>
      <c r="BR280" s="1417"/>
      <c r="BS280" s="1417"/>
      <c r="BT280" s="1417"/>
      <c r="BU280" s="1417"/>
      <c r="BV280" s="1451"/>
      <c r="BY280" s="1811"/>
      <c r="BZ280" s="1811"/>
      <c r="CA280" s="1811"/>
      <c r="CB280" s="1811"/>
      <c r="CO280" s="1417"/>
      <c r="CU280" s="1451"/>
      <c r="CV280" s="1451"/>
      <c r="CY280" s="1444"/>
      <c r="CZ280" s="1444"/>
      <c r="DA280" s="1444"/>
      <c r="DB280" s="1444"/>
      <c r="DC280" s="1444"/>
      <c r="DG280" s="1451"/>
      <c r="DH280" s="1417"/>
      <c r="DK280" s="1417"/>
      <c r="DL280" s="1417"/>
      <c r="DM280" s="1417"/>
      <c r="DN280" s="1417"/>
      <c r="DO280" s="1417"/>
      <c r="DP280" s="1417"/>
      <c r="DQ280" s="1417"/>
      <c r="DR280" s="1417"/>
      <c r="DS280" s="1417"/>
      <c r="DT280" s="1417"/>
      <c r="DU280" s="1417"/>
      <c r="DV280" s="1417"/>
      <c r="DW280" s="1417"/>
      <c r="DX280" s="1417"/>
      <c r="DY280" s="1417"/>
      <c r="DZ280" s="1417"/>
      <c r="EA280" s="1417"/>
      <c r="EB280" s="1417"/>
      <c r="EC280" s="1417"/>
      <c r="ED280" s="1417"/>
      <c r="EE280" s="1417"/>
      <c r="EF280" s="1417"/>
      <c r="EG280" s="1417"/>
      <c r="EH280" s="1417"/>
      <c r="EI280" s="1417"/>
      <c r="EJ280" s="1417"/>
      <c r="EK280" s="1403"/>
      <c r="EL280" s="1414"/>
      <c r="EM280" s="1414"/>
      <c r="EN280" s="1414"/>
      <c r="EO280" s="1414"/>
      <c r="EP280" s="1414"/>
      <c r="EQ280" s="1414"/>
      <c r="ER280" s="1414"/>
      <c r="ES280" s="1414"/>
      <c r="ET280" s="1414"/>
      <c r="EU280" s="1417"/>
      <c r="EV280" s="1417"/>
      <c r="EW280" s="1417"/>
      <c r="EX280" s="1417"/>
      <c r="EY280" s="1417"/>
      <c r="EZ280" s="1417"/>
      <c r="FA280" s="1417"/>
      <c r="FB280" s="1417"/>
      <c r="FC280" s="1417"/>
      <c r="FD280" s="1417"/>
    </row>
    <row r="281" spans="1:160" s="1433" customFormat="1" ht="12">
      <c r="A281" s="1488"/>
      <c r="B281" s="1762"/>
      <c r="C281" s="1490"/>
      <c r="D281" s="1441"/>
      <c r="E281" s="1451"/>
      <c r="F281" s="1808" t="s">
        <v>189</v>
      </c>
      <c r="G281" s="1809"/>
      <c r="H281" s="1809"/>
      <c r="I281" s="1810" t="e">
        <f>#REF!</f>
        <v>#REF!</v>
      </c>
      <c r="J281" s="1810" t="e">
        <f>#REF!</f>
        <v>#REF!</v>
      </c>
      <c r="K281" s="1810" t="e">
        <f>#REF!</f>
        <v>#REF!</v>
      </c>
      <c r="L281" s="1810" t="e">
        <f>#REF!</f>
        <v>#REF!</v>
      </c>
      <c r="M281" s="1810" t="e">
        <f>#REF!</f>
        <v>#REF!</v>
      </c>
      <c r="N281" s="1810" t="e">
        <f>SUM(I281:M281)</f>
        <v>#REF!</v>
      </c>
      <c r="O281" s="1809"/>
      <c r="S281" s="1451"/>
      <c r="AU281" s="1441"/>
      <c r="BJ281" s="1451"/>
      <c r="BK281" s="1451"/>
      <c r="BL281" s="1451"/>
      <c r="BM281" s="1451"/>
      <c r="BN281" s="1451"/>
      <c r="BO281" s="1451"/>
      <c r="BP281" s="1451"/>
      <c r="BQ281" s="1451"/>
      <c r="BR281" s="1451"/>
      <c r="BS281" s="1451"/>
      <c r="BT281" s="1451"/>
      <c r="BU281" s="1451"/>
      <c r="BV281" s="1451"/>
      <c r="BY281" s="1811"/>
      <c r="BZ281" s="1811"/>
      <c r="CA281" s="1811"/>
      <c r="CB281" s="1811"/>
      <c r="CO281" s="1417"/>
      <c r="CU281" s="1451"/>
      <c r="CV281" s="1451"/>
      <c r="CY281" s="1811"/>
      <c r="CZ281" s="1811"/>
      <c r="DA281" s="1811"/>
      <c r="DB281" s="1811"/>
      <c r="DC281" s="1811"/>
      <c r="DK281" s="1417"/>
      <c r="DL281" s="1417"/>
      <c r="DM281" s="1417"/>
      <c r="DN281" s="1417"/>
      <c r="DO281" s="1417"/>
      <c r="DP281" s="1417"/>
      <c r="DQ281" s="1417"/>
      <c r="DR281" s="1417"/>
      <c r="DS281" s="1417"/>
      <c r="DT281" s="1417"/>
      <c r="DU281" s="1417"/>
      <c r="DV281" s="1417"/>
      <c r="DW281" s="1417"/>
      <c r="DX281" s="1417"/>
      <c r="DY281" s="1417"/>
      <c r="DZ281" s="1417"/>
      <c r="EA281" s="1417"/>
      <c r="EB281" s="1417"/>
      <c r="EC281" s="1417"/>
      <c r="ED281" s="1417"/>
      <c r="EE281" s="1417"/>
      <c r="EF281" s="1417"/>
      <c r="EG281" s="1417"/>
      <c r="EH281" s="1417"/>
      <c r="EI281" s="1417"/>
      <c r="EJ281" s="1417"/>
      <c r="EK281" s="1403"/>
      <c r="EL281" s="1414"/>
      <c r="EM281" s="1414"/>
      <c r="EN281" s="1414"/>
      <c r="EO281" s="1414"/>
      <c r="EP281" s="1414"/>
      <c r="EQ281" s="1414"/>
      <c r="ER281" s="1414"/>
      <c r="ES281" s="1414"/>
      <c r="ET281" s="1414"/>
      <c r="EU281" s="1417"/>
      <c r="EV281" s="1417"/>
      <c r="EW281" s="1417"/>
      <c r="EX281" s="1417"/>
      <c r="EY281" s="1417"/>
      <c r="EZ281" s="1417"/>
      <c r="FA281" s="1417"/>
      <c r="FB281" s="1417"/>
      <c r="FC281" s="1417"/>
      <c r="FD281" s="1417"/>
    </row>
    <row r="282" spans="1:160" s="1433" customFormat="1" ht="12">
      <c r="A282" s="1488"/>
      <c r="B282" s="1762"/>
      <c r="C282" s="1490"/>
      <c r="D282" s="1441"/>
      <c r="E282" s="1451"/>
      <c r="F282" s="1808" t="s">
        <v>190</v>
      </c>
      <c r="G282" s="1809"/>
      <c r="H282" s="1809"/>
      <c r="I282" s="1810">
        <f>BD111</f>
        <v>4942.5603460000002</v>
      </c>
      <c r="J282" s="1810">
        <f>CN111</f>
        <v>0</v>
      </c>
      <c r="K282" s="1810">
        <f>BM111</f>
        <v>0</v>
      </c>
      <c r="L282" s="1810">
        <f>BV111</f>
        <v>0</v>
      </c>
      <c r="M282" s="1810">
        <f>CE111</f>
        <v>0</v>
      </c>
      <c r="N282" s="1810">
        <f>SUM(I282:M282)</f>
        <v>4942.5603460000002</v>
      </c>
      <c r="O282" s="1809"/>
      <c r="S282" s="1451"/>
      <c r="AU282" s="1441"/>
      <c r="BJ282" s="1451"/>
      <c r="BK282" s="1451"/>
      <c r="BL282" s="1451"/>
      <c r="BM282" s="1451"/>
      <c r="BN282" s="1451"/>
      <c r="BO282" s="1451"/>
      <c r="BP282" s="1451"/>
      <c r="BQ282" s="1451"/>
      <c r="BR282" s="1451"/>
      <c r="BS282" s="1451"/>
      <c r="BT282" s="1451"/>
      <c r="BU282" s="1451"/>
      <c r="BV282" s="1451"/>
      <c r="BY282" s="1811"/>
      <c r="BZ282" s="1811"/>
      <c r="CA282" s="1811"/>
      <c r="CB282" s="1811"/>
      <c r="CO282" s="1417"/>
      <c r="CU282" s="1451"/>
      <c r="CV282" s="1451"/>
      <c r="CY282" s="1811"/>
      <c r="CZ282" s="1811"/>
      <c r="DA282" s="1811"/>
      <c r="DB282" s="1811"/>
      <c r="DC282" s="1811"/>
      <c r="DK282" s="1417"/>
      <c r="DL282" s="1417"/>
      <c r="DM282" s="1417"/>
      <c r="DN282" s="1417"/>
      <c r="DO282" s="1417"/>
      <c r="DP282" s="1417"/>
      <c r="DQ282" s="1417"/>
      <c r="DR282" s="1417"/>
      <c r="DS282" s="1417"/>
      <c r="DT282" s="1417"/>
      <c r="DU282" s="1417"/>
      <c r="DV282" s="1417"/>
      <c r="DW282" s="1417"/>
      <c r="DX282" s="1417"/>
      <c r="DY282" s="1417"/>
      <c r="DZ282" s="1417"/>
      <c r="EA282" s="1417"/>
      <c r="EB282" s="1417"/>
      <c r="EC282" s="1417"/>
      <c r="ED282" s="1417"/>
      <c r="EE282" s="1417"/>
      <c r="EF282" s="1417"/>
      <c r="EG282" s="1417"/>
      <c r="EH282" s="1417"/>
      <c r="EI282" s="1417"/>
      <c r="EJ282" s="1417"/>
      <c r="EK282" s="1403"/>
      <c r="EL282" s="1414"/>
      <c r="EM282" s="1414"/>
      <c r="EN282" s="1414"/>
      <c r="EO282" s="1414"/>
      <c r="EP282" s="1414"/>
      <c r="EQ282" s="1414"/>
      <c r="ER282" s="1414"/>
      <c r="ES282" s="1414"/>
      <c r="ET282" s="1414"/>
      <c r="EU282" s="1417"/>
      <c r="EV282" s="1417"/>
      <c r="EW282" s="1417"/>
      <c r="EX282" s="1417"/>
      <c r="EY282" s="1417"/>
      <c r="EZ282" s="1417"/>
      <c r="FA282" s="1417"/>
      <c r="FB282" s="1417"/>
      <c r="FC282" s="1417"/>
      <c r="FD282" s="1417"/>
    </row>
    <row r="283" spans="1:160" s="1433" customFormat="1" ht="12">
      <c r="A283" s="1488"/>
      <c r="B283" s="1762"/>
      <c r="C283" s="1490"/>
      <c r="D283" s="1441"/>
      <c r="E283" s="1451"/>
      <c r="F283" s="1808" t="s">
        <v>191</v>
      </c>
      <c r="G283" s="1809"/>
      <c r="H283" s="1809"/>
      <c r="I283" s="1810">
        <f>BD211</f>
        <v>44.594504325000003</v>
      </c>
      <c r="J283" s="1810">
        <f>CN211</f>
        <v>0</v>
      </c>
      <c r="K283" s="1810">
        <f>BM211</f>
        <v>0</v>
      </c>
      <c r="L283" s="1810">
        <f>BV211</f>
        <v>5925.6669195249997</v>
      </c>
      <c r="M283" s="1810">
        <f>CE211</f>
        <v>0</v>
      </c>
      <c r="N283" s="1810">
        <f>SUM(I283:M283)</f>
        <v>5970.26142385</v>
      </c>
      <c r="O283" s="1809"/>
      <c r="S283" s="1451"/>
      <c r="AU283" s="1441"/>
      <c r="BJ283" s="1451"/>
      <c r="BK283" s="1451"/>
      <c r="BL283" s="1451"/>
      <c r="BM283" s="1451"/>
      <c r="BN283" s="1451"/>
      <c r="BO283" s="1451"/>
      <c r="BP283" s="1451"/>
      <c r="BQ283" s="1451"/>
      <c r="BR283" s="1451"/>
      <c r="BS283" s="1451"/>
      <c r="BT283" s="1451"/>
      <c r="BU283" s="1451"/>
      <c r="BV283" s="1451"/>
      <c r="BY283" s="1811"/>
      <c r="BZ283" s="1811"/>
      <c r="CA283" s="1811"/>
      <c r="CB283" s="1811"/>
      <c r="CO283" s="1417"/>
      <c r="CU283" s="1451"/>
      <c r="CV283" s="1451"/>
      <c r="CY283" s="1811"/>
      <c r="CZ283" s="1811"/>
      <c r="DA283" s="1811"/>
      <c r="DB283" s="1811"/>
      <c r="DC283" s="1811"/>
      <c r="DK283" s="1417"/>
      <c r="DL283" s="1417"/>
      <c r="DM283" s="1417"/>
      <c r="DN283" s="1417"/>
      <c r="DO283" s="1417"/>
      <c r="DP283" s="1417"/>
      <c r="DQ283" s="1417"/>
      <c r="DR283" s="1417"/>
      <c r="DS283" s="1417"/>
      <c r="DT283" s="1417"/>
      <c r="DU283" s="1417"/>
      <c r="DV283" s="1417"/>
      <c r="DW283" s="1417"/>
      <c r="DX283" s="1417"/>
      <c r="DY283" s="1417"/>
      <c r="DZ283" s="1417"/>
      <c r="EA283" s="1417"/>
      <c r="EB283" s="1417"/>
      <c r="EC283" s="1417"/>
      <c r="ED283" s="1417"/>
      <c r="EE283" s="1417"/>
      <c r="EF283" s="1417"/>
      <c r="EG283" s="1417"/>
      <c r="EH283" s="1417"/>
      <c r="EI283" s="1417"/>
      <c r="EJ283" s="1417"/>
      <c r="EK283" s="1403"/>
      <c r="EL283" s="1414"/>
      <c r="EM283" s="1414"/>
      <c r="EN283" s="1414"/>
      <c r="EO283" s="1414"/>
      <c r="EP283" s="1414"/>
      <c r="EQ283" s="1414"/>
      <c r="ER283" s="1414"/>
      <c r="ES283" s="1414"/>
      <c r="ET283" s="1414"/>
      <c r="EU283" s="1417"/>
      <c r="EV283" s="1417"/>
      <c r="EW283" s="1417"/>
      <c r="EX283" s="1417"/>
      <c r="EY283" s="1417"/>
      <c r="EZ283" s="1417"/>
      <c r="FA283" s="1417"/>
      <c r="FB283" s="1417"/>
      <c r="FC283" s="1417"/>
      <c r="FD283" s="1417"/>
    </row>
    <row r="284" spans="1:160" s="1433" customFormat="1" ht="12">
      <c r="A284" s="1488"/>
      <c r="B284" s="1762"/>
      <c r="C284" s="1490"/>
      <c r="D284" s="1441"/>
      <c r="E284" s="1451"/>
      <c r="F284" s="1808" t="s">
        <v>192</v>
      </c>
      <c r="G284" s="1809"/>
      <c r="H284" s="1809"/>
      <c r="I284" s="1810">
        <f>BD111</f>
        <v>4942.5603460000002</v>
      </c>
      <c r="J284" s="1810">
        <f>CN111</f>
        <v>0</v>
      </c>
      <c r="K284" s="1810">
        <f>BM111</f>
        <v>0</v>
      </c>
      <c r="L284" s="1810">
        <f>BV111</f>
        <v>0</v>
      </c>
      <c r="M284" s="1810">
        <f>CE111</f>
        <v>0</v>
      </c>
      <c r="N284" s="1810">
        <f t="shared" si="3650"/>
        <v>4942.5603460000002</v>
      </c>
      <c r="O284" s="1809"/>
      <c r="S284" s="1451"/>
      <c r="AU284" s="1441"/>
      <c r="BJ284" s="1451"/>
      <c r="BK284" s="1451"/>
      <c r="BL284" s="1451"/>
      <c r="BM284" s="1451"/>
      <c r="BN284" s="1451"/>
      <c r="BO284" s="1451"/>
      <c r="BP284" s="1451"/>
      <c r="BQ284" s="1451"/>
      <c r="BR284" s="1451"/>
      <c r="BS284" s="1451"/>
      <c r="BT284" s="1451"/>
      <c r="BU284" s="1451"/>
      <c r="BV284" s="1451"/>
      <c r="BY284" s="1811"/>
      <c r="BZ284" s="1811"/>
      <c r="CA284" s="1811"/>
      <c r="CB284" s="1811"/>
      <c r="CO284" s="1417"/>
      <c r="CU284" s="1451"/>
      <c r="CV284" s="1451"/>
      <c r="CY284" s="1811"/>
      <c r="CZ284" s="1811"/>
      <c r="DA284" s="1811"/>
      <c r="DB284" s="1811"/>
      <c r="DC284" s="1811"/>
      <c r="DK284" s="1417"/>
      <c r="DL284" s="1417"/>
      <c r="DM284" s="1417"/>
      <c r="DN284" s="1417"/>
      <c r="DO284" s="1417"/>
      <c r="DP284" s="1417"/>
      <c r="DQ284" s="1417"/>
      <c r="DR284" s="1417"/>
      <c r="DS284" s="1417"/>
      <c r="DT284" s="1417"/>
      <c r="DU284" s="1417"/>
      <c r="DV284" s="1417"/>
      <c r="DW284" s="1417"/>
      <c r="DX284" s="1417"/>
      <c r="DY284" s="1417"/>
      <c r="DZ284" s="1417"/>
      <c r="EA284" s="1417"/>
      <c r="EB284" s="1417"/>
      <c r="EC284" s="1417"/>
      <c r="ED284" s="1417"/>
      <c r="EE284" s="1417"/>
      <c r="EF284" s="1417"/>
      <c r="EG284" s="1417"/>
      <c r="EH284" s="1417"/>
      <c r="EI284" s="1417"/>
      <c r="EJ284" s="1417"/>
      <c r="EK284" s="1403"/>
      <c r="EL284" s="1414"/>
      <c r="EM284" s="1414"/>
      <c r="EN284" s="1414"/>
      <c r="EO284" s="1414"/>
      <c r="EP284" s="1414"/>
      <c r="EQ284" s="1414"/>
      <c r="ER284" s="1414"/>
      <c r="ES284" s="1414"/>
      <c r="ET284" s="1414"/>
      <c r="EU284" s="1417"/>
      <c r="EV284" s="1417"/>
      <c r="EW284" s="1417"/>
      <c r="EX284" s="1417"/>
      <c r="EY284" s="1417"/>
      <c r="EZ284" s="1417"/>
      <c r="FA284" s="1417"/>
      <c r="FB284" s="1417"/>
      <c r="FC284" s="1417"/>
      <c r="FD284" s="1417"/>
    </row>
    <row r="285" spans="1:160" s="1433" customFormat="1" ht="12.75" thickBot="1">
      <c r="A285" s="1488"/>
      <c r="B285" s="1762"/>
      <c r="C285" s="1490"/>
      <c r="D285" s="1441"/>
      <c r="E285" s="1451"/>
      <c r="F285" s="1808" t="s">
        <v>193</v>
      </c>
      <c r="G285" s="1809"/>
      <c r="H285" s="1809"/>
      <c r="I285" s="1814" t="e">
        <f t="shared" ref="I285:N285" si="3651">SUM(I261:I284)</f>
        <v>#REF!</v>
      </c>
      <c r="J285" s="1814" t="e">
        <f t="shared" si="3651"/>
        <v>#REF!</v>
      </c>
      <c r="K285" s="1814" t="e">
        <f t="shared" si="3651"/>
        <v>#REF!</v>
      </c>
      <c r="L285" s="1814" t="e">
        <f t="shared" si="3651"/>
        <v>#REF!</v>
      </c>
      <c r="M285" s="1814" t="e">
        <f t="shared" si="3651"/>
        <v>#REF!</v>
      </c>
      <c r="N285" s="1814" t="e">
        <f t="shared" si="3651"/>
        <v>#REF!</v>
      </c>
      <c r="O285" s="1809"/>
      <c r="S285" s="1451"/>
      <c r="AU285" s="1441"/>
      <c r="BJ285" s="1451"/>
      <c r="BK285" s="1451"/>
      <c r="BL285" s="1451"/>
      <c r="BM285" s="1451"/>
      <c r="BN285" s="1451"/>
      <c r="BO285" s="1451"/>
      <c r="BP285" s="1451"/>
      <c r="BQ285" s="1451"/>
      <c r="BR285" s="1451"/>
      <c r="BS285" s="1451"/>
      <c r="BT285" s="1451"/>
      <c r="BU285" s="1451"/>
      <c r="BV285" s="1451"/>
      <c r="BY285" s="1811"/>
      <c r="BZ285" s="1811"/>
      <c r="CA285" s="1811"/>
      <c r="CB285" s="1811"/>
      <c r="CO285" s="1417"/>
      <c r="CU285" s="1451"/>
      <c r="CV285" s="1451"/>
      <c r="CY285" s="1811"/>
      <c r="CZ285" s="1811"/>
      <c r="DA285" s="1811"/>
      <c r="DB285" s="1811"/>
      <c r="DC285" s="1811"/>
      <c r="DK285" s="1417"/>
      <c r="DL285" s="1417"/>
      <c r="DM285" s="1417"/>
      <c r="DN285" s="1417"/>
      <c r="DO285" s="1417"/>
      <c r="DP285" s="1417"/>
      <c r="DQ285" s="1417"/>
      <c r="DR285" s="1417"/>
      <c r="DS285" s="1417"/>
      <c r="DT285" s="1417"/>
      <c r="DU285" s="1417"/>
      <c r="DV285" s="1417"/>
      <c r="DW285" s="1417"/>
      <c r="DX285" s="1417"/>
      <c r="DY285" s="1417"/>
      <c r="DZ285" s="1417"/>
      <c r="EA285" s="1417"/>
      <c r="EB285" s="1417"/>
      <c r="EC285" s="1417"/>
      <c r="ED285" s="1417"/>
      <c r="EE285" s="1417"/>
      <c r="EF285" s="1417"/>
      <c r="EG285" s="1417"/>
      <c r="EH285" s="1417"/>
      <c r="EI285" s="1417"/>
      <c r="EJ285" s="1417"/>
      <c r="EK285" s="1403"/>
      <c r="EL285" s="1414"/>
      <c r="EM285" s="1414"/>
      <c r="EN285" s="1414"/>
      <c r="EO285" s="1414"/>
      <c r="EP285" s="1414"/>
      <c r="EQ285" s="1414"/>
      <c r="ER285" s="1414"/>
      <c r="ES285" s="1414"/>
      <c r="ET285" s="1414"/>
      <c r="EU285" s="1417"/>
      <c r="EV285" s="1417"/>
      <c r="EW285" s="1417"/>
      <c r="EX285" s="1417"/>
      <c r="EY285" s="1417"/>
      <c r="EZ285" s="1417"/>
      <c r="FA285" s="1417"/>
      <c r="FB285" s="1417"/>
      <c r="FC285" s="1417"/>
      <c r="FD285" s="1417"/>
    </row>
    <row r="286" spans="1:160" s="1433" customFormat="1" ht="12.75" thickTop="1">
      <c r="A286" s="1488"/>
      <c r="B286" s="1762"/>
      <c r="C286" s="1490"/>
      <c r="D286" s="1441"/>
      <c r="E286" s="1451"/>
      <c r="F286" s="1809" t="s">
        <v>194</v>
      </c>
      <c r="G286" s="1809"/>
      <c r="H286" s="1809"/>
      <c r="I286" s="1810" t="e">
        <f>+I285-BD228</f>
        <v>#REF!</v>
      </c>
      <c r="J286" s="1810" t="e">
        <f>+J285-CN228</f>
        <v>#REF!</v>
      </c>
      <c r="K286" s="1810" t="e">
        <f>+K285-BM228</f>
        <v>#REF!</v>
      </c>
      <c r="L286" s="1810" t="e">
        <f>+L285-BV228</f>
        <v>#REF!</v>
      </c>
      <c r="M286" s="1810" t="e">
        <f>+M285-CE228</f>
        <v>#REF!</v>
      </c>
      <c r="N286" s="1809" t="e">
        <f>+N285-(+BD228+BM228+BV228+CE228+CN228)</f>
        <v>#REF!</v>
      </c>
      <c r="O286" s="1809"/>
      <c r="S286" s="1451"/>
      <c r="AU286" s="1441"/>
      <c r="BJ286" s="1451"/>
      <c r="BK286" s="1451"/>
      <c r="BL286" s="1451"/>
      <c r="BM286" s="1451"/>
      <c r="BN286" s="1451"/>
      <c r="BO286" s="1451"/>
      <c r="BP286" s="1451"/>
      <c r="BQ286" s="1451"/>
      <c r="BR286" s="1451"/>
      <c r="BS286" s="1451"/>
      <c r="BT286" s="1451"/>
      <c r="BU286" s="1451"/>
      <c r="BV286" s="1451"/>
      <c r="BY286" s="1811"/>
      <c r="BZ286" s="1811"/>
      <c r="CA286" s="1811"/>
      <c r="CB286" s="1811"/>
      <c r="CO286" s="1417"/>
      <c r="CU286" s="1451"/>
      <c r="CV286" s="1451"/>
      <c r="CY286" s="1811"/>
      <c r="CZ286" s="1811"/>
      <c r="DA286" s="1811"/>
      <c r="DB286" s="1811"/>
      <c r="DC286" s="1811"/>
      <c r="DK286" s="1417"/>
      <c r="DL286" s="1417"/>
      <c r="DM286" s="1417"/>
      <c r="DN286" s="1417"/>
      <c r="DO286" s="1417"/>
      <c r="DP286" s="1417"/>
      <c r="DQ286" s="1417"/>
      <c r="DR286" s="1417"/>
      <c r="DS286" s="1417"/>
      <c r="DT286" s="1417"/>
      <c r="DU286" s="1417"/>
      <c r="DV286" s="1417"/>
      <c r="DW286" s="1417"/>
      <c r="DX286" s="1417"/>
      <c r="DY286" s="1417"/>
      <c r="DZ286" s="1417"/>
      <c r="EA286" s="1417"/>
      <c r="EB286" s="1417"/>
      <c r="EC286" s="1417"/>
      <c r="ED286" s="1417"/>
      <c r="EE286" s="1417"/>
      <c r="EF286" s="1417"/>
      <c r="EG286" s="1417"/>
      <c r="EH286" s="1417"/>
      <c r="EI286" s="1417"/>
      <c r="EJ286" s="1417"/>
      <c r="EK286" s="1403"/>
      <c r="EL286" s="1414"/>
      <c r="EM286" s="1414"/>
      <c r="EN286" s="1414"/>
      <c r="EO286" s="1414"/>
      <c r="EP286" s="1414"/>
      <c r="EQ286" s="1414"/>
      <c r="ER286" s="1414"/>
      <c r="ES286" s="1414"/>
      <c r="ET286" s="1414"/>
      <c r="EU286" s="1417"/>
      <c r="EV286" s="1417"/>
      <c r="EW286" s="1417"/>
      <c r="EX286" s="1417"/>
      <c r="EY286" s="1417"/>
      <c r="EZ286" s="1417"/>
      <c r="FA286" s="1417"/>
      <c r="FB286" s="1417"/>
      <c r="FC286" s="1417"/>
      <c r="FD286" s="1417"/>
    </row>
    <row r="287" spans="1:160" s="1433" customFormat="1" ht="12">
      <c r="A287" s="1488"/>
      <c r="B287" s="1762"/>
      <c r="C287" s="1490"/>
      <c r="D287" s="1441"/>
      <c r="E287" s="1451"/>
      <c r="F287" s="1808"/>
      <c r="G287" s="1809"/>
      <c r="H287" s="1809"/>
      <c r="I287" s="1810"/>
      <c r="J287" s="1809"/>
      <c r="K287" s="1810"/>
      <c r="L287" s="1810"/>
      <c r="M287" s="1810"/>
      <c r="N287" s="1809"/>
      <c r="O287" s="1809"/>
      <c r="S287" s="1451"/>
      <c r="AU287" s="1441"/>
      <c r="BJ287" s="1451"/>
      <c r="BK287" s="1451"/>
      <c r="BL287" s="1451"/>
      <c r="BM287" s="1451"/>
      <c r="BN287" s="1451"/>
      <c r="BO287" s="1451"/>
      <c r="BP287" s="1451"/>
      <c r="BQ287" s="1451"/>
      <c r="BR287" s="1451"/>
      <c r="BS287" s="1451"/>
      <c r="BT287" s="1451"/>
      <c r="BU287" s="1451"/>
      <c r="BV287" s="1451"/>
      <c r="BY287" s="1811"/>
      <c r="BZ287" s="1811"/>
      <c r="CA287" s="1811"/>
      <c r="CB287" s="1811"/>
      <c r="CO287" s="1417"/>
      <c r="CU287" s="1451"/>
      <c r="CV287" s="1451"/>
      <c r="CY287" s="1811"/>
      <c r="CZ287" s="1811"/>
      <c r="DA287" s="1811"/>
      <c r="DB287" s="1811"/>
      <c r="DC287" s="1811"/>
      <c r="DK287" s="1417"/>
      <c r="DL287" s="1417"/>
      <c r="DM287" s="1417"/>
      <c r="DN287" s="1417"/>
      <c r="DO287" s="1417"/>
      <c r="DP287" s="1417"/>
      <c r="DQ287" s="1417"/>
      <c r="DR287" s="1417"/>
      <c r="DS287" s="1417"/>
      <c r="DT287" s="1417"/>
      <c r="DU287" s="1417"/>
      <c r="DV287" s="1417"/>
      <c r="DW287" s="1417"/>
      <c r="DX287" s="1417"/>
      <c r="DY287" s="1417"/>
      <c r="DZ287" s="1417"/>
      <c r="EA287" s="1417"/>
      <c r="EB287" s="1417"/>
      <c r="EC287" s="1417"/>
      <c r="ED287" s="1417"/>
      <c r="EE287" s="1417"/>
      <c r="EF287" s="1417"/>
      <c r="EG287" s="1417"/>
      <c r="EH287" s="1417"/>
      <c r="EI287" s="1417"/>
      <c r="EJ287" s="1417"/>
      <c r="EK287" s="1403"/>
      <c r="EL287" s="1414"/>
      <c r="EM287" s="1414"/>
      <c r="EN287" s="1414"/>
      <c r="EO287" s="1414"/>
      <c r="EP287" s="1414"/>
      <c r="EQ287" s="1414"/>
      <c r="ER287" s="1414"/>
      <c r="ES287" s="1414"/>
      <c r="ET287" s="1414"/>
      <c r="EU287" s="1417"/>
      <c r="EV287" s="1417"/>
      <c r="EW287" s="1417"/>
      <c r="EX287" s="1417"/>
      <c r="EY287" s="1417"/>
      <c r="EZ287" s="1417"/>
      <c r="FA287" s="1417"/>
      <c r="FB287" s="1417"/>
      <c r="FC287" s="1417"/>
      <c r="FD287" s="1417"/>
    </row>
    <row r="288" spans="1:160" s="1441" customFormat="1" ht="12" hidden="1">
      <c r="A288" s="1490"/>
      <c r="B288" s="1342"/>
      <c r="C288" s="1490"/>
      <c r="E288" s="1433"/>
      <c r="F288" s="1809"/>
      <c r="G288" s="1795"/>
      <c r="H288" s="1815"/>
      <c r="I288" s="1795"/>
      <c r="J288" s="1795"/>
      <c r="K288" s="1795"/>
      <c r="L288" s="1795"/>
      <c r="M288" s="1795"/>
      <c r="N288" s="1809"/>
      <c r="O288" s="1815"/>
      <c r="Q288" s="1433"/>
      <c r="S288" s="1433"/>
      <c r="T288" s="1433"/>
      <c r="U288" s="1433"/>
      <c r="V288" s="1433"/>
      <c r="W288" s="1433"/>
      <c r="X288" s="1433"/>
      <c r="Y288" s="1433"/>
      <c r="Z288" s="1433"/>
      <c r="AA288" s="1433"/>
      <c r="AB288" s="1433"/>
      <c r="AC288" s="1433"/>
      <c r="AD288" s="1433"/>
      <c r="AE288" s="1433"/>
      <c r="AF288" s="1433"/>
      <c r="AG288" s="1433"/>
      <c r="AH288" s="1433"/>
      <c r="AI288" s="1433"/>
      <c r="AJ288" s="1433"/>
      <c r="AK288" s="1433"/>
      <c r="AL288" s="1433"/>
      <c r="AM288" s="1433"/>
      <c r="AN288" s="1433"/>
      <c r="AO288" s="1433"/>
      <c r="AP288" s="1433"/>
      <c r="AQ288" s="1433"/>
      <c r="AR288" s="1433"/>
      <c r="AS288" s="1433"/>
      <c r="AT288" s="1433"/>
      <c r="AV288" s="1433"/>
      <c r="BJ288" s="1433"/>
      <c r="BK288" s="1433"/>
      <c r="BL288" s="1433"/>
      <c r="BM288" s="1433"/>
      <c r="BN288" s="1433"/>
      <c r="BO288" s="1433"/>
      <c r="BP288" s="1433"/>
      <c r="BQ288" s="1433"/>
      <c r="BR288" s="1433"/>
      <c r="BS288" s="1433"/>
      <c r="BT288" s="1433"/>
      <c r="BU288" s="1433"/>
      <c r="BV288" s="1433"/>
      <c r="BW288" s="1433"/>
      <c r="BX288" s="1433"/>
      <c r="BY288" s="1433"/>
      <c r="BZ288" s="1433"/>
      <c r="CA288" s="1433"/>
      <c r="CB288" s="1433"/>
      <c r="CC288" s="1433"/>
      <c r="CD288" s="1433"/>
      <c r="CE288" s="1433"/>
      <c r="CF288" s="1433"/>
      <c r="CG288" s="1433"/>
      <c r="CH288" s="1433"/>
      <c r="CI288" s="1433"/>
      <c r="CJ288" s="1433"/>
      <c r="CK288" s="1433"/>
      <c r="CL288" s="1433"/>
      <c r="CM288" s="1433"/>
      <c r="CN288" s="1433"/>
      <c r="CO288" s="1414"/>
      <c r="CQ288" s="1433"/>
      <c r="CR288" s="1433"/>
      <c r="CS288" s="1433"/>
      <c r="CT288" s="1433"/>
      <c r="CU288" s="1433"/>
      <c r="CV288" s="1433"/>
      <c r="CW288" s="1433"/>
      <c r="CX288" s="1433"/>
      <c r="CY288" s="1433"/>
      <c r="CZ288" s="1433"/>
      <c r="DA288" s="1433"/>
      <c r="DB288" s="1433"/>
      <c r="DC288" s="1433"/>
      <c r="DD288" s="1433"/>
      <c r="DE288" s="1433"/>
      <c r="DF288" s="1433"/>
      <c r="DG288" s="1433"/>
      <c r="DH288" s="1433"/>
      <c r="DI288" s="1433"/>
      <c r="DJ288" s="1433"/>
      <c r="DK288" s="1433"/>
      <c r="DL288" s="1433"/>
      <c r="DM288" s="1433"/>
      <c r="DN288" s="1433"/>
      <c r="DO288" s="1433"/>
      <c r="DP288" s="1433"/>
      <c r="DQ288" s="1433"/>
      <c r="DR288" s="1433"/>
      <c r="DS288" s="1433"/>
      <c r="DT288" s="1433"/>
      <c r="DU288" s="1433"/>
      <c r="DV288" s="1433"/>
      <c r="DW288" s="1433"/>
      <c r="DX288" s="1433"/>
      <c r="DY288" s="1433"/>
      <c r="DZ288" s="1433"/>
      <c r="EA288" s="1433"/>
      <c r="EB288" s="1433"/>
      <c r="EC288" s="1433"/>
      <c r="ED288" s="1433"/>
      <c r="EE288" s="1433"/>
      <c r="EF288" s="1433"/>
      <c r="EG288" s="1433"/>
      <c r="EH288" s="1433"/>
      <c r="EI288" s="1433"/>
      <c r="EJ288" s="1414"/>
      <c r="EK288" s="1490"/>
    </row>
    <row r="289" spans="1:160" s="1441" customFormat="1" ht="12" hidden="1">
      <c r="A289" s="1490"/>
      <c r="B289" s="1342"/>
      <c r="C289" s="1490"/>
      <c r="F289" s="1800"/>
      <c r="G289" s="1809"/>
      <c r="H289" s="1815"/>
      <c r="I289" s="1810"/>
      <c r="J289" s="1795"/>
      <c r="K289" s="1810"/>
      <c r="L289" s="1810"/>
      <c r="M289" s="1810"/>
      <c r="N289" s="1810"/>
      <c r="O289" s="1809"/>
      <c r="Q289" s="1433"/>
      <c r="S289" s="1433"/>
      <c r="T289" s="1433"/>
      <c r="U289" s="1433"/>
      <c r="V289" s="1433"/>
      <c r="W289" s="1433"/>
      <c r="X289" s="1433"/>
      <c r="Y289" s="1433"/>
      <c r="Z289" s="1433"/>
      <c r="AA289" s="1433"/>
      <c r="AB289" s="1433"/>
      <c r="AC289" s="1433"/>
      <c r="AD289" s="1433"/>
      <c r="AE289" s="1433"/>
      <c r="AF289" s="1433"/>
      <c r="AG289" s="1433"/>
      <c r="AH289" s="1433"/>
      <c r="AI289" s="1433"/>
      <c r="AJ289" s="1433"/>
      <c r="AK289" s="1433"/>
      <c r="AL289" s="1433"/>
      <c r="AM289" s="1433"/>
      <c r="AN289" s="1433"/>
      <c r="AO289" s="1433"/>
      <c r="AP289" s="1433"/>
      <c r="AQ289" s="1433"/>
      <c r="AR289" s="1433"/>
      <c r="AS289" s="1433"/>
      <c r="AT289" s="1433"/>
      <c r="BJ289" s="1433"/>
      <c r="BK289" s="1433"/>
      <c r="BL289" s="1433"/>
      <c r="BM289" s="1433"/>
      <c r="BN289" s="1433"/>
      <c r="BO289" s="1433"/>
      <c r="BP289" s="1433"/>
      <c r="BQ289" s="1433"/>
      <c r="BR289" s="1433"/>
      <c r="BS289" s="1433"/>
      <c r="BT289" s="1433"/>
      <c r="BU289" s="1433"/>
      <c r="BV289" s="1799"/>
      <c r="BW289" s="1433"/>
      <c r="BX289" s="1417"/>
      <c r="BY289" s="1444"/>
      <c r="BZ289" s="1444"/>
      <c r="CA289" s="1444"/>
      <c r="CB289" s="1444"/>
      <c r="CC289" s="1433"/>
      <c r="CD289" s="1433"/>
      <c r="CE289" s="1433"/>
      <c r="CF289" s="1433"/>
      <c r="CG289" s="1433"/>
      <c r="CH289" s="1433"/>
      <c r="CI289" s="1433"/>
      <c r="CJ289" s="1433"/>
      <c r="CK289" s="1433"/>
      <c r="CL289" s="1433"/>
      <c r="CM289" s="1433"/>
      <c r="CN289" s="1433"/>
      <c r="CO289" s="1414"/>
      <c r="CQ289" s="1433"/>
      <c r="CR289" s="1433"/>
      <c r="CS289" s="1433"/>
      <c r="CT289" s="1433"/>
      <c r="CU289" s="1433"/>
      <c r="CV289" s="1433"/>
      <c r="CW289" s="1433"/>
      <c r="CX289" s="1433"/>
      <c r="CY289" s="1433"/>
      <c r="CZ289" s="1433"/>
      <c r="DA289" s="1433"/>
      <c r="DB289" s="1433"/>
      <c r="DC289" s="1433"/>
      <c r="DD289" s="1433"/>
      <c r="DE289" s="1433"/>
      <c r="DF289" s="1433"/>
      <c r="DG289" s="1433"/>
      <c r="DH289" s="1433"/>
      <c r="DI289" s="1433"/>
      <c r="DJ289" s="1433"/>
      <c r="DK289" s="1433"/>
      <c r="DL289" s="1433"/>
      <c r="DM289" s="1433"/>
      <c r="DN289" s="1433"/>
      <c r="DO289" s="1433"/>
      <c r="DP289" s="1433"/>
      <c r="DQ289" s="1433"/>
      <c r="DR289" s="1433"/>
      <c r="DS289" s="1433"/>
      <c r="DT289" s="1433"/>
      <c r="DU289" s="1433"/>
      <c r="DV289" s="1433"/>
      <c r="DW289" s="1433"/>
      <c r="DX289" s="1433"/>
      <c r="DY289" s="1433"/>
      <c r="DZ289" s="1433"/>
      <c r="EA289" s="1433"/>
      <c r="EB289" s="1433"/>
      <c r="EC289" s="1433"/>
      <c r="ED289" s="1433"/>
      <c r="EE289" s="1433"/>
      <c r="EF289" s="1433"/>
      <c r="EG289" s="1433"/>
      <c r="EH289" s="1433"/>
      <c r="EI289" s="1433"/>
      <c r="EJ289" s="1417"/>
    </row>
    <row r="290" spans="1:160" s="1441" customFormat="1" ht="12" hidden="1" customHeight="1">
      <c r="A290" s="1490"/>
      <c r="B290" s="1342"/>
      <c r="C290" s="1490"/>
      <c r="F290" s="1800" t="s">
        <v>195</v>
      </c>
      <c r="G290" s="1809"/>
      <c r="H290" s="1815"/>
      <c r="I290" s="2221" t="s">
        <v>10</v>
      </c>
      <c r="J290" s="2221"/>
      <c r="K290" s="2221" t="s">
        <v>11</v>
      </c>
      <c r="L290" s="2221"/>
      <c r="M290" s="1798" t="s">
        <v>13</v>
      </c>
      <c r="N290" s="1798" t="s">
        <v>167</v>
      </c>
      <c r="O290" s="1809"/>
      <c r="Q290" s="1433"/>
      <c r="S290" s="1433"/>
      <c r="T290" s="1433"/>
      <c r="U290" s="1433"/>
      <c r="V290" s="1433"/>
      <c r="W290" s="1433"/>
      <c r="X290" s="1433"/>
      <c r="Y290" s="1433"/>
      <c r="Z290" s="1433"/>
      <c r="AA290" s="1433"/>
      <c r="AB290" s="1433"/>
      <c r="AC290" s="1433"/>
      <c r="AD290" s="1433"/>
      <c r="AE290" s="1433"/>
      <c r="AF290" s="1433"/>
      <c r="AG290" s="1433"/>
      <c r="AH290" s="1433"/>
      <c r="AI290" s="1433"/>
      <c r="AJ290" s="1433"/>
      <c r="AK290" s="1433"/>
      <c r="AL290" s="1433"/>
      <c r="AM290" s="1433"/>
      <c r="AN290" s="1433"/>
      <c r="AO290" s="1433"/>
      <c r="AP290" s="1433"/>
      <c r="AQ290" s="1433"/>
      <c r="AR290" s="1433"/>
      <c r="AS290" s="1433"/>
      <c r="AT290" s="1433"/>
      <c r="BJ290" s="1433"/>
      <c r="BK290" s="1433"/>
      <c r="BL290" s="1433"/>
      <c r="BM290" s="1433"/>
      <c r="BN290" s="1433"/>
      <c r="BO290" s="1433"/>
      <c r="BP290" s="1433"/>
      <c r="BQ290" s="1433"/>
      <c r="BR290" s="1433"/>
      <c r="BS290" s="1433"/>
      <c r="BT290" s="1433"/>
      <c r="BU290" s="1433"/>
      <c r="BV290" s="1799"/>
      <c r="BW290" s="1433"/>
      <c r="BX290" s="1417"/>
      <c r="BY290" s="1444"/>
      <c r="BZ290" s="1444"/>
      <c r="CA290" s="1444"/>
      <c r="CB290" s="1444"/>
      <c r="CC290" s="1433"/>
      <c r="CD290" s="1433"/>
      <c r="CE290" s="1433"/>
      <c r="CF290" s="1433"/>
      <c r="CG290" s="1433"/>
      <c r="CH290" s="1433"/>
      <c r="CI290" s="1433"/>
      <c r="CJ290" s="1433"/>
      <c r="CK290" s="1433"/>
      <c r="CL290" s="1433"/>
      <c r="CM290" s="1433"/>
      <c r="CN290" s="1433"/>
      <c r="CO290" s="1414"/>
      <c r="CQ290" s="1433"/>
      <c r="CR290" s="1433"/>
      <c r="CS290" s="1433"/>
      <c r="CT290" s="1433"/>
      <c r="CU290" s="1433"/>
      <c r="CV290" s="1433"/>
      <c r="CW290" s="1433"/>
      <c r="CX290" s="1433"/>
      <c r="CY290" s="1433"/>
      <c r="CZ290" s="1433"/>
      <c r="DA290" s="1433"/>
      <c r="DB290" s="1433"/>
      <c r="DC290" s="1433"/>
      <c r="DD290" s="1433"/>
      <c r="DE290" s="1433"/>
      <c r="DF290" s="1433"/>
      <c r="DG290" s="1433"/>
      <c r="DH290" s="1433"/>
      <c r="DI290" s="1433"/>
      <c r="DJ290" s="1433"/>
      <c r="DK290" s="1433"/>
      <c r="DL290" s="1433"/>
      <c r="DM290" s="1433"/>
      <c r="DN290" s="1433"/>
      <c r="DO290" s="1433"/>
      <c r="DP290" s="1433"/>
      <c r="DQ290" s="1433"/>
      <c r="DR290" s="1433"/>
      <c r="DS290" s="1433"/>
      <c r="DT290" s="1433"/>
      <c r="DU290" s="1433"/>
      <c r="DV290" s="1433"/>
      <c r="DW290" s="1433"/>
      <c r="DX290" s="1433"/>
      <c r="DY290" s="1433"/>
      <c r="DZ290" s="1433"/>
      <c r="EA290" s="1433"/>
      <c r="EB290" s="1433"/>
      <c r="EC290" s="1433"/>
      <c r="ED290" s="1433"/>
      <c r="EE290" s="1433"/>
      <c r="EF290" s="1433"/>
      <c r="EG290" s="1433"/>
      <c r="EH290" s="1433"/>
      <c r="EI290" s="1433"/>
      <c r="EJ290" s="1417"/>
    </row>
    <row r="291" spans="1:160" s="1441" customFormat="1" ht="12" hidden="1">
      <c r="A291" s="1490"/>
      <c r="B291" s="1342"/>
      <c r="C291" s="1490"/>
      <c r="F291" s="1808"/>
      <c r="G291" s="1809"/>
      <c r="H291" s="1815"/>
      <c r="I291" s="1802" t="s">
        <v>41</v>
      </c>
      <c r="J291" s="1803" t="s">
        <v>159</v>
      </c>
      <c r="K291" s="1804" t="s">
        <v>42</v>
      </c>
      <c r="L291" s="1805" t="s">
        <v>169</v>
      </c>
      <c r="M291" s="1802"/>
      <c r="N291" s="1802"/>
      <c r="O291" s="1809"/>
      <c r="Q291" s="1433"/>
      <c r="S291" s="1433"/>
      <c r="T291" s="1433"/>
      <c r="U291" s="1433"/>
      <c r="V291" s="1433"/>
      <c r="W291" s="1433"/>
      <c r="X291" s="1433"/>
      <c r="Y291" s="1433"/>
      <c r="Z291" s="1433"/>
      <c r="AA291" s="1433"/>
      <c r="AB291" s="1433"/>
      <c r="AC291" s="1433"/>
      <c r="AD291" s="1433"/>
      <c r="AE291" s="1433"/>
      <c r="AF291" s="1433"/>
      <c r="AG291" s="1433"/>
      <c r="AH291" s="1433"/>
      <c r="AI291" s="1433"/>
      <c r="AJ291" s="1433"/>
      <c r="AK291" s="1433"/>
      <c r="AL291" s="1433"/>
      <c r="AM291" s="1433"/>
      <c r="AN291" s="1433"/>
      <c r="AO291" s="1433"/>
      <c r="AP291" s="1433"/>
      <c r="AQ291" s="1433"/>
      <c r="AR291" s="1433"/>
      <c r="AS291" s="1433"/>
      <c r="AT291" s="1433"/>
      <c r="BJ291" s="1433"/>
      <c r="BK291" s="1433"/>
      <c r="BL291" s="1433"/>
      <c r="BM291" s="1433"/>
      <c r="BN291" s="1433"/>
      <c r="BO291" s="1433"/>
      <c r="BP291" s="1433"/>
      <c r="BQ291" s="1433"/>
      <c r="BR291" s="1433"/>
      <c r="BS291" s="1433"/>
      <c r="BT291" s="1433"/>
      <c r="BU291" s="1433"/>
      <c r="BV291" s="1451"/>
      <c r="BW291" s="1433"/>
      <c r="BX291" s="1417"/>
      <c r="BY291" s="1806"/>
      <c r="BZ291" s="1806"/>
      <c r="CA291" s="1806"/>
      <c r="CB291" s="1806"/>
      <c r="CC291" s="1433"/>
      <c r="CD291" s="1433"/>
      <c r="CE291" s="1433"/>
      <c r="CF291" s="1433"/>
      <c r="CG291" s="1433"/>
      <c r="CH291" s="1433"/>
      <c r="CI291" s="1433"/>
      <c r="CJ291" s="1433"/>
      <c r="CK291" s="1433"/>
      <c r="CL291" s="1433"/>
      <c r="CM291" s="1433"/>
      <c r="CN291" s="1433"/>
      <c r="CO291" s="1414"/>
      <c r="CQ291" s="1433"/>
      <c r="CR291" s="1433"/>
      <c r="CS291" s="1433"/>
      <c r="CT291" s="1433"/>
      <c r="CU291" s="1451"/>
      <c r="CV291" s="1451"/>
      <c r="CW291" s="1433"/>
      <c r="CX291" s="1433"/>
      <c r="CY291" s="1433"/>
      <c r="CZ291" s="1433"/>
      <c r="DA291" s="1433"/>
      <c r="DB291" s="1433"/>
      <c r="DC291" s="1433"/>
      <c r="DD291" s="1433"/>
      <c r="DE291" s="1433"/>
      <c r="DF291" s="1433"/>
      <c r="DG291" s="1433"/>
      <c r="DH291" s="1433"/>
      <c r="DI291" s="1433"/>
      <c r="DJ291" s="1433"/>
      <c r="DK291" s="1433"/>
      <c r="DL291" s="1433"/>
      <c r="DM291" s="1433"/>
      <c r="DN291" s="1433"/>
      <c r="DO291" s="1433"/>
      <c r="DP291" s="1433"/>
      <c r="DQ291" s="1433"/>
      <c r="DR291" s="1433"/>
      <c r="DS291" s="1433"/>
      <c r="DT291" s="1433"/>
      <c r="DU291" s="1433"/>
      <c r="DV291" s="1433"/>
      <c r="DW291" s="1433"/>
      <c r="DX291" s="1433"/>
      <c r="DY291" s="1433"/>
      <c r="DZ291" s="1433"/>
      <c r="EA291" s="1433"/>
      <c r="EB291" s="1433"/>
      <c r="EC291" s="1433"/>
      <c r="ED291" s="1433"/>
      <c r="EE291" s="1433"/>
      <c r="EF291" s="1433"/>
      <c r="EG291" s="1433"/>
      <c r="EH291" s="1433"/>
      <c r="EI291" s="1433"/>
      <c r="EJ291" s="1417"/>
    </row>
    <row r="292" spans="1:160" s="1433" customFormat="1" ht="12" hidden="1">
      <c r="A292" s="1488"/>
      <c r="B292" s="1762"/>
      <c r="C292" s="1490"/>
      <c r="D292" s="1441"/>
      <c r="E292" s="1451"/>
      <c r="F292" s="1808" t="s">
        <v>170</v>
      </c>
      <c r="G292" s="1809"/>
      <c r="H292" s="1809"/>
      <c r="I292" s="1810">
        <f>CY19</f>
        <v>262202.2911038</v>
      </c>
      <c r="J292" s="1810">
        <f>EI19</f>
        <v>0</v>
      </c>
      <c r="K292" s="1810">
        <f>DH19</f>
        <v>40864.456037999997</v>
      </c>
      <c r="L292" s="1810">
        <f>DQ19</f>
        <v>0</v>
      </c>
      <c r="M292" s="1810">
        <f>DZ19</f>
        <v>0</v>
      </c>
      <c r="N292" s="1810">
        <f>SUM(I292:M292)</f>
        <v>303066.74714180001</v>
      </c>
      <c r="O292" s="1809"/>
      <c r="S292" s="1451"/>
      <c r="AU292" s="1441"/>
      <c r="AV292" s="1451"/>
      <c r="BJ292" s="1451"/>
      <c r="BN292" s="1451"/>
      <c r="BV292" s="1451"/>
      <c r="BY292" s="1811"/>
      <c r="BZ292" s="1811"/>
      <c r="CA292" s="1811"/>
      <c r="CB292" s="1811"/>
      <c r="CO292" s="1417"/>
      <c r="CP292" s="1451"/>
      <c r="CU292" s="1451"/>
      <c r="CV292" s="1451"/>
      <c r="CY292" s="1811"/>
      <c r="CZ292" s="1811"/>
      <c r="DA292" s="1811"/>
      <c r="DC292" s="1811"/>
      <c r="DD292" s="1451"/>
      <c r="DE292" s="1451"/>
      <c r="DF292" s="1451"/>
      <c r="DJ292" s="1451"/>
      <c r="EJ292" s="1417"/>
      <c r="EK292" s="1490"/>
      <c r="EL292" s="1441"/>
      <c r="ES292" s="1441"/>
      <c r="ET292" s="1441"/>
    </row>
    <row r="293" spans="1:160" s="1433" customFormat="1" ht="12" hidden="1">
      <c r="A293" s="1488"/>
      <c r="B293" s="1762"/>
      <c r="C293" s="1490"/>
      <c r="D293" s="1441"/>
      <c r="E293" s="1451"/>
      <c r="F293" s="1808" t="s">
        <v>171</v>
      </c>
      <c r="G293" s="1809"/>
      <c r="H293" s="1809"/>
      <c r="I293" s="1810">
        <f>CY20</f>
        <v>0</v>
      </c>
      <c r="J293" s="1810">
        <f>EI20</f>
        <v>0</v>
      </c>
      <c r="K293" s="1810">
        <f>DH20</f>
        <v>0</v>
      </c>
      <c r="L293" s="1810">
        <f>DQ20</f>
        <v>0</v>
      </c>
      <c r="M293" s="1810">
        <f>DZ20</f>
        <v>0</v>
      </c>
      <c r="N293" s="1810">
        <f t="shared" ref="N293:N315" si="3652">SUM(I293:M293)</f>
        <v>0</v>
      </c>
      <c r="O293" s="1809"/>
      <c r="S293" s="1451"/>
      <c r="AU293" s="1441"/>
      <c r="AV293" s="1451"/>
      <c r="BJ293" s="1451"/>
      <c r="BN293" s="1451"/>
      <c r="BV293" s="1451"/>
      <c r="BY293" s="1811"/>
      <c r="BZ293" s="1811"/>
      <c r="CA293" s="1811"/>
      <c r="CB293" s="1811"/>
      <c r="CO293" s="1417"/>
      <c r="CP293" s="1451"/>
      <c r="CU293" s="1451"/>
      <c r="CV293" s="1451"/>
      <c r="CY293" s="1811"/>
      <c r="CZ293" s="1811"/>
      <c r="DA293" s="1811"/>
      <c r="DC293" s="1811"/>
      <c r="DD293" s="1451"/>
      <c r="DE293" s="1451"/>
      <c r="DF293" s="1451"/>
      <c r="DI293" s="1451"/>
      <c r="DJ293" s="1451"/>
      <c r="DK293" s="1451"/>
      <c r="DL293" s="1451"/>
      <c r="DM293" s="1451"/>
      <c r="DN293" s="1451"/>
      <c r="DO293" s="1451"/>
      <c r="DP293" s="1451"/>
      <c r="DQ293" s="1451"/>
      <c r="DR293" s="1451"/>
      <c r="DS293" s="1451"/>
      <c r="DT293" s="1451"/>
      <c r="DU293" s="1451"/>
      <c r="DV293" s="1451"/>
      <c r="DW293" s="1451"/>
      <c r="DX293" s="1451"/>
      <c r="DY293" s="1451"/>
      <c r="DZ293" s="1451"/>
      <c r="EA293" s="1451"/>
      <c r="EB293" s="1451"/>
      <c r="EC293" s="1451"/>
      <c r="ED293" s="1451"/>
      <c r="EE293" s="1451"/>
      <c r="EF293" s="1451"/>
      <c r="EG293" s="1451"/>
      <c r="EH293" s="1451"/>
      <c r="EI293" s="1451"/>
      <c r="EJ293" s="1451"/>
      <c r="EK293" s="1403"/>
      <c r="EL293" s="1414"/>
      <c r="EM293" s="1414"/>
      <c r="EN293" s="1414"/>
      <c r="EO293" s="1414"/>
      <c r="EP293" s="1414"/>
      <c r="EQ293" s="1414"/>
      <c r="ER293" s="1414"/>
      <c r="ES293" s="1414"/>
      <c r="ET293" s="1414"/>
      <c r="EU293" s="1417"/>
      <c r="EV293" s="1417"/>
      <c r="EW293" s="1417"/>
      <c r="EX293" s="1417"/>
      <c r="EY293" s="1417"/>
      <c r="EZ293" s="1417"/>
      <c r="FA293" s="1417"/>
      <c r="FB293" s="1417"/>
      <c r="FC293" s="1417"/>
      <c r="FD293" s="1417"/>
    </row>
    <row r="294" spans="1:160" s="1433" customFormat="1" ht="12" hidden="1">
      <c r="A294" s="1488"/>
      <c r="B294" s="1788"/>
      <c r="C294" s="1488"/>
      <c r="E294" s="1451"/>
      <c r="F294" s="1808" t="s">
        <v>172</v>
      </c>
      <c r="G294" s="1809"/>
      <c r="H294" s="1809"/>
      <c r="I294" s="1810">
        <f>CY21</f>
        <v>0</v>
      </c>
      <c r="J294" s="1810">
        <f>EI21</f>
        <v>0</v>
      </c>
      <c r="K294" s="1810">
        <f>DH21</f>
        <v>0</v>
      </c>
      <c r="L294" s="1810">
        <f>DQ21</f>
        <v>0</v>
      </c>
      <c r="M294" s="1810">
        <f>DZ21</f>
        <v>0</v>
      </c>
      <c r="N294" s="1810">
        <f t="shared" si="3652"/>
        <v>0</v>
      </c>
      <c r="O294" s="1809"/>
      <c r="S294" s="1451"/>
      <c r="AU294" s="1441"/>
      <c r="AV294" s="1451"/>
      <c r="BJ294" s="1451"/>
      <c r="BN294" s="1451"/>
      <c r="BV294" s="1451"/>
      <c r="BY294" s="1811"/>
      <c r="BZ294" s="1811"/>
      <c r="CA294" s="1811"/>
      <c r="CB294" s="1811"/>
      <c r="CO294" s="1417"/>
      <c r="CP294" s="1451"/>
      <c r="CU294" s="1451"/>
      <c r="CV294" s="1451"/>
      <c r="CY294" s="1811"/>
      <c r="CZ294" s="1811"/>
      <c r="DA294" s="1811"/>
      <c r="DC294" s="1811"/>
      <c r="DD294" s="1451"/>
      <c r="DE294" s="1451"/>
      <c r="DF294" s="1451"/>
      <c r="DI294" s="1451"/>
      <c r="DJ294" s="1451"/>
      <c r="DK294" s="1451"/>
      <c r="DL294" s="1451"/>
      <c r="DM294" s="1451"/>
      <c r="DN294" s="1451"/>
      <c r="DO294" s="1451"/>
      <c r="DP294" s="1451"/>
      <c r="DQ294" s="1451"/>
      <c r="DR294" s="1451"/>
      <c r="DS294" s="1451"/>
      <c r="DT294" s="1451"/>
      <c r="DU294" s="1451"/>
      <c r="DV294" s="1451"/>
      <c r="DW294" s="1451"/>
      <c r="DX294" s="1451"/>
      <c r="DY294" s="1451"/>
      <c r="DZ294" s="1451"/>
      <c r="EA294" s="1451"/>
      <c r="EB294" s="1451"/>
      <c r="EC294" s="1451"/>
      <c r="ED294" s="1451"/>
      <c r="EE294" s="1451"/>
      <c r="EF294" s="1451"/>
      <c r="EG294" s="1451"/>
      <c r="EH294" s="1451"/>
      <c r="EI294" s="1451"/>
      <c r="EJ294" s="1451"/>
      <c r="EK294" s="1403"/>
      <c r="EL294" s="1414"/>
      <c r="EM294" s="1414"/>
      <c r="EN294" s="1414"/>
      <c r="EO294" s="1414"/>
      <c r="EP294" s="1414"/>
      <c r="EQ294" s="1414"/>
      <c r="ER294" s="1414"/>
      <c r="ES294" s="1414"/>
      <c r="ET294" s="1414"/>
      <c r="EU294" s="1417"/>
      <c r="EV294" s="1417"/>
      <c r="EW294" s="1417"/>
      <c r="EX294" s="1417"/>
      <c r="EY294" s="1417"/>
      <c r="EZ294" s="1417"/>
      <c r="FA294" s="1417"/>
      <c r="FB294" s="1417"/>
      <c r="FC294" s="1417"/>
      <c r="FD294" s="1417"/>
    </row>
    <row r="295" spans="1:160" s="1433" customFormat="1" ht="12" hidden="1">
      <c r="A295" s="1488"/>
      <c r="B295" s="1788"/>
      <c r="C295" s="1488"/>
      <c r="E295" s="1451"/>
      <c r="F295" s="1808" t="s">
        <v>173</v>
      </c>
      <c r="G295" s="1809"/>
      <c r="H295" s="1809"/>
      <c r="I295" s="1810">
        <f>CY22</f>
        <v>5925.8587500000003</v>
      </c>
      <c r="J295" s="1810">
        <f>EI22</f>
        <v>0</v>
      </c>
      <c r="K295" s="1810">
        <f>DH22</f>
        <v>0</v>
      </c>
      <c r="L295" s="1810">
        <f>DQ22</f>
        <v>0</v>
      </c>
      <c r="M295" s="1810">
        <f>DZ22</f>
        <v>0</v>
      </c>
      <c r="N295" s="1810">
        <f t="shared" si="3652"/>
        <v>5925.8587500000003</v>
      </c>
      <c r="O295" s="1809"/>
      <c r="S295" s="1451"/>
      <c r="AU295" s="1441"/>
      <c r="AV295" s="1451"/>
      <c r="BJ295" s="1451"/>
      <c r="BN295" s="1451"/>
      <c r="BV295" s="1451"/>
      <c r="BY295" s="1811"/>
      <c r="BZ295" s="1811"/>
      <c r="CA295" s="1811"/>
      <c r="CB295" s="1811"/>
      <c r="CO295" s="1417"/>
      <c r="CP295" s="1451"/>
      <c r="CU295" s="1451"/>
      <c r="CV295" s="1451"/>
      <c r="CY295" s="1811"/>
      <c r="CZ295" s="1811"/>
      <c r="DA295" s="1811"/>
      <c r="DC295" s="1811"/>
      <c r="DD295" s="1451"/>
      <c r="DE295" s="1451"/>
      <c r="DF295" s="1451"/>
      <c r="DK295" s="1417"/>
      <c r="DL295" s="1417"/>
      <c r="DM295" s="1417"/>
      <c r="DN295" s="1417"/>
      <c r="DO295" s="1417"/>
      <c r="DP295" s="1417"/>
      <c r="DQ295" s="1417"/>
      <c r="DR295" s="1417"/>
      <c r="DS295" s="1417"/>
      <c r="DT295" s="1417"/>
      <c r="DU295" s="1417"/>
      <c r="DV295" s="1417"/>
      <c r="DW295" s="1417"/>
      <c r="DX295" s="1417"/>
      <c r="DY295" s="1417"/>
      <c r="DZ295" s="1417"/>
      <c r="EA295" s="1417"/>
      <c r="EB295" s="1417"/>
      <c r="EC295" s="1417"/>
      <c r="ED295" s="1417"/>
      <c r="EE295" s="1417"/>
      <c r="EF295" s="1417"/>
      <c r="EG295" s="1417"/>
      <c r="EH295" s="1417"/>
      <c r="EI295" s="1417"/>
      <c r="EJ295" s="1417"/>
      <c r="EK295" s="1403"/>
      <c r="EL295" s="1414"/>
      <c r="EM295" s="1414"/>
      <c r="EN295" s="1414"/>
      <c r="EO295" s="1414"/>
      <c r="EP295" s="1414"/>
      <c r="EQ295" s="1414"/>
      <c r="ER295" s="1414"/>
      <c r="ES295" s="1414"/>
      <c r="ET295" s="1414"/>
      <c r="EU295" s="1417"/>
      <c r="EV295" s="1417"/>
      <c r="EW295" s="1417"/>
      <c r="EX295" s="1417"/>
      <c r="EY295" s="1417"/>
      <c r="EZ295" s="1417"/>
      <c r="FA295" s="1417"/>
      <c r="FB295" s="1417"/>
      <c r="FC295" s="1417"/>
      <c r="FD295" s="1417"/>
    </row>
    <row r="296" spans="1:160" s="1433" customFormat="1" ht="12" hidden="1">
      <c r="A296" s="1488"/>
      <c r="B296" s="1788"/>
      <c r="C296" s="1488"/>
      <c r="E296" s="1451"/>
      <c r="F296" s="1808" t="s">
        <v>174</v>
      </c>
      <c r="G296" s="1809"/>
      <c r="H296" s="1809"/>
      <c r="I296" s="1810" t="e">
        <f>#REF!</f>
        <v>#REF!</v>
      </c>
      <c r="J296" s="1810" t="e">
        <f>#REF!</f>
        <v>#REF!</v>
      </c>
      <c r="K296" s="1810" t="e">
        <f>#REF!</f>
        <v>#REF!</v>
      </c>
      <c r="L296" s="1810" t="e">
        <f>#REF!</f>
        <v>#REF!</v>
      </c>
      <c r="M296" s="1810" t="e">
        <f>#REF!</f>
        <v>#REF!</v>
      </c>
      <c r="N296" s="1810" t="e">
        <f t="shared" si="3652"/>
        <v>#REF!</v>
      </c>
      <c r="O296" s="1809"/>
      <c r="S296" s="1451"/>
      <c r="AU296" s="1441"/>
      <c r="AV296" s="1451"/>
      <c r="BJ296" s="1451"/>
      <c r="BN296" s="1451"/>
      <c r="BV296" s="1451"/>
      <c r="BY296" s="1811"/>
      <c r="BZ296" s="1811"/>
      <c r="CA296" s="1811"/>
      <c r="CB296" s="1811"/>
      <c r="CO296" s="1417"/>
      <c r="CP296" s="1451"/>
      <c r="CU296" s="1451"/>
      <c r="CV296" s="1451"/>
      <c r="CY296" s="1811"/>
      <c r="CZ296" s="1811"/>
      <c r="DA296" s="1811"/>
      <c r="DC296" s="1811"/>
      <c r="DD296" s="1451"/>
      <c r="DE296" s="1451"/>
      <c r="DF296" s="1451"/>
      <c r="DK296" s="1417"/>
      <c r="DL296" s="1417"/>
      <c r="DM296" s="1417"/>
      <c r="DN296" s="1417"/>
      <c r="DO296" s="1417"/>
      <c r="DP296" s="1417"/>
      <c r="DQ296" s="1417"/>
      <c r="DR296" s="1417"/>
      <c r="DS296" s="1417"/>
      <c r="DT296" s="1417"/>
      <c r="DU296" s="1417"/>
      <c r="DV296" s="1417"/>
      <c r="DW296" s="1417"/>
      <c r="DX296" s="1417"/>
      <c r="DY296" s="1417"/>
      <c r="DZ296" s="1417"/>
      <c r="EA296" s="1417"/>
      <c r="EB296" s="1417"/>
      <c r="EC296" s="1417"/>
      <c r="ED296" s="1417"/>
      <c r="EE296" s="1417"/>
      <c r="EF296" s="1417"/>
      <c r="EG296" s="1417"/>
      <c r="EH296" s="1417"/>
      <c r="EI296" s="1417"/>
      <c r="EJ296" s="1417"/>
      <c r="EK296" s="1403"/>
      <c r="EL296" s="1414"/>
      <c r="EM296" s="1414"/>
      <c r="EN296" s="1414"/>
      <c r="EO296" s="1414"/>
      <c r="EP296" s="1414"/>
      <c r="EQ296" s="1414"/>
      <c r="ER296" s="1414"/>
      <c r="ES296" s="1414"/>
      <c r="ET296" s="1414"/>
      <c r="EU296" s="1417"/>
      <c r="EV296" s="1417"/>
      <c r="EW296" s="1417"/>
      <c r="EX296" s="1417"/>
      <c r="EY296" s="1417"/>
      <c r="EZ296" s="1417"/>
      <c r="FA296" s="1417"/>
      <c r="FB296" s="1417"/>
      <c r="FC296" s="1417"/>
      <c r="FD296" s="1417"/>
    </row>
    <row r="297" spans="1:160" s="1433" customFormat="1" ht="12" hidden="1">
      <c r="A297" s="1488"/>
      <c r="B297" s="1762"/>
      <c r="C297" s="1490"/>
      <c r="D297" s="1441"/>
      <c r="E297" s="1451"/>
      <c r="F297" s="1808" t="s">
        <v>175</v>
      </c>
      <c r="G297" s="1809"/>
      <c r="H297" s="1809"/>
      <c r="I297" s="1810">
        <f t="shared" ref="I297:I304" si="3653">CY24</f>
        <v>3817.5603460000002</v>
      </c>
      <c r="J297" s="1810">
        <f t="shared" ref="J297:J304" si="3654">EI24</f>
        <v>0</v>
      </c>
      <c r="K297" s="1810">
        <f t="shared" ref="K297:K304" si="3655">DH24</f>
        <v>0</v>
      </c>
      <c r="L297" s="1810">
        <f t="shared" ref="L297:L304" si="3656">DQ24</f>
        <v>0</v>
      </c>
      <c r="M297" s="1810">
        <f t="shared" ref="M297:M304" si="3657">DZ24</f>
        <v>0</v>
      </c>
      <c r="N297" s="1810">
        <f t="shared" si="3652"/>
        <v>3817.5603460000002</v>
      </c>
      <c r="O297" s="1809"/>
      <c r="AU297" s="1441"/>
      <c r="AV297" s="1451"/>
      <c r="BN297" s="1451"/>
      <c r="BV297" s="1451"/>
      <c r="BY297" s="1811"/>
      <c r="BZ297" s="1811"/>
      <c r="CA297" s="1811"/>
      <c r="CB297" s="1811"/>
      <c r="CO297" s="1417"/>
      <c r="CP297" s="1451"/>
      <c r="CU297" s="1451"/>
      <c r="CV297" s="1451"/>
      <c r="CX297" s="1811"/>
      <c r="CY297" s="1811"/>
      <c r="CZ297" s="1811"/>
      <c r="DA297" s="1811"/>
      <c r="DB297" s="1811"/>
      <c r="DC297" s="1811"/>
      <c r="EJ297" s="1417"/>
      <c r="EK297" s="1490"/>
      <c r="EL297" s="1441"/>
      <c r="EM297" s="1441"/>
      <c r="EN297" s="1441"/>
      <c r="EO297" s="1441"/>
      <c r="EP297" s="1441"/>
      <c r="EQ297" s="1441"/>
      <c r="ER297" s="1441"/>
      <c r="ES297" s="1441"/>
      <c r="ET297" s="1441"/>
    </row>
    <row r="298" spans="1:160" s="1433" customFormat="1" ht="12" hidden="1">
      <c r="A298" s="1488"/>
      <c r="B298" s="1762"/>
      <c r="C298" s="1490"/>
      <c r="D298" s="1441"/>
      <c r="F298" s="1808" t="s">
        <v>176</v>
      </c>
      <c r="G298" s="1809"/>
      <c r="H298" s="1809"/>
      <c r="I298" s="1810">
        <f t="shared" si="3653"/>
        <v>0</v>
      </c>
      <c r="J298" s="1810">
        <f t="shared" si="3654"/>
        <v>0</v>
      </c>
      <c r="K298" s="1810">
        <f t="shared" si="3655"/>
        <v>3817.5603460000002</v>
      </c>
      <c r="L298" s="1810">
        <f t="shared" si="3656"/>
        <v>0</v>
      </c>
      <c r="M298" s="1810">
        <f t="shared" si="3657"/>
        <v>0</v>
      </c>
      <c r="N298" s="1810">
        <f t="shared" si="3652"/>
        <v>3817.5603460000002</v>
      </c>
      <c r="O298" s="1809"/>
      <c r="AU298" s="1441"/>
      <c r="AV298" s="1451"/>
      <c r="BV298" s="1451"/>
      <c r="BY298" s="1811"/>
      <c r="BZ298" s="1811"/>
      <c r="CA298" s="1811"/>
      <c r="CB298" s="1811"/>
      <c r="CO298" s="1417"/>
      <c r="CP298" s="1451"/>
      <c r="CU298" s="1451"/>
      <c r="CV298" s="1451"/>
      <c r="CX298" s="1811"/>
      <c r="CY298" s="1811"/>
      <c r="CZ298" s="1811"/>
      <c r="DA298" s="1811"/>
      <c r="DB298" s="1811"/>
      <c r="DC298" s="1811"/>
      <c r="DI298" s="1417"/>
      <c r="DJ298" s="1417"/>
      <c r="EJ298" s="1417"/>
      <c r="EK298" s="1490"/>
      <c r="EL298" s="1441"/>
      <c r="EM298" s="1441"/>
      <c r="EN298" s="1441"/>
      <c r="EO298" s="1441"/>
      <c r="EP298" s="1441"/>
      <c r="EQ298" s="1441"/>
      <c r="ER298" s="1441"/>
      <c r="ES298" s="1441"/>
      <c r="ET298" s="1441"/>
    </row>
    <row r="299" spans="1:160" s="1433" customFormat="1" ht="12" hidden="1">
      <c r="A299" s="1488"/>
      <c r="B299" s="1788"/>
      <c r="C299" s="1488"/>
      <c r="E299" s="1451"/>
      <c r="F299" s="1808" t="s">
        <v>177</v>
      </c>
      <c r="G299" s="1809"/>
      <c r="H299" s="1809"/>
      <c r="I299" s="1810">
        <f t="shared" si="3653"/>
        <v>3937.5603460000002</v>
      </c>
      <c r="J299" s="1810">
        <f t="shared" si="3654"/>
        <v>0</v>
      </c>
      <c r="K299" s="1810">
        <f t="shared" si="3655"/>
        <v>0</v>
      </c>
      <c r="L299" s="1810">
        <f t="shared" si="3656"/>
        <v>0</v>
      </c>
      <c r="M299" s="1810">
        <f t="shared" si="3657"/>
        <v>0</v>
      </c>
      <c r="N299" s="1810">
        <f t="shared" si="3652"/>
        <v>3937.5603460000002</v>
      </c>
      <c r="O299" s="1809"/>
      <c r="S299" s="1451"/>
      <c r="AU299" s="1441"/>
      <c r="AV299" s="1451"/>
      <c r="BJ299" s="1451"/>
      <c r="BN299" s="1451"/>
      <c r="BV299" s="1451"/>
      <c r="BY299" s="1811"/>
      <c r="BZ299" s="1811"/>
      <c r="CA299" s="1811"/>
      <c r="CB299" s="1811"/>
      <c r="CO299" s="1417"/>
      <c r="CP299" s="1451"/>
      <c r="CU299" s="1451"/>
      <c r="CV299" s="1451"/>
      <c r="CX299" s="1811"/>
      <c r="CY299" s="1811"/>
      <c r="CZ299" s="1811"/>
      <c r="DA299" s="1811"/>
      <c r="DB299" s="1811"/>
      <c r="DC299" s="1811"/>
      <c r="DD299" s="1451"/>
      <c r="DE299" s="1451"/>
      <c r="DF299" s="1451"/>
      <c r="DI299" s="1451"/>
      <c r="DJ299" s="1451"/>
      <c r="DK299" s="1451"/>
      <c r="DL299" s="1451"/>
      <c r="DM299" s="1451"/>
      <c r="DN299" s="1451"/>
      <c r="DO299" s="1451"/>
      <c r="DP299" s="1451"/>
      <c r="DQ299" s="1451"/>
      <c r="DR299" s="1451"/>
      <c r="DS299" s="1451"/>
      <c r="DT299" s="1451"/>
      <c r="DU299" s="1451"/>
      <c r="DV299" s="1451"/>
      <c r="DW299" s="1451"/>
      <c r="DX299" s="1451"/>
      <c r="DY299" s="1451"/>
      <c r="DZ299" s="1451"/>
      <c r="EA299" s="1451"/>
      <c r="EB299" s="1451"/>
      <c r="EC299" s="1451"/>
      <c r="ED299" s="1451"/>
      <c r="EE299" s="1451"/>
      <c r="EF299" s="1451"/>
      <c r="EG299" s="1451"/>
      <c r="EH299" s="1451"/>
      <c r="EI299" s="1451"/>
      <c r="EJ299" s="1451"/>
      <c r="EK299" s="1403"/>
      <c r="EL299" s="1414"/>
      <c r="EM299" s="1414"/>
      <c r="EN299" s="1414"/>
      <c r="EO299" s="1414"/>
      <c r="EP299" s="1414"/>
      <c r="EQ299" s="1414"/>
      <c r="ER299" s="1414"/>
      <c r="ES299" s="1414"/>
      <c r="ET299" s="1414"/>
      <c r="EU299" s="1417"/>
      <c r="EV299" s="1417"/>
      <c r="EW299" s="1417"/>
      <c r="EX299" s="1417"/>
      <c r="EY299" s="1417"/>
      <c r="EZ299" s="1417"/>
      <c r="FA299" s="1417"/>
      <c r="FB299" s="1417"/>
      <c r="FC299" s="1417"/>
      <c r="FD299" s="1417"/>
    </row>
    <row r="300" spans="1:160" s="1433" customFormat="1" ht="12" hidden="1">
      <c r="A300" s="1488"/>
      <c r="B300" s="1788"/>
      <c r="C300" s="1488"/>
      <c r="F300" s="1808" t="s">
        <v>178</v>
      </c>
      <c r="G300" s="1809"/>
      <c r="H300" s="1809"/>
      <c r="I300" s="1810">
        <f t="shared" si="3653"/>
        <v>3937.5603460000002</v>
      </c>
      <c r="J300" s="1810">
        <f t="shared" si="3654"/>
        <v>0</v>
      </c>
      <c r="K300" s="1810">
        <f t="shared" si="3655"/>
        <v>0</v>
      </c>
      <c r="L300" s="1810">
        <f t="shared" si="3656"/>
        <v>0</v>
      </c>
      <c r="M300" s="1810">
        <f t="shared" si="3657"/>
        <v>0</v>
      </c>
      <c r="N300" s="1810">
        <f t="shared" si="3652"/>
        <v>3937.5603460000002</v>
      </c>
      <c r="O300" s="1809"/>
      <c r="S300" s="1513"/>
      <c r="AU300" s="1441"/>
      <c r="AV300" s="1451"/>
      <c r="BJ300" s="1513"/>
      <c r="BK300" s="1513"/>
      <c r="BL300" s="1513"/>
      <c r="BM300" s="1513"/>
      <c r="BN300" s="1513"/>
      <c r="BO300" s="1513"/>
      <c r="BP300" s="1513"/>
      <c r="BQ300" s="1513"/>
      <c r="BR300" s="1513"/>
      <c r="BS300" s="1513"/>
      <c r="BT300" s="1513"/>
      <c r="BU300" s="1513"/>
      <c r="BV300" s="1451"/>
      <c r="BY300" s="1811"/>
      <c r="BZ300" s="1811"/>
      <c r="CA300" s="1811"/>
      <c r="CB300" s="1811"/>
      <c r="CO300" s="1417"/>
      <c r="CP300" s="1451"/>
      <c r="CU300" s="1451"/>
      <c r="CV300" s="1451"/>
      <c r="CX300" s="1811"/>
      <c r="CY300" s="1811"/>
      <c r="CZ300" s="1811"/>
      <c r="DA300" s="1811"/>
      <c r="DB300" s="1811"/>
      <c r="DC300" s="1813"/>
      <c r="DD300" s="1451"/>
      <c r="DE300" s="1451"/>
      <c r="DF300" s="1451"/>
      <c r="DK300" s="1513"/>
      <c r="DL300" s="1513"/>
      <c r="DM300" s="1513"/>
      <c r="DN300" s="1513"/>
      <c r="DO300" s="1513"/>
      <c r="DP300" s="1513"/>
      <c r="DQ300" s="1513"/>
      <c r="DR300" s="1513"/>
      <c r="DS300" s="1513"/>
      <c r="DT300" s="1513"/>
      <c r="DU300" s="1513"/>
      <c r="DV300" s="1513"/>
      <c r="DW300" s="1513"/>
      <c r="DX300" s="1513"/>
      <c r="DY300" s="1513"/>
      <c r="DZ300" s="1513"/>
      <c r="EA300" s="1513"/>
      <c r="EB300" s="1513"/>
      <c r="EC300" s="1513"/>
      <c r="ED300" s="1513"/>
      <c r="EE300" s="1513"/>
      <c r="EF300" s="1513"/>
      <c r="EG300" s="1513"/>
      <c r="EH300" s="1513"/>
      <c r="EI300" s="1513"/>
      <c r="EJ300" s="1513"/>
      <c r="EK300" s="1403"/>
      <c r="EL300" s="1474"/>
      <c r="EM300" s="1474"/>
      <c r="EN300" s="1474"/>
      <c r="EO300" s="1474"/>
      <c r="EP300" s="1474"/>
      <c r="EQ300" s="1474"/>
      <c r="ER300" s="1474"/>
      <c r="ES300" s="1414"/>
      <c r="ET300" s="1414"/>
      <c r="EU300" s="1417"/>
      <c r="EV300" s="1417"/>
      <c r="EW300" s="1417"/>
      <c r="EX300" s="1417"/>
      <c r="EY300" s="1417"/>
      <c r="EZ300" s="1417"/>
      <c r="FA300" s="1417"/>
      <c r="FB300" s="1417"/>
      <c r="FC300" s="1417"/>
      <c r="FD300" s="1417"/>
    </row>
    <row r="301" spans="1:160" s="1433" customFormat="1" ht="12" hidden="1">
      <c r="A301" s="1488"/>
      <c r="B301" s="1788"/>
      <c r="C301" s="1488"/>
      <c r="F301" s="1808" t="s">
        <v>179</v>
      </c>
      <c r="G301" s="1809"/>
      <c r="H301" s="1809"/>
      <c r="I301" s="1810">
        <f t="shared" si="3653"/>
        <v>21436.100134</v>
      </c>
      <c r="J301" s="1810">
        <f t="shared" si="3654"/>
        <v>0</v>
      </c>
      <c r="K301" s="1810">
        <f t="shared" si="3655"/>
        <v>3817.5603460000002</v>
      </c>
      <c r="L301" s="1810">
        <f t="shared" si="3656"/>
        <v>0</v>
      </c>
      <c r="M301" s="1810">
        <f t="shared" si="3657"/>
        <v>0</v>
      </c>
      <c r="N301" s="1810">
        <f t="shared" si="3652"/>
        <v>25253.660479999999</v>
      </c>
      <c r="O301" s="1809"/>
      <c r="S301" s="1513"/>
      <c r="AU301" s="1441"/>
      <c r="AV301" s="1451"/>
      <c r="BJ301" s="1513"/>
      <c r="BK301" s="1513"/>
      <c r="BL301" s="1513"/>
      <c r="BM301" s="1513"/>
      <c r="BN301" s="1513"/>
      <c r="BO301" s="1513"/>
      <c r="BP301" s="1513"/>
      <c r="BQ301" s="1513"/>
      <c r="BR301" s="1513"/>
      <c r="BS301" s="1513"/>
      <c r="BT301" s="1513"/>
      <c r="BU301" s="1513"/>
      <c r="BV301" s="1451"/>
      <c r="BY301" s="1811"/>
      <c r="BZ301" s="1811"/>
      <c r="CA301" s="1811"/>
      <c r="CB301" s="1811"/>
      <c r="CO301" s="1417"/>
      <c r="CP301" s="1451"/>
      <c r="CU301" s="1451"/>
      <c r="CV301" s="1451"/>
      <c r="CX301" s="1811"/>
      <c r="CY301" s="1811"/>
      <c r="CZ301" s="1811"/>
      <c r="DA301" s="1811"/>
      <c r="DB301" s="1811"/>
      <c r="DC301" s="1813"/>
      <c r="DD301" s="1451"/>
      <c r="DE301" s="1451"/>
      <c r="DF301" s="1451"/>
      <c r="DK301" s="1513"/>
      <c r="DL301" s="1513"/>
      <c r="DM301" s="1513"/>
      <c r="DN301" s="1513"/>
      <c r="DO301" s="1513"/>
      <c r="DP301" s="1513"/>
      <c r="DQ301" s="1513"/>
      <c r="DR301" s="1513"/>
      <c r="DS301" s="1513"/>
      <c r="DT301" s="1513"/>
      <c r="DU301" s="1513"/>
      <c r="DV301" s="1513"/>
      <c r="DW301" s="1513"/>
      <c r="DX301" s="1513"/>
      <c r="DY301" s="1513"/>
      <c r="DZ301" s="1513"/>
      <c r="EA301" s="1513"/>
      <c r="EB301" s="1513"/>
      <c r="EC301" s="1513"/>
      <c r="ED301" s="1513"/>
      <c r="EE301" s="1513"/>
      <c r="EF301" s="1513"/>
      <c r="EG301" s="1513"/>
      <c r="EH301" s="1513"/>
      <c r="EI301" s="1513"/>
      <c r="EJ301" s="1513"/>
      <c r="EK301" s="1403"/>
      <c r="EL301" s="1474"/>
      <c r="EM301" s="1474"/>
      <c r="EN301" s="1474"/>
      <c r="EO301" s="1474"/>
      <c r="EP301" s="1474"/>
      <c r="EQ301" s="1474"/>
      <c r="ER301" s="1474"/>
      <c r="ES301" s="1414"/>
      <c r="ET301" s="1414"/>
      <c r="EU301" s="1417"/>
      <c r="EV301" s="1417"/>
      <c r="EW301" s="1417"/>
      <c r="EX301" s="1417"/>
      <c r="EY301" s="1417"/>
      <c r="EZ301" s="1417"/>
      <c r="FA301" s="1417"/>
      <c r="FB301" s="1417"/>
      <c r="FC301" s="1417"/>
      <c r="FD301" s="1417"/>
    </row>
    <row r="302" spans="1:160" s="1433" customFormat="1" ht="12" hidden="1">
      <c r="A302" s="1488"/>
      <c r="B302" s="1762"/>
      <c r="C302" s="1490"/>
      <c r="D302" s="1441"/>
      <c r="E302" s="1451"/>
      <c r="F302" s="1808" t="s">
        <v>180</v>
      </c>
      <c r="G302" s="1809"/>
      <c r="H302" s="1809"/>
      <c r="I302" s="1810">
        <f t="shared" si="3653"/>
        <v>0</v>
      </c>
      <c r="J302" s="1810">
        <f t="shared" si="3654"/>
        <v>0</v>
      </c>
      <c r="K302" s="1810">
        <f t="shared" si="3655"/>
        <v>0</v>
      </c>
      <c r="L302" s="1810">
        <f t="shared" si="3656"/>
        <v>0</v>
      </c>
      <c r="M302" s="1810">
        <f t="shared" si="3657"/>
        <v>0</v>
      </c>
      <c r="N302" s="1810">
        <f t="shared" si="3652"/>
        <v>0</v>
      </c>
      <c r="O302" s="1809"/>
      <c r="S302" s="1417"/>
      <c r="AU302" s="1441"/>
      <c r="AV302" s="1451"/>
      <c r="BJ302" s="1417"/>
      <c r="BK302" s="1417"/>
      <c r="BL302" s="1417"/>
      <c r="BM302" s="1417"/>
      <c r="BN302" s="1451"/>
      <c r="BO302" s="1417"/>
      <c r="BP302" s="1417"/>
      <c r="BQ302" s="1417"/>
      <c r="BR302" s="1417"/>
      <c r="BS302" s="1417"/>
      <c r="BT302" s="1417"/>
      <c r="BU302" s="1417"/>
      <c r="BV302" s="1451"/>
      <c r="BY302" s="1811"/>
      <c r="BZ302" s="1811"/>
      <c r="CA302" s="1811"/>
      <c r="CB302" s="1811"/>
      <c r="CO302" s="1417"/>
      <c r="CP302" s="1451"/>
      <c r="CU302" s="1451"/>
      <c r="CV302" s="1451"/>
      <c r="CX302" s="1811"/>
      <c r="CY302" s="1811"/>
      <c r="CZ302" s="1811"/>
      <c r="DA302" s="1811"/>
      <c r="DB302" s="1811"/>
      <c r="DC302" s="1806"/>
      <c r="DD302" s="1451"/>
      <c r="DE302" s="1451"/>
      <c r="DF302" s="1451"/>
      <c r="EJ302" s="1417"/>
      <c r="EK302" s="1490"/>
      <c r="EL302" s="1441"/>
      <c r="EM302" s="1441"/>
      <c r="EN302" s="1441"/>
      <c r="EO302" s="1441"/>
      <c r="EP302" s="1441"/>
      <c r="EQ302" s="1441"/>
      <c r="ER302" s="1441"/>
      <c r="ES302" s="1441"/>
      <c r="ET302" s="1441"/>
    </row>
    <row r="303" spans="1:160" s="1433" customFormat="1" ht="12" hidden="1">
      <c r="A303" s="1488"/>
      <c r="B303" s="1762"/>
      <c r="C303" s="1490"/>
      <c r="D303" s="1441"/>
      <c r="E303" s="1451"/>
      <c r="F303" s="1808" t="s">
        <v>117</v>
      </c>
      <c r="G303" s="1809"/>
      <c r="H303" s="1809"/>
      <c r="I303" s="1810">
        <f t="shared" si="3653"/>
        <v>0</v>
      </c>
      <c r="J303" s="1810">
        <f t="shared" si="3654"/>
        <v>0</v>
      </c>
      <c r="K303" s="1810">
        <f t="shared" si="3655"/>
        <v>0</v>
      </c>
      <c r="L303" s="1810">
        <f t="shared" si="3656"/>
        <v>0</v>
      </c>
      <c r="M303" s="1810">
        <f t="shared" si="3657"/>
        <v>0</v>
      </c>
      <c r="N303" s="1810">
        <f t="shared" si="3652"/>
        <v>0</v>
      </c>
      <c r="O303" s="1809"/>
      <c r="S303" s="1451"/>
      <c r="AU303" s="1441"/>
      <c r="AV303" s="1451"/>
      <c r="BJ303" s="1451"/>
      <c r="BK303" s="1417"/>
      <c r="BL303" s="1417"/>
      <c r="BM303" s="1417"/>
      <c r="BN303" s="1451"/>
      <c r="BO303" s="1417"/>
      <c r="BP303" s="1417"/>
      <c r="BQ303" s="1417"/>
      <c r="BR303" s="1417"/>
      <c r="BS303" s="1417"/>
      <c r="BT303" s="1417"/>
      <c r="BU303" s="1417"/>
      <c r="BV303" s="1451"/>
      <c r="BY303" s="1811"/>
      <c r="BZ303" s="1811"/>
      <c r="CA303" s="1811"/>
      <c r="CB303" s="1811"/>
      <c r="CO303" s="1417"/>
      <c r="CP303" s="1451"/>
      <c r="CU303" s="1451"/>
      <c r="CV303" s="1451"/>
      <c r="CX303" s="1811"/>
      <c r="CY303" s="1811"/>
      <c r="CZ303" s="1811"/>
      <c r="DA303" s="1811"/>
      <c r="DB303" s="1811"/>
      <c r="DC303" s="1444"/>
      <c r="DD303" s="1451"/>
      <c r="DE303" s="1451"/>
      <c r="DF303" s="1451"/>
      <c r="DK303" s="1417"/>
      <c r="DL303" s="1417"/>
      <c r="DM303" s="1417"/>
      <c r="DN303" s="1417"/>
      <c r="DO303" s="1417"/>
      <c r="DP303" s="1417"/>
      <c r="DQ303" s="1417"/>
      <c r="DR303" s="1417"/>
      <c r="DS303" s="1417"/>
      <c r="DT303" s="1417"/>
      <c r="DU303" s="1417"/>
      <c r="DV303" s="1417"/>
      <c r="DW303" s="1417"/>
      <c r="DX303" s="1417"/>
      <c r="DY303" s="1417"/>
      <c r="DZ303" s="1417"/>
      <c r="EA303" s="1417"/>
      <c r="EB303" s="1417"/>
      <c r="EC303" s="1417"/>
      <c r="ED303" s="1417"/>
      <c r="EE303" s="1417"/>
      <c r="EF303" s="1417"/>
      <c r="EG303" s="1417"/>
      <c r="EH303" s="1417"/>
      <c r="EI303" s="1417"/>
      <c r="EJ303" s="1417"/>
      <c r="EK303" s="1403"/>
      <c r="EL303" s="1414"/>
      <c r="EM303" s="1414"/>
      <c r="EN303" s="1414"/>
      <c r="EO303" s="1414"/>
      <c r="EP303" s="1414"/>
      <c r="EQ303" s="1414"/>
      <c r="ER303" s="1414"/>
      <c r="ES303" s="1414"/>
      <c r="ET303" s="1414"/>
      <c r="EU303" s="1417"/>
      <c r="EV303" s="1417"/>
      <c r="EW303" s="1417"/>
      <c r="EX303" s="1417"/>
      <c r="EY303" s="1417"/>
      <c r="EZ303" s="1417"/>
      <c r="FA303" s="1417"/>
      <c r="FB303" s="1417"/>
      <c r="FC303" s="1417"/>
      <c r="FD303" s="1417"/>
    </row>
    <row r="304" spans="1:160" s="1433" customFormat="1" ht="12" hidden="1">
      <c r="A304" s="1488"/>
      <c r="B304" s="1762"/>
      <c r="C304" s="1490"/>
      <c r="D304" s="1441"/>
      <c r="E304" s="1451"/>
      <c r="F304" s="1808" t="s">
        <v>181</v>
      </c>
      <c r="G304" s="1809"/>
      <c r="H304" s="1809"/>
      <c r="I304" s="1810">
        <f t="shared" si="3653"/>
        <v>0</v>
      </c>
      <c r="J304" s="1810">
        <f t="shared" si="3654"/>
        <v>0</v>
      </c>
      <c r="K304" s="1810">
        <f t="shared" si="3655"/>
        <v>11965.869618000002</v>
      </c>
      <c r="L304" s="1810">
        <f t="shared" si="3656"/>
        <v>0</v>
      </c>
      <c r="M304" s="1810">
        <f t="shared" si="3657"/>
        <v>0</v>
      </c>
      <c r="N304" s="1810">
        <f t="shared" si="3652"/>
        <v>11965.869618000002</v>
      </c>
      <c r="O304" s="1809"/>
      <c r="S304" s="1451"/>
      <c r="AU304" s="1441"/>
      <c r="AV304" s="1451"/>
      <c r="BJ304" s="1451"/>
      <c r="BK304" s="1417"/>
      <c r="BL304" s="1417"/>
      <c r="BM304" s="1417"/>
      <c r="BN304" s="1451"/>
      <c r="BO304" s="1417"/>
      <c r="BP304" s="1417"/>
      <c r="BQ304" s="1417"/>
      <c r="BR304" s="1417"/>
      <c r="BS304" s="1417"/>
      <c r="BT304" s="1417"/>
      <c r="BU304" s="1417"/>
      <c r="BV304" s="1451"/>
      <c r="BY304" s="1811"/>
      <c r="BZ304" s="1811"/>
      <c r="CA304" s="1811"/>
      <c r="CB304" s="1811"/>
      <c r="CO304" s="1417"/>
      <c r="CP304" s="1451"/>
      <c r="CU304" s="1451"/>
      <c r="CV304" s="1451"/>
      <c r="CX304" s="1811"/>
      <c r="CY304" s="1811"/>
      <c r="CZ304" s="1811"/>
      <c r="DA304" s="1811"/>
      <c r="DB304" s="1811"/>
      <c r="DC304" s="1444"/>
      <c r="DD304" s="1451"/>
      <c r="DE304" s="1451"/>
      <c r="DF304" s="1451"/>
      <c r="DK304" s="1417"/>
      <c r="DL304" s="1417"/>
      <c r="DM304" s="1417"/>
      <c r="DN304" s="1417"/>
      <c r="DO304" s="1417"/>
      <c r="DP304" s="1417"/>
      <c r="DQ304" s="1417"/>
      <c r="DR304" s="1417"/>
      <c r="DS304" s="1417"/>
      <c r="DT304" s="1417"/>
      <c r="DU304" s="1417"/>
      <c r="DV304" s="1417"/>
      <c r="DW304" s="1417"/>
      <c r="DX304" s="1417"/>
      <c r="DY304" s="1417"/>
      <c r="DZ304" s="1417"/>
      <c r="EA304" s="1417"/>
      <c r="EB304" s="1417"/>
      <c r="EC304" s="1417"/>
      <c r="ED304" s="1417"/>
      <c r="EE304" s="1417"/>
      <c r="EF304" s="1417"/>
      <c r="EG304" s="1417"/>
      <c r="EH304" s="1417"/>
      <c r="EI304" s="1417"/>
      <c r="EJ304" s="1417"/>
      <c r="EK304" s="1403"/>
      <c r="EL304" s="1414"/>
      <c r="EM304" s="1414"/>
      <c r="EN304" s="1414"/>
      <c r="EO304" s="1414"/>
      <c r="EP304" s="1414"/>
      <c r="EQ304" s="1414"/>
      <c r="ER304" s="1414"/>
      <c r="ES304" s="1414"/>
      <c r="ET304" s="1414"/>
      <c r="EU304" s="1417"/>
      <c r="EV304" s="1417"/>
      <c r="EW304" s="1417"/>
      <c r="EX304" s="1417"/>
      <c r="EY304" s="1417"/>
      <c r="EZ304" s="1417"/>
      <c r="FA304" s="1417"/>
      <c r="FB304" s="1417"/>
      <c r="FC304" s="1417"/>
      <c r="FD304" s="1417"/>
    </row>
    <row r="305" spans="1:160" s="1433" customFormat="1" ht="12" hidden="1">
      <c r="A305" s="1488"/>
      <c r="B305" s="1762"/>
      <c r="C305" s="1490"/>
      <c r="D305" s="1441"/>
      <c r="E305" s="1531"/>
      <c r="F305" s="1808" t="s">
        <v>182</v>
      </c>
      <c r="G305" s="1809"/>
      <c r="H305" s="1809"/>
      <c r="I305" s="1810" t="e">
        <f>#REF!</f>
        <v>#REF!</v>
      </c>
      <c r="J305" s="1810" t="e">
        <f>#REF!</f>
        <v>#REF!</v>
      </c>
      <c r="K305" s="1810" t="e">
        <f>#REF!</f>
        <v>#REF!</v>
      </c>
      <c r="L305" s="1810" t="e">
        <f>#REF!</f>
        <v>#REF!</v>
      </c>
      <c r="M305" s="1810" t="e">
        <f>#REF!</f>
        <v>#REF!</v>
      </c>
      <c r="N305" s="1810" t="e">
        <f t="shared" si="3652"/>
        <v>#REF!</v>
      </c>
      <c r="O305" s="1809"/>
      <c r="S305" s="1451"/>
      <c r="AU305" s="1441"/>
      <c r="AV305" s="1451"/>
      <c r="BJ305" s="1451"/>
      <c r="BK305" s="1417"/>
      <c r="BL305" s="1417"/>
      <c r="BM305" s="1417"/>
      <c r="BN305" s="1451"/>
      <c r="BO305" s="1417"/>
      <c r="BP305" s="1417"/>
      <c r="BQ305" s="1417"/>
      <c r="BR305" s="1417"/>
      <c r="BS305" s="1417"/>
      <c r="BT305" s="1417"/>
      <c r="BU305" s="1417"/>
      <c r="BV305" s="1451"/>
      <c r="BY305" s="1811"/>
      <c r="BZ305" s="1811"/>
      <c r="CA305" s="1811"/>
      <c r="CB305" s="1811"/>
      <c r="CO305" s="1417"/>
      <c r="CP305" s="1451"/>
      <c r="CU305" s="1451"/>
      <c r="CV305" s="1451"/>
      <c r="CX305" s="1811"/>
      <c r="CY305" s="1811"/>
      <c r="CZ305" s="1811"/>
      <c r="DA305" s="1811"/>
      <c r="DB305" s="1811"/>
      <c r="DC305" s="1444"/>
      <c r="DD305" s="1451"/>
      <c r="DE305" s="1451"/>
      <c r="DF305" s="1451"/>
      <c r="DK305" s="1417"/>
      <c r="DL305" s="1417"/>
      <c r="DM305" s="1417"/>
      <c r="DN305" s="1417"/>
      <c r="DO305" s="1417"/>
      <c r="DP305" s="1417"/>
      <c r="DQ305" s="1417"/>
      <c r="DR305" s="1417"/>
      <c r="DS305" s="1417"/>
      <c r="DT305" s="1417"/>
      <c r="DU305" s="1417"/>
      <c r="DV305" s="1417"/>
      <c r="DW305" s="1417"/>
      <c r="DX305" s="1417"/>
      <c r="DY305" s="1417"/>
      <c r="DZ305" s="1417"/>
      <c r="EA305" s="1417"/>
      <c r="EB305" s="1417"/>
      <c r="EC305" s="1417"/>
      <c r="ED305" s="1417"/>
      <c r="EE305" s="1417"/>
      <c r="EF305" s="1417"/>
      <c r="EG305" s="1417"/>
      <c r="EH305" s="1417"/>
      <c r="EI305" s="1417"/>
      <c r="EJ305" s="1417"/>
      <c r="EK305" s="1403"/>
      <c r="EL305" s="1414"/>
      <c r="EM305" s="1414"/>
      <c r="EN305" s="1414"/>
      <c r="EO305" s="1414"/>
      <c r="EP305" s="1414"/>
      <c r="EQ305" s="1414"/>
      <c r="ER305" s="1414"/>
      <c r="ES305" s="1414"/>
      <c r="ET305" s="1414"/>
      <c r="EU305" s="1417"/>
      <c r="EV305" s="1417"/>
      <c r="EW305" s="1417"/>
      <c r="EX305" s="1417"/>
      <c r="EY305" s="1417"/>
      <c r="EZ305" s="1417"/>
      <c r="FA305" s="1417"/>
      <c r="FB305" s="1417"/>
      <c r="FC305" s="1417"/>
      <c r="FD305" s="1417"/>
    </row>
    <row r="306" spans="1:160" s="1433" customFormat="1" ht="12" hidden="1">
      <c r="A306" s="1488"/>
      <c r="B306" s="1762"/>
      <c r="C306" s="1490"/>
      <c r="D306" s="1441"/>
      <c r="E306" s="1451"/>
      <c r="F306" s="1808" t="s">
        <v>183</v>
      </c>
      <c r="G306" s="1809"/>
      <c r="H306" s="1809"/>
      <c r="I306" s="1810">
        <f>CY35</f>
        <v>0</v>
      </c>
      <c r="J306" s="1810">
        <f>EI35</f>
        <v>0</v>
      </c>
      <c r="K306" s="1810">
        <f>DH35</f>
        <v>5411.7749999999996</v>
      </c>
      <c r="L306" s="1810">
        <f>DQ35</f>
        <v>0</v>
      </c>
      <c r="M306" s="1810">
        <f>DZ35</f>
        <v>0</v>
      </c>
      <c r="N306" s="1810">
        <f t="shared" si="3652"/>
        <v>5411.7749999999996</v>
      </c>
      <c r="O306" s="1809"/>
      <c r="S306" s="1451"/>
      <c r="AU306" s="1441"/>
      <c r="AV306" s="1451"/>
      <c r="BJ306" s="1451"/>
      <c r="BK306" s="1417"/>
      <c r="BL306" s="1417"/>
      <c r="BM306" s="1417"/>
      <c r="BN306" s="1451"/>
      <c r="BO306" s="1417"/>
      <c r="BP306" s="1417"/>
      <c r="BQ306" s="1417"/>
      <c r="BR306" s="1417"/>
      <c r="BS306" s="1417"/>
      <c r="BT306" s="1417"/>
      <c r="BU306" s="1417"/>
      <c r="BV306" s="1451"/>
      <c r="BY306" s="1811"/>
      <c r="BZ306" s="1811"/>
      <c r="CA306" s="1811"/>
      <c r="CB306" s="1811"/>
      <c r="CO306" s="1417"/>
      <c r="CP306" s="1451"/>
      <c r="CU306" s="1451"/>
      <c r="CV306" s="1451"/>
      <c r="CX306" s="1811"/>
      <c r="CY306" s="1811"/>
      <c r="CZ306" s="1811"/>
      <c r="DA306" s="1811"/>
      <c r="DB306" s="1811"/>
      <c r="DC306" s="1444"/>
      <c r="DD306" s="1451"/>
      <c r="DE306" s="1451"/>
      <c r="DF306" s="1451"/>
      <c r="DK306" s="1417"/>
      <c r="DL306" s="1417"/>
      <c r="DM306" s="1417"/>
      <c r="DN306" s="1417"/>
      <c r="DO306" s="1417"/>
      <c r="DP306" s="1417"/>
      <c r="DQ306" s="1417"/>
      <c r="DR306" s="1417"/>
      <c r="DS306" s="1417"/>
      <c r="DT306" s="1417"/>
      <c r="DU306" s="1417"/>
      <c r="DV306" s="1417"/>
      <c r="DW306" s="1417"/>
      <c r="DX306" s="1417"/>
      <c r="DY306" s="1417"/>
      <c r="DZ306" s="1417"/>
      <c r="EA306" s="1417"/>
      <c r="EB306" s="1417"/>
      <c r="EC306" s="1417"/>
      <c r="ED306" s="1417"/>
      <c r="EE306" s="1417"/>
      <c r="EF306" s="1417"/>
      <c r="EG306" s="1417"/>
      <c r="EH306" s="1417"/>
      <c r="EI306" s="1417"/>
      <c r="EJ306" s="1417"/>
      <c r="EK306" s="1403"/>
      <c r="EL306" s="1414"/>
      <c r="EM306" s="1414"/>
      <c r="EN306" s="1414"/>
      <c r="EO306" s="1414"/>
      <c r="EP306" s="1414"/>
      <c r="EQ306" s="1414"/>
      <c r="ER306" s="1414"/>
      <c r="ES306" s="1414"/>
      <c r="ET306" s="1414"/>
      <c r="EU306" s="1417"/>
      <c r="EV306" s="1417"/>
      <c r="EW306" s="1417"/>
      <c r="EX306" s="1417"/>
      <c r="EY306" s="1417"/>
      <c r="EZ306" s="1417"/>
      <c r="FA306" s="1417"/>
      <c r="FB306" s="1417"/>
      <c r="FC306" s="1417"/>
      <c r="FD306" s="1417"/>
    </row>
    <row r="307" spans="1:160" s="1433" customFormat="1" ht="12" hidden="1">
      <c r="A307" s="1488"/>
      <c r="B307" s="1762"/>
      <c r="C307" s="1490"/>
      <c r="D307" s="1441"/>
      <c r="E307" s="1451"/>
      <c r="F307" s="1808" t="s">
        <v>184</v>
      </c>
      <c r="G307" s="1809"/>
      <c r="H307" s="1809"/>
      <c r="I307" s="1810" t="e">
        <f>#REF!</f>
        <v>#REF!</v>
      </c>
      <c r="J307" s="1810" t="e">
        <f>#REF!</f>
        <v>#REF!</v>
      </c>
      <c r="K307" s="1810" t="e">
        <f>#REF!</f>
        <v>#REF!</v>
      </c>
      <c r="L307" s="1810" t="e">
        <f>#REF!</f>
        <v>#REF!</v>
      </c>
      <c r="M307" s="1810" t="e">
        <f>#REF!</f>
        <v>#REF!</v>
      </c>
      <c r="N307" s="1810" t="e">
        <f t="shared" si="3652"/>
        <v>#REF!</v>
      </c>
      <c r="O307" s="1809"/>
      <c r="S307" s="1417"/>
      <c r="AU307" s="1441"/>
      <c r="AV307" s="1451"/>
      <c r="BJ307" s="1417"/>
      <c r="BK307" s="1417"/>
      <c r="BL307" s="1417"/>
      <c r="BM307" s="1417"/>
      <c r="BN307" s="1451"/>
      <c r="BO307" s="1417"/>
      <c r="BP307" s="1417"/>
      <c r="BQ307" s="1417"/>
      <c r="BR307" s="1417"/>
      <c r="BS307" s="1417"/>
      <c r="BT307" s="1417"/>
      <c r="BU307" s="1417"/>
      <c r="BV307" s="1451"/>
      <c r="BY307" s="1811"/>
      <c r="BZ307" s="1811"/>
      <c r="CA307" s="1811"/>
      <c r="CB307" s="1811"/>
      <c r="CO307" s="1417"/>
      <c r="CP307" s="1451"/>
      <c r="CU307" s="1451"/>
      <c r="CV307" s="1451"/>
      <c r="CX307" s="1811"/>
      <c r="CY307" s="1811"/>
      <c r="CZ307" s="1811"/>
      <c r="DA307" s="1811"/>
      <c r="DB307" s="1811"/>
      <c r="DC307" s="1444"/>
      <c r="DG307" s="1451"/>
      <c r="DH307" s="1417"/>
      <c r="DK307" s="1417"/>
      <c r="DL307" s="1417"/>
      <c r="DM307" s="1417"/>
      <c r="DN307" s="1417"/>
      <c r="DO307" s="1417"/>
      <c r="DP307" s="1417"/>
      <c r="DQ307" s="1417"/>
      <c r="DR307" s="1417"/>
      <c r="DS307" s="1417"/>
      <c r="DT307" s="1417"/>
      <c r="DU307" s="1417"/>
      <c r="DV307" s="1417"/>
      <c r="DW307" s="1417"/>
      <c r="DX307" s="1417"/>
      <c r="DY307" s="1417"/>
      <c r="DZ307" s="1417"/>
      <c r="EA307" s="1417"/>
      <c r="EB307" s="1417"/>
      <c r="EC307" s="1417"/>
      <c r="ED307" s="1417"/>
      <c r="EE307" s="1417"/>
      <c r="EF307" s="1417"/>
      <c r="EG307" s="1417"/>
      <c r="EH307" s="1417"/>
      <c r="EI307" s="1417"/>
      <c r="EJ307" s="1417"/>
      <c r="EK307" s="1403"/>
      <c r="EL307" s="1414"/>
      <c r="EM307" s="1414"/>
      <c r="EN307" s="1414"/>
      <c r="EO307" s="1414"/>
      <c r="EP307" s="1414"/>
      <c r="EQ307" s="1414"/>
      <c r="ER307" s="1414"/>
      <c r="ES307" s="1414"/>
      <c r="ET307" s="1414"/>
      <c r="EU307" s="1417"/>
      <c r="EV307" s="1417"/>
      <c r="EW307" s="1417"/>
      <c r="EX307" s="1417"/>
      <c r="EY307" s="1417"/>
      <c r="EZ307" s="1417"/>
      <c r="FA307" s="1417"/>
      <c r="FB307" s="1417"/>
      <c r="FC307" s="1417"/>
      <c r="FD307" s="1417"/>
    </row>
    <row r="308" spans="1:160" s="1433" customFormat="1" ht="12" hidden="1">
      <c r="A308" s="1488"/>
      <c r="B308" s="1762"/>
      <c r="C308" s="1490"/>
      <c r="D308" s="1441"/>
      <c r="E308" s="1451"/>
      <c r="F308" s="1808" t="s">
        <v>185</v>
      </c>
      <c r="G308" s="1809"/>
      <c r="H308" s="1809"/>
      <c r="I308" s="1810" t="e">
        <f>#REF!</f>
        <v>#REF!</v>
      </c>
      <c r="J308" s="1810" t="e">
        <f>#REF!</f>
        <v>#REF!</v>
      </c>
      <c r="K308" s="1810" t="e">
        <f>#REF!</f>
        <v>#REF!</v>
      </c>
      <c r="L308" s="1810" t="e">
        <f>#REF!</f>
        <v>#REF!</v>
      </c>
      <c r="M308" s="1810" t="e">
        <f>#REF!</f>
        <v>#REF!</v>
      </c>
      <c r="N308" s="1810" t="e">
        <f t="shared" si="3652"/>
        <v>#REF!</v>
      </c>
      <c r="O308" s="1809"/>
      <c r="S308" s="1417"/>
      <c r="AU308" s="1441"/>
      <c r="AV308" s="1451"/>
      <c r="BJ308" s="1417"/>
      <c r="BK308" s="1417"/>
      <c r="BL308" s="1417"/>
      <c r="BM308" s="1417"/>
      <c r="BN308" s="1451"/>
      <c r="BO308" s="1417"/>
      <c r="BP308" s="1417"/>
      <c r="BQ308" s="1417"/>
      <c r="BR308" s="1417"/>
      <c r="BS308" s="1417"/>
      <c r="BT308" s="1417"/>
      <c r="BU308" s="1417"/>
      <c r="BV308" s="1451"/>
      <c r="BY308" s="1811"/>
      <c r="BZ308" s="1811"/>
      <c r="CA308" s="1811"/>
      <c r="CB308" s="1811"/>
      <c r="CO308" s="1417"/>
      <c r="CP308" s="1451"/>
      <c r="CU308" s="1451"/>
      <c r="CV308" s="1451"/>
      <c r="CX308" s="1811"/>
      <c r="CY308" s="1811"/>
      <c r="CZ308" s="1811"/>
      <c r="DA308" s="1811"/>
      <c r="DB308" s="1811"/>
      <c r="DC308" s="1444"/>
      <c r="DG308" s="1451"/>
      <c r="DH308" s="1417"/>
      <c r="DK308" s="1417"/>
      <c r="DL308" s="1417"/>
      <c r="DM308" s="1417"/>
      <c r="DN308" s="1417"/>
      <c r="DO308" s="1417"/>
      <c r="DP308" s="1417"/>
      <c r="DQ308" s="1417"/>
      <c r="DR308" s="1417"/>
      <c r="DS308" s="1417"/>
      <c r="DT308" s="1417"/>
      <c r="DU308" s="1417"/>
      <c r="DV308" s="1417"/>
      <c r="DW308" s="1417"/>
      <c r="DX308" s="1417"/>
      <c r="DY308" s="1417"/>
      <c r="DZ308" s="1417"/>
      <c r="EA308" s="1417"/>
      <c r="EB308" s="1417"/>
      <c r="EC308" s="1417"/>
      <c r="ED308" s="1417"/>
      <c r="EE308" s="1417"/>
      <c r="EF308" s="1417"/>
      <c r="EG308" s="1417"/>
      <c r="EH308" s="1417"/>
      <c r="EI308" s="1417"/>
      <c r="EJ308" s="1417"/>
      <c r="EK308" s="1403"/>
      <c r="EL308" s="1414"/>
      <c r="EM308" s="1414"/>
      <c r="EN308" s="1414"/>
      <c r="EO308" s="1414"/>
      <c r="EP308" s="1414"/>
      <c r="EQ308" s="1414"/>
      <c r="ER308" s="1414"/>
      <c r="ES308" s="1414"/>
      <c r="ET308" s="1414"/>
      <c r="EU308" s="1417"/>
      <c r="EV308" s="1417"/>
      <c r="EW308" s="1417"/>
      <c r="EX308" s="1417"/>
      <c r="EY308" s="1417"/>
      <c r="EZ308" s="1417"/>
      <c r="FA308" s="1417"/>
      <c r="FB308" s="1417"/>
      <c r="FC308" s="1417"/>
      <c r="FD308" s="1417"/>
    </row>
    <row r="309" spans="1:160" s="1433" customFormat="1" ht="12" hidden="1">
      <c r="A309" s="1488"/>
      <c r="B309" s="1762"/>
      <c r="C309" s="1490"/>
      <c r="D309" s="1441"/>
      <c r="E309" s="1451"/>
      <c r="F309" s="1808" t="s">
        <v>186</v>
      </c>
      <c r="G309" s="1809"/>
      <c r="H309" s="1809"/>
      <c r="I309" s="1810">
        <f>CY36</f>
        <v>6671.3239999999996</v>
      </c>
      <c r="J309" s="1810">
        <f>EI36</f>
        <v>0</v>
      </c>
      <c r="K309" s="1810">
        <f>DH36</f>
        <v>0</v>
      </c>
      <c r="L309" s="1810">
        <f>DQ36</f>
        <v>0</v>
      </c>
      <c r="M309" s="1810">
        <f>DZ36</f>
        <v>0</v>
      </c>
      <c r="N309" s="1810">
        <f t="shared" si="3652"/>
        <v>6671.3239999999996</v>
      </c>
      <c r="O309" s="1809"/>
      <c r="S309" s="1451"/>
      <c r="AU309" s="1441"/>
      <c r="AV309" s="1451"/>
      <c r="BJ309" s="1451"/>
      <c r="BK309" s="1451"/>
      <c r="BL309" s="1451"/>
      <c r="BM309" s="1451"/>
      <c r="BN309" s="1451"/>
      <c r="BO309" s="1451"/>
      <c r="BP309" s="1451"/>
      <c r="BQ309" s="1451"/>
      <c r="BR309" s="1451"/>
      <c r="BS309" s="1451"/>
      <c r="BT309" s="1451"/>
      <c r="BU309" s="1451"/>
      <c r="BV309" s="1451"/>
      <c r="BY309" s="1811"/>
      <c r="BZ309" s="1811"/>
      <c r="CA309" s="1811"/>
      <c r="CB309" s="1811"/>
      <c r="CO309" s="1417"/>
      <c r="CP309" s="1451"/>
      <c r="CU309" s="1451"/>
      <c r="CV309" s="1451"/>
      <c r="CX309" s="1811"/>
      <c r="CY309" s="1811"/>
      <c r="CZ309" s="1811"/>
      <c r="DA309" s="1811"/>
      <c r="DB309" s="1811"/>
      <c r="DC309" s="1811"/>
      <c r="DK309" s="1417"/>
      <c r="DL309" s="1417"/>
      <c r="DM309" s="1417"/>
      <c r="DN309" s="1417"/>
      <c r="DO309" s="1417"/>
      <c r="DP309" s="1417"/>
      <c r="DQ309" s="1417"/>
      <c r="DR309" s="1417"/>
      <c r="DS309" s="1417"/>
      <c r="DT309" s="1417"/>
      <c r="DU309" s="1417"/>
      <c r="DV309" s="1417"/>
      <c r="DW309" s="1417"/>
      <c r="DX309" s="1417"/>
      <c r="DY309" s="1417"/>
      <c r="DZ309" s="1417"/>
      <c r="EA309" s="1417"/>
      <c r="EB309" s="1417"/>
      <c r="EC309" s="1417"/>
      <c r="ED309" s="1417"/>
      <c r="EE309" s="1417"/>
      <c r="EF309" s="1417"/>
      <c r="EG309" s="1417"/>
      <c r="EH309" s="1417"/>
      <c r="EI309" s="1417"/>
      <c r="EJ309" s="1417"/>
      <c r="EK309" s="1403"/>
      <c r="EL309" s="1414"/>
      <c r="EM309" s="1414"/>
      <c r="EN309" s="1414"/>
      <c r="EO309" s="1414"/>
      <c r="EP309" s="1414"/>
      <c r="EQ309" s="1414"/>
      <c r="ER309" s="1414"/>
      <c r="ES309" s="1414"/>
      <c r="ET309" s="1414"/>
      <c r="EU309" s="1417"/>
      <c r="EV309" s="1417"/>
      <c r="EW309" s="1417"/>
      <c r="EX309" s="1417"/>
      <c r="EY309" s="1417"/>
      <c r="EZ309" s="1417"/>
      <c r="FA309" s="1417"/>
      <c r="FB309" s="1417"/>
      <c r="FC309" s="1417"/>
      <c r="FD309" s="1417"/>
    </row>
    <row r="310" spans="1:160" s="1433" customFormat="1" ht="12" hidden="1">
      <c r="A310" s="1488"/>
      <c r="B310" s="1762"/>
      <c r="C310" s="1490"/>
      <c r="D310" s="1441"/>
      <c r="E310" s="1451"/>
      <c r="F310" s="1808" t="s">
        <v>187</v>
      </c>
      <c r="G310" s="1809"/>
      <c r="H310" s="1809"/>
      <c r="I310" s="1810" t="e">
        <f>#REF!</f>
        <v>#REF!</v>
      </c>
      <c r="J310" s="1810" t="e">
        <f>#REF!</f>
        <v>#REF!</v>
      </c>
      <c r="K310" s="1810" t="e">
        <f>#REF!</f>
        <v>#REF!</v>
      </c>
      <c r="L310" s="1810" t="e">
        <f>#REF!</f>
        <v>#REF!</v>
      </c>
      <c r="M310" s="1810" t="e">
        <f>#REF!</f>
        <v>#REF!</v>
      </c>
      <c r="N310" s="1810" t="e">
        <f t="shared" si="3652"/>
        <v>#REF!</v>
      </c>
      <c r="O310" s="1809"/>
      <c r="S310" s="1451"/>
      <c r="AU310" s="1441"/>
      <c r="AV310" s="1451"/>
      <c r="BJ310" s="1451"/>
      <c r="BK310" s="1451"/>
      <c r="BL310" s="1451"/>
      <c r="BM310" s="1451"/>
      <c r="BN310" s="1451"/>
      <c r="BO310" s="1451"/>
      <c r="BP310" s="1451"/>
      <c r="BQ310" s="1451"/>
      <c r="BR310" s="1451"/>
      <c r="BS310" s="1451"/>
      <c r="BT310" s="1451"/>
      <c r="BU310" s="1451"/>
      <c r="BV310" s="1451"/>
      <c r="BY310" s="1811"/>
      <c r="BZ310" s="1811"/>
      <c r="CA310" s="1811"/>
      <c r="CB310" s="1811"/>
      <c r="CO310" s="1417"/>
      <c r="CP310" s="1451"/>
      <c r="CU310" s="1451"/>
      <c r="CV310" s="1451"/>
      <c r="CX310" s="1811"/>
      <c r="CY310" s="1811"/>
      <c r="CZ310" s="1811"/>
      <c r="DA310" s="1811"/>
      <c r="DB310" s="1811"/>
      <c r="DC310" s="1811"/>
      <c r="DK310" s="1417"/>
      <c r="DL310" s="1417"/>
      <c r="DM310" s="1417"/>
      <c r="DN310" s="1417"/>
      <c r="DO310" s="1417"/>
      <c r="DP310" s="1417"/>
      <c r="DQ310" s="1417"/>
      <c r="DR310" s="1417"/>
      <c r="DS310" s="1417"/>
      <c r="DT310" s="1417"/>
      <c r="DU310" s="1417"/>
      <c r="DV310" s="1417"/>
      <c r="DW310" s="1417"/>
      <c r="DX310" s="1417"/>
      <c r="DY310" s="1417"/>
      <c r="DZ310" s="1417"/>
      <c r="EA310" s="1417"/>
      <c r="EB310" s="1417"/>
      <c r="EC310" s="1417"/>
      <c r="ED310" s="1417"/>
      <c r="EE310" s="1417"/>
      <c r="EF310" s="1417"/>
      <c r="EG310" s="1417"/>
      <c r="EH310" s="1417"/>
      <c r="EI310" s="1417"/>
      <c r="EJ310" s="1417"/>
      <c r="EK310" s="1403"/>
      <c r="EL310" s="1414"/>
      <c r="EM310" s="1414"/>
      <c r="EN310" s="1414"/>
      <c r="EO310" s="1414"/>
      <c r="EP310" s="1414"/>
      <c r="EQ310" s="1414"/>
      <c r="ER310" s="1414"/>
      <c r="ES310" s="1414"/>
      <c r="ET310" s="1414"/>
      <c r="EU310" s="1417"/>
      <c r="EV310" s="1417"/>
      <c r="EW310" s="1417"/>
      <c r="EX310" s="1417"/>
      <c r="EY310" s="1417"/>
      <c r="EZ310" s="1417"/>
      <c r="FA310" s="1417"/>
      <c r="FB310" s="1417"/>
      <c r="FC310" s="1417"/>
      <c r="FD310" s="1417"/>
    </row>
    <row r="311" spans="1:160" s="1433" customFormat="1" ht="12" hidden="1">
      <c r="A311" s="1488"/>
      <c r="B311" s="1762"/>
      <c r="C311" s="1490"/>
      <c r="D311" s="1441"/>
      <c r="E311" s="1451"/>
      <c r="F311" s="1808" t="s">
        <v>188</v>
      </c>
      <c r="G311" s="1809"/>
      <c r="H311" s="1809"/>
      <c r="I311" s="1810">
        <f>CY39</f>
        <v>0</v>
      </c>
      <c r="J311" s="1810">
        <f>EI39</f>
        <v>0</v>
      </c>
      <c r="K311" s="1810">
        <f>DH39</f>
        <v>4308.3203460000004</v>
      </c>
      <c r="L311" s="1810">
        <f>DQ39</f>
        <v>0</v>
      </c>
      <c r="M311" s="1810">
        <f>DZ39</f>
        <v>0</v>
      </c>
      <c r="N311" s="1810">
        <f>SUM(I311:M311)</f>
        <v>4308.3203460000004</v>
      </c>
      <c r="O311" s="1809"/>
      <c r="S311" s="1451"/>
      <c r="AU311" s="1441"/>
      <c r="AV311" s="1451"/>
      <c r="BJ311" s="1451"/>
      <c r="BK311" s="1451"/>
      <c r="BL311" s="1451"/>
      <c r="BM311" s="1451"/>
      <c r="BN311" s="1451"/>
      <c r="BO311" s="1451"/>
      <c r="BP311" s="1451"/>
      <c r="BQ311" s="1451"/>
      <c r="BR311" s="1451"/>
      <c r="BS311" s="1451"/>
      <c r="BT311" s="1451"/>
      <c r="BU311" s="1451"/>
      <c r="BV311" s="1451"/>
      <c r="BY311" s="1811"/>
      <c r="BZ311" s="1811"/>
      <c r="CA311" s="1811"/>
      <c r="CB311" s="1811"/>
      <c r="CO311" s="1417"/>
      <c r="CP311" s="1451"/>
      <c r="CU311" s="1451"/>
      <c r="CV311" s="1451"/>
      <c r="CX311" s="1811"/>
      <c r="CY311" s="1811"/>
      <c r="CZ311" s="1811"/>
      <c r="DA311" s="1811"/>
      <c r="DB311" s="1811"/>
      <c r="DC311" s="1811"/>
      <c r="DK311" s="1417"/>
      <c r="DL311" s="1417"/>
      <c r="DM311" s="1417"/>
      <c r="DN311" s="1417"/>
      <c r="DO311" s="1417"/>
      <c r="DP311" s="1417"/>
      <c r="DQ311" s="1417"/>
      <c r="DR311" s="1417"/>
      <c r="DS311" s="1417"/>
      <c r="DT311" s="1417"/>
      <c r="DU311" s="1417"/>
      <c r="DV311" s="1417"/>
      <c r="DW311" s="1417"/>
      <c r="DX311" s="1417"/>
      <c r="DY311" s="1417"/>
      <c r="DZ311" s="1417"/>
      <c r="EA311" s="1417"/>
      <c r="EB311" s="1417"/>
      <c r="EC311" s="1417"/>
      <c r="ED311" s="1417"/>
      <c r="EE311" s="1417"/>
      <c r="EF311" s="1417"/>
      <c r="EG311" s="1417"/>
      <c r="EH311" s="1417"/>
      <c r="EI311" s="1417"/>
      <c r="EJ311" s="1417"/>
      <c r="EK311" s="1403"/>
      <c r="EL311" s="1414"/>
      <c r="EM311" s="1414"/>
      <c r="EN311" s="1414"/>
      <c r="EO311" s="1414"/>
      <c r="EP311" s="1414"/>
      <c r="EQ311" s="1414"/>
      <c r="ER311" s="1414"/>
      <c r="ES311" s="1414"/>
      <c r="ET311" s="1414"/>
      <c r="EU311" s="1417"/>
      <c r="EV311" s="1417"/>
      <c r="EW311" s="1417"/>
      <c r="EX311" s="1417"/>
      <c r="EY311" s="1417"/>
      <c r="EZ311" s="1417"/>
      <c r="FA311" s="1417"/>
      <c r="FB311" s="1417"/>
      <c r="FC311" s="1417"/>
      <c r="FD311" s="1417"/>
    </row>
    <row r="312" spans="1:160" s="1433" customFormat="1" ht="12" hidden="1">
      <c r="A312" s="1488"/>
      <c r="B312" s="1762"/>
      <c r="C312" s="1490"/>
      <c r="D312" s="1441"/>
      <c r="E312" s="1451"/>
      <c r="F312" s="1808" t="s">
        <v>189</v>
      </c>
      <c r="G312" s="1809"/>
      <c r="H312" s="1809"/>
      <c r="I312" s="1810">
        <f>CY40</f>
        <v>10760.2</v>
      </c>
      <c r="J312" s="1810">
        <f>EI40</f>
        <v>0</v>
      </c>
      <c r="K312" s="1810">
        <f>DH40</f>
        <v>0</v>
      </c>
      <c r="L312" s="1810">
        <f>DQ40</f>
        <v>0</v>
      </c>
      <c r="M312" s="1810">
        <f>DZ40</f>
        <v>0</v>
      </c>
      <c r="N312" s="1810">
        <f t="shared" si="3652"/>
        <v>10760.2</v>
      </c>
      <c r="O312" s="1809"/>
      <c r="S312" s="1451"/>
      <c r="AU312" s="1441"/>
      <c r="AV312" s="1451"/>
      <c r="BJ312" s="1451"/>
      <c r="BK312" s="1451"/>
      <c r="BL312" s="1451"/>
      <c r="BM312" s="1451"/>
      <c r="BN312" s="1451"/>
      <c r="BO312" s="1451"/>
      <c r="BP312" s="1451"/>
      <c r="BQ312" s="1451"/>
      <c r="BR312" s="1451"/>
      <c r="BS312" s="1451"/>
      <c r="BT312" s="1451"/>
      <c r="BU312" s="1451"/>
      <c r="BV312" s="1451"/>
      <c r="BY312" s="1811"/>
      <c r="BZ312" s="1811"/>
      <c r="CA312" s="1811"/>
      <c r="CB312" s="1811"/>
      <c r="CO312" s="1417"/>
      <c r="CP312" s="1451"/>
      <c r="CU312" s="1451"/>
      <c r="CV312" s="1451"/>
      <c r="CX312" s="1811"/>
      <c r="CY312" s="1811"/>
      <c r="CZ312" s="1811"/>
      <c r="DA312" s="1811"/>
      <c r="DB312" s="1811"/>
      <c r="DC312" s="1811"/>
      <c r="DK312" s="1417"/>
      <c r="DL312" s="1417"/>
      <c r="DM312" s="1417"/>
      <c r="DN312" s="1417"/>
      <c r="DO312" s="1417"/>
      <c r="DP312" s="1417"/>
      <c r="DQ312" s="1417"/>
      <c r="DR312" s="1417"/>
      <c r="DS312" s="1417"/>
      <c r="DT312" s="1417"/>
      <c r="DU312" s="1417"/>
      <c r="DV312" s="1417"/>
      <c r="DW312" s="1417"/>
      <c r="DX312" s="1417"/>
      <c r="DY312" s="1417"/>
      <c r="DZ312" s="1417"/>
      <c r="EA312" s="1417"/>
      <c r="EB312" s="1417"/>
      <c r="EC312" s="1417"/>
      <c r="ED312" s="1417"/>
      <c r="EE312" s="1417"/>
      <c r="EF312" s="1417"/>
      <c r="EG312" s="1417"/>
      <c r="EH312" s="1417"/>
      <c r="EI312" s="1417"/>
      <c r="EJ312" s="1417"/>
      <c r="EK312" s="1403"/>
      <c r="EL312" s="1414"/>
      <c r="EM312" s="1414"/>
      <c r="EN312" s="1414"/>
      <c r="EO312" s="1414"/>
      <c r="EP312" s="1414"/>
      <c r="EQ312" s="1414"/>
      <c r="ER312" s="1414"/>
      <c r="ES312" s="1414"/>
      <c r="ET312" s="1414"/>
      <c r="EU312" s="1417"/>
      <c r="EV312" s="1417"/>
      <c r="EW312" s="1417"/>
      <c r="EX312" s="1417"/>
      <c r="EY312" s="1417"/>
      <c r="EZ312" s="1417"/>
      <c r="FA312" s="1417"/>
      <c r="FB312" s="1417"/>
      <c r="FC312" s="1417"/>
      <c r="FD312" s="1417"/>
    </row>
    <row r="313" spans="1:160" s="1433" customFormat="1" ht="12" hidden="1">
      <c r="A313" s="1488"/>
      <c r="B313" s="1762"/>
      <c r="C313" s="1490"/>
      <c r="D313" s="1441"/>
      <c r="E313" s="1451"/>
      <c r="F313" s="1808" t="s">
        <v>190</v>
      </c>
      <c r="G313" s="1809"/>
      <c r="H313" s="1809"/>
      <c r="I313" s="1810">
        <f>CY42</f>
        <v>35538.537679333334</v>
      </c>
      <c r="J313" s="1810">
        <f>EI42</f>
        <v>0</v>
      </c>
      <c r="K313" s="1810">
        <f>DH42</f>
        <v>55842.870310000006</v>
      </c>
      <c r="L313" s="1810">
        <f>DQ42</f>
        <v>0</v>
      </c>
      <c r="M313" s="1810">
        <f>DZ42</f>
        <v>0</v>
      </c>
      <c r="N313" s="1810">
        <f t="shared" si="3652"/>
        <v>91381.40798933334</v>
      </c>
      <c r="O313" s="1809"/>
      <c r="S313" s="1451"/>
      <c r="AU313" s="1441"/>
      <c r="AV313" s="1451"/>
      <c r="BJ313" s="1451"/>
      <c r="BK313" s="1451"/>
      <c r="BL313" s="1451"/>
      <c r="BM313" s="1451"/>
      <c r="BN313" s="1451"/>
      <c r="BO313" s="1451"/>
      <c r="BP313" s="1451"/>
      <c r="BQ313" s="1451"/>
      <c r="BR313" s="1451"/>
      <c r="BS313" s="1451"/>
      <c r="BT313" s="1451"/>
      <c r="BU313" s="1451"/>
      <c r="BV313" s="1451"/>
      <c r="BY313" s="1811"/>
      <c r="BZ313" s="1811"/>
      <c r="CA313" s="1811"/>
      <c r="CB313" s="1811"/>
      <c r="CO313" s="1417"/>
      <c r="CP313" s="1451"/>
      <c r="CU313" s="1451"/>
      <c r="CV313" s="1451"/>
      <c r="CX313" s="1811"/>
      <c r="CY313" s="1811"/>
      <c r="CZ313" s="1811"/>
      <c r="DA313" s="1811"/>
      <c r="DB313" s="1811"/>
      <c r="DC313" s="1811"/>
      <c r="DK313" s="1417"/>
      <c r="DL313" s="1417"/>
      <c r="DM313" s="1417"/>
      <c r="DN313" s="1417"/>
      <c r="DO313" s="1417"/>
      <c r="DP313" s="1417"/>
      <c r="DQ313" s="1417"/>
      <c r="DR313" s="1417"/>
      <c r="DS313" s="1417"/>
      <c r="DT313" s="1417"/>
      <c r="DU313" s="1417"/>
      <c r="DV313" s="1417"/>
      <c r="DW313" s="1417"/>
      <c r="DX313" s="1417"/>
      <c r="DY313" s="1417"/>
      <c r="DZ313" s="1417"/>
      <c r="EA313" s="1417"/>
      <c r="EB313" s="1417"/>
      <c r="EC313" s="1417"/>
      <c r="ED313" s="1417"/>
      <c r="EE313" s="1417"/>
      <c r="EF313" s="1417"/>
      <c r="EG313" s="1417"/>
      <c r="EH313" s="1417"/>
      <c r="EI313" s="1417"/>
      <c r="EJ313" s="1417"/>
      <c r="EK313" s="1403"/>
      <c r="EL313" s="1414"/>
      <c r="EM313" s="1414"/>
      <c r="EN313" s="1414"/>
      <c r="EO313" s="1414"/>
      <c r="EP313" s="1414"/>
      <c r="EQ313" s="1414"/>
      <c r="ER313" s="1414"/>
      <c r="ES313" s="1414"/>
      <c r="ET313" s="1414"/>
      <c r="EU313" s="1417"/>
      <c r="EV313" s="1417"/>
      <c r="EW313" s="1417"/>
      <c r="EX313" s="1417"/>
      <c r="EY313" s="1417"/>
      <c r="EZ313" s="1417"/>
      <c r="FA313" s="1417"/>
      <c r="FB313" s="1417"/>
      <c r="FC313" s="1417"/>
      <c r="FD313" s="1417"/>
    </row>
    <row r="314" spans="1:160" s="1433" customFormat="1" ht="12" hidden="1">
      <c r="A314" s="1488"/>
      <c r="B314" s="1762"/>
      <c r="C314" s="1490"/>
      <c r="D314" s="1441"/>
      <c r="E314" s="1451"/>
      <c r="F314" s="1808" t="s">
        <v>191</v>
      </c>
      <c r="G314" s="1809"/>
      <c r="H314" s="1809"/>
      <c r="I314" s="1810">
        <f>CY43</f>
        <v>0</v>
      </c>
      <c r="J314" s="1810">
        <f>EI43</f>
        <v>0</v>
      </c>
      <c r="K314" s="1810">
        <f>DH43</f>
        <v>0</v>
      </c>
      <c r="L314" s="1810">
        <f>DQ43</f>
        <v>0</v>
      </c>
      <c r="M314" s="1810">
        <f>DZ43</f>
        <v>0</v>
      </c>
      <c r="N314" s="1810">
        <f t="shared" si="3652"/>
        <v>0</v>
      </c>
      <c r="O314" s="1809"/>
      <c r="S314" s="1451"/>
      <c r="AU314" s="1441"/>
      <c r="AV314" s="1451"/>
      <c r="BJ314" s="1451"/>
      <c r="BK314" s="1451"/>
      <c r="BL314" s="1451"/>
      <c r="BM314" s="1451"/>
      <c r="BN314" s="1451"/>
      <c r="BO314" s="1451"/>
      <c r="BP314" s="1451"/>
      <c r="BQ314" s="1451"/>
      <c r="BR314" s="1451"/>
      <c r="BS314" s="1451"/>
      <c r="BT314" s="1451"/>
      <c r="BU314" s="1451"/>
      <c r="BV314" s="1451"/>
      <c r="BY314" s="1811"/>
      <c r="BZ314" s="1811"/>
      <c r="CA314" s="1811"/>
      <c r="CB314" s="1811"/>
      <c r="CO314" s="1417"/>
      <c r="CP314" s="1451"/>
      <c r="CU314" s="1451"/>
      <c r="CV314" s="1451"/>
      <c r="CX314" s="1811"/>
      <c r="CY314" s="1811"/>
      <c r="CZ314" s="1811"/>
      <c r="DA314" s="1811"/>
      <c r="DB314" s="1811"/>
      <c r="DC314" s="1811"/>
      <c r="DK314" s="1417"/>
      <c r="DL314" s="1417"/>
      <c r="DM314" s="1417"/>
      <c r="DN314" s="1417"/>
      <c r="DO314" s="1417"/>
      <c r="DP314" s="1417"/>
      <c r="DQ314" s="1417"/>
      <c r="DR314" s="1417"/>
      <c r="DS314" s="1417"/>
      <c r="DT314" s="1417"/>
      <c r="DU314" s="1417"/>
      <c r="DV314" s="1417"/>
      <c r="DW314" s="1417"/>
      <c r="DX314" s="1417"/>
      <c r="DY314" s="1417"/>
      <c r="DZ314" s="1417"/>
      <c r="EA314" s="1417"/>
      <c r="EB314" s="1417"/>
      <c r="EC314" s="1417"/>
      <c r="ED314" s="1417"/>
      <c r="EE314" s="1417"/>
      <c r="EF314" s="1417"/>
      <c r="EG314" s="1417"/>
      <c r="EH314" s="1417"/>
      <c r="EI314" s="1417"/>
      <c r="EJ314" s="1417"/>
      <c r="EK314" s="1403"/>
      <c r="EL314" s="1414"/>
      <c r="EM314" s="1414"/>
      <c r="EN314" s="1414"/>
      <c r="EO314" s="1414"/>
      <c r="EP314" s="1414"/>
      <c r="EQ314" s="1414"/>
      <c r="ER314" s="1414"/>
      <c r="ES314" s="1414"/>
      <c r="ET314" s="1414"/>
      <c r="EU314" s="1417"/>
      <c r="EV314" s="1417"/>
      <c r="EW314" s="1417"/>
      <c r="EX314" s="1417"/>
      <c r="EY314" s="1417"/>
      <c r="EZ314" s="1417"/>
      <c r="FA314" s="1417"/>
      <c r="FB314" s="1417"/>
      <c r="FC314" s="1417"/>
      <c r="FD314" s="1417"/>
    </row>
    <row r="315" spans="1:160" s="1441" customFormat="1" ht="12" hidden="1">
      <c r="A315" s="1490"/>
      <c r="B315" s="1342"/>
      <c r="C315" s="1490"/>
      <c r="E315" s="1433"/>
      <c r="F315" s="1808" t="s">
        <v>192</v>
      </c>
      <c r="G315" s="1809"/>
      <c r="H315" s="1815"/>
      <c r="I315" s="1810">
        <f>CY44</f>
        <v>0</v>
      </c>
      <c r="J315" s="1810">
        <f>EI44</f>
        <v>0</v>
      </c>
      <c r="K315" s="1810">
        <f>DH44</f>
        <v>0</v>
      </c>
      <c r="L315" s="1810">
        <f>DQ44</f>
        <v>0</v>
      </c>
      <c r="M315" s="1810">
        <f>DZ44</f>
        <v>0</v>
      </c>
      <c r="N315" s="1810">
        <f t="shared" si="3652"/>
        <v>0</v>
      </c>
      <c r="O315" s="1809"/>
      <c r="Q315" s="1433"/>
      <c r="S315" s="1433"/>
      <c r="T315" s="1433"/>
      <c r="U315" s="1433"/>
      <c r="V315" s="1433"/>
      <c r="W315" s="1433"/>
      <c r="X315" s="1433"/>
      <c r="Y315" s="1433"/>
      <c r="Z315" s="1433"/>
      <c r="AA315" s="1433"/>
      <c r="AB315" s="1433"/>
      <c r="AC315" s="1433"/>
      <c r="AD315" s="1433"/>
      <c r="AE315" s="1433"/>
      <c r="AF315" s="1433"/>
      <c r="AG315" s="1433"/>
      <c r="AH315" s="1433"/>
      <c r="AI315" s="1433"/>
      <c r="AJ315" s="1433"/>
      <c r="AK315" s="1433"/>
      <c r="AL315" s="1433"/>
      <c r="AM315" s="1433"/>
      <c r="AN315" s="1433"/>
      <c r="AO315" s="1433"/>
      <c r="AP315" s="1433"/>
      <c r="AQ315" s="1433"/>
      <c r="AR315" s="1433"/>
      <c r="AS315" s="1433"/>
      <c r="AT315" s="1433"/>
      <c r="AV315" s="1451"/>
      <c r="BJ315" s="1433"/>
      <c r="BK315" s="1433"/>
      <c r="BL315" s="1433"/>
      <c r="BM315" s="1433"/>
      <c r="BN315" s="1433"/>
      <c r="BO315" s="1433"/>
      <c r="BP315" s="1433"/>
      <c r="BQ315" s="1433"/>
      <c r="BR315" s="1433"/>
      <c r="BS315" s="1433"/>
      <c r="BT315" s="1433"/>
      <c r="BU315" s="1433"/>
      <c r="BV315" s="1433"/>
      <c r="BW315" s="1433"/>
      <c r="BX315" s="1433"/>
      <c r="BY315" s="1433"/>
      <c r="BZ315" s="1433"/>
      <c r="CA315" s="1433"/>
      <c r="CB315" s="1433"/>
      <c r="CC315" s="1433"/>
      <c r="CD315" s="1433"/>
      <c r="CE315" s="1433"/>
      <c r="CF315" s="1433"/>
      <c r="CG315" s="1433"/>
      <c r="CH315" s="1433"/>
      <c r="CI315" s="1433"/>
      <c r="CJ315" s="1433"/>
      <c r="CK315" s="1433"/>
      <c r="CL315" s="1433"/>
      <c r="CM315" s="1433"/>
      <c r="CN315" s="1433"/>
      <c r="CO315" s="1414"/>
      <c r="CP315" s="1451"/>
      <c r="CQ315" s="1433"/>
      <c r="CR315" s="1433"/>
      <c r="CS315" s="1433"/>
      <c r="CT315" s="1433"/>
      <c r="CU315" s="1433"/>
      <c r="CV315" s="1433"/>
      <c r="CW315" s="1433"/>
      <c r="CX315" s="1811"/>
      <c r="CY315" s="1811"/>
      <c r="CZ315" s="1811"/>
      <c r="DA315" s="1811"/>
      <c r="DB315" s="1811"/>
      <c r="DC315" s="1433"/>
      <c r="DD315" s="1433"/>
      <c r="DE315" s="1433"/>
      <c r="DF315" s="1433"/>
      <c r="DG315" s="1433"/>
      <c r="DH315" s="1433"/>
      <c r="DI315" s="1433"/>
      <c r="DJ315" s="1433"/>
      <c r="DK315" s="1433"/>
      <c r="DL315" s="1433"/>
      <c r="DM315" s="1433"/>
      <c r="DN315" s="1433"/>
      <c r="DO315" s="1433"/>
      <c r="DP315" s="1433"/>
      <c r="DQ315" s="1433"/>
      <c r="DR315" s="1433"/>
      <c r="DS315" s="1433"/>
      <c r="DT315" s="1433"/>
      <c r="DU315" s="1433"/>
      <c r="DV315" s="1433"/>
      <c r="DW315" s="1433"/>
      <c r="DX315" s="1433"/>
      <c r="DY315" s="1433"/>
      <c r="DZ315" s="1433"/>
      <c r="EA315" s="1433"/>
      <c r="EB315" s="1433"/>
      <c r="EC315" s="1433"/>
      <c r="ED315" s="1433"/>
      <c r="EE315" s="1433"/>
      <c r="EF315" s="1433"/>
      <c r="EG315" s="1433"/>
      <c r="EH315" s="1433"/>
      <c r="EI315" s="1433"/>
      <c r="EJ315" s="1414"/>
      <c r="EK315" s="1490"/>
    </row>
    <row r="316" spans="1:160" s="1433" customFormat="1" ht="12" hidden="1">
      <c r="A316" s="1488"/>
      <c r="B316" s="1762"/>
      <c r="C316" s="1490"/>
      <c r="D316" s="1441"/>
      <c r="E316" s="1451"/>
      <c r="F316" s="1808" t="s">
        <v>193</v>
      </c>
      <c r="G316" s="1809"/>
      <c r="H316" s="1809"/>
      <c r="I316" s="1816" t="e">
        <f t="shared" ref="I316:N316" si="3658">SUM(I292:I315)</f>
        <v>#REF!</v>
      </c>
      <c r="J316" s="1816" t="e">
        <f t="shared" si="3658"/>
        <v>#REF!</v>
      </c>
      <c r="K316" s="1817" t="e">
        <f t="shared" si="3658"/>
        <v>#REF!</v>
      </c>
      <c r="L316" s="1816" t="e">
        <f t="shared" si="3658"/>
        <v>#REF!</v>
      </c>
      <c r="M316" s="1816" t="e">
        <f t="shared" si="3658"/>
        <v>#REF!</v>
      </c>
      <c r="N316" s="1816" t="e">
        <f t="shared" si="3658"/>
        <v>#REF!</v>
      </c>
      <c r="O316" s="1809"/>
      <c r="S316" s="1451"/>
      <c r="AU316" s="1441"/>
      <c r="BJ316" s="1451"/>
      <c r="BK316" s="1451"/>
      <c r="BL316" s="1451"/>
      <c r="BM316" s="1451"/>
      <c r="BN316" s="1451"/>
      <c r="BO316" s="1451"/>
      <c r="BP316" s="1451"/>
      <c r="BQ316" s="1451"/>
      <c r="BR316" s="1451"/>
      <c r="BS316" s="1451"/>
      <c r="BT316" s="1451"/>
      <c r="BU316" s="1451"/>
      <c r="BV316" s="1451"/>
      <c r="BY316" s="1811"/>
      <c r="BZ316" s="1811"/>
      <c r="CA316" s="1811"/>
      <c r="CB316" s="1811"/>
      <c r="CO316" s="1417"/>
      <c r="CU316" s="1451"/>
      <c r="CV316" s="1451"/>
      <c r="CX316" s="1811"/>
      <c r="CY316" s="1811"/>
      <c r="CZ316" s="1811"/>
      <c r="DA316" s="1811"/>
      <c r="DB316" s="1811"/>
      <c r="DC316" s="1811"/>
      <c r="DK316" s="1417"/>
      <c r="DL316" s="1417"/>
      <c r="DM316" s="1417"/>
      <c r="DN316" s="1417"/>
      <c r="DO316" s="1417"/>
      <c r="DP316" s="1417"/>
      <c r="DQ316" s="1417"/>
      <c r="DR316" s="1417"/>
      <c r="DS316" s="1417"/>
      <c r="DT316" s="1417"/>
      <c r="DU316" s="1417"/>
      <c r="DV316" s="1417"/>
      <c r="DW316" s="1417"/>
      <c r="DX316" s="1417"/>
      <c r="DY316" s="1417"/>
      <c r="DZ316" s="1417"/>
      <c r="EA316" s="1417"/>
      <c r="EB316" s="1417"/>
      <c r="EC316" s="1417"/>
      <c r="ED316" s="1417"/>
      <c r="EE316" s="1417"/>
      <c r="EF316" s="1417"/>
      <c r="EG316" s="1417"/>
      <c r="EH316" s="1417"/>
      <c r="EI316" s="1417"/>
      <c r="EJ316" s="1417"/>
      <c r="EK316" s="1403"/>
      <c r="EL316" s="1414"/>
      <c r="EM316" s="1414"/>
      <c r="EN316" s="1414"/>
      <c r="EO316" s="1414"/>
      <c r="EP316" s="1414"/>
      <c r="EQ316" s="1414"/>
      <c r="ER316" s="1414"/>
      <c r="ES316" s="1414"/>
      <c r="ET316" s="1414"/>
      <c r="EU316" s="1417"/>
      <c r="EV316" s="1417"/>
      <c r="EW316" s="1417"/>
      <c r="EX316" s="1417"/>
      <c r="EY316" s="1417"/>
      <c r="EZ316" s="1417"/>
      <c r="FA316" s="1417"/>
      <c r="FB316" s="1417"/>
      <c r="FC316" s="1417"/>
      <c r="FD316" s="1417"/>
    </row>
    <row r="317" spans="1:160" s="1433" customFormat="1" ht="12" hidden="1">
      <c r="A317" s="1488"/>
      <c r="B317" s="1762"/>
      <c r="C317" s="1490"/>
      <c r="D317" s="1441"/>
      <c r="E317" s="1451"/>
      <c r="F317" s="1809" t="s">
        <v>194</v>
      </c>
      <c r="G317" s="1809"/>
      <c r="H317" s="1809"/>
      <c r="I317" s="1818" t="e">
        <f>+I316-CY228</f>
        <v>#REF!</v>
      </c>
      <c r="J317" s="1817" t="e">
        <f>+J316-EI228</f>
        <v>#REF!</v>
      </c>
      <c r="K317" s="1817" t="e">
        <f>+K316-DH228</f>
        <v>#REF!</v>
      </c>
      <c r="L317" s="1817" t="e">
        <f>+L316-DQ228</f>
        <v>#REF!</v>
      </c>
      <c r="M317" s="1817" t="e">
        <f>+M316-DZ228</f>
        <v>#REF!</v>
      </c>
      <c r="N317" s="1817" t="e">
        <f>+N316-(+CY228+DH228+DQ228+DZ228+EI228)</f>
        <v>#REF!</v>
      </c>
      <c r="O317" s="1809"/>
      <c r="S317" s="1451"/>
      <c r="AU317" s="1441"/>
      <c r="BJ317" s="1451"/>
      <c r="BK317" s="1451"/>
      <c r="BL317" s="1451"/>
      <c r="BM317" s="1451"/>
      <c r="BN317" s="1451"/>
      <c r="BO317" s="1451"/>
      <c r="BP317" s="1451"/>
      <c r="BQ317" s="1451"/>
      <c r="BR317" s="1451"/>
      <c r="BS317" s="1451"/>
      <c r="BT317" s="1451"/>
      <c r="BU317" s="1451"/>
      <c r="BV317" s="1451"/>
      <c r="BY317" s="1811"/>
      <c r="BZ317" s="1811"/>
      <c r="CA317" s="1811"/>
      <c r="CB317" s="1811"/>
      <c r="CO317" s="1417"/>
      <c r="CU317" s="1451"/>
      <c r="CV317" s="1451"/>
      <c r="CX317" s="1811"/>
      <c r="CY317" s="1811"/>
      <c r="CZ317" s="1811"/>
      <c r="DA317" s="1811"/>
      <c r="DB317" s="1811"/>
      <c r="DC317" s="1811"/>
      <c r="DK317" s="1417"/>
      <c r="DL317" s="1417"/>
      <c r="DM317" s="1417"/>
      <c r="DN317" s="1417"/>
      <c r="DO317" s="1417"/>
      <c r="DP317" s="1417"/>
      <c r="DQ317" s="1417"/>
      <c r="DR317" s="1417"/>
      <c r="DS317" s="1417"/>
      <c r="DT317" s="1417"/>
      <c r="DU317" s="1417"/>
      <c r="DV317" s="1417"/>
      <c r="DW317" s="1417"/>
      <c r="DX317" s="1417"/>
      <c r="DY317" s="1417"/>
      <c r="DZ317" s="1417"/>
      <c r="EA317" s="1417"/>
      <c r="EB317" s="1417"/>
      <c r="EC317" s="1417"/>
      <c r="ED317" s="1417"/>
      <c r="EE317" s="1417"/>
      <c r="EF317" s="1417"/>
      <c r="EG317" s="1417"/>
      <c r="EH317" s="1417"/>
      <c r="EI317" s="1417"/>
      <c r="EJ317" s="1417"/>
      <c r="EK317" s="1403"/>
      <c r="EL317" s="1414"/>
      <c r="EM317" s="1414"/>
      <c r="EN317" s="1414"/>
      <c r="EO317" s="1414"/>
      <c r="EP317" s="1414"/>
      <c r="EQ317" s="1414"/>
      <c r="ER317" s="1414"/>
      <c r="ES317" s="1414"/>
      <c r="ET317" s="1414"/>
      <c r="EU317" s="1417"/>
      <c r="EV317" s="1417"/>
      <c r="EW317" s="1417"/>
      <c r="EX317" s="1417"/>
      <c r="EY317" s="1417"/>
      <c r="EZ317" s="1417"/>
      <c r="FA317" s="1417"/>
      <c r="FB317" s="1417"/>
      <c r="FC317" s="1417"/>
      <c r="FD317" s="1417"/>
    </row>
    <row r="318" spans="1:160" s="1433" customFormat="1" ht="12" hidden="1">
      <c r="A318" s="1488"/>
      <c r="B318" s="1762"/>
      <c r="C318" s="1490"/>
      <c r="D318" s="1441"/>
      <c r="E318" s="1451"/>
      <c r="F318" s="1808"/>
      <c r="G318" s="1809"/>
      <c r="H318" s="1809"/>
      <c r="I318" s="1810"/>
      <c r="J318" s="1809"/>
      <c r="K318" s="1819"/>
      <c r="L318" s="1810"/>
      <c r="M318" s="1810"/>
      <c r="N318" s="1810"/>
      <c r="O318" s="1809"/>
      <c r="S318" s="1451"/>
      <c r="AU318" s="1441"/>
      <c r="BJ318" s="1451"/>
      <c r="BK318" s="1451"/>
      <c r="BL318" s="1451"/>
      <c r="BM318" s="1451"/>
      <c r="BN318" s="1451"/>
      <c r="BO318" s="1451"/>
      <c r="BP318" s="1451"/>
      <c r="BQ318" s="1451"/>
      <c r="BR318" s="1451"/>
      <c r="BS318" s="1451"/>
      <c r="BT318" s="1451"/>
      <c r="BU318" s="1451"/>
      <c r="BV318" s="1451"/>
      <c r="BY318" s="1811"/>
      <c r="BZ318" s="1811"/>
      <c r="CA318" s="1811"/>
      <c r="CB318" s="1811"/>
      <c r="CO318" s="1417"/>
      <c r="CU318" s="1451"/>
      <c r="CV318" s="1451"/>
      <c r="CX318" s="1811"/>
      <c r="CY318" s="1811"/>
      <c r="CZ318" s="1811"/>
      <c r="DA318" s="1811"/>
      <c r="DB318" s="1811"/>
      <c r="DC318" s="1811"/>
      <c r="DK318" s="1417"/>
      <c r="DL318" s="1417"/>
      <c r="DM318" s="1417"/>
      <c r="DN318" s="1417"/>
      <c r="DO318" s="1417"/>
      <c r="DP318" s="1417"/>
      <c r="DQ318" s="1417"/>
      <c r="DR318" s="1417"/>
      <c r="DS318" s="1417"/>
      <c r="DT318" s="1417"/>
      <c r="DU318" s="1417"/>
      <c r="DV318" s="1417"/>
      <c r="DW318" s="1417"/>
      <c r="DX318" s="1417"/>
      <c r="DY318" s="1417"/>
      <c r="DZ318" s="1417"/>
      <c r="EA318" s="1417"/>
      <c r="EB318" s="1417"/>
      <c r="EC318" s="1417"/>
      <c r="ED318" s="1417"/>
      <c r="EE318" s="1417"/>
      <c r="EF318" s="1417"/>
      <c r="EG318" s="1417"/>
      <c r="EH318" s="1417"/>
      <c r="EI318" s="1417"/>
      <c r="EJ318" s="1417"/>
      <c r="EK318" s="1403"/>
      <c r="EL318" s="1414"/>
      <c r="EM318" s="1414"/>
      <c r="EN318" s="1414"/>
      <c r="EO318" s="1414"/>
      <c r="EP318" s="1414"/>
      <c r="EQ318" s="1414"/>
      <c r="ER318" s="1414"/>
      <c r="ES318" s="1414"/>
      <c r="ET318" s="1414"/>
      <c r="EU318" s="1417"/>
      <c r="EV318" s="1417"/>
      <c r="EW318" s="1417"/>
      <c r="EX318" s="1417"/>
      <c r="EY318" s="1417"/>
      <c r="EZ318" s="1417"/>
      <c r="FA318" s="1417"/>
      <c r="FB318" s="1417"/>
      <c r="FC318" s="1417"/>
      <c r="FD318" s="1417"/>
    </row>
    <row r="319" spans="1:160" s="1441" customFormat="1" ht="12" hidden="1">
      <c r="A319" s="1490"/>
      <c r="B319" s="1342"/>
      <c r="C319" s="1488"/>
      <c r="D319" s="1433"/>
      <c r="E319" s="1433"/>
      <c r="F319" s="1808"/>
      <c r="G319" s="1809"/>
      <c r="H319" s="1815"/>
      <c r="I319" s="1820"/>
      <c r="J319" s="1795"/>
      <c r="K319" s="1820"/>
      <c r="L319" s="1820"/>
      <c r="M319" s="1820"/>
      <c r="N319" s="1820"/>
      <c r="O319" s="1809"/>
      <c r="Q319" s="1433"/>
      <c r="S319" s="1433"/>
      <c r="T319" s="1433"/>
      <c r="U319" s="1433"/>
      <c r="V319" s="1433"/>
      <c r="W319" s="1433"/>
      <c r="X319" s="1433"/>
      <c r="Y319" s="1433"/>
      <c r="Z319" s="1433"/>
      <c r="AA319" s="1433"/>
      <c r="AB319" s="1433"/>
      <c r="AC319" s="1433"/>
      <c r="AD319" s="1433"/>
      <c r="AE319" s="1433"/>
      <c r="AF319" s="1433"/>
      <c r="AG319" s="1433"/>
      <c r="AH319" s="1433"/>
      <c r="AI319" s="1433"/>
      <c r="AJ319" s="1433"/>
      <c r="AK319" s="1433"/>
      <c r="AL319" s="1433"/>
      <c r="AM319" s="1433"/>
      <c r="AN319" s="1433"/>
      <c r="AO319" s="1433"/>
      <c r="AP319" s="1433"/>
      <c r="AQ319" s="1433"/>
      <c r="AR319" s="1433"/>
      <c r="AS319" s="1433"/>
      <c r="AT319" s="1433"/>
      <c r="AV319" s="1433"/>
      <c r="BJ319" s="1433"/>
      <c r="BK319" s="1433"/>
      <c r="BL319" s="1433"/>
      <c r="BM319" s="1433"/>
      <c r="BN319" s="1433"/>
      <c r="BO319" s="1433"/>
      <c r="BP319" s="1433"/>
      <c r="BQ319" s="1433"/>
      <c r="BR319" s="1433"/>
      <c r="BS319" s="1433"/>
      <c r="BT319" s="1433"/>
      <c r="BU319" s="1433"/>
      <c r="BV319" s="1451"/>
      <c r="BW319" s="1433"/>
      <c r="BX319" s="1433"/>
      <c r="BY319" s="1444"/>
      <c r="BZ319" s="1444"/>
      <c r="CA319" s="1444"/>
      <c r="CB319" s="1444"/>
      <c r="CC319" s="1433"/>
      <c r="CD319" s="1433"/>
      <c r="CE319" s="1433"/>
      <c r="CF319" s="1433"/>
      <c r="CG319" s="1433"/>
      <c r="CH319" s="1433"/>
      <c r="CI319" s="1433"/>
      <c r="CJ319" s="1433"/>
      <c r="CK319" s="1433"/>
      <c r="CL319" s="1433"/>
      <c r="CM319" s="1433"/>
      <c r="CN319" s="1433"/>
      <c r="CO319" s="1414"/>
      <c r="CQ319" s="1433"/>
      <c r="CR319" s="1433"/>
      <c r="CS319" s="1433"/>
      <c r="CT319" s="1433"/>
      <c r="CU319" s="1433"/>
      <c r="CV319" s="1433"/>
      <c r="CW319" s="1433"/>
      <c r="CX319" s="1433"/>
      <c r="CY319" s="1433"/>
      <c r="CZ319" s="1433"/>
      <c r="DA319" s="1433"/>
      <c r="DB319" s="1433"/>
      <c r="DC319" s="1433"/>
      <c r="DD319" s="1433"/>
      <c r="DE319" s="1433"/>
      <c r="DF319" s="1433"/>
      <c r="DG319" s="1433"/>
      <c r="DH319" s="1433"/>
      <c r="DI319" s="1433"/>
      <c r="DJ319" s="1433"/>
      <c r="DK319" s="1433"/>
      <c r="DL319" s="1433"/>
      <c r="DM319" s="1433"/>
      <c r="DN319" s="1433"/>
      <c r="DO319" s="1433"/>
      <c r="DP319" s="1433"/>
      <c r="DQ319" s="1433"/>
      <c r="DR319" s="1433"/>
      <c r="DS319" s="1433"/>
      <c r="DT319" s="1433"/>
      <c r="DU319" s="1433"/>
      <c r="DV319" s="1433"/>
      <c r="DW319" s="1433"/>
      <c r="DX319" s="1433"/>
      <c r="DY319" s="1433"/>
      <c r="DZ319" s="1433"/>
      <c r="EA319" s="1433"/>
      <c r="EB319" s="1433"/>
      <c r="EC319" s="1433"/>
      <c r="ED319" s="1433"/>
      <c r="EE319" s="1433"/>
      <c r="EF319" s="1433"/>
      <c r="EG319" s="1433"/>
      <c r="EH319" s="1433"/>
      <c r="EI319" s="1433"/>
      <c r="EJ319" s="1417"/>
    </row>
    <row r="320" spans="1:160" s="1441" customFormat="1" ht="12" hidden="1">
      <c r="A320" s="1490"/>
      <c r="B320" s="1342"/>
      <c r="C320" s="1488"/>
      <c r="D320" s="1433"/>
      <c r="E320" s="1433"/>
      <c r="F320" s="1808"/>
      <c r="G320" s="1809"/>
      <c r="H320" s="1815"/>
      <c r="I320" s="1820"/>
      <c r="J320" s="1795"/>
      <c r="K320" s="1820"/>
      <c r="L320" s="1820"/>
      <c r="M320" s="1820"/>
      <c r="N320" s="1820"/>
      <c r="O320" s="1809"/>
      <c r="Q320" s="1433"/>
      <c r="S320" s="1433"/>
      <c r="T320" s="1433"/>
      <c r="U320" s="1433"/>
      <c r="V320" s="1433"/>
      <c r="W320" s="1433"/>
      <c r="X320" s="1433"/>
      <c r="Y320" s="1433"/>
      <c r="Z320" s="1433"/>
      <c r="AA320" s="1433"/>
      <c r="AB320" s="1433"/>
      <c r="AC320" s="1433"/>
      <c r="AD320" s="1433"/>
      <c r="AE320" s="1433"/>
      <c r="AF320" s="1433"/>
      <c r="AG320" s="1433"/>
      <c r="AH320" s="1433"/>
      <c r="AI320" s="1433"/>
      <c r="AJ320" s="1433"/>
      <c r="AK320" s="1433"/>
      <c r="AL320" s="1433"/>
      <c r="AM320" s="1433"/>
      <c r="AN320" s="1433"/>
      <c r="AO320" s="1433"/>
      <c r="AP320" s="1433"/>
      <c r="AQ320" s="1433"/>
      <c r="AR320" s="1433"/>
      <c r="AS320" s="1433"/>
      <c r="AT320" s="1433"/>
      <c r="AV320" s="1433"/>
      <c r="BJ320" s="1433"/>
      <c r="BK320" s="1433"/>
      <c r="BL320" s="1433"/>
      <c r="BM320" s="1433"/>
      <c r="BN320" s="1433"/>
      <c r="BO320" s="1433"/>
      <c r="BP320" s="1433"/>
      <c r="BQ320" s="1433"/>
      <c r="BR320" s="1433"/>
      <c r="BS320" s="1433"/>
      <c r="BT320" s="1433"/>
      <c r="BU320" s="1433"/>
      <c r="BV320" s="1451"/>
      <c r="BW320" s="1433"/>
      <c r="BX320" s="1433"/>
      <c r="BY320" s="1444"/>
      <c r="BZ320" s="1444"/>
      <c r="CA320" s="1444"/>
      <c r="CB320" s="1444"/>
      <c r="CC320" s="1433"/>
      <c r="CD320" s="1433"/>
      <c r="CE320" s="1433"/>
      <c r="CF320" s="1433"/>
      <c r="CG320" s="1433"/>
      <c r="CH320" s="1433"/>
      <c r="CI320" s="1433"/>
      <c r="CJ320" s="1433"/>
      <c r="CK320" s="1433"/>
      <c r="CL320" s="1433"/>
      <c r="CM320" s="1433"/>
      <c r="CN320" s="1433"/>
      <c r="CO320" s="1414"/>
      <c r="CQ320" s="1433"/>
      <c r="CR320" s="1433"/>
      <c r="CS320" s="1433"/>
      <c r="CT320" s="1433"/>
      <c r="CU320" s="1433"/>
      <c r="CV320" s="1433"/>
      <c r="CW320" s="1433"/>
      <c r="CX320" s="1433"/>
      <c r="CY320" s="1433"/>
      <c r="CZ320" s="1433"/>
      <c r="DA320" s="1433"/>
      <c r="DB320" s="1433"/>
      <c r="DC320" s="1433"/>
      <c r="DD320" s="1433"/>
      <c r="DE320" s="1433"/>
      <c r="DF320" s="1433"/>
      <c r="DG320" s="1433"/>
      <c r="DH320" s="1433"/>
      <c r="DI320" s="1433"/>
      <c r="DJ320" s="1433"/>
      <c r="DK320" s="1433"/>
      <c r="DL320" s="1433"/>
      <c r="DM320" s="1433"/>
      <c r="DN320" s="1433"/>
      <c r="DO320" s="1433"/>
      <c r="DP320" s="1433"/>
      <c r="DQ320" s="1433"/>
      <c r="DR320" s="1433"/>
      <c r="DS320" s="1433"/>
      <c r="DT320" s="1433"/>
      <c r="DU320" s="1433"/>
      <c r="DV320" s="1433"/>
      <c r="DW320" s="1433"/>
      <c r="DX320" s="1433"/>
      <c r="DY320" s="1433"/>
      <c r="DZ320" s="1433"/>
      <c r="EA320" s="1433"/>
      <c r="EB320" s="1433"/>
      <c r="EC320" s="1433"/>
      <c r="ED320" s="1433"/>
      <c r="EE320" s="1433"/>
      <c r="EF320" s="1433"/>
      <c r="EG320" s="1433"/>
      <c r="EH320" s="1433"/>
      <c r="EI320" s="1433"/>
      <c r="EJ320" s="1417"/>
    </row>
    <row r="321" spans="1:140" s="1441" customFormat="1" ht="12" hidden="1">
      <c r="A321" s="1490"/>
      <c r="B321" s="1342"/>
      <c r="C321" s="1490"/>
      <c r="E321" s="1433"/>
      <c r="F321" s="1821" t="s">
        <v>196</v>
      </c>
      <c r="G321" s="1795"/>
      <c r="H321" s="1815"/>
      <c r="I321" s="1795"/>
      <c r="J321" s="1795"/>
      <c r="K321" s="1795"/>
      <c r="L321" s="1795"/>
      <c r="M321" s="1795"/>
      <c r="N321" s="1795"/>
      <c r="O321" s="1809"/>
      <c r="Q321" s="1433"/>
      <c r="S321" s="1433"/>
      <c r="T321" s="1433"/>
      <c r="U321" s="1433"/>
      <c r="V321" s="1433"/>
      <c r="W321" s="1433"/>
      <c r="X321" s="1433"/>
      <c r="Y321" s="1433"/>
      <c r="Z321" s="1433"/>
      <c r="AA321" s="1433"/>
      <c r="AB321" s="1433"/>
      <c r="AC321" s="1433"/>
      <c r="AD321" s="1433"/>
      <c r="AE321" s="1433"/>
      <c r="AF321" s="1433"/>
      <c r="AG321" s="1433"/>
      <c r="AH321" s="1433"/>
      <c r="AI321" s="1433"/>
      <c r="AJ321" s="1433"/>
      <c r="AK321" s="1433"/>
      <c r="AL321" s="1433"/>
      <c r="AM321" s="1433"/>
      <c r="AN321" s="1433"/>
      <c r="AO321" s="1433"/>
      <c r="AP321" s="1433"/>
      <c r="AQ321" s="1433"/>
      <c r="AR321" s="1433"/>
      <c r="AS321" s="1433"/>
      <c r="AT321" s="1433"/>
      <c r="AV321" s="1433"/>
      <c r="BJ321" s="1433"/>
      <c r="BK321" s="1433"/>
      <c r="BL321" s="1433"/>
      <c r="BM321" s="1433"/>
      <c r="BN321" s="1433"/>
      <c r="BO321" s="1433"/>
      <c r="BP321" s="1433"/>
      <c r="BQ321" s="1433"/>
      <c r="BR321" s="1433"/>
      <c r="BS321" s="1433"/>
      <c r="BT321" s="1433"/>
      <c r="BU321" s="1433"/>
      <c r="BV321" s="1433"/>
      <c r="BW321" s="1433"/>
      <c r="BX321" s="1433"/>
      <c r="BY321" s="1444"/>
      <c r="BZ321" s="1444"/>
      <c r="CA321" s="1444"/>
      <c r="CB321" s="1444"/>
      <c r="CC321" s="1433"/>
      <c r="CD321" s="1433"/>
      <c r="CE321" s="1433"/>
      <c r="CF321" s="1433"/>
      <c r="CG321" s="1433"/>
      <c r="CH321" s="1433"/>
      <c r="CI321" s="1433"/>
      <c r="CJ321" s="1433"/>
      <c r="CK321" s="1433"/>
      <c r="CL321" s="1433"/>
      <c r="CM321" s="1433"/>
      <c r="CN321" s="1433"/>
      <c r="CO321" s="1414"/>
      <c r="CQ321" s="1433"/>
      <c r="CR321" s="1433"/>
      <c r="CS321" s="1433"/>
      <c r="CT321" s="1433"/>
      <c r="CU321" s="1433"/>
      <c r="CV321" s="1822"/>
      <c r="CW321" s="1433"/>
      <c r="CX321" s="1433"/>
      <c r="CY321" s="1433"/>
      <c r="CZ321" s="1433"/>
      <c r="DA321" s="1433"/>
      <c r="DB321" s="1433"/>
      <c r="DC321" s="1433"/>
      <c r="DD321" s="1433"/>
      <c r="DE321" s="1433"/>
      <c r="DF321" s="1433"/>
      <c r="DG321" s="1433"/>
      <c r="DH321" s="1433"/>
      <c r="DI321" s="1433"/>
      <c r="DJ321" s="1433"/>
      <c r="DK321" s="1433"/>
      <c r="DL321" s="1433"/>
      <c r="DM321" s="1433"/>
      <c r="DN321" s="1433"/>
      <c r="DO321" s="1433"/>
      <c r="DP321" s="1433"/>
      <c r="DQ321" s="1433"/>
      <c r="DR321" s="1433"/>
      <c r="DS321" s="1433"/>
      <c r="DT321" s="1433"/>
      <c r="DU321" s="1433"/>
      <c r="DV321" s="1433"/>
      <c r="DW321" s="1433"/>
      <c r="DX321" s="1433"/>
      <c r="DY321" s="1433"/>
      <c r="DZ321" s="1433"/>
      <c r="EA321" s="1433"/>
      <c r="EB321" s="1433"/>
      <c r="EC321" s="1433"/>
      <c r="ED321" s="1433"/>
      <c r="EE321" s="1433"/>
      <c r="EF321" s="1433"/>
      <c r="EG321" s="1433"/>
      <c r="EH321" s="1433"/>
      <c r="EI321" s="1433"/>
      <c r="EJ321" s="1417"/>
    </row>
    <row r="322" spans="1:140" s="1441" customFormat="1" ht="12" hidden="1">
      <c r="A322" s="1490"/>
      <c r="B322" s="1342"/>
      <c r="C322" s="1490"/>
      <c r="E322" s="1433"/>
      <c r="F322" s="1821"/>
      <c r="G322" s="1795"/>
      <c r="H322" s="1815"/>
      <c r="I322" s="1795"/>
      <c r="J322" s="1795"/>
      <c r="K322" s="1795"/>
      <c r="L322" s="1795"/>
      <c r="M322" s="1795"/>
      <c r="N322" s="1795"/>
      <c r="O322" s="1809"/>
      <c r="Q322" s="1433"/>
      <c r="S322" s="1433"/>
      <c r="T322" s="1433"/>
      <c r="U322" s="1433"/>
      <c r="V322" s="1433"/>
      <c r="W322" s="1433"/>
      <c r="X322" s="1433"/>
      <c r="Y322" s="1433"/>
      <c r="Z322" s="1433"/>
      <c r="AA322" s="1433"/>
      <c r="AB322" s="1433"/>
      <c r="AC322" s="1433"/>
      <c r="AD322" s="1433"/>
      <c r="AE322" s="1433"/>
      <c r="AF322" s="1433"/>
      <c r="AG322" s="1433"/>
      <c r="AH322" s="1433"/>
      <c r="AI322" s="1433"/>
      <c r="AJ322" s="1433"/>
      <c r="AK322" s="1433"/>
      <c r="AL322" s="1433"/>
      <c r="AM322" s="1433"/>
      <c r="AN322" s="1433"/>
      <c r="AO322" s="1433"/>
      <c r="AP322" s="1433"/>
      <c r="AQ322" s="1433"/>
      <c r="AR322" s="1433"/>
      <c r="AS322" s="1433"/>
      <c r="AT322" s="1433"/>
      <c r="AV322" s="1433"/>
      <c r="BJ322" s="1433"/>
      <c r="BK322" s="1433"/>
      <c r="BL322" s="1433"/>
      <c r="BM322" s="1433"/>
      <c r="BN322" s="1433"/>
      <c r="BO322" s="1433"/>
      <c r="BP322" s="1433"/>
      <c r="BQ322" s="1433"/>
      <c r="BR322" s="1433"/>
      <c r="BS322" s="1433"/>
      <c r="BT322" s="1433"/>
      <c r="BU322" s="1433"/>
      <c r="BV322" s="1433"/>
      <c r="BW322" s="1433"/>
      <c r="BX322" s="1433"/>
      <c r="BY322" s="1444"/>
      <c r="BZ322" s="1444"/>
      <c r="CA322" s="1444"/>
      <c r="CB322" s="1444"/>
      <c r="CC322" s="1433"/>
      <c r="CD322" s="1433"/>
      <c r="CE322" s="1433"/>
      <c r="CF322" s="1433"/>
      <c r="CG322" s="1433"/>
      <c r="CH322" s="1433"/>
      <c r="CI322" s="1433"/>
      <c r="CJ322" s="1433"/>
      <c r="CK322" s="1433"/>
      <c r="CL322" s="1433"/>
      <c r="CM322" s="1433"/>
      <c r="CN322" s="1433"/>
      <c r="CO322" s="1414"/>
      <c r="CQ322" s="1433"/>
      <c r="CR322" s="1433"/>
      <c r="CS322" s="1433"/>
      <c r="CT322" s="1433"/>
      <c r="CU322" s="1433"/>
      <c r="CV322" s="1822"/>
      <c r="CW322" s="1433"/>
      <c r="CX322" s="1433"/>
      <c r="CY322" s="1433"/>
      <c r="CZ322" s="1433"/>
      <c r="DA322" s="1433"/>
      <c r="DB322" s="1433"/>
      <c r="DC322" s="1433"/>
      <c r="DD322" s="1433"/>
      <c r="DE322" s="1433"/>
      <c r="DF322" s="1433"/>
      <c r="DG322" s="1433"/>
      <c r="DH322" s="1433"/>
      <c r="DI322" s="1433"/>
      <c r="DJ322" s="1433"/>
      <c r="DK322" s="1433"/>
      <c r="DL322" s="1433"/>
      <c r="DM322" s="1433"/>
      <c r="DN322" s="1433"/>
      <c r="DO322" s="1433"/>
      <c r="DP322" s="1433"/>
      <c r="DQ322" s="1433"/>
      <c r="DR322" s="1433"/>
      <c r="DS322" s="1433"/>
      <c r="DT322" s="1433"/>
      <c r="DU322" s="1433"/>
      <c r="DV322" s="1433"/>
      <c r="DW322" s="1433"/>
      <c r="DX322" s="1433"/>
      <c r="DY322" s="1433"/>
      <c r="DZ322" s="1433"/>
      <c r="EA322" s="1433"/>
      <c r="EB322" s="1433"/>
      <c r="EC322" s="1433"/>
      <c r="ED322" s="1433"/>
      <c r="EE322" s="1433"/>
      <c r="EF322" s="1433"/>
      <c r="EG322" s="1433"/>
      <c r="EH322" s="1433"/>
      <c r="EI322" s="1433"/>
      <c r="EJ322" s="1417"/>
    </row>
    <row r="323" spans="1:140" s="1441" customFormat="1" ht="12" hidden="1">
      <c r="A323" s="1490"/>
      <c r="B323" s="1342"/>
      <c r="C323" s="1490"/>
      <c r="E323" s="1433"/>
      <c r="F323" s="1821"/>
      <c r="G323" s="1795"/>
      <c r="H323" s="1815"/>
      <c r="I323" s="2221" t="s">
        <v>10</v>
      </c>
      <c r="J323" s="2221"/>
      <c r="K323" s="2221" t="s">
        <v>11</v>
      </c>
      <c r="L323" s="2221"/>
      <c r="M323" s="1798" t="s">
        <v>13</v>
      </c>
      <c r="N323" s="1798" t="s">
        <v>167</v>
      </c>
      <c r="O323" s="1809"/>
      <c r="Q323" s="1433"/>
      <c r="S323" s="1433"/>
      <c r="T323" s="1433"/>
      <c r="U323" s="1433"/>
      <c r="V323" s="1433"/>
      <c r="W323" s="1433"/>
      <c r="X323" s="1433"/>
      <c r="Y323" s="1433"/>
      <c r="Z323" s="1433"/>
      <c r="AA323" s="1433"/>
      <c r="AB323" s="1433"/>
      <c r="AC323" s="1433"/>
      <c r="AD323" s="1433"/>
      <c r="AE323" s="1433"/>
      <c r="AF323" s="1433"/>
      <c r="AG323" s="1433"/>
      <c r="AH323" s="1433"/>
      <c r="AI323" s="1433"/>
      <c r="AJ323" s="1433"/>
      <c r="AK323" s="1433"/>
      <c r="AL323" s="1433"/>
      <c r="AM323" s="1433"/>
      <c r="AN323" s="1433"/>
      <c r="AO323" s="1433"/>
      <c r="AP323" s="1433"/>
      <c r="AQ323" s="1433"/>
      <c r="AR323" s="1433"/>
      <c r="AS323" s="1433"/>
      <c r="AT323" s="1433"/>
      <c r="AV323" s="1433"/>
      <c r="BJ323" s="1433"/>
      <c r="BK323" s="1433"/>
      <c r="BL323" s="1433"/>
      <c r="BM323" s="1433"/>
      <c r="BN323" s="1433"/>
      <c r="BO323" s="1433"/>
      <c r="BP323" s="1433"/>
      <c r="BQ323" s="1433"/>
      <c r="BR323" s="1433"/>
      <c r="BS323" s="1433"/>
      <c r="BT323" s="1433"/>
      <c r="BU323" s="1433"/>
      <c r="BV323" s="1433"/>
      <c r="BW323" s="1433"/>
      <c r="BX323" s="1433"/>
      <c r="BY323" s="1444"/>
      <c r="BZ323" s="1444"/>
      <c r="CA323" s="1444"/>
      <c r="CB323" s="1444"/>
      <c r="CC323" s="1433"/>
      <c r="CD323" s="1433"/>
      <c r="CE323" s="1433"/>
      <c r="CF323" s="1433"/>
      <c r="CG323" s="1433"/>
      <c r="CH323" s="1433"/>
      <c r="CI323" s="1433"/>
      <c r="CJ323" s="1433"/>
      <c r="CK323" s="1433"/>
      <c r="CL323" s="1433"/>
      <c r="CM323" s="1433"/>
      <c r="CN323" s="1433"/>
      <c r="CO323" s="1414"/>
      <c r="CQ323" s="1433"/>
      <c r="CR323" s="1433"/>
      <c r="CS323" s="1433"/>
      <c r="CT323" s="1433"/>
      <c r="CU323" s="1433"/>
      <c r="CV323" s="1822"/>
      <c r="CW323" s="1433"/>
      <c r="CX323" s="1433"/>
      <c r="CY323" s="1433"/>
      <c r="CZ323" s="1433"/>
      <c r="DA323" s="1433"/>
      <c r="DB323" s="1433"/>
      <c r="DC323" s="1433"/>
      <c r="DD323" s="1433"/>
      <c r="DE323" s="1433"/>
      <c r="DF323" s="1433"/>
      <c r="DG323" s="1433"/>
      <c r="DH323" s="1433"/>
      <c r="DI323" s="1433"/>
      <c r="DJ323" s="1433"/>
      <c r="DK323" s="1433"/>
      <c r="DL323" s="1433"/>
      <c r="DM323" s="1433"/>
      <c r="DN323" s="1433"/>
      <c r="DO323" s="1433"/>
      <c r="DP323" s="1433"/>
      <c r="DQ323" s="1433"/>
      <c r="DR323" s="1433"/>
      <c r="DS323" s="1433"/>
      <c r="DT323" s="1433"/>
      <c r="DU323" s="1433"/>
      <c r="DV323" s="1433"/>
      <c r="DW323" s="1433"/>
      <c r="DX323" s="1433"/>
      <c r="DY323" s="1433"/>
      <c r="DZ323" s="1433"/>
      <c r="EA323" s="1433"/>
      <c r="EB323" s="1433"/>
      <c r="EC323" s="1433"/>
      <c r="ED323" s="1433"/>
      <c r="EE323" s="1433"/>
      <c r="EF323" s="1433"/>
      <c r="EG323" s="1433"/>
      <c r="EH323" s="1433"/>
      <c r="EI323" s="1433"/>
      <c r="EJ323" s="1417"/>
    </row>
    <row r="324" spans="1:140" s="1441" customFormat="1" ht="12" hidden="1">
      <c r="A324" s="1490"/>
      <c r="B324" s="1342"/>
      <c r="C324" s="1490"/>
      <c r="E324" s="1433"/>
      <c r="F324" s="1821"/>
      <c r="G324" s="1795"/>
      <c r="H324" s="1815"/>
      <c r="I324" s="1802" t="s">
        <v>41</v>
      </c>
      <c r="J324" s="1803" t="s">
        <v>159</v>
      </c>
      <c r="K324" s="1804" t="s">
        <v>42</v>
      </c>
      <c r="L324" s="1805" t="s">
        <v>169</v>
      </c>
      <c r="M324" s="1802"/>
      <c r="N324" s="1802"/>
      <c r="O324" s="1809"/>
      <c r="Q324" s="1433"/>
      <c r="S324" s="1433"/>
      <c r="T324" s="1433"/>
      <c r="U324" s="1433"/>
      <c r="V324" s="1433"/>
      <c r="W324" s="1433"/>
      <c r="X324" s="1433"/>
      <c r="Y324" s="1433"/>
      <c r="Z324" s="1433"/>
      <c r="AA324" s="1433"/>
      <c r="AB324" s="1433"/>
      <c r="AC324" s="1433"/>
      <c r="AD324" s="1433"/>
      <c r="AE324" s="1433"/>
      <c r="AF324" s="1433"/>
      <c r="AG324" s="1433"/>
      <c r="AH324" s="1433"/>
      <c r="AI324" s="1433"/>
      <c r="AJ324" s="1433"/>
      <c r="AK324" s="1433"/>
      <c r="AL324" s="1433"/>
      <c r="AM324" s="1433"/>
      <c r="AN324" s="1433"/>
      <c r="AO324" s="1433"/>
      <c r="AP324" s="1433"/>
      <c r="AQ324" s="1433"/>
      <c r="AR324" s="1433"/>
      <c r="AS324" s="1433"/>
      <c r="AT324" s="1433"/>
      <c r="AV324" s="1433"/>
      <c r="BJ324" s="1433"/>
      <c r="BK324" s="1433"/>
      <c r="BL324" s="1433"/>
      <c r="BM324" s="1433"/>
      <c r="BN324" s="1433"/>
      <c r="BO324" s="1433"/>
      <c r="BP324" s="1433"/>
      <c r="BQ324" s="1433"/>
      <c r="BR324" s="1433"/>
      <c r="BS324" s="1433"/>
      <c r="BT324" s="1433"/>
      <c r="BU324" s="1433"/>
      <c r="BV324" s="1433"/>
      <c r="BW324" s="1433"/>
      <c r="BX324" s="1433"/>
      <c r="BY324" s="1444"/>
      <c r="BZ324" s="1444"/>
      <c r="CA324" s="1444"/>
      <c r="CB324" s="1444"/>
      <c r="CC324" s="1433"/>
      <c r="CD324" s="1433"/>
      <c r="CE324" s="1433"/>
      <c r="CF324" s="1433"/>
      <c r="CG324" s="1433"/>
      <c r="CH324" s="1433"/>
      <c r="CI324" s="1433"/>
      <c r="CJ324" s="1433"/>
      <c r="CK324" s="1433"/>
      <c r="CL324" s="1433"/>
      <c r="CM324" s="1433"/>
      <c r="CN324" s="1433"/>
      <c r="CO324" s="1414"/>
      <c r="CQ324" s="1433"/>
      <c r="CR324" s="1433"/>
      <c r="CS324" s="1433"/>
      <c r="CT324" s="1433"/>
      <c r="CU324" s="1433"/>
      <c r="CV324" s="1822"/>
      <c r="CW324" s="1433"/>
      <c r="CX324" s="1433"/>
      <c r="CY324" s="1433"/>
      <c r="CZ324" s="1433"/>
      <c r="DA324" s="1433"/>
      <c r="DB324" s="1433"/>
      <c r="DC324" s="1433"/>
      <c r="DD324" s="1433"/>
      <c r="DE324" s="1433"/>
      <c r="DF324" s="1433"/>
      <c r="DG324" s="1433"/>
      <c r="DH324" s="1433"/>
      <c r="DI324" s="1433"/>
      <c r="DJ324" s="1433"/>
      <c r="DK324" s="1433"/>
      <c r="DL324" s="1433"/>
      <c r="DM324" s="1433"/>
      <c r="DN324" s="1433"/>
      <c r="DO324" s="1433"/>
      <c r="DP324" s="1433"/>
      <c r="DQ324" s="1433"/>
      <c r="DR324" s="1433"/>
      <c r="DS324" s="1433"/>
      <c r="DT324" s="1433"/>
      <c r="DU324" s="1433"/>
      <c r="DV324" s="1433"/>
      <c r="DW324" s="1433"/>
      <c r="DX324" s="1433"/>
      <c r="DY324" s="1433"/>
      <c r="DZ324" s="1433"/>
      <c r="EA324" s="1433"/>
      <c r="EB324" s="1433"/>
      <c r="EC324" s="1433"/>
      <c r="ED324" s="1433"/>
      <c r="EE324" s="1433"/>
      <c r="EF324" s="1433"/>
      <c r="EG324" s="1433"/>
      <c r="EH324" s="1433"/>
      <c r="EI324" s="1433"/>
      <c r="EJ324" s="1417"/>
    </row>
    <row r="325" spans="1:140" s="1441" customFormat="1" ht="12" hidden="1">
      <c r="A325" s="1490"/>
      <c r="B325" s="1342"/>
      <c r="C325" s="1488"/>
      <c r="E325" s="1433"/>
      <c r="F325" s="1808" t="s">
        <v>170</v>
      </c>
      <c r="G325" s="1809"/>
      <c r="H325" s="1815"/>
      <c r="I325" s="1810">
        <f t="shared" ref="I325:M334" si="3659">+I292-I261</f>
        <v>-871.72500000003492</v>
      </c>
      <c r="J325" s="1810">
        <f t="shared" si="3659"/>
        <v>0</v>
      </c>
      <c r="K325" s="1810">
        <f t="shared" si="3659"/>
        <v>3761.7750000000015</v>
      </c>
      <c r="L325" s="1810">
        <f t="shared" si="3659"/>
        <v>0</v>
      </c>
      <c r="M325" s="1810">
        <f t="shared" si="3659"/>
        <v>-2890.05</v>
      </c>
      <c r="N325" s="1810">
        <f t="shared" ref="N325:N348" si="3660">SUM(I325:M325)</f>
        <v>-3.3651303965598345E-11</v>
      </c>
      <c r="O325" s="1809"/>
      <c r="Q325" s="1433"/>
      <c r="S325" s="1433"/>
      <c r="T325" s="1433"/>
      <c r="U325" s="1433"/>
      <c r="V325" s="1433"/>
      <c r="W325" s="1433"/>
      <c r="X325" s="1433"/>
      <c r="Y325" s="1433"/>
      <c r="Z325" s="1433"/>
      <c r="AA325" s="1433"/>
      <c r="AB325" s="1433"/>
      <c r="AC325" s="1433"/>
      <c r="AD325" s="1433"/>
      <c r="AE325" s="1433"/>
      <c r="AF325" s="1433"/>
      <c r="AG325" s="1433"/>
      <c r="AH325" s="1433"/>
      <c r="AI325" s="1433"/>
      <c r="AJ325" s="1433"/>
      <c r="AK325" s="1433"/>
      <c r="AL325" s="1433"/>
      <c r="AM325" s="1433"/>
      <c r="AN325" s="1433"/>
      <c r="AO325" s="1433"/>
      <c r="AP325" s="1433"/>
      <c r="AQ325" s="1433"/>
      <c r="AR325" s="1433"/>
      <c r="AS325" s="1433"/>
      <c r="AT325" s="1433"/>
      <c r="AV325" s="1433"/>
      <c r="BJ325" s="1433"/>
      <c r="BK325" s="1433"/>
      <c r="BL325" s="1433"/>
      <c r="BM325" s="1433"/>
      <c r="BN325" s="1433"/>
      <c r="BO325" s="1433"/>
      <c r="BP325" s="1433"/>
      <c r="BQ325" s="1433"/>
      <c r="BR325" s="1433"/>
      <c r="BS325" s="1433"/>
      <c r="BT325" s="1433"/>
      <c r="BU325" s="1433"/>
      <c r="BV325" s="1433"/>
      <c r="BW325" s="1433"/>
      <c r="BX325" s="1433"/>
      <c r="BY325" s="1444"/>
      <c r="BZ325" s="1444"/>
      <c r="CA325" s="1444"/>
      <c r="CB325" s="1444"/>
      <c r="CC325" s="1433"/>
      <c r="CD325" s="1433"/>
      <c r="CE325" s="1433"/>
      <c r="CF325" s="1433"/>
      <c r="CG325" s="1433"/>
      <c r="CH325" s="1433"/>
      <c r="CI325" s="1433"/>
      <c r="CJ325" s="1433"/>
      <c r="CK325" s="1433"/>
      <c r="CL325" s="1433"/>
      <c r="CM325" s="1433"/>
      <c r="CN325" s="1433"/>
      <c r="CO325" s="1414"/>
      <c r="CQ325" s="1433"/>
      <c r="CR325" s="1433"/>
      <c r="CS325" s="1433"/>
      <c r="CT325" s="1433"/>
      <c r="CU325" s="1433"/>
      <c r="CV325" s="1433"/>
      <c r="CW325" s="1433"/>
      <c r="CX325" s="1433"/>
      <c r="CY325" s="1433"/>
      <c r="CZ325" s="1433"/>
      <c r="DA325" s="1433"/>
      <c r="DB325" s="1433"/>
      <c r="DC325" s="1433"/>
      <c r="DD325" s="1433"/>
      <c r="DE325" s="1433"/>
      <c r="DF325" s="1433"/>
      <c r="DG325" s="1433"/>
      <c r="DH325" s="1433"/>
      <c r="DI325" s="1433"/>
      <c r="DJ325" s="1433"/>
      <c r="DK325" s="1433"/>
      <c r="DL325" s="1433"/>
      <c r="DM325" s="1433"/>
      <c r="DN325" s="1433"/>
      <c r="DO325" s="1433"/>
      <c r="DP325" s="1433"/>
      <c r="DQ325" s="1433"/>
      <c r="DR325" s="1433"/>
      <c r="DS325" s="1433"/>
      <c r="DT325" s="1433"/>
      <c r="DU325" s="1433"/>
      <c r="DV325" s="1433"/>
      <c r="DW325" s="1433"/>
      <c r="DX325" s="1433"/>
      <c r="DY325" s="1433"/>
      <c r="DZ325" s="1433"/>
      <c r="EA325" s="1433"/>
      <c r="EB325" s="1433"/>
      <c r="EC325" s="1433"/>
      <c r="ED325" s="1433"/>
      <c r="EE325" s="1433"/>
      <c r="EF325" s="1433"/>
      <c r="EG325" s="1433"/>
      <c r="EH325" s="1433"/>
      <c r="EI325" s="1433"/>
      <c r="EJ325" s="1417"/>
    </row>
    <row r="326" spans="1:140" s="1441" customFormat="1" ht="12" hidden="1">
      <c r="A326" s="1490"/>
      <c r="B326" s="1342"/>
      <c r="C326" s="1490"/>
      <c r="E326" s="1433"/>
      <c r="F326" s="1808" t="s">
        <v>171</v>
      </c>
      <c r="G326" s="1809"/>
      <c r="H326" s="1815"/>
      <c r="I326" s="1810">
        <f t="shared" si="3659"/>
        <v>-19527.319961000001</v>
      </c>
      <c r="J326" s="1810">
        <f t="shared" si="3659"/>
        <v>0</v>
      </c>
      <c r="K326" s="1810">
        <f t="shared" si="3659"/>
        <v>-5726.3405190000003</v>
      </c>
      <c r="L326" s="1810">
        <f t="shared" si="3659"/>
        <v>0</v>
      </c>
      <c r="M326" s="1810">
        <f t="shared" si="3659"/>
        <v>0</v>
      </c>
      <c r="N326" s="1810">
        <f t="shared" si="3660"/>
        <v>-25253.660480000002</v>
      </c>
      <c r="O326" s="1809"/>
      <c r="Q326" s="1433"/>
      <c r="S326" s="1433"/>
      <c r="T326" s="1433"/>
      <c r="U326" s="1433"/>
      <c r="V326" s="1433"/>
      <c r="W326" s="1433"/>
      <c r="X326" s="1433"/>
      <c r="Y326" s="1433"/>
      <c r="Z326" s="1433"/>
      <c r="AA326" s="1433"/>
      <c r="AB326" s="1433"/>
      <c r="AC326" s="1433"/>
      <c r="AD326" s="1433"/>
      <c r="AE326" s="1433"/>
      <c r="AF326" s="1433"/>
      <c r="AG326" s="1433"/>
      <c r="AH326" s="1433"/>
      <c r="AI326" s="1433"/>
      <c r="AJ326" s="1433"/>
      <c r="AK326" s="1433"/>
      <c r="AL326" s="1433"/>
      <c r="AM326" s="1433"/>
      <c r="AN326" s="1433"/>
      <c r="AO326" s="1433"/>
      <c r="AP326" s="1433"/>
      <c r="AQ326" s="1433"/>
      <c r="AR326" s="1433"/>
      <c r="AS326" s="1433"/>
      <c r="AT326" s="1433"/>
      <c r="AV326" s="1433"/>
      <c r="BJ326" s="1433"/>
      <c r="BK326" s="1433"/>
      <c r="BL326" s="1433"/>
      <c r="BM326" s="1433"/>
      <c r="BN326" s="1433"/>
      <c r="BO326" s="1433"/>
      <c r="BP326" s="1433"/>
      <c r="BQ326" s="1433"/>
      <c r="BR326" s="1433"/>
      <c r="BS326" s="1433"/>
      <c r="BT326" s="1433"/>
      <c r="BU326" s="1433"/>
      <c r="BV326" s="1433"/>
      <c r="BW326" s="1433"/>
      <c r="BX326" s="1433"/>
      <c r="BY326" s="1444"/>
      <c r="BZ326" s="1444"/>
      <c r="CA326" s="1444"/>
      <c r="CB326" s="1444"/>
      <c r="CC326" s="1433"/>
      <c r="CD326" s="1433"/>
      <c r="CE326" s="1433"/>
      <c r="CF326" s="1433"/>
      <c r="CG326" s="1433"/>
      <c r="CH326" s="1433"/>
      <c r="CI326" s="1433"/>
      <c r="CJ326" s="1433"/>
      <c r="CK326" s="1433"/>
      <c r="CL326" s="1433"/>
      <c r="CM326" s="1433"/>
      <c r="CN326" s="1433"/>
      <c r="CO326" s="1414"/>
      <c r="CQ326" s="1433"/>
      <c r="CR326" s="1433"/>
      <c r="CS326" s="1433"/>
      <c r="CT326" s="1433"/>
      <c r="CU326" s="1811"/>
      <c r="CV326" s="1811"/>
      <c r="CW326" s="1433"/>
      <c r="CX326" s="1433"/>
      <c r="CY326" s="1433"/>
      <c r="CZ326" s="1433"/>
      <c r="DA326" s="1433"/>
      <c r="DB326" s="1433"/>
      <c r="DC326" s="1433"/>
      <c r="DD326" s="1433"/>
      <c r="DE326" s="1433"/>
      <c r="DF326" s="1433"/>
      <c r="DG326" s="1433"/>
      <c r="DH326" s="1433"/>
      <c r="DI326" s="1433"/>
      <c r="DJ326" s="1433"/>
      <c r="DK326" s="1433"/>
      <c r="DL326" s="1433"/>
      <c r="DM326" s="1433"/>
      <c r="DN326" s="1433"/>
      <c r="DO326" s="1433"/>
      <c r="DP326" s="1433"/>
      <c r="DQ326" s="1433"/>
      <c r="DR326" s="1433"/>
      <c r="DS326" s="1433"/>
      <c r="DT326" s="1433"/>
      <c r="DU326" s="1433"/>
      <c r="DV326" s="1433"/>
      <c r="DW326" s="1433"/>
      <c r="DX326" s="1433"/>
      <c r="DY326" s="1433"/>
      <c r="DZ326" s="1433"/>
      <c r="EA326" s="1433"/>
      <c r="EB326" s="1433"/>
      <c r="EC326" s="1433"/>
      <c r="ED326" s="1433"/>
      <c r="EE326" s="1433"/>
      <c r="EF326" s="1433"/>
      <c r="EG326" s="1433"/>
      <c r="EH326" s="1433"/>
      <c r="EI326" s="1433"/>
      <c r="EJ326" s="1417"/>
    </row>
    <row r="327" spans="1:140" s="1441" customFormat="1" ht="12" hidden="1">
      <c r="A327" s="1490"/>
      <c r="B327" s="1342"/>
      <c r="C327" s="1490"/>
      <c r="E327" s="1433"/>
      <c r="F327" s="1808" t="s">
        <v>172</v>
      </c>
      <c r="G327" s="1809"/>
      <c r="H327" s="1815"/>
      <c r="I327" s="1810">
        <f t="shared" si="3659"/>
        <v>-45614.565097099992</v>
      </c>
      <c r="J327" s="1810">
        <f t="shared" si="3659"/>
        <v>0</v>
      </c>
      <c r="K327" s="1810">
        <f t="shared" si="3659"/>
        <v>-35297.350097099996</v>
      </c>
      <c r="L327" s="1810">
        <f t="shared" si="3659"/>
        <v>0</v>
      </c>
      <c r="M327" s="1810">
        <f t="shared" si="3659"/>
        <v>-10469.492795133332</v>
      </c>
      <c r="N327" s="1810">
        <f t="shared" si="3660"/>
        <v>-91381.407989333326</v>
      </c>
      <c r="O327" s="1809"/>
      <c r="Q327" s="1433"/>
      <c r="S327" s="1433"/>
      <c r="T327" s="1433"/>
      <c r="U327" s="1433"/>
      <c r="V327" s="1433"/>
      <c r="W327" s="1433"/>
      <c r="X327" s="1433"/>
      <c r="Y327" s="1433"/>
      <c r="Z327" s="1433"/>
      <c r="AA327" s="1433"/>
      <c r="AB327" s="1433"/>
      <c r="AC327" s="1433"/>
      <c r="AD327" s="1433"/>
      <c r="AE327" s="1433"/>
      <c r="AF327" s="1433"/>
      <c r="AG327" s="1433"/>
      <c r="AH327" s="1433"/>
      <c r="AI327" s="1433"/>
      <c r="AJ327" s="1433"/>
      <c r="AK327" s="1433"/>
      <c r="AL327" s="1433"/>
      <c r="AM327" s="1433"/>
      <c r="AN327" s="1433"/>
      <c r="AO327" s="1433"/>
      <c r="AP327" s="1433"/>
      <c r="AQ327" s="1433"/>
      <c r="AR327" s="1433"/>
      <c r="AS327" s="1433"/>
      <c r="AT327" s="1433"/>
      <c r="AV327" s="1433"/>
      <c r="BJ327" s="1433"/>
      <c r="BK327" s="1433"/>
      <c r="BL327" s="1433"/>
      <c r="BM327" s="1433"/>
      <c r="BN327" s="1433"/>
      <c r="BO327" s="1433"/>
      <c r="BP327" s="1433"/>
      <c r="BQ327" s="1433"/>
      <c r="BR327" s="1433"/>
      <c r="BS327" s="1433"/>
      <c r="BT327" s="1433"/>
      <c r="BU327" s="1433"/>
      <c r="BV327" s="1433"/>
      <c r="BW327" s="1433"/>
      <c r="BX327" s="1433"/>
      <c r="BY327" s="1444"/>
      <c r="BZ327" s="1444"/>
      <c r="CA327" s="1444"/>
      <c r="CB327" s="1444"/>
      <c r="CC327" s="1433"/>
      <c r="CD327" s="1433"/>
      <c r="CE327" s="1433"/>
      <c r="CF327" s="1433"/>
      <c r="CG327" s="1433"/>
      <c r="CH327" s="1433"/>
      <c r="CI327" s="1433"/>
      <c r="CJ327" s="1433"/>
      <c r="CK327" s="1433"/>
      <c r="CL327" s="1433"/>
      <c r="CM327" s="1433"/>
      <c r="CN327" s="1433"/>
      <c r="CO327" s="1414"/>
      <c r="CQ327" s="1433"/>
      <c r="CR327" s="1433"/>
      <c r="CS327" s="1433"/>
      <c r="CT327" s="1433"/>
      <c r="CU327" s="1811"/>
      <c r="CV327" s="1811"/>
      <c r="CW327" s="1433"/>
      <c r="CX327" s="1433"/>
      <c r="CY327" s="1433"/>
      <c r="CZ327" s="1433"/>
      <c r="DA327" s="1433"/>
      <c r="DB327" s="1433"/>
      <c r="DC327" s="1433"/>
      <c r="DD327" s="1433"/>
      <c r="DE327" s="1433"/>
      <c r="DF327" s="1433"/>
      <c r="DG327" s="1433"/>
      <c r="DH327" s="1433"/>
      <c r="DI327" s="1433"/>
      <c r="DJ327" s="1433"/>
      <c r="DK327" s="1433"/>
      <c r="DL327" s="1433"/>
      <c r="DM327" s="1433"/>
      <c r="DN327" s="1433"/>
      <c r="DO327" s="1433"/>
      <c r="DP327" s="1433"/>
      <c r="DQ327" s="1433"/>
      <c r="DR327" s="1433"/>
      <c r="DS327" s="1433"/>
      <c r="DT327" s="1433"/>
      <c r="DU327" s="1433"/>
      <c r="DV327" s="1433"/>
      <c r="DW327" s="1433"/>
      <c r="DX327" s="1433"/>
      <c r="DY327" s="1433"/>
      <c r="DZ327" s="1433"/>
      <c r="EA327" s="1433"/>
      <c r="EB327" s="1433"/>
      <c r="EC327" s="1433"/>
      <c r="ED327" s="1433"/>
      <c r="EE327" s="1433"/>
      <c r="EF327" s="1433"/>
      <c r="EG327" s="1433"/>
      <c r="EH327" s="1433"/>
      <c r="EI327" s="1433"/>
      <c r="EJ327" s="1417"/>
    </row>
    <row r="328" spans="1:140" s="1441" customFormat="1" ht="12" hidden="1">
      <c r="A328" s="1490"/>
      <c r="B328" s="1342"/>
      <c r="C328" s="1490"/>
      <c r="E328" s="1433"/>
      <c r="F328" s="1808" t="s">
        <v>173</v>
      </c>
      <c r="G328" s="1809"/>
      <c r="H328" s="1815"/>
      <c r="I328" s="1810">
        <f t="shared" si="3659"/>
        <v>-36088.475633000002</v>
      </c>
      <c r="J328" s="1810">
        <f t="shared" si="3659"/>
        <v>0</v>
      </c>
      <c r="K328" s="1810">
        <f t="shared" si="3659"/>
        <v>0</v>
      </c>
      <c r="L328" s="1810">
        <f t="shared" si="3659"/>
        <v>0</v>
      </c>
      <c r="M328" s="1810">
        <f t="shared" si="3659"/>
        <v>0</v>
      </c>
      <c r="N328" s="1810">
        <f t="shared" si="3660"/>
        <v>-36088.475633000002</v>
      </c>
      <c r="O328" s="1809"/>
      <c r="Q328" s="1433"/>
      <c r="S328" s="1433"/>
      <c r="T328" s="1433"/>
      <c r="U328" s="1433"/>
      <c r="V328" s="1433"/>
      <c r="W328" s="1433"/>
      <c r="X328" s="1433"/>
      <c r="Y328" s="1433"/>
      <c r="Z328" s="1433"/>
      <c r="AA328" s="1433"/>
      <c r="AB328" s="1433"/>
      <c r="AC328" s="1433"/>
      <c r="AD328" s="1433"/>
      <c r="AE328" s="1433"/>
      <c r="AF328" s="1433"/>
      <c r="AG328" s="1433"/>
      <c r="AH328" s="1433"/>
      <c r="AI328" s="1433"/>
      <c r="AJ328" s="1433"/>
      <c r="AK328" s="1433"/>
      <c r="AL328" s="1433"/>
      <c r="AM328" s="1433"/>
      <c r="AN328" s="1433"/>
      <c r="AO328" s="1433"/>
      <c r="AP328" s="1433"/>
      <c r="AQ328" s="1433"/>
      <c r="AR328" s="1433"/>
      <c r="AS328" s="1433"/>
      <c r="AT328" s="1433"/>
      <c r="AV328" s="1433"/>
      <c r="BJ328" s="1433"/>
      <c r="BK328" s="1433"/>
      <c r="BL328" s="1433"/>
      <c r="BM328" s="1433"/>
      <c r="BN328" s="1433"/>
      <c r="BO328" s="1433"/>
      <c r="BP328" s="1433"/>
      <c r="BQ328" s="1433"/>
      <c r="BR328" s="1433"/>
      <c r="BS328" s="1433"/>
      <c r="BT328" s="1433"/>
      <c r="BU328" s="1433"/>
      <c r="BV328" s="1433"/>
      <c r="BW328" s="1433"/>
      <c r="BX328" s="1433"/>
      <c r="BY328" s="1444"/>
      <c r="BZ328" s="1444"/>
      <c r="CA328" s="1444"/>
      <c r="CB328" s="1444"/>
      <c r="CC328" s="1433"/>
      <c r="CD328" s="1433"/>
      <c r="CE328" s="1433"/>
      <c r="CF328" s="1433"/>
      <c r="CG328" s="1433"/>
      <c r="CH328" s="1433"/>
      <c r="CI328" s="1433"/>
      <c r="CJ328" s="1433"/>
      <c r="CK328" s="1433"/>
      <c r="CL328" s="1433"/>
      <c r="CM328" s="1433"/>
      <c r="CN328" s="1433"/>
      <c r="CO328" s="1414"/>
      <c r="CQ328" s="1433"/>
      <c r="CR328" s="1433"/>
      <c r="CS328" s="1433"/>
      <c r="CT328" s="1433"/>
      <c r="CU328" s="1811"/>
      <c r="CV328" s="1811"/>
      <c r="CW328" s="1433"/>
      <c r="CX328" s="1433"/>
      <c r="CY328" s="1433"/>
      <c r="CZ328" s="1433"/>
      <c r="DA328" s="1433"/>
      <c r="DB328" s="1433"/>
      <c r="DC328" s="1433"/>
      <c r="DD328" s="1433"/>
      <c r="DE328" s="1433"/>
      <c r="DF328" s="1433"/>
      <c r="DG328" s="1433"/>
      <c r="DH328" s="1433"/>
      <c r="DI328" s="1433"/>
      <c r="DJ328" s="1433"/>
      <c r="DK328" s="1433"/>
      <c r="DL328" s="1433"/>
      <c r="DM328" s="1433"/>
      <c r="DN328" s="1433"/>
      <c r="DO328" s="1433"/>
      <c r="DP328" s="1433"/>
      <c r="DQ328" s="1433"/>
      <c r="DR328" s="1433"/>
      <c r="DS328" s="1433"/>
      <c r="DT328" s="1433"/>
      <c r="DU328" s="1433"/>
      <c r="DV328" s="1433"/>
      <c r="DW328" s="1433"/>
      <c r="DX328" s="1433"/>
      <c r="DY328" s="1433"/>
      <c r="DZ328" s="1433"/>
      <c r="EA328" s="1433"/>
      <c r="EB328" s="1433"/>
      <c r="EC328" s="1433"/>
      <c r="ED328" s="1433"/>
      <c r="EE328" s="1433"/>
      <c r="EF328" s="1433"/>
      <c r="EG328" s="1433"/>
      <c r="EH328" s="1433"/>
      <c r="EI328" s="1433"/>
      <c r="EJ328" s="1417"/>
    </row>
    <row r="329" spans="1:140" s="1441" customFormat="1" ht="12" hidden="1">
      <c r="A329" s="1490"/>
      <c r="B329" s="1342"/>
      <c r="C329" s="1490"/>
      <c r="E329" s="1433"/>
      <c r="F329" s="1808" t="s">
        <v>174</v>
      </c>
      <c r="G329" s="1809"/>
      <c r="H329" s="1815"/>
      <c r="I329" s="1810" t="e">
        <f t="shared" si="3659"/>
        <v>#REF!</v>
      </c>
      <c r="J329" s="1810" t="e">
        <f t="shared" si="3659"/>
        <v>#REF!</v>
      </c>
      <c r="K329" s="1810" t="e">
        <f t="shared" si="3659"/>
        <v>#REF!</v>
      </c>
      <c r="L329" s="1810" t="e">
        <f t="shared" si="3659"/>
        <v>#REF!</v>
      </c>
      <c r="M329" s="1810" t="e">
        <f t="shared" si="3659"/>
        <v>#REF!</v>
      </c>
      <c r="N329" s="1810" t="e">
        <f t="shared" si="3660"/>
        <v>#REF!</v>
      </c>
      <c r="O329" s="1809"/>
      <c r="Q329" s="1433"/>
      <c r="S329" s="1433"/>
      <c r="T329" s="1433"/>
      <c r="U329" s="1433"/>
      <c r="V329" s="1433"/>
      <c r="W329" s="1433"/>
      <c r="X329" s="1433"/>
      <c r="Y329" s="1433"/>
      <c r="Z329" s="1433"/>
      <c r="AA329" s="1433"/>
      <c r="AB329" s="1433"/>
      <c r="AC329" s="1433"/>
      <c r="AD329" s="1433"/>
      <c r="AE329" s="1433"/>
      <c r="AF329" s="1433"/>
      <c r="AG329" s="1433"/>
      <c r="AH329" s="1433"/>
      <c r="AI329" s="1433"/>
      <c r="AJ329" s="1433"/>
      <c r="AK329" s="1433"/>
      <c r="AL329" s="1433"/>
      <c r="AM329" s="1433"/>
      <c r="AN329" s="1433"/>
      <c r="AO329" s="1433"/>
      <c r="AP329" s="1433"/>
      <c r="AQ329" s="1433"/>
      <c r="AR329" s="1433"/>
      <c r="AS329" s="1433"/>
      <c r="AT329" s="1433"/>
      <c r="AV329" s="1433"/>
      <c r="BJ329" s="1433"/>
      <c r="BK329" s="1433"/>
      <c r="BL329" s="1433"/>
      <c r="BM329" s="1433"/>
      <c r="BN329" s="1433"/>
      <c r="BO329" s="1433"/>
      <c r="BP329" s="1433"/>
      <c r="BQ329" s="1433"/>
      <c r="BR329" s="1433"/>
      <c r="BS329" s="1433"/>
      <c r="BT329" s="1433"/>
      <c r="BU329" s="1433"/>
      <c r="BV329" s="1433"/>
      <c r="BW329" s="1433"/>
      <c r="BX329" s="1433"/>
      <c r="BY329" s="1444"/>
      <c r="BZ329" s="1444"/>
      <c r="CA329" s="1444"/>
      <c r="CB329" s="1444"/>
      <c r="CC329" s="1433"/>
      <c r="CD329" s="1433"/>
      <c r="CE329" s="1433"/>
      <c r="CF329" s="1433"/>
      <c r="CG329" s="1433"/>
      <c r="CH329" s="1433"/>
      <c r="CI329" s="1433"/>
      <c r="CJ329" s="1433"/>
      <c r="CK329" s="1433"/>
      <c r="CL329" s="1433"/>
      <c r="CM329" s="1433"/>
      <c r="CN329" s="1433"/>
      <c r="CO329" s="1414"/>
      <c r="CQ329" s="1433"/>
      <c r="CR329" s="1433"/>
      <c r="CS329" s="1433"/>
      <c r="CT329" s="1433"/>
      <c r="CU329" s="1811"/>
      <c r="CV329" s="1811"/>
      <c r="CW329" s="1433"/>
      <c r="CX329" s="1433"/>
      <c r="CY329" s="1433"/>
      <c r="CZ329" s="1433"/>
      <c r="DA329" s="1433"/>
      <c r="DB329" s="1433"/>
      <c r="DC329" s="1433"/>
      <c r="DD329" s="1433"/>
      <c r="DE329" s="1433"/>
      <c r="DF329" s="1433"/>
      <c r="DG329" s="1433"/>
      <c r="DH329" s="1433"/>
      <c r="DI329" s="1433"/>
      <c r="DJ329" s="1433"/>
      <c r="DK329" s="1433"/>
      <c r="DL329" s="1433"/>
      <c r="DM329" s="1433"/>
      <c r="DN329" s="1433"/>
      <c r="DO329" s="1433"/>
      <c r="DP329" s="1433"/>
      <c r="DQ329" s="1433"/>
      <c r="DR329" s="1433"/>
      <c r="DS329" s="1433"/>
      <c r="DT329" s="1433"/>
      <c r="DU329" s="1433"/>
      <c r="DV329" s="1433"/>
      <c r="DW329" s="1433"/>
      <c r="DX329" s="1433"/>
      <c r="DY329" s="1433"/>
      <c r="DZ329" s="1433"/>
      <c r="EA329" s="1433"/>
      <c r="EB329" s="1433"/>
      <c r="EC329" s="1433"/>
      <c r="ED329" s="1433"/>
      <c r="EE329" s="1433"/>
      <c r="EF329" s="1433"/>
      <c r="EG329" s="1433"/>
      <c r="EH329" s="1433"/>
      <c r="EI329" s="1433"/>
      <c r="EJ329" s="1417"/>
    </row>
    <row r="330" spans="1:140" s="1441" customFormat="1" ht="12" hidden="1">
      <c r="A330" s="1490"/>
      <c r="B330" s="1342"/>
      <c r="C330" s="1488"/>
      <c r="E330" s="1433"/>
      <c r="F330" s="1808" t="s">
        <v>175</v>
      </c>
      <c r="G330" s="1809"/>
      <c r="H330" s="1815"/>
      <c r="I330" s="1810">
        <f t="shared" si="3659"/>
        <v>-7381.2524725999992</v>
      </c>
      <c r="J330" s="1810">
        <f t="shared" si="3659"/>
        <v>0</v>
      </c>
      <c r="K330" s="1810">
        <f t="shared" si="3659"/>
        <v>-9954.5002831999991</v>
      </c>
      <c r="L330" s="1810">
        <f t="shared" si="3659"/>
        <v>0</v>
      </c>
      <c r="M330" s="1810">
        <f t="shared" si="3659"/>
        <v>-3732.9376062000001</v>
      </c>
      <c r="N330" s="1810">
        <f t="shared" si="3660"/>
        <v>-21068.690362000001</v>
      </c>
      <c r="O330" s="1809"/>
      <c r="Q330" s="1433"/>
      <c r="S330" s="1433"/>
      <c r="T330" s="1433"/>
      <c r="U330" s="1433"/>
      <c r="V330" s="1433"/>
      <c r="W330" s="1433"/>
      <c r="X330" s="1433"/>
      <c r="Y330" s="1433"/>
      <c r="Z330" s="1433"/>
      <c r="AA330" s="1433"/>
      <c r="AB330" s="1433"/>
      <c r="AC330" s="1433"/>
      <c r="AD330" s="1433"/>
      <c r="AE330" s="1433"/>
      <c r="AF330" s="1433"/>
      <c r="AG330" s="1433"/>
      <c r="AH330" s="1433"/>
      <c r="AI330" s="1433"/>
      <c r="AJ330" s="1433"/>
      <c r="AK330" s="1433"/>
      <c r="AL330" s="1433"/>
      <c r="AM330" s="1433"/>
      <c r="AN330" s="1433"/>
      <c r="AO330" s="1433"/>
      <c r="AP330" s="1433"/>
      <c r="AQ330" s="1433"/>
      <c r="AR330" s="1433"/>
      <c r="AS330" s="1433"/>
      <c r="AT330" s="1433"/>
      <c r="AV330" s="1433"/>
      <c r="BJ330" s="1433"/>
      <c r="BK330" s="1433"/>
      <c r="BL330" s="1433"/>
      <c r="BM330" s="1433"/>
      <c r="BN330" s="1433"/>
      <c r="BO330" s="1433"/>
      <c r="BP330" s="1433"/>
      <c r="BQ330" s="1433"/>
      <c r="BR330" s="1433"/>
      <c r="BS330" s="1433"/>
      <c r="BT330" s="1433"/>
      <c r="BU330" s="1433"/>
      <c r="BV330" s="1433"/>
      <c r="BW330" s="1433"/>
      <c r="BX330" s="1433"/>
      <c r="BY330" s="1444"/>
      <c r="BZ330" s="1444"/>
      <c r="CA330" s="1444"/>
      <c r="CB330" s="1444"/>
      <c r="CC330" s="1433"/>
      <c r="CD330" s="1433"/>
      <c r="CE330" s="1433"/>
      <c r="CF330" s="1433"/>
      <c r="CG330" s="1433"/>
      <c r="CH330" s="1433"/>
      <c r="CI330" s="1433"/>
      <c r="CJ330" s="1433"/>
      <c r="CK330" s="1433"/>
      <c r="CL330" s="1433"/>
      <c r="CM330" s="1433"/>
      <c r="CN330" s="1433"/>
      <c r="CO330" s="1414"/>
      <c r="CQ330" s="1433"/>
      <c r="CR330" s="1433"/>
      <c r="CS330" s="1433"/>
      <c r="CT330" s="1433"/>
      <c r="CU330" s="1811"/>
      <c r="CV330" s="1811"/>
      <c r="CW330" s="1433"/>
      <c r="CX330" s="1433"/>
      <c r="CY330" s="1433"/>
      <c r="CZ330" s="1433"/>
      <c r="DA330" s="1433"/>
      <c r="DB330" s="1433"/>
      <c r="DC330" s="1433"/>
      <c r="DD330" s="1433"/>
      <c r="DE330" s="1433"/>
      <c r="DF330" s="1433"/>
      <c r="DG330" s="1433"/>
      <c r="DH330" s="1433"/>
      <c r="DI330" s="1433"/>
      <c r="DJ330" s="1433"/>
      <c r="DK330" s="1433"/>
      <c r="DL330" s="1433"/>
      <c r="DM330" s="1433"/>
      <c r="DN330" s="1433"/>
      <c r="DO330" s="1433"/>
      <c r="DP330" s="1433"/>
      <c r="DQ330" s="1433"/>
      <c r="DR330" s="1433"/>
      <c r="DS330" s="1433"/>
      <c r="DT330" s="1433"/>
      <c r="DU330" s="1433"/>
      <c r="DV330" s="1433"/>
      <c r="DW330" s="1433"/>
      <c r="DX330" s="1433"/>
      <c r="DY330" s="1433"/>
      <c r="DZ330" s="1433"/>
      <c r="EA330" s="1433"/>
      <c r="EB330" s="1433"/>
      <c r="EC330" s="1433"/>
      <c r="ED330" s="1433"/>
      <c r="EE330" s="1433"/>
      <c r="EF330" s="1433"/>
      <c r="EG330" s="1433"/>
      <c r="EH330" s="1433"/>
      <c r="EI330" s="1433"/>
      <c r="EJ330" s="1417"/>
    </row>
    <row r="331" spans="1:140" s="1441" customFormat="1" ht="12" hidden="1">
      <c r="A331" s="1490"/>
      <c r="B331" s="1342"/>
      <c r="C331" s="1490"/>
      <c r="E331" s="1433"/>
      <c r="F331" s="1808" t="s">
        <v>176</v>
      </c>
      <c r="G331" s="1809"/>
      <c r="H331" s="1815"/>
      <c r="I331" s="1810">
        <f t="shared" si="3659"/>
        <v>-10238.300500000001</v>
      </c>
      <c r="J331" s="1810">
        <f t="shared" si="3659"/>
        <v>0</v>
      </c>
      <c r="K331" s="1810">
        <f t="shared" si="3659"/>
        <v>-4417.5944040000013</v>
      </c>
      <c r="L331" s="1810">
        <f t="shared" si="3659"/>
        <v>0</v>
      </c>
      <c r="M331" s="1810">
        <f t="shared" si="3659"/>
        <v>-3783.7197500000002</v>
      </c>
      <c r="N331" s="1810">
        <f t="shared" si="3660"/>
        <v>-18439.614654000005</v>
      </c>
      <c r="O331" s="1809"/>
      <c r="Q331" s="1433"/>
      <c r="S331" s="1433"/>
      <c r="T331" s="1433"/>
      <c r="U331" s="1433"/>
      <c r="V331" s="1433"/>
      <c r="W331" s="1433"/>
      <c r="X331" s="1433"/>
      <c r="Y331" s="1433"/>
      <c r="Z331" s="1433"/>
      <c r="AA331" s="1433"/>
      <c r="AB331" s="1433"/>
      <c r="AC331" s="1433"/>
      <c r="AD331" s="1433"/>
      <c r="AE331" s="1433"/>
      <c r="AF331" s="1433"/>
      <c r="AG331" s="1433"/>
      <c r="AH331" s="1433"/>
      <c r="AI331" s="1433"/>
      <c r="AJ331" s="1433"/>
      <c r="AK331" s="1433"/>
      <c r="AL331" s="1433"/>
      <c r="AM331" s="1433"/>
      <c r="AN331" s="1433"/>
      <c r="AO331" s="1433"/>
      <c r="AP331" s="1433"/>
      <c r="AQ331" s="1433"/>
      <c r="AR331" s="1433"/>
      <c r="AS331" s="1433"/>
      <c r="AT331" s="1433"/>
      <c r="AV331" s="1433"/>
      <c r="BJ331" s="1433"/>
      <c r="BK331" s="1433"/>
      <c r="BL331" s="1433"/>
      <c r="BM331" s="1433"/>
      <c r="BN331" s="1433"/>
      <c r="BO331" s="1433"/>
      <c r="BP331" s="1433"/>
      <c r="BQ331" s="1433"/>
      <c r="BR331" s="1433"/>
      <c r="BS331" s="1433"/>
      <c r="BT331" s="1433"/>
      <c r="BU331" s="1433"/>
      <c r="BV331" s="1433"/>
      <c r="BW331" s="1433"/>
      <c r="BX331" s="1433"/>
      <c r="BY331" s="1444"/>
      <c r="BZ331" s="1444"/>
      <c r="CA331" s="1444"/>
      <c r="CB331" s="1444"/>
      <c r="CC331" s="1433"/>
      <c r="CD331" s="1433"/>
      <c r="CE331" s="1433"/>
      <c r="CF331" s="1433"/>
      <c r="CG331" s="1433"/>
      <c r="CH331" s="1433"/>
      <c r="CI331" s="1433"/>
      <c r="CJ331" s="1433"/>
      <c r="CK331" s="1433"/>
      <c r="CL331" s="1433"/>
      <c r="CM331" s="1433"/>
      <c r="CN331" s="1433"/>
      <c r="CO331" s="1414"/>
      <c r="CQ331" s="1433"/>
      <c r="CR331" s="1433"/>
      <c r="CS331" s="1433"/>
      <c r="CT331" s="1433"/>
      <c r="CU331" s="1811"/>
      <c r="CV331" s="1811"/>
      <c r="CW331" s="1433"/>
      <c r="CX331" s="1433"/>
      <c r="CY331" s="1433"/>
      <c r="CZ331" s="1433"/>
      <c r="DA331" s="1433"/>
      <c r="DB331" s="1433"/>
      <c r="DC331" s="1433"/>
      <c r="DD331" s="1433"/>
      <c r="DE331" s="1433"/>
      <c r="DF331" s="1433"/>
      <c r="DG331" s="1433"/>
      <c r="DH331" s="1433"/>
      <c r="DI331" s="1433"/>
      <c r="DJ331" s="1433"/>
      <c r="DK331" s="1433"/>
      <c r="DL331" s="1433"/>
      <c r="DM331" s="1433"/>
      <c r="DN331" s="1433"/>
      <c r="DO331" s="1433"/>
      <c r="DP331" s="1433"/>
      <c r="DQ331" s="1433"/>
      <c r="DR331" s="1433"/>
      <c r="DS331" s="1433"/>
      <c r="DT331" s="1433"/>
      <c r="DU331" s="1433"/>
      <c r="DV331" s="1433"/>
      <c r="DW331" s="1433"/>
      <c r="DX331" s="1433"/>
      <c r="DY331" s="1433"/>
      <c r="DZ331" s="1433"/>
      <c r="EA331" s="1433"/>
      <c r="EB331" s="1433"/>
      <c r="EC331" s="1433"/>
      <c r="ED331" s="1433"/>
      <c r="EE331" s="1433"/>
      <c r="EF331" s="1433"/>
      <c r="EG331" s="1433"/>
      <c r="EH331" s="1433"/>
      <c r="EI331" s="1433"/>
      <c r="EJ331" s="1417"/>
    </row>
    <row r="332" spans="1:140" s="1441" customFormat="1" ht="12" hidden="1">
      <c r="A332" s="1490"/>
      <c r="B332" s="1342"/>
      <c r="C332" s="1490"/>
      <c r="E332" s="1433"/>
      <c r="F332" s="1808" t="s">
        <v>177</v>
      </c>
      <c r="G332" s="1809"/>
      <c r="H332" s="1815"/>
      <c r="I332" s="1810">
        <f t="shared" si="3659"/>
        <v>-13721.318487333332</v>
      </c>
      <c r="J332" s="1810">
        <f t="shared" si="3659"/>
        <v>0</v>
      </c>
      <c r="K332" s="1810">
        <f t="shared" si="3659"/>
        <v>-11865.579549999999</v>
      </c>
      <c r="L332" s="1810">
        <f t="shared" si="3659"/>
        <v>0</v>
      </c>
      <c r="M332" s="1810">
        <f t="shared" si="3659"/>
        <v>-3476.6422833333331</v>
      </c>
      <c r="N332" s="1810">
        <f t="shared" si="3660"/>
        <v>-29063.540320666667</v>
      </c>
      <c r="O332" s="1809"/>
      <c r="Q332" s="1433"/>
      <c r="S332" s="1433"/>
      <c r="T332" s="1433"/>
      <c r="U332" s="1433"/>
      <c r="V332" s="1433"/>
      <c r="W332" s="1433"/>
      <c r="X332" s="1433"/>
      <c r="Y332" s="1433"/>
      <c r="Z332" s="1433"/>
      <c r="AA332" s="1433"/>
      <c r="AB332" s="1433"/>
      <c r="AC332" s="1433"/>
      <c r="AD332" s="1433"/>
      <c r="AE332" s="1433"/>
      <c r="AF332" s="1433"/>
      <c r="AG332" s="1433"/>
      <c r="AH332" s="1433"/>
      <c r="AI332" s="1433"/>
      <c r="AJ332" s="1433"/>
      <c r="AK332" s="1433"/>
      <c r="AL332" s="1433"/>
      <c r="AM332" s="1433"/>
      <c r="AN332" s="1433"/>
      <c r="AO332" s="1433"/>
      <c r="AP332" s="1433"/>
      <c r="AQ332" s="1433"/>
      <c r="AR332" s="1433"/>
      <c r="AS332" s="1433"/>
      <c r="AT332" s="1433"/>
      <c r="AV332" s="1433"/>
      <c r="BJ332" s="1433"/>
      <c r="BK332" s="1433"/>
      <c r="BL332" s="1433"/>
      <c r="BM332" s="1433"/>
      <c r="BN332" s="1433"/>
      <c r="BO332" s="1433"/>
      <c r="BP332" s="1433"/>
      <c r="BQ332" s="1433"/>
      <c r="BR332" s="1433"/>
      <c r="BS332" s="1433"/>
      <c r="BT332" s="1433"/>
      <c r="BU332" s="1433"/>
      <c r="BV332" s="1433"/>
      <c r="BW332" s="1433"/>
      <c r="BX332" s="1433"/>
      <c r="BY332" s="1444"/>
      <c r="BZ332" s="1444"/>
      <c r="CA332" s="1444"/>
      <c r="CB332" s="1444"/>
      <c r="CC332" s="1433"/>
      <c r="CD332" s="1433"/>
      <c r="CE332" s="1433"/>
      <c r="CF332" s="1433"/>
      <c r="CG332" s="1433"/>
      <c r="CH332" s="1433"/>
      <c r="CI332" s="1433"/>
      <c r="CJ332" s="1433"/>
      <c r="CK332" s="1433"/>
      <c r="CL332" s="1433"/>
      <c r="CM332" s="1433"/>
      <c r="CN332" s="1433"/>
      <c r="CO332" s="1414"/>
      <c r="CQ332" s="1433"/>
      <c r="CR332" s="1433"/>
      <c r="CS332" s="1433"/>
      <c r="CT332" s="1433"/>
      <c r="CU332" s="1811"/>
      <c r="CV332" s="1811"/>
      <c r="CW332" s="1433"/>
      <c r="CX332" s="1433"/>
      <c r="CY332" s="1433"/>
      <c r="CZ332" s="1433"/>
      <c r="DA332" s="1433"/>
      <c r="DB332" s="1433"/>
      <c r="DC332" s="1433"/>
      <c r="DD332" s="1433"/>
      <c r="DE332" s="1433"/>
      <c r="DF332" s="1433"/>
      <c r="DG332" s="1433"/>
      <c r="DH332" s="1433"/>
      <c r="DI332" s="1433"/>
      <c r="DJ332" s="1433"/>
      <c r="DK332" s="1433"/>
      <c r="DL332" s="1433"/>
      <c r="DM332" s="1433"/>
      <c r="DN332" s="1433"/>
      <c r="DO332" s="1433"/>
      <c r="DP332" s="1433"/>
      <c r="DQ332" s="1433"/>
      <c r="DR332" s="1433"/>
      <c r="DS332" s="1433"/>
      <c r="DT332" s="1433"/>
      <c r="DU332" s="1433"/>
      <c r="DV332" s="1433"/>
      <c r="DW332" s="1433"/>
      <c r="DX332" s="1433"/>
      <c r="DY332" s="1433"/>
      <c r="DZ332" s="1433"/>
      <c r="EA332" s="1433"/>
      <c r="EB332" s="1433"/>
      <c r="EC332" s="1433"/>
      <c r="ED332" s="1433"/>
      <c r="EE332" s="1433"/>
      <c r="EF332" s="1433"/>
      <c r="EG332" s="1433"/>
      <c r="EH332" s="1433"/>
      <c r="EI332" s="1433"/>
      <c r="EJ332" s="1417"/>
    </row>
    <row r="333" spans="1:140" s="1441" customFormat="1" ht="12" hidden="1">
      <c r="A333" s="1490"/>
      <c r="B333" s="1342"/>
      <c r="C333" s="1490"/>
      <c r="E333" s="1433"/>
      <c r="F333" s="1808" t="s">
        <v>178</v>
      </c>
      <c r="G333" s="1809"/>
      <c r="H333" s="1815"/>
      <c r="I333" s="1810">
        <f t="shared" si="3659"/>
        <v>3937.5603460000002</v>
      </c>
      <c r="J333" s="1810">
        <f t="shared" si="3659"/>
        <v>0</v>
      </c>
      <c r="K333" s="1810">
        <f t="shared" si="3659"/>
        <v>0</v>
      </c>
      <c r="L333" s="1810">
        <f t="shared" si="3659"/>
        <v>0</v>
      </c>
      <c r="M333" s="1810">
        <f t="shared" si="3659"/>
        <v>0</v>
      </c>
      <c r="N333" s="1810">
        <f t="shared" si="3660"/>
        <v>3937.5603460000002</v>
      </c>
      <c r="O333" s="1809"/>
      <c r="Q333" s="1433"/>
      <c r="S333" s="1433"/>
      <c r="T333" s="1433"/>
      <c r="U333" s="1433"/>
      <c r="V333" s="1433"/>
      <c r="W333" s="1433"/>
      <c r="X333" s="1433"/>
      <c r="Y333" s="1433"/>
      <c r="Z333" s="1433"/>
      <c r="AA333" s="1433"/>
      <c r="AB333" s="1433"/>
      <c r="AC333" s="1433"/>
      <c r="AD333" s="1433"/>
      <c r="AE333" s="1433"/>
      <c r="AF333" s="1433"/>
      <c r="AG333" s="1433"/>
      <c r="AH333" s="1433"/>
      <c r="AI333" s="1433"/>
      <c r="AJ333" s="1433"/>
      <c r="AK333" s="1433"/>
      <c r="AL333" s="1433"/>
      <c r="AM333" s="1433"/>
      <c r="AN333" s="1433"/>
      <c r="AO333" s="1433"/>
      <c r="AP333" s="1433"/>
      <c r="AQ333" s="1433"/>
      <c r="AR333" s="1433"/>
      <c r="AS333" s="1433"/>
      <c r="AT333" s="1433"/>
      <c r="AV333" s="1433"/>
      <c r="BJ333" s="1433"/>
      <c r="BK333" s="1433"/>
      <c r="BL333" s="1433"/>
      <c r="BM333" s="1433"/>
      <c r="BN333" s="1433"/>
      <c r="BO333" s="1433"/>
      <c r="BP333" s="1433"/>
      <c r="BQ333" s="1433"/>
      <c r="BR333" s="1433"/>
      <c r="BS333" s="1433"/>
      <c r="BT333" s="1433"/>
      <c r="BU333" s="1433"/>
      <c r="BV333" s="1433"/>
      <c r="BW333" s="1433"/>
      <c r="BX333" s="1433"/>
      <c r="BY333" s="1444"/>
      <c r="BZ333" s="1444"/>
      <c r="CA333" s="1444"/>
      <c r="CB333" s="1444"/>
      <c r="CC333" s="1433"/>
      <c r="CD333" s="1433"/>
      <c r="CE333" s="1433"/>
      <c r="CF333" s="1433"/>
      <c r="CG333" s="1433"/>
      <c r="CH333" s="1433"/>
      <c r="CI333" s="1433"/>
      <c r="CJ333" s="1433"/>
      <c r="CK333" s="1433"/>
      <c r="CL333" s="1433"/>
      <c r="CM333" s="1433"/>
      <c r="CN333" s="1433"/>
      <c r="CO333" s="1414"/>
      <c r="CQ333" s="1433"/>
      <c r="CR333" s="1433"/>
      <c r="CS333" s="1433"/>
      <c r="CT333" s="1433"/>
      <c r="CU333" s="1811"/>
      <c r="CV333" s="1811"/>
      <c r="CW333" s="1433"/>
      <c r="CX333" s="1433"/>
      <c r="CY333" s="1433"/>
      <c r="CZ333" s="1433"/>
      <c r="DA333" s="1433"/>
      <c r="DB333" s="1433"/>
      <c r="DC333" s="1433"/>
      <c r="DD333" s="1433"/>
      <c r="DE333" s="1433"/>
      <c r="DF333" s="1433"/>
      <c r="DG333" s="1433"/>
      <c r="DH333" s="1433"/>
      <c r="DI333" s="1433"/>
      <c r="DJ333" s="1433"/>
      <c r="DK333" s="1433"/>
      <c r="DL333" s="1433"/>
      <c r="DM333" s="1433"/>
      <c r="DN333" s="1433"/>
      <c r="DO333" s="1433"/>
      <c r="DP333" s="1433"/>
      <c r="DQ333" s="1433"/>
      <c r="DR333" s="1433"/>
      <c r="DS333" s="1433"/>
      <c r="DT333" s="1433"/>
      <c r="DU333" s="1433"/>
      <c r="DV333" s="1433"/>
      <c r="DW333" s="1433"/>
      <c r="DX333" s="1433"/>
      <c r="DY333" s="1433"/>
      <c r="DZ333" s="1433"/>
      <c r="EA333" s="1433"/>
      <c r="EB333" s="1433"/>
      <c r="EC333" s="1433"/>
      <c r="ED333" s="1433"/>
      <c r="EE333" s="1433"/>
      <c r="EF333" s="1433"/>
      <c r="EG333" s="1433"/>
      <c r="EH333" s="1433"/>
      <c r="EI333" s="1433"/>
      <c r="EJ333" s="1417"/>
    </row>
    <row r="334" spans="1:140" s="1441" customFormat="1" ht="12" hidden="1">
      <c r="A334" s="1490"/>
      <c r="B334" s="1342"/>
      <c r="C334" s="1490"/>
      <c r="E334" s="1433"/>
      <c r="F334" s="1808" t="s">
        <v>179</v>
      </c>
      <c r="G334" s="1809"/>
      <c r="H334" s="1815"/>
      <c r="I334" s="1810">
        <f t="shared" si="3659"/>
        <v>21436.100134</v>
      </c>
      <c r="J334" s="1810">
        <f t="shared" si="3659"/>
        <v>0</v>
      </c>
      <c r="K334" s="1810">
        <f t="shared" si="3659"/>
        <v>3817.5603460000002</v>
      </c>
      <c r="L334" s="1810">
        <f t="shared" si="3659"/>
        <v>0</v>
      </c>
      <c r="M334" s="1810">
        <f t="shared" si="3659"/>
        <v>0</v>
      </c>
      <c r="N334" s="1810">
        <f t="shared" si="3660"/>
        <v>25253.660479999999</v>
      </c>
      <c r="O334" s="1809"/>
      <c r="Q334" s="1433"/>
      <c r="S334" s="1433"/>
      <c r="T334" s="1433"/>
      <c r="U334" s="1433"/>
      <c r="V334" s="1433"/>
      <c r="W334" s="1433"/>
      <c r="X334" s="1433"/>
      <c r="Y334" s="1433"/>
      <c r="Z334" s="1433"/>
      <c r="AA334" s="1433"/>
      <c r="AB334" s="1433"/>
      <c r="AC334" s="1433"/>
      <c r="AD334" s="1433"/>
      <c r="AE334" s="1433"/>
      <c r="AF334" s="1433"/>
      <c r="AG334" s="1433"/>
      <c r="AH334" s="1433"/>
      <c r="AI334" s="1433"/>
      <c r="AJ334" s="1433"/>
      <c r="AK334" s="1433"/>
      <c r="AL334" s="1433"/>
      <c r="AM334" s="1433"/>
      <c r="AN334" s="1433"/>
      <c r="AO334" s="1433"/>
      <c r="AP334" s="1433"/>
      <c r="AQ334" s="1433"/>
      <c r="AR334" s="1433"/>
      <c r="AS334" s="1433"/>
      <c r="AT334" s="1433"/>
      <c r="AV334" s="1433"/>
      <c r="BJ334" s="1433"/>
      <c r="BK334" s="1433"/>
      <c r="BL334" s="1433"/>
      <c r="BM334" s="1433"/>
      <c r="BN334" s="1433"/>
      <c r="BO334" s="1433"/>
      <c r="BP334" s="1433"/>
      <c r="BQ334" s="1433"/>
      <c r="BR334" s="1433"/>
      <c r="BS334" s="1433"/>
      <c r="BT334" s="1433"/>
      <c r="BU334" s="1433"/>
      <c r="BV334" s="1433"/>
      <c r="BW334" s="1433"/>
      <c r="BX334" s="1433"/>
      <c r="BY334" s="1444"/>
      <c r="BZ334" s="1444"/>
      <c r="CA334" s="1444"/>
      <c r="CB334" s="1444"/>
      <c r="CC334" s="1433"/>
      <c r="CD334" s="1433"/>
      <c r="CE334" s="1433"/>
      <c r="CF334" s="1433"/>
      <c r="CG334" s="1433"/>
      <c r="CH334" s="1433"/>
      <c r="CI334" s="1433"/>
      <c r="CJ334" s="1433"/>
      <c r="CK334" s="1433"/>
      <c r="CL334" s="1433"/>
      <c r="CM334" s="1433"/>
      <c r="CN334" s="1433"/>
      <c r="CO334" s="1414"/>
      <c r="CQ334" s="1433"/>
      <c r="CR334" s="1433"/>
      <c r="CS334" s="1433"/>
      <c r="CT334" s="1433"/>
      <c r="CU334" s="1811"/>
      <c r="CV334" s="1811"/>
      <c r="CW334" s="1433"/>
      <c r="CX334" s="1433"/>
      <c r="CY334" s="1433"/>
      <c r="CZ334" s="1433"/>
      <c r="DA334" s="1433"/>
      <c r="DB334" s="1433"/>
      <c r="DC334" s="1433"/>
      <c r="DD334" s="1433"/>
      <c r="DE334" s="1433"/>
      <c r="DF334" s="1433"/>
      <c r="DG334" s="1433"/>
      <c r="DH334" s="1433"/>
      <c r="DI334" s="1433"/>
      <c r="DJ334" s="1433"/>
      <c r="DK334" s="1433"/>
      <c r="DL334" s="1433"/>
      <c r="DM334" s="1433"/>
      <c r="DN334" s="1433"/>
      <c r="DO334" s="1433"/>
      <c r="DP334" s="1433"/>
      <c r="DQ334" s="1433"/>
      <c r="DR334" s="1433"/>
      <c r="DS334" s="1433"/>
      <c r="DT334" s="1433"/>
      <c r="DU334" s="1433"/>
      <c r="DV334" s="1433"/>
      <c r="DW334" s="1433"/>
      <c r="DX334" s="1433"/>
      <c r="DY334" s="1433"/>
      <c r="DZ334" s="1433"/>
      <c r="EA334" s="1433"/>
      <c r="EB334" s="1433"/>
      <c r="EC334" s="1433"/>
      <c r="ED334" s="1433"/>
      <c r="EE334" s="1433"/>
      <c r="EF334" s="1433"/>
      <c r="EG334" s="1433"/>
      <c r="EH334" s="1433"/>
      <c r="EI334" s="1433"/>
      <c r="EJ334" s="1417"/>
    </row>
    <row r="335" spans="1:140" s="1441" customFormat="1" ht="12" hidden="1">
      <c r="A335" s="1490"/>
      <c r="B335" s="1342"/>
      <c r="C335" s="1490"/>
      <c r="E335" s="1433"/>
      <c r="F335" s="1808" t="s">
        <v>180</v>
      </c>
      <c r="G335" s="1809"/>
      <c r="H335" s="1815"/>
      <c r="I335" s="1810">
        <f t="shared" ref="I335:M344" si="3661">+I302-I271</f>
        <v>0</v>
      </c>
      <c r="J335" s="1810">
        <f t="shared" si="3661"/>
        <v>0</v>
      </c>
      <c r="K335" s="1810">
        <f t="shared" si="3661"/>
        <v>0</v>
      </c>
      <c r="L335" s="1810">
        <f t="shared" si="3661"/>
        <v>0</v>
      </c>
      <c r="M335" s="1810">
        <f t="shared" si="3661"/>
        <v>0</v>
      </c>
      <c r="N335" s="1810">
        <f t="shared" si="3660"/>
        <v>0</v>
      </c>
      <c r="O335" s="1809"/>
      <c r="Q335" s="1433"/>
      <c r="S335" s="1433"/>
      <c r="T335" s="1433"/>
      <c r="U335" s="1433"/>
      <c r="V335" s="1433"/>
      <c r="W335" s="1433"/>
      <c r="X335" s="1433"/>
      <c r="Y335" s="1433"/>
      <c r="Z335" s="1433"/>
      <c r="AA335" s="1433"/>
      <c r="AB335" s="1433"/>
      <c r="AC335" s="1433"/>
      <c r="AD335" s="1433"/>
      <c r="AE335" s="1433"/>
      <c r="AF335" s="1433"/>
      <c r="AG335" s="1433"/>
      <c r="AH335" s="1433"/>
      <c r="AI335" s="1433"/>
      <c r="AJ335" s="1433"/>
      <c r="AK335" s="1433"/>
      <c r="AL335" s="1433"/>
      <c r="AM335" s="1433"/>
      <c r="AN335" s="1433"/>
      <c r="AO335" s="1433"/>
      <c r="AP335" s="1433"/>
      <c r="AQ335" s="1433"/>
      <c r="AR335" s="1433"/>
      <c r="AS335" s="1433"/>
      <c r="AT335" s="1433"/>
      <c r="AV335" s="1433"/>
      <c r="BJ335" s="1433"/>
      <c r="BK335" s="1433"/>
      <c r="BL335" s="1433"/>
      <c r="BM335" s="1433"/>
      <c r="BN335" s="1433"/>
      <c r="BO335" s="1433"/>
      <c r="BP335" s="1433"/>
      <c r="BQ335" s="1433"/>
      <c r="BR335" s="1433"/>
      <c r="BS335" s="1433"/>
      <c r="BT335" s="1433"/>
      <c r="BU335" s="1433"/>
      <c r="BV335" s="1433"/>
      <c r="BW335" s="1433"/>
      <c r="BX335" s="1433"/>
      <c r="BY335" s="1444"/>
      <c r="BZ335" s="1444"/>
      <c r="CA335" s="1444"/>
      <c r="CB335" s="1444"/>
      <c r="CC335" s="1433"/>
      <c r="CD335" s="1433"/>
      <c r="CE335" s="1433"/>
      <c r="CF335" s="1433"/>
      <c r="CG335" s="1433"/>
      <c r="CH335" s="1433"/>
      <c r="CI335" s="1433"/>
      <c r="CJ335" s="1433"/>
      <c r="CK335" s="1433"/>
      <c r="CL335" s="1433"/>
      <c r="CM335" s="1433"/>
      <c r="CN335" s="1433"/>
      <c r="CO335" s="1414"/>
      <c r="CQ335" s="1433"/>
      <c r="CR335" s="1433"/>
      <c r="CS335" s="1433"/>
      <c r="CT335" s="1433"/>
      <c r="CU335" s="1811"/>
      <c r="CV335" s="1811"/>
      <c r="CW335" s="1433"/>
      <c r="CX335" s="1433"/>
      <c r="CY335" s="1433"/>
      <c r="CZ335" s="1433"/>
      <c r="DA335" s="1433"/>
      <c r="DB335" s="1433"/>
      <c r="DC335" s="1433"/>
      <c r="DD335" s="1433"/>
      <c r="DE335" s="1433"/>
      <c r="DF335" s="1433"/>
      <c r="DG335" s="1433"/>
      <c r="DH335" s="1433"/>
      <c r="DI335" s="1433"/>
      <c r="DJ335" s="1433"/>
      <c r="DK335" s="1433"/>
      <c r="DL335" s="1433"/>
      <c r="DM335" s="1433"/>
      <c r="DN335" s="1433"/>
      <c r="DO335" s="1433"/>
      <c r="DP335" s="1433"/>
      <c r="DQ335" s="1433"/>
      <c r="DR335" s="1433"/>
      <c r="DS335" s="1433"/>
      <c r="DT335" s="1433"/>
      <c r="DU335" s="1433"/>
      <c r="DV335" s="1433"/>
      <c r="DW335" s="1433"/>
      <c r="DX335" s="1433"/>
      <c r="DY335" s="1433"/>
      <c r="DZ335" s="1433"/>
      <c r="EA335" s="1433"/>
      <c r="EB335" s="1433"/>
      <c r="EC335" s="1433"/>
      <c r="ED335" s="1433"/>
      <c r="EE335" s="1433"/>
      <c r="EF335" s="1433"/>
      <c r="EG335" s="1433"/>
      <c r="EH335" s="1433"/>
      <c r="EI335" s="1433"/>
      <c r="EJ335" s="1417"/>
    </row>
    <row r="336" spans="1:140" s="1441" customFormat="1" ht="12" hidden="1">
      <c r="A336" s="1490"/>
      <c r="B336" s="1342"/>
      <c r="C336" s="1490"/>
      <c r="E336" s="1433"/>
      <c r="F336" s="1808" t="s">
        <v>117</v>
      </c>
      <c r="G336" s="1809"/>
      <c r="H336" s="1815"/>
      <c r="I336" s="1810">
        <f t="shared" si="3661"/>
        <v>-11545.99</v>
      </c>
      <c r="J336" s="1810">
        <f t="shared" si="3661"/>
        <v>0</v>
      </c>
      <c r="K336" s="1810">
        <f t="shared" si="3661"/>
        <v>-15950.725</v>
      </c>
      <c r="L336" s="1810">
        <f t="shared" si="3661"/>
        <v>0</v>
      </c>
      <c r="M336" s="1810">
        <f t="shared" si="3661"/>
        <v>-1368.2449999999999</v>
      </c>
      <c r="N336" s="1810">
        <f t="shared" si="3660"/>
        <v>-28864.959999999999</v>
      </c>
      <c r="O336" s="1809"/>
      <c r="Q336" s="1433"/>
      <c r="S336" s="1433"/>
      <c r="T336" s="1433"/>
      <c r="U336" s="1433"/>
      <c r="V336" s="1433"/>
      <c r="W336" s="1433"/>
      <c r="X336" s="1433"/>
      <c r="Y336" s="1433"/>
      <c r="Z336" s="1433"/>
      <c r="AA336" s="1433"/>
      <c r="AB336" s="1433"/>
      <c r="AC336" s="1433"/>
      <c r="AD336" s="1433"/>
      <c r="AE336" s="1433"/>
      <c r="AF336" s="1433"/>
      <c r="AG336" s="1433"/>
      <c r="AH336" s="1433"/>
      <c r="AI336" s="1433"/>
      <c r="AJ336" s="1433"/>
      <c r="AK336" s="1433"/>
      <c r="AL336" s="1433"/>
      <c r="AM336" s="1433"/>
      <c r="AN336" s="1433"/>
      <c r="AO336" s="1433"/>
      <c r="AP336" s="1433"/>
      <c r="AQ336" s="1433"/>
      <c r="AR336" s="1433"/>
      <c r="AS336" s="1433"/>
      <c r="AT336" s="1433"/>
      <c r="AV336" s="1433"/>
      <c r="BJ336" s="1433"/>
      <c r="BK336" s="1433"/>
      <c r="BL336" s="1433"/>
      <c r="BM336" s="1433"/>
      <c r="BN336" s="1433"/>
      <c r="BO336" s="1433"/>
      <c r="BP336" s="1433"/>
      <c r="BQ336" s="1433"/>
      <c r="BR336" s="1433"/>
      <c r="BS336" s="1433"/>
      <c r="BT336" s="1433"/>
      <c r="BU336" s="1433"/>
      <c r="BV336" s="1433"/>
      <c r="BW336" s="1433"/>
      <c r="BX336" s="1433"/>
      <c r="BY336" s="1444"/>
      <c r="BZ336" s="1444"/>
      <c r="CA336" s="1444"/>
      <c r="CB336" s="1444"/>
      <c r="CC336" s="1433"/>
      <c r="CD336" s="1433"/>
      <c r="CE336" s="1433"/>
      <c r="CF336" s="1433"/>
      <c r="CG336" s="1433"/>
      <c r="CH336" s="1433"/>
      <c r="CI336" s="1433"/>
      <c r="CJ336" s="1433"/>
      <c r="CK336" s="1433"/>
      <c r="CL336" s="1433"/>
      <c r="CM336" s="1433"/>
      <c r="CN336" s="1433"/>
      <c r="CO336" s="1414"/>
      <c r="CQ336" s="1433"/>
      <c r="CR336" s="1433"/>
      <c r="CS336" s="1433"/>
      <c r="CT336" s="1433"/>
      <c r="CU336" s="1811"/>
      <c r="CV336" s="1811"/>
      <c r="CW336" s="1433"/>
      <c r="CX336" s="1433"/>
      <c r="CY336" s="1433"/>
      <c r="CZ336" s="1433"/>
      <c r="DA336" s="1433"/>
      <c r="DB336" s="1433"/>
      <c r="DC336" s="1433"/>
      <c r="DD336" s="1433"/>
      <c r="DE336" s="1433"/>
      <c r="DF336" s="1433"/>
      <c r="DG336" s="1433"/>
      <c r="DH336" s="1433"/>
      <c r="DI336" s="1433"/>
      <c r="DJ336" s="1433"/>
      <c r="DK336" s="1433"/>
      <c r="DL336" s="1433"/>
      <c r="DM336" s="1433"/>
      <c r="DN336" s="1433"/>
      <c r="DO336" s="1433"/>
      <c r="DP336" s="1433"/>
      <c r="DQ336" s="1433"/>
      <c r="DR336" s="1433"/>
      <c r="DS336" s="1433"/>
      <c r="DT336" s="1433"/>
      <c r="DU336" s="1433"/>
      <c r="DV336" s="1433"/>
      <c r="DW336" s="1433"/>
      <c r="DX336" s="1433"/>
      <c r="DY336" s="1433"/>
      <c r="DZ336" s="1433"/>
      <c r="EA336" s="1433"/>
      <c r="EB336" s="1433"/>
      <c r="EC336" s="1433"/>
      <c r="ED336" s="1433"/>
      <c r="EE336" s="1433"/>
      <c r="EF336" s="1433"/>
      <c r="EG336" s="1433"/>
      <c r="EH336" s="1433"/>
      <c r="EI336" s="1433"/>
      <c r="EJ336" s="1417"/>
    </row>
    <row r="337" spans="1:141" s="1441" customFormat="1" ht="12" hidden="1">
      <c r="A337" s="1490"/>
      <c r="B337" s="1342"/>
      <c r="C337" s="1490"/>
      <c r="E337" s="1433"/>
      <c r="F337" s="1808" t="s">
        <v>181</v>
      </c>
      <c r="G337" s="1809"/>
      <c r="H337" s="1815"/>
      <c r="I337" s="1810" t="e">
        <f>+I304-I273</f>
        <v>#REF!</v>
      </c>
      <c r="J337" s="1810" t="e">
        <f t="shared" si="3661"/>
        <v>#REF!</v>
      </c>
      <c r="K337" s="1810" t="e">
        <f t="shared" si="3661"/>
        <v>#REF!</v>
      </c>
      <c r="L337" s="1810" t="e">
        <f t="shared" si="3661"/>
        <v>#REF!</v>
      </c>
      <c r="M337" s="1810" t="e">
        <f t="shared" si="3661"/>
        <v>#REF!</v>
      </c>
      <c r="N337" s="1810" t="e">
        <f t="shared" si="3660"/>
        <v>#REF!</v>
      </c>
      <c r="O337" s="1809"/>
      <c r="Q337" s="1433"/>
      <c r="S337" s="1433"/>
      <c r="T337" s="1433"/>
      <c r="U337" s="1433"/>
      <c r="V337" s="1433"/>
      <c r="W337" s="1433"/>
      <c r="X337" s="1433"/>
      <c r="Y337" s="1433"/>
      <c r="Z337" s="1433"/>
      <c r="AA337" s="1433"/>
      <c r="AB337" s="1433"/>
      <c r="AC337" s="1433"/>
      <c r="AD337" s="1433"/>
      <c r="AE337" s="1433"/>
      <c r="AF337" s="1433"/>
      <c r="AG337" s="1433"/>
      <c r="AH337" s="1433"/>
      <c r="AI337" s="1433"/>
      <c r="AJ337" s="1433"/>
      <c r="AK337" s="1433"/>
      <c r="AL337" s="1433"/>
      <c r="AM337" s="1433"/>
      <c r="AN337" s="1433"/>
      <c r="AO337" s="1433"/>
      <c r="AP337" s="1433"/>
      <c r="AQ337" s="1433"/>
      <c r="AR337" s="1433"/>
      <c r="AS337" s="1433"/>
      <c r="AT337" s="1433"/>
      <c r="AV337" s="1433"/>
      <c r="BJ337" s="1433"/>
      <c r="BK337" s="1433"/>
      <c r="BL337" s="1433"/>
      <c r="BM337" s="1433"/>
      <c r="BN337" s="1433"/>
      <c r="BO337" s="1433"/>
      <c r="BP337" s="1433"/>
      <c r="BQ337" s="1433"/>
      <c r="BR337" s="1433"/>
      <c r="BS337" s="1433"/>
      <c r="BT337" s="1433"/>
      <c r="BU337" s="1433"/>
      <c r="BV337" s="1433"/>
      <c r="BW337" s="1433"/>
      <c r="BX337" s="1433"/>
      <c r="BY337" s="1444"/>
      <c r="BZ337" s="1444"/>
      <c r="CA337" s="1444"/>
      <c r="CB337" s="1444"/>
      <c r="CC337" s="1433"/>
      <c r="CD337" s="1433"/>
      <c r="CE337" s="1433"/>
      <c r="CF337" s="1433"/>
      <c r="CG337" s="1433"/>
      <c r="CH337" s="1433"/>
      <c r="CI337" s="1433"/>
      <c r="CJ337" s="1433"/>
      <c r="CK337" s="1433"/>
      <c r="CL337" s="1433"/>
      <c r="CM337" s="1433"/>
      <c r="CN337" s="1433"/>
      <c r="CO337" s="1414"/>
      <c r="CQ337" s="1433"/>
      <c r="CR337" s="1433"/>
      <c r="CS337" s="1433"/>
      <c r="CT337" s="1433"/>
      <c r="CU337" s="1823"/>
      <c r="CV337" s="1811"/>
      <c r="CW337" s="1433"/>
      <c r="CX337" s="1433"/>
      <c r="CY337" s="1433"/>
      <c r="CZ337" s="1433"/>
      <c r="DA337" s="1433"/>
      <c r="DB337" s="1433"/>
      <c r="DC337" s="1433"/>
      <c r="DD337" s="1433"/>
      <c r="DE337" s="1433"/>
      <c r="DF337" s="1433"/>
      <c r="DG337" s="1433"/>
      <c r="DH337" s="1433"/>
      <c r="DI337" s="1433"/>
      <c r="DJ337" s="1433"/>
      <c r="DK337" s="1433"/>
      <c r="DL337" s="1433"/>
      <c r="DM337" s="1433"/>
      <c r="DN337" s="1433"/>
      <c r="DO337" s="1433"/>
      <c r="DP337" s="1433"/>
      <c r="DQ337" s="1433"/>
      <c r="DR337" s="1433"/>
      <c r="DS337" s="1433"/>
      <c r="DT337" s="1433"/>
      <c r="DU337" s="1433"/>
      <c r="DV337" s="1433"/>
      <c r="DW337" s="1433"/>
      <c r="DX337" s="1433"/>
      <c r="DY337" s="1433"/>
      <c r="DZ337" s="1433"/>
      <c r="EA337" s="1433"/>
      <c r="EB337" s="1433"/>
      <c r="EC337" s="1433"/>
      <c r="ED337" s="1433"/>
      <c r="EE337" s="1433"/>
      <c r="EF337" s="1433"/>
      <c r="EG337" s="1433"/>
      <c r="EH337" s="1433"/>
      <c r="EI337" s="1433"/>
      <c r="EJ337" s="1417"/>
    </row>
    <row r="338" spans="1:141" s="1441" customFormat="1" ht="12" hidden="1">
      <c r="A338" s="1490"/>
      <c r="B338" s="1342"/>
      <c r="C338" s="1490"/>
      <c r="E338" s="1433"/>
      <c r="F338" s="1808" t="s">
        <v>182</v>
      </c>
      <c r="G338" s="1809"/>
      <c r="H338" s="1815"/>
      <c r="I338" s="1810" t="e">
        <f t="shared" si="3661"/>
        <v>#REF!</v>
      </c>
      <c r="J338" s="1810" t="e">
        <f t="shared" si="3661"/>
        <v>#REF!</v>
      </c>
      <c r="K338" s="1810" t="e">
        <f t="shared" si="3661"/>
        <v>#REF!</v>
      </c>
      <c r="L338" s="1810" t="e">
        <f t="shared" si="3661"/>
        <v>#REF!</v>
      </c>
      <c r="M338" s="1810" t="e">
        <f t="shared" si="3661"/>
        <v>#REF!</v>
      </c>
      <c r="N338" s="1810" t="e">
        <f t="shared" si="3660"/>
        <v>#REF!</v>
      </c>
      <c r="O338" s="1809"/>
      <c r="Q338" s="1433"/>
      <c r="S338" s="1433"/>
      <c r="T338" s="1433"/>
      <c r="U338" s="1433"/>
      <c r="V338" s="1433"/>
      <c r="W338" s="1433"/>
      <c r="X338" s="1433"/>
      <c r="Y338" s="1433"/>
      <c r="Z338" s="1433"/>
      <c r="AA338" s="1433"/>
      <c r="AB338" s="1433"/>
      <c r="AC338" s="1433"/>
      <c r="AD338" s="1433"/>
      <c r="AE338" s="1433"/>
      <c r="AF338" s="1433"/>
      <c r="AG338" s="1433"/>
      <c r="AH338" s="1433"/>
      <c r="AI338" s="1433"/>
      <c r="AJ338" s="1433"/>
      <c r="AK338" s="1433"/>
      <c r="AL338" s="1433"/>
      <c r="AM338" s="1433"/>
      <c r="AN338" s="1433"/>
      <c r="AO338" s="1433"/>
      <c r="AP338" s="1433"/>
      <c r="AQ338" s="1433"/>
      <c r="AR338" s="1433"/>
      <c r="AS338" s="1433"/>
      <c r="AT338" s="1433"/>
      <c r="AV338" s="1433"/>
      <c r="BJ338" s="1433"/>
      <c r="BK338" s="1433"/>
      <c r="BL338" s="1433"/>
      <c r="BM338" s="1433"/>
      <c r="BN338" s="1433"/>
      <c r="BO338" s="1433"/>
      <c r="BP338" s="1433"/>
      <c r="BQ338" s="1433"/>
      <c r="BR338" s="1433"/>
      <c r="BS338" s="1433"/>
      <c r="BT338" s="1433"/>
      <c r="BU338" s="1433"/>
      <c r="BV338" s="1433"/>
      <c r="BW338" s="1433"/>
      <c r="BX338" s="1433"/>
      <c r="BY338" s="1444"/>
      <c r="BZ338" s="1444"/>
      <c r="CA338" s="1444"/>
      <c r="CB338" s="1444"/>
      <c r="CC338" s="1433"/>
      <c r="CD338" s="1433"/>
      <c r="CE338" s="1433"/>
      <c r="CF338" s="1433"/>
      <c r="CG338" s="1433"/>
      <c r="CH338" s="1433"/>
      <c r="CI338" s="1433"/>
      <c r="CJ338" s="1433"/>
      <c r="CK338" s="1433"/>
      <c r="CL338" s="1433"/>
      <c r="CM338" s="1433"/>
      <c r="CN338" s="1433"/>
      <c r="CO338" s="1414"/>
      <c r="CQ338" s="1433"/>
      <c r="CR338" s="1433"/>
      <c r="CS338" s="1433"/>
      <c r="CT338" s="1433"/>
      <c r="CU338" s="1823"/>
      <c r="CV338" s="1811"/>
      <c r="CW338" s="1433"/>
      <c r="CX338" s="1433"/>
      <c r="CY338" s="1433"/>
      <c r="CZ338" s="1433"/>
      <c r="DA338" s="1433"/>
      <c r="DB338" s="1433"/>
      <c r="DC338" s="1433"/>
      <c r="DD338" s="1433"/>
      <c r="DE338" s="1433"/>
      <c r="DF338" s="1433"/>
      <c r="DG338" s="1433"/>
      <c r="DH338" s="1433"/>
      <c r="DI338" s="1433"/>
      <c r="DJ338" s="1433"/>
      <c r="DK338" s="1433"/>
      <c r="DL338" s="1433"/>
      <c r="DM338" s="1433"/>
      <c r="DN338" s="1433"/>
      <c r="DO338" s="1433"/>
      <c r="DP338" s="1433"/>
      <c r="DQ338" s="1433"/>
      <c r="DR338" s="1433"/>
      <c r="DS338" s="1433"/>
      <c r="DT338" s="1433"/>
      <c r="DU338" s="1433"/>
      <c r="DV338" s="1433"/>
      <c r="DW338" s="1433"/>
      <c r="DX338" s="1433"/>
      <c r="DY338" s="1433"/>
      <c r="DZ338" s="1433"/>
      <c r="EA338" s="1433"/>
      <c r="EB338" s="1433"/>
      <c r="EC338" s="1433"/>
      <c r="ED338" s="1433"/>
      <c r="EE338" s="1433"/>
      <c r="EF338" s="1433"/>
      <c r="EG338" s="1433"/>
      <c r="EH338" s="1433"/>
      <c r="EI338" s="1433"/>
      <c r="EJ338" s="1417"/>
      <c r="EK338" s="1490"/>
    </row>
    <row r="339" spans="1:141" s="1441" customFormat="1" ht="12" hidden="1">
      <c r="A339" s="1490"/>
      <c r="B339" s="1342"/>
      <c r="C339" s="1490"/>
      <c r="E339" s="1433"/>
      <c r="F339" s="1808" t="s">
        <v>183</v>
      </c>
      <c r="G339" s="1809"/>
      <c r="H339" s="1815"/>
      <c r="I339" s="1810">
        <f t="shared" si="3661"/>
        <v>-36551.241000000002</v>
      </c>
      <c r="J339" s="1810">
        <f t="shared" si="3661"/>
        <v>0</v>
      </c>
      <c r="K339" s="1810">
        <f t="shared" si="3661"/>
        <v>-51542.82504815</v>
      </c>
      <c r="L339" s="1810">
        <f t="shared" si="3661"/>
        <v>-1350</v>
      </c>
      <c r="M339" s="1810">
        <f t="shared" si="3661"/>
        <v>-1368.2449999999999</v>
      </c>
      <c r="N339" s="1810">
        <f t="shared" si="3660"/>
        <v>-90812.311048150004</v>
      </c>
      <c r="O339" s="1809"/>
      <c r="Q339" s="1433"/>
      <c r="S339" s="1433"/>
      <c r="T339" s="1433"/>
      <c r="U339" s="1433"/>
      <c r="V339" s="1433"/>
      <c r="W339" s="1433"/>
      <c r="X339" s="1433"/>
      <c r="Y339" s="1433"/>
      <c r="Z339" s="1433"/>
      <c r="AA339" s="1433"/>
      <c r="AB339" s="1433"/>
      <c r="AC339" s="1433"/>
      <c r="AD339" s="1433"/>
      <c r="AE339" s="1433"/>
      <c r="AF339" s="1433"/>
      <c r="AG339" s="1433"/>
      <c r="AH339" s="1433"/>
      <c r="AI339" s="1433"/>
      <c r="AJ339" s="1433"/>
      <c r="AK339" s="1433"/>
      <c r="AL339" s="1433"/>
      <c r="AM339" s="1433"/>
      <c r="AN339" s="1433"/>
      <c r="AO339" s="1433"/>
      <c r="AP339" s="1433"/>
      <c r="AQ339" s="1433"/>
      <c r="AR339" s="1433"/>
      <c r="AS339" s="1433"/>
      <c r="AT339" s="1433"/>
      <c r="AV339" s="1433"/>
      <c r="BJ339" s="1433"/>
      <c r="BK339" s="1433"/>
      <c r="BL339" s="1433"/>
      <c r="BM339" s="1433"/>
      <c r="BN339" s="1433"/>
      <c r="BO339" s="1433"/>
      <c r="BP339" s="1433"/>
      <c r="BQ339" s="1433"/>
      <c r="BR339" s="1433"/>
      <c r="BS339" s="1433"/>
      <c r="BT339" s="1433"/>
      <c r="BU339" s="1433"/>
      <c r="BV339" s="1433"/>
      <c r="BW339" s="1433"/>
      <c r="BX339" s="1433"/>
      <c r="BY339" s="1444"/>
      <c r="BZ339" s="1444"/>
      <c r="CA339" s="1444"/>
      <c r="CB339" s="1444"/>
      <c r="CC339" s="1433"/>
      <c r="CD339" s="1433"/>
      <c r="CE339" s="1433"/>
      <c r="CF339" s="1433"/>
      <c r="CG339" s="1433"/>
      <c r="CH339" s="1433"/>
      <c r="CI339" s="1433"/>
      <c r="CJ339" s="1433"/>
      <c r="CK339" s="1433"/>
      <c r="CL339" s="1433"/>
      <c r="CM339" s="1433"/>
      <c r="CN339" s="1433"/>
      <c r="CO339" s="1414"/>
      <c r="CQ339" s="1433"/>
      <c r="CR339" s="1433"/>
      <c r="CS339" s="1433"/>
      <c r="CT339" s="1433"/>
      <c r="CU339" s="1811"/>
      <c r="CV339" s="1811"/>
      <c r="CW339" s="1433"/>
      <c r="CX339" s="1433"/>
      <c r="CY339" s="1433"/>
      <c r="CZ339" s="1433"/>
      <c r="DA339" s="1433"/>
      <c r="DB339" s="1433"/>
      <c r="DC339" s="1433"/>
      <c r="DD339" s="1433"/>
      <c r="DE339" s="1433"/>
      <c r="DF339" s="1433"/>
      <c r="DG339" s="1433"/>
      <c r="DH339" s="1433"/>
      <c r="DI339" s="1433"/>
      <c r="DJ339" s="1433"/>
      <c r="DK339" s="1433"/>
      <c r="DL339" s="1433"/>
      <c r="DM339" s="1433"/>
      <c r="DN339" s="1433"/>
      <c r="DO339" s="1433"/>
      <c r="DP339" s="1433"/>
      <c r="DQ339" s="1433"/>
      <c r="DR339" s="1433"/>
      <c r="DS339" s="1433"/>
      <c r="DT339" s="1433"/>
      <c r="DU339" s="1433"/>
      <c r="DV339" s="1433"/>
      <c r="DW339" s="1433"/>
      <c r="DX339" s="1433"/>
      <c r="DY339" s="1433"/>
      <c r="DZ339" s="1433"/>
      <c r="EA339" s="1433"/>
      <c r="EB339" s="1433"/>
      <c r="EC339" s="1433"/>
      <c r="ED339" s="1433"/>
      <c r="EE339" s="1433"/>
      <c r="EF339" s="1433"/>
      <c r="EG339" s="1433"/>
      <c r="EH339" s="1433"/>
      <c r="EI339" s="1433"/>
      <c r="EJ339" s="1417"/>
      <c r="EK339" s="1490"/>
    </row>
    <row r="340" spans="1:141" s="1441" customFormat="1" ht="12" hidden="1">
      <c r="A340" s="1490"/>
      <c r="B340" s="1342"/>
      <c r="C340" s="1490"/>
      <c r="E340" s="1433"/>
      <c r="F340" s="1808" t="s">
        <v>184</v>
      </c>
      <c r="G340" s="1809"/>
      <c r="H340" s="1815"/>
      <c r="I340" s="1810" t="e">
        <f t="shared" si="3661"/>
        <v>#REF!</v>
      </c>
      <c r="J340" s="1810" t="e">
        <f t="shared" si="3661"/>
        <v>#REF!</v>
      </c>
      <c r="K340" s="1810" t="e">
        <f t="shared" si="3661"/>
        <v>#REF!</v>
      </c>
      <c r="L340" s="1810" t="e">
        <f t="shared" si="3661"/>
        <v>#REF!</v>
      </c>
      <c r="M340" s="1810" t="e">
        <f t="shared" si="3661"/>
        <v>#REF!</v>
      </c>
      <c r="N340" s="1810" t="e">
        <f t="shared" si="3660"/>
        <v>#REF!</v>
      </c>
      <c r="O340" s="1809"/>
      <c r="Q340" s="1433"/>
      <c r="S340" s="1433"/>
      <c r="T340" s="1433"/>
      <c r="U340" s="1433"/>
      <c r="V340" s="1433"/>
      <c r="W340" s="1433"/>
      <c r="X340" s="1433"/>
      <c r="Y340" s="1433"/>
      <c r="Z340" s="1433"/>
      <c r="AA340" s="1433"/>
      <c r="AB340" s="1433"/>
      <c r="AC340" s="1433"/>
      <c r="AD340" s="1433"/>
      <c r="AE340" s="1433"/>
      <c r="AF340" s="1433"/>
      <c r="AG340" s="1433"/>
      <c r="AH340" s="1433"/>
      <c r="AI340" s="1433"/>
      <c r="AJ340" s="1433"/>
      <c r="AK340" s="1433"/>
      <c r="AL340" s="1433"/>
      <c r="AM340" s="1433"/>
      <c r="AN340" s="1433"/>
      <c r="AO340" s="1433"/>
      <c r="AP340" s="1433"/>
      <c r="AQ340" s="1433"/>
      <c r="AR340" s="1433"/>
      <c r="AS340" s="1433"/>
      <c r="AT340" s="1433"/>
      <c r="AV340" s="1433"/>
      <c r="BJ340" s="1433"/>
      <c r="BK340" s="1433"/>
      <c r="BL340" s="1433"/>
      <c r="BM340" s="1433"/>
      <c r="BN340" s="1433"/>
      <c r="BO340" s="1433"/>
      <c r="BP340" s="1433"/>
      <c r="BQ340" s="1433"/>
      <c r="BR340" s="1433"/>
      <c r="BS340" s="1433"/>
      <c r="BT340" s="1433"/>
      <c r="BU340" s="1433"/>
      <c r="BV340" s="1433"/>
      <c r="BW340" s="1433"/>
      <c r="BX340" s="1433"/>
      <c r="BY340" s="1444"/>
      <c r="BZ340" s="1444"/>
      <c r="CA340" s="1444"/>
      <c r="CB340" s="1444"/>
      <c r="CC340" s="1433"/>
      <c r="CD340" s="1433"/>
      <c r="CE340" s="1433"/>
      <c r="CF340" s="1433"/>
      <c r="CG340" s="1433"/>
      <c r="CH340" s="1433"/>
      <c r="CI340" s="1433"/>
      <c r="CJ340" s="1433"/>
      <c r="CK340" s="1433"/>
      <c r="CL340" s="1433"/>
      <c r="CM340" s="1433"/>
      <c r="CN340" s="1433"/>
      <c r="CO340" s="1414"/>
      <c r="CQ340" s="1433"/>
      <c r="CR340" s="1433"/>
      <c r="CS340" s="1433"/>
      <c r="CT340" s="1433"/>
      <c r="CU340" s="1811"/>
      <c r="CV340" s="1811"/>
      <c r="CW340" s="1433"/>
      <c r="CX340" s="1433"/>
      <c r="CY340" s="1433"/>
      <c r="CZ340" s="1433"/>
      <c r="DA340" s="1433"/>
      <c r="DB340" s="1433"/>
      <c r="DC340" s="1433"/>
      <c r="DD340" s="1433"/>
      <c r="DE340" s="1433"/>
      <c r="DF340" s="1433"/>
      <c r="DG340" s="1433"/>
      <c r="DH340" s="1433"/>
      <c r="DI340" s="1433"/>
      <c r="DJ340" s="1433"/>
      <c r="DK340" s="1433"/>
      <c r="DL340" s="1433"/>
      <c r="DM340" s="1433"/>
      <c r="DN340" s="1433"/>
      <c r="DO340" s="1433"/>
      <c r="DP340" s="1433"/>
      <c r="DQ340" s="1433"/>
      <c r="DR340" s="1433"/>
      <c r="DS340" s="1433"/>
      <c r="DT340" s="1433"/>
      <c r="DU340" s="1433"/>
      <c r="DV340" s="1433"/>
      <c r="DW340" s="1433"/>
      <c r="DX340" s="1433"/>
      <c r="DY340" s="1433"/>
      <c r="DZ340" s="1433"/>
      <c r="EA340" s="1433"/>
      <c r="EB340" s="1433"/>
      <c r="EC340" s="1433"/>
      <c r="ED340" s="1433"/>
      <c r="EE340" s="1433"/>
      <c r="EF340" s="1433"/>
      <c r="EG340" s="1433"/>
      <c r="EH340" s="1433"/>
      <c r="EI340" s="1433"/>
      <c r="EJ340" s="1417"/>
      <c r="EK340" s="1490"/>
    </row>
    <row r="341" spans="1:141" s="1441" customFormat="1" ht="12" hidden="1">
      <c r="A341" s="1490"/>
      <c r="B341" s="1342"/>
      <c r="C341" s="1490"/>
      <c r="E341" s="1433"/>
      <c r="F341" s="1808" t="s">
        <v>185</v>
      </c>
      <c r="G341" s="1809"/>
      <c r="H341" s="1815"/>
      <c r="I341" s="1810" t="e">
        <f t="shared" si="3661"/>
        <v>#REF!</v>
      </c>
      <c r="J341" s="1810" t="e">
        <f t="shared" si="3661"/>
        <v>#REF!</v>
      </c>
      <c r="K341" s="1810" t="e">
        <f t="shared" si="3661"/>
        <v>#REF!</v>
      </c>
      <c r="L341" s="1810" t="e">
        <f t="shared" si="3661"/>
        <v>#REF!</v>
      </c>
      <c r="M341" s="1810" t="e">
        <f t="shared" si="3661"/>
        <v>#REF!</v>
      </c>
      <c r="N341" s="1810" t="e">
        <f t="shared" si="3660"/>
        <v>#REF!</v>
      </c>
      <c r="O341" s="1809"/>
      <c r="Q341" s="1433"/>
      <c r="S341" s="1433"/>
      <c r="T341" s="1433"/>
      <c r="U341" s="1433"/>
      <c r="V341" s="1433"/>
      <c r="W341" s="1433"/>
      <c r="X341" s="1433"/>
      <c r="Y341" s="1433"/>
      <c r="Z341" s="1433"/>
      <c r="AA341" s="1433"/>
      <c r="AB341" s="1433"/>
      <c r="AC341" s="1433"/>
      <c r="AD341" s="1433"/>
      <c r="AE341" s="1433"/>
      <c r="AF341" s="1433"/>
      <c r="AG341" s="1433"/>
      <c r="AH341" s="1433"/>
      <c r="AI341" s="1433"/>
      <c r="AJ341" s="1433"/>
      <c r="AK341" s="1433"/>
      <c r="AL341" s="1433"/>
      <c r="AM341" s="1433"/>
      <c r="AN341" s="1433"/>
      <c r="AO341" s="1433"/>
      <c r="AP341" s="1433"/>
      <c r="AQ341" s="1433"/>
      <c r="AR341" s="1433"/>
      <c r="AS341" s="1433"/>
      <c r="AT341" s="1433"/>
      <c r="AV341" s="1433"/>
      <c r="BJ341" s="1433"/>
      <c r="BK341" s="1433"/>
      <c r="BL341" s="1433"/>
      <c r="BM341" s="1433"/>
      <c r="BN341" s="1433"/>
      <c r="BO341" s="1433"/>
      <c r="BP341" s="1433"/>
      <c r="BQ341" s="1433"/>
      <c r="BR341" s="1433"/>
      <c r="BS341" s="1433"/>
      <c r="BT341" s="1433"/>
      <c r="BU341" s="1433"/>
      <c r="BV341" s="1433"/>
      <c r="BW341" s="1433"/>
      <c r="BX341" s="1433"/>
      <c r="BY341" s="1444"/>
      <c r="BZ341" s="1444"/>
      <c r="CA341" s="1444"/>
      <c r="CB341" s="1444"/>
      <c r="CC341" s="1433"/>
      <c r="CD341" s="1433"/>
      <c r="CE341" s="1433"/>
      <c r="CF341" s="1433"/>
      <c r="CG341" s="1433"/>
      <c r="CH341" s="1433"/>
      <c r="CI341" s="1433"/>
      <c r="CJ341" s="1433"/>
      <c r="CK341" s="1433"/>
      <c r="CL341" s="1433"/>
      <c r="CM341" s="1433"/>
      <c r="CN341" s="1433"/>
      <c r="CO341" s="1414"/>
      <c r="CQ341" s="1433"/>
      <c r="CR341" s="1433"/>
      <c r="CS341" s="1433"/>
      <c r="CT341" s="1433"/>
      <c r="CU341" s="1811"/>
      <c r="CV341" s="1811"/>
      <c r="CW341" s="1433"/>
      <c r="CX341" s="1433"/>
      <c r="CY341" s="1433"/>
      <c r="CZ341" s="1433"/>
      <c r="DA341" s="1433"/>
      <c r="DB341" s="1433"/>
      <c r="DC341" s="1433"/>
      <c r="DD341" s="1433"/>
      <c r="DE341" s="1433"/>
      <c r="DF341" s="1433"/>
      <c r="DG341" s="1433"/>
      <c r="DH341" s="1433"/>
      <c r="DI341" s="1433"/>
      <c r="DJ341" s="1433"/>
      <c r="DK341" s="1433"/>
      <c r="DL341" s="1433"/>
      <c r="DM341" s="1433"/>
      <c r="DN341" s="1433"/>
      <c r="DO341" s="1433"/>
      <c r="DP341" s="1433"/>
      <c r="DQ341" s="1433"/>
      <c r="DR341" s="1433"/>
      <c r="DS341" s="1433"/>
      <c r="DT341" s="1433"/>
      <c r="DU341" s="1433"/>
      <c r="DV341" s="1433"/>
      <c r="DW341" s="1433"/>
      <c r="DX341" s="1433"/>
      <c r="DY341" s="1433"/>
      <c r="DZ341" s="1433"/>
      <c r="EA341" s="1433"/>
      <c r="EB341" s="1433"/>
      <c r="EC341" s="1433"/>
      <c r="ED341" s="1433"/>
      <c r="EE341" s="1433"/>
      <c r="EF341" s="1433"/>
      <c r="EG341" s="1433"/>
      <c r="EH341" s="1433"/>
      <c r="EI341" s="1433"/>
      <c r="EJ341" s="1417"/>
      <c r="EK341" s="1490"/>
    </row>
    <row r="342" spans="1:141" s="1441" customFormat="1" ht="12" hidden="1">
      <c r="A342" s="1490"/>
      <c r="B342" s="1342"/>
      <c r="C342" s="1490"/>
      <c r="E342" s="1433"/>
      <c r="F342" s="1808" t="s">
        <v>186</v>
      </c>
      <c r="G342" s="1809"/>
      <c r="H342" s="1815"/>
      <c r="I342" s="1810" t="e">
        <f t="shared" si="3661"/>
        <v>#REF!</v>
      </c>
      <c r="J342" s="1810" t="e">
        <f t="shared" si="3661"/>
        <v>#REF!</v>
      </c>
      <c r="K342" s="1810" t="e">
        <f t="shared" si="3661"/>
        <v>#REF!</v>
      </c>
      <c r="L342" s="1810" t="e">
        <f t="shared" si="3661"/>
        <v>#REF!</v>
      </c>
      <c r="M342" s="1810" t="e">
        <f t="shared" si="3661"/>
        <v>#REF!</v>
      </c>
      <c r="N342" s="1810" t="e">
        <f t="shared" si="3660"/>
        <v>#REF!</v>
      </c>
      <c r="O342" s="1809"/>
      <c r="Q342" s="1433"/>
      <c r="S342" s="1433"/>
      <c r="T342" s="1433"/>
      <c r="U342" s="1433"/>
      <c r="V342" s="1433"/>
      <c r="W342" s="1433"/>
      <c r="X342" s="1433"/>
      <c r="Y342" s="1433"/>
      <c r="Z342" s="1433"/>
      <c r="AA342" s="1433"/>
      <c r="AB342" s="1433"/>
      <c r="AC342" s="1433"/>
      <c r="AD342" s="1433"/>
      <c r="AE342" s="1433"/>
      <c r="AF342" s="1433"/>
      <c r="AG342" s="1433"/>
      <c r="AH342" s="1433"/>
      <c r="AI342" s="1433"/>
      <c r="AJ342" s="1433"/>
      <c r="AK342" s="1433"/>
      <c r="AL342" s="1433"/>
      <c r="AM342" s="1433"/>
      <c r="AN342" s="1433"/>
      <c r="AO342" s="1433"/>
      <c r="AP342" s="1433"/>
      <c r="AQ342" s="1433"/>
      <c r="AR342" s="1433"/>
      <c r="AS342" s="1433"/>
      <c r="AT342" s="1433"/>
      <c r="AV342" s="1433"/>
      <c r="BJ342" s="1433"/>
      <c r="BK342" s="1433"/>
      <c r="BL342" s="1433"/>
      <c r="BM342" s="1433"/>
      <c r="BN342" s="1433"/>
      <c r="BO342" s="1433"/>
      <c r="BP342" s="1433"/>
      <c r="BQ342" s="1433"/>
      <c r="BR342" s="1433"/>
      <c r="BS342" s="1433"/>
      <c r="BT342" s="1433"/>
      <c r="BU342" s="1433"/>
      <c r="BV342" s="1433"/>
      <c r="BW342" s="1433"/>
      <c r="BX342" s="1433"/>
      <c r="BY342" s="1444"/>
      <c r="BZ342" s="1444"/>
      <c r="CA342" s="1444"/>
      <c r="CB342" s="1444"/>
      <c r="CC342" s="1433"/>
      <c r="CD342" s="1433"/>
      <c r="CE342" s="1433"/>
      <c r="CF342" s="1433"/>
      <c r="CG342" s="1433"/>
      <c r="CH342" s="1433"/>
      <c r="CI342" s="1433"/>
      <c r="CJ342" s="1433"/>
      <c r="CK342" s="1433"/>
      <c r="CL342" s="1433"/>
      <c r="CM342" s="1433"/>
      <c r="CN342" s="1433"/>
      <c r="CO342" s="1414"/>
      <c r="CQ342" s="1433"/>
      <c r="CR342" s="1433"/>
      <c r="CS342" s="1433"/>
      <c r="CT342" s="1433"/>
      <c r="CU342" s="1811"/>
      <c r="CV342" s="1811"/>
      <c r="CW342" s="1433"/>
      <c r="CX342" s="1433"/>
      <c r="CY342" s="1433"/>
      <c r="CZ342" s="1433"/>
      <c r="DA342" s="1433"/>
      <c r="DB342" s="1433"/>
      <c r="DC342" s="1433"/>
      <c r="DD342" s="1433"/>
      <c r="DE342" s="1433"/>
      <c r="DF342" s="1433"/>
      <c r="DG342" s="1433"/>
      <c r="DH342" s="1433"/>
      <c r="DI342" s="1433"/>
      <c r="DJ342" s="1433"/>
      <c r="DK342" s="1433"/>
      <c r="DL342" s="1433"/>
      <c r="DM342" s="1433"/>
      <c r="DN342" s="1433"/>
      <c r="DO342" s="1433"/>
      <c r="DP342" s="1433"/>
      <c r="DQ342" s="1433"/>
      <c r="DR342" s="1433"/>
      <c r="DS342" s="1433"/>
      <c r="DT342" s="1433"/>
      <c r="DU342" s="1433"/>
      <c r="DV342" s="1433"/>
      <c r="DW342" s="1433"/>
      <c r="DX342" s="1433"/>
      <c r="DY342" s="1433"/>
      <c r="DZ342" s="1433"/>
      <c r="EA342" s="1433"/>
      <c r="EB342" s="1433"/>
      <c r="EC342" s="1433"/>
      <c r="ED342" s="1433"/>
      <c r="EE342" s="1433"/>
      <c r="EF342" s="1433"/>
      <c r="EG342" s="1433"/>
      <c r="EH342" s="1433"/>
      <c r="EI342" s="1433"/>
      <c r="EJ342" s="1417"/>
      <c r="EK342" s="1490"/>
    </row>
    <row r="343" spans="1:141" s="1441" customFormat="1" ht="12" hidden="1">
      <c r="A343" s="1490"/>
      <c r="B343" s="1342"/>
      <c r="C343" s="1490"/>
      <c r="E343" s="1433"/>
      <c r="F343" s="1808" t="s">
        <v>187</v>
      </c>
      <c r="G343" s="1809"/>
      <c r="H343" s="1815"/>
      <c r="I343" s="1810" t="e">
        <f t="shared" si="3661"/>
        <v>#REF!</v>
      </c>
      <c r="J343" s="1810" t="e">
        <f t="shared" si="3661"/>
        <v>#REF!</v>
      </c>
      <c r="K343" s="1810" t="e">
        <f t="shared" si="3661"/>
        <v>#REF!</v>
      </c>
      <c r="L343" s="1810" t="e">
        <f t="shared" si="3661"/>
        <v>#REF!</v>
      </c>
      <c r="M343" s="1810" t="e">
        <f t="shared" si="3661"/>
        <v>#REF!</v>
      </c>
      <c r="N343" s="1810" t="e">
        <f t="shared" si="3660"/>
        <v>#REF!</v>
      </c>
      <c r="O343" s="1809"/>
      <c r="Q343" s="1433"/>
      <c r="S343" s="1433"/>
      <c r="T343" s="1433"/>
      <c r="U343" s="1433"/>
      <c r="V343" s="1433"/>
      <c r="W343" s="1433"/>
      <c r="X343" s="1433"/>
      <c r="Y343" s="1433"/>
      <c r="Z343" s="1433"/>
      <c r="AA343" s="1433"/>
      <c r="AB343" s="1433"/>
      <c r="AC343" s="1433"/>
      <c r="AD343" s="1433"/>
      <c r="AE343" s="1433"/>
      <c r="AF343" s="1433"/>
      <c r="AG343" s="1433"/>
      <c r="AH343" s="1433"/>
      <c r="AI343" s="1433"/>
      <c r="AJ343" s="1433"/>
      <c r="AK343" s="1433"/>
      <c r="AL343" s="1433"/>
      <c r="AM343" s="1433"/>
      <c r="AN343" s="1433"/>
      <c r="AO343" s="1433"/>
      <c r="AP343" s="1433"/>
      <c r="AQ343" s="1433"/>
      <c r="AR343" s="1433"/>
      <c r="AS343" s="1433"/>
      <c r="AT343" s="1433"/>
      <c r="AV343" s="1433"/>
      <c r="BJ343" s="1433"/>
      <c r="BK343" s="1433"/>
      <c r="BL343" s="1433"/>
      <c r="BM343" s="1433"/>
      <c r="BN343" s="1433"/>
      <c r="BO343" s="1433"/>
      <c r="BP343" s="1433"/>
      <c r="BQ343" s="1433"/>
      <c r="BR343" s="1433"/>
      <c r="BS343" s="1433"/>
      <c r="BT343" s="1433"/>
      <c r="BU343" s="1433"/>
      <c r="BV343" s="1433"/>
      <c r="BW343" s="1433"/>
      <c r="BX343" s="1433"/>
      <c r="BY343" s="1444"/>
      <c r="BZ343" s="1444"/>
      <c r="CA343" s="1444"/>
      <c r="CB343" s="1444"/>
      <c r="CC343" s="1433"/>
      <c r="CD343" s="1433"/>
      <c r="CE343" s="1433"/>
      <c r="CF343" s="1433"/>
      <c r="CG343" s="1433"/>
      <c r="CH343" s="1433"/>
      <c r="CI343" s="1433"/>
      <c r="CJ343" s="1433"/>
      <c r="CK343" s="1433"/>
      <c r="CL343" s="1433"/>
      <c r="CM343" s="1433"/>
      <c r="CN343" s="1433"/>
      <c r="CO343" s="1414"/>
      <c r="CQ343" s="1433"/>
      <c r="CR343" s="1433"/>
      <c r="CS343" s="1433"/>
      <c r="CT343" s="1433"/>
      <c r="CU343" s="1811"/>
      <c r="CV343" s="1811"/>
      <c r="CW343" s="1433"/>
      <c r="CX343" s="1433"/>
      <c r="CY343" s="1433"/>
      <c r="CZ343" s="1433"/>
      <c r="DA343" s="1433"/>
      <c r="DB343" s="1433"/>
      <c r="DC343" s="1433"/>
      <c r="DD343" s="1433"/>
      <c r="DE343" s="1433"/>
      <c r="DF343" s="1433"/>
      <c r="DG343" s="1433"/>
      <c r="DH343" s="1433"/>
      <c r="DI343" s="1433"/>
      <c r="DJ343" s="1433"/>
      <c r="DK343" s="1433"/>
      <c r="DL343" s="1433"/>
      <c r="DM343" s="1433"/>
      <c r="DN343" s="1433"/>
      <c r="DO343" s="1433"/>
      <c r="DP343" s="1433"/>
      <c r="DQ343" s="1433"/>
      <c r="DR343" s="1433"/>
      <c r="DS343" s="1433"/>
      <c r="DT343" s="1433"/>
      <c r="DU343" s="1433"/>
      <c r="DV343" s="1433"/>
      <c r="DW343" s="1433"/>
      <c r="DX343" s="1433"/>
      <c r="DY343" s="1433"/>
      <c r="DZ343" s="1433"/>
      <c r="EA343" s="1433"/>
      <c r="EB343" s="1433"/>
      <c r="EC343" s="1433"/>
      <c r="ED343" s="1433"/>
      <c r="EE343" s="1433"/>
      <c r="EF343" s="1433"/>
      <c r="EG343" s="1433"/>
      <c r="EH343" s="1433"/>
      <c r="EI343" s="1433"/>
      <c r="EJ343" s="1417"/>
      <c r="EK343" s="1490"/>
    </row>
    <row r="344" spans="1:141" s="1441" customFormat="1" ht="12" hidden="1">
      <c r="A344" s="1490"/>
      <c r="B344" s="1342"/>
      <c r="C344" s="1490"/>
      <c r="E344" s="1433"/>
      <c r="F344" s="1808" t="s">
        <v>188</v>
      </c>
      <c r="G344" s="1809"/>
      <c r="H344" s="1815"/>
      <c r="I344" s="1810">
        <f t="shared" si="3661"/>
        <v>0</v>
      </c>
      <c r="J344" s="1810">
        <f t="shared" si="3661"/>
        <v>0</v>
      </c>
      <c r="K344" s="1810">
        <f t="shared" si="3661"/>
        <v>490.76000000000022</v>
      </c>
      <c r="L344" s="1810">
        <f t="shared" si="3661"/>
        <v>0</v>
      </c>
      <c r="M344" s="1810">
        <f t="shared" si="3661"/>
        <v>0</v>
      </c>
      <c r="N344" s="1810">
        <f t="shared" si="3660"/>
        <v>490.76000000000022</v>
      </c>
      <c r="O344" s="1809"/>
      <c r="Q344" s="1433"/>
      <c r="S344" s="1433"/>
      <c r="T344" s="1433"/>
      <c r="U344" s="1433"/>
      <c r="V344" s="1433"/>
      <c r="W344" s="1433"/>
      <c r="X344" s="1433"/>
      <c r="Y344" s="1433"/>
      <c r="Z344" s="1433"/>
      <c r="AA344" s="1433"/>
      <c r="AB344" s="1433"/>
      <c r="AC344" s="1433"/>
      <c r="AD344" s="1433"/>
      <c r="AE344" s="1433"/>
      <c r="AF344" s="1433"/>
      <c r="AG344" s="1433"/>
      <c r="AH344" s="1433"/>
      <c r="AI344" s="1433"/>
      <c r="AJ344" s="1433"/>
      <c r="AK344" s="1433"/>
      <c r="AL344" s="1433"/>
      <c r="AM344" s="1433"/>
      <c r="AN344" s="1433"/>
      <c r="AO344" s="1433"/>
      <c r="AP344" s="1433"/>
      <c r="AQ344" s="1433"/>
      <c r="AR344" s="1433"/>
      <c r="AS344" s="1433"/>
      <c r="AT344" s="1433"/>
      <c r="AV344" s="1433"/>
      <c r="BJ344" s="1433"/>
      <c r="BK344" s="1433"/>
      <c r="BL344" s="1433"/>
      <c r="BM344" s="1433"/>
      <c r="BN344" s="1433"/>
      <c r="BO344" s="1433"/>
      <c r="BP344" s="1433"/>
      <c r="BQ344" s="1433"/>
      <c r="BR344" s="1433"/>
      <c r="BS344" s="1433"/>
      <c r="BT344" s="1433"/>
      <c r="BU344" s="1433"/>
      <c r="BV344" s="1433"/>
      <c r="BW344" s="1433"/>
      <c r="BX344" s="1433"/>
      <c r="BY344" s="1444"/>
      <c r="BZ344" s="1444"/>
      <c r="CA344" s="1444"/>
      <c r="CB344" s="1444"/>
      <c r="CC344" s="1433"/>
      <c r="CD344" s="1433"/>
      <c r="CE344" s="1433"/>
      <c r="CF344" s="1433"/>
      <c r="CG344" s="1433"/>
      <c r="CH344" s="1433"/>
      <c r="CI344" s="1433"/>
      <c r="CJ344" s="1433"/>
      <c r="CK344" s="1433"/>
      <c r="CL344" s="1433"/>
      <c r="CM344" s="1433"/>
      <c r="CN344" s="1433"/>
      <c r="CO344" s="1414"/>
      <c r="CQ344" s="1433"/>
      <c r="CR344" s="1433"/>
      <c r="CS344" s="1433"/>
      <c r="CT344" s="1433"/>
      <c r="CU344" s="1811"/>
      <c r="CV344" s="1811"/>
      <c r="CW344" s="1433"/>
      <c r="CX344" s="1433"/>
      <c r="CY344" s="1433"/>
      <c r="CZ344" s="1433"/>
      <c r="DA344" s="1433"/>
      <c r="DB344" s="1433"/>
      <c r="DC344" s="1433"/>
      <c r="DD344" s="1433"/>
      <c r="DE344" s="1433"/>
      <c r="DF344" s="1433"/>
      <c r="DG344" s="1433"/>
      <c r="DH344" s="1433"/>
      <c r="DI344" s="1433"/>
      <c r="DJ344" s="1433"/>
      <c r="DK344" s="1433"/>
      <c r="DL344" s="1433"/>
      <c r="DM344" s="1433"/>
      <c r="DN344" s="1433"/>
      <c r="DO344" s="1433"/>
      <c r="DP344" s="1433"/>
      <c r="DQ344" s="1433"/>
      <c r="DR344" s="1433"/>
      <c r="DS344" s="1433"/>
      <c r="DT344" s="1433"/>
      <c r="DU344" s="1433"/>
      <c r="DV344" s="1433"/>
      <c r="DW344" s="1433"/>
      <c r="DX344" s="1433"/>
      <c r="DY344" s="1433"/>
      <c r="DZ344" s="1433"/>
      <c r="EA344" s="1433"/>
      <c r="EB344" s="1433"/>
      <c r="EC344" s="1433"/>
      <c r="ED344" s="1433"/>
      <c r="EE344" s="1433"/>
      <c r="EF344" s="1433"/>
      <c r="EG344" s="1433"/>
      <c r="EH344" s="1433"/>
      <c r="EI344" s="1433"/>
      <c r="EJ344" s="1417"/>
      <c r="EK344" s="1490"/>
    </row>
    <row r="345" spans="1:141" s="1441" customFormat="1" ht="12" hidden="1">
      <c r="A345" s="1490"/>
      <c r="B345" s="1342"/>
      <c r="C345" s="1490"/>
      <c r="E345" s="1433"/>
      <c r="F345" s="1808" t="s">
        <v>189</v>
      </c>
      <c r="G345" s="1809"/>
      <c r="H345" s="1815"/>
      <c r="I345" s="1810" t="e">
        <f t="shared" ref="I345:M348" si="3662">+I312-I281</f>
        <v>#REF!</v>
      </c>
      <c r="J345" s="1810" t="e">
        <f t="shared" si="3662"/>
        <v>#REF!</v>
      </c>
      <c r="K345" s="1810" t="e">
        <f t="shared" si="3662"/>
        <v>#REF!</v>
      </c>
      <c r="L345" s="1810" t="e">
        <f t="shared" si="3662"/>
        <v>#REF!</v>
      </c>
      <c r="M345" s="1810" t="e">
        <f t="shared" si="3662"/>
        <v>#REF!</v>
      </c>
      <c r="N345" s="1810" t="e">
        <f t="shared" si="3660"/>
        <v>#REF!</v>
      </c>
      <c r="O345" s="1809"/>
      <c r="Q345" s="1433"/>
      <c r="S345" s="1433"/>
      <c r="T345" s="1433"/>
      <c r="U345" s="1433"/>
      <c r="V345" s="1433"/>
      <c r="W345" s="1433"/>
      <c r="X345" s="1433"/>
      <c r="Y345" s="1433"/>
      <c r="Z345" s="1433"/>
      <c r="AA345" s="1433"/>
      <c r="AB345" s="1433"/>
      <c r="AC345" s="1433"/>
      <c r="AD345" s="1433"/>
      <c r="AE345" s="1433"/>
      <c r="AF345" s="1433"/>
      <c r="AG345" s="1433"/>
      <c r="AH345" s="1433"/>
      <c r="AI345" s="1433"/>
      <c r="AJ345" s="1433"/>
      <c r="AK345" s="1433"/>
      <c r="AL345" s="1433"/>
      <c r="AM345" s="1433"/>
      <c r="AN345" s="1433"/>
      <c r="AO345" s="1433"/>
      <c r="AP345" s="1433"/>
      <c r="AQ345" s="1433"/>
      <c r="AR345" s="1433"/>
      <c r="AS345" s="1433"/>
      <c r="AT345" s="1433"/>
      <c r="AV345" s="1433"/>
      <c r="BJ345" s="1433"/>
      <c r="BK345" s="1433"/>
      <c r="BL345" s="1433"/>
      <c r="BM345" s="1433"/>
      <c r="BN345" s="1433"/>
      <c r="BO345" s="1433"/>
      <c r="BP345" s="1433"/>
      <c r="BQ345" s="1433"/>
      <c r="BR345" s="1433"/>
      <c r="BS345" s="1433"/>
      <c r="BT345" s="1433"/>
      <c r="BU345" s="1433"/>
      <c r="BV345" s="1433"/>
      <c r="BW345" s="1433"/>
      <c r="BX345" s="1433"/>
      <c r="BY345" s="1444"/>
      <c r="BZ345" s="1444"/>
      <c r="CA345" s="1444"/>
      <c r="CB345" s="1444"/>
      <c r="CC345" s="1433"/>
      <c r="CD345" s="1433"/>
      <c r="CE345" s="1433"/>
      <c r="CF345" s="1433"/>
      <c r="CG345" s="1433"/>
      <c r="CH345" s="1433"/>
      <c r="CI345" s="1433"/>
      <c r="CJ345" s="1433"/>
      <c r="CK345" s="1433"/>
      <c r="CL345" s="1433"/>
      <c r="CM345" s="1433"/>
      <c r="CN345" s="1433"/>
      <c r="CO345" s="1414"/>
      <c r="CQ345" s="1433"/>
      <c r="CR345" s="1433"/>
      <c r="CS345" s="1433"/>
      <c r="CT345" s="1433"/>
      <c r="CU345" s="1811"/>
      <c r="CV345" s="1811"/>
      <c r="CW345" s="1433"/>
      <c r="CX345" s="1433"/>
      <c r="CY345" s="1433"/>
      <c r="CZ345" s="1433"/>
      <c r="DA345" s="1433"/>
      <c r="DB345" s="1433"/>
      <c r="DC345" s="1433"/>
      <c r="DD345" s="1433"/>
      <c r="DE345" s="1433"/>
      <c r="DF345" s="1433"/>
      <c r="DG345" s="1433"/>
      <c r="DH345" s="1433"/>
      <c r="DI345" s="1433"/>
      <c r="DJ345" s="1433"/>
      <c r="DK345" s="1433"/>
      <c r="DL345" s="1433"/>
      <c r="DM345" s="1433"/>
      <c r="DN345" s="1433"/>
      <c r="DO345" s="1433"/>
      <c r="DP345" s="1433"/>
      <c r="DQ345" s="1433"/>
      <c r="DR345" s="1433"/>
      <c r="DS345" s="1433"/>
      <c r="DT345" s="1433"/>
      <c r="DU345" s="1433"/>
      <c r="DV345" s="1433"/>
      <c r="DW345" s="1433"/>
      <c r="DX345" s="1433"/>
      <c r="DY345" s="1433"/>
      <c r="DZ345" s="1433"/>
      <c r="EA345" s="1433"/>
      <c r="EB345" s="1433"/>
      <c r="EC345" s="1433"/>
      <c r="ED345" s="1433"/>
      <c r="EE345" s="1433"/>
      <c r="EF345" s="1433"/>
      <c r="EG345" s="1433"/>
      <c r="EH345" s="1433"/>
      <c r="EI345" s="1433"/>
      <c r="EJ345" s="1417"/>
      <c r="EK345" s="1490"/>
    </row>
    <row r="346" spans="1:141" s="1441" customFormat="1" ht="12" hidden="1">
      <c r="A346" s="1490"/>
      <c r="B346" s="1342"/>
      <c r="C346" s="1490"/>
      <c r="E346" s="1433"/>
      <c r="F346" s="1808" t="s">
        <v>190</v>
      </c>
      <c r="G346" s="1809"/>
      <c r="H346" s="1815"/>
      <c r="I346" s="1810">
        <f t="shared" si="3662"/>
        <v>30595.977333333336</v>
      </c>
      <c r="J346" s="1810">
        <f t="shared" si="3662"/>
        <v>0</v>
      </c>
      <c r="K346" s="1810">
        <f t="shared" si="3662"/>
        <v>55842.870310000006</v>
      </c>
      <c r="L346" s="1810">
        <f t="shared" si="3662"/>
        <v>0</v>
      </c>
      <c r="M346" s="1810">
        <f t="shared" si="3662"/>
        <v>0</v>
      </c>
      <c r="N346" s="1810">
        <f t="shared" si="3660"/>
        <v>86438.847643333342</v>
      </c>
      <c r="O346" s="1809"/>
      <c r="Q346" s="1433"/>
      <c r="S346" s="1433"/>
      <c r="T346" s="1433"/>
      <c r="U346" s="1433"/>
      <c r="V346" s="1433"/>
      <c r="W346" s="1433"/>
      <c r="X346" s="1433"/>
      <c r="Y346" s="1433"/>
      <c r="Z346" s="1433"/>
      <c r="AA346" s="1433"/>
      <c r="AB346" s="1433"/>
      <c r="AC346" s="1433"/>
      <c r="AD346" s="1433"/>
      <c r="AE346" s="1433"/>
      <c r="AF346" s="1433"/>
      <c r="AG346" s="1433"/>
      <c r="AH346" s="1433"/>
      <c r="AI346" s="1433"/>
      <c r="AJ346" s="1433"/>
      <c r="AK346" s="1433"/>
      <c r="AL346" s="1433"/>
      <c r="AM346" s="1433"/>
      <c r="AN346" s="1433"/>
      <c r="AO346" s="1433"/>
      <c r="AP346" s="1433"/>
      <c r="AQ346" s="1433"/>
      <c r="AR346" s="1433"/>
      <c r="AS346" s="1433"/>
      <c r="AT346" s="1433"/>
      <c r="AV346" s="1433"/>
      <c r="BJ346" s="1433"/>
      <c r="BK346" s="1433"/>
      <c r="BL346" s="1433"/>
      <c r="BM346" s="1433"/>
      <c r="BN346" s="1433"/>
      <c r="BO346" s="1433"/>
      <c r="BP346" s="1433"/>
      <c r="BQ346" s="1433"/>
      <c r="BR346" s="1433"/>
      <c r="BS346" s="1433"/>
      <c r="BT346" s="1433"/>
      <c r="BU346" s="1433"/>
      <c r="BV346" s="1433"/>
      <c r="BW346" s="1433"/>
      <c r="BX346" s="1433"/>
      <c r="BY346" s="1444"/>
      <c r="BZ346" s="1444"/>
      <c r="CA346" s="1444"/>
      <c r="CB346" s="1444"/>
      <c r="CC346" s="1433"/>
      <c r="CD346" s="1433"/>
      <c r="CE346" s="1433"/>
      <c r="CF346" s="1433"/>
      <c r="CG346" s="1433"/>
      <c r="CH346" s="1433"/>
      <c r="CI346" s="1433"/>
      <c r="CJ346" s="1433"/>
      <c r="CK346" s="1433"/>
      <c r="CL346" s="1433"/>
      <c r="CM346" s="1433"/>
      <c r="CN346" s="1433"/>
      <c r="CO346" s="1414"/>
      <c r="CQ346" s="1433"/>
      <c r="CR346" s="1433"/>
      <c r="CS346" s="1433"/>
      <c r="CT346" s="1433"/>
      <c r="CU346" s="1811"/>
      <c r="CV346" s="1811"/>
      <c r="CW346" s="1433"/>
      <c r="CX346" s="1433"/>
      <c r="CY346" s="1433"/>
      <c r="CZ346" s="1433"/>
      <c r="DA346" s="1433"/>
      <c r="DB346" s="1433"/>
      <c r="DC346" s="1433"/>
      <c r="DD346" s="1433"/>
      <c r="DE346" s="1433"/>
      <c r="DF346" s="1433"/>
      <c r="DG346" s="1433"/>
      <c r="DH346" s="1433"/>
      <c r="DI346" s="1433"/>
      <c r="DJ346" s="1433"/>
      <c r="DK346" s="1433"/>
      <c r="DL346" s="1433"/>
      <c r="DM346" s="1433"/>
      <c r="DN346" s="1433"/>
      <c r="DO346" s="1433"/>
      <c r="DP346" s="1433"/>
      <c r="DQ346" s="1433"/>
      <c r="DR346" s="1433"/>
      <c r="DS346" s="1433"/>
      <c r="DT346" s="1433"/>
      <c r="DU346" s="1433"/>
      <c r="DV346" s="1433"/>
      <c r="DW346" s="1433"/>
      <c r="DX346" s="1433"/>
      <c r="DY346" s="1433"/>
      <c r="DZ346" s="1433"/>
      <c r="EA346" s="1433"/>
      <c r="EB346" s="1433"/>
      <c r="EC346" s="1433"/>
      <c r="ED346" s="1433"/>
      <c r="EE346" s="1433"/>
      <c r="EF346" s="1433"/>
      <c r="EG346" s="1433"/>
      <c r="EH346" s="1433"/>
      <c r="EI346" s="1433"/>
      <c r="EJ346" s="1417"/>
      <c r="EK346" s="1490"/>
    </row>
    <row r="347" spans="1:141" s="1441" customFormat="1" ht="12" hidden="1">
      <c r="A347" s="1490"/>
      <c r="B347" s="1342"/>
      <c r="C347" s="1490"/>
      <c r="E347" s="1433"/>
      <c r="F347" s="1808" t="s">
        <v>191</v>
      </c>
      <c r="G347" s="1809"/>
      <c r="H347" s="1815"/>
      <c r="I347" s="1810">
        <f t="shared" si="3662"/>
        <v>-44.594504325000003</v>
      </c>
      <c r="J347" s="1810">
        <f t="shared" si="3662"/>
        <v>0</v>
      </c>
      <c r="K347" s="1810">
        <f t="shared" si="3662"/>
        <v>0</v>
      </c>
      <c r="L347" s="1810">
        <f t="shared" si="3662"/>
        <v>-5925.6669195249997</v>
      </c>
      <c r="M347" s="1810">
        <f t="shared" si="3662"/>
        <v>0</v>
      </c>
      <c r="N347" s="1810">
        <f t="shared" si="3660"/>
        <v>-5970.26142385</v>
      </c>
      <c r="O347" s="1809"/>
      <c r="Q347" s="1433"/>
      <c r="S347" s="1433"/>
      <c r="T347" s="1433"/>
      <c r="U347" s="1433"/>
      <c r="V347" s="1433"/>
      <c r="W347" s="1433"/>
      <c r="X347" s="1433"/>
      <c r="Y347" s="1433"/>
      <c r="Z347" s="1433"/>
      <c r="AA347" s="1433"/>
      <c r="AB347" s="1433"/>
      <c r="AC347" s="1433"/>
      <c r="AD347" s="1433"/>
      <c r="AE347" s="1433"/>
      <c r="AF347" s="1433"/>
      <c r="AG347" s="1433"/>
      <c r="AH347" s="1433"/>
      <c r="AI347" s="1433"/>
      <c r="AJ347" s="1433"/>
      <c r="AK347" s="1433"/>
      <c r="AL347" s="1433"/>
      <c r="AM347" s="1433"/>
      <c r="AN347" s="1433"/>
      <c r="AO347" s="1433"/>
      <c r="AP347" s="1433"/>
      <c r="AQ347" s="1433"/>
      <c r="AR347" s="1433"/>
      <c r="AS347" s="1433"/>
      <c r="AT347" s="1433"/>
      <c r="AV347" s="1433"/>
      <c r="BJ347" s="1433"/>
      <c r="BK347" s="1433"/>
      <c r="BL347" s="1433"/>
      <c r="BM347" s="1433"/>
      <c r="BN347" s="1433"/>
      <c r="BO347" s="1433"/>
      <c r="BP347" s="1433"/>
      <c r="BQ347" s="1433"/>
      <c r="BR347" s="1433"/>
      <c r="BS347" s="1433"/>
      <c r="BT347" s="1433"/>
      <c r="BU347" s="1433"/>
      <c r="BV347" s="1433"/>
      <c r="BW347" s="1433"/>
      <c r="BX347" s="1433"/>
      <c r="BY347" s="1444"/>
      <c r="BZ347" s="1444"/>
      <c r="CA347" s="1444"/>
      <c r="CB347" s="1444"/>
      <c r="CC347" s="1433"/>
      <c r="CD347" s="1433"/>
      <c r="CE347" s="1433"/>
      <c r="CF347" s="1433"/>
      <c r="CG347" s="1433"/>
      <c r="CH347" s="1433"/>
      <c r="CI347" s="1433"/>
      <c r="CJ347" s="1433"/>
      <c r="CK347" s="1433"/>
      <c r="CL347" s="1433"/>
      <c r="CM347" s="1433"/>
      <c r="CN347" s="1433"/>
      <c r="CO347" s="1414"/>
      <c r="CQ347" s="1433"/>
      <c r="CR347" s="1433"/>
      <c r="CS347" s="1433"/>
      <c r="CT347" s="1433"/>
      <c r="CU347" s="1811"/>
      <c r="CV347" s="1811"/>
      <c r="CW347" s="1433"/>
      <c r="CX347" s="1433"/>
      <c r="CY347" s="1433"/>
      <c r="CZ347" s="1433"/>
      <c r="DA347" s="1433"/>
      <c r="DB347" s="1433"/>
      <c r="DC347" s="1433"/>
      <c r="DD347" s="1433"/>
      <c r="DE347" s="1433"/>
      <c r="DF347" s="1433"/>
      <c r="DG347" s="1433"/>
      <c r="DH347" s="1433"/>
      <c r="DI347" s="1433"/>
      <c r="DJ347" s="1433"/>
      <c r="DK347" s="1433"/>
      <c r="DL347" s="1433"/>
      <c r="DM347" s="1433"/>
      <c r="DN347" s="1433"/>
      <c r="DO347" s="1433"/>
      <c r="DP347" s="1433"/>
      <c r="DQ347" s="1433"/>
      <c r="DR347" s="1433"/>
      <c r="DS347" s="1433"/>
      <c r="DT347" s="1433"/>
      <c r="DU347" s="1433"/>
      <c r="DV347" s="1433"/>
      <c r="DW347" s="1433"/>
      <c r="DX347" s="1433"/>
      <c r="DY347" s="1433"/>
      <c r="DZ347" s="1433"/>
      <c r="EA347" s="1433"/>
      <c r="EB347" s="1433"/>
      <c r="EC347" s="1433"/>
      <c r="ED347" s="1433"/>
      <c r="EE347" s="1433"/>
      <c r="EF347" s="1433"/>
      <c r="EG347" s="1433"/>
      <c r="EH347" s="1433"/>
      <c r="EI347" s="1433"/>
      <c r="EJ347" s="1417"/>
      <c r="EK347" s="1490"/>
    </row>
    <row r="348" spans="1:141" s="1441" customFormat="1" ht="12" hidden="1">
      <c r="A348" s="1490"/>
      <c r="B348" s="1342"/>
      <c r="C348" s="1490"/>
      <c r="E348" s="1433"/>
      <c r="F348" s="1808" t="s">
        <v>192</v>
      </c>
      <c r="G348" s="1809"/>
      <c r="H348" s="1815"/>
      <c r="I348" s="1810">
        <f t="shared" si="3662"/>
        <v>-4942.5603460000002</v>
      </c>
      <c r="J348" s="1810">
        <f t="shared" si="3662"/>
        <v>0</v>
      </c>
      <c r="K348" s="1810">
        <f t="shared" si="3662"/>
        <v>0</v>
      </c>
      <c r="L348" s="1810">
        <f t="shared" si="3662"/>
        <v>0</v>
      </c>
      <c r="M348" s="1810">
        <f t="shared" si="3662"/>
        <v>0</v>
      </c>
      <c r="N348" s="1810">
        <f t="shared" si="3660"/>
        <v>-4942.5603460000002</v>
      </c>
      <c r="O348" s="1809"/>
      <c r="Q348" s="1433"/>
      <c r="S348" s="1433"/>
      <c r="T348" s="1433"/>
      <c r="U348" s="1433"/>
      <c r="V348" s="1433"/>
      <c r="W348" s="1433"/>
      <c r="X348" s="1433"/>
      <c r="Y348" s="1433"/>
      <c r="Z348" s="1433"/>
      <c r="AA348" s="1433"/>
      <c r="AB348" s="1433"/>
      <c r="AC348" s="1433"/>
      <c r="AD348" s="1433"/>
      <c r="AE348" s="1433"/>
      <c r="AF348" s="1433"/>
      <c r="AG348" s="1433"/>
      <c r="AH348" s="1433"/>
      <c r="AI348" s="1433"/>
      <c r="AJ348" s="1433"/>
      <c r="AK348" s="1433"/>
      <c r="AL348" s="1433"/>
      <c r="AM348" s="1433"/>
      <c r="AN348" s="1433"/>
      <c r="AO348" s="1433"/>
      <c r="AP348" s="1433"/>
      <c r="AQ348" s="1433"/>
      <c r="AR348" s="1433"/>
      <c r="AS348" s="1433"/>
      <c r="AT348" s="1433"/>
      <c r="AV348" s="1433"/>
      <c r="BJ348" s="1433"/>
      <c r="BK348" s="1433"/>
      <c r="BL348" s="1433"/>
      <c r="BM348" s="1433"/>
      <c r="BN348" s="1433"/>
      <c r="BO348" s="1433"/>
      <c r="BP348" s="1433"/>
      <c r="BQ348" s="1433"/>
      <c r="BR348" s="1433"/>
      <c r="BS348" s="1433"/>
      <c r="BT348" s="1433"/>
      <c r="BU348" s="1433"/>
      <c r="BV348" s="1433"/>
      <c r="BW348" s="1433"/>
      <c r="BX348" s="1433"/>
      <c r="BY348" s="1444"/>
      <c r="BZ348" s="1444"/>
      <c r="CA348" s="1444"/>
      <c r="CB348" s="1444"/>
      <c r="CC348" s="1433"/>
      <c r="CD348" s="1433"/>
      <c r="CE348" s="1433"/>
      <c r="CF348" s="1433"/>
      <c r="CG348" s="1433"/>
      <c r="CH348" s="1433"/>
      <c r="CI348" s="1433"/>
      <c r="CJ348" s="1433"/>
      <c r="CK348" s="1433"/>
      <c r="CL348" s="1433"/>
      <c r="CM348" s="1433"/>
      <c r="CN348" s="1433"/>
      <c r="CO348" s="1414"/>
      <c r="CQ348" s="1433"/>
      <c r="CR348" s="1433"/>
      <c r="CS348" s="1433"/>
      <c r="CT348" s="1433"/>
      <c r="CU348" s="1811"/>
      <c r="CV348" s="1811"/>
      <c r="CW348" s="1433"/>
      <c r="CX348" s="1433"/>
      <c r="CY348" s="1433"/>
      <c r="CZ348" s="1433"/>
      <c r="DA348" s="1433"/>
      <c r="DB348" s="1433"/>
      <c r="DC348" s="1433"/>
      <c r="DD348" s="1433"/>
      <c r="DE348" s="1433"/>
      <c r="DF348" s="1433"/>
      <c r="DG348" s="1433"/>
      <c r="DH348" s="1433"/>
      <c r="DI348" s="1433"/>
      <c r="DJ348" s="1433"/>
      <c r="DK348" s="1433"/>
      <c r="DL348" s="1433"/>
      <c r="DM348" s="1433"/>
      <c r="DN348" s="1433"/>
      <c r="DO348" s="1433"/>
      <c r="DP348" s="1433"/>
      <c r="DQ348" s="1433"/>
      <c r="DR348" s="1433"/>
      <c r="DS348" s="1433"/>
      <c r="DT348" s="1433"/>
      <c r="DU348" s="1433"/>
      <c r="DV348" s="1433"/>
      <c r="DW348" s="1433"/>
      <c r="DX348" s="1433"/>
      <c r="DY348" s="1433"/>
      <c r="DZ348" s="1433"/>
      <c r="EA348" s="1433"/>
      <c r="EB348" s="1433"/>
      <c r="EC348" s="1433"/>
      <c r="ED348" s="1433"/>
      <c r="EE348" s="1433"/>
      <c r="EF348" s="1433"/>
      <c r="EG348" s="1433"/>
      <c r="EH348" s="1433"/>
      <c r="EI348" s="1433"/>
      <c r="EJ348" s="1417"/>
      <c r="EK348" s="1490"/>
    </row>
    <row r="349" spans="1:141" s="1441" customFormat="1" ht="12" hidden="1">
      <c r="A349" s="1490"/>
      <c r="B349" s="1342"/>
      <c r="C349" s="1490"/>
      <c r="E349" s="1433"/>
      <c r="F349" s="1809" t="s">
        <v>152</v>
      </c>
      <c r="G349" s="1809"/>
      <c r="H349" s="1815"/>
      <c r="I349" s="1824" t="e">
        <f t="shared" ref="I349:N349" si="3663">SUM(I325:I348)</f>
        <v>#REF!</v>
      </c>
      <c r="J349" s="1824" t="e">
        <f t="shared" si="3663"/>
        <v>#REF!</v>
      </c>
      <c r="K349" s="1824" t="e">
        <f t="shared" si="3663"/>
        <v>#REF!</v>
      </c>
      <c r="L349" s="1824" t="e">
        <f t="shared" si="3663"/>
        <v>#REF!</v>
      </c>
      <c r="M349" s="1824" t="e">
        <f t="shared" si="3663"/>
        <v>#REF!</v>
      </c>
      <c r="N349" s="1824" t="e">
        <f t="shared" si="3663"/>
        <v>#REF!</v>
      </c>
      <c r="O349" s="1809"/>
      <c r="Q349" s="1433"/>
      <c r="S349" s="1433"/>
      <c r="T349" s="1433"/>
      <c r="U349" s="1433"/>
      <c r="V349" s="1433"/>
      <c r="W349" s="1433"/>
      <c r="X349" s="1433"/>
      <c r="Y349" s="1433"/>
      <c r="Z349" s="1433"/>
      <c r="AA349" s="1433"/>
      <c r="AB349" s="1433"/>
      <c r="AC349" s="1433"/>
      <c r="AD349" s="1433"/>
      <c r="AE349" s="1433"/>
      <c r="AF349" s="1433"/>
      <c r="AG349" s="1433"/>
      <c r="AH349" s="1433"/>
      <c r="AI349" s="1433"/>
      <c r="AJ349" s="1433"/>
      <c r="AK349" s="1433"/>
      <c r="AL349" s="1433"/>
      <c r="AM349" s="1433"/>
      <c r="AN349" s="1433"/>
      <c r="AO349" s="1433"/>
      <c r="AP349" s="1433"/>
      <c r="AQ349" s="1433"/>
      <c r="AR349" s="1433"/>
      <c r="AS349" s="1433"/>
      <c r="AT349" s="1433"/>
      <c r="AV349" s="1433"/>
      <c r="BJ349" s="1433"/>
      <c r="BK349" s="1433"/>
      <c r="BL349" s="1433"/>
      <c r="BM349" s="1433"/>
      <c r="BN349" s="1433"/>
      <c r="BO349" s="1433"/>
      <c r="BP349" s="1433"/>
      <c r="BQ349" s="1433"/>
      <c r="BR349" s="1433"/>
      <c r="BS349" s="1433"/>
      <c r="BT349" s="1433"/>
      <c r="BU349" s="1433"/>
      <c r="BV349" s="1433"/>
      <c r="BW349" s="1433"/>
      <c r="BX349" s="1433"/>
      <c r="BY349" s="1444"/>
      <c r="BZ349" s="1444"/>
      <c r="CA349" s="1444"/>
      <c r="CB349" s="1444"/>
      <c r="CC349" s="1433"/>
      <c r="CD349" s="1433"/>
      <c r="CE349" s="1433"/>
      <c r="CF349" s="1433"/>
      <c r="CG349" s="1433"/>
      <c r="CH349" s="1433"/>
      <c r="CI349" s="1433"/>
      <c r="CJ349" s="1433"/>
      <c r="CK349" s="1433"/>
      <c r="CL349" s="1433"/>
      <c r="CM349" s="1433"/>
      <c r="CN349" s="1433"/>
      <c r="CO349" s="1414"/>
      <c r="CQ349" s="1433"/>
      <c r="CR349" s="1433"/>
      <c r="CS349" s="1433"/>
      <c r="CT349" s="1433"/>
      <c r="CU349" s="1811"/>
      <c r="CV349" s="1811"/>
      <c r="CW349" s="1433"/>
      <c r="CX349" s="1433"/>
      <c r="CY349" s="1433"/>
      <c r="CZ349" s="1433"/>
      <c r="DA349" s="1433"/>
      <c r="DB349" s="1433"/>
      <c r="DC349" s="1433"/>
      <c r="DD349" s="1433"/>
      <c r="DE349" s="1433"/>
      <c r="DF349" s="1433"/>
      <c r="DG349" s="1433"/>
      <c r="DH349" s="1433"/>
      <c r="DI349" s="1433"/>
      <c r="DJ349" s="1433"/>
      <c r="DK349" s="1433"/>
      <c r="DL349" s="1433"/>
      <c r="DM349" s="1433"/>
      <c r="DN349" s="1433"/>
      <c r="DO349" s="1433"/>
      <c r="DP349" s="1433"/>
      <c r="DQ349" s="1433"/>
      <c r="DR349" s="1433"/>
      <c r="DS349" s="1433"/>
      <c r="DT349" s="1433"/>
      <c r="DU349" s="1433"/>
      <c r="DV349" s="1433"/>
      <c r="DW349" s="1433"/>
      <c r="DX349" s="1433"/>
      <c r="DY349" s="1433"/>
      <c r="DZ349" s="1433"/>
      <c r="EA349" s="1433"/>
      <c r="EB349" s="1433"/>
      <c r="EC349" s="1433"/>
      <c r="ED349" s="1433"/>
      <c r="EE349" s="1433"/>
      <c r="EF349" s="1433"/>
      <c r="EG349" s="1433"/>
      <c r="EH349" s="1433"/>
      <c r="EI349" s="1433"/>
      <c r="EJ349" s="1417"/>
      <c r="EK349" s="1490"/>
    </row>
    <row r="350" spans="1:141" s="1441" customFormat="1" ht="12" hidden="1">
      <c r="A350" s="1490"/>
      <c r="B350" s="1342"/>
      <c r="C350" s="1490"/>
      <c r="E350" s="1433"/>
      <c r="F350" s="1809"/>
      <c r="G350" s="1809"/>
      <c r="H350" s="1815"/>
      <c r="I350" s="1824"/>
      <c r="J350" s="1824"/>
      <c r="K350" s="1824"/>
      <c r="L350" s="1824"/>
      <c r="M350" s="1824"/>
      <c r="N350" s="1824"/>
      <c r="O350" s="1809"/>
      <c r="Q350" s="1433"/>
      <c r="S350" s="1433"/>
      <c r="T350" s="1433"/>
      <c r="U350" s="1433"/>
      <c r="V350" s="1433"/>
      <c r="W350" s="1433"/>
      <c r="X350" s="1433"/>
      <c r="Y350" s="1433"/>
      <c r="Z350" s="1433"/>
      <c r="AA350" s="1433"/>
      <c r="AB350" s="1433"/>
      <c r="AC350" s="1433"/>
      <c r="AD350" s="1433"/>
      <c r="AE350" s="1433"/>
      <c r="AF350" s="1433"/>
      <c r="AG350" s="1433"/>
      <c r="AH350" s="1433"/>
      <c r="AI350" s="1433"/>
      <c r="AJ350" s="1433"/>
      <c r="AK350" s="1433"/>
      <c r="AL350" s="1433"/>
      <c r="AM350" s="1433"/>
      <c r="AN350" s="1433"/>
      <c r="AO350" s="1433"/>
      <c r="AP350" s="1433"/>
      <c r="AQ350" s="1433"/>
      <c r="AR350" s="1433"/>
      <c r="AS350" s="1433"/>
      <c r="AT350" s="1433"/>
      <c r="AV350" s="1433"/>
      <c r="BJ350" s="1433"/>
      <c r="BK350" s="1433"/>
      <c r="BL350" s="1433"/>
      <c r="BM350" s="1433"/>
      <c r="BN350" s="1433"/>
      <c r="BO350" s="1433"/>
      <c r="BP350" s="1433"/>
      <c r="BQ350" s="1433"/>
      <c r="BR350" s="1433"/>
      <c r="BS350" s="1433"/>
      <c r="BT350" s="1433"/>
      <c r="BU350" s="1433"/>
      <c r="BV350" s="1433"/>
      <c r="BW350" s="1433"/>
      <c r="BX350" s="1433"/>
      <c r="BY350" s="1444"/>
      <c r="BZ350" s="1444"/>
      <c r="CA350" s="1444"/>
      <c r="CB350" s="1444"/>
      <c r="CC350" s="1433"/>
      <c r="CD350" s="1433"/>
      <c r="CE350" s="1433"/>
      <c r="CF350" s="1433"/>
      <c r="CG350" s="1433"/>
      <c r="CH350" s="1433"/>
      <c r="CI350" s="1433"/>
      <c r="CJ350" s="1433"/>
      <c r="CK350" s="1433"/>
      <c r="CL350" s="1433"/>
      <c r="CM350" s="1433"/>
      <c r="CN350" s="1433"/>
      <c r="CO350" s="1414"/>
      <c r="CQ350" s="1433"/>
      <c r="CR350" s="1433"/>
      <c r="CS350" s="1433"/>
      <c r="CT350" s="1433"/>
      <c r="CU350" s="1811"/>
      <c r="CV350" s="1811"/>
      <c r="CW350" s="1433"/>
      <c r="CX350" s="1433"/>
      <c r="CY350" s="1433"/>
      <c r="CZ350" s="1433"/>
      <c r="DA350" s="1433"/>
      <c r="DB350" s="1433"/>
      <c r="DC350" s="1433"/>
      <c r="DD350" s="1433"/>
      <c r="DE350" s="1433"/>
      <c r="DF350" s="1433"/>
      <c r="DG350" s="1433"/>
      <c r="DH350" s="1433"/>
      <c r="DI350" s="1433"/>
      <c r="DJ350" s="1433"/>
      <c r="DK350" s="1433"/>
      <c r="DL350" s="1433"/>
      <c r="DM350" s="1433"/>
      <c r="DN350" s="1433"/>
      <c r="DO350" s="1433"/>
      <c r="DP350" s="1433"/>
      <c r="DQ350" s="1433"/>
      <c r="DR350" s="1433"/>
      <c r="DS350" s="1433"/>
      <c r="DT350" s="1433"/>
      <c r="DU350" s="1433"/>
      <c r="DV350" s="1433"/>
      <c r="DW350" s="1433"/>
      <c r="DX350" s="1433"/>
      <c r="DY350" s="1433"/>
      <c r="DZ350" s="1433"/>
      <c r="EA350" s="1433"/>
      <c r="EB350" s="1433"/>
      <c r="EC350" s="1433"/>
      <c r="ED350" s="1433"/>
      <c r="EE350" s="1433"/>
      <c r="EF350" s="1433"/>
      <c r="EG350" s="1433"/>
      <c r="EH350" s="1433"/>
      <c r="EI350" s="1433"/>
      <c r="EJ350" s="1417"/>
      <c r="EK350" s="1490"/>
    </row>
    <row r="351" spans="1:141" s="1441" customFormat="1" ht="12.75" hidden="1" thickBot="1">
      <c r="A351" s="1490"/>
      <c r="B351" s="1342"/>
      <c r="C351" s="1490"/>
      <c r="E351" s="1433"/>
      <c r="F351" s="1809" t="s">
        <v>197</v>
      </c>
      <c r="G351" s="1809"/>
      <c r="H351" s="1815"/>
      <c r="I351" s="1814" t="e">
        <f>+I349+J349</f>
        <v>#REF!</v>
      </c>
      <c r="J351" s="1814"/>
      <c r="K351" s="1814" t="e">
        <f>+K349+L349</f>
        <v>#REF!</v>
      </c>
      <c r="L351" s="1814"/>
      <c r="M351" s="1814" t="e">
        <f>+M349</f>
        <v>#REF!</v>
      </c>
      <c r="N351" s="1814"/>
      <c r="O351" s="1809"/>
      <c r="Q351" s="1433"/>
      <c r="S351" s="1433"/>
      <c r="T351" s="1433"/>
      <c r="U351" s="1433"/>
      <c r="V351" s="1433"/>
      <c r="W351" s="1433"/>
      <c r="X351" s="1433"/>
      <c r="Y351" s="1433"/>
      <c r="Z351" s="1433"/>
      <c r="AA351" s="1433"/>
      <c r="AB351" s="1433"/>
      <c r="AC351" s="1433"/>
      <c r="AD351" s="1433"/>
      <c r="AE351" s="1433"/>
      <c r="AF351" s="1433"/>
      <c r="AG351" s="1433"/>
      <c r="AH351" s="1433"/>
      <c r="AI351" s="1433"/>
      <c r="AJ351" s="1433"/>
      <c r="AK351" s="1433"/>
      <c r="AL351" s="1433"/>
      <c r="AM351" s="1433"/>
      <c r="AN351" s="1433"/>
      <c r="AO351" s="1433"/>
      <c r="AP351" s="1433"/>
      <c r="AQ351" s="1433"/>
      <c r="AR351" s="1433"/>
      <c r="AS351" s="1433"/>
      <c r="AT351" s="1433"/>
      <c r="AV351" s="1433"/>
      <c r="BJ351" s="1433"/>
      <c r="BK351" s="1433"/>
      <c r="BL351" s="1433"/>
      <c r="BM351" s="1433"/>
      <c r="BN351" s="1433"/>
      <c r="BO351" s="1433"/>
      <c r="BP351" s="1433"/>
      <c r="BQ351" s="1433"/>
      <c r="BR351" s="1433"/>
      <c r="BS351" s="1433"/>
      <c r="BT351" s="1433"/>
      <c r="BU351" s="1433"/>
      <c r="BV351" s="1433"/>
      <c r="BW351" s="1433"/>
      <c r="BX351" s="1433"/>
      <c r="BY351" s="1444"/>
      <c r="BZ351" s="1444"/>
      <c r="CA351" s="1444"/>
      <c r="CB351" s="1444"/>
      <c r="CC351" s="1433"/>
      <c r="CD351" s="1433"/>
      <c r="CE351" s="1433"/>
      <c r="CF351" s="1433"/>
      <c r="CG351" s="1433"/>
      <c r="CH351" s="1433"/>
      <c r="CI351" s="1433"/>
      <c r="CJ351" s="1433"/>
      <c r="CK351" s="1433"/>
      <c r="CL351" s="1433"/>
      <c r="CM351" s="1433"/>
      <c r="CN351" s="1433"/>
      <c r="CO351" s="1414"/>
      <c r="CQ351" s="1433"/>
      <c r="CR351" s="1433"/>
      <c r="CS351" s="1433"/>
      <c r="CT351" s="1433"/>
      <c r="CU351" s="1811"/>
      <c r="CV351" s="1811"/>
      <c r="CW351" s="1433"/>
      <c r="CX351" s="1433"/>
      <c r="CY351" s="1433"/>
      <c r="CZ351" s="1433"/>
      <c r="DA351" s="1433"/>
      <c r="DB351" s="1433"/>
      <c r="DC351" s="1433"/>
      <c r="DD351" s="1433"/>
      <c r="DE351" s="1433"/>
      <c r="DF351" s="1433"/>
      <c r="DG351" s="1433"/>
      <c r="DH351" s="1433"/>
      <c r="DI351" s="1433"/>
      <c r="DJ351" s="1433"/>
      <c r="DK351" s="1433"/>
      <c r="DL351" s="1433"/>
      <c r="DM351" s="1433"/>
      <c r="DN351" s="1433"/>
      <c r="DO351" s="1433"/>
      <c r="DP351" s="1433"/>
      <c r="DQ351" s="1433"/>
      <c r="DR351" s="1433"/>
      <c r="DS351" s="1433"/>
      <c r="DT351" s="1433"/>
      <c r="DU351" s="1433"/>
      <c r="DV351" s="1433"/>
      <c r="DW351" s="1433"/>
      <c r="DX351" s="1433"/>
      <c r="DY351" s="1433"/>
      <c r="DZ351" s="1433"/>
      <c r="EA351" s="1433"/>
      <c r="EB351" s="1433"/>
      <c r="EC351" s="1433"/>
      <c r="ED351" s="1433"/>
      <c r="EE351" s="1433"/>
      <c r="EF351" s="1433"/>
      <c r="EG351" s="1433"/>
      <c r="EH351" s="1433"/>
      <c r="EI351" s="1433"/>
      <c r="EJ351" s="1417"/>
      <c r="EK351" s="1490"/>
    </row>
    <row r="352" spans="1:141" s="1441" customFormat="1" ht="12" hidden="1">
      <c r="A352" s="1490"/>
      <c r="B352" s="1342"/>
      <c r="C352" s="1490"/>
      <c r="E352" s="1433"/>
      <c r="F352" s="1809"/>
      <c r="G352" s="1809"/>
      <c r="H352" s="1815"/>
      <c r="I352" s="1820"/>
      <c r="J352" s="1820"/>
      <c r="K352" s="1820"/>
      <c r="L352" s="1820"/>
      <c r="M352" s="1820"/>
      <c r="N352" s="1820"/>
      <c r="O352" s="1809"/>
      <c r="Q352" s="1433"/>
      <c r="S352" s="1433"/>
      <c r="T352" s="1433"/>
      <c r="U352" s="1433"/>
      <c r="V352" s="1433"/>
      <c r="W352" s="1433"/>
      <c r="X352" s="1433"/>
      <c r="Y352" s="1433"/>
      <c r="Z352" s="1433"/>
      <c r="AA352" s="1433"/>
      <c r="AB352" s="1433"/>
      <c r="AC352" s="1433"/>
      <c r="AD352" s="1433"/>
      <c r="AE352" s="1433"/>
      <c r="AF352" s="1433"/>
      <c r="AG352" s="1433"/>
      <c r="AH352" s="1433"/>
      <c r="AI352" s="1433"/>
      <c r="AJ352" s="1433"/>
      <c r="AK352" s="1433"/>
      <c r="AL352" s="1433"/>
      <c r="AM352" s="1433"/>
      <c r="AN352" s="1433"/>
      <c r="AO352" s="1433"/>
      <c r="AP352" s="1433"/>
      <c r="AQ352" s="1433"/>
      <c r="AR352" s="1433"/>
      <c r="AS352" s="1433"/>
      <c r="AT352" s="1433"/>
      <c r="AV352" s="1433"/>
      <c r="BJ352" s="1433"/>
      <c r="BK352" s="1433"/>
      <c r="BL352" s="1433"/>
      <c r="BM352" s="1433"/>
      <c r="BN352" s="1433"/>
      <c r="BO352" s="1433"/>
      <c r="BP352" s="1433"/>
      <c r="BQ352" s="1433"/>
      <c r="BR352" s="1433"/>
      <c r="BS352" s="1433"/>
      <c r="BT352" s="1433"/>
      <c r="BU352" s="1433"/>
      <c r="BV352" s="1433"/>
      <c r="BW352" s="1433"/>
      <c r="BX352" s="1433"/>
      <c r="BY352" s="1444"/>
      <c r="BZ352" s="1444"/>
      <c r="CA352" s="1444"/>
      <c r="CB352" s="1444"/>
      <c r="CC352" s="1433"/>
      <c r="CD352" s="1433"/>
      <c r="CE352" s="1433"/>
      <c r="CF352" s="1433"/>
      <c r="CG352" s="1433"/>
      <c r="CH352" s="1433"/>
      <c r="CI352" s="1433"/>
      <c r="CJ352" s="1433"/>
      <c r="CK352" s="1433"/>
      <c r="CL352" s="1433"/>
      <c r="CM352" s="1433"/>
      <c r="CN352" s="1433"/>
      <c r="CO352" s="1414"/>
      <c r="CQ352" s="1433"/>
      <c r="CR352" s="1433"/>
      <c r="CS352" s="1433"/>
      <c r="CT352" s="1433"/>
      <c r="CU352" s="1811"/>
      <c r="CV352" s="1811"/>
      <c r="CW352" s="1433"/>
      <c r="CX352" s="1433"/>
      <c r="CY352" s="1433"/>
      <c r="CZ352" s="1433"/>
      <c r="DA352" s="1433"/>
      <c r="DB352" s="1433"/>
      <c r="DC352" s="1433"/>
      <c r="DD352" s="1433"/>
      <c r="DE352" s="1433"/>
      <c r="DF352" s="1433"/>
      <c r="DG352" s="1433"/>
      <c r="DH352" s="1433"/>
      <c r="DI352" s="1433"/>
      <c r="DJ352" s="1433"/>
      <c r="DK352" s="1433"/>
      <c r="DL352" s="1433"/>
      <c r="DM352" s="1433"/>
      <c r="DN352" s="1433"/>
      <c r="DO352" s="1433"/>
      <c r="DP352" s="1433"/>
      <c r="DQ352" s="1433"/>
      <c r="DR352" s="1433"/>
      <c r="DS352" s="1433"/>
      <c r="DT352" s="1433"/>
      <c r="DU352" s="1433"/>
      <c r="DV352" s="1433"/>
      <c r="DW352" s="1433"/>
      <c r="DX352" s="1433"/>
      <c r="DY352" s="1433"/>
      <c r="DZ352" s="1433"/>
      <c r="EA352" s="1433"/>
      <c r="EB352" s="1433"/>
      <c r="EC352" s="1433"/>
      <c r="ED352" s="1433"/>
      <c r="EE352" s="1433"/>
      <c r="EF352" s="1433"/>
      <c r="EG352" s="1433"/>
      <c r="EH352" s="1433"/>
      <c r="EI352" s="1433"/>
      <c r="EJ352" s="1417"/>
      <c r="EK352" s="1490"/>
    </row>
    <row r="353" spans="1:141" s="1441" customFormat="1" ht="12" hidden="1">
      <c r="A353" s="1490"/>
      <c r="B353" s="1342"/>
      <c r="C353" s="1490"/>
      <c r="E353" s="1433"/>
      <c r="F353" s="1809"/>
      <c r="G353" s="1809"/>
      <c r="H353" s="1815"/>
      <c r="I353" s="1810"/>
      <c r="J353" s="1810"/>
      <c r="K353" s="1810"/>
      <c r="L353" s="1810"/>
      <c r="M353" s="1810"/>
      <c r="N353" s="1810"/>
      <c r="O353" s="1809"/>
      <c r="Q353" s="1433"/>
      <c r="S353" s="1433"/>
      <c r="T353" s="1433"/>
      <c r="U353" s="1433"/>
      <c r="V353" s="1433"/>
      <c r="W353" s="1433"/>
      <c r="X353" s="1433"/>
      <c r="Y353" s="1433"/>
      <c r="Z353" s="1433"/>
      <c r="AA353" s="1433"/>
      <c r="AB353" s="1433"/>
      <c r="AC353" s="1433"/>
      <c r="AD353" s="1433"/>
      <c r="AE353" s="1433"/>
      <c r="AF353" s="1433"/>
      <c r="AG353" s="1433"/>
      <c r="AH353" s="1433"/>
      <c r="AI353" s="1433"/>
      <c r="AJ353" s="1433"/>
      <c r="AK353" s="1433"/>
      <c r="AL353" s="1433"/>
      <c r="AM353" s="1433"/>
      <c r="AN353" s="1433"/>
      <c r="AO353" s="1433"/>
      <c r="AP353" s="1433"/>
      <c r="AQ353" s="1433"/>
      <c r="AR353" s="1433"/>
      <c r="AS353" s="1433"/>
      <c r="AT353" s="1433"/>
      <c r="AV353" s="1433"/>
      <c r="BJ353" s="1433"/>
      <c r="BK353" s="1433"/>
      <c r="BL353" s="1433"/>
      <c r="BM353" s="1433"/>
      <c r="BN353" s="1433"/>
      <c r="BO353" s="1433"/>
      <c r="BP353" s="1433"/>
      <c r="BQ353" s="1433"/>
      <c r="BR353" s="1433"/>
      <c r="BS353" s="1433"/>
      <c r="BT353" s="1433"/>
      <c r="BU353" s="1433"/>
      <c r="BV353" s="1433"/>
      <c r="BW353" s="1433"/>
      <c r="BX353" s="1433"/>
      <c r="BY353" s="1444"/>
      <c r="BZ353" s="1444"/>
      <c r="CA353" s="1444"/>
      <c r="CB353" s="1444"/>
      <c r="CC353" s="1433"/>
      <c r="CD353" s="1433"/>
      <c r="CE353" s="1433"/>
      <c r="CF353" s="1433"/>
      <c r="CG353" s="1433"/>
      <c r="CH353" s="1433"/>
      <c r="CI353" s="1433"/>
      <c r="CJ353" s="1433"/>
      <c r="CK353" s="1433"/>
      <c r="CL353" s="1433"/>
      <c r="CM353" s="1433"/>
      <c r="CN353" s="1433"/>
      <c r="CO353" s="1414"/>
      <c r="CQ353" s="1433"/>
      <c r="CR353" s="1433"/>
      <c r="CS353" s="1433"/>
      <c r="CT353" s="1433"/>
      <c r="CU353" s="1811"/>
      <c r="CV353" s="1811"/>
      <c r="CW353" s="1433"/>
      <c r="CX353" s="1433"/>
      <c r="CY353" s="1433"/>
      <c r="CZ353" s="1433"/>
      <c r="DA353" s="1433"/>
      <c r="DB353" s="1433"/>
      <c r="DC353" s="1433"/>
      <c r="DD353" s="1433"/>
      <c r="DE353" s="1433"/>
      <c r="DF353" s="1433"/>
      <c r="DG353" s="1433"/>
      <c r="DH353" s="1433"/>
      <c r="DI353" s="1433"/>
      <c r="DJ353" s="1433"/>
      <c r="DK353" s="1433"/>
      <c r="DL353" s="1433"/>
      <c r="DM353" s="1433"/>
      <c r="DN353" s="1433"/>
      <c r="DO353" s="1433"/>
      <c r="DP353" s="1433"/>
      <c r="DQ353" s="1433"/>
      <c r="DR353" s="1433"/>
      <c r="DS353" s="1433"/>
      <c r="DT353" s="1433"/>
      <c r="DU353" s="1433"/>
      <c r="DV353" s="1433"/>
      <c r="DW353" s="1433"/>
      <c r="DX353" s="1433"/>
      <c r="DY353" s="1433"/>
      <c r="DZ353" s="1433"/>
      <c r="EA353" s="1433"/>
      <c r="EB353" s="1433"/>
      <c r="EC353" s="1433"/>
      <c r="ED353" s="1433"/>
      <c r="EE353" s="1433"/>
      <c r="EF353" s="1433"/>
      <c r="EG353" s="1433"/>
      <c r="EH353" s="1433"/>
      <c r="EI353" s="1433"/>
      <c r="EJ353" s="1417"/>
      <c r="EK353" s="1490"/>
    </row>
    <row r="354" spans="1:141" s="1441" customFormat="1" ht="12" hidden="1">
      <c r="A354" s="1490"/>
      <c r="B354" s="1342"/>
      <c r="C354" s="1490"/>
      <c r="E354" s="1433"/>
      <c r="F354" s="1825" t="s">
        <v>198</v>
      </c>
      <c r="G354" s="1795"/>
      <c r="H354" s="1795"/>
      <c r="I354" s="1795"/>
      <c r="J354" s="1809"/>
      <c r="K354" s="1795"/>
      <c r="L354" s="1795"/>
      <c r="M354" s="1795"/>
      <c r="N354" s="1809"/>
      <c r="O354" s="1809"/>
      <c r="Q354" s="1433"/>
      <c r="S354" s="1433"/>
      <c r="T354" s="1433"/>
      <c r="U354" s="1433"/>
      <c r="V354" s="1433"/>
      <c r="W354" s="1433"/>
      <c r="X354" s="1433"/>
      <c r="Y354" s="1433"/>
      <c r="Z354" s="1433"/>
      <c r="AA354" s="1433"/>
      <c r="AB354" s="1433"/>
      <c r="AC354" s="1433"/>
      <c r="AD354" s="1433"/>
      <c r="AE354" s="1433"/>
      <c r="AF354" s="1433"/>
      <c r="AG354" s="1433"/>
      <c r="AH354" s="1433"/>
      <c r="AI354" s="1433"/>
      <c r="AJ354" s="1433"/>
      <c r="AK354" s="1433"/>
      <c r="AL354" s="1433"/>
      <c r="AM354" s="1433"/>
      <c r="AN354" s="1433"/>
      <c r="AO354" s="1433"/>
      <c r="AP354" s="1433"/>
      <c r="AQ354" s="1433"/>
      <c r="AR354" s="1433"/>
      <c r="AS354" s="1433"/>
      <c r="AT354" s="1433"/>
      <c r="AV354" s="1433"/>
      <c r="BJ354" s="1433"/>
      <c r="BK354" s="1433"/>
      <c r="BL354" s="1433"/>
      <c r="BM354" s="1433"/>
      <c r="BN354" s="1433"/>
      <c r="BO354" s="1433"/>
      <c r="BP354" s="1433"/>
      <c r="BQ354" s="1433"/>
      <c r="BR354" s="1433"/>
      <c r="BS354" s="1433"/>
      <c r="BT354" s="1433"/>
      <c r="BU354" s="1433"/>
      <c r="BV354" s="1433"/>
      <c r="BW354" s="1433"/>
      <c r="BX354" s="1433"/>
      <c r="BY354" s="1433"/>
      <c r="BZ354" s="1433"/>
      <c r="CA354" s="1433"/>
      <c r="CB354" s="1433"/>
      <c r="CC354" s="1433"/>
      <c r="CD354" s="1433"/>
      <c r="CE354" s="1433"/>
      <c r="CF354" s="1433"/>
      <c r="CG354" s="1433"/>
      <c r="CH354" s="1433"/>
      <c r="CI354" s="1433"/>
      <c r="CJ354" s="1433"/>
      <c r="CK354" s="1433"/>
      <c r="CL354" s="1433"/>
      <c r="CM354" s="1433"/>
      <c r="CN354" s="1433"/>
      <c r="CO354" s="1414"/>
      <c r="CQ354" s="1433"/>
      <c r="CR354" s="1433"/>
      <c r="CS354" s="1433"/>
      <c r="CT354" s="1433"/>
      <c r="CU354" s="1433"/>
      <c r="CV354" s="1433"/>
      <c r="CW354" s="1433"/>
      <c r="CX354" s="1433"/>
      <c r="CY354" s="1433"/>
      <c r="CZ354" s="1433"/>
      <c r="DA354" s="1433"/>
      <c r="DB354" s="1433"/>
      <c r="DC354" s="1433"/>
      <c r="DD354" s="1433"/>
      <c r="DE354" s="1433"/>
      <c r="DF354" s="1433"/>
      <c r="DG354" s="1433"/>
      <c r="DH354" s="1433"/>
      <c r="DI354" s="1433"/>
      <c r="DJ354" s="1433"/>
      <c r="DK354" s="1433"/>
      <c r="DL354" s="1433"/>
      <c r="DM354" s="1433"/>
      <c r="DN354" s="1433"/>
      <c r="DO354" s="1433"/>
      <c r="DP354" s="1433"/>
      <c r="DQ354" s="1433"/>
      <c r="DR354" s="1433"/>
      <c r="DS354" s="1433"/>
      <c r="DT354" s="1433"/>
      <c r="DU354" s="1433"/>
      <c r="DV354" s="1433"/>
      <c r="DW354" s="1433"/>
      <c r="DX354" s="1433"/>
      <c r="DY354" s="1433"/>
      <c r="DZ354" s="1433"/>
      <c r="EA354" s="1433"/>
      <c r="EB354" s="1433"/>
      <c r="EC354" s="1433"/>
      <c r="ED354" s="1433"/>
      <c r="EE354" s="1433"/>
      <c r="EF354" s="1433"/>
      <c r="EG354" s="1433"/>
      <c r="EH354" s="1433"/>
      <c r="EI354" s="1433"/>
      <c r="EJ354" s="1414"/>
      <c r="EK354" s="1490"/>
    </row>
    <row r="355" spans="1:141" s="1441" customFormat="1" ht="12" hidden="1">
      <c r="A355" s="1490"/>
      <c r="B355" s="1342"/>
      <c r="C355" s="1490"/>
      <c r="E355" s="1433"/>
      <c r="F355" s="1809"/>
      <c r="G355" s="1795"/>
      <c r="H355" s="1795"/>
      <c r="I355" s="1826"/>
      <c r="J355" s="1809"/>
      <c r="K355" s="1826"/>
      <c r="L355" s="1795"/>
      <c r="M355" s="1795"/>
      <c r="N355" s="1809"/>
      <c r="O355" s="1809"/>
      <c r="Q355" s="1433"/>
      <c r="S355" s="1433"/>
      <c r="T355" s="1433"/>
      <c r="U355" s="1433"/>
      <c r="V355" s="1433"/>
      <c r="W355" s="1433"/>
      <c r="X355" s="1433"/>
      <c r="Y355" s="1433"/>
      <c r="Z355" s="1433"/>
      <c r="AA355" s="1433"/>
      <c r="AB355" s="1433"/>
      <c r="AC355" s="1433"/>
      <c r="AD355" s="1433"/>
      <c r="AE355" s="1433"/>
      <c r="AF355" s="1433"/>
      <c r="AG355" s="1433"/>
      <c r="AH355" s="1433"/>
      <c r="AI355" s="1433"/>
      <c r="AJ355" s="1433"/>
      <c r="AK355" s="1433"/>
      <c r="AL355" s="1433"/>
      <c r="AM355" s="1433"/>
      <c r="AN355" s="1433"/>
      <c r="AO355" s="1433"/>
      <c r="AP355" s="1433"/>
      <c r="AQ355" s="1433"/>
      <c r="AR355" s="1433"/>
      <c r="AS355" s="1433"/>
      <c r="AT355" s="1433"/>
      <c r="AV355" s="1433"/>
      <c r="BJ355" s="1433"/>
      <c r="BK355" s="1433"/>
      <c r="BL355" s="1433"/>
      <c r="BM355" s="1433"/>
      <c r="BN355" s="1433"/>
      <c r="BO355" s="1433"/>
      <c r="BP355" s="1433"/>
      <c r="BQ355" s="1433"/>
      <c r="BR355" s="1433"/>
      <c r="BS355" s="1433"/>
      <c r="BT355" s="1433"/>
      <c r="BU355" s="1433"/>
      <c r="BV355" s="1433"/>
      <c r="BW355" s="1433"/>
      <c r="BX355" s="1433"/>
      <c r="BY355" s="1433"/>
      <c r="BZ355" s="1433"/>
      <c r="CA355" s="1433"/>
      <c r="CB355" s="1433"/>
      <c r="CC355" s="1433"/>
      <c r="CD355" s="1433"/>
      <c r="CE355" s="1433"/>
      <c r="CF355" s="1433"/>
      <c r="CG355" s="1433"/>
      <c r="CH355" s="1433"/>
      <c r="CI355" s="1433"/>
      <c r="CJ355" s="1433"/>
      <c r="CK355" s="1433"/>
      <c r="CL355" s="1433"/>
      <c r="CM355" s="1433"/>
      <c r="CN355" s="1433"/>
      <c r="CO355" s="1414"/>
      <c r="CQ355" s="1433"/>
      <c r="CR355" s="1433"/>
      <c r="CS355" s="1433"/>
      <c r="CT355" s="1433"/>
      <c r="CU355" s="1433"/>
      <c r="CV355" s="1433"/>
      <c r="CW355" s="1433"/>
      <c r="CX355" s="1433"/>
      <c r="CY355" s="1433"/>
      <c r="CZ355" s="1433"/>
      <c r="DA355" s="1433"/>
      <c r="DB355" s="1433"/>
      <c r="DC355" s="1433"/>
      <c r="DD355" s="1433"/>
      <c r="DE355" s="1433"/>
      <c r="DF355" s="1433"/>
      <c r="DG355" s="1433"/>
      <c r="DH355" s="1433"/>
      <c r="DI355" s="1433"/>
      <c r="DJ355" s="1433"/>
      <c r="DK355" s="1433"/>
      <c r="DL355" s="1433"/>
      <c r="DM355" s="1433"/>
      <c r="DN355" s="1433"/>
      <c r="DO355" s="1433"/>
      <c r="DP355" s="1433"/>
      <c r="DQ355" s="1433"/>
      <c r="DR355" s="1433"/>
      <c r="DS355" s="1433"/>
      <c r="DT355" s="1433"/>
      <c r="DU355" s="1433"/>
      <c r="DV355" s="1433"/>
      <c r="DW355" s="1433"/>
      <c r="DX355" s="1433"/>
      <c r="DY355" s="1433"/>
      <c r="DZ355" s="1433"/>
      <c r="EA355" s="1433"/>
      <c r="EB355" s="1433"/>
      <c r="EC355" s="1433"/>
      <c r="ED355" s="1433"/>
      <c r="EE355" s="1433"/>
      <c r="EF355" s="1433"/>
      <c r="EG355" s="1433"/>
      <c r="EH355" s="1433"/>
      <c r="EI355" s="1433"/>
      <c r="EJ355" s="1414"/>
      <c r="EK355" s="1490"/>
    </row>
    <row r="356" spans="1:141" s="1441" customFormat="1" ht="15" hidden="1">
      <c r="A356" s="1490"/>
      <c r="B356" s="1342"/>
      <c r="C356" s="1490"/>
      <c r="F356" s="1815"/>
      <c r="G356" s="1815"/>
      <c r="H356" s="1815"/>
      <c r="I356" s="1815"/>
      <c r="J356" s="1815"/>
      <c r="K356" s="1815"/>
      <c r="L356" s="1815"/>
      <c r="M356" s="1815"/>
      <c r="N356" s="1815"/>
      <c r="O356" s="1815"/>
      <c r="Q356" s="1827"/>
      <c r="T356" s="1827"/>
      <c r="BY356" s="1417"/>
      <c r="BZ356" s="1417"/>
      <c r="CA356" s="1417"/>
      <c r="CB356" s="1417"/>
      <c r="CC356" s="1433"/>
      <c r="CD356" s="1433"/>
      <c r="CE356" s="1433"/>
      <c r="CF356" s="1433"/>
      <c r="CG356" s="1433"/>
      <c r="CH356" s="1433"/>
      <c r="CI356" s="1433"/>
      <c r="CJ356" s="1433"/>
      <c r="CK356" s="1433"/>
      <c r="CL356" s="1433"/>
      <c r="CM356" s="1433"/>
      <c r="CN356" s="1433"/>
      <c r="CO356" s="1417"/>
      <c r="CP356" s="1433"/>
      <c r="CQ356" s="1433"/>
      <c r="CR356" s="1433"/>
      <c r="CS356" s="1433"/>
      <c r="CT356" s="1433"/>
      <c r="CU356" s="1433"/>
      <c r="CV356" s="1433"/>
      <c r="CW356" s="1433"/>
      <c r="CX356" s="1433"/>
      <c r="CY356" s="1433"/>
      <c r="CZ356" s="1433"/>
      <c r="DA356" s="1433"/>
      <c r="DB356" s="1433"/>
      <c r="DC356" s="1433"/>
      <c r="DD356" s="1433"/>
      <c r="DE356" s="1433"/>
      <c r="DF356" s="1433"/>
      <c r="DG356" s="1433"/>
      <c r="DH356" s="1433"/>
      <c r="DI356" s="1433"/>
      <c r="DJ356" s="1433"/>
      <c r="DK356" s="1433"/>
      <c r="DL356" s="1433"/>
      <c r="DM356" s="1433"/>
      <c r="DN356" s="1433"/>
      <c r="DO356" s="1433"/>
      <c r="DP356" s="1433"/>
      <c r="DQ356" s="1433"/>
      <c r="DR356" s="1433"/>
      <c r="DS356" s="1433"/>
      <c r="DT356" s="1433"/>
      <c r="DU356" s="1433"/>
      <c r="DV356" s="1433"/>
      <c r="DW356" s="1433"/>
      <c r="DX356" s="1433"/>
      <c r="DY356" s="1433"/>
      <c r="DZ356" s="1433"/>
      <c r="EA356" s="1433"/>
      <c r="EB356" s="1433"/>
      <c r="EC356" s="1433"/>
      <c r="ED356" s="1433"/>
      <c r="EE356" s="1433"/>
      <c r="EF356" s="1433"/>
      <c r="EG356" s="1433"/>
      <c r="EH356" s="1433"/>
      <c r="EI356" s="1433"/>
      <c r="EJ356" s="1417"/>
    </row>
    <row r="357" spans="1:141" s="1441" customFormat="1" ht="15" hidden="1">
      <c r="A357" s="1490"/>
      <c r="B357" s="1342"/>
      <c r="C357" s="1490"/>
      <c r="F357" s="1821" t="s">
        <v>199</v>
      </c>
      <c r="G357" s="1815"/>
      <c r="H357" s="1815"/>
      <c r="I357" s="1815"/>
      <c r="J357" s="1815"/>
      <c r="K357" s="1815"/>
      <c r="L357" s="1815"/>
      <c r="M357" s="1815"/>
      <c r="N357" s="1815"/>
      <c r="O357" s="1815"/>
      <c r="Q357" s="1827"/>
      <c r="T357" s="1827"/>
      <c r="BY357" s="1417"/>
      <c r="BZ357" s="1417"/>
      <c r="CA357" s="1417"/>
      <c r="CB357" s="1417"/>
      <c r="CC357" s="1433"/>
      <c r="CD357" s="1433"/>
      <c r="CE357" s="1433"/>
      <c r="CF357" s="1433"/>
      <c r="CG357" s="1433"/>
      <c r="CH357" s="1433"/>
      <c r="CI357" s="1433"/>
      <c r="CJ357" s="1433"/>
      <c r="CK357" s="1433"/>
      <c r="CL357" s="1433"/>
      <c r="CM357" s="1433"/>
      <c r="CN357" s="1433"/>
      <c r="CO357" s="1417"/>
      <c r="CP357" s="1433"/>
      <c r="CQ357" s="1433"/>
      <c r="CR357" s="1433"/>
      <c r="CS357" s="1433"/>
      <c r="CT357" s="1433"/>
      <c r="CU357" s="1433"/>
      <c r="CV357" s="1433"/>
      <c r="CW357" s="1433"/>
      <c r="CX357" s="1433"/>
      <c r="CY357" s="1433"/>
      <c r="CZ357" s="1433"/>
      <c r="DA357" s="1433"/>
      <c r="DB357" s="1433"/>
      <c r="DC357" s="1433"/>
      <c r="DD357" s="1433"/>
      <c r="DE357" s="1433"/>
      <c r="DF357" s="1433"/>
      <c r="DG357" s="1433"/>
      <c r="DH357" s="1433"/>
      <c r="DI357" s="1433"/>
      <c r="DJ357" s="1433"/>
      <c r="DK357" s="1433"/>
      <c r="DL357" s="1433"/>
      <c r="DM357" s="1433"/>
      <c r="DN357" s="1433"/>
      <c r="DO357" s="1433"/>
      <c r="DP357" s="1433"/>
      <c r="DQ357" s="1433"/>
      <c r="DR357" s="1433"/>
      <c r="DS357" s="1433"/>
      <c r="DT357" s="1433"/>
      <c r="DU357" s="1433"/>
      <c r="DV357" s="1433"/>
      <c r="DW357" s="1433"/>
      <c r="DX357" s="1433"/>
      <c r="DY357" s="1433"/>
      <c r="DZ357" s="1433"/>
      <c r="EA357" s="1433"/>
      <c r="EB357" s="1433"/>
      <c r="EC357" s="1433"/>
      <c r="ED357" s="1433"/>
      <c r="EE357" s="1433"/>
      <c r="EF357" s="1433"/>
      <c r="EG357" s="1433"/>
      <c r="EH357" s="1433"/>
      <c r="EI357" s="1433"/>
      <c r="EJ357" s="1417"/>
    </row>
    <row r="358" spans="1:141" s="1441" customFormat="1" ht="15" hidden="1">
      <c r="A358" s="1490"/>
      <c r="B358" s="1342"/>
      <c r="C358" s="1490"/>
      <c r="F358" s="1821"/>
      <c r="G358" s="1815"/>
      <c r="H358" s="1815"/>
      <c r="I358" s="2221" t="s">
        <v>10</v>
      </c>
      <c r="J358" s="2221"/>
      <c r="K358" s="2221" t="s">
        <v>11</v>
      </c>
      <c r="L358" s="2221"/>
      <c r="M358" s="1798" t="s">
        <v>13</v>
      </c>
      <c r="N358" s="1798" t="s">
        <v>167</v>
      </c>
      <c r="O358" s="1815"/>
      <c r="Q358" s="1827"/>
      <c r="T358" s="1827"/>
      <c r="BY358" s="1417"/>
      <c r="BZ358" s="1417"/>
      <c r="CA358" s="1417"/>
      <c r="CB358" s="1417"/>
      <c r="CC358" s="1433"/>
      <c r="CD358" s="1433"/>
      <c r="CE358" s="1433"/>
      <c r="CF358" s="1433"/>
      <c r="CG358" s="1433"/>
      <c r="CH358" s="1433"/>
      <c r="CI358" s="1433"/>
      <c r="CJ358" s="1433"/>
      <c r="CK358" s="1433"/>
      <c r="CL358" s="1433"/>
      <c r="CM358" s="1433"/>
      <c r="CN358" s="1433"/>
      <c r="CO358" s="1417"/>
      <c r="CP358" s="1433"/>
      <c r="CQ358" s="1433"/>
      <c r="CR358" s="1433"/>
      <c r="CS358" s="1433"/>
      <c r="CT358" s="1433"/>
      <c r="CU358" s="1433"/>
      <c r="CV358" s="1433"/>
      <c r="CW358" s="1433"/>
      <c r="CX358" s="1433"/>
      <c r="CY358" s="1433"/>
      <c r="CZ358" s="1433"/>
      <c r="DA358" s="1433"/>
      <c r="DB358" s="1433"/>
      <c r="DC358" s="1433"/>
      <c r="DD358" s="1433"/>
      <c r="DE358" s="1433"/>
      <c r="DF358" s="1433"/>
      <c r="DG358" s="1433"/>
      <c r="DH358" s="1433"/>
      <c r="DI358" s="1433"/>
      <c r="DJ358" s="1433"/>
      <c r="DK358" s="1433"/>
      <c r="DL358" s="1433"/>
      <c r="DM358" s="1433"/>
      <c r="DN358" s="1433"/>
      <c r="DO358" s="1433"/>
      <c r="DP358" s="1433"/>
      <c r="DQ358" s="1433"/>
      <c r="DR358" s="1433"/>
      <c r="DS358" s="1433"/>
      <c r="DT358" s="1433"/>
      <c r="DU358" s="1433"/>
      <c r="DV358" s="1433"/>
      <c r="DW358" s="1433"/>
      <c r="DX358" s="1433"/>
      <c r="DY358" s="1433"/>
      <c r="DZ358" s="1433"/>
      <c r="EA358" s="1433"/>
      <c r="EB358" s="1433"/>
      <c r="EC358" s="1433"/>
      <c r="ED358" s="1433"/>
      <c r="EE358" s="1433"/>
      <c r="EF358" s="1433"/>
      <c r="EG358" s="1433"/>
      <c r="EH358" s="1433"/>
      <c r="EI358" s="1433"/>
      <c r="EJ358" s="1417"/>
    </row>
    <row r="359" spans="1:141" s="1441" customFormat="1" ht="15" hidden="1">
      <c r="A359" s="1490"/>
      <c r="B359" s="1342"/>
      <c r="C359" s="1490"/>
      <c r="F359" s="1821"/>
      <c r="G359" s="1815"/>
      <c r="H359" s="1815"/>
      <c r="I359" s="1802" t="s">
        <v>41</v>
      </c>
      <c r="J359" s="1803" t="s">
        <v>159</v>
      </c>
      <c r="K359" s="1804" t="s">
        <v>42</v>
      </c>
      <c r="L359" s="1805" t="s">
        <v>169</v>
      </c>
      <c r="M359" s="1802"/>
      <c r="N359" s="1802"/>
      <c r="O359" s="1815"/>
      <c r="Q359" s="1827"/>
      <c r="T359" s="1827"/>
      <c r="BY359" s="1417"/>
      <c r="BZ359" s="1417"/>
      <c r="CA359" s="1417"/>
      <c r="CB359" s="1417"/>
      <c r="CC359" s="1433"/>
      <c r="CD359" s="1433"/>
      <c r="CE359" s="1433"/>
      <c r="CF359" s="1433"/>
      <c r="CG359" s="1433"/>
      <c r="CH359" s="1433"/>
      <c r="CI359" s="1433"/>
      <c r="CJ359" s="1433"/>
      <c r="CK359" s="1433"/>
      <c r="CL359" s="1433"/>
      <c r="CM359" s="1433"/>
      <c r="CN359" s="1433"/>
      <c r="CO359" s="1417"/>
      <c r="CP359" s="1433"/>
      <c r="CQ359" s="1433"/>
      <c r="CR359" s="1433"/>
      <c r="CS359" s="1433"/>
      <c r="CT359" s="1433"/>
      <c r="CU359" s="1433"/>
      <c r="CV359" s="1433"/>
      <c r="CW359" s="1433"/>
      <c r="CX359" s="1433"/>
      <c r="CY359" s="1433"/>
      <c r="CZ359" s="1433"/>
      <c r="DA359" s="1433"/>
      <c r="DB359" s="1433"/>
      <c r="DC359" s="1433"/>
      <c r="DD359" s="1433"/>
      <c r="DE359" s="1433"/>
      <c r="DF359" s="1433"/>
      <c r="DG359" s="1433"/>
      <c r="DH359" s="1433"/>
      <c r="DI359" s="1433"/>
      <c r="DJ359" s="1433"/>
      <c r="DK359" s="1433"/>
      <c r="DL359" s="1433"/>
      <c r="DM359" s="1433"/>
      <c r="DN359" s="1433"/>
      <c r="DO359" s="1433"/>
      <c r="DP359" s="1433"/>
      <c r="DQ359" s="1433"/>
      <c r="DR359" s="1433"/>
      <c r="DS359" s="1433"/>
      <c r="DT359" s="1433"/>
      <c r="DU359" s="1433"/>
      <c r="DV359" s="1433"/>
      <c r="DW359" s="1433"/>
      <c r="DX359" s="1433"/>
      <c r="DY359" s="1433"/>
      <c r="DZ359" s="1433"/>
      <c r="EA359" s="1433"/>
      <c r="EB359" s="1433"/>
      <c r="EC359" s="1433"/>
      <c r="ED359" s="1433"/>
      <c r="EE359" s="1433"/>
      <c r="EF359" s="1433"/>
      <c r="EG359" s="1433"/>
      <c r="EH359" s="1433"/>
      <c r="EI359" s="1433"/>
      <c r="EJ359" s="1417"/>
    </row>
    <row r="360" spans="1:141" s="1441" customFormat="1" ht="12" hidden="1">
      <c r="A360" s="1490"/>
      <c r="B360" s="1342"/>
      <c r="C360" s="1490"/>
      <c r="F360" s="1808" t="s">
        <v>200</v>
      </c>
      <c r="G360" s="1815"/>
      <c r="H360" s="1815"/>
      <c r="I360" s="1828">
        <f>BD228</f>
        <v>2020.9450432499998</v>
      </c>
      <c r="J360" s="1828">
        <f>CN228</f>
        <v>0</v>
      </c>
      <c r="K360" s="1828">
        <f>BM228</f>
        <v>13885.090691999998</v>
      </c>
      <c r="L360" s="1828">
        <f>BV228</f>
        <v>45013.438589750003</v>
      </c>
      <c r="M360" s="1828">
        <f>CE228</f>
        <v>0</v>
      </c>
      <c r="N360" s="1828">
        <f>SUM(I360:M360)</f>
        <v>60919.474325000003</v>
      </c>
      <c r="O360" s="1819"/>
      <c r="BY360" s="1433"/>
      <c r="BZ360" s="1433"/>
      <c r="CA360" s="1829"/>
      <c r="CB360" s="1433"/>
      <c r="CC360" s="1433"/>
      <c r="CD360" s="1433"/>
      <c r="CE360" s="1433"/>
      <c r="CF360" s="1433"/>
      <c r="CG360" s="1433"/>
      <c r="CH360" s="1433"/>
      <c r="CI360" s="1433"/>
      <c r="CJ360" s="1433"/>
      <c r="CK360" s="1433"/>
      <c r="CL360" s="1433"/>
      <c r="CM360" s="1433"/>
      <c r="CN360" s="1433"/>
      <c r="CO360" s="1417"/>
      <c r="CP360" s="1433"/>
      <c r="CQ360" s="1829"/>
      <c r="CR360" s="1433"/>
      <c r="CS360" s="1433"/>
      <c r="CT360" s="1433"/>
      <c r="CU360" s="1433"/>
      <c r="CV360" s="1433"/>
      <c r="CW360" s="1433"/>
      <c r="CX360" s="1433"/>
      <c r="CY360" s="1433"/>
      <c r="CZ360" s="1433"/>
      <c r="DA360" s="1433"/>
      <c r="DB360" s="1433"/>
      <c r="DC360" s="1433"/>
      <c r="DD360" s="1433"/>
      <c r="DE360" s="1433"/>
      <c r="DF360" s="1433"/>
      <c r="DG360" s="1433"/>
      <c r="DH360" s="1433"/>
      <c r="DI360" s="1433"/>
      <c r="DJ360" s="1433"/>
      <c r="DK360" s="1433"/>
      <c r="DL360" s="1433"/>
      <c r="DM360" s="1433"/>
      <c r="DN360" s="1433"/>
      <c r="DO360" s="1433"/>
      <c r="DP360" s="1433"/>
      <c r="DQ360" s="1433"/>
      <c r="DR360" s="1433"/>
      <c r="DS360" s="1433"/>
      <c r="DT360" s="1433"/>
      <c r="DU360" s="1433"/>
      <c r="DV360" s="1433"/>
      <c r="DW360" s="1433"/>
      <c r="DX360" s="1433"/>
      <c r="DY360" s="1433"/>
      <c r="DZ360" s="1433"/>
      <c r="EA360" s="1433"/>
      <c r="EB360" s="1433"/>
      <c r="EC360" s="1433"/>
      <c r="ED360" s="1433"/>
      <c r="EE360" s="1433"/>
      <c r="EF360" s="1433"/>
      <c r="EG360" s="1433"/>
      <c r="EH360" s="1433"/>
      <c r="EI360" s="1433"/>
      <c r="EJ360" s="1417"/>
    </row>
    <row r="361" spans="1:141" s="1441" customFormat="1" ht="12" hidden="1">
      <c r="A361" s="1490"/>
      <c r="B361" s="1342"/>
      <c r="C361" s="1490"/>
      <c r="F361" s="1808" t="s">
        <v>201</v>
      </c>
      <c r="G361" s="1815"/>
      <c r="H361" s="1815"/>
      <c r="I361" s="1828">
        <f>CY228</f>
        <v>0</v>
      </c>
      <c r="J361" s="1828">
        <f>EI228</f>
        <v>0</v>
      </c>
      <c r="K361" s="1828">
        <f>DH228</f>
        <v>13885.090691999998</v>
      </c>
      <c r="L361" s="1828">
        <f>DQ228</f>
        <v>47034.383633000005</v>
      </c>
      <c r="M361" s="1828">
        <f>DZ228</f>
        <v>0</v>
      </c>
      <c r="N361" s="1828">
        <f>SUM(I361:M361)</f>
        <v>60919.474325000003</v>
      </c>
      <c r="O361" s="1819"/>
      <c r="CA361" s="1829"/>
      <c r="CB361" s="1433"/>
      <c r="CC361" s="1433"/>
      <c r="CD361" s="1433"/>
      <c r="CE361" s="1433"/>
      <c r="CF361" s="1433"/>
      <c r="CG361" s="1433"/>
      <c r="CH361" s="1433"/>
      <c r="CI361" s="1433"/>
      <c r="CJ361" s="1433"/>
      <c r="CK361" s="1433"/>
      <c r="CL361" s="1433"/>
      <c r="CM361" s="1433"/>
      <c r="CN361" s="1433"/>
      <c r="CO361" s="1417"/>
      <c r="CP361" s="1433"/>
      <c r="CQ361" s="1829"/>
      <c r="CR361" s="1829"/>
      <c r="CS361" s="1433"/>
      <c r="CT361" s="1433"/>
      <c r="CU361" s="1433"/>
      <c r="CV361" s="1433"/>
      <c r="CW361" s="1433"/>
      <c r="CX361" s="1433"/>
      <c r="CY361" s="1433"/>
      <c r="CZ361" s="1433"/>
      <c r="DA361" s="1433"/>
      <c r="DB361" s="1433"/>
      <c r="DC361" s="1433"/>
      <c r="DD361" s="1433"/>
      <c r="DE361" s="1433"/>
      <c r="DF361" s="1433"/>
      <c r="DG361" s="1433"/>
      <c r="DH361" s="1433"/>
      <c r="DI361" s="1433"/>
      <c r="DJ361" s="1433"/>
      <c r="DK361" s="1433"/>
      <c r="DL361" s="1433"/>
      <c r="DM361" s="1433"/>
      <c r="DN361" s="1433"/>
      <c r="DO361" s="1433"/>
      <c r="DP361" s="1433"/>
      <c r="DQ361" s="1433"/>
      <c r="DR361" s="1433"/>
      <c r="DS361" s="1433"/>
      <c r="DT361" s="1433"/>
      <c r="DU361" s="1433"/>
      <c r="DV361" s="1433"/>
      <c r="DW361" s="1433"/>
      <c r="DX361" s="1433"/>
      <c r="DY361" s="1433"/>
      <c r="DZ361" s="1433"/>
      <c r="EA361" s="1433"/>
      <c r="EB361" s="1433"/>
      <c r="EC361" s="1433"/>
      <c r="ED361" s="1433"/>
      <c r="EE361" s="1433"/>
      <c r="EF361" s="1433"/>
      <c r="EG361" s="1433"/>
      <c r="EH361" s="1433"/>
      <c r="EI361" s="1433"/>
      <c r="EJ361" s="1417"/>
    </row>
    <row r="362" spans="1:141" s="1441" customFormat="1" ht="12.75" hidden="1" thickBot="1">
      <c r="A362" s="1490"/>
      <c r="B362" s="1342"/>
      <c r="C362" s="1490"/>
      <c r="F362" s="1808" t="s">
        <v>152</v>
      </c>
      <c r="G362" s="1815"/>
      <c r="H362" s="1815"/>
      <c r="I362" s="1830">
        <f t="shared" ref="I362:N362" si="3664">+I361-I360</f>
        <v>-2020.9450432499998</v>
      </c>
      <c r="J362" s="1830">
        <f t="shared" si="3664"/>
        <v>0</v>
      </c>
      <c r="K362" s="1830">
        <f t="shared" si="3664"/>
        <v>0</v>
      </c>
      <c r="L362" s="1830">
        <f t="shared" si="3664"/>
        <v>2020.9450432500016</v>
      </c>
      <c r="M362" s="1830">
        <f t="shared" si="3664"/>
        <v>0</v>
      </c>
      <c r="N362" s="1830">
        <f t="shared" si="3664"/>
        <v>0</v>
      </c>
      <c r="O362" s="1819"/>
      <c r="CA362" s="1433"/>
      <c r="CB362" s="1433"/>
      <c r="CC362" s="1433"/>
      <c r="CD362" s="1433"/>
      <c r="CE362" s="1433"/>
      <c r="CF362" s="1433"/>
      <c r="CG362" s="1433"/>
      <c r="CH362" s="1433"/>
      <c r="CI362" s="1433"/>
      <c r="CJ362" s="1433"/>
      <c r="CK362" s="1433"/>
      <c r="CL362" s="1433"/>
      <c r="CM362" s="1433"/>
      <c r="CN362" s="1433"/>
      <c r="CO362" s="1417"/>
      <c r="CP362" s="1433"/>
      <c r="CQ362" s="1433"/>
      <c r="CR362" s="1433"/>
      <c r="CS362" s="1433"/>
      <c r="CT362" s="1433"/>
      <c r="CU362" s="1433"/>
      <c r="CV362" s="1433"/>
      <c r="CW362" s="1433"/>
      <c r="CX362" s="1433"/>
      <c r="CY362" s="1433"/>
      <c r="CZ362" s="1433"/>
      <c r="DA362" s="1433"/>
      <c r="DB362" s="1433"/>
      <c r="DC362" s="1433"/>
      <c r="DD362" s="1433"/>
      <c r="DE362" s="1433"/>
      <c r="DF362" s="1433"/>
      <c r="DG362" s="1433"/>
      <c r="DH362" s="1433"/>
      <c r="DI362" s="1433"/>
      <c r="DJ362" s="1433"/>
      <c r="DK362" s="1433"/>
      <c r="DL362" s="1433"/>
      <c r="DM362" s="1433"/>
      <c r="DN362" s="1433"/>
      <c r="DO362" s="1433"/>
      <c r="DP362" s="1433"/>
      <c r="DQ362" s="1433"/>
      <c r="DR362" s="1433"/>
      <c r="DS362" s="1433"/>
      <c r="DT362" s="1433"/>
      <c r="DU362" s="1433"/>
      <c r="DV362" s="1433"/>
      <c r="DW362" s="1433"/>
      <c r="DX362" s="1433"/>
      <c r="DY362" s="1433"/>
      <c r="DZ362" s="1433"/>
      <c r="EA362" s="1433"/>
      <c r="EB362" s="1433"/>
      <c r="EC362" s="1433"/>
      <c r="ED362" s="1433"/>
      <c r="EE362" s="1433"/>
      <c r="EF362" s="1433"/>
      <c r="EG362" s="1433"/>
      <c r="EH362" s="1433"/>
      <c r="EI362" s="1433"/>
      <c r="EJ362" s="1417"/>
    </row>
    <row r="363" spans="1:141" s="1441" customFormat="1" ht="12" hidden="1">
      <c r="A363" s="1490"/>
      <c r="B363" s="1342"/>
      <c r="C363" s="1490"/>
      <c r="F363" s="1808"/>
      <c r="G363" s="1815"/>
      <c r="H363" s="1815"/>
      <c r="I363" s="1828"/>
      <c r="J363" s="1828"/>
      <c r="K363" s="1828"/>
      <c r="L363" s="1828"/>
      <c r="M363" s="1828"/>
      <c r="N363" s="1828"/>
      <c r="O363" s="1819"/>
      <c r="CA363" s="1433"/>
      <c r="CB363" s="1433"/>
      <c r="CC363" s="1433"/>
      <c r="CD363" s="1433"/>
      <c r="CE363" s="1433"/>
      <c r="CF363" s="1433"/>
      <c r="CG363" s="1433"/>
      <c r="CH363" s="1433"/>
      <c r="CI363" s="1433"/>
      <c r="CJ363" s="1433"/>
      <c r="CK363" s="1433"/>
      <c r="CL363" s="1433"/>
      <c r="CM363" s="1433"/>
      <c r="CN363" s="1433"/>
      <c r="CO363" s="1414"/>
      <c r="CQ363" s="1433"/>
      <c r="CR363" s="1433"/>
      <c r="CS363" s="1433"/>
      <c r="CT363" s="1433"/>
      <c r="CU363" s="1433"/>
      <c r="CV363" s="1433"/>
      <c r="CW363" s="1433"/>
      <c r="CX363" s="1433"/>
      <c r="CY363" s="1433"/>
      <c r="CZ363" s="1433"/>
      <c r="DA363" s="1433"/>
      <c r="DB363" s="1433"/>
      <c r="DC363" s="1433"/>
      <c r="DD363" s="1433"/>
      <c r="DE363" s="1433"/>
      <c r="DF363" s="1433"/>
      <c r="DG363" s="1433"/>
      <c r="DH363" s="1433"/>
      <c r="DI363" s="1433"/>
      <c r="DJ363" s="1433"/>
      <c r="DK363" s="1433"/>
      <c r="DL363" s="1433"/>
      <c r="DM363" s="1433"/>
      <c r="DN363" s="1433"/>
      <c r="DO363" s="1433"/>
      <c r="DP363" s="1433"/>
      <c r="DQ363" s="1433"/>
      <c r="DR363" s="1433"/>
      <c r="DS363" s="1433"/>
      <c r="DT363" s="1433"/>
      <c r="DU363" s="1433"/>
      <c r="DV363" s="1433"/>
      <c r="DW363" s="1433"/>
      <c r="DX363" s="1433"/>
      <c r="DY363" s="1433"/>
      <c r="DZ363" s="1433"/>
      <c r="EA363" s="1433"/>
      <c r="EB363" s="1433"/>
      <c r="EC363" s="1433"/>
      <c r="ED363" s="1433"/>
      <c r="EE363" s="1433"/>
      <c r="EF363" s="1433"/>
      <c r="EG363" s="1433"/>
      <c r="EH363" s="1433"/>
      <c r="EI363" s="1433"/>
      <c r="EJ363" s="1417"/>
    </row>
    <row r="364" spans="1:141" s="1441" customFormat="1" ht="12" hidden="1">
      <c r="A364" s="1490"/>
      <c r="B364" s="1342"/>
      <c r="C364" s="1490"/>
      <c r="E364" s="1433"/>
      <c r="F364" s="1808" t="s">
        <v>152</v>
      </c>
      <c r="G364" s="1795"/>
      <c r="H364" s="1795"/>
      <c r="I364" s="1831" t="e">
        <f t="shared" ref="I364:N364" si="3665">+I349-I362</f>
        <v>#REF!</v>
      </c>
      <c r="J364" s="1831" t="e">
        <f t="shared" si="3665"/>
        <v>#REF!</v>
      </c>
      <c r="K364" s="1831" t="e">
        <f t="shared" si="3665"/>
        <v>#REF!</v>
      </c>
      <c r="L364" s="1831" t="e">
        <f t="shared" si="3665"/>
        <v>#REF!</v>
      </c>
      <c r="M364" s="1831" t="e">
        <f t="shared" si="3665"/>
        <v>#REF!</v>
      </c>
      <c r="N364" s="1831" t="e">
        <f t="shared" si="3665"/>
        <v>#REF!</v>
      </c>
      <c r="O364" s="1819"/>
      <c r="Q364" s="1433"/>
      <c r="S364" s="1433"/>
      <c r="T364" s="1433"/>
      <c r="U364" s="1433"/>
      <c r="V364" s="1433"/>
      <c r="W364" s="1433"/>
      <c r="X364" s="1433"/>
      <c r="Y364" s="1433"/>
      <c r="Z364" s="1433"/>
      <c r="AA364" s="1433"/>
      <c r="AB364" s="1433"/>
      <c r="AC364" s="1433"/>
      <c r="AD364" s="1433"/>
      <c r="AE364" s="1433"/>
      <c r="AF364" s="1433"/>
      <c r="AG364" s="1433"/>
      <c r="AH364" s="1433"/>
      <c r="AI364" s="1433"/>
      <c r="AJ364" s="1433"/>
      <c r="AK364" s="1433"/>
      <c r="AL364" s="1433"/>
      <c r="AM364" s="1433"/>
      <c r="AN364" s="1433"/>
      <c r="AO364" s="1433"/>
      <c r="AP364" s="1433"/>
      <c r="AQ364" s="1433"/>
      <c r="AR364" s="1433"/>
      <c r="AS364" s="1433"/>
      <c r="AT364" s="1433"/>
      <c r="AV364" s="1433"/>
      <c r="BJ364" s="1433"/>
      <c r="BK364" s="1433"/>
      <c r="BL364" s="1433"/>
      <c r="BM364" s="1433"/>
      <c r="BN364" s="1433"/>
      <c r="BO364" s="1433"/>
      <c r="BP364" s="1433"/>
      <c r="BQ364" s="1433"/>
      <c r="BR364" s="1433"/>
      <c r="BS364" s="1433"/>
      <c r="BT364" s="1433"/>
      <c r="BU364" s="1433"/>
      <c r="BV364" s="1433"/>
      <c r="BW364" s="1433"/>
      <c r="BX364" s="1433"/>
      <c r="BY364" s="1433"/>
      <c r="BZ364" s="1433"/>
      <c r="CA364" s="1433"/>
      <c r="CB364" s="1433"/>
      <c r="CC364" s="1433"/>
      <c r="CD364" s="1433"/>
      <c r="CE364" s="1433"/>
      <c r="CF364" s="1433"/>
      <c r="CG364" s="1433"/>
      <c r="CH364" s="1433"/>
      <c r="CI364" s="1433"/>
      <c r="CJ364" s="1433"/>
      <c r="CK364" s="1433"/>
      <c r="CL364" s="1433"/>
      <c r="CM364" s="1433"/>
      <c r="CN364" s="1433"/>
      <c r="CO364" s="1414"/>
      <c r="CQ364" s="1433"/>
      <c r="CR364" s="1433"/>
      <c r="CS364" s="1433"/>
      <c r="CT364" s="1433"/>
      <c r="CU364" s="1433"/>
      <c r="CV364" s="1433"/>
      <c r="CW364" s="1433"/>
      <c r="CX364" s="1433"/>
      <c r="CY364" s="1433"/>
      <c r="CZ364" s="1433"/>
      <c r="DA364" s="1433"/>
      <c r="DB364" s="1433"/>
      <c r="DC364" s="1433"/>
      <c r="DD364" s="1433"/>
      <c r="DE364" s="1433"/>
      <c r="DF364" s="1433"/>
      <c r="DG364" s="1433"/>
      <c r="DH364" s="1433"/>
      <c r="DI364" s="1433"/>
      <c r="DJ364" s="1433"/>
      <c r="DK364" s="1433"/>
      <c r="DL364" s="1433"/>
      <c r="DM364" s="1433"/>
      <c r="DN364" s="1433"/>
      <c r="DO364" s="1433"/>
      <c r="DP364" s="1433"/>
      <c r="DQ364" s="1433"/>
      <c r="DR364" s="1433"/>
      <c r="DS364" s="1433"/>
      <c r="DT364" s="1433"/>
      <c r="DU364" s="1433"/>
      <c r="DV364" s="1433"/>
      <c r="DW364" s="1433"/>
      <c r="DX364" s="1433"/>
      <c r="DY364" s="1433"/>
      <c r="DZ364" s="1433"/>
      <c r="EA364" s="1433"/>
      <c r="EB364" s="1433"/>
      <c r="EC364" s="1433"/>
      <c r="ED364" s="1433"/>
      <c r="EE364" s="1433"/>
      <c r="EF364" s="1433"/>
      <c r="EG364" s="1433"/>
      <c r="EH364" s="1433"/>
      <c r="EI364" s="1433"/>
      <c r="EJ364" s="1414"/>
      <c r="EK364" s="1490"/>
    </row>
    <row r="365" spans="1:141" s="1441" customFormat="1" ht="12" hidden="1">
      <c r="A365" s="1490"/>
      <c r="B365" s="1342"/>
      <c r="C365" s="1490"/>
      <c r="E365" s="1433"/>
      <c r="F365" s="1660"/>
      <c r="G365" s="1795"/>
      <c r="H365" s="1795"/>
      <c r="I365" s="1831"/>
      <c r="J365" s="1831"/>
      <c r="K365" s="1831"/>
      <c r="L365" s="1831"/>
      <c r="M365" s="1831"/>
      <c r="N365" s="1819"/>
      <c r="O365" s="1819"/>
      <c r="Q365" s="1433"/>
      <c r="S365" s="1433"/>
      <c r="T365" s="1433"/>
      <c r="U365" s="1433"/>
      <c r="V365" s="1433"/>
      <c r="W365" s="1433"/>
      <c r="X365" s="1433"/>
      <c r="Y365" s="1433"/>
      <c r="Z365" s="1433"/>
      <c r="AA365" s="1433"/>
      <c r="AB365" s="1433"/>
      <c r="AC365" s="1433"/>
      <c r="AD365" s="1433"/>
      <c r="AE365" s="1433"/>
      <c r="AF365" s="1433"/>
      <c r="AG365" s="1433"/>
      <c r="AH365" s="1433"/>
      <c r="AI365" s="1433"/>
      <c r="AJ365" s="1433"/>
      <c r="AK365" s="1433"/>
      <c r="AL365" s="1433"/>
      <c r="AM365" s="1433"/>
      <c r="AN365" s="1433"/>
      <c r="AO365" s="1433"/>
      <c r="AP365" s="1433"/>
      <c r="AQ365" s="1433"/>
      <c r="AR365" s="1433"/>
      <c r="AS365" s="1433"/>
      <c r="AT365" s="1433"/>
      <c r="AV365" s="1433"/>
      <c r="BJ365" s="1433"/>
      <c r="BK365" s="1433"/>
      <c r="BL365" s="1433"/>
      <c r="BM365" s="1433"/>
      <c r="BN365" s="1433"/>
      <c r="BO365" s="1433"/>
      <c r="BP365" s="1433"/>
      <c r="BQ365" s="1433"/>
      <c r="BR365" s="1433"/>
      <c r="BS365" s="1433"/>
      <c r="BT365" s="1433"/>
      <c r="BU365" s="1433"/>
      <c r="BV365" s="1433"/>
      <c r="BW365" s="1433"/>
      <c r="BX365" s="1433"/>
      <c r="BY365" s="1433"/>
      <c r="BZ365" s="1433"/>
      <c r="CA365" s="1433"/>
      <c r="CB365" s="1433"/>
      <c r="CC365" s="1433"/>
      <c r="CD365" s="1433"/>
      <c r="CE365" s="1433"/>
      <c r="CF365" s="1433"/>
      <c r="CG365" s="1433"/>
      <c r="CH365" s="1433"/>
      <c r="CI365" s="1433"/>
      <c r="CJ365" s="1433"/>
      <c r="CK365" s="1433"/>
      <c r="CL365" s="1433"/>
      <c r="CM365" s="1433"/>
      <c r="CN365" s="1433"/>
      <c r="CO365" s="1414"/>
      <c r="CQ365" s="1433"/>
      <c r="CR365" s="1433"/>
      <c r="CS365" s="1433"/>
      <c r="CT365" s="1433"/>
      <c r="CU365" s="1433"/>
      <c r="CV365" s="1433"/>
      <c r="CW365" s="1433"/>
      <c r="CX365" s="1433"/>
      <c r="CY365" s="1433"/>
      <c r="CZ365" s="1433"/>
      <c r="DA365" s="1433"/>
      <c r="DB365" s="1433"/>
      <c r="DC365" s="1433"/>
      <c r="DD365" s="1433"/>
      <c r="DE365" s="1433"/>
      <c r="DF365" s="1433"/>
      <c r="DG365" s="1433"/>
      <c r="DH365" s="1433"/>
      <c r="DI365" s="1433"/>
      <c r="DJ365" s="1433"/>
      <c r="DK365" s="1433"/>
      <c r="DL365" s="1433"/>
      <c r="DM365" s="1433"/>
      <c r="DN365" s="1433"/>
      <c r="DO365" s="1433"/>
      <c r="DP365" s="1433"/>
      <c r="DQ365" s="1433"/>
      <c r="DR365" s="1433"/>
      <c r="DS365" s="1433"/>
      <c r="DT365" s="1433"/>
      <c r="DU365" s="1433"/>
      <c r="DV365" s="1433"/>
      <c r="DW365" s="1433"/>
      <c r="DX365" s="1433"/>
      <c r="DY365" s="1433"/>
      <c r="DZ365" s="1433"/>
      <c r="EA365" s="1433"/>
      <c r="EB365" s="1433"/>
      <c r="EC365" s="1433"/>
      <c r="ED365" s="1433"/>
      <c r="EE365" s="1433"/>
      <c r="EF365" s="1433"/>
      <c r="EG365" s="1433"/>
      <c r="EH365" s="1433"/>
      <c r="EI365" s="1433"/>
      <c r="EJ365" s="1414"/>
      <c r="EK365" s="1490"/>
    </row>
    <row r="366" spans="1:141" s="1441" customFormat="1" ht="12" hidden="1">
      <c r="A366" s="1490"/>
      <c r="B366" s="1342"/>
      <c r="C366" s="1490"/>
      <c r="E366" s="1433"/>
      <c r="F366" s="1660"/>
      <c r="G366" s="1795"/>
      <c r="H366" s="1795"/>
      <c r="I366" s="1831"/>
      <c r="J366" s="1831"/>
      <c r="K366" s="1831"/>
      <c r="L366" s="1831"/>
      <c r="M366" s="1831"/>
      <c r="N366" s="1819"/>
      <c r="O366" s="1819"/>
      <c r="Q366" s="1433"/>
      <c r="S366" s="1433"/>
      <c r="T366" s="1433"/>
      <c r="U366" s="1433"/>
      <c r="V366" s="1433"/>
      <c r="W366" s="1433"/>
      <c r="X366" s="1433"/>
      <c r="Y366" s="1433"/>
      <c r="Z366" s="1433"/>
      <c r="AA366" s="1433"/>
      <c r="AB366" s="1433"/>
      <c r="AC366" s="1433"/>
      <c r="AD366" s="1433"/>
      <c r="AE366" s="1433"/>
      <c r="AF366" s="1433"/>
      <c r="AG366" s="1433"/>
      <c r="AH366" s="1433"/>
      <c r="AI366" s="1433"/>
      <c r="AJ366" s="1433"/>
      <c r="AK366" s="1433"/>
      <c r="AL366" s="1433"/>
      <c r="AM366" s="1433"/>
      <c r="AN366" s="1433"/>
      <c r="AO366" s="1433"/>
      <c r="AP366" s="1433"/>
      <c r="AQ366" s="1433"/>
      <c r="AR366" s="1433"/>
      <c r="AS366" s="1433"/>
      <c r="AT366" s="1433"/>
      <c r="AV366" s="1433"/>
      <c r="BJ366" s="1433"/>
      <c r="BK366" s="1433"/>
      <c r="BL366" s="1433"/>
      <c r="BM366" s="1433"/>
      <c r="BN366" s="1433"/>
      <c r="BO366" s="1433"/>
      <c r="BP366" s="1433"/>
      <c r="BQ366" s="1433"/>
      <c r="BR366" s="1433"/>
      <c r="BS366" s="1433"/>
      <c r="BT366" s="1433"/>
      <c r="BU366" s="1433"/>
      <c r="BV366" s="1433"/>
      <c r="BW366" s="1433"/>
      <c r="BX366" s="1433"/>
      <c r="BY366" s="1433"/>
      <c r="BZ366" s="1433"/>
      <c r="CA366" s="1433"/>
      <c r="CB366" s="1433"/>
      <c r="CC366" s="1433"/>
      <c r="CD366" s="1433"/>
      <c r="CE366" s="1433"/>
      <c r="CF366" s="1433"/>
      <c r="CG366" s="1433"/>
      <c r="CH366" s="1433"/>
      <c r="CI366" s="1433"/>
      <c r="CJ366" s="1433"/>
      <c r="CK366" s="1433"/>
      <c r="CL366" s="1433"/>
      <c r="CM366" s="1433"/>
      <c r="CN366" s="1433"/>
      <c r="CO366" s="1414"/>
      <c r="CQ366" s="1433"/>
      <c r="CR366" s="1433"/>
      <c r="CS366" s="1433"/>
      <c r="CT366" s="1433"/>
      <c r="CU366" s="1433"/>
      <c r="CV366" s="1433"/>
      <c r="CW366" s="1433"/>
      <c r="CX366" s="1433"/>
      <c r="CY366" s="1433"/>
      <c r="CZ366" s="1433"/>
      <c r="DA366" s="1433"/>
      <c r="DB366" s="1433"/>
      <c r="DC366" s="1433"/>
      <c r="DD366" s="1433"/>
      <c r="DE366" s="1433"/>
      <c r="DF366" s="1433"/>
      <c r="DG366" s="1433"/>
      <c r="DH366" s="1433"/>
      <c r="DI366" s="1433"/>
      <c r="DJ366" s="1433"/>
      <c r="DK366" s="1433"/>
      <c r="DL366" s="1433"/>
      <c r="DM366" s="1433"/>
      <c r="DN366" s="1433"/>
      <c r="DO366" s="1433"/>
      <c r="DP366" s="1433"/>
      <c r="DQ366" s="1433"/>
      <c r="DR366" s="1433"/>
      <c r="DS366" s="1433"/>
      <c r="DT366" s="1433"/>
      <c r="DU366" s="1433"/>
      <c r="DV366" s="1433"/>
      <c r="DW366" s="1433"/>
      <c r="DX366" s="1433"/>
      <c r="DY366" s="1433"/>
      <c r="DZ366" s="1433"/>
      <c r="EA366" s="1433"/>
      <c r="EB366" s="1433"/>
      <c r="EC366" s="1433"/>
      <c r="ED366" s="1433"/>
      <c r="EE366" s="1433"/>
      <c r="EF366" s="1433"/>
      <c r="EG366" s="1433"/>
      <c r="EH366" s="1433"/>
      <c r="EI366" s="1433"/>
      <c r="EJ366" s="1414"/>
      <c r="EK366" s="1490"/>
    </row>
    <row r="367" spans="1:141" s="1441" customFormat="1" ht="12" hidden="1">
      <c r="A367" s="1490"/>
      <c r="B367" s="1342"/>
      <c r="C367" s="1490"/>
      <c r="E367" s="1433"/>
      <c r="F367" s="1821"/>
      <c r="G367" s="1795"/>
      <c r="H367" s="1795"/>
      <c r="I367" s="1820"/>
      <c r="J367" s="1820"/>
      <c r="K367" s="1820"/>
      <c r="L367" s="1820"/>
      <c r="M367" s="1820"/>
      <c r="N367" s="1809"/>
      <c r="O367" s="1809"/>
      <c r="Q367" s="1433"/>
      <c r="S367" s="1433"/>
      <c r="T367" s="1433"/>
      <c r="U367" s="1433"/>
      <c r="V367" s="1433"/>
      <c r="W367" s="1433"/>
      <c r="X367" s="1433"/>
      <c r="Y367" s="1433"/>
      <c r="Z367" s="1433"/>
      <c r="AA367" s="1433"/>
      <c r="AB367" s="1433"/>
      <c r="AC367" s="1433"/>
      <c r="AD367" s="1433"/>
      <c r="AE367" s="1433"/>
      <c r="AF367" s="1433"/>
      <c r="AG367" s="1433"/>
      <c r="AH367" s="1433"/>
      <c r="AI367" s="1433"/>
      <c r="AJ367" s="1433"/>
      <c r="AK367" s="1433"/>
      <c r="AL367" s="1433"/>
      <c r="AM367" s="1433"/>
      <c r="AN367" s="1433"/>
      <c r="AO367" s="1433"/>
      <c r="AP367" s="1433"/>
      <c r="AQ367" s="1433"/>
      <c r="AR367" s="1433"/>
      <c r="AS367" s="1433"/>
      <c r="AT367" s="1433"/>
      <c r="AV367" s="1433"/>
      <c r="BJ367" s="1433"/>
      <c r="BK367" s="1433"/>
      <c r="BL367" s="1433"/>
      <c r="BM367" s="1433"/>
      <c r="BN367" s="1433"/>
      <c r="BO367" s="1433"/>
      <c r="BP367" s="1433"/>
      <c r="BQ367" s="1433"/>
      <c r="BR367" s="1433"/>
      <c r="BS367" s="1433"/>
      <c r="BT367" s="1433"/>
      <c r="BU367" s="1433"/>
      <c r="BV367" s="1433"/>
      <c r="BW367" s="1433"/>
      <c r="BX367" s="1433"/>
      <c r="BY367" s="1433"/>
      <c r="BZ367" s="1433"/>
      <c r="CA367" s="1433"/>
      <c r="CB367" s="1433"/>
      <c r="CC367" s="1433"/>
      <c r="CD367" s="1433"/>
      <c r="CE367" s="1433"/>
      <c r="CF367" s="1433"/>
      <c r="CG367" s="1433"/>
      <c r="CH367" s="1433"/>
      <c r="CI367" s="1433"/>
      <c r="CJ367" s="1433"/>
      <c r="CK367" s="1433"/>
      <c r="CL367" s="1433"/>
      <c r="CM367" s="1433"/>
      <c r="CN367" s="1433"/>
      <c r="CO367" s="1414"/>
      <c r="CQ367" s="1433"/>
      <c r="CR367" s="1433"/>
      <c r="CS367" s="1433"/>
      <c r="CT367" s="1433"/>
      <c r="CU367" s="1433"/>
      <c r="CV367" s="1433"/>
      <c r="CW367" s="1433"/>
      <c r="CX367" s="1433"/>
      <c r="CY367" s="1433"/>
      <c r="CZ367" s="1433"/>
      <c r="DA367" s="1433"/>
      <c r="DB367" s="1433"/>
      <c r="DC367" s="1433"/>
      <c r="DD367" s="1433"/>
      <c r="DE367" s="1433"/>
      <c r="DF367" s="1433"/>
      <c r="DG367" s="1433"/>
      <c r="DH367" s="1433"/>
      <c r="DI367" s="1433"/>
      <c r="DJ367" s="1433"/>
      <c r="DK367" s="1433"/>
      <c r="DL367" s="1433"/>
      <c r="DM367" s="1433"/>
      <c r="DN367" s="1433"/>
      <c r="DO367" s="1433"/>
      <c r="DP367" s="1433"/>
      <c r="DQ367" s="1433"/>
      <c r="DR367" s="1433"/>
      <c r="DS367" s="1433"/>
      <c r="DT367" s="1433"/>
      <c r="DU367" s="1433"/>
      <c r="DV367" s="1433"/>
      <c r="DW367" s="1433"/>
      <c r="DX367" s="1433"/>
      <c r="DY367" s="1433"/>
      <c r="DZ367" s="1433"/>
      <c r="EA367" s="1433"/>
      <c r="EB367" s="1433"/>
      <c r="EC367" s="1433"/>
      <c r="ED367" s="1433"/>
      <c r="EE367" s="1433"/>
      <c r="EF367" s="1433"/>
      <c r="EG367" s="1433"/>
      <c r="EH367" s="1433"/>
      <c r="EI367" s="1433"/>
      <c r="EJ367" s="1414"/>
      <c r="EK367" s="1490"/>
    </row>
    <row r="368" spans="1:141" s="1441" customFormat="1" ht="12" hidden="1">
      <c r="A368" s="1490"/>
      <c r="B368" s="1342"/>
      <c r="C368" s="1490"/>
      <c r="E368" s="1433"/>
      <c r="F368" s="1660"/>
      <c r="G368" s="1795"/>
      <c r="H368" s="1795"/>
      <c r="I368" s="1825"/>
      <c r="J368" s="1825"/>
      <c r="K368" s="1825"/>
      <c r="L368" s="1825"/>
      <c r="M368" s="1825"/>
      <c r="N368" s="1809"/>
      <c r="O368" s="1809"/>
      <c r="Q368" s="1433"/>
      <c r="S368" s="1433"/>
      <c r="T368" s="1433"/>
      <c r="U368" s="1433"/>
      <c r="V368" s="1433"/>
      <c r="W368" s="1433"/>
      <c r="X368" s="1433"/>
      <c r="Y368" s="1433"/>
      <c r="Z368" s="1433"/>
      <c r="AA368" s="1433"/>
      <c r="AB368" s="1433"/>
      <c r="AC368" s="1433"/>
      <c r="AD368" s="1433"/>
      <c r="AE368" s="1433"/>
      <c r="AF368" s="1433"/>
      <c r="AG368" s="1433"/>
      <c r="AH368" s="1433"/>
      <c r="AI368" s="1433"/>
      <c r="AJ368" s="1433"/>
      <c r="AK368" s="1433"/>
      <c r="AL368" s="1433"/>
      <c r="AM368" s="1433"/>
      <c r="AN368" s="1433"/>
      <c r="AO368" s="1433"/>
      <c r="AP368" s="1433"/>
      <c r="AQ368" s="1433"/>
      <c r="AR368" s="1433"/>
      <c r="AS368" s="1433"/>
      <c r="AT368" s="1433"/>
      <c r="AV368" s="1433"/>
      <c r="BJ368" s="1433"/>
      <c r="BK368" s="1433"/>
      <c r="BL368" s="1433"/>
      <c r="BM368" s="1433"/>
      <c r="BN368" s="1433"/>
      <c r="BO368" s="1433"/>
      <c r="BP368" s="1433"/>
      <c r="BQ368" s="1433"/>
      <c r="BR368" s="1433"/>
      <c r="BS368" s="1433"/>
      <c r="BT368" s="1433"/>
      <c r="BU368" s="1433"/>
      <c r="BV368" s="1433"/>
      <c r="BW368" s="1433"/>
      <c r="BX368" s="1433"/>
      <c r="BY368" s="1433"/>
      <c r="BZ368" s="1433"/>
      <c r="CA368" s="1433"/>
      <c r="CB368" s="1433"/>
      <c r="CC368" s="1433"/>
      <c r="CD368" s="1433"/>
      <c r="CE368" s="1433"/>
      <c r="CF368" s="1433"/>
      <c r="CG368" s="1433"/>
      <c r="CH368" s="1433"/>
      <c r="CI368" s="1433"/>
      <c r="CJ368" s="1433"/>
      <c r="CK368" s="1433"/>
      <c r="CL368" s="1433"/>
      <c r="CM368" s="1433"/>
      <c r="CN368" s="1433"/>
      <c r="CO368" s="1414"/>
      <c r="CQ368" s="1433"/>
      <c r="CR368" s="1433"/>
      <c r="CS368" s="1433"/>
      <c r="CT368" s="1433"/>
      <c r="CU368" s="1433"/>
      <c r="CV368" s="1433"/>
      <c r="CW368" s="1433"/>
      <c r="CX368" s="1433"/>
      <c r="CY368" s="1433"/>
      <c r="CZ368" s="1433"/>
      <c r="DA368" s="1433"/>
      <c r="DB368" s="1433"/>
      <c r="DC368" s="1433"/>
      <c r="DD368" s="1433"/>
      <c r="DE368" s="1433"/>
      <c r="DF368" s="1433"/>
      <c r="DG368" s="1433"/>
      <c r="DH368" s="1433"/>
      <c r="DI368" s="1433"/>
      <c r="DJ368" s="1433"/>
      <c r="DK368" s="1433"/>
      <c r="DL368" s="1433"/>
      <c r="DM368" s="1433"/>
      <c r="DN368" s="1433"/>
      <c r="DO368" s="1433"/>
      <c r="DP368" s="1433"/>
      <c r="DQ368" s="1433"/>
      <c r="DR368" s="1433"/>
      <c r="DS368" s="1433"/>
      <c r="DT368" s="1433"/>
      <c r="DU368" s="1433"/>
      <c r="DV368" s="1433"/>
      <c r="DW368" s="1433"/>
      <c r="DX368" s="1433"/>
      <c r="DY368" s="1433"/>
      <c r="DZ368" s="1433"/>
      <c r="EA368" s="1433"/>
      <c r="EB368" s="1433"/>
      <c r="EC368" s="1433"/>
      <c r="ED368" s="1433"/>
      <c r="EE368" s="1433"/>
      <c r="EF368" s="1433"/>
      <c r="EG368" s="1433"/>
      <c r="EH368" s="1433"/>
      <c r="EI368" s="1433"/>
      <c r="EJ368" s="1414"/>
      <c r="EK368" s="1490"/>
    </row>
    <row r="369" spans="1:141" s="1441" customFormat="1" ht="12" hidden="1">
      <c r="A369" s="1490"/>
      <c r="B369" s="1342"/>
      <c r="C369" s="1490"/>
      <c r="E369" s="1433"/>
      <c r="F369" s="1808" t="s">
        <v>498</v>
      </c>
      <c r="G369" s="1795"/>
      <c r="H369" s="1795"/>
      <c r="I369" s="1795"/>
      <c r="J369" s="1809"/>
      <c r="K369" s="1795"/>
      <c r="L369" s="1795"/>
      <c r="M369" s="1795"/>
      <c r="N369" s="1809"/>
      <c r="O369" s="1809"/>
      <c r="Q369" s="1433"/>
      <c r="S369" s="1433"/>
      <c r="T369" s="1433"/>
      <c r="U369" s="1433"/>
      <c r="V369" s="1433"/>
      <c r="W369" s="1433"/>
      <c r="X369" s="1433"/>
      <c r="Y369" s="1433"/>
      <c r="Z369" s="1433"/>
      <c r="AA369" s="1433"/>
      <c r="AB369" s="1433"/>
      <c r="AC369" s="1433"/>
      <c r="AD369" s="1433"/>
      <c r="AE369" s="1433"/>
      <c r="AF369" s="1433"/>
      <c r="AG369" s="1433"/>
      <c r="AH369" s="1433"/>
      <c r="AI369" s="1433"/>
      <c r="AJ369" s="1433"/>
      <c r="AK369" s="1433"/>
      <c r="AL369" s="1433"/>
      <c r="AM369" s="1433"/>
      <c r="AN369" s="1433"/>
      <c r="AO369" s="1433"/>
      <c r="AP369" s="1433"/>
      <c r="AQ369" s="1433"/>
      <c r="AR369" s="1433"/>
      <c r="AS369" s="1433"/>
      <c r="AT369" s="1433"/>
      <c r="AV369" s="1433"/>
      <c r="BJ369" s="1433"/>
      <c r="BK369" s="1433"/>
      <c r="BL369" s="1433"/>
      <c r="BM369" s="1433"/>
      <c r="BN369" s="1433"/>
      <c r="BO369" s="1433"/>
      <c r="BP369" s="1433"/>
      <c r="BQ369" s="1433"/>
      <c r="BR369" s="1433"/>
      <c r="BS369" s="1433"/>
      <c r="BT369" s="1433"/>
      <c r="BU369" s="1433"/>
      <c r="BV369" s="1433"/>
      <c r="BW369" s="1433"/>
      <c r="BX369" s="1433"/>
      <c r="BY369" s="1433"/>
      <c r="BZ369" s="1433"/>
      <c r="CA369" s="1433"/>
      <c r="CB369" s="1433"/>
      <c r="CC369" s="1433"/>
      <c r="CD369" s="1433"/>
      <c r="CE369" s="1433"/>
      <c r="CF369" s="1433"/>
      <c r="CG369" s="1433"/>
      <c r="CH369" s="1433"/>
      <c r="CI369" s="1433"/>
      <c r="CJ369" s="1433"/>
      <c r="CK369" s="1433"/>
      <c r="CL369" s="1433"/>
      <c r="CM369" s="1433"/>
      <c r="CN369" s="1433"/>
      <c r="CO369" s="1414"/>
      <c r="CQ369" s="1433"/>
      <c r="CR369" s="1433"/>
      <c r="CS369" s="1433"/>
      <c r="CT369" s="1433"/>
      <c r="CU369" s="1433"/>
      <c r="CV369" s="1433"/>
      <c r="CW369" s="1433"/>
      <c r="CX369" s="1433"/>
      <c r="CY369" s="1433"/>
      <c r="CZ369" s="1433"/>
      <c r="DA369" s="1433"/>
      <c r="DB369" s="1433"/>
      <c r="DC369" s="1433"/>
      <c r="DD369" s="1433"/>
      <c r="DE369" s="1433"/>
      <c r="DF369" s="1433"/>
      <c r="DG369" s="1433"/>
      <c r="DH369" s="1433"/>
      <c r="DI369" s="1433"/>
      <c r="DJ369" s="1433"/>
      <c r="DK369" s="1433"/>
      <c r="DL369" s="1433"/>
      <c r="DM369" s="1433"/>
      <c r="DN369" s="1433"/>
      <c r="DO369" s="1433"/>
      <c r="DP369" s="1433"/>
      <c r="DQ369" s="1433"/>
      <c r="DR369" s="1433"/>
      <c r="DS369" s="1433"/>
      <c r="DT369" s="1433"/>
      <c r="DU369" s="1433"/>
      <c r="DV369" s="1433"/>
      <c r="DW369" s="1433"/>
      <c r="DX369" s="1433"/>
      <c r="DY369" s="1433"/>
      <c r="DZ369" s="1433"/>
      <c r="EA369" s="1433"/>
      <c r="EB369" s="1433"/>
      <c r="EC369" s="1433"/>
      <c r="ED369" s="1433"/>
      <c r="EE369" s="1433"/>
      <c r="EF369" s="1433"/>
      <c r="EG369" s="1433"/>
      <c r="EH369" s="1433"/>
      <c r="EI369" s="1433"/>
      <c r="EJ369" s="1414"/>
      <c r="EK369" s="1490"/>
    </row>
    <row r="370" spans="1:141" s="1441" customFormat="1" ht="12" hidden="1">
      <c r="A370" s="1490"/>
      <c r="B370" s="1342"/>
      <c r="C370" s="1490"/>
      <c r="F370" s="1808"/>
      <c r="G370" s="1815"/>
      <c r="H370" s="1815"/>
      <c r="I370" s="1815"/>
      <c r="J370" s="1815"/>
      <c r="K370" s="1815"/>
      <c r="L370" s="1815"/>
      <c r="M370" s="1815"/>
      <c r="N370" s="1815"/>
      <c r="O370" s="1815"/>
      <c r="AV370" s="1433"/>
      <c r="CA370" s="1433"/>
      <c r="CB370" s="1433"/>
      <c r="CC370" s="1433"/>
      <c r="CD370" s="1433"/>
      <c r="CE370" s="1433"/>
      <c r="CF370" s="1433"/>
      <c r="CG370" s="1433"/>
      <c r="CH370" s="1433"/>
      <c r="CI370" s="1433"/>
      <c r="CJ370" s="1433"/>
      <c r="CK370" s="1433"/>
      <c r="CL370" s="1433"/>
      <c r="CM370" s="1433"/>
      <c r="CN370" s="1433"/>
      <c r="CO370" s="1414"/>
      <c r="CP370" s="1832"/>
      <c r="CQ370" s="1433"/>
      <c r="CR370" s="1433"/>
      <c r="CS370" s="1433"/>
      <c r="CT370" s="1433"/>
      <c r="CU370" s="1433"/>
      <c r="CV370" s="1433"/>
      <c r="CW370" s="1433"/>
      <c r="CX370" s="1433"/>
      <c r="CY370" s="1433"/>
      <c r="CZ370" s="1433"/>
      <c r="DA370" s="1433"/>
      <c r="DB370" s="1433"/>
      <c r="DC370" s="1433"/>
      <c r="DD370" s="1433"/>
      <c r="DE370" s="1433"/>
      <c r="DF370" s="1433"/>
      <c r="DG370" s="1433"/>
      <c r="DH370" s="1433"/>
      <c r="DI370" s="1433"/>
      <c r="DJ370" s="1433"/>
      <c r="DK370" s="1433"/>
      <c r="DL370" s="1433"/>
      <c r="DM370" s="1433"/>
      <c r="DN370" s="1433"/>
      <c r="DO370" s="1433"/>
      <c r="DP370" s="1433"/>
      <c r="DQ370" s="1433"/>
      <c r="DR370" s="1433"/>
      <c r="DS370" s="1433"/>
      <c r="DT370" s="1433"/>
      <c r="DU370" s="1433"/>
      <c r="DV370" s="1433"/>
      <c r="DW370" s="1433"/>
      <c r="DX370" s="1433"/>
      <c r="DY370" s="1433"/>
      <c r="DZ370" s="1433"/>
      <c r="EA370" s="1433"/>
      <c r="EB370" s="1433"/>
      <c r="EC370" s="1433"/>
      <c r="ED370" s="1433"/>
      <c r="EE370" s="1433"/>
      <c r="EF370" s="1433"/>
      <c r="EG370" s="1433"/>
      <c r="EH370" s="1433"/>
      <c r="EI370" s="1433"/>
      <c r="EJ370" s="1414"/>
    </row>
    <row r="371" spans="1:141" s="1441" customFormat="1" ht="12" hidden="1">
      <c r="A371" s="1490"/>
      <c r="B371" s="1342"/>
      <c r="C371" s="1490"/>
      <c r="F371" s="1808"/>
      <c r="G371" s="1815"/>
      <c r="H371" s="1815"/>
      <c r="I371" s="1833" t="s">
        <v>202</v>
      </c>
      <c r="J371" s="1833" t="s">
        <v>203</v>
      </c>
      <c r="K371" s="1833" t="s">
        <v>204</v>
      </c>
      <c r="L371" s="1834" t="s">
        <v>205</v>
      </c>
      <c r="M371" s="1828"/>
      <c r="N371" s="1815"/>
      <c r="O371" s="1815"/>
      <c r="AV371" s="1433"/>
      <c r="CA371" s="1433"/>
      <c r="CB371" s="1433"/>
      <c r="CC371" s="1433"/>
      <c r="CD371" s="1433"/>
      <c r="CE371" s="1433"/>
      <c r="CF371" s="1433"/>
      <c r="CG371" s="1433"/>
      <c r="CH371" s="1433"/>
      <c r="CI371" s="1433"/>
      <c r="CJ371" s="1433"/>
      <c r="CK371" s="1433"/>
      <c r="CL371" s="1433"/>
      <c r="CM371" s="1433"/>
      <c r="CN371" s="1433"/>
      <c r="CO371" s="1414"/>
      <c r="CP371" s="1832"/>
      <c r="CQ371" s="1433"/>
      <c r="CR371" s="1433"/>
      <c r="CS371" s="1433"/>
      <c r="CT371" s="1433"/>
      <c r="CU371" s="1433"/>
      <c r="CV371" s="1433"/>
      <c r="CW371" s="1433"/>
      <c r="CX371" s="1433"/>
      <c r="CY371" s="1433"/>
      <c r="CZ371" s="1433"/>
      <c r="DA371" s="1433"/>
      <c r="DB371" s="1433"/>
      <c r="DC371" s="1433"/>
      <c r="DD371" s="1433"/>
      <c r="DE371" s="1433"/>
      <c r="DF371" s="1433"/>
      <c r="DG371" s="1433"/>
      <c r="DH371" s="1433"/>
      <c r="DI371" s="1433"/>
      <c r="DJ371" s="1433"/>
      <c r="DK371" s="1433"/>
      <c r="DL371" s="1433"/>
      <c r="DM371" s="1433"/>
      <c r="DN371" s="1433"/>
      <c r="DO371" s="1433"/>
      <c r="DP371" s="1433"/>
      <c r="DQ371" s="1433"/>
      <c r="DR371" s="1433"/>
      <c r="DS371" s="1433"/>
      <c r="DT371" s="1433"/>
      <c r="DU371" s="1433"/>
      <c r="DV371" s="1433"/>
      <c r="DW371" s="1433"/>
      <c r="DX371" s="1433"/>
      <c r="DY371" s="1433"/>
      <c r="DZ371" s="1433"/>
      <c r="EA371" s="1433"/>
      <c r="EB371" s="1433"/>
      <c r="EC371" s="1433"/>
      <c r="ED371" s="1433"/>
      <c r="EE371" s="1433"/>
      <c r="EF371" s="1433"/>
      <c r="EG371" s="1433"/>
      <c r="EH371" s="1433"/>
      <c r="EI371" s="1433"/>
      <c r="EJ371" s="1414"/>
    </row>
    <row r="372" spans="1:141" s="1441" customFormat="1" ht="12" hidden="1">
      <c r="A372" s="1490"/>
      <c r="B372" s="1342"/>
      <c r="C372" s="1490"/>
      <c r="E372" s="1433"/>
      <c r="F372" s="1809" t="s">
        <v>11</v>
      </c>
      <c r="G372" s="1809"/>
      <c r="H372" s="1795"/>
      <c r="I372" s="1828" t="e">
        <f>-K351</f>
        <v>#REF!</v>
      </c>
      <c r="J372" s="1828" t="e">
        <f>+I372*0.12</f>
        <v>#REF!</v>
      </c>
      <c r="K372" s="1828" t="e">
        <f>+I372+J372</f>
        <v>#REF!</v>
      </c>
      <c r="L372" s="1828"/>
      <c r="M372" s="1828"/>
      <c r="N372" s="1795"/>
      <c r="O372" s="1809"/>
      <c r="P372" s="1433"/>
      <c r="Q372" s="1433"/>
      <c r="S372" s="1433"/>
      <c r="T372" s="1433"/>
      <c r="U372" s="1433"/>
      <c r="V372" s="1433"/>
      <c r="W372" s="1433"/>
      <c r="X372" s="1433"/>
      <c r="Y372" s="1433"/>
      <c r="Z372" s="1433"/>
      <c r="AA372" s="1433"/>
      <c r="AB372" s="1433"/>
      <c r="AC372" s="1433"/>
      <c r="AD372" s="1433"/>
      <c r="AE372" s="1433"/>
      <c r="AF372" s="1433"/>
      <c r="AG372" s="1433"/>
      <c r="AH372" s="1433"/>
      <c r="AI372" s="1433"/>
      <c r="AJ372" s="1433"/>
      <c r="AK372" s="1433"/>
      <c r="AL372" s="1433"/>
      <c r="AM372" s="1433"/>
      <c r="AN372" s="1433"/>
      <c r="AO372" s="1433"/>
      <c r="AP372" s="1433"/>
      <c r="AQ372" s="1433"/>
      <c r="AR372" s="1433"/>
      <c r="AS372" s="1433"/>
      <c r="AT372" s="1433"/>
      <c r="AV372" s="1433"/>
      <c r="BJ372" s="1433"/>
      <c r="BK372" s="1433"/>
      <c r="BL372" s="1433"/>
      <c r="BM372" s="1433"/>
      <c r="BN372" s="1433"/>
      <c r="BO372" s="1433"/>
      <c r="BP372" s="1433"/>
      <c r="BQ372" s="1433"/>
      <c r="BR372" s="1433"/>
      <c r="BS372" s="1433"/>
      <c r="BT372" s="1433"/>
      <c r="BU372" s="1433"/>
      <c r="BV372" s="1433"/>
      <c r="BW372" s="1433"/>
      <c r="BX372" s="1433"/>
      <c r="BY372" s="1433"/>
      <c r="BZ372" s="1433"/>
      <c r="CA372" s="1433"/>
      <c r="CB372" s="1433"/>
      <c r="CC372" s="1433"/>
      <c r="CD372" s="1433"/>
      <c r="CE372" s="1433"/>
      <c r="CF372" s="1433"/>
      <c r="CG372" s="1433"/>
      <c r="CH372" s="1433"/>
      <c r="CI372" s="1433"/>
      <c r="CJ372" s="1433"/>
      <c r="CK372" s="1433"/>
      <c r="CL372" s="1433"/>
      <c r="CM372" s="1433"/>
      <c r="CN372" s="1433"/>
      <c r="CO372" s="1414"/>
      <c r="CQ372" s="1433"/>
      <c r="CR372" s="1433"/>
      <c r="CS372" s="1433"/>
      <c r="CT372" s="1433"/>
      <c r="CU372" s="1433"/>
      <c r="CV372" s="1433"/>
      <c r="CW372" s="1433"/>
      <c r="CX372" s="1433"/>
      <c r="CY372" s="1433"/>
      <c r="CZ372" s="1433"/>
      <c r="DA372" s="1433"/>
      <c r="DB372" s="1433"/>
      <c r="DC372" s="1433"/>
      <c r="DD372" s="1433"/>
      <c r="DE372" s="1433"/>
      <c r="DF372" s="1433"/>
      <c r="DG372" s="1433"/>
      <c r="DH372" s="1433"/>
      <c r="DI372" s="1433"/>
      <c r="DJ372" s="1433"/>
      <c r="DK372" s="1433"/>
      <c r="DL372" s="1433"/>
      <c r="DM372" s="1433"/>
      <c r="DN372" s="1433"/>
      <c r="DO372" s="1433"/>
      <c r="DP372" s="1433"/>
      <c r="DQ372" s="1433"/>
      <c r="DR372" s="1433"/>
      <c r="DS372" s="1433"/>
      <c r="DT372" s="1433"/>
      <c r="DU372" s="1433"/>
      <c r="DV372" s="1433"/>
      <c r="DW372" s="1433"/>
      <c r="DX372" s="1433"/>
      <c r="DY372" s="1433"/>
      <c r="DZ372" s="1433"/>
      <c r="EA372" s="1433"/>
      <c r="EB372" s="1433"/>
      <c r="EC372" s="1433"/>
      <c r="ED372" s="1433"/>
      <c r="EE372" s="1433"/>
      <c r="EF372" s="1433"/>
      <c r="EG372" s="1433"/>
      <c r="EH372" s="1433"/>
      <c r="EI372" s="1433"/>
      <c r="EJ372" s="1414"/>
      <c r="EK372" s="1490"/>
    </row>
    <row r="373" spans="1:141" s="1441" customFormat="1" ht="12" hidden="1">
      <c r="A373" s="1490"/>
      <c r="B373" s="1342"/>
      <c r="C373" s="1490"/>
      <c r="E373" s="1433"/>
      <c r="F373" s="1809" t="s">
        <v>13</v>
      </c>
      <c r="G373" s="1809"/>
      <c r="H373" s="1795"/>
      <c r="I373" s="1828" t="e">
        <f>-M351</f>
        <v>#REF!</v>
      </c>
      <c r="J373" s="1828" t="e">
        <f>+I373*0.12</f>
        <v>#REF!</v>
      </c>
      <c r="K373" s="1828" t="e">
        <f>+I373+J373</f>
        <v>#REF!</v>
      </c>
      <c r="L373" s="1828"/>
      <c r="M373" s="1828"/>
      <c r="N373" s="1795"/>
      <c r="O373" s="1809"/>
      <c r="P373" s="1433"/>
      <c r="Q373" s="1433"/>
      <c r="S373" s="1433"/>
      <c r="T373" s="1433"/>
      <c r="U373" s="1433"/>
      <c r="V373" s="1433"/>
      <c r="W373" s="1433"/>
      <c r="X373" s="1433"/>
      <c r="Y373" s="1433"/>
      <c r="Z373" s="1433"/>
      <c r="AA373" s="1433"/>
      <c r="AB373" s="1433"/>
      <c r="AC373" s="1433"/>
      <c r="AD373" s="1433"/>
      <c r="AE373" s="1433"/>
      <c r="AF373" s="1433"/>
      <c r="AG373" s="1433"/>
      <c r="AH373" s="1433"/>
      <c r="AI373" s="1433"/>
      <c r="AJ373" s="1433"/>
      <c r="AK373" s="1433"/>
      <c r="AL373" s="1433"/>
      <c r="AM373" s="1433"/>
      <c r="AN373" s="1433"/>
      <c r="AO373" s="1433"/>
      <c r="AP373" s="1433"/>
      <c r="AQ373" s="1433"/>
      <c r="AR373" s="1433"/>
      <c r="AS373" s="1433"/>
      <c r="AT373" s="1433"/>
      <c r="AV373" s="1433"/>
      <c r="BJ373" s="1433"/>
      <c r="BK373" s="1433"/>
      <c r="BL373" s="1433"/>
      <c r="BM373" s="1433"/>
      <c r="BN373" s="1433"/>
      <c r="BO373" s="1433"/>
      <c r="BP373" s="1433"/>
      <c r="BQ373" s="1433"/>
      <c r="BR373" s="1433"/>
      <c r="BS373" s="1433"/>
      <c r="BT373" s="1433"/>
      <c r="BU373" s="1433"/>
      <c r="BV373" s="1433"/>
      <c r="BW373" s="1433"/>
      <c r="BX373" s="1433"/>
      <c r="BY373" s="1433"/>
      <c r="BZ373" s="1433"/>
      <c r="CA373" s="1433"/>
      <c r="CB373" s="1433"/>
      <c r="CC373" s="1433"/>
      <c r="CD373" s="1433"/>
      <c r="CE373" s="1433"/>
      <c r="CF373" s="1433"/>
      <c r="CG373" s="1433"/>
      <c r="CH373" s="1433"/>
      <c r="CI373" s="1433"/>
      <c r="CJ373" s="1433"/>
      <c r="CK373" s="1433"/>
      <c r="CL373" s="1433"/>
      <c r="CM373" s="1433"/>
      <c r="CN373" s="1433"/>
      <c r="CO373" s="1414"/>
      <c r="CQ373" s="1433"/>
      <c r="CR373" s="1433"/>
      <c r="CS373" s="1433"/>
      <c r="CT373" s="1433"/>
      <c r="CU373" s="1433"/>
      <c r="CV373" s="1433"/>
      <c r="CW373" s="1433"/>
      <c r="CX373" s="1433"/>
      <c r="CY373" s="1433"/>
      <c r="CZ373" s="1433"/>
      <c r="DA373" s="1433"/>
      <c r="DB373" s="1433"/>
      <c r="DC373" s="1433"/>
      <c r="DD373" s="1433"/>
      <c r="DE373" s="1433"/>
      <c r="DF373" s="1433"/>
      <c r="DG373" s="1433"/>
      <c r="DH373" s="1433"/>
      <c r="DI373" s="1433"/>
      <c r="DJ373" s="1433"/>
      <c r="DK373" s="1433"/>
      <c r="DL373" s="1433"/>
      <c r="DM373" s="1433"/>
      <c r="DN373" s="1433"/>
      <c r="DO373" s="1433"/>
      <c r="DP373" s="1433"/>
      <c r="DQ373" s="1433"/>
      <c r="DR373" s="1433"/>
      <c r="DS373" s="1433"/>
      <c r="DT373" s="1433"/>
      <c r="DU373" s="1433"/>
      <c r="DV373" s="1433"/>
      <c r="DW373" s="1433"/>
      <c r="DX373" s="1433"/>
      <c r="DY373" s="1433"/>
      <c r="DZ373" s="1433"/>
      <c r="EA373" s="1433"/>
      <c r="EB373" s="1433"/>
      <c r="EC373" s="1433"/>
      <c r="ED373" s="1433"/>
      <c r="EE373" s="1433"/>
      <c r="EF373" s="1433"/>
      <c r="EG373" s="1433"/>
      <c r="EH373" s="1433"/>
      <c r="EI373" s="1433"/>
      <c r="EJ373" s="1414"/>
      <c r="EK373" s="1490"/>
    </row>
    <row r="374" spans="1:141" s="1441" customFormat="1" ht="12" hidden="1">
      <c r="A374" s="1490"/>
      <c r="B374" s="1342"/>
      <c r="C374" s="1490"/>
      <c r="E374" s="1433"/>
      <c r="F374" s="1433"/>
      <c r="G374" s="1433"/>
      <c r="H374" s="1546"/>
      <c r="I374" s="1828"/>
      <c r="J374" s="1828"/>
      <c r="K374" s="1828"/>
      <c r="L374" s="1828"/>
      <c r="M374" s="1828"/>
      <c r="N374" s="1546"/>
      <c r="O374" s="1433"/>
      <c r="P374" s="1433"/>
      <c r="Q374" s="1433"/>
      <c r="S374" s="1433"/>
      <c r="T374" s="1433"/>
      <c r="U374" s="1433"/>
      <c r="V374" s="1433"/>
      <c r="W374" s="1433"/>
      <c r="X374" s="1433"/>
      <c r="Y374" s="1433"/>
      <c r="Z374" s="1433"/>
      <c r="AA374" s="1433"/>
      <c r="AB374" s="1433"/>
      <c r="AC374" s="1433"/>
      <c r="AD374" s="1433"/>
      <c r="AE374" s="1433"/>
      <c r="AF374" s="1433"/>
      <c r="AG374" s="1433"/>
      <c r="AH374" s="1433"/>
      <c r="AI374" s="1433"/>
      <c r="AJ374" s="1433"/>
      <c r="AK374" s="1433"/>
      <c r="AL374" s="1433"/>
      <c r="AM374" s="1433"/>
      <c r="AN374" s="1433"/>
      <c r="AO374" s="1433"/>
      <c r="AP374" s="1433"/>
      <c r="AQ374" s="1433"/>
      <c r="AR374" s="1433"/>
      <c r="AS374" s="1433"/>
      <c r="AT374" s="1433"/>
      <c r="AV374" s="1433"/>
      <c r="BJ374" s="1433"/>
      <c r="BK374" s="1433"/>
      <c r="BL374" s="1433"/>
      <c r="BM374" s="1433"/>
      <c r="BN374" s="1433"/>
      <c r="BO374" s="1433"/>
      <c r="BP374" s="1433"/>
      <c r="BQ374" s="1433"/>
      <c r="BR374" s="1433"/>
      <c r="BS374" s="1433"/>
      <c r="BT374" s="1433"/>
      <c r="BU374" s="1433"/>
      <c r="BV374" s="1433"/>
      <c r="BW374" s="1433"/>
      <c r="BX374" s="1433"/>
      <c r="BY374" s="1433"/>
      <c r="BZ374" s="1433"/>
      <c r="CA374" s="1433"/>
      <c r="CB374" s="1433"/>
      <c r="CC374" s="1433"/>
      <c r="CD374" s="1433"/>
      <c r="CE374" s="1433"/>
      <c r="CF374" s="1433"/>
      <c r="CG374" s="1433"/>
      <c r="CH374" s="1433"/>
      <c r="CI374" s="1433"/>
      <c r="CJ374" s="1433"/>
      <c r="CK374" s="1433"/>
      <c r="CL374" s="1433"/>
      <c r="CM374" s="1433"/>
      <c r="CN374" s="1433"/>
      <c r="CO374" s="1414"/>
      <c r="CQ374" s="1433"/>
      <c r="CR374" s="1433"/>
      <c r="CS374" s="1433"/>
      <c r="CT374" s="1433"/>
      <c r="CU374" s="1433"/>
      <c r="CV374" s="1433"/>
      <c r="CW374" s="1433"/>
      <c r="CX374" s="1433"/>
      <c r="CY374" s="1433"/>
      <c r="CZ374" s="1433"/>
      <c r="DA374" s="1433"/>
      <c r="DB374" s="1433"/>
      <c r="DC374" s="1433"/>
      <c r="DD374" s="1433"/>
      <c r="DE374" s="1433"/>
      <c r="DF374" s="1433"/>
      <c r="DG374" s="1433"/>
      <c r="DH374" s="1433"/>
      <c r="DI374" s="1433"/>
      <c r="DJ374" s="1433"/>
      <c r="DK374" s="1433"/>
      <c r="DL374" s="1433"/>
      <c r="DM374" s="1433"/>
      <c r="DN374" s="1433"/>
      <c r="DO374" s="1433"/>
      <c r="DP374" s="1433"/>
      <c r="DQ374" s="1433"/>
      <c r="DR374" s="1433"/>
      <c r="DS374" s="1433"/>
      <c r="DT374" s="1433"/>
      <c r="DU374" s="1433"/>
      <c r="DV374" s="1433"/>
      <c r="DW374" s="1433"/>
      <c r="DX374" s="1433"/>
      <c r="DY374" s="1433"/>
      <c r="DZ374" s="1433"/>
      <c r="EA374" s="1433"/>
      <c r="EB374" s="1433"/>
      <c r="EC374" s="1433"/>
      <c r="ED374" s="1433"/>
      <c r="EE374" s="1433"/>
      <c r="EF374" s="1433"/>
      <c r="EG374" s="1433"/>
      <c r="EH374" s="1433"/>
      <c r="EI374" s="1433"/>
      <c r="EJ374" s="1414"/>
      <c r="EK374" s="1490"/>
    </row>
    <row r="375" spans="1:141" s="1441" customFormat="1" ht="12" hidden="1">
      <c r="A375" s="1490"/>
      <c r="B375" s="1342"/>
      <c r="C375" s="1490"/>
      <c r="E375" s="1433"/>
      <c r="F375" s="1433"/>
      <c r="G375" s="1433"/>
      <c r="H375" s="1835"/>
      <c r="I375" s="1828"/>
      <c r="J375" s="1828"/>
      <c r="K375" s="1828"/>
      <c r="L375" s="1828"/>
      <c r="M375" s="1828"/>
      <c r="N375" s="1546"/>
      <c r="O375" s="1433"/>
      <c r="P375" s="1433"/>
      <c r="Q375" s="1433"/>
      <c r="S375" s="1433"/>
      <c r="T375" s="1433"/>
      <c r="U375" s="1433"/>
      <c r="V375" s="1433"/>
      <c r="W375" s="1433"/>
      <c r="X375" s="1433"/>
      <c r="Y375" s="1433"/>
      <c r="Z375" s="1433"/>
      <c r="AA375" s="1433"/>
      <c r="AB375" s="1433"/>
      <c r="AC375" s="1433"/>
      <c r="AD375" s="1433"/>
      <c r="AE375" s="1433"/>
      <c r="AF375" s="1433"/>
      <c r="AG375" s="1433"/>
      <c r="AH375" s="1433"/>
      <c r="AI375" s="1433"/>
      <c r="AJ375" s="1433"/>
      <c r="AK375" s="1433"/>
      <c r="AL375" s="1433"/>
      <c r="AM375" s="1433"/>
      <c r="AN375" s="1433"/>
      <c r="AO375" s="1433"/>
      <c r="AP375" s="1433"/>
      <c r="AQ375" s="1433"/>
      <c r="AR375" s="1433"/>
      <c r="AS375" s="1433"/>
      <c r="AT375" s="1433"/>
      <c r="AV375" s="1433"/>
      <c r="BJ375" s="1433"/>
      <c r="BK375" s="1433"/>
      <c r="BL375" s="1433"/>
      <c r="BM375" s="1433"/>
      <c r="BN375" s="1433"/>
      <c r="BO375" s="1433"/>
      <c r="BP375" s="1433"/>
      <c r="BQ375" s="1433"/>
      <c r="BR375" s="1433"/>
      <c r="BS375" s="1433"/>
      <c r="BT375" s="1433"/>
      <c r="BU375" s="1433"/>
      <c r="BV375" s="1433"/>
      <c r="BW375" s="1433"/>
      <c r="BX375" s="1433"/>
      <c r="BY375" s="1433"/>
      <c r="BZ375" s="1433"/>
      <c r="CA375" s="1433"/>
      <c r="CB375" s="1433"/>
      <c r="CC375" s="1433"/>
      <c r="CD375" s="1433"/>
      <c r="CE375" s="1433"/>
      <c r="CF375" s="1433"/>
      <c r="CG375" s="1433"/>
      <c r="CH375" s="1433"/>
      <c r="CI375" s="1433"/>
      <c r="CJ375" s="1433"/>
      <c r="CK375" s="1433"/>
      <c r="CL375" s="1433"/>
      <c r="CM375" s="1433"/>
      <c r="CN375" s="1433"/>
      <c r="CO375" s="1414"/>
      <c r="CQ375" s="1433"/>
      <c r="CR375" s="1433"/>
      <c r="CS375" s="1433"/>
      <c r="CT375" s="1433"/>
      <c r="CU375" s="1433"/>
      <c r="CV375" s="1433"/>
      <c r="CW375" s="1433"/>
      <c r="CX375" s="1433"/>
      <c r="CY375" s="1433"/>
      <c r="CZ375" s="1433"/>
      <c r="DA375" s="1433"/>
      <c r="DB375" s="1433"/>
      <c r="DC375" s="1433"/>
      <c r="DD375" s="1433"/>
      <c r="DE375" s="1433"/>
      <c r="DF375" s="1433"/>
      <c r="DG375" s="1433"/>
      <c r="DH375" s="1433"/>
      <c r="DI375" s="1433"/>
      <c r="DJ375" s="1433"/>
      <c r="DK375" s="1433"/>
      <c r="DL375" s="1433"/>
      <c r="DM375" s="1433"/>
      <c r="DN375" s="1433"/>
      <c r="DO375" s="1433"/>
      <c r="DP375" s="1433"/>
      <c r="DQ375" s="1433"/>
      <c r="DR375" s="1433"/>
      <c r="DS375" s="1433"/>
      <c r="DT375" s="1433"/>
      <c r="DU375" s="1433"/>
      <c r="DV375" s="1433"/>
      <c r="DW375" s="1433"/>
      <c r="DX375" s="1433"/>
      <c r="DY375" s="1433"/>
      <c r="DZ375" s="1433"/>
      <c r="EA375" s="1433"/>
      <c r="EB375" s="1433"/>
      <c r="EC375" s="1433"/>
      <c r="ED375" s="1433"/>
      <c r="EE375" s="1433"/>
      <c r="EF375" s="1433"/>
      <c r="EG375" s="1433"/>
      <c r="EH375" s="1433"/>
      <c r="EI375" s="1433"/>
      <c r="EJ375" s="1414"/>
      <c r="EK375" s="1490"/>
    </row>
    <row r="377" spans="1:141" ht="12" thickBot="1">
      <c r="E377" s="1331"/>
      <c r="F377" s="1331"/>
      <c r="G377" s="1331"/>
      <c r="H377" s="1331"/>
      <c r="I377" s="1331"/>
      <c r="J377" s="1331"/>
      <c r="K377" s="1331"/>
      <c r="L377" s="1331"/>
      <c r="AV377" s="2220" t="s">
        <v>388</v>
      </c>
      <c r="AW377" s="2220"/>
      <c r="AX377" s="2220"/>
      <c r="AY377" s="2220"/>
      <c r="AZ377" s="2220"/>
      <c r="BA377" s="2220"/>
      <c r="BB377" s="2220"/>
      <c r="BC377" s="2220"/>
      <c r="BD377" s="2220"/>
      <c r="BE377" s="2220" t="s">
        <v>388</v>
      </c>
      <c r="BF377" s="2220"/>
      <c r="BG377" s="2220"/>
      <c r="BH377" s="2220"/>
      <c r="BI377" s="2220"/>
      <c r="BJ377" s="2220"/>
      <c r="BK377" s="2220"/>
      <c r="BL377" s="2220"/>
      <c r="BM377" s="2220"/>
      <c r="BN377" s="2220" t="s">
        <v>388</v>
      </c>
      <c r="BO377" s="2220"/>
      <c r="BP377" s="2220"/>
      <c r="BQ377" s="2220"/>
      <c r="BR377" s="2220"/>
      <c r="BS377" s="2220"/>
      <c r="BT377" s="2220"/>
      <c r="BU377" s="2220"/>
      <c r="BV377" s="2220"/>
      <c r="BW377" s="2220" t="s">
        <v>388</v>
      </c>
      <c r="BX377" s="2220"/>
      <c r="BY377" s="2220"/>
      <c r="BZ377" s="2220"/>
      <c r="CA377" s="2220"/>
      <c r="CB377" s="2220"/>
      <c r="CC377" s="2220"/>
      <c r="CD377" s="2220"/>
      <c r="CE377" s="2220"/>
      <c r="CF377" s="2220" t="s">
        <v>388</v>
      </c>
      <c r="CG377" s="2220"/>
      <c r="CH377" s="2220"/>
      <c r="CI377" s="2220"/>
      <c r="CJ377" s="2220"/>
      <c r="CK377" s="2220"/>
      <c r="CL377" s="2220"/>
      <c r="CM377" s="2220"/>
      <c r="CN377" s="2220"/>
    </row>
    <row r="378" spans="1:141">
      <c r="E378" s="1331"/>
      <c r="F378" s="1331"/>
      <c r="G378" s="1331"/>
      <c r="H378" s="1331"/>
      <c r="I378" s="1331"/>
      <c r="J378" s="1331"/>
      <c r="K378" s="1331"/>
      <c r="L378" s="1331"/>
      <c r="AV378" s="1836" t="s">
        <v>17</v>
      </c>
      <c r="AW378" s="1837" t="s">
        <v>18</v>
      </c>
      <c r="AX378" s="1837" t="s">
        <v>26</v>
      </c>
      <c r="AY378" s="1838" t="s">
        <v>27</v>
      </c>
      <c r="AZ378" s="1838" t="s">
        <v>26</v>
      </c>
      <c r="BA378" s="1838" t="s">
        <v>27</v>
      </c>
      <c r="BB378" s="1839" t="s">
        <v>28</v>
      </c>
      <c r="BC378" s="1839" t="s">
        <v>29</v>
      </c>
      <c r="BD378" s="1840" t="s">
        <v>19</v>
      </c>
      <c r="BE378" s="1836" t="s">
        <v>17</v>
      </c>
      <c r="BF378" s="1837" t="s">
        <v>18</v>
      </c>
      <c r="BG378" s="1837" t="s">
        <v>26</v>
      </c>
      <c r="BH378" s="1838" t="s">
        <v>27</v>
      </c>
      <c r="BI378" s="1838" t="s">
        <v>26</v>
      </c>
      <c r="BJ378" s="1838" t="s">
        <v>27</v>
      </c>
      <c r="BK378" s="1839" t="s">
        <v>28</v>
      </c>
      <c r="BL378" s="1839" t="s">
        <v>29</v>
      </c>
      <c r="BM378" s="1840" t="s">
        <v>19</v>
      </c>
      <c r="BN378" s="1836" t="s">
        <v>17</v>
      </c>
      <c r="BO378" s="1837" t="s">
        <v>18</v>
      </c>
      <c r="BP378" s="1837" t="s">
        <v>26</v>
      </c>
      <c r="BQ378" s="1838" t="s">
        <v>27</v>
      </c>
      <c r="BR378" s="1838" t="s">
        <v>26</v>
      </c>
      <c r="BS378" s="1838" t="s">
        <v>27</v>
      </c>
      <c r="BT378" s="1839" t="s">
        <v>28</v>
      </c>
      <c r="BU378" s="1839" t="s">
        <v>29</v>
      </c>
      <c r="BV378" s="1840" t="s">
        <v>19</v>
      </c>
      <c r="BW378" s="1836" t="s">
        <v>17</v>
      </c>
      <c r="BX378" s="1837" t="s">
        <v>18</v>
      </c>
      <c r="BY378" s="1837" t="s">
        <v>26</v>
      </c>
      <c r="BZ378" s="1838" t="s">
        <v>27</v>
      </c>
      <c r="CA378" s="1838" t="s">
        <v>26</v>
      </c>
      <c r="CB378" s="1838" t="s">
        <v>27</v>
      </c>
      <c r="CC378" s="1839" t="s">
        <v>28</v>
      </c>
      <c r="CD378" s="1839" t="s">
        <v>29</v>
      </c>
      <c r="CE378" s="1840" t="s">
        <v>19</v>
      </c>
      <c r="CF378" s="1836" t="s">
        <v>17</v>
      </c>
      <c r="CG378" s="1837" t="s">
        <v>18</v>
      </c>
      <c r="CH378" s="1837" t="s">
        <v>26</v>
      </c>
      <c r="CI378" s="1838" t="s">
        <v>27</v>
      </c>
      <c r="CJ378" s="1838" t="s">
        <v>26</v>
      </c>
      <c r="CK378" s="1838" t="s">
        <v>27</v>
      </c>
      <c r="CL378" s="1839" t="s">
        <v>28</v>
      </c>
      <c r="CM378" s="1839" t="s">
        <v>29</v>
      </c>
      <c r="CN378" s="1841" t="s">
        <v>19</v>
      </c>
    </row>
    <row r="379" spans="1:141">
      <c r="AV379" s="1842" t="s">
        <v>39</v>
      </c>
      <c r="AW379" s="1843" t="s">
        <v>40</v>
      </c>
      <c r="AX379" s="1843" t="s">
        <v>46</v>
      </c>
      <c r="AY379" s="1843" t="s">
        <v>389</v>
      </c>
      <c r="AZ379" s="1843" t="s">
        <v>47</v>
      </c>
      <c r="BA379" s="1843" t="s">
        <v>390</v>
      </c>
      <c r="BB379" s="1844" t="s">
        <v>48</v>
      </c>
      <c r="BC379" s="1844" t="s">
        <v>49</v>
      </c>
      <c r="BD379" s="1845"/>
      <c r="BE379" s="1842" t="s">
        <v>39</v>
      </c>
      <c r="BF379" s="1843" t="s">
        <v>40</v>
      </c>
      <c r="BG379" s="1843" t="s">
        <v>46</v>
      </c>
      <c r="BH379" s="1843" t="s">
        <v>389</v>
      </c>
      <c r="BI379" s="1843" t="s">
        <v>47</v>
      </c>
      <c r="BJ379" s="1843" t="s">
        <v>390</v>
      </c>
      <c r="BK379" s="1844" t="s">
        <v>48</v>
      </c>
      <c r="BL379" s="1844" t="s">
        <v>49</v>
      </c>
      <c r="BM379" s="1845"/>
      <c r="BN379" s="1842" t="s">
        <v>39</v>
      </c>
      <c r="BO379" s="1843" t="s">
        <v>40</v>
      </c>
      <c r="BP379" s="1843" t="s">
        <v>46</v>
      </c>
      <c r="BQ379" s="1843" t="s">
        <v>389</v>
      </c>
      <c r="BR379" s="1843" t="s">
        <v>47</v>
      </c>
      <c r="BS379" s="1843" t="s">
        <v>390</v>
      </c>
      <c r="BT379" s="1844" t="s">
        <v>48</v>
      </c>
      <c r="BU379" s="1844" t="s">
        <v>49</v>
      </c>
      <c r="BV379" s="1845"/>
      <c r="BW379" s="1842" t="s">
        <v>39</v>
      </c>
      <c r="BX379" s="1843" t="s">
        <v>40</v>
      </c>
      <c r="BY379" s="1843" t="s">
        <v>46</v>
      </c>
      <c r="BZ379" s="1843" t="s">
        <v>389</v>
      </c>
      <c r="CA379" s="1843" t="s">
        <v>47</v>
      </c>
      <c r="CB379" s="1843" t="s">
        <v>390</v>
      </c>
      <c r="CC379" s="1844" t="s">
        <v>48</v>
      </c>
      <c r="CD379" s="1844" t="s">
        <v>49</v>
      </c>
      <c r="CE379" s="1845"/>
      <c r="CF379" s="1842" t="s">
        <v>39</v>
      </c>
      <c r="CG379" s="1843" t="s">
        <v>40</v>
      </c>
      <c r="CH379" s="1843" t="s">
        <v>46</v>
      </c>
      <c r="CI379" s="1843" t="s">
        <v>389</v>
      </c>
      <c r="CJ379" s="1843" t="s">
        <v>47</v>
      </c>
      <c r="CK379" s="1843" t="s">
        <v>390</v>
      </c>
      <c r="CL379" s="1844" t="s">
        <v>48</v>
      </c>
      <c r="CM379" s="1844" t="s">
        <v>49</v>
      </c>
      <c r="CN379" s="1846"/>
    </row>
    <row r="380" spans="1:141" ht="12.75">
      <c r="C380" s="1847" t="s">
        <v>53</v>
      </c>
    </row>
    <row r="381" spans="1:141" ht="12.75">
      <c r="C381" s="1848" t="s">
        <v>56</v>
      </c>
      <c r="AV381" s="1343">
        <f t="shared" ref="AV381:CN381" si="3666">AV19</f>
        <v>80449.914000000004</v>
      </c>
      <c r="AW381" s="1343">
        <f t="shared" si="3666"/>
        <v>172431.098</v>
      </c>
      <c r="AX381" s="1343">
        <f t="shared" si="3666"/>
        <v>0</v>
      </c>
      <c r="AY381" s="1343">
        <f t="shared" si="3666"/>
        <v>0</v>
      </c>
      <c r="AZ381" s="1343">
        <f t="shared" si="3666"/>
        <v>0</v>
      </c>
      <c r="BA381" s="1343">
        <f t="shared" si="3666"/>
        <v>0</v>
      </c>
      <c r="BB381" s="1343">
        <f t="shared" si="3666"/>
        <v>0</v>
      </c>
      <c r="BC381" s="1343">
        <f t="shared" si="3666"/>
        <v>10193.004103800002</v>
      </c>
      <c r="BD381" s="1343">
        <f t="shared" si="3666"/>
        <v>263074.01610380004</v>
      </c>
      <c r="BE381" s="1343">
        <f t="shared" si="3666"/>
        <v>32749.140000000003</v>
      </c>
      <c r="BF381" s="1343">
        <f t="shared" si="3666"/>
        <v>3150</v>
      </c>
      <c r="BG381" s="1343">
        <f t="shared" si="3666"/>
        <v>0</v>
      </c>
      <c r="BH381" s="1343">
        <f t="shared" si="3666"/>
        <v>0</v>
      </c>
      <c r="BI381" s="1343">
        <f t="shared" si="3666"/>
        <v>0</v>
      </c>
      <c r="BJ381" s="1343">
        <f t="shared" si="3666"/>
        <v>0</v>
      </c>
      <c r="BK381" s="1343">
        <f t="shared" si="3666"/>
        <v>0</v>
      </c>
      <c r="BL381" s="1343">
        <f t="shared" si="3666"/>
        <v>1203.5410380000001</v>
      </c>
      <c r="BM381" s="1343">
        <f t="shared" si="3666"/>
        <v>37102.681037999995</v>
      </c>
      <c r="BN381" s="1343">
        <f t="shared" si="3666"/>
        <v>0</v>
      </c>
      <c r="BO381" s="1343">
        <f t="shared" si="3666"/>
        <v>0</v>
      </c>
      <c r="BP381" s="1343">
        <f t="shared" si="3666"/>
        <v>0</v>
      </c>
      <c r="BQ381" s="1343">
        <f t="shared" si="3666"/>
        <v>0</v>
      </c>
      <c r="BR381" s="1343">
        <f t="shared" si="3666"/>
        <v>0</v>
      </c>
      <c r="BS381" s="1343">
        <f t="shared" si="3666"/>
        <v>0</v>
      </c>
      <c r="BT381" s="1343">
        <f t="shared" si="3666"/>
        <v>0</v>
      </c>
      <c r="BU381" s="1343">
        <f t="shared" si="3666"/>
        <v>0</v>
      </c>
      <c r="BV381" s="1343">
        <f t="shared" si="3666"/>
        <v>0</v>
      </c>
      <c r="BW381" s="1343">
        <f t="shared" si="3666"/>
        <v>1500</v>
      </c>
      <c r="BX381" s="1343">
        <f t="shared" si="3666"/>
        <v>1200</v>
      </c>
      <c r="BY381" s="1343">
        <f t="shared" si="3666"/>
        <v>0</v>
      </c>
      <c r="BZ381" s="1343">
        <f t="shared" si="3666"/>
        <v>0</v>
      </c>
      <c r="CA381" s="1343">
        <f t="shared" si="3666"/>
        <v>0</v>
      </c>
      <c r="CB381" s="1343">
        <f t="shared" si="3666"/>
        <v>0</v>
      </c>
      <c r="CC381" s="1343">
        <f t="shared" si="3666"/>
        <v>0</v>
      </c>
      <c r="CD381" s="1343">
        <f t="shared" si="3666"/>
        <v>190.05</v>
      </c>
      <c r="CE381" s="1343">
        <f>CE19</f>
        <v>2890.05</v>
      </c>
      <c r="CF381" s="1343">
        <f t="shared" si="3666"/>
        <v>0</v>
      </c>
      <c r="CG381" s="1343">
        <f t="shared" si="3666"/>
        <v>0</v>
      </c>
      <c r="CH381" s="1343">
        <f t="shared" si="3666"/>
        <v>0</v>
      </c>
      <c r="CI381" s="1343">
        <f t="shared" si="3666"/>
        <v>0</v>
      </c>
      <c r="CJ381" s="1343">
        <f t="shared" si="3666"/>
        <v>0</v>
      </c>
      <c r="CK381" s="1343">
        <f t="shared" si="3666"/>
        <v>0</v>
      </c>
      <c r="CL381" s="1343">
        <f t="shared" si="3666"/>
        <v>0</v>
      </c>
      <c r="CM381" s="1343">
        <f t="shared" si="3666"/>
        <v>0</v>
      </c>
      <c r="CN381" s="1343">
        <f t="shared" si="3666"/>
        <v>0</v>
      </c>
    </row>
    <row r="382" spans="1:141" ht="12.75">
      <c r="C382" s="1848" t="s">
        <v>62</v>
      </c>
      <c r="AV382" s="1343">
        <f t="shared" ref="AV382:CN382" si="3667">AV28</f>
        <v>14344.830000000002</v>
      </c>
      <c r="AW382" s="1343">
        <f t="shared" si="3667"/>
        <v>3365</v>
      </c>
      <c r="AX382" s="1343">
        <f t="shared" si="3667"/>
        <v>0</v>
      </c>
      <c r="AY382" s="1343">
        <f t="shared" si="3667"/>
        <v>0</v>
      </c>
      <c r="AZ382" s="1343">
        <f t="shared" si="3667"/>
        <v>0</v>
      </c>
      <c r="BA382" s="1343">
        <f t="shared" si="3667"/>
        <v>0</v>
      </c>
      <c r="BB382" s="1343">
        <f t="shared" si="3667"/>
        <v>0</v>
      </c>
      <c r="BC382" s="1343">
        <f t="shared" si="3667"/>
        <v>1817.4899610000002</v>
      </c>
      <c r="BD382" s="1343">
        <f t="shared" si="3667"/>
        <v>19527.319961000001</v>
      </c>
      <c r="BE382" s="1343">
        <f t="shared" si="3667"/>
        <v>4749.57</v>
      </c>
      <c r="BF382" s="1343">
        <f t="shared" si="3667"/>
        <v>375.00000000000006</v>
      </c>
      <c r="BG382" s="1343">
        <f t="shared" si="3667"/>
        <v>0</v>
      </c>
      <c r="BH382" s="1343">
        <f t="shared" si="3667"/>
        <v>0</v>
      </c>
      <c r="BI382" s="1343">
        <f t="shared" si="3667"/>
        <v>0</v>
      </c>
      <c r="BJ382" s="1343">
        <f t="shared" si="3667"/>
        <v>0</v>
      </c>
      <c r="BK382" s="1343">
        <f t="shared" si="3667"/>
        <v>0</v>
      </c>
      <c r="BL382" s="1343">
        <f t="shared" si="3667"/>
        <v>601.77051900000004</v>
      </c>
      <c r="BM382" s="1343">
        <f t="shared" si="3667"/>
        <v>5726.3405190000003</v>
      </c>
      <c r="BN382" s="1343">
        <f t="shared" si="3667"/>
        <v>0</v>
      </c>
      <c r="BO382" s="1343">
        <f t="shared" si="3667"/>
        <v>0</v>
      </c>
      <c r="BP382" s="1343">
        <f t="shared" si="3667"/>
        <v>0</v>
      </c>
      <c r="BQ382" s="1343">
        <f t="shared" si="3667"/>
        <v>0</v>
      </c>
      <c r="BR382" s="1343">
        <f t="shared" si="3667"/>
        <v>0</v>
      </c>
      <c r="BS382" s="1343">
        <f t="shared" si="3667"/>
        <v>0</v>
      </c>
      <c r="BT382" s="1343">
        <f t="shared" si="3667"/>
        <v>0</v>
      </c>
      <c r="BU382" s="1343">
        <f t="shared" si="3667"/>
        <v>0</v>
      </c>
      <c r="BV382" s="1343">
        <f t="shared" si="3667"/>
        <v>0</v>
      </c>
      <c r="BW382" s="1343">
        <f t="shared" si="3667"/>
        <v>0</v>
      </c>
      <c r="BX382" s="1343">
        <f t="shared" si="3667"/>
        <v>0</v>
      </c>
      <c r="BY382" s="1343">
        <f t="shared" si="3667"/>
        <v>0</v>
      </c>
      <c r="BZ382" s="1343">
        <f t="shared" si="3667"/>
        <v>0</v>
      </c>
      <c r="CA382" s="1343">
        <f t="shared" si="3667"/>
        <v>0</v>
      </c>
      <c r="CB382" s="1343">
        <f t="shared" si="3667"/>
        <v>0</v>
      </c>
      <c r="CC382" s="1343">
        <f t="shared" si="3667"/>
        <v>0</v>
      </c>
      <c r="CD382" s="1343">
        <f t="shared" si="3667"/>
        <v>0</v>
      </c>
      <c r="CE382" s="1343">
        <f t="shared" si="3667"/>
        <v>0</v>
      </c>
      <c r="CF382" s="1343">
        <f t="shared" si="3667"/>
        <v>0</v>
      </c>
      <c r="CG382" s="1343">
        <f t="shared" si="3667"/>
        <v>0</v>
      </c>
      <c r="CH382" s="1343">
        <f t="shared" si="3667"/>
        <v>0</v>
      </c>
      <c r="CI382" s="1343">
        <f t="shared" si="3667"/>
        <v>0</v>
      </c>
      <c r="CJ382" s="1343">
        <f t="shared" si="3667"/>
        <v>0</v>
      </c>
      <c r="CK382" s="1343">
        <f t="shared" si="3667"/>
        <v>0</v>
      </c>
      <c r="CL382" s="1343">
        <f t="shared" si="3667"/>
        <v>0</v>
      </c>
      <c r="CM382" s="1343">
        <f t="shared" si="3667"/>
        <v>0</v>
      </c>
      <c r="CN382" s="1343">
        <f t="shared" si="3667"/>
        <v>0</v>
      </c>
    </row>
    <row r="383" spans="1:141" ht="12.75">
      <c r="C383" s="1848" t="s">
        <v>68</v>
      </c>
      <c r="AV383" s="1343">
        <f t="shared" ref="AV383:CN383" si="3668">AV42</f>
        <v>31263.512999999999</v>
      </c>
      <c r="AW383" s="1343">
        <f t="shared" si="3668"/>
        <v>10389.965</v>
      </c>
      <c r="AX383" s="1343">
        <f t="shared" si="3668"/>
        <v>0</v>
      </c>
      <c r="AY383" s="1343">
        <f t="shared" si="3668"/>
        <v>0</v>
      </c>
      <c r="AZ383" s="1343">
        <f t="shared" si="3668"/>
        <v>0</v>
      </c>
      <c r="BA383" s="1343">
        <f t="shared" si="3668"/>
        <v>0</v>
      </c>
      <c r="BB383" s="1343">
        <f t="shared" si="3668"/>
        <v>0</v>
      </c>
      <c r="BC383" s="1343">
        <f t="shared" si="3668"/>
        <v>3961.0870971000004</v>
      </c>
      <c r="BD383" s="1343">
        <f t="shared" si="3668"/>
        <v>45614.565097099992</v>
      </c>
      <c r="BE383" s="1343">
        <f t="shared" si="3668"/>
        <v>24813.512999999999</v>
      </c>
      <c r="BF383" s="1343">
        <f t="shared" si="3668"/>
        <v>7339.9650000000001</v>
      </c>
      <c r="BG383" s="1343">
        <f t="shared" si="3668"/>
        <v>0</v>
      </c>
      <c r="BH383" s="1343">
        <f t="shared" si="3668"/>
        <v>0</v>
      </c>
      <c r="BI383" s="1343">
        <f t="shared" si="3668"/>
        <v>0</v>
      </c>
      <c r="BJ383" s="1343">
        <f t="shared" si="3668"/>
        <v>0</v>
      </c>
      <c r="BK383" s="1343">
        <f t="shared" si="3668"/>
        <v>0</v>
      </c>
      <c r="BL383" s="1343">
        <f t="shared" si="3668"/>
        <v>3143.8720971000002</v>
      </c>
      <c r="BM383" s="1343">
        <f t="shared" si="3668"/>
        <v>35297.350097099996</v>
      </c>
      <c r="BN383" s="1343">
        <f t="shared" si="3668"/>
        <v>0</v>
      </c>
      <c r="BO383" s="1343">
        <f t="shared" si="3668"/>
        <v>0</v>
      </c>
      <c r="BP383" s="1343">
        <f t="shared" si="3668"/>
        <v>0</v>
      </c>
      <c r="BQ383" s="1343">
        <f t="shared" si="3668"/>
        <v>0</v>
      </c>
      <c r="BR383" s="1343">
        <f t="shared" si="3668"/>
        <v>0</v>
      </c>
      <c r="BS383" s="1343">
        <f t="shared" si="3668"/>
        <v>0</v>
      </c>
      <c r="BT383" s="1343">
        <f t="shared" si="3668"/>
        <v>0</v>
      </c>
      <c r="BU383" s="1343">
        <f t="shared" si="3668"/>
        <v>0</v>
      </c>
      <c r="BV383" s="1343">
        <f t="shared" si="3668"/>
        <v>0</v>
      </c>
      <c r="BW383" s="1343">
        <f t="shared" si="3668"/>
        <v>6511.9873333333326</v>
      </c>
      <c r="BX383" s="1343">
        <f t="shared" si="3668"/>
        <v>3132.4366666666665</v>
      </c>
      <c r="BY383" s="1343">
        <f t="shared" si="3668"/>
        <v>0</v>
      </c>
      <c r="BZ383" s="1343">
        <f t="shared" si="3668"/>
        <v>0</v>
      </c>
      <c r="CA383" s="1343">
        <f t="shared" si="3668"/>
        <v>0</v>
      </c>
      <c r="CB383" s="1343">
        <f t="shared" si="3668"/>
        <v>0</v>
      </c>
      <c r="CC383" s="1343">
        <f t="shared" si="3668"/>
        <v>0</v>
      </c>
      <c r="CD383" s="1343">
        <f t="shared" si="3668"/>
        <v>825.06879513333331</v>
      </c>
      <c r="CE383" s="1343">
        <f t="shared" si="3668"/>
        <v>10469.492795133332</v>
      </c>
      <c r="CF383" s="1343">
        <f t="shared" si="3668"/>
        <v>0</v>
      </c>
      <c r="CG383" s="1343">
        <f t="shared" si="3668"/>
        <v>0</v>
      </c>
      <c r="CH383" s="1343">
        <f t="shared" si="3668"/>
        <v>0</v>
      </c>
      <c r="CI383" s="1343">
        <f t="shared" si="3668"/>
        <v>0</v>
      </c>
      <c r="CJ383" s="1343">
        <f t="shared" si="3668"/>
        <v>0</v>
      </c>
      <c r="CK383" s="1343">
        <f t="shared" si="3668"/>
        <v>0</v>
      </c>
      <c r="CL383" s="1343">
        <f t="shared" si="3668"/>
        <v>0</v>
      </c>
      <c r="CM383" s="1343">
        <f t="shared" si="3668"/>
        <v>0</v>
      </c>
      <c r="CN383" s="1343">
        <f t="shared" si="3668"/>
        <v>0</v>
      </c>
    </row>
    <row r="384" spans="1:141" ht="12.75">
      <c r="C384" s="1848" t="s">
        <v>73</v>
      </c>
      <c r="AV384" s="1343">
        <f t="shared" ref="AV384:CN384" si="3669">AV50</f>
        <v>27269.489999999998</v>
      </c>
      <c r="AW384" s="1343">
        <f t="shared" si="3669"/>
        <v>11289.8</v>
      </c>
      <c r="AX384" s="1343">
        <f t="shared" si="3669"/>
        <v>0</v>
      </c>
      <c r="AY384" s="1343">
        <f t="shared" si="3669"/>
        <v>0</v>
      </c>
      <c r="AZ384" s="1343">
        <f t="shared" si="3669"/>
        <v>0</v>
      </c>
      <c r="BA384" s="1343">
        <f t="shared" si="3669"/>
        <v>0</v>
      </c>
      <c r="BB384" s="1343">
        <f t="shared" si="3669"/>
        <v>0</v>
      </c>
      <c r="BC384" s="1343">
        <f t="shared" si="3669"/>
        <v>3455.0443830000004</v>
      </c>
      <c r="BD384" s="1343">
        <f t="shared" si="3669"/>
        <v>42014.334383000001</v>
      </c>
      <c r="BE384" s="1343">
        <f t="shared" si="3669"/>
        <v>0</v>
      </c>
      <c r="BF384" s="1343">
        <f t="shared" si="3669"/>
        <v>0</v>
      </c>
      <c r="BG384" s="1343">
        <f t="shared" si="3669"/>
        <v>0</v>
      </c>
      <c r="BH384" s="1343">
        <f t="shared" si="3669"/>
        <v>0</v>
      </c>
      <c r="BI384" s="1343">
        <f t="shared" si="3669"/>
        <v>0</v>
      </c>
      <c r="BJ384" s="1343">
        <f t="shared" si="3669"/>
        <v>0</v>
      </c>
      <c r="BK384" s="1343">
        <f t="shared" si="3669"/>
        <v>0</v>
      </c>
      <c r="BL384" s="1343">
        <f t="shared" si="3669"/>
        <v>0</v>
      </c>
      <c r="BM384" s="1343">
        <f t="shared" si="3669"/>
        <v>0</v>
      </c>
      <c r="BN384" s="1343">
        <f t="shared" si="3669"/>
        <v>0</v>
      </c>
      <c r="BO384" s="1343">
        <f t="shared" si="3669"/>
        <v>0</v>
      </c>
      <c r="BP384" s="1343">
        <f t="shared" si="3669"/>
        <v>0</v>
      </c>
      <c r="BQ384" s="1343">
        <f t="shared" si="3669"/>
        <v>0</v>
      </c>
      <c r="BR384" s="1343">
        <f t="shared" si="3669"/>
        <v>0</v>
      </c>
      <c r="BS384" s="1343">
        <f t="shared" si="3669"/>
        <v>0</v>
      </c>
      <c r="BT384" s="1343">
        <f t="shared" si="3669"/>
        <v>0</v>
      </c>
      <c r="BU384" s="1343">
        <f t="shared" si="3669"/>
        <v>0</v>
      </c>
      <c r="BV384" s="1343">
        <f t="shared" si="3669"/>
        <v>0</v>
      </c>
      <c r="BW384" s="1343">
        <f t="shared" si="3669"/>
        <v>0</v>
      </c>
      <c r="BX384" s="1343">
        <f t="shared" si="3669"/>
        <v>0</v>
      </c>
      <c r="BY384" s="1343">
        <f t="shared" si="3669"/>
        <v>0</v>
      </c>
      <c r="BZ384" s="1343">
        <f t="shared" si="3669"/>
        <v>0</v>
      </c>
      <c r="CA384" s="1343">
        <f t="shared" si="3669"/>
        <v>0</v>
      </c>
      <c r="CB384" s="1343">
        <f t="shared" si="3669"/>
        <v>0</v>
      </c>
      <c r="CC384" s="1343">
        <f t="shared" si="3669"/>
        <v>0</v>
      </c>
      <c r="CD384" s="1343">
        <f t="shared" si="3669"/>
        <v>0</v>
      </c>
      <c r="CE384" s="1343">
        <f t="shared" si="3669"/>
        <v>0</v>
      </c>
      <c r="CF384" s="1343">
        <f t="shared" si="3669"/>
        <v>0</v>
      </c>
      <c r="CG384" s="1343">
        <f t="shared" si="3669"/>
        <v>0</v>
      </c>
      <c r="CH384" s="1343">
        <f t="shared" si="3669"/>
        <v>0</v>
      </c>
      <c r="CI384" s="1343">
        <f t="shared" si="3669"/>
        <v>0</v>
      </c>
      <c r="CJ384" s="1343">
        <f t="shared" si="3669"/>
        <v>0</v>
      </c>
      <c r="CK384" s="1343">
        <f t="shared" si="3669"/>
        <v>0</v>
      </c>
      <c r="CL384" s="1343">
        <f t="shared" si="3669"/>
        <v>0</v>
      </c>
      <c r="CM384" s="1343">
        <f t="shared" si="3669"/>
        <v>0</v>
      </c>
      <c r="CN384" s="1343">
        <f t="shared" si="3669"/>
        <v>0</v>
      </c>
    </row>
    <row r="385" spans="3:92" ht="12.75">
      <c r="C385" s="1848" t="s">
        <v>76</v>
      </c>
      <c r="AV385" s="1343">
        <f t="shared" ref="AV385:CN385" si="3670">AV59</f>
        <v>9753.7939999999999</v>
      </c>
      <c r="AW385" s="1343">
        <f t="shared" si="3670"/>
        <v>2547.5</v>
      </c>
      <c r="AX385" s="1343">
        <f t="shared" si="3670"/>
        <v>13.5</v>
      </c>
      <c r="AY385" s="1343">
        <f t="shared" si="3670"/>
        <v>267.16331250000002</v>
      </c>
      <c r="AZ385" s="1343">
        <f t="shared" si="3670"/>
        <v>0</v>
      </c>
      <c r="BA385" s="1343">
        <f t="shared" si="3670"/>
        <v>0</v>
      </c>
      <c r="BB385" s="1343">
        <f t="shared" si="3670"/>
        <v>0</v>
      </c>
      <c r="BC385" s="1343">
        <f t="shared" si="3670"/>
        <v>1269.6552914937502</v>
      </c>
      <c r="BD385" s="1343">
        <f t="shared" si="3670"/>
        <v>13838.112603993752</v>
      </c>
      <c r="BE385" s="1343">
        <f t="shared" si="3670"/>
        <v>10557.846000000001</v>
      </c>
      <c r="BF385" s="1343">
        <f t="shared" si="3670"/>
        <v>3173.62</v>
      </c>
      <c r="BG385" s="1343">
        <f t="shared" si="3670"/>
        <v>20.5</v>
      </c>
      <c r="BH385" s="1343">
        <f t="shared" si="3670"/>
        <v>482.79368750000003</v>
      </c>
      <c r="BI385" s="1343">
        <f t="shared" si="3670"/>
        <v>0</v>
      </c>
      <c r="BJ385" s="1343">
        <f t="shared" si="3670"/>
        <v>0</v>
      </c>
      <c r="BK385" s="1343">
        <f t="shared" si="3670"/>
        <v>0</v>
      </c>
      <c r="BL385" s="1343">
        <f t="shared" si="3670"/>
        <v>1398.8490484062502</v>
      </c>
      <c r="BM385" s="1343">
        <f t="shared" si="3670"/>
        <v>15613.108735906248</v>
      </c>
      <c r="BN385" s="1343">
        <f t="shared" si="3670"/>
        <v>0</v>
      </c>
      <c r="BO385" s="1343">
        <f t="shared" si="3670"/>
        <v>0</v>
      </c>
      <c r="BP385" s="1343">
        <f t="shared" si="3670"/>
        <v>0</v>
      </c>
      <c r="BQ385" s="1343">
        <f t="shared" si="3670"/>
        <v>0</v>
      </c>
      <c r="BR385" s="1343">
        <f t="shared" si="3670"/>
        <v>0</v>
      </c>
      <c r="BS385" s="1343">
        <f t="shared" si="3670"/>
        <v>0</v>
      </c>
      <c r="BT385" s="1343">
        <f t="shared" si="3670"/>
        <v>0</v>
      </c>
      <c r="BU385" s="1343">
        <f t="shared" si="3670"/>
        <v>0</v>
      </c>
      <c r="BV385" s="1343">
        <f t="shared" si="3670"/>
        <v>0</v>
      </c>
      <c r="BW385" s="1343">
        <f t="shared" si="3670"/>
        <v>937.5</v>
      </c>
      <c r="BX385" s="1343">
        <f t="shared" si="3670"/>
        <v>212.5</v>
      </c>
      <c r="BY385" s="1343">
        <f t="shared" si="3670"/>
        <v>0</v>
      </c>
      <c r="BZ385" s="1343">
        <f t="shared" si="3670"/>
        <v>0</v>
      </c>
      <c r="CA385" s="1343">
        <f t="shared" si="3670"/>
        <v>0</v>
      </c>
      <c r="CB385" s="1343">
        <f t="shared" si="3670"/>
        <v>0</v>
      </c>
      <c r="CC385" s="1343">
        <f t="shared" si="3670"/>
        <v>0</v>
      </c>
      <c r="CD385" s="1343">
        <f t="shared" si="3670"/>
        <v>118.78125</v>
      </c>
      <c r="CE385" s="1343">
        <f t="shared" si="3670"/>
        <v>1268.78125</v>
      </c>
      <c r="CF385" s="1343">
        <f t="shared" si="3670"/>
        <v>0</v>
      </c>
      <c r="CG385" s="1343">
        <f t="shared" si="3670"/>
        <v>0</v>
      </c>
      <c r="CH385" s="1343">
        <f t="shared" si="3670"/>
        <v>0</v>
      </c>
      <c r="CI385" s="1343">
        <f t="shared" si="3670"/>
        <v>0</v>
      </c>
      <c r="CJ385" s="1343">
        <f t="shared" si="3670"/>
        <v>0</v>
      </c>
      <c r="CK385" s="1343">
        <f t="shared" si="3670"/>
        <v>0</v>
      </c>
      <c r="CL385" s="1343">
        <f t="shared" si="3670"/>
        <v>0</v>
      </c>
      <c r="CM385" s="1343">
        <f t="shared" si="3670"/>
        <v>0</v>
      </c>
      <c r="CN385" s="1343">
        <f t="shared" si="3670"/>
        <v>0</v>
      </c>
    </row>
    <row r="386" spans="3:92" ht="12.75">
      <c r="C386" s="1848" t="s">
        <v>79</v>
      </c>
      <c r="AV386" s="1343">
        <f t="shared" ref="AV386:CN386" si="3671">AV65</f>
        <v>6844.1579999999994</v>
      </c>
      <c r="AW386" s="1343">
        <f t="shared" si="3671"/>
        <v>3487.5</v>
      </c>
      <c r="AX386" s="1343">
        <f t="shared" si="3671"/>
        <v>0</v>
      </c>
      <c r="AY386" s="1343">
        <f t="shared" si="3671"/>
        <v>0</v>
      </c>
      <c r="AZ386" s="1343">
        <f t="shared" si="3671"/>
        <v>0</v>
      </c>
      <c r="BA386" s="1343">
        <f t="shared" si="3671"/>
        <v>0</v>
      </c>
      <c r="BB386" s="1343">
        <f t="shared" si="3671"/>
        <v>0</v>
      </c>
      <c r="BC386" s="1343">
        <f t="shared" si="3671"/>
        <v>867.1548186</v>
      </c>
      <c r="BD386" s="1343">
        <f t="shared" si="3671"/>
        <v>11198.812818599999</v>
      </c>
      <c r="BE386" s="1343">
        <f t="shared" si="3671"/>
        <v>6083.6959999999999</v>
      </c>
      <c r="BF386" s="1343">
        <f t="shared" si="3671"/>
        <v>3100</v>
      </c>
      <c r="BG386" s="1343">
        <f t="shared" si="3671"/>
        <v>0</v>
      </c>
      <c r="BH386" s="1343">
        <f t="shared" si="3671"/>
        <v>0</v>
      </c>
      <c r="BI386" s="1343">
        <f t="shared" si="3671"/>
        <v>0</v>
      </c>
      <c r="BJ386" s="1343">
        <f t="shared" si="3671"/>
        <v>0</v>
      </c>
      <c r="BK386" s="1343">
        <f t="shared" si="3671"/>
        <v>0</v>
      </c>
      <c r="BL386" s="1343">
        <f t="shared" si="3671"/>
        <v>770.8042832000001</v>
      </c>
      <c r="BM386" s="1343">
        <f t="shared" si="3671"/>
        <v>9954.5002831999991</v>
      </c>
      <c r="BN386" s="1343">
        <f t="shared" si="3671"/>
        <v>0</v>
      </c>
      <c r="BO386" s="1343">
        <f t="shared" si="3671"/>
        <v>0</v>
      </c>
      <c r="BP386" s="1343">
        <f t="shared" si="3671"/>
        <v>0</v>
      </c>
      <c r="BQ386" s="1343">
        <f t="shared" si="3671"/>
        <v>0</v>
      </c>
      <c r="BR386" s="1343">
        <f t="shared" si="3671"/>
        <v>0</v>
      </c>
      <c r="BS386" s="1343">
        <f t="shared" si="3671"/>
        <v>0</v>
      </c>
      <c r="BT386" s="1343">
        <f t="shared" si="3671"/>
        <v>0</v>
      </c>
      <c r="BU386" s="1343">
        <f t="shared" si="3671"/>
        <v>0</v>
      </c>
      <c r="BV386" s="1343">
        <f t="shared" si="3671"/>
        <v>0</v>
      </c>
      <c r="BW386" s="1343">
        <f t="shared" si="3671"/>
        <v>2281.386</v>
      </c>
      <c r="BX386" s="1343">
        <f t="shared" si="3671"/>
        <v>1162.5</v>
      </c>
      <c r="BY386" s="1343">
        <f t="shared" si="3671"/>
        <v>0</v>
      </c>
      <c r="BZ386" s="1343">
        <f t="shared" si="3671"/>
        <v>0</v>
      </c>
      <c r="CA386" s="1343">
        <f t="shared" si="3671"/>
        <v>0</v>
      </c>
      <c r="CB386" s="1343">
        <f t="shared" si="3671"/>
        <v>0</v>
      </c>
      <c r="CC386" s="1343">
        <f t="shared" si="3671"/>
        <v>0</v>
      </c>
      <c r="CD386" s="1343">
        <f t="shared" si="3671"/>
        <v>289.05160620000004</v>
      </c>
      <c r="CE386" s="1343">
        <f>CE65</f>
        <v>3732.9376062000001</v>
      </c>
      <c r="CF386" s="1343">
        <f t="shared" si="3671"/>
        <v>0</v>
      </c>
      <c r="CG386" s="1343">
        <f t="shared" si="3671"/>
        <v>0</v>
      </c>
      <c r="CH386" s="1343">
        <f t="shared" si="3671"/>
        <v>0</v>
      </c>
      <c r="CI386" s="1343">
        <f t="shared" si="3671"/>
        <v>0</v>
      </c>
      <c r="CJ386" s="1343">
        <f t="shared" si="3671"/>
        <v>0</v>
      </c>
      <c r="CK386" s="1343">
        <f t="shared" si="3671"/>
        <v>0</v>
      </c>
      <c r="CL386" s="1343">
        <f t="shared" si="3671"/>
        <v>0</v>
      </c>
      <c r="CM386" s="1343">
        <f t="shared" si="3671"/>
        <v>0</v>
      </c>
      <c r="CN386" s="1343">
        <f t="shared" si="3671"/>
        <v>0</v>
      </c>
    </row>
    <row r="387" spans="3:92" ht="12.75">
      <c r="C387" s="1848" t="s">
        <v>81</v>
      </c>
      <c r="AV387" s="1343">
        <f t="shared" ref="AV387:CN387" si="3672">AV71</f>
        <v>7015</v>
      </c>
      <c r="AW387" s="1343">
        <f t="shared" si="3672"/>
        <v>2334.5</v>
      </c>
      <c r="AX387" s="1343">
        <f t="shared" si="3672"/>
        <v>0</v>
      </c>
      <c r="AY387" s="1343">
        <f t="shared" si="3672"/>
        <v>0</v>
      </c>
      <c r="AZ387" s="1343">
        <f t="shared" si="3672"/>
        <v>0</v>
      </c>
      <c r="BA387" s="1343">
        <f t="shared" si="3672"/>
        <v>0</v>
      </c>
      <c r="BB387" s="1343">
        <f t="shared" si="3672"/>
        <v>0</v>
      </c>
      <c r="BC387" s="1343">
        <f t="shared" si="3672"/>
        <v>888.80050000000017</v>
      </c>
      <c r="BD387" s="1343">
        <f t="shared" si="3672"/>
        <v>10238.300500000001</v>
      </c>
      <c r="BE387" s="1343">
        <f t="shared" si="3672"/>
        <v>5642.5</v>
      </c>
      <c r="BF387" s="1343">
        <f t="shared" si="3672"/>
        <v>1877.7500000000002</v>
      </c>
      <c r="BG387" s="1343">
        <f t="shared" si="3672"/>
        <v>0</v>
      </c>
      <c r="BH387" s="1343">
        <f t="shared" si="3672"/>
        <v>0</v>
      </c>
      <c r="BI387" s="1343">
        <f t="shared" si="3672"/>
        <v>0</v>
      </c>
      <c r="BJ387" s="1343">
        <f t="shared" si="3672"/>
        <v>0</v>
      </c>
      <c r="BK387" s="1343">
        <f t="shared" si="3672"/>
        <v>0</v>
      </c>
      <c r="BL387" s="1343">
        <f t="shared" si="3672"/>
        <v>714.90475000000004</v>
      </c>
      <c r="BM387" s="1343">
        <f t="shared" si="3672"/>
        <v>8235.1547500000015</v>
      </c>
      <c r="BN387" s="1343">
        <f t="shared" si="3672"/>
        <v>0</v>
      </c>
      <c r="BO387" s="1343">
        <f t="shared" si="3672"/>
        <v>0</v>
      </c>
      <c r="BP387" s="1343">
        <f t="shared" si="3672"/>
        <v>0</v>
      </c>
      <c r="BQ387" s="1343">
        <f t="shared" si="3672"/>
        <v>0</v>
      </c>
      <c r="BR387" s="1343">
        <f t="shared" si="3672"/>
        <v>0</v>
      </c>
      <c r="BS387" s="1343">
        <f t="shared" si="3672"/>
        <v>0</v>
      </c>
      <c r="BT387" s="1343">
        <f t="shared" si="3672"/>
        <v>0</v>
      </c>
      <c r="BU387" s="1343">
        <f t="shared" si="3672"/>
        <v>0</v>
      </c>
      <c r="BV387" s="1343">
        <f t="shared" si="3672"/>
        <v>0</v>
      </c>
      <c r="BW387" s="1343">
        <f t="shared" si="3672"/>
        <v>2592.5</v>
      </c>
      <c r="BX387" s="1343">
        <f t="shared" si="3672"/>
        <v>862.75000000000011</v>
      </c>
      <c r="BY387" s="1343">
        <f t="shared" si="3672"/>
        <v>0</v>
      </c>
      <c r="BZ387" s="1343">
        <f t="shared" si="3672"/>
        <v>0</v>
      </c>
      <c r="CA387" s="1343">
        <f t="shared" si="3672"/>
        <v>0</v>
      </c>
      <c r="CB387" s="1343">
        <f t="shared" si="3672"/>
        <v>0</v>
      </c>
      <c r="CC387" s="1343">
        <f t="shared" si="3672"/>
        <v>0</v>
      </c>
      <c r="CD387" s="1343">
        <f t="shared" si="3672"/>
        <v>328.46975000000003</v>
      </c>
      <c r="CE387" s="1343">
        <f t="shared" si="3672"/>
        <v>3783.7197500000002</v>
      </c>
      <c r="CF387" s="1343">
        <f t="shared" si="3672"/>
        <v>0</v>
      </c>
      <c r="CG387" s="1343">
        <f t="shared" si="3672"/>
        <v>0</v>
      </c>
      <c r="CH387" s="1343">
        <f t="shared" si="3672"/>
        <v>0</v>
      </c>
      <c r="CI387" s="1343">
        <f t="shared" si="3672"/>
        <v>0</v>
      </c>
      <c r="CJ387" s="1343">
        <f t="shared" si="3672"/>
        <v>0</v>
      </c>
      <c r="CK387" s="1343">
        <f t="shared" si="3672"/>
        <v>0</v>
      </c>
      <c r="CL387" s="1343">
        <f t="shared" si="3672"/>
        <v>0</v>
      </c>
      <c r="CM387" s="1343">
        <f t="shared" si="3672"/>
        <v>0</v>
      </c>
      <c r="CN387" s="1343">
        <f t="shared" si="3672"/>
        <v>0</v>
      </c>
    </row>
    <row r="388" spans="3:92" ht="12.75">
      <c r="C388" s="1848" t="s">
        <v>85</v>
      </c>
    </row>
    <row r="389" spans="3:92" ht="12.75">
      <c r="C389" s="1848" t="s">
        <v>86</v>
      </c>
      <c r="AV389" s="1343">
        <f t="shared" ref="AV389:CN389" si="3673">AV79</f>
        <v>12698.333333333332</v>
      </c>
      <c r="AW389" s="1849">
        <f t="shared" si="3673"/>
        <v>3351.6666666666665</v>
      </c>
      <c r="AX389" s="1343">
        <f t="shared" si="3673"/>
        <v>0</v>
      </c>
      <c r="AY389" s="1343">
        <f t="shared" si="3673"/>
        <v>0</v>
      </c>
      <c r="AZ389" s="1343">
        <f t="shared" si="3673"/>
        <v>0</v>
      </c>
      <c r="BA389" s="1343">
        <f t="shared" si="3673"/>
        <v>0</v>
      </c>
      <c r="BB389" s="1343">
        <f t="shared" si="3673"/>
        <v>0</v>
      </c>
      <c r="BC389" s="1343">
        <f t="shared" si="3673"/>
        <v>1608.8788333333334</v>
      </c>
      <c r="BD389" s="1343">
        <f t="shared" si="3673"/>
        <v>17658.878833333332</v>
      </c>
      <c r="BE389" s="1343">
        <f t="shared" si="3673"/>
        <v>8686.5</v>
      </c>
      <c r="BF389" s="1343">
        <f t="shared" si="3673"/>
        <v>2078.5</v>
      </c>
      <c r="BG389" s="1343">
        <f t="shared" si="3673"/>
        <v>0</v>
      </c>
      <c r="BH389" s="1343">
        <f t="shared" si="3673"/>
        <v>0</v>
      </c>
      <c r="BI389" s="1343">
        <f t="shared" si="3673"/>
        <v>0</v>
      </c>
      <c r="BJ389" s="1343">
        <f t="shared" si="3673"/>
        <v>0</v>
      </c>
      <c r="BK389" s="1343">
        <f t="shared" si="3673"/>
        <v>0</v>
      </c>
      <c r="BL389" s="1343">
        <f t="shared" si="3673"/>
        <v>1100.5795499999999</v>
      </c>
      <c r="BM389" s="1343">
        <f t="shared" si="3673"/>
        <v>11865.579549999999</v>
      </c>
      <c r="BN389" s="1343">
        <f t="shared" si="3673"/>
        <v>0</v>
      </c>
      <c r="BO389" s="1343">
        <f t="shared" si="3673"/>
        <v>0</v>
      </c>
      <c r="BP389" s="1343">
        <f t="shared" si="3673"/>
        <v>0</v>
      </c>
      <c r="BQ389" s="1343">
        <f t="shared" si="3673"/>
        <v>0</v>
      </c>
      <c r="BR389" s="1343">
        <f t="shared" si="3673"/>
        <v>0</v>
      </c>
      <c r="BS389" s="1343">
        <f t="shared" si="3673"/>
        <v>0</v>
      </c>
      <c r="BT389" s="1343">
        <f t="shared" si="3673"/>
        <v>0</v>
      </c>
      <c r="BU389" s="1343">
        <f t="shared" si="3673"/>
        <v>0</v>
      </c>
      <c r="BV389" s="1343">
        <f t="shared" si="3673"/>
        <v>0</v>
      </c>
      <c r="BW389" s="1343">
        <f t="shared" si="3673"/>
        <v>2301.8333333333335</v>
      </c>
      <c r="BX389" s="1343">
        <f t="shared" si="3673"/>
        <v>883.16666666666674</v>
      </c>
      <c r="BY389" s="1343">
        <f t="shared" si="3673"/>
        <v>0</v>
      </c>
      <c r="BZ389" s="1343">
        <f t="shared" si="3673"/>
        <v>0</v>
      </c>
      <c r="CA389" s="1343">
        <f t="shared" si="3673"/>
        <v>0</v>
      </c>
      <c r="CB389" s="1343">
        <f t="shared" si="3673"/>
        <v>0</v>
      </c>
      <c r="CC389" s="1343">
        <f t="shared" si="3673"/>
        <v>0</v>
      </c>
      <c r="CD389" s="1343">
        <f t="shared" si="3673"/>
        <v>291.64228333333335</v>
      </c>
      <c r="CE389" s="1343">
        <f t="shared" si="3673"/>
        <v>3476.6422833333331</v>
      </c>
      <c r="CF389" s="1343">
        <f t="shared" si="3673"/>
        <v>0</v>
      </c>
      <c r="CG389" s="1343">
        <f t="shared" si="3673"/>
        <v>0</v>
      </c>
      <c r="CH389" s="1343">
        <f t="shared" si="3673"/>
        <v>0</v>
      </c>
      <c r="CI389" s="1343">
        <f t="shared" si="3673"/>
        <v>0</v>
      </c>
      <c r="CJ389" s="1343">
        <f t="shared" si="3673"/>
        <v>0</v>
      </c>
      <c r="CK389" s="1343">
        <f t="shared" si="3673"/>
        <v>0</v>
      </c>
      <c r="CL389" s="1343">
        <f t="shared" si="3673"/>
        <v>0</v>
      </c>
      <c r="CM389" s="1343">
        <f t="shared" si="3673"/>
        <v>0</v>
      </c>
      <c r="CN389" s="1343">
        <f t="shared" si="3673"/>
        <v>0</v>
      </c>
    </row>
    <row r="390" spans="3:92" ht="12.75">
      <c r="C390" s="1848" t="s">
        <v>89</v>
      </c>
      <c r="AW390" s="1849"/>
    </row>
    <row r="391" spans="3:92" ht="12.75">
      <c r="C391" s="1848" t="s">
        <v>90</v>
      </c>
      <c r="AV391" s="1343">
        <f t="shared" ref="AV391:CN391" si="3674">AV91</f>
        <v>15630</v>
      </c>
      <c r="AW391" s="1849">
        <f t="shared" si="3674"/>
        <v>18940.919999999998</v>
      </c>
      <c r="AX391" s="1343">
        <f t="shared" si="3674"/>
        <v>0</v>
      </c>
      <c r="AY391" s="1343">
        <f t="shared" si="3674"/>
        <v>0</v>
      </c>
      <c r="AZ391" s="1343">
        <f t="shared" si="3674"/>
        <v>0</v>
      </c>
      <c r="BA391" s="1343">
        <f t="shared" si="3674"/>
        <v>0</v>
      </c>
      <c r="BB391" s="1343">
        <f t="shared" si="3674"/>
        <v>0</v>
      </c>
      <c r="BC391" s="1343">
        <f t="shared" si="3674"/>
        <v>1980.3210000000004</v>
      </c>
      <c r="BD391" s="1343">
        <f t="shared" si="3674"/>
        <v>36551.241000000002</v>
      </c>
      <c r="BE391" s="1343">
        <f t="shared" si="3674"/>
        <v>26236.38</v>
      </c>
      <c r="BF391" s="1343">
        <f t="shared" si="3674"/>
        <v>26243.75</v>
      </c>
      <c r="BG391" s="1343">
        <f t="shared" si="3674"/>
        <v>48.5</v>
      </c>
      <c r="BH391" s="1343">
        <f t="shared" si="3674"/>
        <v>1020.9645</v>
      </c>
      <c r="BI391" s="1343">
        <f t="shared" si="3674"/>
        <v>0</v>
      </c>
      <c r="BJ391" s="1343">
        <f t="shared" si="3674"/>
        <v>0</v>
      </c>
      <c r="BK391" s="1343">
        <f t="shared" si="3674"/>
        <v>0</v>
      </c>
      <c r="BL391" s="1343">
        <f t="shared" si="3674"/>
        <v>3453.5055481500003</v>
      </c>
      <c r="BM391" s="1343">
        <f t="shared" si="3674"/>
        <v>56954.600048150001</v>
      </c>
      <c r="BN391" s="1343">
        <f t="shared" si="3674"/>
        <v>0</v>
      </c>
      <c r="BO391" s="1343">
        <f t="shared" si="3674"/>
        <v>1350</v>
      </c>
      <c r="BP391" s="1343">
        <f t="shared" si="3674"/>
        <v>0</v>
      </c>
      <c r="BQ391" s="1343">
        <f t="shared" si="3674"/>
        <v>0</v>
      </c>
      <c r="BR391" s="1343">
        <f t="shared" si="3674"/>
        <v>0</v>
      </c>
      <c r="BS391" s="1343">
        <f t="shared" si="3674"/>
        <v>0</v>
      </c>
      <c r="BT391" s="1343">
        <f t="shared" si="3674"/>
        <v>0</v>
      </c>
      <c r="BU391" s="1343">
        <f t="shared" si="3674"/>
        <v>0</v>
      </c>
      <c r="BV391" s="1343">
        <f t="shared" si="3674"/>
        <v>1350</v>
      </c>
      <c r="BW391" s="1343">
        <f t="shared" si="3674"/>
        <v>650</v>
      </c>
      <c r="BX391" s="1343">
        <f t="shared" si="3674"/>
        <v>635.89</v>
      </c>
      <c r="BY391" s="1343">
        <f t="shared" si="3674"/>
        <v>0</v>
      </c>
      <c r="BZ391" s="1343">
        <f t="shared" si="3674"/>
        <v>0</v>
      </c>
      <c r="CA391" s="1343">
        <f t="shared" si="3674"/>
        <v>0</v>
      </c>
      <c r="CB391" s="1343">
        <f t="shared" si="3674"/>
        <v>0</v>
      </c>
      <c r="CC391" s="1343">
        <f t="shared" si="3674"/>
        <v>0</v>
      </c>
      <c r="CD391" s="1343">
        <f t="shared" si="3674"/>
        <v>82.355000000000004</v>
      </c>
      <c r="CE391" s="1343">
        <f t="shared" si="3674"/>
        <v>1368.2449999999999</v>
      </c>
      <c r="CF391" s="1343">
        <f t="shared" si="3674"/>
        <v>0</v>
      </c>
      <c r="CG391" s="1343">
        <f t="shared" si="3674"/>
        <v>0</v>
      </c>
      <c r="CH391" s="1343">
        <f t="shared" si="3674"/>
        <v>0</v>
      </c>
      <c r="CI391" s="1343">
        <f t="shared" si="3674"/>
        <v>0</v>
      </c>
      <c r="CJ391" s="1343">
        <f t="shared" si="3674"/>
        <v>0</v>
      </c>
      <c r="CK391" s="1343">
        <f t="shared" si="3674"/>
        <v>0</v>
      </c>
      <c r="CL391" s="1343">
        <f t="shared" si="3674"/>
        <v>0</v>
      </c>
      <c r="CM391" s="1343">
        <f t="shared" si="3674"/>
        <v>0</v>
      </c>
      <c r="CN391" s="1343">
        <f t="shared" si="3674"/>
        <v>0</v>
      </c>
    </row>
    <row r="392" spans="3:92" ht="12.75">
      <c r="C392" s="1848" t="s">
        <v>11</v>
      </c>
      <c r="AV392" s="1343">
        <f t="shared" ref="AV392:CN392" si="3675">AV99</f>
        <v>0</v>
      </c>
      <c r="AW392" s="1849">
        <f t="shared" si="3675"/>
        <v>675</v>
      </c>
      <c r="AX392" s="1343">
        <f t="shared" si="3675"/>
        <v>3</v>
      </c>
      <c r="AY392" s="1343">
        <f t="shared" si="3675"/>
        <v>59.369625000000006</v>
      </c>
      <c r="AZ392" s="1343">
        <f t="shared" si="3675"/>
        <v>0</v>
      </c>
      <c r="BA392" s="1343">
        <f t="shared" si="3675"/>
        <v>0</v>
      </c>
      <c r="BB392" s="1343">
        <f t="shared" si="3675"/>
        <v>0</v>
      </c>
      <c r="BC392" s="1343">
        <f t="shared" si="3675"/>
        <v>7.5221314875000012</v>
      </c>
      <c r="BD392" s="1343">
        <f t="shared" si="3675"/>
        <v>741.89175648750006</v>
      </c>
      <c r="BE392" s="1343">
        <f t="shared" si="3675"/>
        <v>16148.538</v>
      </c>
      <c r="BF392" s="1343">
        <f t="shared" si="3675"/>
        <v>3300</v>
      </c>
      <c r="BG392" s="1343">
        <f t="shared" si="3675"/>
        <v>55</v>
      </c>
      <c r="BH392" s="1343">
        <f t="shared" si="3675"/>
        <v>1088.443125</v>
      </c>
      <c r="BI392" s="1343">
        <f t="shared" si="3675"/>
        <v>0</v>
      </c>
      <c r="BJ392" s="1343">
        <f t="shared" si="3675"/>
        <v>0</v>
      </c>
      <c r="BK392" s="1343">
        <f t="shared" si="3675"/>
        <v>0</v>
      </c>
      <c r="BL392" s="1343">
        <f t="shared" si="3675"/>
        <v>2183.9255085375003</v>
      </c>
      <c r="BM392" s="1343">
        <f t="shared" si="3675"/>
        <v>22720.906633537503</v>
      </c>
      <c r="BN392" s="1343">
        <f t="shared" si="3675"/>
        <v>0</v>
      </c>
      <c r="BO392" s="1343">
        <f t="shared" si="3675"/>
        <v>0</v>
      </c>
      <c r="BP392" s="1343">
        <f t="shared" si="3675"/>
        <v>0</v>
      </c>
      <c r="BQ392" s="1343">
        <f t="shared" si="3675"/>
        <v>0</v>
      </c>
      <c r="BR392" s="1343">
        <f t="shared" si="3675"/>
        <v>0</v>
      </c>
      <c r="BS392" s="1343">
        <f t="shared" si="3675"/>
        <v>0</v>
      </c>
      <c r="BT392" s="1343">
        <f t="shared" si="3675"/>
        <v>0</v>
      </c>
      <c r="BU392" s="1343">
        <f t="shared" si="3675"/>
        <v>0</v>
      </c>
      <c r="BV392" s="1343">
        <f t="shared" si="3675"/>
        <v>0</v>
      </c>
      <c r="BW392" s="1343">
        <f t="shared" si="3675"/>
        <v>0</v>
      </c>
      <c r="BX392" s="1343">
        <f t="shared" si="3675"/>
        <v>0</v>
      </c>
      <c r="BY392" s="1343">
        <f t="shared" si="3675"/>
        <v>0</v>
      </c>
      <c r="BZ392" s="1343">
        <f t="shared" si="3675"/>
        <v>0</v>
      </c>
      <c r="CA392" s="1343">
        <f t="shared" si="3675"/>
        <v>0</v>
      </c>
      <c r="CB392" s="1343">
        <f t="shared" si="3675"/>
        <v>0</v>
      </c>
      <c r="CC392" s="1343">
        <f t="shared" si="3675"/>
        <v>0</v>
      </c>
      <c r="CD392" s="1343">
        <f t="shared" si="3675"/>
        <v>0</v>
      </c>
      <c r="CE392" s="1343">
        <f t="shared" si="3675"/>
        <v>0</v>
      </c>
      <c r="CF392" s="1343">
        <f t="shared" si="3675"/>
        <v>0</v>
      </c>
      <c r="CG392" s="1343">
        <f t="shared" si="3675"/>
        <v>0</v>
      </c>
      <c r="CH392" s="1343">
        <f t="shared" si="3675"/>
        <v>0</v>
      </c>
      <c r="CI392" s="1343">
        <f t="shared" si="3675"/>
        <v>0</v>
      </c>
      <c r="CJ392" s="1343">
        <f t="shared" si="3675"/>
        <v>0</v>
      </c>
      <c r="CK392" s="1343">
        <f t="shared" si="3675"/>
        <v>0</v>
      </c>
      <c r="CL392" s="1343">
        <f t="shared" si="3675"/>
        <v>0</v>
      </c>
      <c r="CM392" s="1343">
        <f t="shared" si="3675"/>
        <v>0</v>
      </c>
      <c r="CN392" s="1343">
        <f t="shared" si="3675"/>
        <v>0</v>
      </c>
    </row>
    <row r="393" spans="3:92" ht="12.75">
      <c r="C393" s="1848" t="s">
        <v>12</v>
      </c>
      <c r="AV393" s="1343">
        <f t="shared" ref="AV393:CN393" si="3676">AV216</f>
        <v>0</v>
      </c>
      <c r="AW393" s="1849">
        <f t="shared" si="3676"/>
        <v>1575</v>
      </c>
      <c r="AX393" s="1343">
        <f t="shared" si="3676"/>
        <v>4</v>
      </c>
      <c r="AY393" s="1343">
        <f t="shared" si="3676"/>
        <v>79.159500000000008</v>
      </c>
      <c r="AZ393" s="1343">
        <f t="shared" si="3676"/>
        <v>12</v>
      </c>
      <c r="BA393" s="1343">
        <f t="shared" si="3676"/>
        <v>316.63800000000003</v>
      </c>
      <c r="BB393" s="1343">
        <f t="shared" si="3676"/>
        <v>0</v>
      </c>
      <c r="BC393" s="1343">
        <f t="shared" si="3676"/>
        <v>50.147543250000005</v>
      </c>
      <c r="BD393" s="1343">
        <f t="shared" si="3676"/>
        <v>2020.9450432499998</v>
      </c>
      <c r="BE393" s="1343">
        <f t="shared" si="3676"/>
        <v>0</v>
      </c>
      <c r="BF393" s="1343">
        <f t="shared" si="3676"/>
        <v>0</v>
      </c>
      <c r="BG393" s="1343">
        <f t="shared" si="3676"/>
        <v>0</v>
      </c>
      <c r="BH393" s="1343">
        <f t="shared" si="3676"/>
        <v>0</v>
      </c>
      <c r="BI393" s="1343">
        <f t="shared" si="3676"/>
        <v>0</v>
      </c>
      <c r="BJ393" s="1343">
        <f t="shared" si="3676"/>
        <v>0</v>
      </c>
      <c r="BK393" s="1343">
        <f t="shared" si="3676"/>
        <v>0</v>
      </c>
      <c r="BL393" s="1343">
        <f t="shared" si="3676"/>
        <v>0</v>
      </c>
      <c r="BM393" s="1343">
        <f t="shared" si="3676"/>
        <v>0</v>
      </c>
      <c r="BN393" s="1343">
        <f t="shared" si="3676"/>
        <v>30397.248000000007</v>
      </c>
      <c r="BO393" s="1343">
        <f t="shared" si="3676"/>
        <v>8000</v>
      </c>
      <c r="BP393" s="1343">
        <f t="shared" si="3676"/>
        <v>124</v>
      </c>
      <c r="BQ393" s="1343">
        <f t="shared" si="3676"/>
        <v>2453.9445000000005</v>
      </c>
      <c r="BR393" s="1343">
        <f t="shared" si="3676"/>
        <v>0</v>
      </c>
      <c r="BS393" s="1343">
        <f t="shared" si="3676"/>
        <v>0</v>
      </c>
      <c r="BT393" s="1343">
        <f t="shared" si="3676"/>
        <v>0</v>
      </c>
      <c r="BU393" s="1343">
        <f t="shared" si="3676"/>
        <v>4162.2460897500005</v>
      </c>
      <c r="BV393" s="1343">
        <f t="shared" si="3676"/>
        <v>45013.438589750003</v>
      </c>
      <c r="BW393" s="1343">
        <f t="shared" si="3676"/>
        <v>0</v>
      </c>
      <c r="BX393" s="1343">
        <f t="shared" si="3676"/>
        <v>0</v>
      </c>
      <c r="BY393" s="1343">
        <f t="shared" si="3676"/>
        <v>0</v>
      </c>
      <c r="BZ393" s="1343">
        <f t="shared" si="3676"/>
        <v>0</v>
      </c>
      <c r="CA393" s="1343">
        <f t="shared" si="3676"/>
        <v>0</v>
      </c>
      <c r="CB393" s="1343">
        <f t="shared" si="3676"/>
        <v>0</v>
      </c>
      <c r="CC393" s="1343">
        <f t="shared" si="3676"/>
        <v>0</v>
      </c>
      <c r="CD393" s="1343">
        <f t="shared" si="3676"/>
        <v>0</v>
      </c>
      <c r="CE393" s="1343">
        <f t="shared" si="3676"/>
        <v>0</v>
      </c>
      <c r="CF393" s="1343">
        <f t="shared" si="3676"/>
        <v>0</v>
      </c>
      <c r="CG393" s="1343">
        <f t="shared" si="3676"/>
        <v>0</v>
      </c>
      <c r="CH393" s="1343">
        <f t="shared" si="3676"/>
        <v>0</v>
      </c>
      <c r="CI393" s="1343">
        <f t="shared" si="3676"/>
        <v>0</v>
      </c>
      <c r="CJ393" s="1343">
        <f t="shared" si="3676"/>
        <v>0</v>
      </c>
      <c r="CK393" s="1343">
        <f t="shared" si="3676"/>
        <v>0</v>
      </c>
      <c r="CL393" s="1343">
        <f t="shared" si="3676"/>
        <v>0</v>
      </c>
      <c r="CM393" s="1343">
        <f t="shared" si="3676"/>
        <v>0</v>
      </c>
      <c r="CN393" s="1343">
        <f t="shared" si="3676"/>
        <v>0</v>
      </c>
    </row>
    <row r="394" spans="3:92" ht="12.75">
      <c r="C394" s="1848" t="s">
        <v>10</v>
      </c>
      <c r="AW394" s="1849"/>
    </row>
    <row r="395" spans="3:92" ht="12.75">
      <c r="C395" s="1848" t="s">
        <v>10</v>
      </c>
      <c r="AV395" s="1343">
        <f t="shared" ref="AV395:CN395" si="3677">AV116</f>
        <v>39263.112000000001</v>
      </c>
      <c r="AW395" s="1849">
        <f t="shared" si="3677"/>
        <v>17725</v>
      </c>
      <c r="AX395" s="1343">
        <f t="shared" si="3677"/>
        <v>4</v>
      </c>
      <c r="AY395" s="1343">
        <f t="shared" si="3677"/>
        <v>79.159500000000008</v>
      </c>
      <c r="AZ395" s="1343">
        <f t="shared" si="3677"/>
        <v>0</v>
      </c>
      <c r="BA395" s="1343">
        <f t="shared" si="3677"/>
        <v>0</v>
      </c>
      <c r="BB395" s="1343">
        <f t="shared" si="3677"/>
        <v>0</v>
      </c>
      <c r="BC395" s="1343">
        <f t="shared" si="3677"/>
        <v>4984.6657990500007</v>
      </c>
      <c r="BD395" s="1343">
        <f t="shared" si="3677"/>
        <v>62051.937299049998</v>
      </c>
      <c r="BE395" s="1343">
        <f t="shared" si="3677"/>
        <v>0</v>
      </c>
      <c r="BF395" s="1343">
        <f t="shared" si="3677"/>
        <v>675</v>
      </c>
      <c r="BG395" s="1343">
        <f t="shared" si="3677"/>
        <v>0</v>
      </c>
      <c r="BH395" s="1343">
        <f t="shared" si="3677"/>
        <v>0</v>
      </c>
      <c r="BI395" s="1343">
        <f t="shared" si="3677"/>
        <v>0</v>
      </c>
      <c r="BJ395" s="1343">
        <f t="shared" si="3677"/>
        <v>0</v>
      </c>
      <c r="BK395" s="1343">
        <f t="shared" si="3677"/>
        <v>0</v>
      </c>
      <c r="BL395" s="1343">
        <f t="shared" si="3677"/>
        <v>0</v>
      </c>
      <c r="BM395" s="1343">
        <f t="shared" si="3677"/>
        <v>675</v>
      </c>
      <c r="BN395" s="1343">
        <f t="shared" si="3677"/>
        <v>0</v>
      </c>
      <c r="BO395" s="1343">
        <f t="shared" si="3677"/>
        <v>0</v>
      </c>
      <c r="BP395" s="1343">
        <f t="shared" si="3677"/>
        <v>0</v>
      </c>
      <c r="BQ395" s="1343">
        <f t="shared" si="3677"/>
        <v>0</v>
      </c>
      <c r="BR395" s="1343">
        <f t="shared" si="3677"/>
        <v>0</v>
      </c>
      <c r="BS395" s="1343">
        <f t="shared" si="3677"/>
        <v>0</v>
      </c>
      <c r="BT395" s="1343">
        <f t="shared" si="3677"/>
        <v>0</v>
      </c>
      <c r="BU395" s="1343">
        <f t="shared" si="3677"/>
        <v>0</v>
      </c>
      <c r="BV395" s="1343">
        <f t="shared" si="3677"/>
        <v>0</v>
      </c>
      <c r="BW395" s="1343">
        <f t="shared" si="3677"/>
        <v>0</v>
      </c>
      <c r="BX395" s="1343">
        <f t="shared" si="3677"/>
        <v>0</v>
      </c>
      <c r="BY395" s="1343">
        <f t="shared" si="3677"/>
        <v>0</v>
      </c>
      <c r="BZ395" s="1343">
        <f t="shared" si="3677"/>
        <v>0</v>
      </c>
      <c r="CA395" s="1343">
        <f t="shared" si="3677"/>
        <v>0</v>
      </c>
      <c r="CB395" s="1343">
        <f t="shared" si="3677"/>
        <v>0</v>
      </c>
      <c r="CC395" s="1343">
        <f t="shared" si="3677"/>
        <v>0</v>
      </c>
      <c r="CD395" s="1343">
        <f t="shared" si="3677"/>
        <v>0</v>
      </c>
      <c r="CE395" s="1343">
        <f t="shared" si="3677"/>
        <v>0</v>
      </c>
      <c r="CF395" s="1343">
        <f t="shared" si="3677"/>
        <v>0</v>
      </c>
      <c r="CG395" s="1343">
        <f t="shared" si="3677"/>
        <v>0</v>
      </c>
      <c r="CH395" s="1343">
        <f t="shared" si="3677"/>
        <v>0</v>
      </c>
      <c r="CI395" s="1343">
        <f t="shared" si="3677"/>
        <v>0</v>
      </c>
      <c r="CJ395" s="1343">
        <f t="shared" si="3677"/>
        <v>0</v>
      </c>
      <c r="CK395" s="1343">
        <f t="shared" si="3677"/>
        <v>0</v>
      </c>
      <c r="CL395" s="1343">
        <f t="shared" si="3677"/>
        <v>0</v>
      </c>
      <c r="CM395" s="1343">
        <f t="shared" si="3677"/>
        <v>0</v>
      </c>
      <c r="CN395" s="1343">
        <f t="shared" si="3677"/>
        <v>0</v>
      </c>
    </row>
    <row r="396" spans="3:92" ht="12.75">
      <c r="C396" s="1848" t="s">
        <v>422</v>
      </c>
      <c r="AV396" s="1343">
        <f t="shared" ref="AV396:CN396" si="3678">+AV121</f>
        <v>3166.38</v>
      </c>
      <c r="AW396" s="1849">
        <f t="shared" si="3678"/>
        <v>475</v>
      </c>
      <c r="AX396" s="1343">
        <f t="shared" si="3678"/>
        <v>0</v>
      </c>
      <c r="AY396" s="1343">
        <f t="shared" si="3678"/>
        <v>0</v>
      </c>
      <c r="AZ396" s="1343">
        <f t="shared" si="3678"/>
        <v>0</v>
      </c>
      <c r="BA396" s="1343">
        <f t="shared" si="3678"/>
        <v>0</v>
      </c>
      <c r="BB396" s="1343">
        <f t="shared" si="3678"/>
        <v>0</v>
      </c>
      <c r="BC396" s="1343">
        <f t="shared" si="3678"/>
        <v>401.18034600000004</v>
      </c>
      <c r="BD396" s="1343">
        <f t="shared" si="3678"/>
        <v>4042.5603460000002</v>
      </c>
      <c r="BE396" s="1343">
        <f t="shared" si="3678"/>
        <v>3166.38</v>
      </c>
      <c r="BF396" s="1343">
        <f t="shared" si="3678"/>
        <v>250.00000000000003</v>
      </c>
      <c r="BG396" s="1343">
        <f t="shared" si="3678"/>
        <v>0</v>
      </c>
      <c r="BH396" s="1343">
        <f t="shared" si="3678"/>
        <v>0</v>
      </c>
      <c r="BI396" s="1343">
        <f t="shared" si="3678"/>
        <v>0</v>
      </c>
      <c r="BJ396" s="1343">
        <f t="shared" si="3678"/>
        <v>0</v>
      </c>
      <c r="BK396" s="1343">
        <f t="shared" si="3678"/>
        <v>0</v>
      </c>
      <c r="BL396" s="1343">
        <f t="shared" si="3678"/>
        <v>401.18034600000004</v>
      </c>
      <c r="BM396" s="1343">
        <f t="shared" si="3678"/>
        <v>3817.5603460000002</v>
      </c>
      <c r="BN396" s="1343">
        <f t="shared" si="3678"/>
        <v>0</v>
      </c>
      <c r="BO396" s="1343">
        <f t="shared" si="3678"/>
        <v>0</v>
      </c>
      <c r="BP396" s="1343">
        <f t="shared" si="3678"/>
        <v>0</v>
      </c>
      <c r="BQ396" s="1343">
        <f t="shared" si="3678"/>
        <v>0</v>
      </c>
      <c r="BR396" s="1343">
        <f t="shared" si="3678"/>
        <v>0</v>
      </c>
      <c r="BS396" s="1343">
        <f t="shared" si="3678"/>
        <v>0</v>
      </c>
      <c r="BT396" s="1343">
        <f t="shared" si="3678"/>
        <v>0</v>
      </c>
      <c r="BU396" s="1343">
        <f t="shared" si="3678"/>
        <v>0</v>
      </c>
      <c r="BV396" s="1343">
        <f t="shared" si="3678"/>
        <v>0</v>
      </c>
      <c r="BW396" s="1343">
        <f t="shared" si="3678"/>
        <v>0</v>
      </c>
      <c r="BX396" s="1343">
        <f t="shared" si="3678"/>
        <v>0</v>
      </c>
      <c r="BY396" s="1343">
        <f t="shared" si="3678"/>
        <v>0</v>
      </c>
      <c r="BZ396" s="1343">
        <f t="shared" si="3678"/>
        <v>0</v>
      </c>
      <c r="CA396" s="1343">
        <f t="shared" si="3678"/>
        <v>0</v>
      </c>
      <c r="CB396" s="1343">
        <f t="shared" si="3678"/>
        <v>0</v>
      </c>
      <c r="CC396" s="1343">
        <f t="shared" si="3678"/>
        <v>0</v>
      </c>
      <c r="CD396" s="1343">
        <f t="shared" si="3678"/>
        <v>0</v>
      </c>
      <c r="CE396" s="1343">
        <f t="shared" si="3678"/>
        <v>0</v>
      </c>
      <c r="CF396" s="1343">
        <f t="shared" si="3678"/>
        <v>0</v>
      </c>
      <c r="CG396" s="1343">
        <f t="shared" si="3678"/>
        <v>0</v>
      </c>
      <c r="CH396" s="1343">
        <f t="shared" si="3678"/>
        <v>0</v>
      </c>
      <c r="CI396" s="1343">
        <f t="shared" si="3678"/>
        <v>0</v>
      </c>
      <c r="CJ396" s="1343">
        <f t="shared" si="3678"/>
        <v>0</v>
      </c>
      <c r="CK396" s="1343">
        <f t="shared" si="3678"/>
        <v>0</v>
      </c>
      <c r="CL396" s="1343">
        <f t="shared" si="3678"/>
        <v>0</v>
      </c>
      <c r="CM396" s="1343">
        <f t="shared" si="3678"/>
        <v>0</v>
      </c>
      <c r="CN396" s="1343">
        <f t="shared" si="3678"/>
        <v>0</v>
      </c>
    </row>
    <row r="397" spans="3:92" ht="12.75">
      <c r="C397" s="1848" t="s">
        <v>104</v>
      </c>
      <c r="AW397" s="1849"/>
    </row>
    <row r="398" spans="3:92" ht="12.75">
      <c r="C398" s="1850" t="s">
        <v>105</v>
      </c>
      <c r="AV398" s="1343">
        <f t="shared" ref="AV398:CN398" si="3679">AV134</f>
        <v>18365.004000000001</v>
      </c>
      <c r="AW398" s="1849">
        <f t="shared" si="3679"/>
        <v>4608.62</v>
      </c>
      <c r="AX398" s="1343">
        <f t="shared" si="3679"/>
        <v>11</v>
      </c>
      <c r="AY398" s="1343">
        <f t="shared" si="3679"/>
        <v>217.68862500000003</v>
      </c>
      <c r="AZ398" s="1343">
        <f t="shared" si="3679"/>
        <v>0</v>
      </c>
      <c r="BA398" s="1343">
        <f t="shared" si="3679"/>
        <v>0</v>
      </c>
      <c r="BB398" s="1343">
        <f t="shared" si="3679"/>
        <v>0</v>
      </c>
      <c r="BC398" s="1343">
        <f t="shared" si="3679"/>
        <v>2354.4271555875002</v>
      </c>
      <c r="BD398" s="1343">
        <f t="shared" si="3679"/>
        <v>25545.739780587501</v>
      </c>
      <c r="BE398" s="1343">
        <f t="shared" si="3679"/>
        <v>10132.415999999999</v>
      </c>
      <c r="BF398" s="1343">
        <f t="shared" si="3679"/>
        <v>1115</v>
      </c>
      <c r="BG398" s="1343">
        <f t="shared" si="3679"/>
        <v>101</v>
      </c>
      <c r="BH398" s="1343">
        <f t="shared" si="3679"/>
        <v>1998.7773750000001</v>
      </c>
      <c r="BI398" s="1343">
        <f t="shared" si="3679"/>
        <v>0</v>
      </c>
      <c r="BJ398" s="1343">
        <f t="shared" si="3679"/>
        <v>0</v>
      </c>
      <c r="BK398" s="1343">
        <f t="shared" si="3679"/>
        <v>0</v>
      </c>
      <c r="BL398" s="1343">
        <f t="shared" si="3679"/>
        <v>1537.0222006125002</v>
      </c>
      <c r="BM398" s="1343">
        <f t="shared" si="3679"/>
        <v>14783.215575612499</v>
      </c>
      <c r="BN398" s="1343">
        <f t="shared" si="3679"/>
        <v>0</v>
      </c>
      <c r="BO398" s="1343">
        <f t="shared" si="3679"/>
        <v>0</v>
      </c>
      <c r="BP398" s="1343">
        <f t="shared" si="3679"/>
        <v>0</v>
      </c>
      <c r="BQ398" s="1343">
        <f t="shared" si="3679"/>
        <v>0</v>
      </c>
      <c r="BR398" s="1343">
        <f t="shared" si="3679"/>
        <v>0</v>
      </c>
      <c r="BS398" s="1343">
        <f t="shared" si="3679"/>
        <v>0</v>
      </c>
      <c r="BT398" s="1343">
        <f t="shared" si="3679"/>
        <v>0</v>
      </c>
      <c r="BU398" s="1343">
        <f t="shared" si="3679"/>
        <v>0</v>
      </c>
      <c r="BV398" s="1343">
        <f t="shared" si="3679"/>
        <v>0</v>
      </c>
      <c r="BW398" s="1343">
        <f t="shared" si="3679"/>
        <v>0</v>
      </c>
      <c r="BX398" s="1343">
        <f t="shared" si="3679"/>
        <v>0</v>
      </c>
      <c r="BY398" s="1343">
        <f t="shared" si="3679"/>
        <v>0</v>
      </c>
      <c r="BZ398" s="1343">
        <f t="shared" si="3679"/>
        <v>0</v>
      </c>
      <c r="CA398" s="1343">
        <f t="shared" si="3679"/>
        <v>0</v>
      </c>
      <c r="CB398" s="1343">
        <f t="shared" si="3679"/>
        <v>0</v>
      </c>
      <c r="CC398" s="1343">
        <f t="shared" si="3679"/>
        <v>0</v>
      </c>
      <c r="CD398" s="1343">
        <f t="shared" si="3679"/>
        <v>0</v>
      </c>
      <c r="CE398" s="1343">
        <f t="shared" si="3679"/>
        <v>0</v>
      </c>
      <c r="CF398" s="1343">
        <f t="shared" si="3679"/>
        <v>0</v>
      </c>
      <c r="CG398" s="1343">
        <f t="shared" si="3679"/>
        <v>0</v>
      </c>
      <c r="CH398" s="1343">
        <f t="shared" si="3679"/>
        <v>0</v>
      </c>
      <c r="CI398" s="1343">
        <f t="shared" si="3679"/>
        <v>0</v>
      </c>
      <c r="CJ398" s="1343">
        <f t="shared" si="3679"/>
        <v>0</v>
      </c>
      <c r="CK398" s="1343">
        <f t="shared" si="3679"/>
        <v>0</v>
      </c>
      <c r="CL398" s="1343">
        <f t="shared" si="3679"/>
        <v>0</v>
      </c>
      <c r="CM398" s="1343">
        <f t="shared" si="3679"/>
        <v>0</v>
      </c>
      <c r="CN398" s="1343">
        <f t="shared" si="3679"/>
        <v>0</v>
      </c>
    </row>
    <row r="399" spans="3:92" ht="12.75">
      <c r="C399" s="1850" t="s">
        <v>111</v>
      </c>
      <c r="AV399" s="1343">
        <f t="shared" ref="AV399:CN399" si="3680">AV142</f>
        <v>12032.243999999999</v>
      </c>
      <c r="AW399" s="1849">
        <f t="shared" si="3680"/>
        <v>5602.86</v>
      </c>
      <c r="AX399" s="1343">
        <f t="shared" si="3680"/>
        <v>82</v>
      </c>
      <c r="AY399" s="1343">
        <f t="shared" si="3680"/>
        <v>1622.7697500000002</v>
      </c>
      <c r="AZ399" s="1343">
        <f t="shared" si="3680"/>
        <v>0</v>
      </c>
      <c r="BA399" s="1343">
        <f t="shared" si="3680"/>
        <v>0</v>
      </c>
      <c r="BB399" s="1343">
        <f t="shared" si="3680"/>
        <v>0</v>
      </c>
      <c r="BC399" s="1343">
        <f t="shared" si="3680"/>
        <v>1730.0902421250003</v>
      </c>
      <c r="BD399" s="1343">
        <f t="shared" si="3680"/>
        <v>20987.963992124998</v>
      </c>
      <c r="BE399" s="1343">
        <f t="shared" si="3680"/>
        <v>6966.0360000000001</v>
      </c>
      <c r="BF399" s="1343">
        <f t="shared" si="3680"/>
        <v>1360</v>
      </c>
      <c r="BG399" s="1343">
        <f t="shared" si="3680"/>
        <v>68</v>
      </c>
      <c r="BH399" s="1343">
        <f t="shared" si="3680"/>
        <v>1345.7114999999999</v>
      </c>
      <c r="BI399" s="1343">
        <f t="shared" si="3680"/>
        <v>0</v>
      </c>
      <c r="BJ399" s="1343">
        <f t="shared" si="3680"/>
        <v>0</v>
      </c>
      <c r="BK399" s="1343">
        <f t="shared" si="3680"/>
        <v>0</v>
      </c>
      <c r="BL399" s="1343">
        <f t="shared" si="3680"/>
        <v>1053.0984082500001</v>
      </c>
      <c r="BM399" s="1343">
        <f t="shared" si="3680"/>
        <v>10724.845908250001</v>
      </c>
      <c r="BN399" s="1343">
        <f t="shared" si="3680"/>
        <v>0</v>
      </c>
      <c r="BO399" s="1343">
        <f t="shared" si="3680"/>
        <v>0</v>
      </c>
      <c r="BP399" s="1343">
        <f t="shared" si="3680"/>
        <v>0</v>
      </c>
      <c r="BQ399" s="1343">
        <f t="shared" si="3680"/>
        <v>0</v>
      </c>
      <c r="BR399" s="1343">
        <f t="shared" si="3680"/>
        <v>0</v>
      </c>
      <c r="BS399" s="1343">
        <f t="shared" si="3680"/>
        <v>0</v>
      </c>
      <c r="BT399" s="1343">
        <f t="shared" si="3680"/>
        <v>0</v>
      </c>
      <c r="BU399" s="1343">
        <f t="shared" si="3680"/>
        <v>0</v>
      </c>
      <c r="BV399" s="1343">
        <f t="shared" si="3680"/>
        <v>0</v>
      </c>
      <c r="BW399" s="1343">
        <f t="shared" si="3680"/>
        <v>0</v>
      </c>
      <c r="BX399" s="1343">
        <f t="shared" si="3680"/>
        <v>0</v>
      </c>
      <c r="BY399" s="1343">
        <f t="shared" si="3680"/>
        <v>0</v>
      </c>
      <c r="BZ399" s="1343">
        <f t="shared" si="3680"/>
        <v>0</v>
      </c>
      <c r="CA399" s="1343">
        <f t="shared" si="3680"/>
        <v>0</v>
      </c>
      <c r="CB399" s="1343">
        <f t="shared" si="3680"/>
        <v>0</v>
      </c>
      <c r="CC399" s="1343">
        <f t="shared" si="3680"/>
        <v>0</v>
      </c>
      <c r="CD399" s="1343">
        <f t="shared" si="3680"/>
        <v>0</v>
      </c>
      <c r="CE399" s="1343">
        <f t="shared" si="3680"/>
        <v>0</v>
      </c>
      <c r="CF399" s="1343">
        <f t="shared" si="3680"/>
        <v>0</v>
      </c>
      <c r="CG399" s="1343">
        <f t="shared" si="3680"/>
        <v>0</v>
      </c>
      <c r="CH399" s="1343">
        <f t="shared" si="3680"/>
        <v>0</v>
      </c>
      <c r="CI399" s="1343">
        <f t="shared" si="3680"/>
        <v>0</v>
      </c>
      <c r="CJ399" s="1343">
        <f t="shared" si="3680"/>
        <v>0</v>
      </c>
      <c r="CK399" s="1343">
        <f t="shared" si="3680"/>
        <v>0</v>
      </c>
      <c r="CL399" s="1343">
        <f t="shared" si="3680"/>
        <v>0</v>
      </c>
      <c r="CM399" s="1343">
        <f t="shared" si="3680"/>
        <v>0</v>
      </c>
      <c r="CN399" s="1343">
        <f t="shared" si="3680"/>
        <v>0</v>
      </c>
    </row>
    <row r="400" spans="3:92" ht="12.75">
      <c r="C400" s="1848" t="s">
        <v>115</v>
      </c>
      <c r="AV400" s="1343">
        <f t="shared" ref="AV400:CN400" si="3681">AV149</f>
        <v>6215.2191999999995</v>
      </c>
      <c r="AW400" s="1849">
        <f t="shared" si="3681"/>
        <v>5374.9133333333339</v>
      </c>
      <c r="AX400" s="1343">
        <f t="shared" si="3681"/>
        <v>0</v>
      </c>
      <c r="AY400" s="1343">
        <f t="shared" si="3681"/>
        <v>0</v>
      </c>
      <c r="AZ400" s="1343">
        <f t="shared" si="3681"/>
        <v>0</v>
      </c>
      <c r="BA400" s="1343">
        <f t="shared" si="3681"/>
        <v>0</v>
      </c>
      <c r="BB400" s="1343">
        <f t="shared" si="3681"/>
        <v>0</v>
      </c>
      <c r="BC400" s="1343">
        <f t="shared" si="3681"/>
        <v>787.46827264000012</v>
      </c>
      <c r="BD400" s="1343">
        <f t="shared" si="3681"/>
        <v>12377.600805973332</v>
      </c>
      <c r="BE400" s="1343">
        <f t="shared" si="3681"/>
        <v>7822.8287999999993</v>
      </c>
      <c r="BF400" s="1343">
        <f t="shared" si="3681"/>
        <v>7106.42</v>
      </c>
      <c r="BG400" s="1343">
        <f t="shared" si="3681"/>
        <v>12</v>
      </c>
      <c r="BH400" s="1343">
        <f t="shared" si="3681"/>
        <v>237.47850000000003</v>
      </c>
      <c r="BI400" s="1343">
        <f t="shared" si="3681"/>
        <v>0</v>
      </c>
      <c r="BJ400" s="1343">
        <f t="shared" si="3681"/>
        <v>0</v>
      </c>
      <c r="BK400" s="1343">
        <f t="shared" si="3681"/>
        <v>0</v>
      </c>
      <c r="BL400" s="1343">
        <f t="shared" si="3681"/>
        <v>1021.2409349100001</v>
      </c>
      <c r="BM400" s="1343">
        <f t="shared" si="3681"/>
        <v>16187.968234910002</v>
      </c>
      <c r="BN400" s="1343">
        <f t="shared" si="3681"/>
        <v>0</v>
      </c>
      <c r="BO400" s="1343">
        <f t="shared" si="3681"/>
        <v>0</v>
      </c>
      <c r="BP400" s="1343">
        <f t="shared" si="3681"/>
        <v>0</v>
      </c>
      <c r="BQ400" s="1343">
        <f t="shared" si="3681"/>
        <v>0</v>
      </c>
      <c r="BR400" s="1343">
        <f t="shared" si="3681"/>
        <v>0</v>
      </c>
      <c r="BS400" s="1343">
        <f t="shared" si="3681"/>
        <v>0</v>
      </c>
      <c r="BT400" s="1343">
        <f t="shared" si="3681"/>
        <v>0</v>
      </c>
      <c r="BU400" s="1343">
        <f t="shared" si="3681"/>
        <v>0</v>
      </c>
      <c r="BV400" s="1343">
        <f t="shared" si="3681"/>
        <v>0</v>
      </c>
      <c r="BW400" s="1343">
        <f t="shared" si="3681"/>
        <v>250</v>
      </c>
      <c r="BX400" s="1343">
        <f t="shared" si="3681"/>
        <v>155.14000000000001</v>
      </c>
      <c r="BY400" s="1343">
        <f t="shared" si="3681"/>
        <v>0</v>
      </c>
      <c r="BZ400" s="1343">
        <f t="shared" si="3681"/>
        <v>0</v>
      </c>
      <c r="CA400" s="1343">
        <f t="shared" si="3681"/>
        <v>0</v>
      </c>
      <c r="CB400" s="1343">
        <f t="shared" si="3681"/>
        <v>0</v>
      </c>
      <c r="CC400" s="1343">
        <f t="shared" si="3681"/>
        <v>0</v>
      </c>
      <c r="CD400" s="1343">
        <f t="shared" si="3681"/>
        <v>31.675000000000001</v>
      </c>
      <c r="CE400" s="1343">
        <f t="shared" si="3681"/>
        <v>436.815</v>
      </c>
      <c r="CF400" s="1343">
        <f t="shared" si="3681"/>
        <v>0</v>
      </c>
      <c r="CG400" s="1343">
        <f t="shared" si="3681"/>
        <v>0</v>
      </c>
      <c r="CH400" s="1343">
        <f t="shared" si="3681"/>
        <v>0</v>
      </c>
      <c r="CI400" s="1343">
        <f t="shared" si="3681"/>
        <v>0</v>
      </c>
      <c r="CJ400" s="1343">
        <f t="shared" si="3681"/>
        <v>0</v>
      </c>
      <c r="CK400" s="1343">
        <f t="shared" si="3681"/>
        <v>0</v>
      </c>
      <c r="CL400" s="1343">
        <f t="shared" si="3681"/>
        <v>0</v>
      </c>
      <c r="CM400" s="1343">
        <f t="shared" si="3681"/>
        <v>0</v>
      </c>
      <c r="CN400" s="1343">
        <f t="shared" si="3681"/>
        <v>0</v>
      </c>
    </row>
    <row r="401" spans="3:92" ht="12.75">
      <c r="C401" s="1848" t="s">
        <v>120</v>
      </c>
    </row>
    <row r="402" spans="3:92" ht="12.75">
      <c r="C402" s="1848" t="s">
        <v>121</v>
      </c>
    </row>
    <row r="403" spans="3:92" ht="12.75">
      <c r="C403" s="1848" t="s">
        <v>227</v>
      </c>
      <c r="AV403" s="1343">
        <f t="shared" ref="AV403:CN403" si="3682">AV161</f>
        <v>22000</v>
      </c>
      <c r="AW403" s="1343">
        <f t="shared" si="3682"/>
        <v>33309.949999999997</v>
      </c>
      <c r="AX403" s="1343">
        <f t="shared" si="3682"/>
        <v>0</v>
      </c>
      <c r="AY403" s="1343">
        <f t="shared" si="3682"/>
        <v>0</v>
      </c>
      <c r="AZ403" s="1343">
        <f t="shared" si="3682"/>
        <v>0</v>
      </c>
      <c r="BA403" s="1343">
        <f t="shared" si="3682"/>
        <v>0</v>
      </c>
      <c r="BB403" s="1343">
        <f t="shared" si="3682"/>
        <v>0</v>
      </c>
      <c r="BC403" s="1343">
        <f t="shared" si="3682"/>
        <v>2787.4000000000005</v>
      </c>
      <c r="BD403" s="1343">
        <f t="shared" si="3682"/>
        <v>58097.35</v>
      </c>
      <c r="BE403" s="1343">
        <f t="shared" si="3682"/>
        <v>24701.38</v>
      </c>
      <c r="BF403" s="1343">
        <f t="shared" si="3682"/>
        <v>20204.599999999999</v>
      </c>
      <c r="BG403" s="1343">
        <f t="shared" si="3682"/>
        <v>0</v>
      </c>
      <c r="BH403" s="1343">
        <f t="shared" si="3682"/>
        <v>0</v>
      </c>
      <c r="BI403" s="1343">
        <f t="shared" si="3682"/>
        <v>0</v>
      </c>
      <c r="BJ403" s="1343">
        <f t="shared" si="3682"/>
        <v>0</v>
      </c>
      <c r="BK403" s="1343">
        <f t="shared" si="3682"/>
        <v>0</v>
      </c>
      <c r="BL403" s="1343">
        <f t="shared" si="3682"/>
        <v>3129.6648460000006</v>
      </c>
      <c r="BM403" s="1343">
        <f t="shared" si="3682"/>
        <v>48035.644845999996</v>
      </c>
      <c r="BN403" s="1343">
        <f t="shared" si="3682"/>
        <v>2075</v>
      </c>
      <c r="BO403" s="1343">
        <f t="shared" si="3682"/>
        <v>750</v>
      </c>
      <c r="BP403" s="1343">
        <f t="shared" si="3682"/>
        <v>0</v>
      </c>
      <c r="BQ403" s="1343">
        <f t="shared" si="3682"/>
        <v>0</v>
      </c>
      <c r="BR403" s="1343">
        <f t="shared" si="3682"/>
        <v>0</v>
      </c>
      <c r="BS403" s="1343">
        <f t="shared" si="3682"/>
        <v>0</v>
      </c>
      <c r="BT403" s="1343">
        <f t="shared" si="3682"/>
        <v>0</v>
      </c>
      <c r="BU403" s="1343">
        <f t="shared" si="3682"/>
        <v>262.90250000000003</v>
      </c>
      <c r="BV403" s="1343">
        <f t="shared" si="3682"/>
        <v>3087.9025000000001</v>
      </c>
      <c r="BW403" s="1343">
        <f t="shared" si="3682"/>
        <v>0</v>
      </c>
      <c r="BX403" s="1343">
        <f t="shared" si="3682"/>
        <v>0</v>
      </c>
      <c r="BY403" s="1343">
        <f t="shared" si="3682"/>
        <v>0</v>
      </c>
      <c r="BZ403" s="1343">
        <f t="shared" si="3682"/>
        <v>0</v>
      </c>
      <c r="CA403" s="1343">
        <f t="shared" si="3682"/>
        <v>0</v>
      </c>
      <c r="CB403" s="1343">
        <f t="shared" si="3682"/>
        <v>0</v>
      </c>
      <c r="CC403" s="1343">
        <f t="shared" si="3682"/>
        <v>0</v>
      </c>
      <c r="CD403" s="1343">
        <f t="shared" si="3682"/>
        <v>0</v>
      </c>
      <c r="CE403" s="1343">
        <f t="shared" si="3682"/>
        <v>0</v>
      </c>
      <c r="CF403" s="1343">
        <f t="shared" si="3682"/>
        <v>0</v>
      </c>
      <c r="CG403" s="1343">
        <f t="shared" si="3682"/>
        <v>0</v>
      </c>
      <c r="CH403" s="1343">
        <f t="shared" si="3682"/>
        <v>0</v>
      </c>
      <c r="CI403" s="1343">
        <f t="shared" si="3682"/>
        <v>0</v>
      </c>
      <c r="CJ403" s="1343">
        <f t="shared" si="3682"/>
        <v>0</v>
      </c>
      <c r="CK403" s="1343">
        <f t="shared" si="3682"/>
        <v>0</v>
      </c>
      <c r="CL403" s="1343">
        <f t="shared" si="3682"/>
        <v>0</v>
      </c>
      <c r="CM403" s="1343">
        <f t="shared" si="3682"/>
        <v>0</v>
      </c>
      <c r="CN403" s="1343">
        <f t="shared" si="3682"/>
        <v>0</v>
      </c>
    </row>
    <row r="404" spans="3:92" ht="12.75">
      <c r="C404" s="1848" t="s">
        <v>391</v>
      </c>
      <c r="AV404" s="1343">
        <f t="shared" ref="AV404:CN404" si="3683">AV164</f>
        <v>6000</v>
      </c>
      <c r="AW404" s="1343">
        <f t="shared" si="3683"/>
        <v>18018.45</v>
      </c>
      <c r="AX404" s="1343">
        <f t="shared" si="3683"/>
        <v>0</v>
      </c>
      <c r="AY404" s="1343">
        <f t="shared" si="3683"/>
        <v>0</v>
      </c>
      <c r="AZ404" s="1343">
        <f t="shared" si="3683"/>
        <v>0</v>
      </c>
      <c r="BA404" s="1343">
        <f t="shared" si="3683"/>
        <v>0</v>
      </c>
      <c r="BB404" s="1343">
        <f t="shared" si="3683"/>
        <v>0</v>
      </c>
      <c r="BC404" s="1343">
        <f t="shared" si="3683"/>
        <v>760.2</v>
      </c>
      <c r="BD404" s="1343">
        <f t="shared" si="3683"/>
        <v>24778.65</v>
      </c>
      <c r="BE404" s="1343">
        <f t="shared" si="3683"/>
        <v>0</v>
      </c>
      <c r="BF404" s="1343">
        <f t="shared" si="3683"/>
        <v>18.079999999999998</v>
      </c>
      <c r="BG404" s="1343">
        <f t="shared" si="3683"/>
        <v>0</v>
      </c>
      <c r="BH404" s="1343">
        <f t="shared" si="3683"/>
        <v>0</v>
      </c>
      <c r="BI404" s="1343">
        <f t="shared" si="3683"/>
        <v>0</v>
      </c>
      <c r="BJ404" s="1343">
        <f t="shared" si="3683"/>
        <v>0</v>
      </c>
      <c r="BK404" s="1343">
        <f t="shared" si="3683"/>
        <v>0</v>
      </c>
      <c r="BL404" s="1343">
        <f t="shared" si="3683"/>
        <v>0</v>
      </c>
      <c r="BM404" s="1343">
        <f t="shared" si="3683"/>
        <v>18.079999999999998</v>
      </c>
      <c r="BN404" s="1343">
        <f t="shared" si="3683"/>
        <v>0</v>
      </c>
      <c r="BO404" s="1343">
        <f t="shared" si="3683"/>
        <v>0</v>
      </c>
      <c r="BP404" s="1343">
        <f t="shared" si="3683"/>
        <v>0</v>
      </c>
      <c r="BQ404" s="1343">
        <f t="shared" si="3683"/>
        <v>0</v>
      </c>
      <c r="BR404" s="1343">
        <f t="shared" si="3683"/>
        <v>0</v>
      </c>
      <c r="BS404" s="1343">
        <f t="shared" si="3683"/>
        <v>0</v>
      </c>
      <c r="BT404" s="1343">
        <f t="shared" si="3683"/>
        <v>0</v>
      </c>
      <c r="BU404" s="1343">
        <f t="shared" si="3683"/>
        <v>0</v>
      </c>
      <c r="BV404" s="1343">
        <f t="shared" si="3683"/>
        <v>0</v>
      </c>
      <c r="BW404" s="1343">
        <f t="shared" si="3683"/>
        <v>0</v>
      </c>
      <c r="BX404" s="1343">
        <f t="shared" si="3683"/>
        <v>0</v>
      </c>
      <c r="BY404" s="1343">
        <f t="shared" si="3683"/>
        <v>0</v>
      </c>
      <c r="BZ404" s="1343">
        <f t="shared" si="3683"/>
        <v>0</v>
      </c>
      <c r="CA404" s="1343">
        <f t="shared" si="3683"/>
        <v>0</v>
      </c>
      <c r="CB404" s="1343">
        <f t="shared" si="3683"/>
        <v>0</v>
      </c>
      <c r="CC404" s="1343">
        <f t="shared" si="3683"/>
        <v>0</v>
      </c>
      <c r="CD404" s="1343">
        <f t="shared" si="3683"/>
        <v>0</v>
      </c>
      <c r="CE404" s="1343">
        <f t="shared" si="3683"/>
        <v>0</v>
      </c>
      <c r="CF404" s="1343">
        <f t="shared" si="3683"/>
        <v>0</v>
      </c>
      <c r="CG404" s="1343">
        <f t="shared" si="3683"/>
        <v>0</v>
      </c>
      <c r="CH404" s="1343">
        <f t="shared" si="3683"/>
        <v>0</v>
      </c>
      <c r="CI404" s="1343">
        <f t="shared" si="3683"/>
        <v>0</v>
      </c>
      <c r="CJ404" s="1343">
        <f t="shared" si="3683"/>
        <v>0</v>
      </c>
      <c r="CK404" s="1343">
        <f t="shared" si="3683"/>
        <v>0</v>
      </c>
      <c r="CL404" s="1343">
        <f t="shared" si="3683"/>
        <v>0</v>
      </c>
      <c r="CM404" s="1343">
        <f t="shared" si="3683"/>
        <v>0</v>
      </c>
      <c r="CN404" s="1343">
        <f t="shared" si="3683"/>
        <v>0</v>
      </c>
    </row>
    <row r="405" spans="3:92" ht="12.75">
      <c r="C405" s="1848" t="s">
        <v>126</v>
      </c>
    </row>
    <row r="406" spans="3:92" ht="12.75">
      <c r="C406" s="1848" t="s">
        <v>127</v>
      </c>
    </row>
    <row r="407" spans="3:92" ht="12.75">
      <c r="C407" s="1851" t="s">
        <v>490</v>
      </c>
      <c r="AV407" s="1343">
        <f t="shared" ref="AV407:CN407" si="3684">AV171</f>
        <v>0</v>
      </c>
      <c r="AW407" s="1343">
        <f t="shared" si="3684"/>
        <v>0</v>
      </c>
      <c r="AX407" s="1343">
        <f t="shared" si="3684"/>
        <v>0</v>
      </c>
      <c r="AY407" s="1343">
        <f t="shared" si="3684"/>
        <v>0</v>
      </c>
      <c r="AZ407" s="1343">
        <f t="shared" si="3684"/>
        <v>0</v>
      </c>
      <c r="BA407" s="1343">
        <f t="shared" si="3684"/>
        <v>0</v>
      </c>
      <c r="BB407" s="1343">
        <f t="shared" si="3684"/>
        <v>0</v>
      </c>
      <c r="BC407" s="1343">
        <f t="shared" si="3684"/>
        <v>0</v>
      </c>
      <c r="BD407" s="1343">
        <f t="shared" si="3684"/>
        <v>0</v>
      </c>
      <c r="BE407" s="1343">
        <f t="shared" si="3684"/>
        <v>3166.38</v>
      </c>
      <c r="BF407" s="1343">
        <f t="shared" si="3684"/>
        <v>897.54</v>
      </c>
      <c r="BG407" s="1343">
        <f t="shared" si="3684"/>
        <v>0</v>
      </c>
      <c r="BH407" s="1343">
        <f t="shared" si="3684"/>
        <v>0</v>
      </c>
      <c r="BI407" s="1343">
        <f t="shared" si="3684"/>
        <v>0</v>
      </c>
      <c r="BJ407" s="1343">
        <f t="shared" si="3684"/>
        <v>0</v>
      </c>
      <c r="BK407" s="1343">
        <f t="shared" si="3684"/>
        <v>0</v>
      </c>
      <c r="BL407" s="1343">
        <f t="shared" si="3684"/>
        <v>401.18034600000004</v>
      </c>
      <c r="BM407" s="1343">
        <f t="shared" si="3684"/>
        <v>4465.1003460000002</v>
      </c>
      <c r="BN407" s="1343">
        <f t="shared" si="3684"/>
        <v>0</v>
      </c>
      <c r="BO407" s="1343">
        <f t="shared" si="3684"/>
        <v>0</v>
      </c>
      <c r="BP407" s="1343">
        <f t="shared" si="3684"/>
        <v>0</v>
      </c>
      <c r="BQ407" s="1343">
        <f t="shared" si="3684"/>
        <v>0</v>
      </c>
      <c r="BR407" s="1343">
        <f t="shared" si="3684"/>
        <v>0</v>
      </c>
      <c r="BS407" s="1343">
        <f t="shared" si="3684"/>
        <v>0</v>
      </c>
      <c r="BT407" s="1343">
        <f t="shared" si="3684"/>
        <v>0</v>
      </c>
      <c r="BU407" s="1343">
        <f t="shared" si="3684"/>
        <v>0</v>
      </c>
      <c r="BV407" s="1343">
        <f t="shared" si="3684"/>
        <v>0</v>
      </c>
      <c r="BW407" s="1343">
        <f t="shared" si="3684"/>
        <v>0</v>
      </c>
      <c r="BX407" s="1343">
        <f t="shared" si="3684"/>
        <v>0</v>
      </c>
      <c r="BY407" s="1343">
        <f t="shared" si="3684"/>
        <v>0</v>
      </c>
      <c r="BZ407" s="1343">
        <f t="shared" si="3684"/>
        <v>0</v>
      </c>
      <c r="CA407" s="1343">
        <f t="shared" si="3684"/>
        <v>0</v>
      </c>
      <c r="CB407" s="1343">
        <f t="shared" si="3684"/>
        <v>0</v>
      </c>
      <c r="CC407" s="1343">
        <f t="shared" si="3684"/>
        <v>0</v>
      </c>
      <c r="CD407" s="1343">
        <f t="shared" si="3684"/>
        <v>0</v>
      </c>
      <c r="CE407" s="1343">
        <f t="shared" si="3684"/>
        <v>0</v>
      </c>
      <c r="CF407" s="1343">
        <f t="shared" si="3684"/>
        <v>0</v>
      </c>
      <c r="CG407" s="1343">
        <f t="shared" si="3684"/>
        <v>0</v>
      </c>
      <c r="CH407" s="1343">
        <f t="shared" si="3684"/>
        <v>0</v>
      </c>
      <c r="CI407" s="1343">
        <f t="shared" si="3684"/>
        <v>0</v>
      </c>
      <c r="CJ407" s="1343">
        <f t="shared" si="3684"/>
        <v>0</v>
      </c>
      <c r="CK407" s="1343">
        <f t="shared" si="3684"/>
        <v>0</v>
      </c>
      <c r="CL407" s="1343">
        <f t="shared" si="3684"/>
        <v>0</v>
      </c>
      <c r="CM407" s="1343">
        <f t="shared" si="3684"/>
        <v>0</v>
      </c>
      <c r="CN407" s="1343">
        <f t="shared" si="3684"/>
        <v>0</v>
      </c>
    </row>
    <row r="408" spans="3:92" ht="12.75">
      <c r="C408" s="1851" t="s">
        <v>491</v>
      </c>
      <c r="AV408" s="1343">
        <f t="shared" ref="AV408:CN408" si="3685">+AV173</f>
        <v>0</v>
      </c>
      <c r="AW408" s="1343">
        <f t="shared" si="3685"/>
        <v>0</v>
      </c>
      <c r="AX408" s="1343">
        <f t="shared" si="3685"/>
        <v>0</v>
      </c>
      <c r="AY408" s="1343">
        <f t="shared" si="3685"/>
        <v>0</v>
      </c>
      <c r="AZ408" s="1343">
        <f t="shared" si="3685"/>
        <v>0</v>
      </c>
      <c r="BA408" s="1343">
        <f t="shared" si="3685"/>
        <v>0</v>
      </c>
      <c r="BB408" s="1343">
        <f t="shared" si="3685"/>
        <v>0</v>
      </c>
      <c r="BC408" s="1343">
        <f t="shared" si="3685"/>
        <v>0</v>
      </c>
      <c r="BD408" s="1343">
        <f t="shared" si="3685"/>
        <v>0</v>
      </c>
      <c r="BE408" s="1343">
        <f t="shared" si="3685"/>
        <v>0</v>
      </c>
      <c r="BF408" s="1343">
        <f t="shared" si="3685"/>
        <v>0</v>
      </c>
      <c r="BG408" s="1343">
        <f t="shared" si="3685"/>
        <v>0</v>
      </c>
      <c r="BH408" s="1343">
        <f t="shared" si="3685"/>
        <v>0</v>
      </c>
      <c r="BI408" s="1343">
        <f t="shared" si="3685"/>
        <v>0</v>
      </c>
      <c r="BJ408" s="1343">
        <f t="shared" si="3685"/>
        <v>0</v>
      </c>
      <c r="BK408" s="1343">
        <f t="shared" si="3685"/>
        <v>0</v>
      </c>
      <c r="BL408" s="1343">
        <f t="shared" si="3685"/>
        <v>0</v>
      </c>
      <c r="BM408" s="1343">
        <f t="shared" si="3685"/>
        <v>0</v>
      </c>
      <c r="BN408" s="1343">
        <f t="shared" si="3685"/>
        <v>0</v>
      </c>
      <c r="BO408" s="1343">
        <f t="shared" si="3685"/>
        <v>0</v>
      </c>
      <c r="BP408" s="1343">
        <f t="shared" si="3685"/>
        <v>0</v>
      </c>
      <c r="BQ408" s="1343">
        <f t="shared" si="3685"/>
        <v>0</v>
      </c>
      <c r="BR408" s="1343">
        <f t="shared" si="3685"/>
        <v>0</v>
      </c>
      <c r="BS408" s="1343">
        <f t="shared" si="3685"/>
        <v>0</v>
      </c>
      <c r="BT408" s="1343">
        <f t="shared" si="3685"/>
        <v>0</v>
      </c>
      <c r="BU408" s="1343">
        <f t="shared" si="3685"/>
        <v>0</v>
      </c>
      <c r="BV408" s="1343">
        <f t="shared" si="3685"/>
        <v>0</v>
      </c>
      <c r="BW408" s="1343">
        <f t="shared" si="3685"/>
        <v>0</v>
      </c>
      <c r="BX408" s="1343">
        <f t="shared" si="3685"/>
        <v>0</v>
      </c>
      <c r="BY408" s="1343">
        <f t="shared" si="3685"/>
        <v>0</v>
      </c>
      <c r="BZ408" s="1343">
        <f t="shared" si="3685"/>
        <v>0</v>
      </c>
      <c r="CA408" s="1343">
        <f t="shared" si="3685"/>
        <v>0</v>
      </c>
      <c r="CB408" s="1343">
        <f t="shared" si="3685"/>
        <v>0</v>
      </c>
      <c r="CC408" s="1343">
        <f t="shared" si="3685"/>
        <v>0</v>
      </c>
      <c r="CD408" s="1343">
        <f t="shared" si="3685"/>
        <v>0</v>
      </c>
      <c r="CE408" s="1343">
        <f t="shared" si="3685"/>
        <v>0</v>
      </c>
      <c r="CF408" s="1343">
        <f t="shared" si="3685"/>
        <v>0</v>
      </c>
      <c r="CG408" s="1343">
        <f t="shared" si="3685"/>
        <v>0</v>
      </c>
      <c r="CH408" s="1343">
        <f t="shared" si="3685"/>
        <v>0</v>
      </c>
      <c r="CI408" s="1343">
        <f t="shared" si="3685"/>
        <v>0</v>
      </c>
      <c r="CJ408" s="1343">
        <f t="shared" si="3685"/>
        <v>0</v>
      </c>
      <c r="CK408" s="1343">
        <f t="shared" si="3685"/>
        <v>0</v>
      </c>
      <c r="CL408" s="1343">
        <f t="shared" si="3685"/>
        <v>0</v>
      </c>
      <c r="CM408" s="1343">
        <f t="shared" si="3685"/>
        <v>0</v>
      </c>
      <c r="CN408" s="1343">
        <f t="shared" si="3685"/>
        <v>0</v>
      </c>
    </row>
    <row r="409" spans="3:92" ht="12.75">
      <c r="C409" s="1851" t="s">
        <v>492</v>
      </c>
      <c r="AV409" s="1343">
        <f t="shared" ref="AV409:CN409" si="3686">+AV174</f>
        <v>0</v>
      </c>
      <c r="AW409" s="1343">
        <f t="shared" si="3686"/>
        <v>0</v>
      </c>
      <c r="AX409" s="1343">
        <f t="shared" si="3686"/>
        <v>0</v>
      </c>
      <c r="AY409" s="1343">
        <f t="shared" si="3686"/>
        <v>0</v>
      </c>
      <c r="AZ409" s="1343">
        <f t="shared" si="3686"/>
        <v>0</v>
      </c>
      <c r="BA409" s="1343">
        <f t="shared" si="3686"/>
        <v>0</v>
      </c>
      <c r="BB409" s="1343">
        <f t="shared" si="3686"/>
        <v>0</v>
      </c>
      <c r="BC409" s="1343">
        <f t="shared" si="3686"/>
        <v>0</v>
      </c>
      <c r="BD409" s="1343">
        <f t="shared" si="3686"/>
        <v>0</v>
      </c>
      <c r="BE409" s="1343">
        <f t="shared" si="3686"/>
        <v>0</v>
      </c>
      <c r="BF409" s="1343">
        <f t="shared" si="3686"/>
        <v>0</v>
      </c>
      <c r="BG409" s="1343">
        <f t="shared" si="3686"/>
        <v>0</v>
      </c>
      <c r="BH409" s="1343">
        <f t="shared" si="3686"/>
        <v>0</v>
      </c>
      <c r="BI409" s="1343">
        <f t="shared" si="3686"/>
        <v>0</v>
      </c>
      <c r="BJ409" s="1343">
        <f t="shared" si="3686"/>
        <v>0</v>
      </c>
      <c r="BK409" s="1343">
        <f t="shared" si="3686"/>
        <v>0</v>
      </c>
      <c r="BL409" s="1343">
        <f t="shared" si="3686"/>
        <v>0</v>
      </c>
      <c r="BM409" s="1343">
        <f t="shared" si="3686"/>
        <v>0</v>
      </c>
      <c r="BN409" s="1343">
        <f t="shared" si="3686"/>
        <v>0</v>
      </c>
      <c r="BO409" s="1343">
        <f t="shared" si="3686"/>
        <v>0</v>
      </c>
      <c r="BP409" s="1343">
        <f t="shared" si="3686"/>
        <v>0</v>
      </c>
      <c r="BQ409" s="1343">
        <f t="shared" si="3686"/>
        <v>0</v>
      </c>
      <c r="BR409" s="1343">
        <f t="shared" si="3686"/>
        <v>0</v>
      </c>
      <c r="BS409" s="1343">
        <f t="shared" si="3686"/>
        <v>0</v>
      </c>
      <c r="BT409" s="1343">
        <f t="shared" si="3686"/>
        <v>0</v>
      </c>
      <c r="BU409" s="1343">
        <f t="shared" si="3686"/>
        <v>0</v>
      </c>
      <c r="BV409" s="1343">
        <f t="shared" si="3686"/>
        <v>0</v>
      </c>
      <c r="BW409" s="1343">
        <f t="shared" si="3686"/>
        <v>0</v>
      </c>
      <c r="BX409" s="1343">
        <f t="shared" si="3686"/>
        <v>0</v>
      </c>
      <c r="BY409" s="1343">
        <f t="shared" si="3686"/>
        <v>0</v>
      </c>
      <c r="BZ409" s="1343">
        <f t="shared" si="3686"/>
        <v>0</v>
      </c>
      <c r="CA409" s="1343">
        <f t="shared" si="3686"/>
        <v>0</v>
      </c>
      <c r="CB409" s="1343">
        <f t="shared" si="3686"/>
        <v>0</v>
      </c>
      <c r="CC409" s="1343">
        <f t="shared" si="3686"/>
        <v>0</v>
      </c>
      <c r="CD409" s="1343">
        <f t="shared" si="3686"/>
        <v>0</v>
      </c>
      <c r="CE409" s="1343">
        <f t="shared" si="3686"/>
        <v>0</v>
      </c>
      <c r="CF409" s="1343">
        <f t="shared" si="3686"/>
        <v>0</v>
      </c>
      <c r="CG409" s="1343">
        <f t="shared" si="3686"/>
        <v>0</v>
      </c>
      <c r="CH409" s="1343">
        <f t="shared" si="3686"/>
        <v>0</v>
      </c>
      <c r="CI409" s="1343">
        <f t="shared" si="3686"/>
        <v>0</v>
      </c>
      <c r="CJ409" s="1343">
        <f t="shared" si="3686"/>
        <v>0</v>
      </c>
      <c r="CK409" s="1343">
        <f t="shared" si="3686"/>
        <v>0</v>
      </c>
      <c r="CL409" s="1343">
        <f t="shared" si="3686"/>
        <v>0</v>
      </c>
      <c r="CM409" s="1343">
        <f t="shared" si="3686"/>
        <v>0</v>
      </c>
      <c r="CN409" s="1343">
        <f t="shared" si="3686"/>
        <v>0</v>
      </c>
    </row>
    <row r="410" spans="3:92" ht="12.75">
      <c r="C410" s="1851" t="s">
        <v>493</v>
      </c>
      <c r="AV410" s="1343">
        <f t="shared" ref="AV410:CN410" si="3687">AV179</f>
        <v>0</v>
      </c>
      <c r="AW410" s="1343">
        <f t="shared" si="3687"/>
        <v>0</v>
      </c>
      <c r="AX410" s="1343">
        <f t="shared" si="3687"/>
        <v>0</v>
      </c>
      <c r="AY410" s="1343">
        <f t="shared" si="3687"/>
        <v>0</v>
      </c>
      <c r="AZ410" s="1343">
        <f t="shared" si="3687"/>
        <v>0</v>
      </c>
      <c r="BA410" s="1343">
        <f t="shared" si="3687"/>
        <v>0</v>
      </c>
      <c r="BB410" s="1343">
        <f t="shared" si="3687"/>
        <v>0</v>
      </c>
      <c r="BC410" s="1343">
        <f t="shared" si="3687"/>
        <v>0</v>
      </c>
      <c r="BD410" s="1343">
        <f t="shared" si="3687"/>
        <v>0</v>
      </c>
      <c r="BE410" s="1343">
        <f t="shared" si="3687"/>
        <v>6332.76</v>
      </c>
      <c r="BF410" s="1343">
        <f t="shared" si="3687"/>
        <v>28617.57</v>
      </c>
      <c r="BG410" s="1343">
        <f t="shared" si="3687"/>
        <v>0</v>
      </c>
      <c r="BH410" s="1343">
        <f t="shared" si="3687"/>
        <v>0</v>
      </c>
      <c r="BI410" s="1343">
        <f t="shared" si="3687"/>
        <v>0</v>
      </c>
      <c r="BJ410" s="1343">
        <f t="shared" si="3687"/>
        <v>0</v>
      </c>
      <c r="BK410" s="1343">
        <f t="shared" si="3687"/>
        <v>0</v>
      </c>
      <c r="BL410" s="1343">
        <f t="shared" si="3687"/>
        <v>802.36069200000009</v>
      </c>
      <c r="BM410" s="1343">
        <f t="shared" si="3687"/>
        <v>35752.690692000004</v>
      </c>
      <c r="BN410" s="1343">
        <f t="shared" si="3687"/>
        <v>0</v>
      </c>
      <c r="BO410" s="1343">
        <f t="shared" si="3687"/>
        <v>0</v>
      </c>
      <c r="BP410" s="1343">
        <f t="shared" si="3687"/>
        <v>0</v>
      </c>
      <c r="BQ410" s="1343">
        <f t="shared" si="3687"/>
        <v>0</v>
      </c>
      <c r="BR410" s="1343">
        <f t="shared" si="3687"/>
        <v>0</v>
      </c>
      <c r="BS410" s="1343">
        <f t="shared" si="3687"/>
        <v>0</v>
      </c>
      <c r="BT410" s="1343">
        <f t="shared" si="3687"/>
        <v>0</v>
      </c>
      <c r="BU410" s="1343">
        <f t="shared" si="3687"/>
        <v>0</v>
      </c>
      <c r="BV410" s="1343">
        <f t="shared" si="3687"/>
        <v>0</v>
      </c>
      <c r="BW410" s="1343">
        <f t="shared" si="3687"/>
        <v>0</v>
      </c>
      <c r="BX410" s="1343">
        <f t="shared" si="3687"/>
        <v>0</v>
      </c>
      <c r="BY410" s="1343">
        <f t="shared" si="3687"/>
        <v>0</v>
      </c>
      <c r="BZ410" s="1343">
        <f t="shared" si="3687"/>
        <v>0</v>
      </c>
      <c r="CA410" s="1343">
        <f t="shared" si="3687"/>
        <v>0</v>
      </c>
      <c r="CB410" s="1343">
        <f t="shared" si="3687"/>
        <v>0</v>
      </c>
      <c r="CC410" s="1343">
        <f t="shared" si="3687"/>
        <v>0</v>
      </c>
      <c r="CD410" s="1343">
        <f t="shared" si="3687"/>
        <v>0</v>
      </c>
      <c r="CE410" s="1343">
        <f t="shared" si="3687"/>
        <v>0</v>
      </c>
      <c r="CF410" s="1343">
        <f t="shared" si="3687"/>
        <v>0</v>
      </c>
      <c r="CG410" s="1343">
        <f t="shared" si="3687"/>
        <v>0</v>
      </c>
      <c r="CH410" s="1343">
        <f t="shared" si="3687"/>
        <v>0</v>
      </c>
      <c r="CI410" s="1343">
        <f t="shared" si="3687"/>
        <v>0</v>
      </c>
      <c r="CJ410" s="1343">
        <f t="shared" si="3687"/>
        <v>0</v>
      </c>
      <c r="CK410" s="1343">
        <f t="shared" si="3687"/>
        <v>0</v>
      </c>
      <c r="CL410" s="1343">
        <f t="shared" si="3687"/>
        <v>0</v>
      </c>
      <c r="CM410" s="1343">
        <f t="shared" si="3687"/>
        <v>0</v>
      </c>
      <c r="CN410" s="1343">
        <f t="shared" si="3687"/>
        <v>0</v>
      </c>
    </row>
    <row r="411" spans="3:92" ht="12.75">
      <c r="C411" s="1851" t="s">
        <v>494</v>
      </c>
      <c r="AV411" s="1343">
        <f t="shared" ref="AV411:CN411" si="3688">+AV182</f>
        <v>0</v>
      </c>
      <c r="AW411" s="1343">
        <f t="shared" si="3688"/>
        <v>0</v>
      </c>
      <c r="AX411" s="1343">
        <f t="shared" si="3688"/>
        <v>0</v>
      </c>
      <c r="AY411" s="1343">
        <f t="shared" si="3688"/>
        <v>0</v>
      </c>
      <c r="AZ411" s="1343">
        <f t="shared" si="3688"/>
        <v>0</v>
      </c>
      <c r="BA411" s="1343">
        <f t="shared" si="3688"/>
        <v>0</v>
      </c>
      <c r="BB411" s="1343">
        <f t="shared" si="3688"/>
        <v>0</v>
      </c>
      <c r="BC411" s="1343">
        <f t="shared" si="3688"/>
        <v>0</v>
      </c>
      <c r="BD411" s="1343">
        <f t="shared" si="3688"/>
        <v>0</v>
      </c>
      <c r="BE411" s="1343">
        <f t="shared" si="3688"/>
        <v>3166.38</v>
      </c>
      <c r="BF411" s="1343">
        <f t="shared" si="3688"/>
        <v>1892.36</v>
      </c>
      <c r="BG411" s="1343">
        <f t="shared" si="3688"/>
        <v>0</v>
      </c>
      <c r="BH411" s="1343">
        <f t="shared" si="3688"/>
        <v>0</v>
      </c>
      <c r="BI411" s="1343">
        <f t="shared" si="3688"/>
        <v>0</v>
      </c>
      <c r="BJ411" s="1343">
        <f t="shared" si="3688"/>
        <v>0</v>
      </c>
      <c r="BK411" s="1343">
        <f t="shared" si="3688"/>
        <v>0</v>
      </c>
      <c r="BL411" s="1343">
        <f t="shared" si="3688"/>
        <v>401.18034600000004</v>
      </c>
      <c r="BM411" s="1343">
        <f t="shared" si="3688"/>
        <v>5459.9203459999999</v>
      </c>
      <c r="BN411" s="1343">
        <f t="shared" si="3688"/>
        <v>0</v>
      </c>
      <c r="BO411" s="1343">
        <f t="shared" si="3688"/>
        <v>0</v>
      </c>
      <c r="BP411" s="1343">
        <f t="shared" si="3688"/>
        <v>0</v>
      </c>
      <c r="BQ411" s="1343">
        <f t="shared" si="3688"/>
        <v>0</v>
      </c>
      <c r="BR411" s="1343">
        <f t="shared" si="3688"/>
        <v>0</v>
      </c>
      <c r="BS411" s="1343">
        <f t="shared" si="3688"/>
        <v>0</v>
      </c>
      <c r="BT411" s="1343">
        <f t="shared" si="3688"/>
        <v>0</v>
      </c>
      <c r="BU411" s="1343">
        <f t="shared" si="3688"/>
        <v>0</v>
      </c>
      <c r="BV411" s="1343">
        <f t="shared" si="3688"/>
        <v>0</v>
      </c>
      <c r="BW411" s="1343">
        <f t="shared" si="3688"/>
        <v>0</v>
      </c>
      <c r="BX411" s="1343">
        <f t="shared" si="3688"/>
        <v>0</v>
      </c>
      <c r="BY411" s="1343">
        <f t="shared" si="3688"/>
        <v>0</v>
      </c>
      <c r="BZ411" s="1343">
        <f t="shared" si="3688"/>
        <v>0</v>
      </c>
      <c r="CA411" s="1343">
        <f t="shared" si="3688"/>
        <v>0</v>
      </c>
      <c r="CB411" s="1343">
        <f t="shared" si="3688"/>
        <v>0</v>
      </c>
      <c r="CC411" s="1343">
        <f t="shared" si="3688"/>
        <v>0</v>
      </c>
      <c r="CD411" s="1343">
        <f t="shared" si="3688"/>
        <v>0</v>
      </c>
      <c r="CE411" s="1343">
        <f t="shared" si="3688"/>
        <v>0</v>
      </c>
      <c r="CF411" s="1343">
        <f t="shared" si="3688"/>
        <v>0</v>
      </c>
      <c r="CG411" s="1343">
        <f t="shared" si="3688"/>
        <v>0</v>
      </c>
      <c r="CH411" s="1343">
        <f t="shared" si="3688"/>
        <v>0</v>
      </c>
      <c r="CI411" s="1343">
        <f t="shared" si="3688"/>
        <v>0</v>
      </c>
      <c r="CJ411" s="1343">
        <f t="shared" si="3688"/>
        <v>0</v>
      </c>
      <c r="CK411" s="1343">
        <f t="shared" si="3688"/>
        <v>0</v>
      </c>
      <c r="CL411" s="1343">
        <f t="shared" si="3688"/>
        <v>0</v>
      </c>
      <c r="CM411" s="1343">
        <f t="shared" si="3688"/>
        <v>0</v>
      </c>
      <c r="CN411" s="1343">
        <f t="shared" si="3688"/>
        <v>0</v>
      </c>
    </row>
    <row r="412" spans="3:92" ht="12.75">
      <c r="C412" s="1851" t="s">
        <v>495</v>
      </c>
      <c r="AV412" s="1343">
        <f t="shared" ref="AV412:CN412" si="3689">+AV185</f>
        <v>0</v>
      </c>
      <c r="AW412" s="1343">
        <f t="shared" si="3689"/>
        <v>0</v>
      </c>
      <c r="AX412" s="1343">
        <f t="shared" si="3689"/>
        <v>0</v>
      </c>
      <c r="AY412" s="1343">
        <f t="shared" si="3689"/>
        <v>0</v>
      </c>
      <c r="AZ412" s="1343">
        <f t="shared" si="3689"/>
        <v>0</v>
      </c>
      <c r="BA412" s="1343">
        <f t="shared" si="3689"/>
        <v>0</v>
      </c>
      <c r="BB412" s="1343">
        <f t="shared" si="3689"/>
        <v>0</v>
      </c>
      <c r="BC412" s="1343">
        <f t="shared" si="3689"/>
        <v>0</v>
      </c>
      <c r="BD412" s="1343">
        <f t="shared" si="3689"/>
        <v>0</v>
      </c>
      <c r="BE412" s="1343">
        <f t="shared" si="3689"/>
        <v>0</v>
      </c>
      <c r="BF412" s="1343">
        <f t="shared" si="3689"/>
        <v>0</v>
      </c>
      <c r="BG412" s="1343">
        <f t="shared" si="3689"/>
        <v>0</v>
      </c>
      <c r="BH412" s="1343">
        <f t="shared" si="3689"/>
        <v>0</v>
      </c>
      <c r="BI412" s="1343">
        <f t="shared" si="3689"/>
        <v>0</v>
      </c>
      <c r="BJ412" s="1343">
        <f t="shared" si="3689"/>
        <v>0</v>
      </c>
      <c r="BK412" s="1343">
        <f t="shared" si="3689"/>
        <v>0</v>
      </c>
      <c r="BL412" s="1343">
        <f t="shared" si="3689"/>
        <v>0</v>
      </c>
      <c r="BM412" s="1343">
        <f t="shared" si="3689"/>
        <v>0</v>
      </c>
      <c r="BN412" s="1343">
        <f t="shared" si="3689"/>
        <v>0</v>
      </c>
      <c r="BO412" s="1343">
        <f t="shared" si="3689"/>
        <v>0</v>
      </c>
      <c r="BP412" s="1343">
        <f t="shared" si="3689"/>
        <v>0</v>
      </c>
      <c r="BQ412" s="1343">
        <f t="shared" si="3689"/>
        <v>0</v>
      </c>
      <c r="BR412" s="1343">
        <f t="shared" si="3689"/>
        <v>0</v>
      </c>
      <c r="BS412" s="1343">
        <f t="shared" si="3689"/>
        <v>0</v>
      </c>
      <c r="BT412" s="1343">
        <f t="shared" si="3689"/>
        <v>0</v>
      </c>
      <c r="BU412" s="1343">
        <f t="shared" si="3689"/>
        <v>0</v>
      </c>
      <c r="BV412" s="1343">
        <f t="shared" si="3689"/>
        <v>0</v>
      </c>
      <c r="BW412" s="1343">
        <f t="shared" si="3689"/>
        <v>0</v>
      </c>
      <c r="BX412" s="1343">
        <f t="shared" si="3689"/>
        <v>0</v>
      </c>
      <c r="BY412" s="1343">
        <f t="shared" si="3689"/>
        <v>0</v>
      </c>
      <c r="BZ412" s="1343">
        <f t="shared" si="3689"/>
        <v>0</v>
      </c>
      <c r="CA412" s="1343">
        <f t="shared" si="3689"/>
        <v>0</v>
      </c>
      <c r="CB412" s="1343">
        <f t="shared" si="3689"/>
        <v>0</v>
      </c>
      <c r="CC412" s="1343">
        <f t="shared" si="3689"/>
        <v>0</v>
      </c>
      <c r="CD412" s="1343">
        <f t="shared" si="3689"/>
        <v>0</v>
      </c>
      <c r="CE412" s="1343">
        <f t="shared" si="3689"/>
        <v>0</v>
      </c>
      <c r="CF412" s="1343">
        <f t="shared" si="3689"/>
        <v>0</v>
      </c>
      <c r="CG412" s="1343">
        <f t="shared" si="3689"/>
        <v>0</v>
      </c>
      <c r="CH412" s="1343">
        <f t="shared" si="3689"/>
        <v>0</v>
      </c>
      <c r="CI412" s="1343">
        <f t="shared" si="3689"/>
        <v>0</v>
      </c>
      <c r="CJ412" s="1343">
        <f t="shared" si="3689"/>
        <v>0</v>
      </c>
      <c r="CK412" s="1343">
        <f t="shared" si="3689"/>
        <v>0</v>
      </c>
      <c r="CL412" s="1343">
        <f t="shared" si="3689"/>
        <v>0</v>
      </c>
      <c r="CM412" s="1343">
        <f t="shared" si="3689"/>
        <v>0</v>
      </c>
      <c r="CN412" s="1343">
        <f t="shared" si="3689"/>
        <v>0</v>
      </c>
    </row>
    <row r="413" spans="3:92" ht="12.75">
      <c r="C413" s="1848" t="s">
        <v>134</v>
      </c>
    </row>
    <row r="414" spans="3:92" ht="12.75">
      <c r="C414" s="1851" t="s">
        <v>385</v>
      </c>
      <c r="AV414" s="1343">
        <f t="shared" ref="AV414:CN414" si="3690">AV191</f>
        <v>4000.0000000000005</v>
      </c>
      <c r="AW414" s="1343">
        <f t="shared" si="3690"/>
        <v>21000</v>
      </c>
      <c r="AX414" s="1343">
        <f t="shared" si="3690"/>
        <v>0</v>
      </c>
      <c r="AY414" s="1343">
        <f t="shared" si="3690"/>
        <v>0</v>
      </c>
      <c r="AZ414" s="1343">
        <f t="shared" si="3690"/>
        <v>0</v>
      </c>
      <c r="BA414" s="1343">
        <f t="shared" si="3690"/>
        <v>0</v>
      </c>
      <c r="BB414" s="1343">
        <f t="shared" si="3690"/>
        <v>0</v>
      </c>
      <c r="BC414" s="1343">
        <f t="shared" si="3690"/>
        <v>506.80000000000007</v>
      </c>
      <c r="BD414" s="1343">
        <f t="shared" si="3690"/>
        <v>25506.799999999999</v>
      </c>
      <c r="BE414" s="1343">
        <f t="shared" si="3690"/>
        <v>25500</v>
      </c>
      <c r="BF414" s="1343">
        <f t="shared" si="3690"/>
        <v>5347.41</v>
      </c>
      <c r="BG414" s="1343">
        <f t="shared" si="3690"/>
        <v>0</v>
      </c>
      <c r="BH414" s="1343">
        <f t="shared" si="3690"/>
        <v>0</v>
      </c>
      <c r="BI414" s="1343">
        <f t="shared" si="3690"/>
        <v>0</v>
      </c>
      <c r="BJ414" s="1343">
        <f t="shared" si="3690"/>
        <v>0</v>
      </c>
      <c r="BK414" s="1343">
        <f t="shared" si="3690"/>
        <v>0</v>
      </c>
      <c r="BL414" s="1343">
        <f t="shared" si="3690"/>
        <v>3230.8500000000004</v>
      </c>
      <c r="BM414" s="1343">
        <f t="shared" si="3690"/>
        <v>34078.26</v>
      </c>
      <c r="BN414" s="1343">
        <f t="shared" si="3690"/>
        <v>0</v>
      </c>
      <c r="BO414" s="1343">
        <f t="shared" si="3690"/>
        <v>0</v>
      </c>
      <c r="BP414" s="1343">
        <f t="shared" si="3690"/>
        <v>0</v>
      </c>
      <c r="BQ414" s="1343">
        <f t="shared" si="3690"/>
        <v>0</v>
      </c>
      <c r="BR414" s="1343">
        <f t="shared" si="3690"/>
        <v>0</v>
      </c>
      <c r="BS414" s="1343">
        <f t="shared" si="3690"/>
        <v>0</v>
      </c>
      <c r="BT414" s="1343">
        <f t="shared" si="3690"/>
        <v>0</v>
      </c>
      <c r="BU414" s="1343">
        <f t="shared" si="3690"/>
        <v>0</v>
      </c>
      <c r="BV414" s="1343">
        <f t="shared" si="3690"/>
        <v>0</v>
      </c>
      <c r="BW414" s="1343">
        <f t="shared" si="3690"/>
        <v>0</v>
      </c>
      <c r="BX414" s="1343">
        <f t="shared" si="3690"/>
        <v>0</v>
      </c>
      <c r="BY414" s="1343">
        <f t="shared" si="3690"/>
        <v>0</v>
      </c>
      <c r="BZ414" s="1343">
        <f t="shared" si="3690"/>
        <v>0</v>
      </c>
      <c r="CA414" s="1343">
        <f t="shared" si="3690"/>
        <v>0</v>
      </c>
      <c r="CB414" s="1343">
        <f t="shared" si="3690"/>
        <v>0</v>
      </c>
      <c r="CC414" s="1343">
        <f t="shared" si="3690"/>
        <v>0</v>
      </c>
      <c r="CD414" s="1343">
        <f t="shared" si="3690"/>
        <v>0</v>
      </c>
      <c r="CE414" s="1343">
        <f t="shared" si="3690"/>
        <v>0</v>
      </c>
      <c r="CF414" s="1343">
        <f t="shared" si="3690"/>
        <v>0</v>
      </c>
      <c r="CG414" s="1343">
        <f t="shared" si="3690"/>
        <v>0</v>
      </c>
      <c r="CH414" s="1343">
        <f t="shared" si="3690"/>
        <v>0</v>
      </c>
      <c r="CI414" s="1343">
        <f t="shared" si="3690"/>
        <v>0</v>
      </c>
      <c r="CJ414" s="1343">
        <f t="shared" si="3690"/>
        <v>0</v>
      </c>
      <c r="CK414" s="1343">
        <f t="shared" si="3690"/>
        <v>0</v>
      </c>
      <c r="CL414" s="1343">
        <f t="shared" si="3690"/>
        <v>0</v>
      </c>
      <c r="CM414" s="1343">
        <f t="shared" si="3690"/>
        <v>0</v>
      </c>
      <c r="CN414" s="1343">
        <f t="shared" si="3690"/>
        <v>0</v>
      </c>
    </row>
    <row r="415" spans="3:92" ht="12.75">
      <c r="C415" s="1851" t="s">
        <v>408</v>
      </c>
      <c r="AV415" s="1343">
        <f t="shared" ref="AV415:CN415" si="3691">AV194</f>
        <v>0</v>
      </c>
      <c r="AW415" s="1343">
        <f t="shared" si="3691"/>
        <v>0</v>
      </c>
      <c r="AX415" s="1343">
        <f t="shared" si="3691"/>
        <v>0</v>
      </c>
      <c r="AY415" s="1343">
        <f t="shared" si="3691"/>
        <v>0</v>
      </c>
      <c r="AZ415" s="1343">
        <f t="shared" si="3691"/>
        <v>0</v>
      </c>
      <c r="BA415" s="1343">
        <f t="shared" si="3691"/>
        <v>0</v>
      </c>
      <c r="BB415" s="1343">
        <f t="shared" si="3691"/>
        <v>0</v>
      </c>
      <c r="BC415" s="1343">
        <f t="shared" si="3691"/>
        <v>0</v>
      </c>
      <c r="BD415" s="1343">
        <f t="shared" si="3691"/>
        <v>0</v>
      </c>
      <c r="BE415" s="1343">
        <f t="shared" si="3691"/>
        <v>0</v>
      </c>
      <c r="BF415" s="1343">
        <f t="shared" si="3691"/>
        <v>0</v>
      </c>
      <c r="BG415" s="1343">
        <f t="shared" si="3691"/>
        <v>0</v>
      </c>
      <c r="BH415" s="1343">
        <f t="shared" si="3691"/>
        <v>0</v>
      </c>
      <c r="BI415" s="1343">
        <f t="shared" si="3691"/>
        <v>0</v>
      </c>
      <c r="BJ415" s="1343">
        <f t="shared" si="3691"/>
        <v>0</v>
      </c>
      <c r="BK415" s="1343">
        <f t="shared" si="3691"/>
        <v>0</v>
      </c>
      <c r="BL415" s="1343">
        <f t="shared" si="3691"/>
        <v>0</v>
      </c>
      <c r="BM415" s="1343">
        <f t="shared" si="3691"/>
        <v>0</v>
      </c>
      <c r="BN415" s="1343">
        <f t="shared" si="3691"/>
        <v>0</v>
      </c>
      <c r="BO415" s="1343">
        <f t="shared" si="3691"/>
        <v>0</v>
      </c>
      <c r="BP415" s="1343">
        <f t="shared" si="3691"/>
        <v>0</v>
      </c>
      <c r="BQ415" s="1343">
        <f t="shared" si="3691"/>
        <v>0</v>
      </c>
      <c r="BR415" s="1343">
        <f t="shared" si="3691"/>
        <v>0</v>
      </c>
      <c r="BS415" s="1343">
        <f t="shared" si="3691"/>
        <v>0</v>
      </c>
      <c r="BT415" s="1343">
        <f t="shared" si="3691"/>
        <v>0</v>
      </c>
      <c r="BU415" s="1343">
        <f t="shared" si="3691"/>
        <v>0</v>
      </c>
      <c r="BV415" s="1343">
        <f t="shared" si="3691"/>
        <v>0</v>
      </c>
      <c r="BW415" s="1343">
        <f t="shared" si="3691"/>
        <v>0</v>
      </c>
      <c r="BX415" s="1343">
        <f t="shared" si="3691"/>
        <v>0</v>
      </c>
      <c r="BY415" s="1343">
        <f t="shared" si="3691"/>
        <v>0</v>
      </c>
      <c r="BZ415" s="1343">
        <f t="shared" si="3691"/>
        <v>0</v>
      </c>
      <c r="CA415" s="1343">
        <f t="shared" si="3691"/>
        <v>0</v>
      </c>
      <c r="CB415" s="1343">
        <f t="shared" si="3691"/>
        <v>0</v>
      </c>
      <c r="CC415" s="1343">
        <f t="shared" si="3691"/>
        <v>0</v>
      </c>
      <c r="CD415" s="1343">
        <f t="shared" si="3691"/>
        <v>0</v>
      </c>
      <c r="CE415" s="1343">
        <f t="shared" si="3691"/>
        <v>0</v>
      </c>
      <c r="CF415" s="1343">
        <f t="shared" si="3691"/>
        <v>0</v>
      </c>
      <c r="CG415" s="1343">
        <f t="shared" si="3691"/>
        <v>0</v>
      </c>
      <c r="CH415" s="1343">
        <f t="shared" si="3691"/>
        <v>0</v>
      </c>
      <c r="CI415" s="1343">
        <f t="shared" si="3691"/>
        <v>0</v>
      </c>
      <c r="CJ415" s="1343">
        <f t="shared" si="3691"/>
        <v>0</v>
      </c>
      <c r="CK415" s="1343">
        <f t="shared" si="3691"/>
        <v>0</v>
      </c>
      <c r="CL415" s="1343">
        <f t="shared" si="3691"/>
        <v>0</v>
      </c>
      <c r="CM415" s="1343">
        <f t="shared" si="3691"/>
        <v>0</v>
      </c>
      <c r="CN415" s="1343">
        <f t="shared" si="3691"/>
        <v>0</v>
      </c>
    </row>
    <row r="416" spans="3:92" ht="12.75">
      <c r="C416" s="1851" t="s">
        <v>409</v>
      </c>
      <c r="AV416" s="1343">
        <f t="shared" ref="AV416:CN416" si="3692">AV196</f>
        <v>0</v>
      </c>
      <c r="AW416" s="1343">
        <f t="shared" si="3692"/>
        <v>0</v>
      </c>
      <c r="AX416" s="1343">
        <f t="shared" si="3692"/>
        <v>0</v>
      </c>
      <c r="AY416" s="1343">
        <f t="shared" si="3692"/>
        <v>0</v>
      </c>
      <c r="AZ416" s="1343">
        <f t="shared" si="3692"/>
        <v>0</v>
      </c>
      <c r="BA416" s="1343">
        <f t="shared" si="3692"/>
        <v>0</v>
      </c>
      <c r="BB416" s="1343">
        <f t="shared" si="3692"/>
        <v>0</v>
      </c>
      <c r="BC416" s="1343">
        <f t="shared" si="3692"/>
        <v>0</v>
      </c>
      <c r="BD416" s="1343">
        <f t="shared" si="3692"/>
        <v>0</v>
      </c>
      <c r="BE416" s="1343">
        <f t="shared" si="3692"/>
        <v>0</v>
      </c>
      <c r="BF416" s="1343">
        <f t="shared" si="3692"/>
        <v>0</v>
      </c>
      <c r="BG416" s="1343">
        <f t="shared" si="3692"/>
        <v>0</v>
      </c>
      <c r="BH416" s="1343">
        <f t="shared" si="3692"/>
        <v>0</v>
      </c>
      <c r="BI416" s="1343">
        <f t="shared" si="3692"/>
        <v>0</v>
      </c>
      <c r="BJ416" s="1343">
        <f t="shared" si="3692"/>
        <v>0</v>
      </c>
      <c r="BK416" s="1343">
        <f t="shared" si="3692"/>
        <v>0</v>
      </c>
      <c r="BL416" s="1343">
        <f t="shared" si="3692"/>
        <v>0</v>
      </c>
      <c r="BM416" s="1343">
        <f t="shared" si="3692"/>
        <v>0</v>
      </c>
      <c r="BN416" s="1343">
        <f t="shared" si="3692"/>
        <v>0</v>
      </c>
      <c r="BO416" s="1343">
        <f t="shared" si="3692"/>
        <v>0</v>
      </c>
      <c r="BP416" s="1343">
        <f t="shared" si="3692"/>
        <v>0</v>
      </c>
      <c r="BQ416" s="1343">
        <f t="shared" si="3692"/>
        <v>0</v>
      </c>
      <c r="BR416" s="1343">
        <f t="shared" si="3692"/>
        <v>0</v>
      </c>
      <c r="BS416" s="1343">
        <f t="shared" si="3692"/>
        <v>0</v>
      </c>
      <c r="BT416" s="1343">
        <f t="shared" si="3692"/>
        <v>0</v>
      </c>
      <c r="BU416" s="1343">
        <f t="shared" si="3692"/>
        <v>0</v>
      </c>
      <c r="BV416" s="1343">
        <f t="shared" si="3692"/>
        <v>0</v>
      </c>
      <c r="BW416" s="1343">
        <f t="shared" si="3692"/>
        <v>0</v>
      </c>
      <c r="BX416" s="1343">
        <f t="shared" si="3692"/>
        <v>0</v>
      </c>
      <c r="BY416" s="1343">
        <f t="shared" si="3692"/>
        <v>0</v>
      </c>
      <c r="BZ416" s="1343">
        <f t="shared" si="3692"/>
        <v>0</v>
      </c>
      <c r="CA416" s="1343">
        <f t="shared" si="3692"/>
        <v>0</v>
      </c>
      <c r="CB416" s="1343">
        <f t="shared" si="3692"/>
        <v>0</v>
      </c>
      <c r="CC416" s="1343">
        <f t="shared" si="3692"/>
        <v>0</v>
      </c>
      <c r="CD416" s="1343">
        <f t="shared" si="3692"/>
        <v>0</v>
      </c>
      <c r="CE416" s="1343">
        <f t="shared" si="3692"/>
        <v>0</v>
      </c>
      <c r="CF416" s="1343">
        <f t="shared" si="3692"/>
        <v>0</v>
      </c>
      <c r="CG416" s="1343">
        <f t="shared" si="3692"/>
        <v>0</v>
      </c>
      <c r="CH416" s="1343">
        <f t="shared" si="3692"/>
        <v>0</v>
      </c>
      <c r="CI416" s="1343">
        <f t="shared" si="3692"/>
        <v>0</v>
      </c>
      <c r="CJ416" s="1343">
        <f t="shared" si="3692"/>
        <v>0</v>
      </c>
      <c r="CK416" s="1343">
        <f t="shared" si="3692"/>
        <v>0</v>
      </c>
      <c r="CL416" s="1343">
        <f t="shared" si="3692"/>
        <v>0</v>
      </c>
      <c r="CM416" s="1343">
        <f t="shared" si="3692"/>
        <v>0</v>
      </c>
      <c r="CN416" s="1343">
        <f t="shared" si="3692"/>
        <v>0</v>
      </c>
    </row>
    <row r="417" spans="1:261" s="1852" customFormat="1" ht="12.75">
      <c r="A417" s="1324"/>
      <c r="B417" s="1571"/>
      <c r="C417" s="1851" t="s">
        <v>386</v>
      </c>
      <c r="D417" s="1331"/>
      <c r="E417" s="1343"/>
      <c r="F417" s="1343"/>
      <c r="G417" s="1343"/>
      <c r="H417" s="1343"/>
      <c r="I417" s="1344"/>
      <c r="J417" s="1344"/>
      <c r="K417" s="1344"/>
      <c r="L417" s="1344"/>
      <c r="M417" s="1344"/>
      <c r="N417" s="1344"/>
      <c r="O417" s="1343"/>
      <c r="P417" s="1343"/>
      <c r="Q417" s="1343"/>
      <c r="R417" s="1343"/>
      <c r="S417" s="1343"/>
      <c r="T417" s="1343"/>
      <c r="U417" s="1343"/>
      <c r="V417" s="1343"/>
      <c r="W417" s="1343"/>
      <c r="X417" s="1343"/>
      <c r="Y417" s="1343"/>
      <c r="Z417" s="1343"/>
      <c r="AA417" s="1343"/>
      <c r="AB417" s="1343"/>
      <c r="AC417" s="1343"/>
      <c r="AD417" s="1343"/>
      <c r="AE417" s="1343"/>
      <c r="AF417" s="1433"/>
      <c r="AG417" s="1433"/>
      <c r="AH417" s="1433"/>
      <c r="AI417" s="1433"/>
      <c r="AJ417" s="1343"/>
      <c r="AK417" s="1343"/>
      <c r="AL417" s="1343"/>
      <c r="AM417" s="1343"/>
      <c r="AN417" s="1343"/>
      <c r="AO417" s="1343"/>
      <c r="AP417" s="1343"/>
      <c r="AQ417" s="1343"/>
      <c r="AR417" s="1343"/>
      <c r="AS417" s="1343"/>
      <c r="AT417" s="1343"/>
      <c r="AU417" s="1331"/>
      <c r="AV417" s="1343">
        <f t="shared" ref="AV417:CN417" si="3693">AV199</f>
        <v>0</v>
      </c>
      <c r="AW417" s="1343">
        <f t="shared" si="3693"/>
        <v>0</v>
      </c>
      <c r="AX417" s="1343">
        <f t="shared" si="3693"/>
        <v>0</v>
      </c>
      <c r="AY417" s="1343">
        <f t="shared" si="3693"/>
        <v>0</v>
      </c>
      <c r="AZ417" s="1343">
        <f t="shared" si="3693"/>
        <v>0</v>
      </c>
      <c r="BA417" s="1343">
        <f t="shared" si="3693"/>
        <v>0</v>
      </c>
      <c r="BB417" s="1343">
        <f t="shared" si="3693"/>
        <v>0</v>
      </c>
      <c r="BC417" s="1343">
        <f t="shared" si="3693"/>
        <v>0</v>
      </c>
      <c r="BD417" s="1343">
        <f t="shared" si="3693"/>
        <v>0</v>
      </c>
      <c r="BE417" s="1343">
        <f t="shared" si="3693"/>
        <v>0</v>
      </c>
      <c r="BF417" s="1343">
        <f t="shared" si="3693"/>
        <v>0</v>
      </c>
      <c r="BG417" s="1343">
        <f t="shared" si="3693"/>
        <v>0</v>
      </c>
      <c r="BH417" s="1343">
        <f t="shared" si="3693"/>
        <v>0</v>
      </c>
      <c r="BI417" s="1343">
        <f t="shared" si="3693"/>
        <v>0</v>
      </c>
      <c r="BJ417" s="1343">
        <f t="shared" si="3693"/>
        <v>0</v>
      </c>
      <c r="BK417" s="1343">
        <f t="shared" si="3693"/>
        <v>0</v>
      </c>
      <c r="BL417" s="1343">
        <f t="shared" si="3693"/>
        <v>0</v>
      </c>
      <c r="BM417" s="1343">
        <f t="shared" si="3693"/>
        <v>0</v>
      </c>
      <c r="BN417" s="1343">
        <f t="shared" si="3693"/>
        <v>0</v>
      </c>
      <c r="BO417" s="1343">
        <f t="shared" si="3693"/>
        <v>0</v>
      </c>
      <c r="BP417" s="1343">
        <f t="shared" si="3693"/>
        <v>0</v>
      </c>
      <c r="BQ417" s="1343">
        <f t="shared" si="3693"/>
        <v>0</v>
      </c>
      <c r="BR417" s="1343">
        <f t="shared" si="3693"/>
        <v>0</v>
      </c>
      <c r="BS417" s="1343">
        <f t="shared" si="3693"/>
        <v>0</v>
      </c>
      <c r="BT417" s="1343">
        <f t="shared" si="3693"/>
        <v>0</v>
      </c>
      <c r="BU417" s="1343">
        <f t="shared" si="3693"/>
        <v>0</v>
      </c>
      <c r="BV417" s="1343">
        <f t="shared" si="3693"/>
        <v>0</v>
      </c>
      <c r="BW417" s="1343">
        <f t="shared" si="3693"/>
        <v>0</v>
      </c>
      <c r="BX417" s="1343">
        <f t="shared" si="3693"/>
        <v>0</v>
      </c>
      <c r="BY417" s="1343">
        <f t="shared" si="3693"/>
        <v>0</v>
      </c>
      <c r="BZ417" s="1343">
        <f t="shared" si="3693"/>
        <v>0</v>
      </c>
      <c r="CA417" s="1343">
        <f t="shared" si="3693"/>
        <v>0</v>
      </c>
      <c r="CB417" s="1343">
        <f t="shared" si="3693"/>
        <v>0</v>
      </c>
      <c r="CC417" s="1343">
        <f t="shared" si="3693"/>
        <v>0</v>
      </c>
      <c r="CD417" s="1343">
        <f t="shared" si="3693"/>
        <v>0</v>
      </c>
      <c r="CE417" s="1343">
        <f t="shared" si="3693"/>
        <v>0</v>
      </c>
      <c r="CF417" s="1343">
        <f t="shared" si="3693"/>
        <v>0</v>
      </c>
      <c r="CG417" s="1343">
        <f t="shared" si="3693"/>
        <v>0</v>
      </c>
      <c r="CH417" s="1343">
        <f t="shared" si="3693"/>
        <v>0</v>
      </c>
      <c r="CI417" s="1343">
        <f t="shared" si="3693"/>
        <v>0</v>
      </c>
      <c r="CJ417" s="1343">
        <f t="shared" si="3693"/>
        <v>0</v>
      </c>
      <c r="CK417" s="1343">
        <f t="shared" si="3693"/>
        <v>0</v>
      </c>
      <c r="CL417" s="1343">
        <f t="shared" si="3693"/>
        <v>0</v>
      </c>
      <c r="CM417" s="1343">
        <f t="shared" si="3693"/>
        <v>0</v>
      </c>
      <c r="CN417" s="1343">
        <f t="shared" si="3693"/>
        <v>0</v>
      </c>
      <c r="CO417" s="1338"/>
      <c r="CP417" s="1331"/>
      <c r="CQ417" s="1343"/>
      <c r="CR417" s="1343"/>
      <c r="CS417" s="1343"/>
      <c r="CT417" s="1343"/>
      <c r="CU417" s="1343"/>
      <c r="CV417" s="1343"/>
      <c r="CW417" s="1343"/>
      <c r="CX417" s="1343"/>
      <c r="CY417" s="1343"/>
      <c r="CZ417" s="1343"/>
      <c r="DA417" s="1343"/>
      <c r="DB417" s="1343"/>
      <c r="DC417" s="1343"/>
      <c r="DD417" s="1343"/>
      <c r="DE417" s="1343"/>
      <c r="DF417" s="1343"/>
      <c r="DG417" s="1343"/>
      <c r="DH417" s="1343"/>
      <c r="DI417" s="1343"/>
      <c r="DJ417" s="1343"/>
      <c r="DK417" s="1343"/>
      <c r="DL417" s="1343"/>
      <c r="DM417" s="1343"/>
      <c r="DN417" s="1343"/>
      <c r="DO417" s="1343"/>
      <c r="DP417" s="1343"/>
      <c r="DQ417" s="1343"/>
      <c r="DR417" s="1343"/>
      <c r="DS417" s="1343"/>
      <c r="DT417" s="1343"/>
      <c r="DU417" s="1343"/>
      <c r="DV417" s="1343"/>
      <c r="DW417" s="1343"/>
      <c r="DX417" s="1343"/>
      <c r="DY417" s="1343"/>
      <c r="DZ417" s="1343"/>
      <c r="EA417" s="1343"/>
      <c r="EB417" s="1343"/>
      <c r="EC417" s="1343"/>
      <c r="ED417" s="1343"/>
      <c r="EE417" s="1343"/>
      <c r="EF417" s="1343"/>
      <c r="EG417" s="1343"/>
      <c r="EH417" s="1343"/>
      <c r="EI417" s="1343"/>
      <c r="EJ417" s="1338"/>
      <c r="EK417" s="1324"/>
      <c r="EL417" s="1331"/>
      <c r="EM417" s="1331"/>
      <c r="EN417" s="1331"/>
      <c r="EO417" s="1331"/>
      <c r="EP417" s="1331"/>
      <c r="EQ417" s="1331"/>
      <c r="ER417" s="1331"/>
      <c r="ES417" s="1331"/>
      <c r="ET417" s="1331"/>
      <c r="EU417" s="1331"/>
      <c r="EV417" s="1331"/>
      <c r="EW417" s="1331"/>
      <c r="EX417" s="1331"/>
      <c r="EY417" s="1331"/>
      <c r="EZ417" s="1331"/>
      <c r="FA417" s="1331"/>
      <c r="FB417" s="1331"/>
      <c r="FC417" s="1331"/>
      <c r="FD417" s="1331"/>
      <c r="FE417" s="1331"/>
      <c r="FF417" s="1331"/>
      <c r="FG417" s="1331"/>
      <c r="FH417" s="1331"/>
      <c r="FI417" s="1331"/>
      <c r="FJ417" s="1331"/>
      <c r="FK417" s="1331"/>
      <c r="FL417" s="1331"/>
      <c r="FM417" s="1331"/>
      <c r="FN417" s="1331"/>
      <c r="FO417" s="1331"/>
      <c r="FP417" s="1331"/>
      <c r="FQ417" s="1331"/>
      <c r="FR417" s="1331"/>
      <c r="FS417" s="1331"/>
      <c r="FT417" s="1331"/>
      <c r="FU417" s="1331"/>
      <c r="FV417" s="1331"/>
      <c r="FW417" s="1331"/>
      <c r="FX417" s="1331"/>
      <c r="FY417" s="1331"/>
      <c r="FZ417" s="1331"/>
      <c r="GA417" s="1331"/>
      <c r="GB417" s="1331"/>
      <c r="GC417" s="1331"/>
      <c r="GD417" s="1331"/>
      <c r="GE417" s="1331"/>
      <c r="GF417" s="1331"/>
      <c r="GG417" s="1331"/>
      <c r="GH417" s="1331"/>
      <c r="GI417" s="1331"/>
      <c r="GJ417" s="1331"/>
      <c r="GK417" s="1331"/>
      <c r="GL417" s="1331"/>
      <c r="GM417" s="1331"/>
      <c r="GN417" s="1331"/>
      <c r="GO417" s="1331"/>
      <c r="GP417" s="1331"/>
      <c r="GQ417" s="1331"/>
      <c r="GR417" s="1331"/>
      <c r="GS417" s="1331"/>
      <c r="GT417" s="1331"/>
      <c r="GU417" s="1331"/>
      <c r="GV417" s="1331"/>
      <c r="GW417" s="1331"/>
      <c r="GX417" s="1331"/>
      <c r="GY417" s="1331"/>
      <c r="GZ417" s="1331"/>
      <c r="HA417" s="1331"/>
      <c r="HB417" s="1331"/>
      <c r="HC417" s="1331"/>
      <c r="HD417" s="1331"/>
      <c r="HE417" s="1331"/>
      <c r="HF417" s="1331"/>
      <c r="HG417" s="1331"/>
      <c r="HH417" s="1331"/>
      <c r="HI417" s="1331"/>
      <c r="HJ417" s="1331"/>
      <c r="HK417" s="1331"/>
      <c r="HL417" s="1331"/>
      <c r="HM417" s="1331"/>
      <c r="HN417" s="1331"/>
      <c r="HO417" s="1331"/>
      <c r="HP417" s="1331"/>
      <c r="HQ417" s="1331"/>
      <c r="HR417" s="1331"/>
      <c r="HS417" s="1331"/>
      <c r="HT417" s="1331"/>
      <c r="HU417" s="1331"/>
      <c r="HV417" s="1331"/>
      <c r="HW417" s="1331"/>
      <c r="HX417" s="1331"/>
      <c r="HY417" s="1331"/>
      <c r="HZ417" s="1331"/>
      <c r="IA417" s="1331"/>
      <c r="IB417" s="1331"/>
      <c r="IC417" s="1331"/>
      <c r="ID417" s="1331"/>
      <c r="IE417" s="1331"/>
      <c r="IF417" s="1331"/>
      <c r="IG417" s="1331"/>
      <c r="IH417" s="1331"/>
      <c r="II417" s="1331"/>
      <c r="IJ417" s="1331"/>
      <c r="IK417" s="1331"/>
      <c r="IL417" s="1331"/>
      <c r="IM417" s="1331"/>
      <c r="IN417" s="1331"/>
      <c r="IO417" s="1331"/>
      <c r="IP417" s="1331"/>
      <c r="IQ417" s="1331"/>
      <c r="IR417" s="1331"/>
      <c r="IS417" s="1331"/>
      <c r="IT417" s="1331"/>
      <c r="IU417" s="1331"/>
      <c r="IV417" s="1331"/>
      <c r="IW417" s="1331"/>
      <c r="IX417" s="1331"/>
      <c r="IY417" s="1331"/>
      <c r="IZ417" s="1331"/>
      <c r="JA417" s="1331"/>
    </row>
    <row r="418" spans="1:261" ht="12.75">
      <c r="C418" s="1848" t="s">
        <v>138</v>
      </c>
    </row>
    <row r="419" spans="1:261" ht="12.75">
      <c r="C419" s="1851" t="s">
        <v>406</v>
      </c>
      <c r="AV419" s="1343">
        <f t="shared" ref="AV419:CN419" si="3694">AV226</f>
        <v>0</v>
      </c>
      <c r="AW419" s="1343">
        <f t="shared" si="3694"/>
        <v>0</v>
      </c>
      <c r="AX419" s="1343">
        <f t="shared" si="3694"/>
        <v>0</v>
      </c>
      <c r="AY419" s="1343">
        <f t="shared" si="3694"/>
        <v>0</v>
      </c>
      <c r="AZ419" s="1343">
        <f t="shared" si="3694"/>
        <v>0</v>
      </c>
      <c r="BA419" s="1343">
        <f t="shared" si="3694"/>
        <v>0</v>
      </c>
      <c r="BB419" s="1343">
        <f t="shared" si="3694"/>
        <v>0</v>
      </c>
      <c r="BC419" s="1343">
        <f t="shared" si="3694"/>
        <v>0</v>
      </c>
      <c r="BD419" s="1343">
        <f t="shared" si="3694"/>
        <v>0</v>
      </c>
      <c r="BE419" s="1343">
        <f t="shared" si="3694"/>
        <v>6332.76</v>
      </c>
      <c r="BF419" s="1343">
        <f t="shared" si="3694"/>
        <v>6749.97</v>
      </c>
      <c r="BG419" s="1343">
        <f t="shared" si="3694"/>
        <v>0</v>
      </c>
      <c r="BH419" s="1343">
        <f t="shared" si="3694"/>
        <v>0</v>
      </c>
      <c r="BI419" s="1343">
        <f t="shared" si="3694"/>
        <v>0</v>
      </c>
      <c r="BJ419" s="1343">
        <f t="shared" si="3694"/>
        <v>0</v>
      </c>
      <c r="BK419" s="1343">
        <f t="shared" si="3694"/>
        <v>0</v>
      </c>
      <c r="BL419" s="1343">
        <f t="shared" si="3694"/>
        <v>802.36069200000009</v>
      </c>
      <c r="BM419" s="1343">
        <f t="shared" si="3694"/>
        <v>13885.090691999998</v>
      </c>
      <c r="BN419" s="1343">
        <f t="shared" si="3694"/>
        <v>0</v>
      </c>
      <c r="BO419" s="1343">
        <f t="shared" si="3694"/>
        <v>0</v>
      </c>
      <c r="BP419" s="1343">
        <f t="shared" si="3694"/>
        <v>0</v>
      </c>
      <c r="BQ419" s="1343">
        <f t="shared" si="3694"/>
        <v>0</v>
      </c>
      <c r="BR419" s="1343">
        <f t="shared" si="3694"/>
        <v>0</v>
      </c>
      <c r="BS419" s="1343">
        <f t="shared" si="3694"/>
        <v>0</v>
      </c>
      <c r="BT419" s="1343">
        <f t="shared" si="3694"/>
        <v>0</v>
      </c>
      <c r="BU419" s="1343">
        <f t="shared" si="3694"/>
        <v>0</v>
      </c>
      <c r="BV419" s="1343">
        <f t="shared" si="3694"/>
        <v>0</v>
      </c>
      <c r="BW419" s="1343">
        <f t="shared" si="3694"/>
        <v>0</v>
      </c>
      <c r="BX419" s="1343">
        <f t="shared" si="3694"/>
        <v>0</v>
      </c>
      <c r="BY419" s="1343">
        <f t="shared" si="3694"/>
        <v>0</v>
      </c>
      <c r="BZ419" s="1343">
        <f t="shared" si="3694"/>
        <v>0</v>
      </c>
      <c r="CA419" s="1343">
        <f t="shared" si="3694"/>
        <v>0</v>
      </c>
      <c r="CB419" s="1343">
        <f t="shared" si="3694"/>
        <v>0</v>
      </c>
      <c r="CC419" s="1343">
        <f t="shared" si="3694"/>
        <v>0</v>
      </c>
      <c r="CD419" s="1343">
        <f t="shared" si="3694"/>
        <v>0</v>
      </c>
      <c r="CE419" s="1343">
        <f t="shared" si="3694"/>
        <v>0</v>
      </c>
      <c r="CF419" s="1343">
        <f t="shared" si="3694"/>
        <v>0</v>
      </c>
      <c r="CG419" s="1343">
        <f t="shared" si="3694"/>
        <v>0</v>
      </c>
      <c r="CH419" s="1343">
        <f t="shared" si="3694"/>
        <v>0</v>
      </c>
      <c r="CI419" s="1343">
        <f t="shared" si="3694"/>
        <v>0</v>
      </c>
      <c r="CJ419" s="1343">
        <f t="shared" si="3694"/>
        <v>0</v>
      </c>
      <c r="CK419" s="1343">
        <f t="shared" si="3694"/>
        <v>0</v>
      </c>
      <c r="CL419" s="1343">
        <f t="shared" si="3694"/>
        <v>0</v>
      </c>
      <c r="CM419" s="1343">
        <f t="shared" si="3694"/>
        <v>0</v>
      </c>
      <c r="CN419" s="1343">
        <f t="shared" si="3694"/>
        <v>0</v>
      </c>
    </row>
    <row r="420" spans="1:261" ht="12.75">
      <c r="C420" s="1851" t="s">
        <v>407</v>
      </c>
      <c r="AV420" s="1343">
        <f t="shared" ref="AV420:CN420" si="3695">AV221</f>
        <v>0</v>
      </c>
      <c r="AW420" s="1343">
        <f t="shared" si="3695"/>
        <v>0</v>
      </c>
      <c r="AX420" s="1343">
        <f t="shared" si="3695"/>
        <v>0</v>
      </c>
      <c r="AY420" s="1343">
        <f t="shared" si="3695"/>
        <v>0</v>
      </c>
      <c r="AZ420" s="1343">
        <f t="shared" si="3695"/>
        <v>0</v>
      </c>
      <c r="BA420" s="1343">
        <f t="shared" si="3695"/>
        <v>0</v>
      </c>
      <c r="BB420" s="1343">
        <f t="shared" si="3695"/>
        <v>0</v>
      </c>
      <c r="BC420" s="1343">
        <f t="shared" si="3695"/>
        <v>0</v>
      </c>
      <c r="BD420" s="1343">
        <f t="shared" si="3695"/>
        <v>0</v>
      </c>
      <c r="BE420" s="1343">
        <f t="shared" si="3695"/>
        <v>0</v>
      </c>
      <c r="BF420" s="1343">
        <f t="shared" si="3695"/>
        <v>0</v>
      </c>
      <c r="BG420" s="1343">
        <f t="shared" si="3695"/>
        <v>0</v>
      </c>
      <c r="BH420" s="1343">
        <f t="shared" si="3695"/>
        <v>0</v>
      </c>
      <c r="BI420" s="1343">
        <f t="shared" si="3695"/>
        <v>0</v>
      </c>
      <c r="BJ420" s="1343">
        <f t="shared" si="3695"/>
        <v>0</v>
      </c>
      <c r="BK420" s="1343">
        <f t="shared" si="3695"/>
        <v>0</v>
      </c>
      <c r="BL420" s="1343">
        <f t="shared" si="3695"/>
        <v>0</v>
      </c>
      <c r="BM420" s="1343">
        <f t="shared" si="3695"/>
        <v>0</v>
      </c>
      <c r="BN420" s="1343">
        <f t="shared" si="3695"/>
        <v>0</v>
      </c>
      <c r="BO420" s="1343">
        <f t="shared" si="3695"/>
        <v>0</v>
      </c>
      <c r="BP420" s="1343">
        <f t="shared" si="3695"/>
        <v>0</v>
      </c>
      <c r="BQ420" s="1343">
        <f t="shared" si="3695"/>
        <v>0</v>
      </c>
      <c r="BR420" s="1343">
        <f t="shared" si="3695"/>
        <v>0</v>
      </c>
      <c r="BS420" s="1343">
        <f t="shared" si="3695"/>
        <v>0</v>
      </c>
      <c r="BT420" s="1343">
        <f t="shared" si="3695"/>
        <v>0</v>
      </c>
      <c r="BU420" s="1343">
        <f t="shared" si="3695"/>
        <v>0</v>
      </c>
      <c r="BV420" s="1343">
        <f t="shared" si="3695"/>
        <v>0</v>
      </c>
      <c r="BW420" s="1343">
        <f t="shared" si="3695"/>
        <v>0</v>
      </c>
      <c r="BX420" s="1343">
        <f t="shared" si="3695"/>
        <v>0</v>
      </c>
      <c r="BY420" s="1343">
        <f t="shared" si="3695"/>
        <v>0</v>
      </c>
      <c r="BZ420" s="1343">
        <f t="shared" si="3695"/>
        <v>0</v>
      </c>
      <c r="CA420" s="1343">
        <f t="shared" si="3695"/>
        <v>0</v>
      </c>
      <c r="CB420" s="1343">
        <f t="shared" si="3695"/>
        <v>0</v>
      </c>
      <c r="CC420" s="1343">
        <f t="shared" si="3695"/>
        <v>0</v>
      </c>
      <c r="CD420" s="1343">
        <f t="shared" si="3695"/>
        <v>0</v>
      </c>
      <c r="CE420" s="1343">
        <f t="shared" si="3695"/>
        <v>0</v>
      </c>
      <c r="CF420" s="1343">
        <f t="shared" si="3695"/>
        <v>0</v>
      </c>
      <c r="CG420" s="1343">
        <f t="shared" si="3695"/>
        <v>0</v>
      </c>
      <c r="CH420" s="1343">
        <f t="shared" si="3695"/>
        <v>0</v>
      </c>
      <c r="CI420" s="1343">
        <f t="shared" si="3695"/>
        <v>0</v>
      </c>
      <c r="CJ420" s="1343">
        <f t="shared" si="3695"/>
        <v>0</v>
      </c>
      <c r="CK420" s="1343">
        <f t="shared" si="3695"/>
        <v>0</v>
      </c>
      <c r="CL420" s="1343">
        <f t="shared" si="3695"/>
        <v>0</v>
      </c>
      <c r="CM420" s="1343">
        <f t="shared" si="3695"/>
        <v>0</v>
      </c>
      <c r="CN420" s="1343">
        <f t="shared" si="3695"/>
        <v>0</v>
      </c>
    </row>
    <row r="421" spans="1:261" ht="13.5" thickBot="1">
      <c r="B421" s="1848" t="s">
        <v>204</v>
      </c>
      <c r="C421" s="1853" t="s">
        <v>204</v>
      </c>
      <c r="D421" s="1852"/>
      <c r="E421" s="1854"/>
      <c r="F421" s="1854"/>
      <c r="G421" s="1854"/>
      <c r="H421" s="1854"/>
      <c r="I421" s="1855"/>
      <c r="J421" s="1855"/>
      <c r="K421" s="1855"/>
      <c r="L421" s="1855"/>
      <c r="M421" s="1855"/>
      <c r="N421" s="1855"/>
      <c r="O421" s="1854"/>
      <c r="P421" s="1854"/>
      <c r="Q421" s="1854"/>
      <c r="R421" s="1854"/>
      <c r="S421" s="1854"/>
      <c r="T421" s="1854"/>
      <c r="U421" s="1854"/>
      <c r="V421" s="1854"/>
      <c r="W421" s="1854"/>
      <c r="X421" s="1854"/>
      <c r="Y421" s="1854"/>
      <c r="Z421" s="1854"/>
      <c r="AA421" s="1854"/>
      <c r="AB421" s="1854"/>
      <c r="AC421" s="1854"/>
      <c r="AD421" s="1854"/>
      <c r="AE421" s="1854"/>
      <c r="AF421" s="1460"/>
      <c r="AG421" s="1460"/>
      <c r="AH421" s="1460"/>
      <c r="AI421" s="1460"/>
      <c r="AJ421" s="1854"/>
      <c r="AK421" s="1854"/>
      <c r="AL421" s="1854"/>
      <c r="AM421" s="1854"/>
      <c r="AN421" s="1854"/>
      <c r="AO421" s="1854"/>
      <c r="AP421" s="1854"/>
      <c r="AQ421" s="1854"/>
      <c r="AR421" s="1854"/>
      <c r="AS421" s="1854"/>
      <c r="AT421" s="1854"/>
      <c r="AU421" s="1852"/>
      <c r="AV421" s="1856">
        <f t="shared" ref="AV421:CN421" si="3696">SUM(AV381:AV420)</f>
        <v>316310.99153333332</v>
      </c>
      <c r="AW421" s="1856">
        <f t="shared" si="3696"/>
        <v>336502.74299999996</v>
      </c>
      <c r="AX421" s="1856">
        <f t="shared" si="3696"/>
        <v>117.5</v>
      </c>
      <c r="AY421" s="1856">
        <f t="shared" si="3696"/>
        <v>2325.3103125000002</v>
      </c>
      <c r="AZ421" s="1856">
        <f t="shared" si="3696"/>
        <v>12</v>
      </c>
      <c r="BA421" s="1856">
        <f t="shared" si="3696"/>
        <v>316.63800000000003</v>
      </c>
      <c r="BB421" s="1856">
        <f t="shared" si="3696"/>
        <v>0</v>
      </c>
      <c r="BC421" s="1856">
        <f t="shared" si="3696"/>
        <v>40411.337478467089</v>
      </c>
      <c r="BD421" s="1856">
        <f t="shared" si="3696"/>
        <v>695867.02032430039</v>
      </c>
      <c r="BE421" s="1856">
        <f t="shared" si="3696"/>
        <v>232955.00380000003</v>
      </c>
      <c r="BF421" s="1856">
        <f t="shared" si="3696"/>
        <v>124872.53499999999</v>
      </c>
      <c r="BG421" s="1856">
        <f t="shared" si="3696"/>
        <v>305</v>
      </c>
      <c r="BH421" s="1856">
        <f t="shared" si="3696"/>
        <v>6174.1686875000005</v>
      </c>
      <c r="BI421" s="1856">
        <f t="shared" si="3696"/>
        <v>0</v>
      </c>
      <c r="BJ421" s="1856">
        <f t="shared" si="3696"/>
        <v>0</v>
      </c>
      <c r="BK421" s="1856">
        <f t="shared" si="3696"/>
        <v>0</v>
      </c>
      <c r="BL421" s="1856">
        <f t="shared" si="3696"/>
        <v>27351.891154166249</v>
      </c>
      <c r="BM421" s="1856">
        <f t="shared" si="3696"/>
        <v>391353.59864166623</v>
      </c>
      <c r="BN421" s="1856">
        <f t="shared" si="3696"/>
        <v>32472.248000000007</v>
      </c>
      <c r="BO421" s="1856">
        <f t="shared" si="3696"/>
        <v>10100</v>
      </c>
      <c r="BP421" s="1856">
        <f t="shared" si="3696"/>
        <v>124</v>
      </c>
      <c r="BQ421" s="1856">
        <f t="shared" si="3696"/>
        <v>2453.9445000000005</v>
      </c>
      <c r="BR421" s="1856">
        <f t="shared" si="3696"/>
        <v>0</v>
      </c>
      <c r="BS421" s="1856">
        <f t="shared" si="3696"/>
        <v>0</v>
      </c>
      <c r="BT421" s="1856">
        <f t="shared" si="3696"/>
        <v>0</v>
      </c>
      <c r="BU421" s="1856">
        <f t="shared" si="3696"/>
        <v>4425.1485897500006</v>
      </c>
      <c r="BV421" s="1856">
        <f t="shared" si="3696"/>
        <v>49451.34108975</v>
      </c>
      <c r="BW421" s="1856">
        <f t="shared" si="3696"/>
        <v>17025.206666666665</v>
      </c>
      <c r="BX421" s="1856">
        <f t="shared" si="3696"/>
        <v>8244.3833333333332</v>
      </c>
      <c r="BY421" s="1856">
        <f t="shared" si="3696"/>
        <v>0</v>
      </c>
      <c r="BZ421" s="1856">
        <f t="shared" si="3696"/>
        <v>0</v>
      </c>
      <c r="CA421" s="1856">
        <f t="shared" si="3696"/>
        <v>0</v>
      </c>
      <c r="CB421" s="1856">
        <f t="shared" si="3696"/>
        <v>0</v>
      </c>
      <c r="CC421" s="1856">
        <f t="shared" si="3696"/>
        <v>0</v>
      </c>
      <c r="CD421" s="1856">
        <f t="shared" si="3696"/>
        <v>2157.0936846666668</v>
      </c>
      <c r="CE421" s="1856">
        <f t="shared" si="3696"/>
        <v>27426.683684666667</v>
      </c>
      <c r="CF421" s="1856">
        <f t="shared" si="3696"/>
        <v>0</v>
      </c>
      <c r="CG421" s="1856">
        <f t="shared" si="3696"/>
        <v>0</v>
      </c>
      <c r="CH421" s="1856">
        <f t="shared" si="3696"/>
        <v>0</v>
      </c>
      <c r="CI421" s="1856">
        <f t="shared" si="3696"/>
        <v>0</v>
      </c>
      <c r="CJ421" s="1856">
        <f t="shared" si="3696"/>
        <v>0</v>
      </c>
      <c r="CK421" s="1856">
        <f t="shared" si="3696"/>
        <v>0</v>
      </c>
      <c r="CL421" s="1856">
        <f t="shared" si="3696"/>
        <v>0</v>
      </c>
      <c r="CM421" s="1856">
        <f t="shared" si="3696"/>
        <v>0</v>
      </c>
      <c r="CN421" s="1856">
        <f t="shared" si="3696"/>
        <v>0</v>
      </c>
      <c r="CO421" s="1857"/>
      <c r="CP421" s="1852"/>
      <c r="CQ421" s="1854"/>
      <c r="CR421" s="1854"/>
      <c r="CS421" s="1854"/>
      <c r="CT421" s="1854"/>
      <c r="CU421" s="1854"/>
      <c r="CV421" s="1854"/>
      <c r="CW421" s="1854"/>
      <c r="CX421" s="1854"/>
      <c r="CY421" s="1854"/>
      <c r="CZ421" s="1854"/>
      <c r="DA421" s="1854"/>
      <c r="DB421" s="1854"/>
      <c r="DC421" s="1854"/>
      <c r="DD421" s="1854"/>
      <c r="DE421" s="1854"/>
      <c r="DF421" s="1854"/>
      <c r="DG421" s="1854"/>
      <c r="DH421" s="1854"/>
      <c r="DI421" s="1854"/>
      <c r="DJ421" s="1854"/>
      <c r="DK421" s="1854"/>
      <c r="DL421" s="1854"/>
      <c r="DM421" s="1854"/>
      <c r="DN421" s="1854"/>
      <c r="DO421" s="1854"/>
      <c r="DP421" s="1854"/>
      <c r="DQ421" s="1854"/>
      <c r="DR421" s="1854"/>
      <c r="DS421" s="1854"/>
      <c r="DT421" s="1854"/>
      <c r="DU421" s="1854"/>
      <c r="DV421" s="1854"/>
      <c r="DW421" s="1854"/>
      <c r="DX421" s="1854"/>
      <c r="DY421" s="1854"/>
      <c r="DZ421" s="1854"/>
      <c r="EA421" s="1854"/>
      <c r="EB421" s="1854"/>
      <c r="EC421" s="1854"/>
      <c r="ED421" s="1854"/>
      <c r="EE421" s="1854"/>
      <c r="EF421" s="1854"/>
      <c r="EG421" s="1854"/>
      <c r="EH421" s="1854"/>
      <c r="EI421" s="1854"/>
      <c r="EJ421" s="1857"/>
      <c r="EK421" s="1852"/>
      <c r="EL421" s="1852"/>
      <c r="EM421" s="1852"/>
      <c r="EN421" s="1852"/>
      <c r="EO421" s="1852"/>
      <c r="EP421" s="1852"/>
      <c r="EQ421" s="1852"/>
      <c r="ER421" s="1852"/>
      <c r="ES421" s="1852"/>
      <c r="ET421" s="1852"/>
      <c r="EU421" s="1852"/>
      <c r="EV421" s="1852"/>
      <c r="EW421" s="1852"/>
      <c r="EX421" s="1852"/>
      <c r="EY421" s="1852"/>
      <c r="EZ421" s="1852"/>
      <c r="FA421" s="1852"/>
      <c r="FB421" s="1852"/>
      <c r="FC421" s="1852"/>
      <c r="FD421" s="1852"/>
      <c r="FE421" s="1852"/>
      <c r="FF421" s="1852"/>
      <c r="FG421" s="1852"/>
      <c r="FH421" s="1852"/>
      <c r="FI421" s="1852"/>
      <c r="FJ421" s="1852"/>
      <c r="FK421" s="1852"/>
      <c r="FL421" s="1852"/>
      <c r="FM421" s="1852"/>
      <c r="FN421" s="1852"/>
      <c r="FO421" s="1852"/>
      <c r="FP421" s="1852"/>
      <c r="FQ421" s="1852"/>
      <c r="FR421" s="1852"/>
      <c r="FS421" s="1852"/>
      <c r="FT421" s="1852"/>
      <c r="FU421" s="1852"/>
      <c r="FV421" s="1852"/>
      <c r="FW421" s="1852"/>
      <c r="FX421" s="1852"/>
      <c r="FY421" s="1852"/>
      <c r="FZ421" s="1852"/>
      <c r="GA421" s="1852"/>
      <c r="GB421" s="1852"/>
      <c r="GC421" s="1852"/>
      <c r="GD421" s="1852"/>
      <c r="GE421" s="1852"/>
      <c r="GF421" s="1852"/>
      <c r="GG421" s="1852"/>
      <c r="GH421" s="1852"/>
      <c r="GI421" s="1852"/>
      <c r="GJ421" s="1852"/>
      <c r="GK421" s="1852"/>
      <c r="GL421" s="1852"/>
      <c r="GM421" s="1852"/>
      <c r="GN421" s="1852"/>
      <c r="GO421" s="1852"/>
      <c r="GP421" s="1852"/>
      <c r="GQ421" s="1852"/>
      <c r="GR421" s="1852"/>
      <c r="GS421" s="1852"/>
      <c r="GT421" s="1852"/>
      <c r="GU421" s="1852"/>
      <c r="GV421" s="1852"/>
      <c r="GW421" s="1852"/>
      <c r="GX421" s="1852"/>
      <c r="GY421" s="1852"/>
      <c r="GZ421" s="1852"/>
      <c r="HA421" s="1852"/>
      <c r="HB421" s="1852"/>
      <c r="HC421" s="1852"/>
      <c r="HD421" s="1852"/>
      <c r="HE421" s="1852"/>
      <c r="HF421" s="1852"/>
      <c r="HG421" s="1852"/>
      <c r="HH421" s="1852"/>
      <c r="HI421" s="1852"/>
      <c r="HJ421" s="1852"/>
      <c r="HK421" s="1852"/>
      <c r="HL421" s="1852"/>
      <c r="HM421" s="1852"/>
      <c r="HN421" s="1852"/>
      <c r="HO421" s="1852"/>
      <c r="HP421" s="1852"/>
      <c r="HQ421" s="1852"/>
      <c r="HR421" s="1852"/>
      <c r="HS421" s="1852"/>
      <c r="HT421" s="1852"/>
      <c r="HU421" s="1852"/>
      <c r="HV421" s="1852"/>
      <c r="HW421" s="1852"/>
      <c r="HX421" s="1852"/>
      <c r="HY421" s="1852"/>
      <c r="HZ421" s="1852"/>
      <c r="IA421" s="1852"/>
      <c r="IB421" s="1852"/>
      <c r="IC421" s="1852"/>
      <c r="ID421" s="1852"/>
      <c r="IE421" s="1852"/>
      <c r="IF421" s="1852"/>
      <c r="IG421" s="1852"/>
      <c r="IH421" s="1852"/>
      <c r="II421" s="1852"/>
      <c r="IJ421" s="1852"/>
      <c r="IK421" s="1852"/>
      <c r="IL421" s="1852"/>
      <c r="IM421" s="1852"/>
      <c r="IN421" s="1852"/>
      <c r="IO421" s="1852"/>
      <c r="IP421" s="1852"/>
      <c r="IQ421" s="1852"/>
      <c r="IR421" s="1852"/>
      <c r="IS421" s="1852"/>
      <c r="IT421" s="1852"/>
      <c r="IU421" s="1852"/>
      <c r="IV421" s="1852"/>
      <c r="IW421" s="1852"/>
      <c r="IX421" s="1852"/>
      <c r="IY421" s="1852"/>
      <c r="IZ421" s="1852"/>
      <c r="JA421" s="1852"/>
    </row>
    <row r="422" spans="1:261" ht="12" thickTop="1">
      <c r="C422" s="1858"/>
      <c r="AV422" s="1343">
        <f t="shared" ref="AV422:CN422" si="3697">AV230-AV421</f>
        <v>0</v>
      </c>
      <c r="AW422" s="1343">
        <f t="shared" si="3697"/>
        <v>0</v>
      </c>
      <c r="AX422" s="1343">
        <f t="shared" si="3697"/>
        <v>0</v>
      </c>
      <c r="AY422" s="1343">
        <f t="shared" si="3697"/>
        <v>0</v>
      </c>
      <c r="AZ422" s="1343">
        <f t="shared" si="3697"/>
        <v>0</v>
      </c>
      <c r="BA422" s="1343">
        <f t="shared" si="3697"/>
        <v>0</v>
      </c>
      <c r="BB422" s="1343">
        <f t="shared" si="3697"/>
        <v>0</v>
      </c>
      <c r="BC422" s="1343">
        <f t="shared" si="3697"/>
        <v>0</v>
      </c>
      <c r="BD422" s="1343">
        <f t="shared" si="3697"/>
        <v>0</v>
      </c>
      <c r="BE422" s="1343">
        <f t="shared" si="3697"/>
        <v>0</v>
      </c>
      <c r="BF422" s="1343">
        <f t="shared" si="3697"/>
        <v>0</v>
      </c>
      <c r="BG422" s="1343">
        <f t="shared" si="3697"/>
        <v>0</v>
      </c>
      <c r="BH422" s="1343">
        <f t="shared" si="3697"/>
        <v>0</v>
      </c>
      <c r="BI422" s="1343">
        <f t="shared" si="3697"/>
        <v>0</v>
      </c>
      <c r="BJ422" s="1343">
        <f t="shared" si="3697"/>
        <v>0</v>
      </c>
      <c r="BK422" s="1343">
        <f t="shared" si="3697"/>
        <v>0</v>
      </c>
      <c r="BL422" s="1343">
        <f t="shared" si="3697"/>
        <v>0</v>
      </c>
      <c r="BM422" s="1343">
        <f t="shared" si="3697"/>
        <v>0</v>
      </c>
      <c r="BN422" s="1343">
        <f t="shared" si="3697"/>
        <v>0</v>
      </c>
      <c r="BO422" s="1343">
        <f t="shared" si="3697"/>
        <v>0</v>
      </c>
      <c r="BP422" s="1343">
        <f t="shared" si="3697"/>
        <v>0</v>
      </c>
      <c r="BQ422" s="1343">
        <f t="shared" si="3697"/>
        <v>0</v>
      </c>
      <c r="BR422" s="1343">
        <f t="shared" si="3697"/>
        <v>0</v>
      </c>
      <c r="BS422" s="1343">
        <f t="shared" si="3697"/>
        <v>0</v>
      </c>
      <c r="BT422" s="1343">
        <f t="shared" si="3697"/>
        <v>0</v>
      </c>
      <c r="BU422" s="1343">
        <f t="shared" si="3697"/>
        <v>0</v>
      </c>
      <c r="BV422" s="1343">
        <f t="shared" si="3697"/>
        <v>0</v>
      </c>
      <c r="BW422" s="1343">
        <f t="shared" si="3697"/>
        <v>0</v>
      </c>
      <c r="BX422" s="1343">
        <f t="shared" si="3697"/>
        <v>0</v>
      </c>
      <c r="BY422" s="1343">
        <f t="shared" si="3697"/>
        <v>0</v>
      </c>
      <c r="BZ422" s="1343">
        <f t="shared" si="3697"/>
        <v>0</v>
      </c>
      <c r="CA422" s="1343">
        <f t="shared" si="3697"/>
        <v>0</v>
      </c>
      <c r="CB422" s="1343">
        <f t="shared" si="3697"/>
        <v>0</v>
      </c>
      <c r="CC422" s="1343">
        <f t="shared" si="3697"/>
        <v>0</v>
      </c>
      <c r="CD422" s="1343">
        <f t="shared" si="3697"/>
        <v>0</v>
      </c>
      <c r="CE422" s="1343">
        <f t="shared" si="3697"/>
        <v>0</v>
      </c>
      <c r="CF422" s="1343">
        <f t="shared" si="3697"/>
        <v>0</v>
      </c>
      <c r="CG422" s="1343">
        <f t="shared" si="3697"/>
        <v>0</v>
      </c>
      <c r="CH422" s="1343">
        <f t="shared" si="3697"/>
        <v>0</v>
      </c>
      <c r="CI422" s="1343">
        <f t="shared" si="3697"/>
        <v>0</v>
      </c>
      <c r="CJ422" s="1343">
        <f t="shared" si="3697"/>
        <v>0</v>
      </c>
      <c r="CK422" s="1343">
        <f t="shared" si="3697"/>
        <v>0</v>
      </c>
      <c r="CL422" s="1343">
        <f t="shared" si="3697"/>
        <v>0</v>
      </c>
      <c r="CM422" s="1343">
        <f t="shared" si="3697"/>
        <v>0</v>
      </c>
      <c r="CN422" s="1343">
        <f t="shared" si="3697"/>
        <v>0</v>
      </c>
    </row>
    <row r="423" spans="1:261">
      <c r="C423" s="1858"/>
      <c r="AV423" s="1343" t="str">
        <f>IF(AV422&lt;&gt;0,"ERROR VERIFICAR TRASLADO DE DATOS DE DISTRIBUCIÓN A CUADRO","")</f>
        <v/>
      </c>
      <c r="AW423" s="1343" t="str">
        <f>IF(AW422&lt;&gt;0,"ERROR VERIFICAR TRASLADO DE DATOS DE DISTRIBUCIÓN A CUADRO","")</f>
        <v/>
      </c>
      <c r="AX423" s="1343" t="str">
        <f t="shared" ref="AX423:CN423" si="3698">IF(AX422&lt;&gt;0,"ERROR VERIFICAR TRASLADO DE DATOS DE DISTRIBUCIÓN A CUADRO","")</f>
        <v/>
      </c>
      <c r="AY423" s="1343" t="str">
        <f t="shared" si="3698"/>
        <v/>
      </c>
      <c r="AZ423" s="1343" t="str">
        <f t="shared" si="3698"/>
        <v/>
      </c>
      <c r="BA423" s="1343" t="str">
        <f t="shared" si="3698"/>
        <v/>
      </c>
      <c r="BB423" s="1343" t="str">
        <f t="shared" si="3698"/>
        <v/>
      </c>
      <c r="BC423" s="1343" t="str">
        <f t="shared" si="3698"/>
        <v/>
      </c>
      <c r="BD423" s="1343" t="str">
        <f t="shared" si="3698"/>
        <v/>
      </c>
      <c r="BE423" s="1343" t="str">
        <f t="shared" si="3698"/>
        <v/>
      </c>
      <c r="BF423" s="1343" t="str">
        <f t="shared" si="3698"/>
        <v/>
      </c>
      <c r="BG423" s="1343" t="str">
        <f t="shared" si="3698"/>
        <v/>
      </c>
      <c r="BH423" s="1343" t="str">
        <f t="shared" si="3698"/>
        <v/>
      </c>
      <c r="BI423" s="1343" t="str">
        <f t="shared" si="3698"/>
        <v/>
      </c>
      <c r="BJ423" s="1343" t="str">
        <f t="shared" si="3698"/>
        <v/>
      </c>
      <c r="BK423" s="1343" t="str">
        <f t="shared" si="3698"/>
        <v/>
      </c>
      <c r="BL423" s="1343" t="str">
        <f t="shared" si="3698"/>
        <v/>
      </c>
      <c r="BM423" s="1343" t="str">
        <f t="shared" si="3698"/>
        <v/>
      </c>
      <c r="BN423" s="1343" t="str">
        <f t="shared" si="3698"/>
        <v/>
      </c>
      <c r="BO423" s="1343" t="str">
        <f t="shared" si="3698"/>
        <v/>
      </c>
      <c r="BP423" s="1343" t="str">
        <f t="shared" si="3698"/>
        <v/>
      </c>
      <c r="BQ423" s="1343" t="str">
        <f t="shared" si="3698"/>
        <v/>
      </c>
      <c r="BR423" s="1343" t="str">
        <f t="shared" si="3698"/>
        <v/>
      </c>
      <c r="BS423" s="1343" t="str">
        <f t="shared" si="3698"/>
        <v/>
      </c>
      <c r="BT423" s="1343" t="str">
        <f t="shared" si="3698"/>
        <v/>
      </c>
      <c r="BU423" s="1343" t="str">
        <f t="shared" si="3698"/>
        <v/>
      </c>
      <c r="BV423" s="1343" t="str">
        <f t="shared" si="3698"/>
        <v/>
      </c>
      <c r="BW423" s="1343" t="str">
        <f t="shared" si="3698"/>
        <v/>
      </c>
      <c r="BX423" s="1343" t="str">
        <f t="shared" si="3698"/>
        <v/>
      </c>
      <c r="BY423" s="1343" t="str">
        <f t="shared" si="3698"/>
        <v/>
      </c>
      <c r="BZ423" s="1343" t="str">
        <f t="shared" si="3698"/>
        <v/>
      </c>
      <c r="CA423" s="1343" t="str">
        <f t="shared" si="3698"/>
        <v/>
      </c>
      <c r="CB423" s="1343" t="str">
        <f t="shared" si="3698"/>
        <v/>
      </c>
      <c r="CC423" s="1343" t="str">
        <f t="shared" si="3698"/>
        <v/>
      </c>
      <c r="CD423" s="1343" t="str">
        <f t="shared" si="3698"/>
        <v/>
      </c>
      <c r="CE423" s="1343" t="str">
        <f t="shared" si="3698"/>
        <v/>
      </c>
      <c r="CF423" s="1343" t="str">
        <f t="shared" si="3698"/>
        <v/>
      </c>
      <c r="CG423" s="1343" t="str">
        <f t="shared" si="3698"/>
        <v/>
      </c>
      <c r="CH423" s="1343" t="str">
        <f t="shared" si="3698"/>
        <v/>
      </c>
      <c r="CI423" s="1343" t="str">
        <f t="shared" si="3698"/>
        <v/>
      </c>
      <c r="CJ423" s="1343" t="str">
        <f t="shared" si="3698"/>
        <v/>
      </c>
      <c r="CK423" s="1343" t="str">
        <f t="shared" si="3698"/>
        <v/>
      </c>
      <c r="CL423" s="1343" t="str">
        <f t="shared" si="3698"/>
        <v/>
      </c>
      <c r="CM423" s="1343" t="str">
        <f t="shared" si="3698"/>
        <v/>
      </c>
      <c r="CN423" s="1343" t="str">
        <f t="shared" si="3698"/>
        <v/>
      </c>
    </row>
    <row r="424" spans="1:261" ht="12" thickBot="1">
      <c r="C424" s="1858"/>
      <c r="AV424" s="2220" t="s">
        <v>392</v>
      </c>
      <c r="AW424" s="2220"/>
      <c r="AX424" s="2220"/>
      <c r="AY424" s="2220"/>
      <c r="AZ424" s="2220"/>
      <c r="BA424" s="2220"/>
      <c r="BB424" s="2220"/>
      <c r="BC424" s="2220"/>
      <c r="BD424" s="2220"/>
      <c r="BE424" s="2220" t="s">
        <v>392</v>
      </c>
      <c r="BF424" s="2220"/>
      <c r="BG424" s="2220"/>
      <c r="BH424" s="2220"/>
      <c r="BI424" s="2220"/>
      <c r="BJ424" s="2220"/>
      <c r="BK424" s="2220"/>
      <c r="BL424" s="2220"/>
      <c r="BM424" s="2220"/>
      <c r="BN424" s="2220" t="s">
        <v>392</v>
      </c>
      <c r="BO424" s="2220"/>
      <c r="BP424" s="2220"/>
      <c r="BQ424" s="2220"/>
      <c r="BR424" s="2220"/>
      <c r="BS424" s="2220"/>
      <c r="BT424" s="2220"/>
      <c r="BU424" s="2220"/>
      <c r="BV424" s="2220"/>
      <c r="BW424" s="2220" t="s">
        <v>392</v>
      </c>
      <c r="BX424" s="2220"/>
      <c r="BY424" s="2220"/>
      <c r="BZ424" s="2220"/>
      <c r="CA424" s="2220"/>
      <c r="CB424" s="2220"/>
      <c r="CC424" s="2220"/>
      <c r="CD424" s="2220"/>
      <c r="CE424" s="2220"/>
      <c r="CF424" s="2220" t="s">
        <v>392</v>
      </c>
      <c r="CG424" s="2220"/>
      <c r="CH424" s="2220"/>
      <c r="CI424" s="2220"/>
      <c r="CJ424" s="2220"/>
      <c r="CK424" s="2220"/>
      <c r="CL424" s="2220"/>
      <c r="CM424" s="2220"/>
      <c r="CN424" s="2220"/>
    </row>
    <row r="425" spans="1:261">
      <c r="C425" s="1858"/>
      <c r="AV425" s="1836" t="s">
        <v>17</v>
      </c>
      <c r="AW425" s="1837" t="s">
        <v>18</v>
      </c>
      <c r="AX425" s="1837" t="s">
        <v>26</v>
      </c>
      <c r="AY425" s="1838" t="s">
        <v>27</v>
      </c>
      <c r="AZ425" s="1838" t="s">
        <v>26</v>
      </c>
      <c r="BA425" s="1838" t="s">
        <v>27</v>
      </c>
      <c r="BB425" s="1839" t="s">
        <v>28</v>
      </c>
      <c r="BC425" s="1839" t="s">
        <v>29</v>
      </c>
      <c r="BD425" s="1840" t="s">
        <v>19</v>
      </c>
      <c r="BE425" s="1836" t="s">
        <v>17</v>
      </c>
      <c r="BF425" s="1837" t="s">
        <v>18</v>
      </c>
      <c r="BG425" s="1837" t="s">
        <v>26</v>
      </c>
      <c r="BH425" s="1838" t="s">
        <v>27</v>
      </c>
      <c r="BI425" s="1838" t="s">
        <v>26</v>
      </c>
      <c r="BJ425" s="1838" t="s">
        <v>27</v>
      </c>
      <c r="BK425" s="1839" t="s">
        <v>28</v>
      </c>
      <c r="BL425" s="1839" t="s">
        <v>29</v>
      </c>
      <c r="BM425" s="1840" t="s">
        <v>19</v>
      </c>
      <c r="BN425" s="1836" t="s">
        <v>17</v>
      </c>
      <c r="BO425" s="1837" t="s">
        <v>18</v>
      </c>
      <c r="BP425" s="1837" t="s">
        <v>26</v>
      </c>
      <c r="BQ425" s="1838" t="s">
        <v>27</v>
      </c>
      <c r="BR425" s="1838" t="s">
        <v>26</v>
      </c>
      <c r="BS425" s="1838" t="s">
        <v>27</v>
      </c>
      <c r="BT425" s="1839" t="s">
        <v>28</v>
      </c>
      <c r="BU425" s="1839" t="s">
        <v>29</v>
      </c>
      <c r="BV425" s="1840" t="s">
        <v>19</v>
      </c>
      <c r="BW425" s="1836" t="s">
        <v>17</v>
      </c>
      <c r="BX425" s="1837" t="s">
        <v>18</v>
      </c>
      <c r="BY425" s="1837" t="s">
        <v>26</v>
      </c>
      <c r="BZ425" s="1838" t="s">
        <v>27</v>
      </c>
      <c r="CA425" s="1838" t="s">
        <v>26</v>
      </c>
      <c r="CB425" s="1838" t="s">
        <v>27</v>
      </c>
      <c r="CC425" s="1839" t="s">
        <v>28</v>
      </c>
      <c r="CD425" s="1839" t="s">
        <v>29</v>
      </c>
      <c r="CE425" s="1840" t="s">
        <v>19</v>
      </c>
      <c r="CF425" s="1836" t="s">
        <v>17</v>
      </c>
      <c r="CG425" s="1837" t="s">
        <v>18</v>
      </c>
      <c r="CH425" s="1837" t="s">
        <v>26</v>
      </c>
      <c r="CI425" s="1838" t="s">
        <v>27</v>
      </c>
      <c r="CJ425" s="1838" t="s">
        <v>26</v>
      </c>
      <c r="CK425" s="1838" t="s">
        <v>27</v>
      </c>
      <c r="CL425" s="1839" t="s">
        <v>28</v>
      </c>
      <c r="CM425" s="1839" t="s">
        <v>29</v>
      </c>
      <c r="CN425" s="1841" t="s">
        <v>19</v>
      </c>
    </row>
    <row r="426" spans="1:261">
      <c r="C426" s="1858"/>
      <c r="AV426" s="1842" t="s">
        <v>39</v>
      </c>
      <c r="AW426" s="1843" t="s">
        <v>40</v>
      </c>
      <c r="AX426" s="1843" t="s">
        <v>46</v>
      </c>
      <c r="AY426" s="1843" t="s">
        <v>389</v>
      </c>
      <c r="AZ426" s="1843" t="s">
        <v>47</v>
      </c>
      <c r="BA426" s="1843" t="s">
        <v>390</v>
      </c>
      <c r="BB426" s="1844" t="s">
        <v>48</v>
      </c>
      <c r="BC426" s="1844" t="s">
        <v>49</v>
      </c>
      <c r="BD426" s="1845"/>
      <c r="BE426" s="1842" t="s">
        <v>39</v>
      </c>
      <c r="BF426" s="1843" t="s">
        <v>40</v>
      </c>
      <c r="BG426" s="1843" t="s">
        <v>46</v>
      </c>
      <c r="BH426" s="1843" t="s">
        <v>389</v>
      </c>
      <c r="BI426" s="1843" t="s">
        <v>47</v>
      </c>
      <c r="BJ426" s="1843" t="s">
        <v>390</v>
      </c>
      <c r="BK426" s="1844" t="s">
        <v>48</v>
      </c>
      <c r="BL426" s="1844" t="s">
        <v>49</v>
      </c>
      <c r="BM426" s="1845"/>
      <c r="BN426" s="1842" t="s">
        <v>39</v>
      </c>
      <c r="BO426" s="1843" t="s">
        <v>40</v>
      </c>
      <c r="BP426" s="1843" t="s">
        <v>46</v>
      </c>
      <c r="BQ426" s="1843" t="s">
        <v>389</v>
      </c>
      <c r="BR426" s="1843" t="s">
        <v>47</v>
      </c>
      <c r="BS426" s="1843" t="s">
        <v>390</v>
      </c>
      <c r="BT426" s="1844" t="s">
        <v>48</v>
      </c>
      <c r="BU426" s="1844" t="s">
        <v>49</v>
      </c>
      <c r="BV426" s="1845"/>
      <c r="BW426" s="1842" t="s">
        <v>39</v>
      </c>
      <c r="BX426" s="1843" t="s">
        <v>40</v>
      </c>
      <c r="BY426" s="1843" t="s">
        <v>46</v>
      </c>
      <c r="BZ426" s="1843" t="s">
        <v>389</v>
      </c>
      <c r="CA426" s="1843" t="s">
        <v>47</v>
      </c>
      <c r="CB426" s="1843" t="s">
        <v>390</v>
      </c>
      <c r="CC426" s="1844" t="s">
        <v>48</v>
      </c>
      <c r="CD426" s="1844" t="s">
        <v>49</v>
      </c>
      <c r="CE426" s="1845"/>
      <c r="CF426" s="1842" t="s">
        <v>39</v>
      </c>
      <c r="CG426" s="1843" t="s">
        <v>40</v>
      </c>
      <c r="CH426" s="1843" t="s">
        <v>46</v>
      </c>
      <c r="CI426" s="1843" t="s">
        <v>389</v>
      </c>
      <c r="CJ426" s="1843" t="s">
        <v>47</v>
      </c>
      <c r="CK426" s="1843" t="s">
        <v>390</v>
      </c>
      <c r="CL426" s="1844" t="s">
        <v>48</v>
      </c>
      <c r="CM426" s="1844" t="s">
        <v>49</v>
      </c>
      <c r="CN426" s="1846"/>
    </row>
    <row r="427" spans="1:261" ht="12.75">
      <c r="C427" s="1847" t="s">
        <v>53</v>
      </c>
      <c r="AV427" s="1331"/>
      <c r="AW427" s="1331"/>
      <c r="BE427" s="1331"/>
      <c r="BF427" s="1331"/>
      <c r="BN427" s="1331"/>
      <c r="BO427" s="1331"/>
      <c r="BW427" s="1331"/>
      <c r="BX427" s="1331"/>
      <c r="CF427" s="1331"/>
      <c r="CG427" s="1331"/>
      <c r="CQ427" s="1331"/>
      <c r="CR427" s="1331"/>
      <c r="CS427" s="1331"/>
      <c r="CT427" s="1331"/>
      <c r="CU427" s="1331"/>
      <c r="CV427" s="1331"/>
      <c r="CW427" s="1331"/>
      <c r="CX427" s="1331"/>
      <c r="CY427" s="1331"/>
      <c r="CZ427" s="1331"/>
      <c r="DA427" s="1331"/>
      <c r="DB427" s="1331"/>
      <c r="DC427" s="1331"/>
      <c r="DD427" s="1331"/>
      <c r="DE427" s="1331"/>
      <c r="DF427" s="1331"/>
      <c r="DG427" s="1331"/>
      <c r="DH427" s="1331"/>
      <c r="DI427" s="1331"/>
      <c r="DJ427" s="1331"/>
      <c r="DK427" s="1331"/>
      <c r="DL427" s="1331"/>
      <c r="DM427" s="1331"/>
      <c r="DN427" s="1331"/>
      <c r="DO427" s="1331"/>
      <c r="DP427" s="1331"/>
      <c r="DQ427" s="1331"/>
      <c r="DR427" s="1331"/>
      <c r="DS427" s="1331"/>
      <c r="DT427" s="1331"/>
      <c r="DU427" s="1331"/>
      <c r="DV427" s="1331"/>
      <c r="DW427" s="1331"/>
      <c r="DX427" s="1331"/>
      <c r="DY427" s="1331"/>
      <c r="DZ427" s="1331"/>
      <c r="EA427" s="1331"/>
      <c r="EB427" s="1331"/>
      <c r="EC427" s="1331"/>
      <c r="ED427" s="1331"/>
      <c r="EE427" s="1331"/>
      <c r="EF427" s="1331"/>
      <c r="EG427" s="1331"/>
      <c r="EH427" s="1331"/>
      <c r="EI427" s="1331"/>
      <c r="EK427" s="1331"/>
    </row>
    <row r="428" spans="1:261" ht="12.75">
      <c r="C428" s="1848" t="s">
        <v>56</v>
      </c>
      <c r="AV428" s="1343">
        <f t="shared" ref="AV428:CN428" si="3699">CQ19</f>
        <v>80449.914000000004</v>
      </c>
      <c r="AW428" s="1343">
        <f t="shared" si="3699"/>
        <v>171781.098</v>
      </c>
      <c r="AX428" s="1343">
        <f t="shared" si="3699"/>
        <v>0</v>
      </c>
      <c r="AY428" s="1343">
        <f t="shared" si="3699"/>
        <v>0</v>
      </c>
      <c r="AZ428" s="1343">
        <f t="shared" si="3699"/>
        <v>0</v>
      </c>
      <c r="BA428" s="1343">
        <f t="shared" si="3699"/>
        <v>0</v>
      </c>
      <c r="BB428" s="1343">
        <f t="shared" si="3699"/>
        <v>0</v>
      </c>
      <c r="BC428" s="1343">
        <f t="shared" si="3699"/>
        <v>9971.2791038000014</v>
      </c>
      <c r="BD428" s="1343">
        <f t="shared" si="3699"/>
        <v>262202.2911038</v>
      </c>
      <c r="BE428" s="1343">
        <f t="shared" si="3699"/>
        <v>34249.14</v>
      </c>
      <c r="BF428" s="1343">
        <f t="shared" si="3699"/>
        <v>5000</v>
      </c>
      <c r="BG428" s="1343">
        <f t="shared" si="3699"/>
        <v>0</v>
      </c>
      <c r="BH428" s="1343">
        <f t="shared" si="3699"/>
        <v>0</v>
      </c>
      <c r="BI428" s="1343">
        <f t="shared" si="3699"/>
        <v>0</v>
      </c>
      <c r="BJ428" s="1343">
        <f t="shared" si="3699"/>
        <v>0</v>
      </c>
      <c r="BK428" s="1343">
        <f t="shared" si="3699"/>
        <v>0</v>
      </c>
      <c r="BL428" s="1343">
        <f t="shared" si="3699"/>
        <v>1615.3160380000002</v>
      </c>
      <c r="BM428" s="1343">
        <f t="shared" si="3699"/>
        <v>40864.456037999997</v>
      </c>
      <c r="BN428" s="1343">
        <f t="shared" si="3699"/>
        <v>0</v>
      </c>
      <c r="BO428" s="1343">
        <f t="shared" si="3699"/>
        <v>0</v>
      </c>
      <c r="BP428" s="1343">
        <f t="shared" si="3699"/>
        <v>0</v>
      </c>
      <c r="BQ428" s="1343">
        <f t="shared" si="3699"/>
        <v>0</v>
      </c>
      <c r="BR428" s="1343">
        <f t="shared" si="3699"/>
        <v>0</v>
      </c>
      <c r="BS428" s="1343">
        <f t="shared" si="3699"/>
        <v>0</v>
      </c>
      <c r="BT428" s="1343">
        <f t="shared" si="3699"/>
        <v>0</v>
      </c>
      <c r="BU428" s="1343">
        <f t="shared" si="3699"/>
        <v>0</v>
      </c>
      <c r="BV428" s="1343">
        <f t="shared" si="3699"/>
        <v>0</v>
      </c>
      <c r="BW428" s="1343">
        <f t="shared" si="3699"/>
        <v>0</v>
      </c>
      <c r="BX428" s="1343">
        <f t="shared" si="3699"/>
        <v>0</v>
      </c>
      <c r="BY428" s="1343">
        <f t="shared" si="3699"/>
        <v>0</v>
      </c>
      <c r="BZ428" s="1343">
        <f t="shared" si="3699"/>
        <v>0</v>
      </c>
      <c r="CA428" s="1343">
        <f t="shared" si="3699"/>
        <v>0</v>
      </c>
      <c r="CB428" s="1343">
        <f t="shared" si="3699"/>
        <v>0</v>
      </c>
      <c r="CC428" s="1343">
        <f t="shared" si="3699"/>
        <v>0</v>
      </c>
      <c r="CD428" s="1343">
        <f t="shared" si="3699"/>
        <v>0</v>
      </c>
      <c r="CE428" s="1343">
        <f t="shared" si="3699"/>
        <v>0</v>
      </c>
      <c r="CF428" s="1343">
        <f t="shared" si="3699"/>
        <v>0</v>
      </c>
      <c r="CG428" s="1343">
        <f t="shared" si="3699"/>
        <v>0</v>
      </c>
      <c r="CH428" s="1343">
        <f t="shared" si="3699"/>
        <v>0</v>
      </c>
      <c r="CI428" s="1343">
        <f t="shared" si="3699"/>
        <v>0</v>
      </c>
      <c r="CJ428" s="1343">
        <f t="shared" si="3699"/>
        <v>0</v>
      </c>
      <c r="CK428" s="1343">
        <f t="shared" si="3699"/>
        <v>0</v>
      </c>
      <c r="CL428" s="1343">
        <f t="shared" si="3699"/>
        <v>0</v>
      </c>
      <c r="CM428" s="1343">
        <f t="shared" si="3699"/>
        <v>0</v>
      </c>
      <c r="CN428" s="1343">
        <f t="shared" si="3699"/>
        <v>0</v>
      </c>
      <c r="CQ428" s="1331"/>
      <c r="CR428" s="1331"/>
      <c r="CS428" s="1331"/>
      <c r="CT428" s="1331"/>
      <c r="CU428" s="1331"/>
      <c r="CV428" s="1331"/>
      <c r="CW428" s="1331"/>
      <c r="CX428" s="1331"/>
      <c r="CY428" s="1331"/>
      <c r="CZ428" s="1331"/>
      <c r="DA428" s="1331"/>
      <c r="DB428" s="1331"/>
      <c r="DC428" s="1331"/>
      <c r="DD428" s="1331"/>
      <c r="DE428" s="1331"/>
      <c r="DF428" s="1331"/>
      <c r="DG428" s="1331"/>
      <c r="DH428" s="1331"/>
      <c r="DI428" s="1331"/>
      <c r="DJ428" s="1331"/>
      <c r="DK428" s="1331"/>
      <c r="DL428" s="1331"/>
      <c r="DM428" s="1331"/>
      <c r="DN428" s="1331"/>
      <c r="DO428" s="1331"/>
      <c r="DP428" s="1331"/>
      <c r="DQ428" s="1331"/>
      <c r="DR428" s="1331"/>
      <c r="DS428" s="1331"/>
      <c r="DT428" s="1331"/>
      <c r="DU428" s="1331"/>
      <c r="DV428" s="1331"/>
      <c r="DW428" s="1331"/>
      <c r="DX428" s="1331"/>
      <c r="DY428" s="1331"/>
      <c r="DZ428" s="1331"/>
      <c r="EA428" s="1331"/>
      <c r="EB428" s="1331"/>
      <c r="EC428" s="1331"/>
      <c r="ED428" s="1331"/>
      <c r="EE428" s="1331"/>
      <c r="EF428" s="1331"/>
      <c r="EG428" s="1331"/>
      <c r="EH428" s="1331"/>
      <c r="EI428" s="1331"/>
      <c r="EK428" s="1331"/>
    </row>
    <row r="429" spans="1:261" ht="12.75">
      <c r="C429" s="1848" t="s">
        <v>62</v>
      </c>
      <c r="AV429" s="1343">
        <f t="shared" ref="AV429:CN429" si="3700">CQ28</f>
        <v>15928.02</v>
      </c>
      <c r="AW429" s="1343">
        <f t="shared" si="3700"/>
        <v>3490</v>
      </c>
      <c r="AX429" s="1343">
        <f t="shared" si="3700"/>
        <v>0</v>
      </c>
      <c r="AY429" s="1343">
        <f t="shared" si="3700"/>
        <v>0</v>
      </c>
      <c r="AZ429" s="1343">
        <f t="shared" si="3700"/>
        <v>0</v>
      </c>
      <c r="BA429" s="1343">
        <f t="shared" si="3700"/>
        <v>0</v>
      </c>
      <c r="BB429" s="1343">
        <f t="shared" si="3700"/>
        <v>0</v>
      </c>
      <c r="BC429" s="1343">
        <f t="shared" si="3700"/>
        <v>2018.0801340000003</v>
      </c>
      <c r="BD429" s="1343">
        <f t="shared" si="3700"/>
        <v>21436.100134</v>
      </c>
      <c r="BE429" s="1343">
        <f t="shared" si="3700"/>
        <v>3166.38</v>
      </c>
      <c r="BF429" s="1343">
        <f t="shared" si="3700"/>
        <v>250.00000000000003</v>
      </c>
      <c r="BG429" s="1343">
        <f t="shared" si="3700"/>
        <v>0</v>
      </c>
      <c r="BH429" s="1343">
        <f t="shared" si="3700"/>
        <v>0</v>
      </c>
      <c r="BI429" s="1343">
        <f t="shared" si="3700"/>
        <v>0</v>
      </c>
      <c r="BJ429" s="1343">
        <f t="shared" si="3700"/>
        <v>0</v>
      </c>
      <c r="BK429" s="1343">
        <f t="shared" si="3700"/>
        <v>0</v>
      </c>
      <c r="BL429" s="1343">
        <f t="shared" si="3700"/>
        <v>401.18034600000004</v>
      </c>
      <c r="BM429" s="1343">
        <f t="shared" si="3700"/>
        <v>3817.5603460000002</v>
      </c>
      <c r="BN429" s="1343">
        <f t="shared" si="3700"/>
        <v>0</v>
      </c>
      <c r="BO429" s="1343">
        <f t="shared" si="3700"/>
        <v>0</v>
      </c>
      <c r="BP429" s="1343">
        <f t="shared" si="3700"/>
        <v>0</v>
      </c>
      <c r="BQ429" s="1343">
        <f t="shared" si="3700"/>
        <v>0</v>
      </c>
      <c r="BR429" s="1343">
        <f t="shared" si="3700"/>
        <v>0</v>
      </c>
      <c r="BS429" s="1343">
        <f t="shared" si="3700"/>
        <v>0</v>
      </c>
      <c r="BT429" s="1343">
        <f t="shared" si="3700"/>
        <v>0</v>
      </c>
      <c r="BU429" s="1343">
        <f t="shared" si="3700"/>
        <v>0</v>
      </c>
      <c r="BV429" s="1343">
        <f t="shared" si="3700"/>
        <v>0</v>
      </c>
      <c r="BW429" s="1343">
        <f t="shared" si="3700"/>
        <v>0</v>
      </c>
      <c r="BX429" s="1343">
        <f t="shared" si="3700"/>
        <v>0</v>
      </c>
      <c r="BY429" s="1343">
        <f t="shared" si="3700"/>
        <v>0</v>
      </c>
      <c r="BZ429" s="1343">
        <f t="shared" si="3700"/>
        <v>0</v>
      </c>
      <c r="CA429" s="1343">
        <f t="shared" si="3700"/>
        <v>0</v>
      </c>
      <c r="CB429" s="1343">
        <f t="shared" si="3700"/>
        <v>0</v>
      </c>
      <c r="CC429" s="1343">
        <f t="shared" si="3700"/>
        <v>0</v>
      </c>
      <c r="CD429" s="1343">
        <f t="shared" si="3700"/>
        <v>0</v>
      </c>
      <c r="CE429" s="1343">
        <f t="shared" si="3700"/>
        <v>0</v>
      </c>
      <c r="CF429" s="1343">
        <f t="shared" si="3700"/>
        <v>0</v>
      </c>
      <c r="CG429" s="1343">
        <f t="shared" si="3700"/>
        <v>0</v>
      </c>
      <c r="CH429" s="1343">
        <f t="shared" si="3700"/>
        <v>0</v>
      </c>
      <c r="CI429" s="1343">
        <f t="shared" si="3700"/>
        <v>0</v>
      </c>
      <c r="CJ429" s="1343">
        <f t="shared" si="3700"/>
        <v>0</v>
      </c>
      <c r="CK429" s="1343">
        <f t="shared" si="3700"/>
        <v>0</v>
      </c>
      <c r="CL429" s="1343">
        <f t="shared" si="3700"/>
        <v>0</v>
      </c>
      <c r="CM429" s="1343">
        <f t="shared" si="3700"/>
        <v>0</v>
      </c>
      <c r="CN429" s="1343">
        <f t="shared" si="3700"/>
        <v>0</v>
      </c>
      <c r="CQ429" s="1331"/>
      <c r="CR429" s="1331"/>
      <c r="CS429" s="1331"/>
      <c r="CT429" s="1331"/>
      <c r="CU429" s="1331"/>
      <c r="CV429" s="1331"/>
      <c r="CW429" s="1331"/>
      <c r="CX429" s="1331"/>
      <c r="CY429" s="1331"/>
      <c r="CZ429" s="1331"/>
      <c r="DA429" s="1331"/>
      <c r="DB429" s="1331"/>
      <c r="DC429" s="1331"/>
      <c r="DD429" s="1331"/>
      <c r="DE429" s="1331"/>
      <c r="DF429" s="1331"/>
      <c r="DG429" s="1331"/>
      <c r="DH429" s="1331"/>
      <c r="DI429" s="1331"/>
      <c r="DJ429" s="1331"/>
      <c r="DK429" s="1331"/>
      <c r="DL429" s="1331"/>
      <c r="DM429" s="1331"/>
      <c r="DN429" s="1331"/>
      <c r="DO429" s="1331"/>
      <c r="DP429" s="1331"/>
      <c r="DQ429" s="1331"/>
      <c r="DR429" s="1331"/>
      <c r="DS429" s="1331"/>
      <c r="DT429" s="1331"/>
      <c r="DU429" s="1331"/>
      <c r="DV429" s="1331"/>
      <c r="DW429" s="1331"/>
      <c r="DX429" s="1331"/>
      <c r="DY429" s="1331"/>
      <c r="DZ429" s="1331"/>
      <c r="EA429" s="1331"/>
      <c r="EB429" s="1331"/>
      <c r="EC429" s="1331"/>
      <c r="ED429" s="1331"/>
      <c r="EE429" s="1331"/>
      <c r="EF429" s="1331"/>
      <c r="EG429" s="1331"/>
      <c r="EH429" s="1331"/>
      <c r="EI429" s="1331"/>
      <c r="EK429" s="1331"/>
    </row>
    <row r="430" spans="1:261" ht="12.75">
      <c r="C430" s="1848" t="s">
        <v>68</v>
      </c>
      <c r="AV430" s="1343">
        <f t="shared" ref="AV430:CN430" si="3701">CQ42</f>
        <v>21219.713333333333</v>
      </c>
      <c r="AW430" s="1343">
        <f t="shared" si="3701"/>
        <v>11630.286666666667</v>
      </c>
      <c r="AX430" s="1343">
        <f t="shared" si="3701"/>
        <v>0</v>
      </c>
      <c r="AY430" s="1343">
        <f t="shared" si="3701"/>
        <v>0</v>
      </c>
      <c r="AZ430" s="1343">
        <f t="shared" si="3701"/>
        <v>0</v>
      </c>
      <c r="BA430" s="1343">
        <f t="shared" si="3701"/>
        <v>0</v>
      </c>
      <c r="BB430" s="1343">
        <f t="shared" si="3701"/>
        <v>0</v>
      </c>
      <c r="BC430" s="1343">
        <f t="shared" si="3701"/>
        <v>2688.5376793333335</v>
      </c>
      <c r="BD430" s="1343">
        <f t="shared" si="3701"/>
        <v>35538.537679333334</v>
      </c>
      <c r="BE430" s="1343">
        <f t="shared" si="3701"/>
        <v>41369.299999999996</v>
      </c>
      <c r="BF430" s="1343">
        <f t="shared" si="3701"/>
        <v>9232.08</v>
      </c>
      <c r="BG430" s="1343">
        <f t="shared" si="3701"/>
        <v>0</v>
      </c>
      <c r="BH430" s="1343">
        <f t="shared" si="3701"/>
        <v>0</v>
      </c>
      <c r="BI430" s="1343">
        <f t="shared" si="3701"/>
        <v>0</v>
      </c>
      <c r="BJ430" s="1343">
        <f t="shared" si="3701"/>
        <v>0</v>
      </c>
      <c r="BK430" s="1343">
        <f t="shared" si="3701"/>
        <v>0</v>
      </c>
      <c r="BL430" s="1343">
        <f t="shared" si="3701"/>
        <v>5241.4903100000001</v>
      </c>
      <c r="BM430" s="1343">
        <f t="shared" si="3701"/>
        <v>55842.870310000006</v>
      </c>
      <c r="BN430" s="1343">
        <f t="shared" si="3701"/>
        <v>0</v>
      </c>
      <c r="BO430" s="1343">
        <f t="shared" si="3701"/>
        <v>0</v>
      </c>
      <c r="BP430" s="1343">
        <f t="shared" si="3701"/>
        <v>0</v>
      </c>
      <c r="BQ430" s="1343">
        <f t="shared" si="3701"/>
        <v>0</v>
      </c>
      <c r="BR430" s="1343">
        <f t="shared" si="3701"/>
        <v>0</v>
      </c>
      <c r="BS430" s="1343">
        <f t="shared" si="3701"/>
        <v>0</v>
      </c>
      <c r="BT430" s="1343">
        <f t="shared" si="3701"/>
        <v>0</v>
      </c>
      <c r="BU430" s="1343">
        <f t="shared" si="3701"/>
        <v>0</v>
      </c>
      <c r="BV430" s="1343">
        <f t="shared" si="3701"/>
        <v>0</v>
      </c>
      <c r="BW430" s="1343">
        <f t="shared" si="3701"/>
        <v>0</v>
      </c>
      <c r="BX430" s="1343">
        <f t="shared" si="3701"/>
        <v>0</v>
      </c>
      <c r="BY430" s="1343">
        <f t="shared" si="3701"/>
        <v>0</v>
      </c>
      <c r="BZ430" s="1343">
        <f t="shared" si="3701"/>
        <v>0</v>
      </c>
      <c r="CA430" s="1343">
        <f t="shared" si="3701"/>
        <v>0</v>
      </c>
      <c r="CB430" s="1343">
        <f t="shared" si="3701"/>
        <v>0</v>
      </c>
      <c r="CC430" s="1343">
        <f t="shared" si="3701"/>
        <v>0</v>
      </c>
      <c r="CD430" s="1343">
        <f t="shared" si="3701"/>
        <v>0</v>
      </c>
      <c r="CE430" s="1343">
        <f t="shared" si="3701"/>
        <v>0</v>
      </c>
      <c r="CF430" s="1343">
        <f t="shared" si="3701"/>
        <v>0</v>
      </c>
      <c r="CG430" s="1343">
        <f t="shared" si="3701"/>
        <v>0</v>
      </c>
      <c r="CH430" s="1343">
        <f t="shared" si="3701"/>
        <v>0</v>
      </c>
      <c r="CI430" s="1343">
        <f t="shared" si="3701"/>
        <v>0</v>
      </c>
      <c r="CJ430" s="1343">
        <f t="shared" si="3701"/>
        <v>0</v>
      </c>
      <c r="CK430" s="1343">
        <f t="shared" si="3701"/>
        <v>0</v>
      </c>
      <c r="CL430" s="1343">
        <f t="shared" si="3701"/>
        <v>0</v>
      </c>
      <c r="CM430" s="1343">
        <f t="shared" si="3701"/>
        <v>0</v>
      </c>
      <c r="CN430" s="1343">
        <f t="shared" si="3701"/>
        <v>0</v>
      </c>
      <c r="CQ430" s="1331"/>
      <c r="CR430" s="1331"/>
      <c r="CS430" s="1331"/>
      <c r="CT430" s="1331"/>
      <c r="CU430" s="1331"/>
      <c r="CV430" s="1331"/>
      <c r="CW430" s="1331"/>
      <c r="CX430" s="1331"/>
      <c r="CY430" s="1331"/>
      <c r="CZ430" s="1331"/>
      <c r="DA430" s="1331"/>
      <c r="DB430" s="1331"/>
      <c r="DC430" s="1331"/>
      <c r="DD430" s="1331"/>
      <c r="DE430" s="1331"/>
      <c r="DF430" s="1331"/>
      <c r="DG430" s="1331"/>
      <c r="DH430" s="1331"/>
      <c r="DI430" s="1331"/>
      <c r="DJ430" s="1331"/>
      <c r="DK430" s="1331"/>
      <c r="DL430" s="1331"/>
      <c r="DM430" s="1331"/>
      <c r="DN430" s="1331"/>
      <c r="DO430" s="1331"/>
      <c r="DP430" s="1331"/>
      <c r="DQ430" s="1331"/>
      <c r="DR430" s="1331"/>
      <c r="DS430" s="1331"/>
      <c r="DT430" s="1331"/>
      <c r="DU430" s="1331"/>
      <c r="DV430" s="1331"/>
      <c r="DW430" s="1331"/>
      <c r="DX430" s="1331"/>
      <c r="DY430" s="1331"/>
      <c r="DZ430" s="1331"/>
      <c r="EA430" s="1331"/>
      <c r="EB430" s="1331"/>
      <c r="EC430" s="1331"/>
      <c r="ED430" s="1331"/>
      <c r="EE430" s="1331"/>
      <c r="EF430" s="1331"/>
      <c r="EG430" s="1331"/>
      <c r="EH430" s="1331"/>
      <c r="EI430" s="1331"/>
      <c r="EK430" s="1331"/>
    </row>
    <row r="431" spans="1:261" ht="12.75">
      <c r="C431" s="1848" t="s">
        <v>73</v>
      </c>
      <c r="AV431" s="1343">
        <f t="shared" ref="AV431:CN431" si="3702">CQ50</f>
        <v>27269.489999999998</v>
      </c>
      <c r="AW431" s="1343">
        <f t="shared" si="3702"/>
        <v>11289.8</v>
      </c>
      <c r="AX431" s="1343">
        <f t="shared" si="3702"/>
        <v>0</v>
      </c>
      <c r="AY431" s="1343">
        <f t="shared" si="3702"/>
        <v>0</v>
      </c>
      <c r="AZ431" s="1343">
        <f t="shared" si="3702"/>
        <v>0</v>
      </c>
      <c r="BA431" s="1343">
        <f t="shared" si="3702"/>
        <v>0</v>
      </c>
      <c r="BB431" s="1343">
        <f t="shared" si="3702"/>
        <v>0</v>
      </c>
      <c r="BC431" s="1343">
        <f t="shared" si="3702"/>
        <v>3455.0443830000004</v>
      </c>
      <c r="BD431" s="1343">
        <f t="shared" si="3702"/>
        <v>42014.334383000001</v>
      </c>
      <c r="BE431" s="1343">
        <f t="shared" si="3702"/>
        <v>0</v>
      </c>
      <c r="BF431" s="1343">
        <f t="shared" si="3702"/>
        <v>0</v>
      </c>
      <c r="BG431" s="1343">
        <f t="shared" si="3702"/>
        <v>0</v>
      </c>
      <c r="BH431" s="1343">
        <f t="shared" si="3702"/>
        <v>0</v>
      </c>
      <c r="BI431" s="1343">
        <f t="shared" si="3702"/>
        <v>0</v>
      </c>
      <c r="BJ431" s="1343">
        <f t="shared" si="3702"/>
        <v>0</v>
      </c>
      <c r="BK431" s="1343">
        <f t="shared" si="3702"/>
        <v>0</v>
      </c>
      <c r="BL431" s="1343">
        <f t="shared" si="3702"/>
        <v>0</v>
      </c>
      <c r="BM431" s="1343">
        <f t="shared" si="3702"/>
        <v>0</v>
      </c>
      <c r="BN431" s="1343">
        <f t="shared" si="3702"/>
        <v>0</v>
      </c>
      <c r="BO431" s="1343">
        <f t="shared" si="3702"/>
        <v>0</v>
      </c>
      <c r="BP431" s="1343">
        <f t="shared" si="3702"/>
        <v>0</v>
      </c>
      <c r="BQ431" s="1343">
        <f t="shared" si="3702"/>
        <v>0</v>
      </c>
      <c r="BR431" s="1343">
        <f t="shared" si="3702"/>
        <v>0</v>
      </c>
      <c r="BS431" s="1343">
        <f t="shared" si="3702"/>
        <v>0</v>
      </c>
      <c r="BT431" s="1343">
        <f t="shared" si="3702"/>
        <v>0</v>
      </c>
      <c r="BU431" s="1343">
        <f t="shared" si="3702"/>
        <v>0</v>
      </c>
      <c r="BV431" s="1343">
        <f t="shared" si="3702"/>
        <v>0</v>
      </c>
      <c r="BW431" s="1343">
        <f t="shared" si="3702"/>
        <v>0</v>
      </c>
      <c r="BX431" s="1343">
        <f t="shared" si="3702"/>
        <v>0</v>
      </c>
      <c r="BY431" s="1343">
        <f t="shared" si="3702"/>
        <v>0</v>
      </c>
      <c r="BZ431" s="1343">
        <f t="shared" si="3702"/>
        <v>0</v>
      </c>
      <c r="CA431" s="1343">
        <f t="shared" si="3702"/>
        <v>0</v>
      </c>
      <c r="CB431" s="1343">
        <f t="shared" si="3702"/>
        <v>0</v>
      </c>
      <c r="CC431" s="1343">
        <f t="shared" si="3702"/>
        <v>0</v>
      </c>
      <c r="CD431" s="1343">
        <f t="shared" si="3702"/>
        <v>0</v>
      </c>
      <c r="CE431" s="1343">
        <f t="shared" si="3702"/>
        <v>0</v>
      </c>
      <c r="CF431" s="1343">
        <f t="shared" si="3702"/>
        <v>0</v>
      </c>
      <c r="CG431" s="1343">
        <f t="shared" si="3702"/>
        <v>0</v>
      </c>
      <c r="CH431" s="1343">
        <f t="shared" si="3702"/>
        <v>0</v>
      </c>
      <c r="CI431" s="1343">
        <f t="shared" si="3702"/>
        <v>0</v>
      </c>
      <c r="CJ431" s="1343">
        <f t="shared" si="3702"/>
        <v>0</v>
      </c>
      <c r="CK431" s="1343">
        <f t="shared" si="3702"/>
        <v>0</v>
      </c>
      <c r="CL431" s="1343">
        <f t="shared" si="3702"/>
        <v>0</v>
      </c>
      <c r="CM431" s="1343">
        <f t="shared" si="3702"/>
        <v>0</v>
      </c>
      <c r="CN431" s="1343">
        <f t="shared" si="3702"/>
        <v>0</v>
      </c>
      <c r="CQ431" s="1331"/>
      <c r="CR431" s="1331"/>
      <c r="CS431" s="1331"/>
      <c r="CT431" s="1331"/>
      <c r="CU431" s="1331"/>
      <c r="CV431" s="1331"/>
      <c r="CW431" s="1331"/>
      <c r="CX431" s="1331"/>
      <c r="CY431" s="1331"/>
      <c r="CZ431" s="1331"/>
      <c r="DA431" s="1331"/>
      <c r="DB431" s="1331"/>
      <c r="DC431" s="1331"/>
      <c r="DD431" s="1331"/>
      <c r="DE431" s="1331"/>
      <c r="DF431" s="1331"/>
      <c r="DG431" s="1331"/>
      <c r="DH431" s="1331"/>
      <c r="DI431" s="1331"/>
      <c r="DJ431" s="1331"/>
      <c r="DK431" s="1331"/>
      <c r="DL431" s="1331"/>
      <c r="DM431" s="1331"/>
      <c r="DN431" s="1331"/>
      <c r="DO431" s="1331"/>
      <c r="DP431" s="1331"/>
      <c r="DQ431" s="1331"/>
      <c r="DR431" s="1331"/>
      <c r="DS431" s="1331"/>
      <c r="DT431" s="1331"/>
      <c r="DU431" s="1331"/>
      <c r="DV431" s="1331"/>
      <c r="DW431" s="1331"/>
      <c r="DX431" s="1331"/>
      <c r="DY431" s="1331"/>
      <c r="DZ431" s="1331"/>
      <c r="EA431" s="1331"/>
      <c r="EB431" s="1331"/>
      <c r="EC431" s="1331"/>
      <c r="ED431" s="1331"/>
      <c r="EE431" s="1331"/>
      <c r="EF431" s="1331"/>
      <c r="EG431" s="1331"/>
      <c r="EH431" s="1331"/>
      <c r="EI431" s="1331"/>
      <c r="EK431" s="1331"/>
    </row>
    <row r="432" spans="1:261" ht="12.75">
      <c r="C432" s="1848" t="s">
        <v>76</v>
      </c>
      <c r="AV432" s="1343">
        <f t="shared" ref="AV432:CN432" si="3703">CQ59</f>
        <v>11582.760000000002</v>
      </c>
      <c r="AW432" s="1343">
        <f t="shared" si="3703"/>
        <v>4100</v>
      </c>
      <c r="AX432" s="1343">
        <f t="shared" si="3703"/>
        <v>13.5</v>
      </c>
      <c r="AY432" s="1343">
        <f t="shared" si="3703"/>
        <v>267.16331250000002</v>
      </c>
      <c r="AZ432" s="1343">
        <f t="shared" si="3703"/>
        <v>0</v>
      </c>
      <c r="BA432" s="1343">
        <f t="shared" si="3703"/>
        <v>0</v>
      </c>
      <c r="BB432" s="1343">
        <f t="shared" si="3703"/>
        <v>0</v>
      </c>
      <c r="BC432" s="1343">
        <f t="shared" si="3703"/>
        <v>1501.3852836937501</v>
      </c>
      <c r="BD432" s="1343">
        <f t="shared" si="3703"/>
        <v>17451.30859619375</v>
      </c>
      <c r="BE432" s="1343">
        <f t="shared" si="3703"/>
        <v>9666.380000000001</v>
      </c>
      <c r="BF432" s="1343">
        <f t="shared" si="3703"/>
        <v>1833.6200000000001</v>
      </c>
      <c r="BG432" s="1343">
        <f t="shared" si="3703"/>
        <v>20.5</v>
      </c>
      <c r="BH432" s="1343">
        <f t="shared" si="3703"/>
        <v>482.79368750000003</v>
      </c>
      <c r="BI432" s="1343">
        <f t="shared" si="3703"/>
        <v>0</v>
      </c>
      <c r="BJ432" s="1343">
        <f t="shared" si="3703"/>
        <v>0</v>
      </c>
      <c r="BK432" s="1343">
        <f t="shared" si="3703"/>
        <v>0</v>
      </c>
      <c r="BL432" s="1343">
        <f t="shared" si="3703"/>
        <v>1285.9003062062502</v>
      </c>
      <c r="BM432" s="1343">
        <f t="shared" si="3703"/>
        <v>13268.693993706251</v>
      </c>
      <c r="BN432" s="1343">
        <f t="shared" si="3703"/>
        <v>0</v>
      </c>
      <c r="BO432" s="1343">
        <f t="shared" si="3703"/>
        <v>0</v>
      </c>
      <c r="BP432" s="1343">
        <f t="shared" si="3703"/>
        <v>0</v>
      </c>
      <c r="BQ432" s="1343">
        <f t="shared" si="3703"/>
        <v>0</v>
      </c>
      <c r="BR432" s="1343">
        <f t="shared" si="3703"/>
        <v>0</v>
      </c>
      <c r="BS432" s="1343">
        <f t="shared" si="3703"/>
        <v>0</v>
      </c>
      <c r="BT432" s="1343">
        <f t="shared" si="3703"/>
        <v>0</v>
      </c>
      <c r="BU432" s="1343">
        <f t="shared" si="3703"/>
        <v>0</v>
      </c>
      <c r="BV432" s="1343">
        <f t="shared" si="3703"/>
        <v>0</v>
      </c>
      <c r="BW432" s="1343">
        <f t="shared" si="3703"/>
        <v>0</v>
      </c>
      <c r="BX432" s="1343">
        <f t="shared" si="3703"/>
        <v>0</v>
      </c>
      <c r="BY432" s="1343">
        <f t="shared" si="3703"/>
        <v>0</v>
      </c>
      <c r="BZ432" s="1343">
        <f t="shared" si="3703"/>
        <v>0</v>
      </c>
      <c r="CA432" s="1343">
        <f t="shared" si="3703"/>
        <v>0</v>
      </c>
      <c r="CB432" s="1343">
        <f t="shared" si="3703"/>
        <v>0</v>
      </c>
      <c r="CC432" s="1343">
        <f t="shared" si="3703"/>
        <v>0</v>
      </c>
      <c r="CD432" s="1343">
        <f t="shared" si="3703"/>
        <v>0</v>
      </c>
      <c r="CE432" s="1343">
        <f t="shared" si="3703"/>
        <v>0</v>
      </c>
      <c r="CF432" s="1343">
        <f t="shared" si="3703"/>
        <v>0</v>
      </c>
      <c r="CG432" s="1343">
        <f t="shared" si="3703"/>
        <v>0</v>
      </c>
      <c r="CH432" s="1343">
        <f t="shared" si="3703"/>
        <v>0</v>
      </c>
      <c r="CI432" s="1343">
        <f t="shared" si="3703"/>
        <v>0</v>
      </c>
      <c r="CJ432" s="1343">
        <f t="shared" si="3703"/>
        <v>0</v>
      </c>
      <c r="CK432" s="1343">
        <f t="shared" si="3703"/>
        <v>0</v>
      </c>
      <c r="CL432" s="1343">
        <f t="shared" si="3703"/>
        <v>0</v>
      </c>
      <c r="CM432" s="1343">
        <f t="shared" si="3703"/>
        <v>0</v>
      </c>
      <c r="CN432" s="1343">
        <f t="shared" si="3703"/>
        <v>0</v>
      </c>
      <c r="CQ432" s="1331"/>
      <c r="CR432" s="1331"/>
      <c r="CS432" s="1331"/>
      <c r="CT432" s="1331"/>
      <c r="CU432" s="1331"/>
      <c r="CV432" s="1331"/>
      <c r="CW432" s="1331"/>
      <c r="CX432" s="1331"/>
      <c r="CY432" s="1331"/>
      <c r="CZ432" s="1331"/>
      <c r="DA432" s="1331"/>
      <c r="DB432" s="1331"/>
      <c r="DC432" s="1331"/>
      <c r="DD432" s="1331"/>
      <c r="DE432" s="1331"/>
      <c r="DF432" s="1331"/>
      <c r="DG432" s="1331"/>
      <c r="DH432" s="1331"/>
      <c r="DI432" s="1331"/>
      <c r="DJ432" s="1331"/>
      <c r="DK432" s="1331"/>
      <c r="DL432" s="1331"/>
      <c r="DM432" s="1331"/>
      <c r="DN432" s="1331"/>
      <c r="DO432" s="1331"/>
      <c r="DP432" s="1331"/>
      <c r="DQ432" s="1331"/>
      <c r="DR432" s="1331"/>
      <c r="DS432" s="1331"/>
      <c r="DT432" s="1331"/>
      <c r="DU432" s="1331"/>
      <c r="DV432" s="1331"/>
      <c r="DW432" s="1331"/>
      <c r="DX432" s="1331"/>
      <c r="DY432" s="1331"/>
      <c r="DZ432" s="1331"/>
      <c r="EA432" s="1331"/>
      <c r="EB432" s="1331"/>
      <c r="EC432" s="1331"/>
      <c r="ED432" s="1331"/>
      <c r="EE432" s="1331"/>
      <c r="EF432" s="1331"/>
      <c r="EG432" s="1331"/>
      <c r="EH432" s="1331"/>
      <c r="EI432" s="1331"/>
      <c r="EK432" s="1331"/>
    </row>
    <row r="433" spans="3:141" ht="12.75">
      <c r="C433" s="1848" t="s">
        <v>79</v>
      </c>
      <c r="AV433" s="1343">
        <f t="shared" ref="AV433:CN433" si="3704">CQ65</f>
        <v>15209.24</v>
      </c>
      <c r="AW433" s="1343">
        <f t="shared" si="3704"/>
        <v>7750</v>
      </c>
      <c r="AX433" s="1343">
        <f t="shared" si="3704"/>
        <v>0</v>
      </c>
      <c r="AY433" s="1343">
        <f t="shared" si="3704"/>
        <v>0</v>
      </c>
      <c r="AZ433" s="1343">
        <f t="shared" si="3704"/>
        <v>0</v>
      </c>
      <c r="BA433" s="1343">
        <f t="shared" si="3704"/>
        <v>0</v>
      </c>
      <c r="BB433" s="1343">
        <f t="shared" si="3704"/>
        <v>0</v>
      </c>
      <c r="BC433" s="1343">
        <f t="shared" si="3704"/>
        <v>1927.010708</v>
      </c>
      <c r="BD433" s="1343">
        <f t="shared" si="3704"/>
        <v>24886.250708</v>
      </c>
      <c r="BE433" s="1343">
        <f t="shared" si="3704"/>
        <v>0</v>
      </c>
      <c r="BF433" s="1343">
        <f t="shared" si="3704"/>
        <v>0</v>
      </c>
      <c r="BG433" s="1343">
        <f t="shared" si="3704"/>
        <v>0</v>
      </c>
      <c r="BH433" s="1343">
        <f t="shared" si="3704"/>
        <v>0</v>
      </c>
      <c r="BI433" s="1343">
        <f t="shared" si="3704"/>
        <v>0</v>
      </c>
      <c r="BJ433" s="1343">
        <f t="shared" si="3704"/>
        <v>0</v>
      </c>
      <c r="BK433" s="1343">
        <f t="shared" si="3704"/>
        <v>0</v>
      </c>
      <c r="BL433" s="1343">
        <f t="shared" si="3704"/>
        <v>0</v>
      </c>
      <c r="BM433" s="1343">
        <f t="shared" si="3704"/>
        <v>0</v>
      </c>
      <c r="BN433" s="1343">
        <f t="shared" si="3704"/>
        <v>0</v>
      </c>
      <c r="BO433" s="1343">
        <f t="shared" si="3704"/>
        <v>0</v>
      </c>
      <c r="BP433" s="1343">
        <f t="shared" si="3704"/>
        <v>0</v>
      </c>
      <c r="BQ433" s="1343">
        <f t="shared" si="3704"/>
        <v>0</v>
      </c>
      <c r="BR433" s="1343">
        <f t="shared" si="3704"/>
        <v>0</v>
      </c>
      <c r="BS433" s="1343">
        <f t="shared" si="3704"/>
        <v>0</v>
      </c>
      <c r="BT433" s="1343">
        <f t="shared" si="3704"/>
        <v>0</v>
      </c>
      <c r="BU433" s="1343">
        <f t="shared" si="3704"/>
        <v>0</v>
      </c>
      <c r="BV433" s="1343">
        <f t="shared" si="3704"/>
        <v>0</v>
      </c>
      <c r="BW433" s="1343">
        <f t="shared" si="3704"/>
        <v>0</v>
      </c>
      <c r="BX433" s="1343">
        <f t="shared" si="3704"/>
        <v>0</v>
      </c>
      <c r="BY433" s="1343">
        <f t="shared" si="3704"/>
        <v>0</v>
      </c>
      <c r="BZ433" s="1343">
        <f t="shared" si="3704"/>
        <v>0</v>
      </c>
      <c r="CA433" s="1343">
        <f t="shared" si="3704"/>
        <v>0</v>
      </c>
      <c r="CB433" s="1343">
        <f t="shared" si="3704"/>
        <v>0</v>
      </c>
      <c r="CC433" s="1343">
        <f t="shared" si="3704"/>
        <v>0</v>
      </c>
      <c r="CD433" s="1343">
        <f t="shared" si="3704"/>
        <v>0</v>
      </c>
      <c r="CE433" s="1343">
        <f t="shared" si="3704"/>
        <v>0</v>
      </c>
      <c r="CF433" s="1343">
        <f t="shared" si="3704"/>
        <v>0</v>
      </c>
      <c r="CG433" s="1343">
        <f t="shared" si="3704"/>
        <v>0</v>
      </c>
      <c r="CH433" s="1343">
        <f t="shared" si="3704"/>
        <v>0</v>
      </c>
      <c r="CI433" s="1343">
        <f t="shared" si="3704"/>
        <v>0</v>
      </c>
      <c r="CJ433" s="1343">
        <f t="shared" si="3704"/>
        <v>0</v>
      </c>
      <c r="CK433" s="1343">
        <f t="shared" si="3704"/>
        <v>0</v>
      </c>
      <c r="CL433" s="1343">
        <f t="shared" si="3704"/>
        <v>0</v>
      </c>
      <c r="CM433" s="1343">
        <f t="shared" si="3704"/>
        <v>0</v>
      </c>
      <c r="CN433" s="1343">
        <f t="shared" si="3704"/>
        <v>0</v>
      </c>
      <c r="CQ433" s="1331"/>
      <c r="CR433" s="1331"/>
      <c r="CS433" s="1331"/>
      <c r="CT433" s="1331"/>
      <c r="CU433" s="1331"/>
      <c r="CV433" s="1331"/>
      <c r="CW433" s="1331"/>
      <c r="CX433" s="1331"/>
      <c r="CY433" s="1331"/>
      <c r="CZ433" s="1331"/>
      <c r="DA433" s="1331"/>
      <c r="DB433" s="1331"/>
      <c r="DC433" s="1331"/>
      <c r="DD433" s="1331"/>
      <c r="DE433" s="1331"/>
      <c r="DF433" s="1331"/>
      <c r="DG433" s="1331"/>
      <c r="DH433" s="1331"/>
      <c r="DI433" s="1331"/>
      <c r="DJ433" s="1331"/>
      <c r="DK433" s="1331"/>
      <c r="DL433" s="1331"/>
      <c r="DM433" s="1331"/>
      <c r="DN433" s="1331"/>
      <c r="DO433" s="1331"/>
      <c r="DP433" s="1331"/>
      <c r="DQ433" s="1331"/>
      <c r="DR433" s="1331"/>
      <c r="DS433" s="1331"/>
      <c r="DT433" s="1331"/>
      <c r="DU433" s="1331"/>
      <c r="DV433" s="1331"/>
      <c r="DW433" s="1331"/>
      <c r="DX433" s="1331"/>
      <c r="DY433" s="1331"/>
      <c r="DZ433" s="1331"/>
      <c r="EA433" s="1331"/>
      <c r="EB433" s="1331"/>
      <c r="EC433" s="1331"/>
      <c r="ED433" s="1331"/>
      <c r="EE433" s="1331"/>
      <c r="EF433" s="1331"/>
      <c r="EG433" s="1331"/>
      <c r="EH433" s="1331"/>
      <c r="EI433" s="1331"/>
      <c r="EK433" s="1331"/>
    </row>
    <row r="434" spans="3:141" ht="12.75">
      <c r="C434" s="1848" t="s">
        <v>81</v>
      </c>
      <c r="AV434" s="1343">
        <f t="shared" ref="AV434:CN434" si="3705">CQ71</f>
        <v>7250</v>
      </c>
      <c r="AW434" s="1343">
        <f t="shared" si="3705"/>
        <v>1075</v>
      </c>
      <c r="AX434" s="1343">
        <f t="shared" si="3705"/>
        <v>0</v>
      </c>
      <c r="AY434" s="1343">
        <f t="shared" si="3705"/>
        <v>0</v>
      </c>
      <c r="AZ434" s="1343">
        <f t="shared" si="3705"/>
        <v>0</v>
      </c>
      <c r="BA434" s="1343">
        <f t="shared" si="3705"/>
        <v>0</v>
      </c>
      <c r="BB434" s="1343">
        <f t="shared" si="3705"/>
        <v>0</v>
      </c>
      <c r="BC434" s="1343">
        <f t="shared" si="3705"/>
        <v>918.57500000000005</v>
      </c>
      <c r="BD434" s="1343">
        <f t="shared" si="3705"/>
        <v>9243.5750000000007</v>
      </c>
      <c r="BE434" s="1343">
        <f t="shared" si="3705"/>
        <v>8000.0000000000009</v>
      </c>
      <c r="BF434" s="1343">
        <f t="shared" si="3705"/>
        <v>4000.0000000000005</v>
      </c>
      <c r="BG434" s="1343">
        <f t="shared" si="3705"/>
        <v>0</v>
      </c>
      <c r="BH434" s="1343">
        <f t="shared" si="3705"/>
        <v>0</v>
      </c>
      <c r="BI434" s="1343">
        <f t="shared" si="3705"/>
        <v>0</v>
      </c>
      <c r="BJ434" s="1343">
        <f t="shared" si="3705"/>
        <v>0</v>
      </c>
      <c r="BK434" s="1343">
        <f t="shared" si="3705"/>
        <v>0</v>
      </c>
      <c r="BL434" s="1343">
        <f t="shared" si="3705"/>
        <v>1013.6000000000003</v>
      </c>
      <c r="BM434" s="1343">
        <f t="shared" si="3705"/>
        <v>13013.600000000002</v>
      </c>
      <c r="BN434" s="1343">
        <f t="shared" si="3705"/>
        <v>0</v>
      </c>
      <c r="BO434" s="1343">
        <f t="shared" si="3705"/>
        <v>0</v>
      </c>
      <c r="BP434" s="1343">
        <f t="shared" si="3705"/>
        <v>0</v>
      </c>
      <c r="BQ434" s="1343">
        <f t="shared" si="3705"/>
        <v>0</v>
      </c>
      <c r="BR434" s="1343">
        <f t="shared" si="3705"/>
        <v>0</v>
      </c>
      <c r="BS434" s="1343">
        <f t="shared" si="3705"/>
        <v>0</v>
      </c>
      <c r="BT434" s="1343">
        <f t="shared" si="3705"/>
        <v>0</v>
      </c>
      <c r="BU434" s="1343">
        <f t="shared" si="3705"/>
        <v>0</v>
      </c>
      <c r="BV434" s="1343">
        <f t="shared" si="3705"/>
        <v>0</v>
      </c>
      <c r="BW434" s="1343">
        <f t="shared" si="3705"/>
        <v>0</v>
      </c>
      <c r="BX434" s="1343">
        <f t="shared" si="3705"/>
        <v>0</v>
      </c>
      <c r="BY434" s="1343">
        <f t="shared" si="3705"/>
        <v>0</v>
      </c>
      <c r="BZ434" s="1343">
        <f t="shared" si="3705"/>
        <v>0</v>
      </c>
      <c r="CA434" s="1343">
        <f t="shared" si="3705"/>
        <v>0</v>
      </c>
      <c r="CB434" s="1343">
        <f t="shared" si="3705"/>
        <v>0</v>
      </c>
      <c r="CC434" s="1343">
        <f t="shared" si="3705"/>
        <v>0</v>
      </c>
      <c r="CD434" s="1343">
        <f t="shared" si="3705"/>
        <v>0</v>
      </c>
      <c r="CE434" s="1343">
        <f t="shared" si="3705"/>
        <v>0</v>
      </c>
      <c r="CF434" s="1343">
        <f t="shared" si="3705"/>
        <v>0</v>
      </c>
      <c r="CG434" s="1343">
        <f t="shared" si="3705"/>
        <v>0</v>
      </c>
      <c r="CH434" s="1343">
        <f t="shared" si="3705"/>
        <v>0</v>
      </c>
      <c r="CI434" s="1343">
        <f t="shared" si="3705"/>
        <v>0</v>
      </c>
      <c r="CJ434" s="1343">
        <f t="shared" si="3705"/>
        <v>0</v>
      </c>
      <c r="CK434" s="1343">
        <f t="shared" si="3705"/>
        <v>0</v>
      </c>
      <c r="CL434" s="1343">
        <f t="shared" si="3705"/>
        <v>0</v>
      </c>
      <c r="CM434" s="1343">
        <f t="shared" si="3705"/>
        <v>0</v>
      </c>
      <c r="CN434" s="1343">
        <f t="shared" si="3705"/>
        <v>0</v>
      </c>
      <c r="CQ434" s="1331"/>
      <c r="CR434" s="1331"/>
      <c r="CS434" s="1331"/>
      <c r="CT434" s="1331"/>
      <c r="CU434" s="1331"/>
      <c r="CV434" s="1331"/>
      <c r="CW434" s="1331"/>
      <c r="CX434" s="1331"/>
      <c r="CY434" s="1331"/>
      <c r="CZ434" s="1331"/>
      <c r="DA434" s="1331"/>
      <c r="DB434" s="1331"/>
      <c r="DC434" s="1331"/>
      <c r="DD434" s="1331"/>
      <c r="DE434" s="1331"/>
      <c r="DF434" s="1331"/>
      <c r="DG434" s="1331"/>
      <c r="DH434" s="1331"/>
      <c r="DI434" s="1331"/>
      <c r="DJ434" s="1331"/>
      <c r="DK434" s="1331"/>
      <c r="DL434" s="1331"/>
      <c r="DM434" s="1331"/>
      <c r="DN434" s="1331"/>
      <c r="DO434" s="1331"/>
      <c r="DP434" s="1331"/>
      <c r="DQ434" s="1331"/>
      <c r="DR434" s="1331"/>
      <c r="DS434" s="1331"/>
      <c r="DT434" s="1331"/>
      <c r="DU434" s="1331"/>
      <c r="DV434" s="1331"/>
      <c r="DW434" s="1331"/>
      <c r="DX434" s="1331"/>
      <c r="DY434" s="1331"/>
      <c r="DZ434" s="1331"/>
      <c r="EA434" s="1331"/>
      <c r="EB434" s="1331"/>
      <c r="EC434" s="1331"/>
      <c r="ED434" s="1331"/>
      <c r="EE434" s="1331"/>
      <c r="EF434" s="1331"/>
      <c r="EG434" s="1331"/>
      <c r="EH434" s="1331"/>
      <c r="EI434" s="1331"/>
      <c r="EK434" s="1331"/>
    </row>
    <row r="435" spans="3:141" ht="12.75">
      <c r="C435" s="1848" t="s">
        <v>85</v>
      </c>
      <c r="CQ435" s="1331"/>
      <c r="CR435" s="1331"/>
      <c r="CS435" s="1331"/>
      <c r="CT435" s="1331"/>
      <c r="CU435" s="1331"/>
      <c r="CV435" s="1331"/>
      <c r="CW435" s="1331"/>
      <c r="CX435" s="1331"/>
      <c r="CY435" s="1331"/>
      <c r="CZ435" s="1331"/>
      <c r="DA435" s="1331"/>
      <c r="DB435" s="1331"/>
      <c r="DC435" s="1331"/>
      <c r="DD435" s="1331"/>
      <c r="DE435" s="1331"/>
      <c r="DF435" s="1331"/>
      <c r="DG435" s="1331"/>
      <c r="DH435" s="1331"/>
      <c r="DI435" s="1331"/>
      <c r="DJ435" s="1331"/>
      <c r="DK435" s="1331"/>
      <c r="DL435" s="1331"/>
      <c r="DM435" s="1331"/>
      <c r="DN435" s="1331"/>
      <c r="DO435" s="1331"/>
      <c r="DP435" s="1331"/>
      <c r="DQ435" s="1331"/>
      <c r="DR435" s="1331"/>
      <c r="DS435" s="1331"/>
      <c r="DT435" s="1331"/>
      <c r="DU435" s="1331"/>
      <c r="DV435" s="1331"/>
      <c r="DW435" s="1331"/>
      <c r="DX435" s="1331"/>
      <c r="DY435" s="1331"/>
      <c r="DZ435" s="1331"/>
      <c r="EA435" s="1331"/>
      <c r="EB435" s="1331"/>
      <c r="EC435" s="1331"/>
      <c r="ED435" s="1331"/>
      <c r="EE435" s="1331"/>
      <c r="EF435" s="1331"/>
      <c r="EG435" s="1331"/>
      <c r="EH435" s="1331"/>
      <c r="EI435" s="1331"/>
      <c r="EK435" s="1331"/>
    </row>
    <row r="436" spans="3:141" ht="12.75">
      <c r="C436" s="1848" t="s">
        <v>86</v>
      </c>
      <c r="AV436" s="1343">
        <f t="shared" ref="AV436:CN436" si="3706">CQ79</f>
        <v>8236.6666666666661</v>
      </c>
      <c r="AW436" s="1343">
        <f t="shared" si="3706"/>
        <v>1563.3333333333333</v>
      </c>
      <c r="AX436" s="1343">
        <f t="shared" si="3706"/>
        <v>0</v>
      </c>
      <c r="AY436" s="1343">
        <f t="shared" si="3706"/>
        <v>0</v>
      </c>
      <c r="AZ436" s="1343">
        <f t="shared" si="3706"/>
        <v>0</v>
      </c>
      <c r="BA436" s="1343">
        <f t="shared" si="3706"/>
        <v>0</v>
      </c>
      <c r="BB436" s="1343">
        <f t="shared" si="3706"/>
        <v>0</v>
      </c>
      <c r="BC436" s="1343">
        <f t="shared" si="3706"/>
        <v>1043.5856666666666</v>
      </c>
      <c r="BD436" s="1343">
        <f t="shared" si="3706"/>
        <v>10843.585666666666</v>
      </c>
      <c r="BE436" s="1343">
        <f t="shared" si="3706"/>
        <v>15450</v>
      </c>
      <c r="BF436" s="1343">
        <f t="shared" si="3706"/>
        <v>4750</v>
      </c>
      <c r="BG436" s="1343">
        <f t="shared" si="3706"/>
        <v>0</v>
      </c>
      <c r="BH436" s="1343">
        <f t="shared" si="3706"/>
        <v>0</v>
      </c>
      <c r="BI436" s="1343">
        <f t="shared" si="3706"/>
        <v>0</v>
      </c>
      <c r="BJ436" s="1343">
        <f t="shared" si="3706"/>
        <v>0</v>
      </c>
      <c r="BK436" s="1343">
        <f t="shared" si="3706"/>
        <v>0</v>
      </c>
      <c r="BL436" s="1343">
        <f t="shared" si="3706"/>
        <v>1957.5150000000001</v>
      </c>
      <c r="BM436" s="1343">
        <f t="shared" si="3706"/>
        <v>22157.514999999999</v>
      </c>
      <c r="BN436" s="1343">
        <f t="shared" si="3706"/>
        <v>0</v>
      </c>
      <c r="BO436" s="1343">
        <f t="shared" si="3706"/>
        <v>0</v>
      </c>
      <c r="BP436" s="1343">
        <f t="shared" si="3706"/>
        <v>0</v>
      </c>
      <c r="BQ436" s="1343">
        <f t="shared" si="3706"/>
        <v>0</v>
      </c>
      <c r="BR436" s="1343">
        <f t="shared" si="3706"/>
        <v>0</v>
      </c>
      <c r="BS436" s="1343">
        <f t="shared" si="3706"/>
        <v>0</v>
      </c>
      <c r="BT436" s="1343">
        <f t="shared" si="3706"/>
        <v>0</v>
      </c>
      <c r="BU436" s="1343">
        <f t="shared" si="3706"/>
        <v>0</v>
      </c>
      <c r="BV436" s="1343">
        <f t="shared" si="3706"/>
        <v>0</v>
      </c>
      <c r="BW436" s="1343">
        <f t="shared" si="3706"/>
        <v>0</v>
      </c>
      <c r="BX436" s="1343">
        <f t="shared" si="3706"/>
        <v>0</v>
      </c>
      <c r="BY436" s="1343">
        <f t="shared" si="3706"/>
        <v>0</v>
      </c>
      <c r="BZ436" s="1343">
        <f t="shared" si="3706"/>
        <v>0</v>
      </c>
      <c r="CA436" s="1343">
        <f t="shared" si="3706"/>
        <v>0</v>
      </c>
      <c r="CB436" s="1343">
        <f t="shared" si="3706"/>
        <v>0</v>
      </c>
      <c r="CC436" s="1343">
        <f t="shared" si="3706"/>
        <v>0</v>
      </c>
      <c r="CD436" s="1343">
        <f t="shared" si="3706"/>
        <v>0</v>
      </c>
      <c r="CE436" s="1343">
        <f t="shared" si="3706"/>
        <v>0</v>
      </c>
      <c r="CF436" s="1343">
        <f t="shared" si="3706"/>
        <v>0</v>
      </c>
      <c r="CG436" s="1343">
        <f t="shared" si="3706"/>
        <v>0</v>
      </c>
      <c r="CH436" s="1343">
        <f t="shared" si="3706"/>
        <v>0</v>
      </c>
      <c r="CI436" s="1343">
        <f t="shared" si="3706"/>
        <v>0</v>
      </c>
      <c r="CJ436" s="1343">
        <f t="shared" si="3706"/>
        <v>0</v>
      </c>
      <c r="CK436" s="1343">
        <f t="shared" si="3706"/>
        <v>0</v>
      </c>
      <c r="CL436" s="1343">
        <f t="shared" si="3706"/>
        <v>0</v>
      </c>
      <c r="CM436" s="1343">
        <f t="shared" si="3706"/>
        <v>0</v>
      </c>
      <c r="CN436" s="1343">
        <f t="shared" si="3706"/>
        <v>0</v>
      </c>
      <c r="CQ436" s="1331"/>
      <c r="CR436" s="1331"/>
      <c r="CS436" s="1331"/>
      <c r="CT436" s="1331"/>
      <c r="CU436" s="1331"/>
      <c r="CV436" s="1331"/>
      <c r="CW436" s="1331"/>
      <c r="CX436" s="1331"/>
      <c r="CY436" s="1331"/>
      <c r="CZ436" s="1331"/>
      <c r="DA436" s="1331"/>
      <c r="DB436" s="1331"/>
      <c r="DC436" s="1331"/>
      <c r="DD436" s="1331"/>
      <c r="DE436" s="1331"/>
      <c r="DF436" s="1331"/>
      <c r="DG436" s="1331"/>
      <c r="DH436" s="1331"/>
      <c r="DI436" s="1331"/>
      <c r="DJ436" s="1331"/>
      <c r="DK436" s="1331"/>
      <c r="DL436" s="1331"/>
      <c r="DM436" s="1331"/>
      <c r="DN436" s="1331"/>
      <c r="DO436" s="1331"/>
      <c r="DP436" s="1331"/>
      <c r="DQ436" s="1331"/>
      <c r="DR436" s="1331"/>
      <c r="DS436" s="1331"/>
      <c r="DT436" s="1331"/>
      <c r="DU436" s="1331"/>
      <c r="DV436" s="1331"/>
      <c r="DW436" s="1331"/>
      <c r="DX436" s="1331"/>
      <c r="DY436" s="1331"/>
      <c r="DZ436" s="1331"/>
      <c r="EA436" s="1331"/>
      <c r="EB436" s="1331"/>
      <c r="EC436" s="1331"/>
      <c r="ED436" s="1331"/>
      <c r="EE436" s="1331"/>
      <c r="EF436" s="1331"/>
      <c r="EG436" s="1331"/>
      <c r="EH436" s="1331"/>
      <c r="EI436" s="1331"/>
      <c r="EK436" s="1331"/>
    </row>
    <row r="437" spans="3:141" ht="12.75">
      <c r="C437" s="1848" t="s">
        <v>89</v>
      </c>
      <c r="CQ437" s="1331"/>
      <c r="CR437" s="1331"/>
      <c r="CS437" s="1331"/>
      <c r="CT437" s="1331"/>
      <c r="CU437" s="1331"/>
      <c r="CV437" s="1331"/>
      <c r="CW437" s="1331"/>
      <c r="CX437" s="1331"/>
      <c r="CY437" s="1331"/>
      <c r="CZ437" s="1331"/>
      <c r="DA437" s="1331"/>
      <c r="DB437" s="1331"/>
      <c r="DC437" s="1331"/>
      <c r="DD437" s="1331"/>
      <c r="DE437" s="1331"/>
      <c r="DF437" s="1331"/>
      <c r="DG437" s="1331"/>
      <c r="DH437" s="1331"/>
      <c r="DI437" s="1331"/>
      <c r="DJ437" s="1331"/>
      <c r="DK437" s="1331"/>
      <c r="DL437" s="1331"/>
      <c r="DM437" s="1331"/>
      <c r="DN437" s="1331"/>
      <c r="DO437" s="1331"/>
      <c r="DP437" s="1331"/>
      <c r="DQ437" s="1331"/>
      <c r="DR437" s="1331"/>
      <c r="DS437" s="1331"/>
      <c r="DT437" s="1331"/>
      <c r="DU437" s="1331"/>
      <c r="DV437" s="1331"/>
      <c r="DW437" s="1331"/>
      <c r="DX437" s="1331"/>
      <c r="DY437" s="1331"/>
      <c r="DZ437" s="1331"/>
      <c r="EA437" s="1331"/>
      <c r="EB437" s="1331"/>
      <c r="EC437" s="1331"/>
      <c r="ED437" s="1331"/>
      <c r="EE437" s="1331"/>
      <c r="EF437" s="1331"/>
      <c r="EG437" s="1331"/>
      <c r="EH437" s="1331"/>
      <c r="EI437" s="1331"/>
      <c r="EK437" s="1331"/>
    </row>
    <row r="438" spans="3:141" ht="12.75">
      <c r="C438" s="1848" t="s">
        <v>90</v>
      </c>
      <c r="AV438" s="1343">
        <f t="shared" ref="AV438:CN438" si="3707">CQ91</f>
        <v>26450</v>
      </c>
      <c r="AW438" s="1343">
        <f t="shared" si="3707"/>
        <v>29993.549999999996</v>
      </c>
      <c r="AX438" s="1343">
        <f t="shared" si="3707"/>
        <v>0</v>
      </c>
      <c r="AY438" s="1343">
        <f t="shared" si="3707"/>
        <v>0</v>
      </c>
      <c r="AZ438" s="1343">
        <f t="shared" si="3707"/>
        <v>0</v>
      </c>
      <c r="BA438" s="1343">
        <f t="shared" si="3707"/>
        <v>0</v>
      </c>
      <c r="BB438" s="1343">
        <f t="shared" si="3707"/>
        <v>0</v>
      </c>
      <c r="BC438" s="1343">
        <f t="shared" si="3707"/>
        <v>3351.2150000000001</v>
      </c>
      <c r="BD438" s="1343">
        <f t="shared" si="3707"/>
        <v>59794.764999999999</v>
      </c>
      <c r="BE438" s="1343">
        <f t="shared" si="3707"/>
        <v>12616.380000000001</v>
      </c>
      <c r="BF438" s="1343">
        <f t="shared" si="3707"/>
        <v>12474.82</v>
      </c>
      <c r="BG438" s="1343">
        <f t="shared" si="3707"/>
        <v>34.5</v>
      </c>
      <c r="BH438" s="1343">
        <f t="shared" si="3707"/>
        <v>719.08950000000004</v>
      </c>
      <c r="BI438" s="1343">
        <f t="shared" si="3707"/>
        <v>0</v>
      </c>
      <c r="BJ438" s="1343">
        <f t="shared" si="3707"/>
        <v>0</v>
      </c>
      <c r="BK438" s="1343">
        <f t="shared" si="3707"/>
        <v>0</v>
      </c>
      <c r="BL438" s="1343">
        <f t="shared" si="3707"/>
        <v>1689.6039856499999</v>
      </c>
      <c r="BM438" s="1343">
        <f t="shared" si="3707"/>
        <v>27499.893485649998</v>
      </c>
      <c r="BN438" s="1343">
        <f t="shared" si="3707"/>
        <v>3450</v>
      </c>
      <c r="BO438" s="1343">
        <f t="shared" si="3707"/>
        <v>4702.1900000000005</v>
      </c>
      <c r="BP438" s="1343">
        <f t="shared" si="3707"/>
        <v>14</v>
      </c>
      <c r="BQ438" s="1343">
        <f t="shared" si="3707"/>
        <v>301.875</v>
      </c>
      <c r="BR438" s="1343">
        <f t="shared" si="3707"/>
        <v>0</v>
      </c>
      <c r="BS438" s="1343">
        <f t="shared" si="3707"/>
        <v>0</v>
      </c>
      <c r="BT438" s="1343">
        <f t="shared" si="3707"/>
        <v>0</v>
      </c>
      <c r="BU438" s="1343">
        <f t="shared" si="3707"/>
        <v>475.36256250000002</v>
      </c>
      <c r="BV438" s="1343">
        <f t="shared" si="3707"/>
        <v>8929.4275625000009</v>
      </c>
      <c r="BW438" s="1343">
        <f t="shared" si="3707"/>
        <v>0</v>
      </c>
      <c r="BX438" s="1343">
        <f t="shared" si="3707"/>
        <v>0</v>
      </c>
      <c r="BY438" s="1343">
        <f t="shared" si="3707"/>
        <v>0</v>
      </c>
      <c r="BZ438" s="1343">
        <f t="shared" si="3707"/>
        <v>0</v>
      </c>
      <c r="CA438" s="1343">
        <f t="shared" si="3707"/>
        <v>0</v>
      </c>
      <c r="CB438" s="1343">
        <f t="shared" si="3707"/>
        <v>0</v>
      </c>
      <c r="CC438" s="1343">
        <f t="shared" si="3707"/>
        <v>0</v>
      </c>
      <c r="CD438" s="1343">
        <f t="shared" si="3707"/>
        <v>0</v>
      </c>
      <c r="CE438" s="1343">
        <f t="shared" si="3707"/>
        <v>0</v>
      </c>
      <c r="CF438" s="1343">
        <f t="shared" si="3707"/>
        <v>0</v>
      </c>
      <c r="CG438" s="1343">
        <f t="shared" si="3707"/>
        <v>0</v>
      </c>
      <c r="CH438" s="1343">
        <f t="shared" si="3707"/>
        <v>0</v>
      </c>
      <c r="CI438" s="1343">
        <f t="shared" si="3707"/>
        <v>0</v>
      </c>
      <c r="CJ438" s="1343">
        <f t="shared" si="3707"/>
        <v>0</v>
      </c>
      <c r="CK438" s="1343">
        <f t="shared" si="3707"/>
        <v>0</v>
      </c>
      <c r="CL438" s="1343">
        <f t="shared" si="3707"/>
        <v>0</v>
      </c>
      <c r="CM438" s="1343">
        <f t="shared" si="3707"/>
        <v>0</v>
      </c>
      <c r="CN438" s="1343">
        <f t="shared" si="3707"/>
        <v>0</v>
      </c>
      <c r="CQ438" s="1331"/>
      <c r="CR438" s="1331"/>
      <c r="CS438" s="1331"/>
      <c r="CT438" s="1331"/>
      <c r="CU438" s="1331"/>
      <c r="CV438" s="1331"/>
      <c r="CW438" s="1331"/>
      <c r="CX438" s="1331"/>
      <c r="CY438" s="1331"/>
      <c r="CZ438" s="1331"/>
      <c r="DA438" s="1331"/>
      <c r="DB438" s="1331"/>
      <c r="DC438" s="1331"/>
      <c r="DD438" s="1331"/>
      <c r="DE438" s="1331"/>
      <c r="DF438" s="1331"/>
      <c r="DG438" s="1331"/>
      <c r="DH438" s="1331"/>
      <c r="DI438" s="1331"/>
      <c r="DJ438" s="1331"/>
      <c r="DK438" s="1331"/>
      <c r="DL438" s="1331"/>
      <c r="DM438" s="1331"/>
      <c r="DN438" s="1331"/>
      <c r="DO438" s="1331"/>
      <c r="DP438" s="1331"/>
      <c r="DQ438" s="1331"/>
      <c r="DR438" s="1331"/>
      <c r="DS438" s="1331"/>
      <c r="DT438" s="1331"/>
      <c r="DU438" s="1331"/>
      <c r="DV438" s="1331"/>
      <c r="DW438" s="1331"/>
      <c r="DX438" s="1331"/>
      <c r="DY438" s="1331"/>
      <c r="DZ438" s="1331"/>
      <c r="EA438" s="1331"/>
      <c r="EB438" s="1331"/>
      <c r="EC438" s="1331"/>
      <c r="ED438" s="1331"/>
      <c r="EE438" s="1331"/>
      <c r="EF438" s="1331"/>
      <c r="EG438" s="1331"/>
      <c r="EH438" s="1331"/>
      <c r="EI438" s="1331"/>
      <c r="EK438" s="1331"/>
    </row>
    <row r="439" spans="3:141" ht="12.75">
      <c r="C439" s="1848" t="s">
        <v>11</v>
      </c>
      <c r="AV439" s="1343">
        <f t="shared" ref="AV439:CN439" si="3708">CQ99</f>
        <v>0</v>
      </c>
      <c r="AW439" s="1343">
        <f t="shared" si="3708"/>
        <v>0</v>
      </c>
      <c r="AX439" s="1343">
        <f t="shared" si="3708"/>
        <v>0</v>
      </c>
      <c r="AY439" s="1343">
        <f t="shared" si="3708"/>
        <v>0</v>
      </c>
      <c r="AZ439" s="1343">
        <f t="shared" si="3708"/>
        <v>0</v>
      </c>
      <c r="BA439" s="1343">
        <f t="shared" si="3708"/>
        <v>0</v>
      </c>
      <c r="BB439" s="1343">
        <f t="shared" si="3708"/>
        <v>0</v>
      </c>
      <c r="BC439" s="1343">
        <f t="shared" si="3708"/>
        <v>0</v>
      </c>
      <c r="BD439" s="1343">
        <f t="shared" si="3708"/>
        <v>0</v>
      </c>
      <c r="BE439" s="1343">
        <f t="shared" si="3708"/>
        <v>16148.538</v>
      </c>
      <c r="BF439" s="1343">
        <f t="shared" si="3708"/>
        <v>3975</v>
      </c>
      <c r="BG439" s="1343">
        <f t="shared" si="3708"/>
        <v>58</v>
      </c>
      <c r="BH439" s="1343">
        <f t="shared" si="3708"/>
        <v>1147.8127500000001</v>
      </c>
      <c r="BI439" s="1343">
        <f t="shared" si="3708"/>
        <v>0</v>
      </c>
      <c r="BJ439" s="1343">
        <f t="shared" si="3708"/>
        <v>0</v>
      </c>
      <c r="BK439" s="1343">
        <f t="shared" si="3708"/>
        <v>0</v>
      </c>
      <c r="BL439" s="1343">
        <f t="shared" si="3708"/>
        <v>2191.4476400250001</v>
      </c>
      <c r="BM439" s="1343">
        <f t="shared" si="3708"/>
        <v>23462.798390025004</v>
      </c>
      <c r="BN439" s="1343">
        <f t="shared" si="3708"/>
        <v>0</v>
      </c>
      <c r="BO439" s="1343">
        <f t="shared" si="3708"/>
        <v>0</v>
      </c>
      <c r="BP439" s="1343">
        <f t="shared" si="3708"/>
        <v>0</v>
      </c>
      <c r="BQ439" s="1343">
        <f t="shared" si="3708"/>
        <v>0</v>
      </c>
      <c r="BR439" s="1343">
        <f t="shared" si="3708"/>
        <v>0</v>
      </c>
      <c r="BS439" s="1343">
        <f t="shared" si="3708"/>
        <v>0</v>
      </c>
      <c r="BT439" s="1343">
        <f t="shared" si="3708"/>
        <v>0</v>
      </c>
      <c r="BU439" s="1343">
        <f t="shared" si="3708"/>
        <v>0</v>
      </c>
      <c r="BV439" s="1343">
        <f t="shared" si="3708"/>
        <v>0</v>
      </c>
      <c r="BW439" s="1343">
        <f t="shared" si="3708"/>
        <v>0</v>
      </c>
      <c r="BX439" s="1343">
        <f t="shared" si="3708"/>
        <v>0</v>
      </c>
      <c r="BY439" s="1343">
        <f t="shared" si="3708"/>
        <v>0</v>
      </c>
      <c r="BZ439" s="1343">
        <f t="shared" si="3708"/>
        <v>0</v>
      </c>
      <c r="CA439" s="1343">
        <f t="shared" si="3708"/>
        <v>0</v>
      </c>
      <c r="CB439" s="1343">
        <f t="shared" si="3708"/>
        <v>0</v>
      </c>
      <c r="CC439" s="1343">
        <f t="shared" si="3708"/>
        <v>0</v>
      </c>
      <c r="CD439" s="1343">
        <f t="shared" si="3708"/>
        <v>0</v>
      </c>
      <c r="CE439" s="1343">
        <f t="shared" si="3708"/>
        <v>0</v>
      </c>
      <c r="CF439" s="1343">
        <f t="shared" si="3708"/>
        <v>0</v>
      </c>
      <c r="CG439" s="1343">
        <f t="shared" si="3708"/>
        <v>0</v>
      </c>
      <c r="CH439" s="1343">
        <f t="shared" si="3708"/>
        <v>0</v>
      </c>
      <c r="CI439" s="1343">
        <f t="shared" si="3708"/>
        <v>0</v>
      </c>
      <c r="CJ439" s="1343">
        <f t="shared" si="3708"/>
        <v>0</v>
      </c>
      <c r="CK439" s="1343">
        <f t="shared" si="3708"/>
        <v>0</v>
      </c>
      <c r="CL439" s="1343">
        <f t="shared" si="3708"/>
        <v>0</v>
      </c>
      <c r="CM439" s="1343">
        <f t="shared" si="3708"/>
        <v>0</v>
      </c>
      <c r="CN439" s="1343">
        <f t="shared" si="3708"/>
        <v>0</v>
      </c>
      <c r="CQ439" s="1331"/>
      <c r="CR439" s="1331"/>
      <c r="CS439" s="1331"/>
      <c r="CT439" s="1331"/>
      <c r="CU439" s="1331"/>
      <c r="CV439" s="1331"/>
      <c r="CW439" s="1331"/>
      <c r="CX439" s="1331"/>
      <c r="CY439" s="1331"/>
      <c r="CZ439" s="1331"/>
      <c r="DA439" s="1331"/>
      <c r="DB439" s="1331"/>
      <c r="DC439" s="1331"/>
      <c r="DD439" s="1331"/>
      <c r="DE439" s="1331"/>
      <c r="DF439" s="1331"/>
      <c r="DG439" s="1331"/>
      <c r="DH439" s="1331"/>
      <c r="DI439" s="1331"/>
      <c r="DJ439" s="1331"/>
      <c r="DK439" s="1331"/>
      <c r="DL439" s="1331"/>
      <c r="DM439" s="1331"/>
      <c r="DN439" s="1331"/>
      <c r="DO439" s="1331"/>
      <c r="DP439" s="1331"/>
      <c r="DQ439" s="1331"/>
      <c r="DR439" s="1331"/>
      <c r="DS439" s="1331"/>
      <c r="DT439" s="1331"/>
      <c r="DU439" s="1331"/>
      <c r="DV439" s="1331"/>
      <c r="DW439" s="1331"/>
      <c r="DX439" s="1331"/>
      <c r="DY439" s="1331"/>
      <c r="DZ439" s="1331"/>
      <c r="EA439" s="1331"/>
      <c r="EB439" s="1331"/>
      <c r="EC439" s="1331"/>
      <c r="ED439" s="1331"/>
      <c r="EE439" s="1331"/>
      <c r="EF439" s="1331"/>
      <c r="EG439" s="1331"/>
      <c r="EH439" s="1331"/>
      <c r="EI439" s="1331"/>
      <c r="EK439" s="1331"/>
    </row>
    <row r="440" spans="3:141" ht="12.75">
      <c r="C440" s="1848" t="s">
        <v>12</v>
      </c>
      <c r="AV440" s="1343">
        <f t="shared" ref="AV440:CN440" si="3709">CQ216</f>
        <v>0</v>
      </c>
      <c r="AW440" s="1343">
        <f t="shared" si="3709"/>
        <v>0</v>
      </c>
      <c r="AX440" s="1343">
        <f t="shared" si="3709"/>
        <v>0</v>
      </c>
      <c r="AY440" s="1343">
        <f t="shared" si="3709"/>
        <v>0</v>
      </c>
      <c r="AZ440" s="1343">
        <f t="shared" si="3709"/>
        <v>0</v>
      </c>
      <c r="BA440" s="1343">
        <f t="shared" si="3709"/>
        <v>0</v>
      </c>
      <c r="BB440" s="1343">
        <f t="shared" si="3709"/>
        <v>0</v>
      </c>
      <c r="BC440" s="1343">
        <f t="shared" si="3709"/>
        <v>0</v>
      </c>
      <c r="BD440" s="1343">
        <f t="shared" si="3709"/>
        <v>0</v>
      </c>
      <c r="BE440" s="1343">
        <f t="shared" si="3709"/>
        <v>0</v>
      </c>
      <c r="BF440" s="1343">
        <f t="shared" si="3709"/>
        <v>0</v>
      </c>
      <c r="BG440" s="1343">
        <f t="shared" si="3709"/>
        <v>0</v>
      </c>
      <c r="BH440" s="1343">
        <f t="shared" si="3709"/>
        <v>0</v>
      </c>
      <c r="BI440" s="1343">
        <f t="shared" si="3709"/>
        <v>0</v>
      </c>
      <c r="BJ440" s="1343">
        <f t="shared" si="3709"/>
        <v>0</v>
      </c>
      <c r="BK440" s="1343">
        <f t="shared" si="3709"/>
        <v>0</v>
      </c>
      <c r="BL440" s="1343">
        <f t="shared" si="3709"/>
        <v>0</v>
      </c>
      <c r="BM440" s="1343">
        <f t="shared" si="3709"/>
        <v>0</v>
      </c>
      <c r="BN440" s="1343">
        <f t="shared" si="3709"/>
        <v>30397.248000000007</v>
      </c>
      <c r="BO440" s="1343">
        <f t="shared" si="3709"/>
        <v>9575</v>
      </c>
      <c r="BP440" s="1343">
        <f t="shared" si="3709"/>
        <v>128</v>
      </c>
      <c r="BQ440" s="1343">
        <f t="shared" si="3709"/>
        <v>2533.1040000000003</v>
      </c>
      <c r="BR440" s="1343">
        <f t="shared" si="3709"/>
        <v>12</v>
      </c>
      <c r="BS440" s="1343">
        <f t="shared" si="3709"/>
        <v>316.63800000000003</v>
      </c>
      <c r="BT440" s="1343">
        <f t="shared" si="3709"/>
        <v>0</v>
      </c>
      <c r="BU440" s="1343">
        <f t="shared" si="3709"/>
        <v>4212.3936330000006</v>
      </c>
      <c r="BV440" s="1343">
        <f t="shared" si="3709"/>
        <v>47034.383633000005</v>
      </c>
      <c r="BW440" s="1343">
        <f t="shared" si="3709"/>
        <v>0</v>
      </c>
      <c r="BX440" s="1343">
        <f t="shared" si="3709"/>
        <v>0</v>
      </c>
      <c r="BY440" s="1343">
        <f t="shared" si="3709"/>
        <v>0</v>
      </c>
      <c r="BZ440" s="1343">
        <f t="shared" si="3709"/>
        <v>0</v>
      </c>
      <c r="CA440" s="1343">
        <f t="shared" si="3709"/>
        <v>0</v>
      </c>
      <c r="CB440" s="1343">
        <f t="shared" si="3709"/>
        <v>0</v>
      </c>
      <c r="CC440" s="1343">
        <f t="shared" si="3709"/>
        <v>0</v>
      </c>
      <c r="CD440" s="1343">
        <f t="shared" si="3709"/>
        <v>0</v>
      </c>
      <c r="CE440" s="1343">
        <f t="shared" si="3709"/>
        <v>0</v>
      </c>
      <c r="CF440" s="1343">
        <f t="shared" si="3709"/>
        <v>0</v>
      </c>
      <c r="CG440" s="1343">
        <f t="shared" si="3709"/>
        <v>0</v>
      </c>
      <c r="CH440" s="1343">
        <f t="shared" si="3709"/>
        <v>0</v>
      </c>
      <c r="CI440" s="1343">
        <f t="shared" si="3709"/>
        <v>0</v>
      </c>
      <c r="CJ440" s="1343">
        <f t="shared" si="3709"/>
        <v>0</v>
      </c>
      <c r="CK440" s="1343">
        <f t="shared" si="3709"/>
        <v>0</v>
      </c>
      <c r="CL440" s="1343">
        <f t="shared" si="3709"/>
        <v>0</v>
      </c>
      <c r="CM440" s="1343">
        <f t="shared" si="3709"/>
        <v>0</v>
      </c>
      <c r="CN440" s="1343">
        <f t="shared" si="3709"/>
        <v>0</v>
      </c>
      <c r="CQ440" s="1331"/>
      <c r="CR440" s="1331"/>
      <c r="CS440" s="1331"/>
      <c r="CT440" s="1331"/>
      <c r="CU440" s="1331"/>
      <c r="CV440" s="1331"/>
      <c r="CW440" s="1331"/>
      <c r="CX440" s="1331"/>
      <c r="CY440" s="1331"/>
      <c r="CZ440" s="1331"/>
      <c r="DA440" s="1331"/>
      <c r="DB440" s="1331"/>
      <c r="DC440" s="1331"/>
      <c r="DD440" s="1331"/>
      <c r="DE440" s="1331"/>
      <c r="DF440" s="1331"/>
      <c r="DG440" s="1331"/>
      <c r="DH440" s="1331"/>
      <c r="DI440" s="1331"/>
      <c r="DJ440" s="1331"/>
      <c r="DK440" s="1331"/>
      <c r="DL440" s="1331"/>
      <c r="DM440" s="1331"/>
      <c r="DN440" s="1331"/>
      <c r="DO440" s="1331"/>
      <c r="DP440" s="1331"/>
      <c r="DQ440" s="1331"/>
      <c r="DR440" s="1331"/>
      <c r="DS440" s="1331"/>
      <c r="DT440" s="1331"/>
      <c r="DU440" s="1331"/>
      <c r="DV440" s="1331"/>
      <c r="DW440" s="1331"/>
      <c r="DX440" s="1331"/>
      <c r="DY440" s="1331"/>
      <c r="DZ440" s="1331"/>
      <c r="EA440" s="1331"/>
      <c r="EB440" s="1331"/>
      <c r="EC440" s="1331"/>
      <c r="ED440" s="1331"/>
      <c r="EE440" s="1331"/>
      <c r="EF440" s="1331"/>
      <c r="EG440" s="1331"/>
      <c r="EH440" s="1331"/>
      <c r="EI440" s="1331"/>
      <c r="EK440" s="1331"/>
    </row>
    <row r="441" spans="3:141" ht="12.75">
      <c r="C441" s="1848" t="s">
        <v>10</v>
      </c>
      <c r="BW441" s="1343">
        <f t="shared" ref="BW441:CE441" si="3710">DR217</f>
        <v>0</v>
      </c>
      <c r="BX441" s="1343">
        <f t="shared" si="3710"/>
        <v>0</v>
      </c>
      <c r="BY441" s="1343">
        <f t="shared" si="3710"/>
        <v>0</v>
      </c>
      <c r="BZ441" s="1343">
        <f t="shared" si="3710"/>
        <v>0</v>
      </c>
      <c r="CA441" s="1343">
        <f t="shared" si="3710"/>
        <v>0</v>
      </c>
      <c r="CB441" s="1343">
        <f t="shared" si="3710"/>
        <v>0</v>
      </c>
      <c r="CC441" s="1343">
        <f t="shared" si="3710"/>
        <v>0</v>
      </c>
      <c r="CD441" s="1343">
        <f t="shared" si="3710"/>
        <v>0</v>
      </c>
      <c r="CE441" s="1343">
        <f t="shared" si="3710"/>
        <v>0</v>
      </c>
      <c r="CF441" s="1343" t="e">
        <f>#REF!</f>
        <v>#REF!</v>
      </c>
      <c r="CG441" s="1343" t="e">
        <f>#REF!</f>
        <v>#REF!</v>
      </c>
      <c r="CH441" s="1343" t="e">
        <f>#REF!</f>
        <v>#REF!</v>
      </c>
      <c r="CI441" s="1343" t="e">
        <f>#REF!</f>
        <v>#REF!</v>
      </c>
      <c r="CJ441" s="1343" t="e">
        <f>#REF!</f>
        <v>#REF!</v>
      </c>
      <c r="CK441" s="1343" t="e">
        <f>#REF!</f>
        <v>#REF!</v>
      </c>
      <c r="CL441" s="1343" t="e">
        <f>#REF!</f>
        <v>#REF!</v>
      </c>
      <c r="CM441" s="1343" t="e">
        <f>#REF!</f>
        <v>#REF!</v>
      </c>
      <c r="CN441" s="1343" t="e">
        <f>#REF!</f>
        <v>#REF!</v>
      </c>
      <c r="CQ441" s="1331"/>
      <c r="CR441" s="1331"/>
      <c r="CS441" s="1331"/>
      <c r="CT441" s="1331"/>
      <c r="CU441" s="1331"/>
      <c r="CV441" s="1331"/>
      <c r="CW441" s="1331"/>
      <c r="CX441" s="1331"/>
      <c r="CY441" s="1331"/>
      <c r="CZ441" s="1331"/>
      <c r="DA441" s="1331"/>
      <c r="DB441" s="1331"/>
      <c r="DC441" s="1331"/>
      <c r="DD441" s="1331"/>
      <c r="DE441" s="1331"/>
      <c r="DF441" s="1331"/>
      <c r="DG441" s="1331"/>
      <c r="DH441" s="1331"/>
      <c r="DI441" s="1331"/>
      <c r="DJ441" s="1331"/>
      <c r="DK441" s="1331"/>
      <c r="DL441" s="1331"/>
      <c r="DM441" s="1331"/>
      <c r="DN441" s="1331"/>
      <c r="DO441" s="1331"/>
      <c r="DP441" s="1331"/>
      <c r="DQ441" s="1331"/>
      <c r="DR441" s="1331"/>
      <c r="DS441" s="1331"/>
      <c r="DT441" s="1331"/>
      <c r="DU441" s="1331"/>
      <c r="DV441" s="1331"/>
      <c r="DW441" s="1331"/>
      <c r="DX441" s="1331"/>
      <c r="DY441" s="1331"/>
      <c r="DZ441" s="1331"/>
      <c r="EA441" s="1331"/>
      <c r="EB441" s="1331"/>
      <c r="EC441" s="1331"/>
      <c r="ED441" s="1331"/>
      <c r="EE441" s="1331"/>
      <c r="EF441" s="1331"/>
      <c r="EG441" s="1331"/>
      <c r="EH441" s="1331"/>
      <c r="EI441" s="1331"/>
      <c r="EK441" s="1331"/>
    </row>
    <row r="442" spans="3:141" ht="12.75">
      <c r="C442" s="1848" t="s">
        <v>10</v>
      </c>
      <c r="AV442" s="1343">
        <f t="shared" ref="AV442:CN442" si="3711">CQ116</f>
        <v>39263.112000000001</v>
      </c>
      <c r="AW442" s="1343">
        <f t="shared" si="3711"/>
        <v>18400</v>
      </c>
      <c r="AX442" s="1343">
        <f t="shared" si="3711"/>
        <v>4</v>
      </c>
      <c r="AY442" s="1343">
        <f t="shared" si="3711"/>
        <v>79.159500000000008</v>
      </c>
      <c r="AZ442" s="1343">
        <f t="shared" si="3711"/>
        <v>0</v>
      </c>
      <c r="BA442" s="1343">
        <f t="shared" si="3711"/>
        <v>0</v>
      </c>
      <c r="BB442" s="1343">
        <f t="shared" si="3711"/>
        <v>0</v>
      </c>
      <c r="BC442" s="1343">
        <f t="shared" si="3711"/>
        <v>4984.6657990500007</v>
      </c>
      <c r="BD442" s="1343">
        <f t="shared" si="3711"/>
        <v>62726.937299049998</v>
      </c>
      <c r="BE442" s="1343">
        <f t="shared" si="3711"/>
        <v>0</v>
      </c>
      <c r="BF442" s="1343">
        <f t="shared" si="3711"/>
        <v>0</v>
      </c>
      <c r="BG442" s="1343">
        <f t="shared" si="3711"/>
        <v>0</v>
      </c>
      <c r="BH442" s="1343">
        <f t="shared" si="3711"/>
        <v>0</v>
      </c>
      <c r="BI442" s="1343">
        <f t="shared" si="3711"/>
        <v>0</v>
      </c>
      <c r="BJ442" s="1343">
        <f t="shared" si="3711"/>
        <v>0</v>
      </c>
      <c r="BK442" s="1343">
        <f t="shared" si="3711"/>
        <v>0</v>
      </c>
      <c r="BL442" s="1343">
        <f t="shared" si="3711"/>
        <v>0</v>
      </c>
      <c r="BM442" s="1343">
        <f t="shared" si="3711"/>
        <v>0</v>
      </c>
      <c r="BN442" s="1343">
        <f t="shared" si="3711"/>
        <v>0</v>
      </c>
      <c r="BO442" s="1343">
        <f t="shared" si="3711"/>
        <v>0</v>
      </c>
      <c r="BP442" s="1343">
        <f t="shared" si="3711"/>
        <v>0</v>
      </c>
      <c r="BQ442" s="1343">
        <f t="shared" si="3711"/>
        <v>0</v>
      </c>
      <c r="BR442" s="1343">
        <f t="shared" si="3711"/>
        <v>0</v>
      </c>
      <c r="BS442" s="1343">
        <f t="shared" si="3711"/>
        <v>0</v>
      </c>
      <c r="BT442" s="1343">
        <f t="shared" si="3711"/>
        <v>0</v>
      </c>
      <c r="BU442" s="1343">
        <f t="shared" si="3711"/>
        <v>0</v>
      </c>
      <c r="BV442" s="1343">
        <f t="shared" si="3711"/>
        <v>0</v>
      </c>
      <c r="BW442" s="1343">
        <f t="shared" si="3711"/>
        <v>0</v>
      </c>
      <c r="BX442" s="1343">
        <f t="shared" si="3711"/>
        <v>0</v>
      </c>
      <c r="BY442" s="1343">
        <f t="shared" si="3711"/>
        <v>0</v>
      </c>
      <c r="BZ442" s="1343">
        <f t="shared" si="3711"/>
        <v>0</v>
      </c>
      <c r="CA442" s="1343">
        <f t="shared" si="3711"/>
        <v>0</v>
      </c>
      <c r="CB442" s="1343">
        <f t="shared" si="3711"/>
        <v>0</v>
      </c>
      <c r="CC442" s="1343">
        <f t="shared" si="3711"/>
        <v>0</v>
      </c>
      <c r="CD442" s="1343">
        <f t="shared" si="3711"/>
        <v>0</v>
      </c>
      <c r="CE442" s="1343">
        <f t="shared" si="3711"/>
        <v>0</v>
      </c>
      <c r="CF442" s="1343">
        <f t="shared" si="3711"/>
        <v>0</v>
      </c>
      <c r="CG442" s="1343">
        <f t="shared" si="3711"/>
        <v>0</v>
      </c>
      <c r="CH442" s="1343">
        <f t="shared" si="3711"/>
        <v>0</v>
      </c>
      <c r="CI442" s="1343">
        <f t="shared" si="3711"/>
        <v>0</v>
      </c>
      <c r="CJ442" s="1343">
        <f t="shared" si="3711"/>
        <v>0</v>
      </c>
      <c r="CK442" s="1343">
        <f t="shared" si="3711"/>
        <v>0</v>
      </c>
      <c r="CL442" s="1343">
        <f t="shared" si="3711"/>
        <v>0</v>
      </c>
      <c r="CM442" s="1343">
        <f t="shared" si="3711"/>
        <v>0</v>
      </c>
      <c r="CN442" s="1343">
        <f t="shared" si="3711"/>
        <v>0</v>
      </c>
      <c r="CQ442" s="1331"/>
      <c r="CR442" s="1331"/>
      <c r="CS442" s="1331"/>
      <c r="CT442" s="1331"/>
      <c r="CU442" s="1331"/>
      <c r="CV442" s="1331"/>
      <c r="CW442" s="1331"/>
      <c r="CX442" s="1331"/>
      <c r="CY442" s="1331"/>
      <c r="CZ442" s="1331"/>
      <c r="DA442" s="1331"/>
      <c r="DB442" s="1331"/>
      <c r="DC442" s="1331"/>
      <c r="DD442" s="1331"/>
      <c r="DE442" s="1331"/>
      <c r="DF442" s="1331"/>
      <c r="DG442" s="1331"/>
      <c r="DH442" s="1331"/>
      <c r="DI442" s="1331"/>
      <c r="DJ442" s="1331"/>
      <c r="DK442" s="1331"/>
      <c r="DL442" s="1331"/>
      <c r="DM442" s="1331"/>
      <c r="DN442" s="1331"/>
      <c r="DO442" s="1331"/>
      <c r="DP442" s="1331"/>
      <c r="DQ442" s="1331"/>
      <c r="DR442" s="1331"/>
      <c r="DS442" s="1331"/>
      <c r="DT442" s="1331"/>
      <c r="DU442" s="1331"/>
      <c r="DV442" s="1331"/>
      <c r="DW442" s="1331"/>
      <c r="DX442" s="1331"/>
      <c r="DY442" s="1331"/>
      <c r="DZ442" s="1331"/>
      <c r="EA442" s="1331"/>
      <c r="EB442" s="1331"/>
      <c r="EC442" s="1331"/>
      <c r="ED442" s="1331"/>
      <c r="EE442" s="1331"/>
      <c r="EF442" s="1331"/>
      <c r="EG442" s="1331"/>
      <c r="EH442" s="1331"/>
      <c r="EI442" s="1331"/>
      <c r="EK442" s="1331"/>
    </row>
    <row r="443" spans="3:141" ht="12.75">
      <c r="C443" s="1848" t="s">
        <v>422</v>
      </c>
      <c r="AV443" s="1343">
        <f t="shared" ref="AV443:CN443" si="3712">+CQ121</f>
        <v>3166.38</v>
      </c>
      <c r="AW443" s="1343">
        <f t="shared" si="3712"/>
        <v>475</v>
      </c>
      <c r="AX443" s="1343">
        <f t="shared" si="3712"/>
        <v>0</v>
      </c>
      <c r="AY443" s="1343">
        <f t="shared" si="3712"/>
        <v>0</v>
      </c>
      <c r="AZ443" s="1343">
        <f t="shared" si="3712"/>
        <v>0</v>
      </c>
      <c r="BA443" s="1343">
        <f t="shared" si="3712"/>
        <v>0</v>
      </c>
      <c r="BB443" s="1343">
        <f t="shared" si="3712"/>
        <v>0</v>
      </c>
      <c r="BC443" s="1343">
        <f t="shared" si="3712"/>
        <v>401.18034600000004</v>
      </c>
      <c r="BD443" s="1343">
        <f t="shared" si="3712"/>
        <v>4042.5603460000002</v>
      </c>
      <c r="BE443" s="1343">
        <f t="shared" si="3712"/>
        <v>3166.38</v>
      </c>
      <c r="BF443" s="1343">
        <f t="shared" si="3712"/>
        <v>250.00000000000003</v>
      </c>
      <c r="BG443" s="1343">
        <f t="shared" si="3712"/>
        <v>0</v>
      </c>
      <c r="BH443" s="1343">
        <f t="shared" si="3712"/>
        <v>0</v>
      </c>
      <c r="BI443" s="1343">
        <f t="shared" si="3712"/>
        <v>0</v>
      </c>
      <c r="BJ443" s="1343">
        <f t="shared" si="3712"/>
        <v>0</v>
      </c>
      <c r="BK443" s="1343">
        <f t="shared" si="3712"/>
        <v>0</v>
      </c>
      <c r="BL443" s="1343">
        <f t="shared" si="3712"/>
        <v>401.18034600000004</v>
      </c>
      <c r="BM443" s="1343">
        <f t="shared" si="3712"/>
        <v>3817.5603460000002</v>
      </c>
      <c r="BN443" s="1343">
        <f t="shared" si="3712"/>
        <v>0</v>
      </c>
      <c r="BO443" s="1343">
        <f t="shared" si="3712"/>
        <v>0</v>
      </c>
      <c r="BP443" s="1343">
        <f t="shared" si="3712"/>
        <v>0</v>
      </c>
      <c r="BQ443" s="1343">
        <f t="shared" si="3712"/>
        <v>0</v>
      </c>
      <c r="BR443" s="1343">
        <f t="shared" si="3712"/>
        <v>0</v>
      </c>
      <c r="BS443" s="1343">
        <f t="shared" si="3712"/>
        <v>0</v>
      </c>
      <c r="BT443" s="1343">
        <f t="shared" si="3712"/>
        <v>0</v>
      </c>
      <c r="BU443" s="1343">
        <f t="shared" si="3712"/>
        <v>0</v>
      </c>
      <c r="BV443" s="1343">
        <f t="shared" si="3712"/>
        <v>0</v>
      </c>
      <c r="BW443" s="1343">
        <f t="shared" si="3712"/>
        <v>0</v>
      </c>
      <c r="BX443" s="1343">
        <f t="shared" si="3712"/>
        <v>0</v>
      </c>
      <c r="BY443" s="1343">
        <f t="shared" si="3712"/>
        <v>0</v>
      </c>
      <c r="BZ443" s="1343">
        <f t="shared" si="3712"/>
        <v>0</v>
      </c>
      <c r="CA443" s="1343">
        <f t="shared" si="3712"/>
        <v>0</v>
      </c>
      <c r="CB443" s="1343">
        <f t="shared" si="3712"/>
        <v>0</v>
      </c>
      <c r="CC443" s="1343">
        <f t="shared" si="3712"/>
        <v>0</v>
      </c>
      <c r="CD443" s="1343">
        <f t="shared" si="3712"/>
        <v>0</v>
      </c>
      <c r="CE443" s="1343">
        <f t="shared" si="3712"/>
        <v>0</v>
      </c>
      <c r="CF443" s="1343">
        <f t="shared" si="3712"/>
        <v>0</v>
      </c>
      <c r="CG443" s="1343">
        <f t="shared" si="3712"/>
        <v>0</v>
      </c>
      <c r="CH443" s="1343">
        <f t="shared" si="3712"/>
        <v>0</v>
      </c>
      <c r="CI443" s="1343">
        <f t="shared" si="3712"/>
        <v>0</v>
      </c>
      <c r="CJ443" s="1343">
        <f t="shared" si="3712"/>
        <v>0</v>
      </c>
      <c r="CK443" s="1343">
        <f t="shared" si="3712"/>
        <v>0</v>
      </c>
      <c r="CL443" s="1343">
        <f t="shared" si="3712"/>
        <v>0</v>
      </c>
      <c r="CM443" s="1343">
        <f t="shared" si="3712"/>
        <v>0</v>
      </c>
      <c r="CN443" s="1343">
        <f t="shared" si="3712"/>
        <v>0</v>
      </c>
      <c r="CQ443" s="1331"/>
      <c r="CR443" s="1331"/>
      <c r="CS443" s="1331"/>
      <c r="CT443" s="1331"/>
      <c r="CU443" s="1331"/>
      <c r="CV443" s="1331"/>
      <c r="CW443" s="1331"/>
      <c r="CX443" s="1331"/>
      <c r="CY443" s="1331"/>
      <c r="CZ443" s="1331"/>
      <c r="DA443" s="1331"/>
      <c r="DB443" s="1331"/>
      <c r="DC443" s="1331"/>
      <c r="DD443" s="1331"/>
      <c r="DE443" s="1331"/>
      <c r="DF443" s="1331"/>
      <c r="DG443" s="1331"/>
      <c r="DH443" s="1331"/>
      <c r="DI443" s="1331"/>
      <c r="DJ443" s="1331"/>
      <c r="DK443" s="1331"/>
      <c r="DL443" s="1331"/>
      <c r="DM443" s="1331"/>
      <c r="DN443" s="1331"/>
      <c r="DO443" s="1331"/>
      <c r="DP443" s="1331"/>
      <c r="DQ443" s="1331"/>
      <c r="DR443" s="1331"/>
      <c r="DS443" s="1331"/>
      <c r="DT443" s="1331"/>
      <c r="DU443" s="1331"/>
      <c r="DV443" s="1331"/>
      <c r="DW443" s="1331"/>
      <c r="DX443" s="1331"/>
      <c r="DY443" s="1331"/>
      <c r="DZ443" s="1331"/>
      <c r="EA443" s="1331"/>
      <c r="EB443" s="1331"/>
      <c r="EC443" s="1331"/>
      <c r="ED443" s="1331"/>
      <c r="EE443" s="1331"/>
      <c r="EF443" s="1331"/>
      <c r="EG443" s="1331"/>
      <c r="EH443" s="1331"/>
      <c r="EI443" s="1331"/>
      <c r="EK443" s="1331"/>
    </row>
    <row r="444" spans="3:141" ht="12.75">
      <c r="C444" s="1848" t="s">
        <v>104</v>
      </c>
      <c r="CQ444" s="1331"/>
      <c r="CR444" s="1331"/>
      <c r="CS444" s="1331"/>
      <c r="CT444" s="1331"/>
      <c r="CU444" s="1331"/>
      <c r="CV444" s="1331"/>
      <c r="CW444" s="1331"/>
      <c r="CX444" s="1331"/>
      <c r="CY444" s="1331"/>
      <c r="CZ444" s="1331"/>
      <c r="DA444" s="1331"/>
      <c r="DB444" s="1331"/>
      <c r="DC444" s="1331"/>
      <c r="DD444" s="1331"/>
      <c r="DE444" s="1331"/>
      <c r="DF444" s="1331"/>
      <c r="DG444" s="1331"/>
      <c r="DH444" s="1331"/>
      <c r="DI444" s="1331"/>
      <c r="DJ444" s="1331"/>
      <c r="DK444" s="1331"/>
      <c r="DL444" s="1331"/>
      <c r="DM444" s="1331"/>
      <c r="DN444" s="1331"/>
      <c r="DO444" s="1331"/>
      <c r="DP444" s="1331"/>
      <c r="DQ444" s="1331"/>
      <c r="DR444" s="1331"/>
      <c r="DS444" s="1331"/>
      <c r="DT444" s="1331"/>
      <c r="DU444" s="1331"/>
      <c r="DV444" s="1331"/>
      <c r="DW444" s="1331"/>
      <c r="DX444" s="1331"/>
      <c r="DY444" s="1331"/>
      <c r="DZ444" s="1331"/>
      <c r="EA444" s="1331"/>
      <c r="EB444" s="1331"/>
      <c r="EC444" s="1331"/>
      <c r="ED444" s="1331"/>
      <c r="EE444" s="1331"/>
      <c r="EF444" s="1331"/>
      <c r="EG444" s="1331"/>
      <c r="EH444" s="1331"/>
      <c r="EI444" s="1331"/>
      <c r="EK444" s="1331"/>
    </row>
    <row r="445" spans="3:141" ht="12.75">
      <c r="C445" s="1850" t="s">
        <v>105</v>
      </c>
      <c r="AV445" s="1343">
        <f t="shared" ref="AV445:CN445" si="3713">CQ134</f>
        <v>18998.280000000002</v>
      </c>
      <c r="AW445" s="1343">
        <f t="shared" si="3713"/>
        <v>4223.62</v>
      </c>
      <c r="AX445" s="1343">
        <f t="shared" si="3713"/>
        <v>58</v>
      </c>
      <c r="AY445" s="1343">
        <f t="shared" si="3713"/>
        <v>1147.8127500000001</v>
      </c>
      <c r="AZ445" s="1343">
        <f t="shared" si="3713"/>
        <v>0</v>
      </c>
      <c r="BA445" s="1343">
        <f t="shared" si="3713"/>
        <v>0</v>
      </c>
      <c r="BB445" s="1343">
        <f t="shared" si="3713"/>
        <v>0</v>
      </c>
      <c r="BC445" s="1343">
        <f t="shared" si="3713"/>
        <v>2552.5099514250005</v>
      </c>
      <c r="BD445" s="1343">
        <f t="shared" si="3713"/>
        <v>26922.222701424998</v>
      </c>
      <c r="BE445" s="1343">
        <f t="shared" si="3713"/>
        <v>9499.14</v>
      </c>
      <c r="BF445" s="1343">
        <f t="shared" si="3713"/>
        <v>1500</v>
      </c>
      <c r="BG445" s="1343">
        <f t="shared" si="3713"/>
        <v>54</v>
      </c>
      <c r="BH445" s="1343">
        <f t="shared" si="3713"/>
        <v>1068.6532500000001</v>
      </c>
      <c r="BI445" s="1343">
        <f t="shared" si="3713"/>
        <v>0</v>
      </c>
      <c r="BJ445" s="1343">
        <f t="shared" si="3713"/>
        <v>0</v>
      </c>
      <c r="BK445" s="1343">
        <f t="shared" si="3713"/>
        <v>0</v>
      </c>
      <c r="BL445" s="1343">
        <f t="shared" si="3713"/>
        <v>1338.9394047750002</v>
      </c>
      <c r="BM445" s="1343">
        <f t="shared" si="3713"/>
        <v>13406.732654775</v>
      </c>
      <c r="BN445" s="1343">
        <f t="shared" si="3713"/>
        <v>0</v>
      </c>
      <c r="BO445" s="1343">
        <f t="shared" si="3713"/>
        <v>0</v>
      </c>
      <c r="BP445" s="1343">
        <f t="shared" si="3713"/>
        <v>0</v>
      </c>
      <c r="BQ445" s="1343">
        <f t="shared" si="3713"/>
        <v>0</v>
      </c>
      <c r="BR445" s="1343">
        <f t="shared" si="3713"/>
        <v>0</v>
      </c>
      <c r="BS445" s="1343">
        <f t="shared" si="3713"/>
        <v>0</v>
      </c>
      <c r="BT445" s="1343">
        <f t="shared" si="3713"/>
        <v>0</v>
      </c>
      <c r="BU445" s="1343">
        <f t="shared" si="3713"/>
        <v>0</v>
      </c>
      <c r="BV445" s="1343">
        <f t="shared" si="3713"/>
        <v>0</v>
      </c>
      <c r="BW445" s="1343">
        <f t="shared" si="3713"/>
        <v>0</v>
      </c>
      <c r="BX445" s="1343">
        <f t="shared" si="3713"/>
        <v>0</v>
      </c>
      <c r="BY445" s="1343">
        <f t="shared" si="3713"/>
        <v>0</v>
      </c>
      <c r="BZ445" s="1343">
        <f t="shared" si="3713"/>
        <v>0</v>
      </c>
      <c r="CA445" s="1343">
        <f t="shared" si="3713"/>
        <v>0</v>
      </c>
      <c r="CB445" s="1343">
        <f t="shared" si="3713"/>
        <v>0</v>
      </c>
      <c r="CC445" s="1343">
        <f t="shared" si="3713"/>
        <v>0</v>
      </c>
      <c r="CD445" s="1343">
        <f t="shared" si="3713"/>
        <v>0</v>
      </c>
      <c r="CE445" s="1343">
        <f t="shared" si="3713"/>
        <v>0</v>
      </c>
      <c r="CF445" s="1343">
        <f t="shared" si="3713"/>
        <v>0</v>
      </c>
      <c r="CG445" s="1343">
        <f t="shared" si="3713"/>
        <v>0</v>
      </c>
      <c r="CH445" s="1343">
        <f t="shared" si="3713"/>
        <v>0</v>
      </c>
      <c r="CI445" s="1343">
        <f t="shared" si="3713"/>
        <v>0</v>
      </c>
      <c r="CJ445" s="1343">
        <f t="shared" si="3713"/>
        <v>0</v>
      </c>
      <c r="CK445" s="1343">
        <f t="shared" si="3713"/>
        <v>0</v>
      </c>
      <c r="CL445" s="1343">
        <f t="shared" si="3713"/>
        <v>0</v>
      </c>
      <c r="CM445" s="1343">
        <f t="shared" si="3713"/>
        <v>0</v>
      </c>
      <c r="CN445" s="1343">
        <f t="shared" si="3713"/>
        <v>0</v>
      </c>
      <c r="CQ445" s="1331"/>
      <c r="CR445" s="1331"/>
      <c r="CS445" s="1331"/>
      <c r="CT445" s="1331"/>
      <c r="CU445" s="1331"/>
      <c r="CV445" s="1331"/>
      <c r="CW445" s="1331"/>
      <c r="CX445" s="1331"/>
      <c r="CY445" s="1331"/>
      <c r="CZ445" s="1331"/>
      <c r="DA445" s="1331"/>
      <c r="DB445" s="1331"/>
      <c r="DC445" s="1331"/>
      <c r="DD445" s="1331"/>
      <c r="DE445" s="1331"/>
      <c r="DF445" s="1331"/>
      <c r="DG445" s="1331"/>
      <c r="DH445" s="1331"/>
      <c r="DI445" s="1331"/>
      <c r="DJ445" s="1331"/>
      <c r="DK445" s="1331"/>
      <c r="DL445" s="1331"/>
      <c r="DM445" s="1331"/>
      <c r="DN445" s="1331"/>
      <c r="DO445" s="1331"/>
      <c r="DP445" s="1331"/>
      <c r="DQ445" s="1331"/>
      <c r="DR445" s="1331"/>
      <c r="DS445" s="1331"/>
      <c r="DT445" s="1331"/>
      <c r="DU445" s="1331"/>
      <c r="DV445" s="1331"/>
      <c r="DW445" s="1331"/>
      <c r="DX445" s="1331"/>
      <c r="DY445" s="1331"/>
      <c r="DZ445" s="1331"/>
      <c r="EA445" s="1331"/>
      <c r="EB445" s="1331"/>
      <c r="EC445" s="1331"/>
      <c r="ED445" s="1331"/>
      <c r="EE445" s="1331"/>
      <c r="EF445" s="1331"/>
      <c r="EG445" s="1331"/>
      <c r="EH445" s="1331"/>
      <c r="EI445" s="1331"/>
      <c r="EK445" s="1331"/>
    </row>
    <row r="446" spans="3:141" ht="12.75">
      <c r="C446" s="1850" t="s">
        <v>111</v>
      </c>
      <c r="AV446" s="1343">
        <f t="shared" ref="AV446:CN446" si="3714">CQ142</f>
        <v>12665.52</v>
      </c>
      <c r="AW446" s="1343">
        <f t="shared" si="3714"/>
        <v>5772.86</v>
      </c>
      <c r="AX446" s="1343">
        <f t="shared" si="3714"/>
        <v>97</v>
      </c>
      <c r="AY446" s="1343">
        <f t="shared" si="3714"/>
        <v>1919.6178750000004</v>
      </c>
      <c r="AZ446" s="1343">
        <f t="shared" si="3714"/>
        <v>0</v>
      </c>
      <c r="BA446" s="1343">
        <f t="shared" si="3714"/>
        <v>0</v>
      </c>
      <c r="BB446" s="1343">
        <f t="shared" si="3714"/>
        <v>0</v>
      </c>
      <c r="BC446" s="1343">
        <f t="shared" si="3714"/>
        <v>1847.9369687625001</v>
      </c>
      <c r="BD446" s="1343">
        <f t="shared" si="3714"/>
        <v>22205.934843762501</v>
      </c>
      <c r="BE446" s="1343">
        <f t="shared" si="3714"/>
        <v>6332.76</v>
      </c>
      <c r="BF446" s="1343">
        <f t="shared" si="3714"/>
        <v>1190</v>
      </c>
      <c r="BG446" s="1343">
        <f t="shared" si="3714"/>
        <v>53</v>
      </c>
      <c r="BH446" s="1343">
        <f t="shared" si="3714"/>
        <v>1048.8633750000001</v>
      </c>
      <c r="BI446" s="1343">
        <f t="shared" si="3714"/>
        <v>0</v>
      </c>
      <c r="BJ446" s="1343">
        <f t="shared" si="3714"/>
        <v>0</v>
      </c>
      <c r="BK446" s="1343">
        <f t="shared" si="3714"/>
        <v>0</v>
      </c>
      <c r="BL446" s="1343">
        <f t="shared" si="3714"/>
        <v>935.25168161250008</v>
      </c>
      <c r="BM446" s="1343">
        <f t="shared" si="3714"/>
        <v>9506.8750566125</v>
      </c>
      <c r="BN446" s="1343">
        <f t="shared" si="3714"/>
        <v>0</v>
      </c>
      <c r="BO446" s="1343">
        <f t="shared" si="3714"/>
        <v>0</v>
      </c>
      <c r="BP446" s="1343">
        <f t="shared" si="3714"/>
        <v>0</v>
      </c>
      <c r="BQ446" s="1343">
        <f t="shared" si="3714"/>
        <v>0</v>
      </c>
      <c r="BR446" s="1343">
        <f t="shared" si="3714"/>
        <v>0</v>
      </c>
      <c r="BS446" s="1343">
        <f t="shared" si="3714"/>
        <v>0</v>
      </c>
      <c r="BT446" s="1343">
        <f t="shared" si="3714"/>
        <v>0</v>
      </c>
      <c r="BU446" s="1343">
        <f t="shared" si="3714"/>
        <v>0</v>
      </c>
      <c r="BV446" s="1343">
        <f t="shared" si="3714"/>
        <v>0</v>
      </c>
      <c r="BW446" s="1343">
        <f t="shared" si="3714"/>
        <v>0</v>
      </c>
      <c r="BX446" s="1343">
        <f t="shared" si="3714"/>
        <v>0</v>
      </c>
      <c r="BY446" s="1343">
        <f t="shared" si="3714"/>
        <v>0</v>
      </c>
      <c r="BZ446" s="1343">
        <f t="shared" si="3714"/>
        <v>0</v>
      </c>
      <c r="CA446" s="1343">
        <f t="shared" si="3714"/>
        <v>0</v>
      </c>
      <c r="CB446" s="1343">
        <f t="shared" si="3714"/>
        <v>0</v>
      </c>
      <c r="CC446" s="1343">
        <f t="shared" si="3714"/>
        <v>0</v>
      </c>
      <c r="CD446" s="1343">
        <f t="shared" si="3714"/>
        <v>0</v>
      </c>
      <c r="CE446" s="1343">
        <f t="shared" si="3714"/>
        <v>0</v>
      </c>
      <c r="CF446" s="1343">
        <f t="shared" si="3714"/>
        <v>0</v>
      </c>
      <c r="CG446" s="1343">
        <f t="shared" si="3714"/>
        <v>0</v>
      </c>
      <c r="CH446" s="1343">
        <f t="shared" si="3714"/>
        <v>0</v>
      </c>
      <c r="CI446" s="1343">
        <f t="shared" si="3714"/>
        <v>0</v>
      </c>
      <c r="CJ446" s="1343">
        <f t="shared" si="3714"/>
        <v>0</v>
      </c>
      <c r="CK446" s="1343">
        <f t="shared" si="3714"/>
        <v>0</v>
      </c>
      <c r="CL446" s="1343">
        <f t="shared" si="3714"/>
        <v>0</v>
      </c>
      <c r="CM446" s="1343">
        <f t="shared" si="3714"/>
        <v>0</v>
      </c>
      <c r="CN446" s="1343">
        <f t="shared" si="3714"/>
        <v>0</v>
      </c>
      <c r="CQ446" s="1331"/>
      <c r="CR446" s="1331"/>
      <c r="CS446" s="1331"/>
      <c r="CT446" s="1331"/>
      <c r="CU446" s="1331"/>
      <c r="CV446" s="1331"/>
      <c r="CW446" s="1331"/>
      <c r="CX446" s="1331"/>
      <c r="CY446" s="1331"/>
      <c r="CZ446" s="1331"/>
      <c r="DA446" s="1331"/>
      <c r="DB446" s="1331"/>
      <c r="DC446" s="1331"/>
      <c r="DD446" s="1331"/>
      <c r="DE446" s="1331"/>
      <c r="DF446" s="1331"/>
      <c r="DG446" s="1331"/>
      <c r="DH446" s="1331"/>
      <c r="DI446" s="1331"/>
      <c r="DJ446" s="1331"/>
      <c r="DK446" s="1331"/>
      <c r="DL446" s="1331"/>
      <c r="DM446" s="1331"/>
      <c r="DN446" s="1331"/>
      <c r="DO446" s="1331"/>
      <c r="DP446" s="1331"/>
      <c r="DQ446" s="1331"/>
      <c r="DR446" s="1331"/>
      <c r="DS446" s="1331"/>
      <c r="DT446" s="1331"/>
      <c r="DU446" s="1331"/>
      <c r="DV446" s="1331"/>
      <c r="DW446" s="1331"/>
      <c r="DX446" s="1331"/>
      <c r="DY446" s="1331"/>
      <c r="DZ446" s="1331"/>
      <c r="EA446" s="1331"/>
      <c r="EB446" s="1331"/>
      <c r="EC446" s="1331"/>
      <c r="ED446" s="1331"/>
      <c r="EE446" s="1331"/>
      <c r="EF446" s="1331"/>
      <c r="EG446" s="1331"/>
      <c r="EH446" s="1331"/>
      <c r="EI446" s="1331"/>
      <c r="EK446" s="1331"/>
    </row>
    <row r="447" spans="3:141" ht="12.75">
      <c r="C447" s="1848" t="s">
        <v>115</v>
      </c>
      <c r="AV447" s="1343">
        <f t="shared" ref="AV447:CN447" si="3715">CQ149</f>
        <v>11121.668000000001</v>
      </c>
      <c r="AW447" s="1343">
        <f t="shared" si="3715"/>
        <v>10011.473333333333</v>
      </c>
      <c r="AX447" s="1343">
        <f t="shared" si="3715"/>
        <v>7</v>
      </c>
      <c r="AY447" s="1343">
        <f t="shared" si="3715"/>
        <v>138.52912500000002</v>
      </c>
      <c r="AZ447" s="1343">
        <f t="shared" si="3715"/>
        <v>0</v>
      </c>
      <c r="BA447" s="1343">
        <f t="shared" si="3715"/>
        <v>0</v>
      </c>
      <c r="BB447" s="1343">
        <f t="shared" si="3715"/>
        <v>0</v>
      </c>
      <c r="BC447" s="1343">
        <f t="shared" si="3715"/>
        <v>1426.6669757375</v>
      </c>
      <c r="BD447" s="1343">
        <f t="shared" si="3715"/>
        <v>22698.337434070832</v>
      </c>
      <c r="BE447" s="1343">
        <f t="shared" si="3715"/>
        <v>3166.38</v>
      </c>
      <c r="BF447" s="1343">
        <f t="shared" si="3715"/>
        <v>2625</v>
      </c>
      <c r="BG447" s="1343">
        <f t="shared" si="3715"/>
        <v>5</v>
      </c>
      <c r="BH447" s="1343">
        <f t="shared" si="3715"/>
        <v>98.949375000000003</v>
      </c>
      <c r="BI447" s="1343">
        <f t="shared" si="3715"/>
        <v>0</v>
      </c>
      <c r="BJ447" s="1343">
        <f t="shared" si="3715"/>
        <v>0</v>
      </c>
      <c r="BK447" s="1343">
        <f t="shared" si="3715"/>
        <v>0</v>
      </c>
      <c r="BL447" s="1343">
        <f t="shared" si="3715"/>
        <v>413.71723181250002</v>
      </c>
      <c r="BM447" s="1343">
        <f t="shared" si="3715"/>
        <v>6304.0466068125006</v>
      </c>
      <c r="BN447" s="1343">
        <f t="shared" si="3715"/>
        <v>0</v>
      </c>
      <c r="BO447" s="1343">
        <f t="shared" si="3715"/>
        <v>0</v>
      </c>
      <c r="BP447" s="1343">
        <f t="shared" si="3715"/>
        <v>0</v>
      </c>
      <c r="BQ447" s="1343">
        <f t="shared" si="3715"/>
        <v>0</v>
      </c>
      <c r="BR447" s="1343">
        <f t="shared" si="3715"/>
        <v>0</v>
      </c>
      <c r="BS447" s="1343">
        <f t="shared" si="3715"/>
        <v>0</v>
      </c>
      <c r="BT447" s="1343">
        <f t="shared" si="3715"/>
        <v>0</v>
      </c>
      <c r="BU447" s="1343">
        <f t="shared" si="3715"/>
        <v>0</v>
      </c>
      <c r="BV447" s="1343">
        <f t="shared" si="3715"/>
        <v>0</v>
      </c>
      <c r="BW447" s="1343">
        <f t="shared" si="3715"/>
        <v>0</v>
      </c>
      <c r="BX447" s="1343">
        <f t="shared" si="3715"/>
        <v>0</v>
      </c>
      <c r="BY447" s="1343">
        <f t="shared" si="3715"/>
        <v>0</v>
      </c>
      <c r="BZ447" s="1343">
        <f t="shared" si="3715"/>
        <v>0</v>
      </c>
      <c r="CA447" s="1343">
        <f t="shared" si="3715"/>
        <v>0</v>
      </c>
      <c r="CB447" s="1343">
        <f t="shared" si="3715"/>
        <v>0</v>
      </c>
      <c r="CC447" s="1343">
        <f t="shared" si="3715"/>
        <v>0</v>
      </c>
      <c r="CD447" s="1343">
        <f t="shared" si="3715"/>
        <v>0</v>
      </c>
      <c r="CE447" s="1343">
        <f t="shared" si="3715"/>
        <v>0</v>
      </c>
      <c r="CF447" s="1343">
        <f t="shared" si="3715"/>
        <v>0</v>
      </c>
      <c r="CG447" s="1343">
        <f t="shared" si="3715"/>
        <v>0</v>
      </c>
      <c r="CH447" s="1343">
        <f t="shared" si="3715"/>
        <v>0</v>
      </c>
      <c r="CI447" s="1343">
        <f t="shared" si="3715"/>
        <v>0</v>
      </c>
      <c r="CJ447" s="1343">
        <f t="shared" si="3715"/>
        <v>0</v>
      </c>
      <c r="CK447" s="1343">
        <f t="shared" si="3715"/>
        <v>0</v>
      </c>
      <c r="CL447" s="1343">
        <f t="shared" si="3715"/>
        <v>0</v>
      </c>
      <c r="CM447" s="1343">
        <f t="shared" si="3715"/>
        <v>0</v>
      </c>
      <c r="CN447" s="1343">
        <f t="shared" si="3715"/>
        <v>0</v>
      </c>
      <c r="CQ447" s="1331"/>
      <c r="CR447" s="1331"/>
      <c r="CS447" s="1331"/>
      <c r="CT447" s="1331"/>
      <c r="CU447" s="1331"/>
      <c r="CV447" s="1331"/>
      <c r="CW447" s="1331"/>
      <c r="CX447" s="1331"/>
      <c r="CY447" s="1331"/>
      <c r="CZ447" s="1331"/>
      <c r="DA447" s="1331"/>
      <c r="DB447" s="1331"/>
      <c r="DC447" s="1331"/>
      <c r="DD447" s="1331"/>
      <c r="DE447" s="1331"/>
      <c r="DF447" s="1331"/>
      <c r="DG447" s="1331"/>
      <c r="DH447" s="1331"/>
      <c r="DI447" s="1331"/>
      <c r="DJ447" s="1331"/>
      <c r="DK447" s="1331"/>
      <c r="DL447" s="1331"/>
      <c r="DM447" s="1331"/>
      <c r="DN447" s="1331"/>
      <c r="DO447" s="1331"/>
      <c r="DP447" s="1331"/>
      <c r="DQ447" s="1331"/>
      <c r="DR447" s="1331"/>
      <c r="DS447" s="1331"/>
      <c r="DT447" s="1331"/>
      <c r="DU447" s="1331"/>
      <c r="DV447" s="1331"/>
      <c r="DW447" s="1331"/>
      <c r="DX447" s="1331"/>
      <c r="DY447" s="1331"/>
      <c r="DZ447" s="1331"/>
      <c r="EA447" s="1331"/>
      <c r="EB447" s="1331"/>
      <c r="EC447" s="1331"/>
      <c r="ED447" s="1331"/>
      <c r="EE447" s="1331"/>
      <c r="EF447" s="1331"/>
      <c r="EG447" s="1331"/>
      <c r="EH447" s="1331"/>
      <c r="EI447" s="1331"/>
      <c r="EK447" s="1331"/>
    </row>
    <row r="448" spans="3:141" ht="12.75">
      <c r="C448" s="1848" t="s">
        <v>120</v>
      </c>
      <c r="CQ448" s="1331"/>
      <c r="CR448" s="1331"/>
      <c r="CS448" s="1331"/>
      <c r="CT448" s="1331"/>
      <c r="CU448" s="1331"/>
      <c r="CV448" s="1331"/>
      <c r="CW448" s="1331"/>
      <c r="CX448" s="1331"/>
      <c r="CY448" s="1331"/>
      <c r="CZ448" s="1331"/>
      <c r="DA448" s="1331"/>
      <c r="DB448" s="1331"/>
      <c r="DC448" s="1331"/>
      <c r="DD448" s="1331"/>
      <c r="DE448" s="1331"/>
      <c r="DF448" s="1331"/>
      <c r="DG448" s="1331"/>
      <c r="DH448" s="1331"/>
      <c r="DI448" s="1331"/>
      <c r="DJ448" s="1331"/>
      <c r="DK448" s="1331"/>
      <c r="DL448" s="1331"/>
      <c r="DM448" s="1331"/>
      <c r="DN448" s="1331"/>
      <c r="DO448" s="1331"/>
      <c r="DP448" s="1331"/>
      <c r="DQ448" s="1331"/>
      <c r="DR448" s="1331"/>
      <c r="DS448" s="1331"/>
      <c r="DT448" s="1331"/>
      <c r="DU448" s="1331"/>
      <c r="DV448" s="1331"/>
      <c r="DW448" s="1331"/>
      <c r="DX448" s="1331"/>
      <c r="DY448" s="1331"/>
      <c r="DZ448" s="1331"/>
      <c r="EA448" s="1331"/>
      <c r="EB448" s="1331"/>
      <c r="EC448" s="1331"/>
      <c r="ED448" s="1331"/>
      <c r="EE448" s="1331"/>
      <c r="EF448" s="1331"/>
      <c r="EG448" s="1331"/>
      <c r="EH448" s="1331"/>
      <c r="EI448" s="1331"/>
      <c r="EK448" s="1331"/>
    </row>
    <row r="449" spans="3:141" ht="12.75">
      <c r="C449" s="1848" t="s">
        <v>121</v>
      </c>
      <c r="CQ449" s="1331"/>
      <c r="CR449" s="1331"/>
      <c r="CS449" s="1331"/>
      <c r="CT449" s="1331"/>
      <c r="CU449" s="1331"/>
      <c r="CV449" s="1331"/>
      <c r="CW449" s="1331"/>
      <c r="CX449" s="1331"/>
      <c r="CY449" s="1331"/>
      <c r="CZ449" s="1331"/>
      <c r="DA449" s="1331"/>
      <c r="DB449" s="1331"/>
      <c r="DC449" s="1331"/>
      <c r="DD449" s="1331"/>
      <c r="DE449" s="1331"/>
      <c r="DF449" s="1331"/>
      <c r="DG449" s="1331"/>
      <c r="DH449" s="1331"/>
      <c r="DI449" s="1331"/>
      <c r="DJ449" s="1331"/>
      <c r="DK449" s="1331"/>
      <c r="DL449" s="1331"/>
      <c r="DM449" s="1331"/>
      <c r="DN449" s="1331"/>
      <c r="DO449" s="1331"/>
      <c r="DP449" s="1331"/>
      <c r="DQ449" s="1331"/>
      <c r="DR449" s="1331"/>
      <c r="DS449" s="1331"/>
      <c r="DT449" s="1331"/>
      <c r="DU449" s="1331"/>
      <c r="DV449" s="1331"/>
      <c r="DW449" s="1331"/>
      <c r="DX449" s="1331"/>
      <c r="DY449" s="1331"/>
      <c r="DZ449" s="1331"/>
      <c r="EA449" s="1331"/>
      <c r="EB449" s="1331"/>
      <c r="EC449" s="1331"/>
      <c r="ED449" s="1331"/>
      <c r="EE449" s="1331"/>
      <c r="EF449" s="1331"/>
      <c r="EG449" s="1331"/>
      <c r="EH449" s="1331"/>
      <c r="EI449" s="1331"/>
      <c r="EK449" s="1331"/>
    </row>
    <row r="450" spans="3:141" ht="12.75">
      <c r="C450" s="1848" t="s">
        <v>227</v>
      </c>
      <c r="AV450" s="1343">
        <f t="shared" ref="AV450:CN450" si="3716">CQ161</f>
        <v>22000</v>
      </c>
      <c r="AW450" s="1343">
        <f t="shared" si="3716"/>
        <v>33309.949999999997</v>
      </c>
      <c r="AX450" s="1343">
        <f t="shared" si="3716"/>
        <v>0</v>
      </c>
      <c r="AY450" s="1343">
        <f t="shared" si="3716"/>
        <v>0</v>
      </c>
      <c r="AZ450" s="1343">
        <f t="shared" si="3716"/>
        <v>0</v>
      </c>
      <c r="BA450" s="1343">
        <f t="shared" si="3716"/>
        <v>0</v>
      </c>
      <c r="BB450" s="1343">
        <f t="shared" si="3716"/>
        <v>0</v>
      </c>
      <c r="BC450" s="1343">
        <f t="shared" si="3716"/>
        <v>2787.4000000000005</v>
      </c>
      <c r="BD450" s="1343">
        <f t="shared" si="3716"/>
        <v>58097.35</v>
      </c>
      <c r="BE450" s="1343">
        <f t="shared" si="3716"/>
        <v>26776.38</v>
      </c>
      <c r="BF450" s="1343">
        <f t="shared" si="3716"/>
        <v>20954.599999999999</v>
      </c>
      <c r="BG450" s="1343">
        <f t="shared" si="3716"/>
        <v>0</v>
      </c>
      <c r="BH450" s="1343">
        <f t="shared" si="3716"/>
        <v>0</v>
      </c>
      <c r="BI450" s="1343">
        <f t="shared" si="3716"/>
        <v>0</v>
      </c>
      <c r="BJ450" s="1343">
        <f t="shared" si="3716"/>
        <v>0</v>
      </c>
      <c r="BK450" s="1343">
        <f t="shared" si="3716"/>
        <v>0</v>
      </c>
      <c r="BL450" s="1343">
        <f t="shared" si="3716"/>
        <v>3392.5673460000007</v>
      </c>
      <c r="BM450" s="1343">
        <f t="shared" si="3716"/>
        <v>51123.547345999999</v>
      </c>
      <c r="BN450" s="1343">
        <f t="shared" si="3716"/>
        <v>0</v>
      </c>
      <c r="BO450" s="1343">
        <f t="shared" si="3716"/>
        <v>0</v>
      </c>
      <c r="BP450" s="1343">
        <f t="shared" si="3716"/>
        <v>0</v>
      </c>
      <c r="BQ450" s="1343">
        <f t="shared" si="3716"/>
        <v>0</v>
      </c>
      <c r="BR450" s="1343">
        <f t="shared" si="3716"/>
        <v>0</v>
      </c>
      <c r="BS450" s="1343">
        <f t="shared" si="3716"/>
        <v>0</v>
      </c>
      <c r="BT450" s="1343">
        <f t="shared" si="3716"/>
        <v>0</v>
      </c>
      <c r="BU450" s="1343">
        <f t="shared" si="3716"/>
        <v>0</v>
      </c>
      <c r="BV450" s="1343">
        <f t="shared" si="3716"/>
        <v>0</v>
      </c>
      <c r="BW450" s="1343">
        <f t="shared" si="3716"/>
        <v>0</v>
      </c>
      <c r="BX450" s="1343">
        <f t="shared" si="3716"/>
        <v>0</v>
      </c>
      <c r="BY450" s="1343">
        <f t="shared" si="3716"/>
        <v>0</v>
      </c>
      <c r="BZ450" s="1343">
        <f t="shared" si="3716"/>
        <v>0</v>
      </c>
      <c r="CA450" s="1343">
        <f t="shared" si="3716"/>
        <v>0</v>
      </c>
      <c r="CB450" s="1343">
        <f t="shared" si="3716"/>
        <v>0</v>
      </c>
      <c r="CC450" s="1343">
        <f t="shared" si="3716"/>
        <v>0</v>
      </c>
      <c r="CD450" s="1343">
        <f t="shared" si="3716"/>
        <v>0</v>
      </c>
      <c r="CE450" s="1343">
        <f t="shared" si="3716"/>
        <v>0</v>
      </c>
      <c r="CF450" s="1343">
        <f t="shared" si="3716"/>
        <v>0</v>
      </c>
      <c r="CG450" s="1343">
        <f t="shared" si="3716"/>
        <v>0</v>
      </c>
      <c r="CH450" s="1343">
        <f t="shared" si="3716"/>
        <v>0</v>
      </c>
      <c r="CI450" s="1343">
        <f t="shared" si="3716"/>
        <v>0</v>
      </c>
      <c r="CJ450" s="1343">
        <f t="shared" si="3716"/>
        <v>0</v>
      </c>
      <c r="CK450" s="1343">
        <f t="shared" si="3716"/>
        <v>0</v>
      </c>
      <c r="CL450" s="1343">
        <f t="shared" si="3716"/>
        <v>0</v>
      </c>
      <c r="CM450" s="1343">
        <f t="shared" si="3716"/>
        <v>0</v>
      </c>
      <c r="CN450" s="1343">
        <f t="shared" si="3716"/>
        <v>0</v>
      </c>
      <c r="CQ450" s="1331"/>
      <c r="CR450" s="1331"/>
      <c r="CS450" s="1331"/>
      <c r="CT450" s="1331"/>
      <c r="CU450" s="1331"/>
      <c r="CV450" s="1331"/>
      <c r="CW450" s="1331"/>
      <c r="CX450" s="1331"/>
      <c r="CY450" s="1331"/>
      <c r="CZ450" s="1331"/>
      <c r="DA450" s="1331"/>
      <c r="DB450" s="1331"/>
      <c r="DC450" s="1331"/>
      <c r="DD450" s="1331"/>
      <c r="DE450" s="1331"/>
      <c r="DF450" s="1331"/>
      <c r="DG450" s="1331"/>
      <c r="DH450" s="1331"/>
      <c r="DI450" s="1331"/>
      <c r="DJ450" s="1331"/>
      <c r="DK450" s="1331"/>
      <c r="DL450" s="1331"/>
      <c r="DM450" s="1331"/>
      <c r="DN450" s="1331"/>
      <c r="DO450" s="1331"/>
      <c r="DP450" s="1331"/>
      <c r="DQ450" s="1331"/>
      <c r="DR450" s="1331"/>
      <c r="DS450" s="1331"/>
      <c r="DT450" s="1331"/>
      <c r="DU450" s="1331"/>
      <c r="DV450" s="1331"/>
      <c r="DW450" s="1331"/>
      <c r="DX450" s="1331"/>
      <c r="DY450" s="1331"/>
      <c r="DZ450" s="1331"/>
      <c r="EA450" s="1331"/>
      <c r="EB450" s="1331"/>
      <c r="EC450" s="1331"/>
      <c r="ED450" s="1331"/>
      <c r="EE450" s="1331"/>
      <c r="EF450" s="1331"/>
      <c r="EG450" s="1331"/>
      <c r="EH450" s="1331"/>
      <c r="EI450" s="1331"/>
      <c r="EK450" s="1331"/>
    </row>
    <row r="451" spans="3:141" ht="12.75">
      <c r="C451" s="1848" t="s">
        <v>391</v>
      </c>
      <c r="AV451" s="1343">
        <f t="shared" ref="AV451:CN451" si="3717">CQ164</f>
        <v>6000</v>
      </c>
      <c r="AW451" s="1343">
        <f t="shared" si="3717"/>
        <v>18036.530000000002</v>
      </c>
      <c r="AX451" s="1343">
        <f t="shared" si="3717"/>
        <v>0</v>
      </c>
      <c r="AY451" s="1343">
        <f t="shared" si="3717"/>
        <v>0</v>
      </c>
      <c r="AZ451" s="1343">
        <f t="shared" si="3717"/>
        <v>0</v>
      </c>
      <c r="BA451" s="1343">
        <f t="shared" si="3717"/>
        <v>0</v>
      </c>
      <c r="BB451" s="1343">
        <f t="shared" si="3717"/>
        <v>0</v>
      </c>
      <c r="BC451" s="1343">
        <f t="shared" si="3717"/>
        <v>760.2</v>
      </c>
      <c r="BD451" s="1343">
        <f t="shared" si="3717"/>
        <v>24796.730000000003</v>
      </c>
      <c r="BE451" s="1343">
        <f t="shared" si="3717"/>
        <v>0</v>
      </c>
      <c r="BF451" s="1343">
        <f t="shared" si="3717"/>
        <v>0</v>
      </c>
      <c r="BG451" s="1343">
        <f t="shared" si="3717"/>
        <v>0</v>
      </c>
      <c r="BH451" s="1343">
        <f t="shared" si="3717"/>
        <v>0</v>
      </c>
      <c r="BI451" s="1343">
        <f t="shared" si="3717"/>
        <v>0</v>
      </c>
      <c r="BJ451" s="1343">
        <f t="shared" si="3717"/>
        <v>0</v>
      </c>
      <c r="BK451" s="1343">
        <f t="shared" si="3717"/>
        <v>0</v>
      </c>
      <c r="BL451" s="1343">
        <f t="shared" si="3717"/>
        <v>0</v>
      </c>
      <c r="BM451" s="1343">
        <f t="shared" si="3717"/>
        <v>0</v>
      </c>
      <c r="BN451" s="1343">
        <f t="shared" si="3717"/>
        <v>0</v>
      </c>
      <c r="BO451" s="1343">
        <f t="shared" si="3717"/>
        <v>0</v>
      </c>
      <c r="BP451" s="1343">
        <f t="shared" si="3717"/>
        <v>0</v>
      </c>
      <c r="BQ451" s="1343">
        <f t="shared" si="3717"/>
        <v>0</v>
      </c>
      <c r="BR451" s="1343">
        <f t="shared" si="3717"/>
        <v>0</v>
      </c>
      <c r="BS451" s="1343">
        <f t="shared" si="3717"/>
        <v>0</v>
      </c>
      <c r="BT451" s="1343">
        <f t="shared" si="3717"/>
        <v>0</v>
      </c>
      <c r="BU451" s="1343">
        <f t="shared" si="3717"/>
        <v>0</v>
      </c>
      <c r="BV451" s="1343">
        <f t="shared" si="3717"/>
        <v>0</v>
      </c>
      <c r="BW451" s="1343">
        <f t="shared" si="3717"/>
        <v>0</v>
      </c>
      <c r="BX451" s="1343">
        <f t="shared" si="3717"/>
        <v>0</v>
      </c>
      <c r="BY451" s="1343">
        <f t="shared" si="3717"/>
        <v>0</v>
      </c>
      <c r="BZ451" s="1343">
        <f t="shared" si="3717"/>
        <v>0</v>
      </c>
      <c r="CA451" s="1343">
        <f t="shared" si="3717"/>
        <v>0</v>
      </c>
      <c r="CB451" s="1343">
        <f t="shared" si="3717"/>
        <v>0</v>
      </c>
      <c r="CC451" s="1343">
        <f t="shared" si="3717"/>
        <v>0</v>
      </c>
      <c r="CD451" s="1343">
        <f t="shared" si="3717"/>
        <v>0</v>
      </c>
      <c r="CE451" s="1343">
        <f t="shared" si="3717"/>
        <v>0</v>
      </c>
      <c r="CF451" s="1343">
        <f t="shared" si="3717"/>
        <v>0</v>
      </c>
      <c r="CG451" s="1343">
        <f t="shared" si="3717"/>
        <v>0</v>
      </c>
      <c r="CH451" s="1343">
        <f t="shared" si="3717"/>
        <v>0</v>
      </c>
      <c r="CI451" s="1343">
        <f t="shared" si="3717"/>
        <v>0</v>
      </c>
      <c r="CJ451" s="1343">
        <f t="shared" si="3717"/>
        <v>0</v>
      </c>
      <c r="CK451" s="1343">
        <f t="shared" si="3717"/>
        <v>0</v>
      </c>
      <c r="CL451" s="1343">
        <f t="shared" si="3717"/>
        <v>0</v>
      </c>
      <c r="CM451" s="1343">
        <f t="shared" si="3717"/>
        <v>0</v>
      </c>
      <c r="CN451" s="1343">
        <f t="shared" si="3717"/>
        <v>0</v>
      </c>
      <c r="CQ451" s="1331"/>
      <c r="CR451" s="1331"/>
      <c r="CS451" s="1331"/>
      <c r="CT451" s="1331"/>
      <c r="CU451" s="1331"/>
      <c r="CV451" s="1331"/>
      <c r="CW451" s="1331"/>
      <c r="CX451" s="1331"/>
      <c r="CY451" s="1331"/>
      <c r="CZ451" s="1331"/>
      <c r="DA451" s="1331"/>
      <c r="DB451" s="1331"/>
      <c r="DC451" s="1331"/>
      <c r="DD451" s="1331"/>
      <c r="DE451" s="1331"/>
      <c r="DF451" s="1331"/>
      <c r="DG451" s="1331"/>
      <c r="DH451" s="1331"/>
      <c r="DI451" s="1331"/>
      <c r="DJ451" s="1331"/>
      <c r="DK451" s="1331"/>
      <c r="DL451" s="1331"/>
      <c r="DM451" s="1331"/>
      <c r="DN451" s="1331"/>
      <c r="DO451" s="1331"/>
      <c r="DP451" s="1331"/>
      <c r="DQ451" s="1331"/>
      <c r="DR451" s="1331"/>
      <c r="DS451" s="1331"/>
      <c r="DT451" s="1331"/>
      <c r="DU451" s="1331"/>
      <c r="DV451" s="1331"/>
      <c r="DW451" s="1331"/>
      <c r="DX451" s="1331"/>
      <c r="DY451" s="1331"/>
      <c r="DZ451" s="1331"/>
      <c r="EA451" s="1331"/>
      <c r="EB451" s="1331"/>
      <c r="EC451" s="1331"/>
      <c r="ED451" s="1331"/>
      <c r="EE451" s="1331"/>
      <c r="EF451" s="1331"/>
      <c r="EG451" s="1331"/>
      <c r="EH451" s="1331"/>
      <c r="EI451" s="1331"/>
      <c r="EK451" s="1331"/>
    </row>
    <row r="452" spans="3:141" ht="12.75">
      <c r="C452" s="1848" t="s">
        <v>126</v>
      </c>
      <c r="CQ452" s="1331"/>
      <c r="CR452" s="1331"/>
      <c r="CS452" s="1331"/>
      <c r="CT452" s="1331"/>
      <c r="CU452" s="1331"/>
      <c r="CV452" s="1331"/>
      <c r="CW452" s="1331"/>
      <c r="CX452" s="1331"/>
      <c r="CY452" s="1331"/>
      <c r="CZ452" s="1331"/>
      <c r="DA452" s="1331"/>
      <c r="DB452" s="1331"/>
      <c r="DC452" s="1331"/>
      <c r="DD452" s="1331"/>
      <c r="DE452" s="1331"/>
      <c r="DF452" s="1331"/>
      <c r="DG452" s="1331"/>
      <c r="DH452" s="1331"/>
      <c r="DI452" s="1331"/>
      <c r="DJ452" s="1331"/>
      <c r="DK452" s="1331"/>
      <c r="DL452" s="1331"/>
      <c r="DM452" s="1331"/>
      <c r="DN452" s="1331"/>
      <c r="DO452" s="1331"/>
      <c r="DP452" s="1331"/>
      <c r="DQ452" s="1331"/>
      <c r="DR452" s="1331"/>
      <c r="DS452" s="1331"/>
      <c r="DT452" s="1331"/>
      <c r="DU452" s="1331"/>
      <c r="DV452" s="1331"/>
      <c r="DW452" s="1331"/>
      <c r="DX452" s="1331"/>
      <c r="DY452" s="1331"/>
      <c r="DZ452" s="1331"/>
      <c r="EA452" s="1331"/>
      <c r="EB452" s="1331"/>
      <c r="EC452" s="1331"/>
      <c r="ED452" s="1331"/>
      <c r="EE452" s="1331"/>
      <c r="EF452" s="1331"/>
      <c r="EG452" s="1331"/>
      <c r="EH452" s="1331"/>
      <c r="EI452" s="1331"/>
      <c r="EK452" s="1331"/>
    </row>
    <row r="453" spans="3:141" ht="12.75">
      <c r="C453" s="1848" t="s">
        <v>127</v>
      </c>
      <c r="CQ453" s="1331"/>
      <c r="CR453" s="1331"/>
      <c r="CS453" s="1331"/>
      <c r="CT453" s="1331"/>
      <c r="CU453" s="1331"/>
      <c r="CV453" s="1331"/>
      <c r="CW453" s="1331"/>
      <c r="CX453" s="1331"/>
      <c r="CY453" s="1331"/>
      <c r="CZ453" s="1331"/>
      <c r="DA453" s="1331"/>
      <c r="DB453" s="1331"/>
      <c r="DC453" s="1331"/>
      <c r="DD453" s="1331"/>
      <c r="DE453" s="1331"/>
      <c r="DF453" s="1331"/>
      <c r="DG453" s="1331"/>
      <c r="DH453" s="1331"/>
      <c r="DI453" s="1331"/>
      <c r="DJ453" s="1331"/>
      <c r="DK453" s="1331"/>
      <c r="DL453" s="1331"/>
      <c r="DM453" s="1331"/>
      <c r="DN453" s="1331"/>
      <c r="DO453" s="1331"/>
      <c r="DP453" s="1331"/>
      <c r="DQ453" s="1331"/>
      <c r="DR453" s="1331"/>
      <c r="DS453" s="1331"/>
      <c r="DT453" s="1331"/>
      <c r="DU453" s="1331"/>
      <c r="DV453" s="1331"/>
      <c r="DW453" s="1331"/>
      <c r="DX453" s="1331"/>
      <c r="DY453" s="1331"/>
      <c r="DZ453" s="1331"/>
      <c r="EA453" s="1331"/>
      <c r="EB453" s="1331"/>
      <c r="EC453" s="1331"/>
      <c r="ED453" s="1331"/>
      <c r="EE453" s="1331"/>
      <c r="EF453" s="1331"/>
      <c r="EG453" s="1331"/>
      <c r="EH453" s="1331"/>
      <c r="EI453" s="1331"/>
      <c r="EK453" s="1331"/>
    </row>
    <row r="454" spans="3:141" ht="12.75">
      <c r="C454" s="1851" t="s">
        <v>490</v>
      </c>
      <c r="AV454" s="1343">
        <f t="shared" ref="AV454:CN454" si="3718">CQ171</f>
        <v>0</v>
      </c>
      <c r="AW454" s="1343">
        <f t="shared" si="3718"/>
        <v>0</v>
      </c>
      <c r="AX454" s="1343">
        <f t="shared" si="3718"/>
        <v>0</v>
      </c>
      <c r="AY454" s="1343">
        <f t="shared" si="3718"/>
        <v>0</v>
      </c>
      <c r="AZ454" s="1343">
        <f t="shared" si="3718"/>
        <v>0</v>
      </c>
      <c r="BA454" s="1343">
        <f t="shared" si="3718"/>
        <v>0</v>
      </c>
      <c r="BB454" s="1343">
        <f t="shared" si="3718"/>
        <v>0</v>
      </c>
      <c r="BC454" s="1343">
        <f t="shared" si="3718"/>
        <v>0</v>
      </c>
      <c r="BD454" s="1343">
        <f t="shared" si="3718"/>
        <v>0</v>
      </c>
      <c r="BE454" s="1343">
        <f t="shared" si="3718"/>
        <v>3166.38</v>
      </c>
      <c r="BF454" s="1343">
        <f t="shared" si="3718"/>
        <v>897.54</v>
      </c>
      <c r="BG454" s="1343">
        <f t="shared" si="3718"/>
        <v>0</v>
      </c>
      <c r="BH454" s="1343">
        <f t="shared" si="3718"/>
        <v>0</v>
      </c>
      <c r="BI454" s="1343">
        <f t="shared" si="3718"/>
        <v>0</v>
      </c>
      <c r="BJ454" s="1343">
        <f t="shared" si="3718"/>
        <v>0</v>
      </c>
      <c r="BK454" s="1343">
        <f t="shared" si="3718"/>
        <v>0</v>
      </c>
      <c r="BL454" s="1343">
        <f t="shared" si="3718"/>
        <v>401.18034600000004</v>
      </c>
      <c r="BM454" s="1343">
        <f t="shared" si="3718"/>
        <v>4465.1003460000002</v>
      </c>
      <c r="BN454" s="1343">
        <f t="shared" si="3718"/>
        <v>0</v>
      </c>
      <c r="BO454" s="1343">
        <f t="shared" si="3718"/>
        <v>0</v>
      </c>
      <c r="BP454" s="1343">
        <f t="shared" si="3718"/>
        <v>0</v>
      </c>
      <c r="BQ454" s="1343">
        <f t="shared" si="3718"/>
        <v>0</v>
      </c>
      <c r="BR454" s="1343">
        <f t="shared" si="3718"/>
        <v>0</v>
      </c>
      <c r="BS454" s="1343">
        <f t="shared" si="3718"/>
        <v>0</v>
      </c>
      <c r="BT454" s="1343">
        <f t="shared" si="3718"/>
        <v>0</v>
      </c>
      <c r="BU454" s="1343">
        <f t="shared" si="3718"/>
        <v>0</v>
      </c>
      <c r="BV454" s="1343">
        <f t="shared" si="3718"/>
        <v>0</v>
      </c>
      <c r="BW454" s="1343">
        <f t="shared" si="3718"/>
        <v>0</v>
      </c>
      <c r="BX454" s="1343">
        <f t="shared" si="3718"/>
        <v>0</v>
      </c>
      <c r="BY454" s="1343">
        <f t="shared" si="3718"/>
        <v>0</v>
      </c>
      <c r="BZ454" s="1343">
        <f t="shared" si="3718"/>
        <v>0</v>
      </c>
      <c r="CA454" s="1343">
        <f t="shared" si="3718"/>
        <v>0</v>
      </c>
      <c r="CB454" s="1343">
        <f t="shared" si="3718"/>
        <v>0</v>
      </c>
      <c r="CC454" s="1343">
        <f t="shared" si="3718"/>
        <v>0</v>
      </c>
      <c r="CD454" s="1343">
        <f t="shared" si="3718"/>
        <v>0</v>
      </c>
      <c r="CE454" s="1343">
        <f t="shared" si="3718"/>
        <v>0</v>
      </c>
      <c r="CF454" s="1343">
        <f t="shared" si="3718"/>
        <v>0</v>
      </c>
      <c r="CG454" s="1343">
        <f t="shared" si="3718"/>
        <v>0</v>
      </c>
      <c r="CH454" s="1343">
        <f t="shared" si="3718"/>
        <v>0</v>
      </c>
      <c r="CI454" s="1343">
        <f t="shared" si="3718"/>
        <v>0</v>
      </c>
      <c r="CJ454" s="1343">
        <f t="shared" si="3718"/>
        <v>0</v>
      </c>
      <c r="CK454" s="1343">
        <f t="shared" si="3718"/>
        <v>0</v>
      </c>
      <c r="CL454" s="1343">
        <f t="shared" si="3718"/>
        <v>0</v>
      </c>
      <c r="CM454" s="1343">
        <f t="shared" si="3718"/>
        <v>0</v>
      </c>
      <c r="CN454" s="1343">
        <f t="shared" si="3718"/>
        <v>0</v>
      </c>
      <c r="CQ454" s="1331"/>
      <c r="CR454" s="1331"/>
      <c r="CS454" s="1331"/>
      <c r="CT454" s="1331"/>
      <c r="CU454" s="1331"/>
      <c r="CV454" s="1331"/>
      <c r="CW454" s="1331"/>
      <c r="CX454" s="1331"/>
      <c r="CY454" s="1331"/>
      <c r="CZ454" s="1331"/>
      <c r="DA454" s="1331"/>
      <c r="DB454" s="1331"/>
      <c r="DC454" s="1331"/>
      <c r="DD454" s="1331"/>
      <c r="DE454" s="1331"/>
      <c r="DF454" s="1331"/>
      <c r="DG454" s="1331"/>
      <c r="DH454" s="1331"/>
      <c r="DI454" s="1331"/>
      <c r="DJ454" s="1331"/>
      <c r="DK454" s="1331"/>
      <c r="DL454" s="1331"/>
      <c r="DM454" s="1331"/>
      <c r="DN454" s="1331"/>
      <c r="DO454" s="1331"/>
      <c r="DP454" s="1331"/>
      <c r="DQ454" s="1331"/>
      <c r="DR454" s="1331"/>
      <c r="DS454" s="1331"/>
      <c r="DT454" s="1331"/>
      <c r="DU454" s="1331"/>
      <c r="DV454" s="1331"/>
      <c r="DW454" s="1331"/>
      <c r="DX454" s="1331"/>
      <c r="DY454" s="1331"/>
      <c r="DZ454" s="1331"/>
      <c r="EA454" s="1331"/>
      <c r="EB454" s="1331"/>
      <c r="EC454" s="1331"/>
      <c r="ED454" s="1331"/>
      <c r="EE454" s="1331"/>
      <c r="EF454" s="1331"/>
      <c r="EG454" s="1331"/>
      <c r="EH454" s="1331"/>
      <c r="EI454" s="1331"/>
      <c r="EK454" s="1331"/>
    </row>
    <row r="455" spans="3:141" ht="12.75">
      <c r="C455" s="1851" t="s">
        <v>491</v>
      </c>
      <c r="AV455" s="1343">
        <f t="shared" ref="AV455:CN455" si="3719">+CQ173</f>
        <v>0</v>
      </c>
      <c r="AW455" s="1343">
        <f t="shared" si="3719"/>
        <v>0</v>
      </c>
      <c r="AX455" s="1343">
        <f t="shared" si="3719"/>
        <v>0</v>
      </c>
      <c r="AY455" s="1343">
        <f t="shared" si="3719"/>
        <v>0</v>
      </c>
      <c r="AZ455" s="1343">
        <f t="shared" si="3719"/>
        <v>0</v>
      </c>
      <c r="BA455" s="1343">
        <f t="shared" si="3719"/>
        <v>0</v>
      </c>
      <c r="BB455" s="1343">
        <f t="shared" si="3719"/>
        <v>0</v>
      </c>
      <c r="BC455" s="1343">
        <f t="shared" si="3719"/>
        <v>0</v>
      </c>
      <c r="BD455" s="1343">
        <f t="shared" si="3719"/>
        <v>0</v>
      </c>
      <c r="BE455" s="1343">
        <f t="shared" si="3719"/>
        <v>0</v>
      </c>
      <c r="BF455" s="1343">
        <f t="shared" si="3719"/>
        <v>0</v>
      </c>
      <c r="BG455" s="1343">
        <f t="shared" si="3719"/>
        <v>0</v>
      </c>
      <c r="BH455" s="1343">
        <f t="shared" si="3719"/>
        <v>0</v>
      </c>
      <c r="BI455" s="1343">
        <f t="shared" si="3719"/>
        <v>0</v>
      </c>
      <c r="BJ455" s="1343">
        <f t="shared" si="3719"/>
        <v>0</v>
      </c>
      <c r="BK455" s="1343">
        <f t="shared" si="3719"/>
        <v>0</v>
      </c>
      <c r="BL455" s="1343">
        <f t="shared" si="3719"/>
        <v>0</v>
      </c>
      <c r="BM455" s="1343">
        <f t="shared" si="3719"/>
        <v>0</v>
      </c>
      <c r="BN455" s="1343">
        <f t="shared" si="3719"/>
        <v>0</v>
      </c>
      <c r="BO455" s="1343">
        <f t="shared" si="3719"/>
        <v>0</v>
      </c>
      <c r="BP455" s="1343">
        <f t="shared" si="3719"/>
        <v>0</v>
      </c>
      <c r="BQ455" s="1343">
        <f t="shared" si="3719"/>
        <v>0</v>
      </c>
      <c r="BR455" s="1343">
        <f t="shared" si="3719"/>
        <v>0</v>
      </c>
      <c r="BS455" s="1343">
        <f t="shared" si="3719"/>
        <v>0</v>
      </c>
      <c r="BT455" s="1343">
        <f t="shared" si="3719"/>
        <v>0</v>
      </c>
      <c r="BU455" s="1343">
        <f t="shared" si="3719"/>
        <v>0</v>
      </c>
      <c r="BV455" s="1343">
        <f t="shared" si="3719"/>
        <v>0</v>
      </c>
      <c r="BW455" s="1343">
        <f t="shared" si="3719"/>
        <v>0</v>
      </c>
      <c r="BX455" s="1343">
        <f t="shared" si="3719"/>
        <v>0</v>
      </c>
      <c r="BY455" s="1343">
        <f t="shared" si="3719"/>
        <v>0</v>
      </c>
      <c r="BZ455" s="1343">
        <f t="shared" si="3719"/>
        <v>0</v>
      </c>
      <c r="CA455" s="1343">
        <f t="shared" si="3719"/>
        <v>0</v>
      </c>
      <c r="CB455" s="1343">
        <f t="shared" si="3719"/>
        <v>0</v>
      </c>
      <c r="CC455" s="1343">
        <f t="shared" si="3719"/>
        <v>0</v>
      </c>
      <c r="CD455" s="1343">
        <f t="shared" si="3719"/>
        <v>0</v>
      </c>
      <c r="CE455" s="1343">
        <f t="shared" si="3719"/>
        <v>0</v>
      </c>
      <c r="CF455" s="1343">
        <f t="shared" si="3719"/>
        <v>0</v>
      </c>
      <c r="CG455" s="1343">
        <f t="shared" si="3719"/>
        <v>0</v>
      </c>
      <c r="CH455" s="1343">
        <f t="shared" si="3719"/>
        <v>0</v>
      </c>
      <c r="CI455" s="1343">
        <f t="shared" si="3719"/>
        <v>0</v>
      </c>
      <c r="CJ455" s="1343">
        <f t="shared" si="3719"/>
        <v>0</v>
      </c>
      <c r="CK455" s="1343">
        <f t="shared" si="3719"/>
        <v>0</v>
      </c>
      <c r="CL455" s="1343">
        <f t="shared" si="3719"/>
        <v>0</v>
      </c>
      <c r="CM455" s="1343">
        <f t="shared" si="3719"/>
        <v>0</v>
      </c>
      <c r="CN455" s="1343">
        <f t="shared" si="3719"/>
        <v>0</v>
      </c>
      <c r="CQ455" s="1331"/>
      <c r="CR455" s="1331"/>
      <c r="CS455" s="1331"/>
      <c r="CT455" s="1331"/>
      <c r="CU455" s="1331"/>
      <c r="CV455" s="1331"/>
      <c r="CW455" s="1331"/>
      <c r="CX455" s="1331"/>
      <c r="CY455" s="1331"/>
      <c r="CZ455" s="1331"/>
      <c r="DA455" s="1331"/>
      <c r="DB455" s="1331"/>
      <c r="DC455" s="1331"/>
      <c r="DD455" s="1331"/>
      <c r="DE455" s="1331"/>
      <c r="DF455" s="1331"/>
      <c r="DG455" s="1331"/>
      <c r="DH455" s="1331"/>
      <c r="DI455" s="1331"/>
      <c r="DJ455" s="1331"/>
      <c r="DK455" s="1331"/>
      <c r="DL455" s="1331"/>
      <c r="DM455" s="1331"/>
      <c r="DN455" s="1331"/>
      <c r="DO455" s="1331"/>
      <c r="DP455" s="1331"/>
      <c r="DQ455" s="1331"/>
      <c r="DR455" s="1331"/>
      <c r="DS455" s="1331"/>
      <c r="DT455" s="1331"/>
      <c r="DU455" s="1331"/>
      <c r="DV455" s="1331"/>
      <c r="DW455" s="1331"/>
      <c r="DX455" s="1331"/>
      <c r="DY455" s="1331"/>
      <c r="DZ455" s="1331"/>
      <c r="EA455" s="1331"/>
      <c r="EB455" s="1331"/>
      <c r="EC455" s="1331"/>
      <c r="ED455" s="1331"/>
      <c r="EE455" s="1331"/>
      <c r="EF455" s="1331"/>
      <c r="EG455" s="1331"/>
      <c r="EH455" s="1331"/>
      <c r="EI455" s="1331"/>
      <c r="EK455" s="1331"/>
    </row>
    <row r="456" spans="3:141" ht="12.75">
      <c r="C456" s="1851" t="s">
        <v>492</v>
      </c>
      <c r="AV456" s="1343">
        <f t="shared" ref="AV456:CN456" si="3720">CQ175</f>
        <v>0</v>
      </c>
      <c r="AW456" s="1343">
        <f t="shared" si="3720"/>
        <v>0</v>
      </c>
      <c r="AX456" s="1343">
        <f t="shared" si="3720"/>
        <v>0</v>
      </c>
      <c r="AY456" s="1343">
        <f t="shared" si="3720"/>
        <v>0</v>
      </c>
      <c r="AZ456" s="1343">
        <f t="shared" si="3720"/>
        <v>0</v>
      </c>
      <c r="BA456" s="1343">
        <f t="shared" si="3720"/>
        <v>0</v>
      </c>
      <c r="BB456" s="1343">
        <f t="shared" si="3720"/>
        <v>0</v>
      </c>
      <c r="BC456" s="1343">
        <f t="shared" si="3720"/>
        <v>0</v>
      </c>
      <c r="BD456" s="1343">
        <f t="shared" si="3720"/>
        <v>0</v>
      </c>
      <c r="BE456" s="1343">
        <f t="shared" si="3720"/>
        <v>0</v>
      </c>
      <c r="BF456" s="1343">
        <f t="shared" si="3720"/>
        <v>0</v>
      </c>
      <c r="BG456" s="1343">
        <f t="shared" si="3720"/>
        <v>0</v>
      </c>
      <c r="BH456" s="1343">
        <f t="shared" si="3720"/>
        <v>0</v>
      </c>
      <c r="BI456" s="1343">
        <f t="shared" si="3720"/>
        <v>0</v>
      </c>
      <c r="BJ456" s="1343">
        <f t="shared" si="3720"/>
        <v>0</v>
      </c>
      <c r="BK456" s="1343">
        <f t="shared" si="3720"/>
        <v>0</v>
      </c>
      <c r="BL456" s="1343">
        <f t="shared" si="3720"/>
        <v>0</v>
      </c>
      <c r="BM456" s="1343">
        <f t="shared" si="3720"/>
        <v>0</v>
      </c>
      <c r="BN456" s="1343">
        <f t="shared" si="3720"/>
        <v>0</v>
      </c>
      <c r="BO456" s="1343">
        <f t="shared" si="3720"/>
        <v>0</v>
      </c>
      <c r="BP456" s="1343">
        <f t="shared" si="3720"/>
        <v>0</v>
      </c>
      <c r="BQ456" s="1343">
        <f t="shared" si="3720"/>
        <v>0</v>
      </c>
      <c r="BR456" s="1343">
        <f t="shared" si="3720"/>
        <v>0</v>
      </c>
      <c r="BS456" s="1343">
        <f t="shared" si="3720"/>
        <v>0</v>
      </c>
      <c r="BT456" s="1343">
        <f t="shared" si="3720"/>
        <v>0</v>
      </c>
      <c r="BU456" s="1343">
        <f t="shared" si="3720"/>
        <v>0</v>
      </c>
      <c r="BV456" s="1343">
        <f t="shared" si="3720"/>
        <v>0</v>
      </c>
      <c r="BW456" s="1343">
        <f t="shared" si="3720"/>
        <v>0</v>
      </c>
      <c r="BX456" s="1343">
        <f t="shared" si="3720"/>
        <v>0</v>
      </c>
      <c r="BY456" s="1343">
        <f t="shared" si="3720"/>
        <v>0</v>
      </c>
      <c r="BZ456" s="1343">
        <f t="shared" si="3720"/>
        <v>0</v>
      </c>
      <c r="CA456" s="1343">
        <f t="shared" si="3720"/>
        <v>0</v>
      </c>
      <c r="CB456" s="1343">
        <f t="shared" si="3720"/>
        <v>0</v>
      </c>
      <c r="CC456" s="1343">
        <f t="shared" si="3720"/>
        <v>0</v>
      </c>
      <c r="CD456" s="1343">
        <f t="shared" si="3720"/>
        <v>0</v>
      </c>
      <c r="CE456" s="1343">
        <f t="shared" si="3720"/>
        <v>0</v>
      </c>
      <c r="CF456" s="1343">
        <f t="shared" si="3720"/>
        <v>0</v>
      </c>
      <c r="CG456" s="1343">
        <f t="shared" si="3720"/>
        <v>0</v>
      </c>
      <c r="CH456" s="1343">
        <f t="shared" si="3720"/>
        <v>0</v>
      </c>
      <c r="CI456" s="1343">
        <f t="shared" si="3720"/>
        <v>0</v>
      </c>
      <c r="CJ456" s="1343">
        <f t="shared" si="3720"/>
        <v>0</v>
      </c>
      <c r="CK456" s="1343">
        <f t="shared" si="3720"/>
        <v>0</v>
      </c>
      <c r="CL456" s="1343">
        <f t="shared" si="3720"/>
        <v>0</v>
      </c>
      <c r="CM456" s="1343">
        <f t="shared" si="3720"/>
        <v>0</v>
      </c>
      <c r="CN456" s="1343">
        <f t="shared" si="3720"/>
        <v>0</v>
      </c>
    </row>
    <row r="457" spans="3:141" ht="12.75">
      <c r="C457" s="1851" t="s">
        <v>493</v>
      </c>
      <c r="AV457" s="1343">
        <f t="shared" ref="AV457:CN457" si="3721">CQ179</f>
        <v>0</v>
      </c>
      <c r="AW457" s="1343">
        <f t="shared" si="3721"/>
        <v>0</v>
      </c>
      <c r="AX457" s="1343">
        <f t="shared" si="3721"/>
        <v>0</v>
      </c>
      <c r="AY457" s="1343">
        <f t="shared" si="3721"/>
        <v>0</v>
      </c>
      <c r="AZ457" s="1343">
        <f t="shared" si="3721"/>
        <v>0</v>
      </c>
      <c r="BA457" s="1343">
        <f t="shared" si="3721"/>
        <v>0</v>
      </c>
      <c r="BB457" s="1343">
        <f t="shared" si="3721"/>
        <v>0</v>
      </c>
      <c r="BC457" s="1343">
        <f t="shared" si="3721"/>
        <v>0</v>
      </c>
      <c r="BD457" s="1343">
        <f t="shared" si="3721"/>
        <v>0</v>
      </c>
      <c r="BE457" s="1343">
        <f t="shared" si="3721"/>
        <v>6332.76</v>
      </c>
      <c r="BF457" s="1343">
        <f t="shared" si="3721"/>
        <v>28617.57</v>
      </c>
      <c r="BG457" s="1343">
        <f t="shared" si="3721"/>
        <v>0</v>
      </c>
      <c r="BH457" s="1343">
        <f t="shared" si="3721"/>
        <v>0</v>
      </c>
      <c r="BI457" s="1343">
        <f t="shared" si="3721"/>
        <v>0</v>
      </c>
      <c r="BJ457" s="1343">
        <f t="shared" si="3721"/>
        <v>0</v>
      </c>
      <c r="BK457" s="1343">
        <f t="shared" si="3721"/>
        <v>0</v>
      </c>
      <c r="BL457" s="1343">
        <f t="shared" si="3721"/>
        <v>802.36069200000009</v>
      </c>
      <c r="BM457" s="1343">
        <f t="shared" si="3721"/>
        <v>35752.690692000004</v>
      </c>
      <c r="BN457" s="1343">
        <f t="shared" si="3721"/>
        <v>0</v>
      </c>
      <c r="BO457" s="1343">
        <f t="shared" si="3721"/>
        <v>0</v>
      </c>
      <c r="BP457" s="1343">
        <f t="shared" si="3721"/>
        <v>0</v>
      </c>
      <c r="BQ457" s="1343">
        <f t="shared" si="3721"/>
        <v>0</v>
      </c>
      <c r="BR457" s="1343">
        <f t="shared" si="3721"/>
        <v>0</v>
      </c>
      <c r="BS457" s="1343">
        <f t="shared" si="3721"/>
        <v>0</v>
      </c>
      <c r="BT457" s="1343">
        <f t="shared" si="3721"/>
        <v>0</v>
      </c>
      <c r="BU457" s="1343">
        <f t="shared" si="3721"/>
        <v>0</v>
      </c>
      <c r="BV457" s="1343">
        <f t="shared" si="3721"/>
        <v>0</v>
      </c>
      <c r="BW457" s="1343">
        <f t="shared" si="3721"/>
        <v>0</v>
      </c>
      <c r="BX457" s="1343">
        <f t="shared" si="3721"/>
        <v>0</v>
      </c>
      <c r="BY457" s="1343">
        <f t="shared" si="3721"/>
        <v>0</v>
      </c>
      <c r="BZ457" s="1343">
        <f t="shared" si="3721"/>
        <v>0</v>
      </c>
      <c r="CA457" s="1343">
        <f t="shared" si="3721"/>
        <v>0</v>
      </c>
      <c r="CB457" s="1343">
        <f t="shared" si="3721"/>
        <v>0</v>
      </c>
      <c r="CC457" s="1343">
        <f t="shared" si="3721"/>
        <v>0</v>
      </c>
      <c r="CD457" s="1343">
        <f t="shared" si="3721"/>
        <v>0</v>
      </c>
      <c r="CE457" s="1343">
        <f t="shared" si="3721"/>
        <v>0</v>
      </c>
      <c r="CF457" s="1343">
        <f t="shared" si="3721"/>
        <v>0</v>
      </c>
      <c r="CG457" s="1343">
        <f t="shared" si="3721"/>
        <v>0</v>
      </c>
      <c r="CH457" s="1343">
        <f t="shared" si="3721"/>
        <v>0</v>
      </c>
      <c r="CI457" s="1343">
        <f t="shared" si="3721"/>
        <v>0</v>
      </c>
      <c r="CJ457" s="1343">
        <f t="shared" si="3721"/>
        <v>0</v>
      </c>
      <c r="CK457" s="1343">
        <f t="shared" si="3721"/>
        <v>0</v>
      </c>
      <c r="CL457" s="1343">
        <f t="shared" si="3721"/>
        <v>0</v>
      </c>
      <c r="CM457" s="1343">
        <f t="shared" si="3721"/>
        <v>0</v>
      </c>
      <c r="CN457" s="1343">
        <f t="shared" si="3721"/>
        <v>0</v>
      </c>
    </row>
    <row r="458" spans="3:141" ht="12.75">
      <c r="C458" s="1851" t="s">
        <v>494</v>
      </c>
      <c r="AV458" s="1343">
        <f t="shared" ref="AV458:CN458" si="3722">+CQ182</f>
        <v>0</v>
      </c>
      <c r="AW458" s="1343">
        <f t="shared" si="3722"/>
        <v>0</v>
      </c>
      <c r="AX458" s="1343">
        <f t="shared" si="3722"/>
        <v>0</v>
      </c>
      <c r="AY458" s="1343">
        <f t="shared" si="3722"/>
        <v>0</v>
      </c>
      <c r="AZ458" s="1343">
        <f t="shared" si="3722"/>
        <v>0</v>
      </c>
      <c r="BA458" s="1343">
        <f t="shared" si="3722"/>
        <v>0</v>
      </c>
      <c r="BB458" s="1343">
        <f t="shared" si="3722"/>
        <v>0</v>
      </c>
      <c r="BC458" s="1343">
        <f t="shared" si="3722"/>
        <v>0</v>
      </c>
      <c r="BD458" s="1343">
        <f t="shared" si="3722"/>
        <v>0</v>
      </c>
      <c r="BE458" s="1343">
        <f t="shared" si="3722"/>
        <v>3166.38</v>
      </c>
      <c r="BF458" s="1343">
        <f t="shared" si="3722"/>
        <v>1892.36</v>
      </c>
      <c r="BG458" s="1343">
        <f t="shared" si="3722"/>
        <v>0</v>
      </c>
      <c r="BH458" s="1343">
        <f t="shared" si="3722"/>
        <v>0</v>
      </c>
      <c r="BI458" s="1343">
        <f t="shared" si="3722"/>
        <v>0</v>
      </c>
      <c r="BJ458" s="1343">
        <f t="shared" si="3722"/>
        <v>0</v>
      </c>
      <c r="BK458" s="1343">
        <f t="shared" si="3722"/>
        <v>0</v>
      </c>
      <c r="BL458" s="1343">
        <f t="shared" si="3722"/>
        <v>401.18034600000004</v>
      </c>
      <c r="BM458" s="1343">
        <f t="shared" si="3722"/>
        <v>5459.9203459999999</v>
      </c>
      <c r="BN458" s="1343">
        <f t="shared" si="3722"/>
        <v>0</v>
      </c>
      <c r="BO458" s="1343">
        <f t="shared" si="3722"/>
        <v>0</v>
      </c>
      <c r="BP458" s="1343">
        <f t="shared" si="3722"/>
        <v>0</v>
      </c>
      <c r="BQ458" s="1343">
        <f t="shared" si="3722"/>
        <v>0</v>
      </c>
      <c r="BR458" s="1343">
        <f t="shared" si="3722"/>
        <v>0</v>
      </c>
      <c r="BS458" s="1343">
        <f t="shared" si="3722"/>
        <v>0</v>
      </c>
      <c r="BT458" s="1343">
        <f t="shared" si="3722"/>
        <v>0</v>
      </c>
      <c r="BU458" s="1343">
        <f t="shared" si="3722"/>
        <v>0</v>
      </c>
      <c r="BV458" s="1343">
        <f t="shared" si="3722"/>
        <v>0</v>
      </c>
      <c r="BW458" s="1343">
        <f t="shared" si="3722"/>
        <v>0</v>
      </c>
      <c r="BX458" s="1343">
        <f t="shared" si="3722"/>
        <v>0</v>
      </c>
      <c r="BY458" s="1343">
        <f t="shared" si="3722"/>
        <v>0</v>
      </c>
      <c r="BZ458" s="1343">
        <f t="shared" si="3722"/>
        <v>0</v>
      </c>
      <c r="CA458" s="1343">
        <f t="shared" si="3722"/>
        <v>0</v>
      </c>
      <c r="CB458" s="1343">
        <f t="shared" si="3722"/>
        <v>0</v>
      </c>
      <c r="CC458" s="1343">
        <f t="shared" si="3722"/>
        <v>0</v>
      </c>
      <c r="CD458" s="1343">
        <f t="shared" si="3722"/>
        <v>0</v>
      </c>
      <c r="CE458" s="1343">
        <f t="shared" si="3722"/>
        <v>0</v>
      </c>
      <c r="CF458" s="1343">
        <f t="shared" si="3722"/>
        <v>0</v>
      </c>
      <c r="CG458" s="1343">
        <f t="shared" si="3722"/>
        <v>0</v>
      </c>
      <c r="CH458" s="1343">
        <f t="shared" si="3722"/>
        <v>0</v>
      </c>
      <c r="CI458" s="1343">
        <f t="shared" si="3722"/>
        <v>0</v>
      </c>
      <c r="CJ458" s="1343">
        <f t="shared" si="3722"/>
        <v>0</v>
      </c>
      <c r="CK458" s="1343">
        <f t="shared" si="3722"/>
        <v>0</v>
      </c>
      <c r="CL458" s="1343">
        <f t="shared" si="3722"/>
        <v>0</v>
      </c>
      <c r="CM458" s="1343">
        <f t="shared" si="3722"/>
        <v>0</v>
      </c>
      <c r="CN458" s="1343">
        <f t="shared" si="3722"/>
        <v>0</v>
      </c>
    </row>
    <row r="459" spans="3:141" ht="12.75">
      <c r="C459" s="1851" t="s">
        <v>495</v>
      </c>
      <c r="AV459" s="1343">
        <f t="shared" ref="AV459:CN459" si="3723">+CQ184</f>
        <v>0</v>
      </c>
      <c r="AW459" s="1343">
        <f t="shared" si="3723"/>
        <v>0</v>
      </c>
      <c r="AX459" s="1343">
        <f t="shared" si="3723"/>
        <v>0</v>
      </c>
      <c r="AY459" s="1343">
        <f t="shared" si="3723"/>
        <v>0</v>
      </c>
      <c r="AZ459" s="1343">
        <f t="shared" si="3723"/>
        <v>0</v>
      </c>
      <c r="BA459" s="1343">
        <f t="shared" si="3723"/>
        <v>0</v>
      </c>
      <c r="BB459" s="1343">
        <f t="shared" si="3723"/>
        <v>0</v>
      </c>
      <c r="BC459" s="1343">
        <f t="shared" si="3723"/>
        <v>0</v>
      </c>
      <c r="BD459" s="1343">
        <f t="shared" si="3723"/>
        <v>0</v>
      </c>
      <c r="BE459" s="1343">
        <f t="shared" si="3723"/>
        <v>0</v>
      </c>
      <c r="BF459" s="1343">
        <f t="shared" si="3723"/>
        <v>0</v>
      </c>
      <c r="BG459" s="1343">
        <f t="shared" si="3723"/>
        <v>0</v>
      </c>
      <c r="BH459" s="1343">
        <f t="shared" si="3723"/>
        <v>0</v>
      </c>
      <c r="BI459" s="1343">
        <f t="shared" si="3723"/>
        <v>0</v>
      </c>
      <c r="BJ459" s="1343">
        <f t="shared" si="3723"/>
        <v>0</v>
      </c>
      <c r="BK459" s="1343">
        <f t="shared" si="3723"/>
        <v>0</v>
      </c>
      <c r="BL459" s="1343">
        <f t="shared" si="3723"/>
        <v>0</v>
      </c>
      <c r="BM459" s="1343">
        <f t="shared" si="3723"/>
        <v>0</v>
      </c>
      <c r="BN459" s="1343">
        <f t="shared" si="3723"/>
        <v>0</v>
      </c>
      <c r="BO459" s="1343">
        <f t="shared" si="3723"/>
        <v>0</v>
      </c>
      <c r="BP459" s="1343">
        <f t="shared" si="3723"/>
        <v>0</v>
      </c>
      <c r="BQ459" s="1343">
        <f t="shared" si="3723"/>
        <v>0</v>
      </c>
      <c r="BR459" s="1343">
        <f t="shared" si="3723"/>
        <v>0</v>
      </c>
      <c r="BS459" s="1343">
        <f t="shared" si="3723"/>
        <v>0</v>
      </c>
      <c r="BT459" s="1343">
        <f t="shared" si="3723"/>
        <v>0</v>
      </c>
      <c r="BU459" s="1343">
        <f t="shared" si="3723"/>
        <v>0</v>
      </c>
      <c r="BV459" s="1343">
        <f t="shared" si="3723"/>
        <v>0</v>
      </c>
      <c r="BW459" s="1343">
        <f t="shared" si="3723"/>
        <v>0</v>
      </c>
      <c r="BX459" s="1343">
        <f t="shared" si="3723"/>
        <v>0</v>
      </c>
      <c r="BY459" s="1343">
        <f t="shared" si="3723"/>
        <v>0</v>
      </c>
      <c r="BZ459" s="1343">
        <f t="shared" si="3723"/>
        <v>0</v>
      </c>
      <c r="CA459" s="1343">
        <f t="shared" si="3723"/>
        <v>0</v>
      </c>
      <c r="CB459" s="1343">
        <f t="shared" si="3723"/>
        <v>0</v>
      </c>
      <c r="CC459" s="1343">
        <f t="shared" si="3723"/>
        <v>0</v>
      </c>
      <c r="CD459" s="1343">
        <f t="shared" si="3723"/>
        <v>0</v>
      </c>
      <c r="CE459" s="1343">
        <f t="shared" si="3723"/>
        <v>0</v>
      </c>
      <c r="CF459" s="1343">
        <f t="shared" si="3723"/>
        <v>0</v>
      </c>
      <c r="CG459" s="1343">
        <f t="shared" si="3723"/>
        <v>0</v>
      </c>
      <c r="CH459" s="1343">
        <f t="shared" si="3723"/>
        <v>0</v>
      </c>
      <c r="CI459" s="1343">
        <f t="shared" si="3723"/>
        <v>0</v>
      </c>
      <c r="CJ459" s="1343">
        <f t="shared" si="3723"/>
        <v>0</v>
      </c>
      <c r="CK459" s="1343">
        <f t="shared" si="3723"/>
        <v>0</v>
      </c>
      <c r="CL459" s="1343">
        <f t="shared" si="3723"/>
        <v>0</v>
      </c>
      <c r="CM459" s="1343">
        <f t="shared" si="3723"/>
        <v>0</v>
      </c>
      <c r="CN459" s="1343">
        <f t="shared" si="3723"/>
        <v>0</v>
      </c>
    </row>
    <row r="460" spans="3:141" ht="12.75">
      <c r="C460" s="1848" t="s">
        <v>134</v>
      </c>
    </row>
    <row r="461" spans="3:141" ht="12.75">
      <c r="C461" s="1851" t="s">
        <v>385</v>
      </c>
      <c r="AV461" s="1343">
        <f t="shared" ref="AV461:CN461" si="3724">CQ191</f>
        <v>4000.0000000000005</v>
      </c>
      <c r="AW461" s="1343">
        <f t="shared" si="3724"/>
        <v>21000</v>
      </c>
      <c r="AX461" s="1343">
        <f t="shared" si="3724"/>
        <v>0</v>
      </c>
      <c r="AY461" s="1343">
        <f t="shared" si="3724"/>
        <v>0</v>
      </c>
      <c r="AZ461" s="1343">
        <f t="shared" si="3724"/>
        <v>0</v>
      </c>
      <c r="BA461" s="1343">
        <f t="shared" si="3724"/>
        <v>0</v>
      </c>
      <c r="BB461" s="1343">
        <f t="shared" si="3724"/>
        <v>0</v>
      </c>
      <c r="BC461" s="1343">
        <f t="shared" si="3724"/>
        <v>506.80000000000007</v>
      </c>
      <c r="BD461" s="1343">
        <f t="shared" si="3724"/>
        <v>25506.799999999999</v>
      </c>
      <c r="BE461" s="1343">
        <f t="shared" si="3724"/>
        <v>25500</v>
      </c>
      <c r="BF461" s="1343">
        <f t="shared" si="3724"/>
        <v>5347.41</v>
      </c>
      <c r="BG461" s="1343">
        <f t="shared" si="3724"/>
        <v>0</v>
      </c>
      <c r="BH461" s="1343">
        <f t="shared" si="3724"/>
        <v>0</v>
      </c>
      <c r="BI461" s="1343">
        <f t="shared" si="3724"/>
        <v>0</v>
      </c>
      <c r="BJ461" s="1343">
        <f t="shared" si="3724"/>
        <v>0</v>
      </c>
      <c r="BK461" s="1343">
        <f t="shared" si="3724"/>
        <v>0</v>
      </c>
      <c r="BL461" s="1343">
        <f t="shared" si="3724"/>
        <v>3230.8500000000004</v>
      </c>
      <c r="BM461" s="1343">
        <f t="shared" si="3724"/>
        <v>34078.26</v>
      </c>
      <c r="BN461" s="1343">
        <f t="shared" si="3724"/>
        <v>0</v>
      </c>
      <c r="BO461" s="1343">
        <f t="shared" si="3724"/>
        <v>0</v>
      </c>
      <c r="BP461" s="1343">
        <f t="shared" si="3724"/>
        <v>0</v>
      </c>
      <c r="BQ461" s="1343">
        <f t="shared" si="3724"/>
        <v>0</v>
      </c>
      <c r="BR461" s="1343">
        <f t="shared" si="3724"/>
        <v>0</v>
      </c>
      <c r="BS461" s="1343">
        <f t="shared" si="3724"/>
        <v>0</v>
      </c>
      <c r="BT461" s="1343">
        <f t="shared" si="3724"/>
        <v>0</v>
      </c>
      <c r="BU461" s="1343">
        <f t="shared" si="3724"/>
        <v>0</v>
      </c>
      <c r="BV461" s="1343">
        <f t="shared" si="3724"/>
        <v>0</v>
      </c>
      <c r="BW461" s="1343">
        <f t="shared" si="3724"/>
        <v>0</v>
      </c>
      <c r="BX461" s="1343">
        <f t="shared" si="3724"/>
        <v>0</v>
      </c>
      <c r="BY461" s="1343">
        <f t="shared" si="3724"/>
        <v>0</v>
      </c>
      <c r="BZ461" s="1343">
        <f t="shared" si="3724"/>
        <v>0</v>
      </c>
      <c r="CA461" s="1343">
        <f t="shared" si="3724"/>
        <v>0</v>
      </c>
      <c r="CB461" s="1343">
        <f t="shared" si="3724"/>
        <v>0</v>
      </c>
      <c r="CC461" s="1343">
        <f t="shared" si="3724"/>
        <v>0</v>
      </c>
      <c r="CD461" s="1343">
        <f t="shared" si="3724"/>
        <v>0</v>
      </c>
      <c r="CE461" s="1343">
        <f t="shared" si="3724"/>
        <v>0</v>
      </c>
      <c r="CF461" s="1343">
        <f t="shared" si="3724"/>
        <v>0</v>
      </c>
      <c r="CG461" s="1343">
        <f t="shared" si="3724"/>
        <v>0</v>
      </c>
      <c r="CH461" s="1343">
        <f t="shared" si="3724"/>
        <v>0</v>
      </c>
      <c r="CI461" s="1343">
        <f t="shared" si="3724"/>
        <v>0</v>
      </c>
      <c r="CJ461" s="1343">
        <f t="shared" si="3724"/>
        <v>0</v>
      </c>
      <c r="CK461" s="1343">
        <f t="shared" si="3724"/>
        <v>0</v>
      </c>
      <c r="CL461" s="1343">
        <f t="shared" si="3724"/>
        <v>0</v>
      </c>
      <c r="CM461" s="1343">
        <f t="shared" si="3724"/>
        <v>0</v>
      </c>
      <c r="CN461" s="1343">
        <f t="shared" si="3724"/>
        <v>0</v>
      </c>
    </row>
    <row r="462" spans="3:141" ht="12.75">
      <c r="C462" s="1851" t="s">
        <v>408</v>
      </c>
      <c r="AV462" s="1343">
        <f t="shared" ref="AV462:CN462" si="3725">CQ194</f>
        <v>0</v>
      </c>
      <c r="AW462" s="1343">
        <f t="shared" si="3725"/>
        <v>0</v>
      </c>
      <c r="AX462" s="1343">
        <f t="shared" si="3725"/>
        <v>0</v>
      </c>
      <c r="AY462" s="1343">
        <f t="shared" si="3725"/>
        <v>0</v>
      </c>
      <c r="AZ462" s="1343">
        <f t="shared" si="3725"/>
        <v>0</v>
      </c>
      <c r="BA462" s="1343">
        <f t="shared" si="3725"/>
        <v>0</v>
      </c>
      <c r="BB462" s="1343">
        <f t="shared" si="3725"/>
        <v>0</v>
      </c>
      <c r="BC462" s="1343">
        <f t="shared" si="3725"/>
        <v>0</v>
      </c>
      <c r="BD462" s="1343">
        <f t="shared" si="3725"/>
        <v>0</v>
      </c>
      <c r="BE462" s="1343">
        <f t="shared" si="3725"/>
        <v>0</v>
      </c>
      <c r="BF462" s="1343">
        <f t="shared" si="3725"/>
        <v>0</v>
      </c>
      <c r="BG462" s="1343">
        <f t="shared" si="3725"/>
        <v>0</v>
      </c>
      <c r="BH462" s="1343">
        <f t="shared" si="3725"/>
        <v>0</v>
      </c>
      <c r="BI462" s="1343">
        <f t="shared" si="3725"/>
        <v>0</v>
      </c>
      <c r="BJ462" s="1343">
        <f t="shared" si="3725"/>
        <v>0</v>
      </c>
      <c r="BK462" s="1343">
        <f t="shared" si="3725"/>
        <v>0</v>
      </c>
      <c r="BL462" s="1343">
        <f t="shared" si="3725"/>
        <v>0</v>
      </c>
      <c r="BM462" s="1343">
        <f t="shared" si="3725"/>
        <v>0</v>
      </c>
      <c r="BN462" s="1343">
        <f t="shared" si="3725"/>
        <v>0</v>
      </c>
      <c r="BO462" s="1343">
        <f t="shared" si="3725"/>
        <v>0</v>
      </c>
      <c r="BP462" s="1343">
        <f t="shared" si="3725"/>
        <v>0</v>
      </c>
      <c r="BQ462" s="1343">
        <f t="shared" si="3725"/>
        <v>0</v>
      </c>
      <c r="BR462" s="1343">
        <f t="shared" si="3725"/>
        <v>0</v>
      </c>
      <c r="BS462" s="1343">
        <f t="shared" si="3725"/>
        <v>0</v>
      </c>
      <c r="BT462" s="1343">
        <f t="shared" si="3725"/>
        <v>0</v>
      </c>
      <c r="BU462" s="1343">
        <f t="shared" si="3725"/>
        <v>0</v>
      </c>
      <c r="BV462" s="1343">
        <f t="shared" si="3725"/>
        <v>0</v>
      </c>
      <c r="BW462" s="1343">
        <f t="shared" si="3725"/>
        <v>0</v>
      </c>
      <c r="BX462" s="1343">
        <f t="shared" si="3725"/>
        <v>0</v>
      </c>
      <c r="BY462" s="1343">
        <f t="shared" si="3725"/>
        <v>0</v>
      </c>
      <c r="BZ462" s="1343">
        <f t="shared" si="3725"/>
        <v>0</v>
      </c>
      <c r="CA462" s="1343">
        <f t="shared" si="3725"/>
        <v>0</v>
      </c>
      <c r="CB462" s="1343">
        <f t="shared" si="3725"/>
        <v>0</v>
      </c>
      <c r="CC462" s="1343">
        <f t="shared" si="3725"/>
        <v>0</v>
      </c>
      <c r="CD462" s="1343">
        <f t="shared" si="3725"/>
        <v>0</v>
      </c>
      <c r="CE462" s="1343">
        <f t="shared" si="3725"/>
        <v>0</v>
      </c>
      <c r="CF462" s="1343">
        <f t="shared" si="3725"/>
        <v>0</v>
      </c>
      <c r="CG462" s="1343">
        <f t="shared" si="3725"/>
        <v>0</v>
      </c>
      <c r="CH462" s="1343">
        <f t="shared" si="3725"/>
        <v>0</v>
      </c>
      <c r="CI462" s="1343">
        <f t="shared" si="3725"/>
        <v>0</v>
      </c>
      <c r="CJ462" s="1343">
        <f t="shared" si="3725"/>
        <v>0</v>
      </c>
      <c r="CK462" s="1343">
        <f t="shared" si="3725"/>
        <v>0</v>
      </c>
      <c r="CL462" s="1343">
        <f t="shared" si="3725"/>
        <v>0</v>
      </c>
      <c r="CM462" s="1343">
        <f t="shared" si="3725"/>
        <v>0</v>
      </c>
      <c r="CN462" s="1343">
        <f t="shared" si="3725"/>
        <v>0</v>
      </c>
    </row>
    <row r="463" spans="3:141" ht="12.75">
      <c r="C463" s="1851" t="s">
        <v>409</v>
      </c>
      <c r="AV463" s="1343">
        <f t="shared" ref="AV463:CN463" si="3726">CQ196</f>
        <v>0</v>
      </c>
      <c r="AW463" s="1343">
        <f t="shared" si="3726"/>
        <v>0</v>
      </c>
      <c r="AX463" s="1343">
        <f t="shared" si="3726"/>
        <v>0</v>
      </c>
      <c r="AY463" s="1343">
        <f t="shared" si="3726"/>
        <v>0</v>
      </c>
      <c r="AZ463" s="1343">
        <f t="shared" si="3726"/>
        <v>0</v>
      </c>
      <c r="BA463" s="1343">
        <f t="shared" si="3726"/>
        <v>0</v>
      </c>
      <c r="BB463" s="1343">
        <f t="shared" si="3726"/>
        <v>0</v>
      </c>
      <c r="BC463" s="1343">
        <f t="shared" si="3726"/>
        <v>0</v>
      </c>
      <c r="BD463" s="1343">
        <f t="shared" si="3726"/>
        <v>0</v>
      </c>
      <c r="BE463" s="1343">
        <f t="shared" si="3726"/>
        <v>0</v>
      </c>
      <c r="BF463" s="1343">
        <f t="shared" si="3726"/>
        <v>0</v>
      </c>
      <c r="BG463" s="1343">
        <f t="shared" si="3726"/>
        <v>0</v>
      </c>
      <c r="BH463" s="1343">
        <f t="shared" si="3726"/>
        <v>0</v>
      </c>
      <c r="BI463" s="1343">
        <f t="shared" si="3726"/>
        <v>0</v>
      </c>
      <c r="BJ463" s="1343">
        <f t="shared" si="3726"/>
        <v>0</v>
      </c>
      <c r="BK463" s="1343">
        <f t="shared" si="3726"/>
        <v>0</v>
      </c>
      <c r="BL463" s="1343">
        <f t="shared" si="3726"/>
        <v>0</v>
      </c>
      <c r="BM463" s="1343">
        <f t="shared" si="3726"/>
        <v>0</v>
      </c>
      <c r="BN463" s="1343">
        <f t="shared" si="3726"/>
        <v>0</v>
      </c>
      <c r="BO463" s="1343">
        <f t="shared" si="3726"/>
        <v>0</v>
      </c>
      <c r="BP463" s="1343">
        <f t="shared" si="3726"/>
        <v>0</v>
      </c>
      <c r="BQ463" s="1343">
        <f t="shared" si="3726"/>
        <v>0</v>
      </c>
      <c r="BR463" s="1343">
        <f t="shared" si="3726"/>
        <v>0</v>
      </c>
      <c r="BS463" s="1343">
        <f t="shared" si="3726"/>
        <v>0</v>
      </c>
      <c r="BT463" s="1343">
        <f t="shared" si="3726"/>
        <v>0</v>
      </c>
      <c r="BU463" s="1343">
        <f t="shared" si="3726"/>
        <v>0</v>
      </c>
      <c r="BV463" s="1343">
        <f t="shared" si="3726"/>
        <v>0</v>
      </c>
      <c r="BW463" s="1343">
        <f t="shared" si="3726"/>
        <v>0</v>
      </c>
      <c r="BX463" s="1343">
        <f t="shared" si="3726"/>
        <v>0</v>
      </c>
      <c r="BY463" s="1343">
        <f t="shared" si="3726"/>
        <v>0</v>
      </c>
      <c r="BZ463" s="1343">
        <f t="shared" si="3726"/>
        <v>0</v>
      </c>
      <c r="CA463" s="1343">
        <f t="shared" si="3726"/>
        <v>0</v>
      </c>
      <c r="CB463" s="1343">
        <f t="shared" si="3726"/>
        <v>0</v>
      </c>
      <c r="CC463" s="1343">
        <f t="shared" si="3726"/>
        <v>0</v>
      </c>
      <c r="CD463" s="1343">
        <f t="shared" si="3726"/>
        <v>0</v>
      </c>
      <c r="CE463" s="1343">
        <f t="shared" si="3726"/>
        <v>0</v>
      </c>
      <c r="CF463" s="1343">
        <f t="shared" si="3726"/>
        <v>0</v>
      </c>
      <c r="CG463" s="1343">
        <f t="shared" si="3726"/>
        <v>0</v>
      </c>
      <c r="CH463" s="1343">
        <f t="shared" si="3726"/>
        <v>0</v>
      </c>
      <c r="CI463" s="1343">
        <f t="shared" si="3726"/>
        <v>0</v>
      </c>
      <c r="CJ463" s="1343">
        <f t="shared" si="3726"/>
        <v>0</v>
      </c>
      <c r="CK463" s="1343">
        <f t="shared" si="3726"/>
        <v>0</v>
      </c>
      <c r="CL463" s="1343">
        <f t="shared" si="3726"/>
        <v>0</v>
      </c>
      <c r="CM463" s="1343">
        <f t="shared" si="3726"/>
        <v>0</v>
      </c>
      <c r="CN463" s="1343">
        <f t="shared" si="3726"/>
        <v>0</v>
      </c>
    </row>
    <row r="464" spans="3:141" ht="12.75">
      <c r="C464" s="1851" t="s">
        <v>386</v>
      </c>
      <c r="AV464" s="1343">
        <f t="shared" ref="AV464:CN464" si="3727">CQ199</f>
        <v>0</v>
      </c>
      <c r="AW464" s="1343">
        <f t="shared" si="3727"/>
        <v>0</v>
      </c>
      <c r="AX464" s="1343">
        <f t="shared" si="3727"/>
        <v>0</v>
      </c>
      <c r="AY464" s="1343">
        <f t="shared" si="3727"/>
        <v>0</v>
      </c>
      <c r="AZ464" s="1343">
        <f t="shared" si="3727"/>
        <v>0</v>
      </c>
      <c r="BA464" s="1343">
        <f t="shared" si="3727"/>
        <v>0</v>
      </c>
      <c r="BB464" s="1343">
        <f t="shared" si="3727"/>
        <v>0</v>
      </c>
      <c r="BC464" s="1343">
        <f t="shared" si="3727"/>
        <v>0</v>
      </c>
      <c r="BD464" s="1343">
        <f t="shared" si="3727"/>
        <v>0</v>
      </c>
      <c r="BE464" s="1343">
        <f t="shared" si="3727"/>
        <v>0</v>
      </c>
      <c r="BF464" s="1343">
        <f t="shared" si="3727"/>
        <v>0</v>
      </c>
      <c r="BG464" s="1343">
        <f t="shared" si="3727"/>
        <v>0</v>
      </c>
      <c r="BH464" s="1343">
        <f t="shared" si="3727"/>
        <v>0</v>
      </c>
      <c r="BI464" s="1343">
        <f t="shared" si="3727"/>
        <v>0</v>
      </c>
      <c r="BJ464" s="1343">
        <f t="shared" si="3727"/>
        <v>0</v>
      </c>
      <c r="BK464" s="1343">
        <f t="shared" si="3727"/>
        <v>0</v>
      </c>
      <c r="BL464" s="1343">
        <f t="shared" si="3727"/>
        <v>0</v>
      </c>
      <c r="BM464" s="1343">
        <f t="shared" si="3727"/>
        <v>0</v>
      </c>
      <c r="BN464" s="1343">
        <f t="shared" si="3727"/>
        <v>0</v>
      </c>
      <c r="BO464" s="1343">
        <f t="shared" si="3727"/>
        <v>0</v>
      </c>
      <c r="BP464" s="1343">
        <f t="shared" si="3727"/>
        <v>0</v>
      </c>
      <c r="BQ464" s="1343">
        <f t="shared" si="3727"/>
        <v>0</v>
      </c>
      <c r="BR464" s="1343">
        <f t="shared" si="3727"/>
        <v>0</v>
      </c>
      <c r="BS464" s="1343">
        <f t="shared" si="3727"/>
        <v>0</v>
      </c>
      <c r="BT464" s="1343">
        <f t="shared" si="3727"/>
        <v>0</v>
      </c>
      <c r="BU464" s="1343">
        <f t="shared" si="3727"/>
        <v>0</v>
      </c>
      <c r="BV464" s="1343">
        <f t="shared" si="3727"/>
        <v>0</v>
      </c>
      <c r="BW464" s="1343">
        <f t="shared" si="3727"/>
        <v>0</v>
      </c>
      <c r="BX464" s="1343">
        <f t="shared" si="3727"/>
        <v>0</v>
      </c>
      <c r="BY464" s="1343">
        <f t="shared" si="3727"/>
        <v>0</v>
      </c>
      <c r="BZ464" s="1343">
        <f t="shared" si="3727"/>
        <v>0</v>
      </c>
      <c r="CA464" s="1343">
        <f t="shared" si="3727"/>
        <v>0</v>
      </c>
      <c r="CB464" s="1343">
        <f t="shared" si="3727"/>
        <v>0</v>
      </c>
      <c r="CC464" s="1343">
        <f t="shared" si="3727"/>
        <v>0</v>
      </c>
      <c r="CD464" s="1343">
        <f t="shared" si="3727"/>
        <v>0</v>
      </c>
      <c r="CE464" s="1343">
        <f t="shared" si="3727"/>
        <v>0</v>
      </c>
      <c r="CF464" s="1343">
        <f t="shared" si="3727"/>
        <v>0</v>
      </c>
      <c r="CG464" s="1343">
        <f t="shared" si="3727"/>
        <v>0</v>
      </c>
      <c r="CH464" s="1343">
        <f t="shared" si="3727"/>
        <v>0</v>
      </c>
      <c r="CI464" s="1343">
        <f t="shared" si="3727"/>
        <v>0</v>
      </c>
      <c r="CJ464" s="1343">
        <f t="shared" si="3727"/>
        <v>0</v>
      </c>
      <c r="CK464" s="1343">
        <f t="shared" si="3727"/>
        <v>0</v>
      </c>
      <c r="CL464" s="1343">
        <f t="shared" si="3727"/>
        <v>0</v>
      </c>
      <c r="CM464" s="1343">
        <f t="shared" si="3727"/>
        <v>0</v>
      </c>
      <c r="CN464" s="1343">
        <f t="shared" si="3727"/>
        <v>0</v>
      </c>
    </row>
    <row r="465" spans="2:261" ht="12.75">
      <c r="C465" s="1848" t="s">
        <v>138</v>
      </c>
    </row>
    <row r="466" spans="2:261" ht="12.75">
      <c r="C466" s="1851" t="s">
        <v>406</v>
      </c>
      <c r="AV466" s="1343">
        <f t="shared" ref="AV466:CN466" si="3728">CQ226</f>
        <v>0</v>
      </c>
      <c r="AW466" s="1343">
        <f t="shared" si="3728"/>
        <v>0</v>
      </c>
      <c r="AX466" s="1343">
        <f t="shared" si="3728"/>
        <v>0</v>
      </c>
      <c r="AY466" s="1343">
        <f t="shared" si="3728"/>
        <v>0</v>
      </c>
      <c r="AZ466" s="1343">
        <f t="shared" si="3728"/>
        <v>0</v>
      </c>
      <c r="BA466" s="1343">
        <f t="shared" si="3728"/>
        <v>0</v>
      </c>
      <c r="BB466" s="1343">
        <f t="shared" si="3728"/>
        <v>0</v>
      </c>
      <c r="BC466" s="1343">
        <f t="shared" si="3728"/>
        <v>0</v>
      </c>
      <c r="BD466" s="1343">
        <f t="shared" si="3728"/>
        <v>0</v>
      </c>
      <c r="BE466" s="1343">
        <f t="shared" si="3728"/>
        <v>6332.76</v>
      </c>
      <c r="BF466" s="1343">
        <f t="shared" si="3728"/>
        <v>6749.97</v>
      </c>
      <c r="BG466" s="1343">
        <f t="shared" si="3728"/>
        <v>0</v>
      </c>
      <c r="BH466" s="1343">
        <f t="shared" si="3728"/>
        <v>0</v>
      </c>
      <c r="BI466" s="1343">
        <f t="shared" si="3728"/>
        <v>0</v>
      </c>
      <c r="BJ466" s="1343">
        <f t="shared" si="3728"/>
        <v>0</v>
      </c>
      <c r="BK466" s="1343">
        <f t="shared" si="3728"/>
        <v>0</v>
      </c>
      <c r="BL466" s="1343">
        <f t="shared" si="3728"/>
        <v>802.36069200000009</v>
      </c>
      <c r="BM466" s="1343">
        <f t="shared" si="3728"/>
        <v>13885.090691999998</v>
      </c>
      <c r="BN466" s="1343">
        <f t="shared" si="3728"/>
        <v>0</v>
      </c>
      <c r="BO466" s="1343">
        <f>DJ226</f>
        <v>0</v>
      </c>
      <c r="BP466" s="1343">
        <f t="shared" si="3728"/>
        <v>0</v>
      </c>
      <c r="BQ466" s="1343">
        <f t="shared" si="3728"/>
        <v>0</v>
      </c>
      <c r="BR466" s="1343">
        <f t="shared" si="3728"/>
        <v>0</v>
      </c>
      <c r="BS466" s="1343">
        <f t="shared" si="3728"/>
        <v>0</v>
      </c>
      <c r="BT466" s="1343">
        <f t="shared" si="3728"/>
        <v>0</v>
      </c>
      <c r="BU466" s="1343">
        <f t="shared" si="3728"/>
        <v>0</v>
      </c>
      <c r="BV466" s="1343">
        <f t="shared" si="3728"/>
        <v>0</v>
      </c>
      <c r="BW466" s="1343">
        <f t="shared" si="3728"/>
        <v>0</v>
      </c>
      <c r="BX466" s="1343">
        <f t="shared" si="3728"/>
        <v>0</v>
      </c>
      <c r="BY466" s="1343">
        <f t="shared" si="3728"/>
        <v>0</v>
      </c>
      <c r="BZ466" s="1343">
        <f t="shared" si="3728"/>
        <v>0</v>
      </c>
      <c r="CA466" s="1343">
        <f t="shared" si="3728"/>
        <v>0</v>
      </c>
      <c r="CB466" s="1343">
        <f t="shared" si="3728"/>
        <v>0</v>
      </c>
      <c r="CC466" s="1343">
        <f t="shared" si="3728"/>
        <v>0</v>
      </c>
      <c r="CD466" s="1343">
        <f t="shared" si="3728"/>
        <v>0</v>
      </c>
      <c r="CE466" s="1343">
        <f t="shared" si="3728"/>
        <v>0</v>
      </c>
      <c r="CF466" s="1343">
        <f t="shared" si="3728"/>
        <v>0</v>
      </c>
      <c r="CG466" s="1343">
        <f t="shared" si="3728"/>
        <v>0</v>
      </c>
      <c r="CH466" s="1343">
        <f t="shared" si="3728"/>
        <v>0</v>
      </c>
      <c r="CI466" s="1343">
        <f t="shared" si="3728"/>
        <v>0</v>
      </c>
      <c r="CJ466" s="1343">
        <f t="shared" si="3728"/>
        <v>0</v>
      </c>
      <c r="CK466" s="1343">
        <f t="shared" si="3728"/>
        <v>0</v>
      </c>
      <c r="CL466" s="1343">
        <f t="shared" si="3728"/>
        <v>0</v>
      </c>
      <c r="CM466" s="1343">
        <f t="shared" si="3728"/>
        <v>0</v>
      </c>
      <c r="CN466" s="1343">
        <f t="shared" si="3728"/>
        <v>0</v>
      </c>
    </row>
    <row r="467" spans="2:261" ht="12.75">
      <c r="C467" s="1851" t="s">
        <v>407</v>
      </c>
      <c r="AV467" s="1343">
        <f t="shared" ref="AV467:CN467" si="3729">CQ221</f>
        <v>0</v>
      </c>
      <c r="AW467" s="1343">
        <f t="shared" si="3729"/>
        <v>0</v>
      </c>
      <c r="AX467" s="1343">
        <f t="shared" si="3729"/>
        <v>0</v>
      </c>
      <c r="AY467" s="1343">
        <f t="shared" si="3729"/>
        <v>0</v>
      </c>
      <c r="AZ467" s="1343">
        <f t="shared" si="3729"/>
        <v>0</v>
      </c>
      <c r="BA467" s="1343">
        <f t="shared" si="3729"/>
        <v>0</v>
      </c>
      <c r="BB467" s="1343">
        <f t="shared" si="3729"/>
        <v>0</v>
      </c>
      <c r="BC467" s="1343">
        <f t="shared" si="3729"/>
        <v>0</v>
      </c>
      <c r="BD467" s="1343">
        <f t="shared" si="3729"/>
        <v>0</v>
      </c>
      <c r="BE467" s="1343">
        <f t="shared" si="3729"/>
        <v>0</v>
      </c>
      <c r="BF467" s="1343">
        <f t="shared" si="3729"/>
        <v>0</v>
      </c>
      <c r="BG467" s="1343">
        <f t="shared" si="3729"/>
        <v>0</v>
      </c>
      <c r="BH467" s="1343">
        <f t="shared" si="3729"/>
        <v>0</v>
      </c>
      <c r="BI467" s="1343">
        <f t="shared" si="3729"/>
        <v>0</v>
      </c>
      <c r="BJ467" s="1343">
        <f t="shared" si="3729"/>
        <v>0</v>
      </c>
      <c r="BK467" s="1343">
        <f t="shared" si="3729"/>
        <v>0</v>
      </c>
      <c r="BL467" s="1343">
        <f t="shared" si="3729"/>
        <v>0</v>
      </c>
      <c r="BM467" s="1343">
        <f t="shared" si="3729"/>
        <v>0</v>
      </c>
      <c r="BN467" s="1343">
        <f t="shared" si="3729"/>
        <v>0</v>
      </c>
      <c r="BO467" s="1343">
        <f t="shared" si="3729"/>
        <v>0</v>
      </c>
      <c r="BP467" s="1343">
        <f t="shared" si="3729"/>
        <v>0</v>
      </c>
      <c r="BQ467" s="1343">
        <f t="shared" si="3729"/>
        <v>0</v>
      </c>
      <c r="BR467" s="1343">
        <f t="shared" si="3729"/>
        <v>0</v>
      </c>
      <c r="BS467" s="1343">
        <f t="shared" si="3729"/>
        <v>0</v>
      </c>
      <c r="BT467" s="1343">
        <f t="shared" si="3729"/>
        <v>0</v>
      </c>
      <c r="BU467" s="1343">
        <f t="shared" si="3729"/>
        <v>0</v>
      </c>
      <c r="BV467" s="1343">
        <f t="shared" si="3729"/>
        <v>0</v>
      </c>
      <c r="BW467" s="1343">
        <f t="shared" si="3729"/>
        <v>0</v>
      </c>
      <c r="BX467" s="1343">
        <f t="shared" si="3729"/>
        <v>0</v>
      </c>
      <c r="BY467" s="1343">
        <f t="shared" si="3729"/>
        <v>0</v>
      </c>
      <c r="BZ467" s="1343">
        <f t="shared" si="3729"/>
        <v>0</v>
      </c>
      <c r="CA467" s="1343">
        <f t="shared" si="3729"/>
        <v>0</v>
      </c>
      <c r="CB467" s="1343">
        <f t="shared" si="3729"/>
        <v>0</v>
      </c>
      <c r="CC467" s="1343">
        <f t="shared" si="3729"/>
        <v>0</v>
      </c>
      <c r="CD467" s="1343">
        <f t="shared" si="3729"/>
        <v>0</v>
      </c>
      <c r="CE467" s="1343">
        <f t="shared" si="3729"/>
        <v>0</v>
      </c>
      <c r="CF467" s="1343">
        <f t="shared" si="3729"/>
        <v>0</v>
      </c>
      <c r="CG467" s="1343">
        <f t="shared" si="3729"/>
        <v>0</v>
      </c>
      <c r="CH467" s="1343">
        <f t="shared" si="3729"/>
        <v>0</v>
      </c>
      <c r="CI467" s="1343">
        <f t="shared" si="3729"/>
        <v>0</v>
      </c>
      <c r="CJ467" s="1343">
        <f t="shared" si="3729"/>
        <v>0</v>
      </c>
      <c r="CK467" s="1343">
        <f t="shared" si="3729"/>
        <v>0</v>
      </c>
      <c r="CL467" s="1343">
        <f t="shared" si="3729"/>
        <v>0</v>
      </c>
      <c r="CM467" s="1343">
        <f t="shared" si="3729"/>
        <v>0</v>
      </c>
      <c r="CN467" s="1343">
        <f t="shared" si="3729"/>
        <v>0</v>
      </c>
    </row>
    <row r="468" spans="2:261" ht="13.5" thickBot="1">
      <c r="C468" s="1853" t="s">
        <v>204</v>
      </c>
      <c r="D468" s="1852"/>
      <c r="E468" s="1854"/>
      <c r="F468" s="1854"/>
      <c r="G468" s="1854"/>
      <c r="H468" s="1854"/>
      <c r="I468" s="1855"/>
      <c r="J468" s="1855"/>
      <c r="K468" s="1855"/>
      <c r="L468" s="1855"/>
      <c r="M468" s="1855"/>
      <c r="N468" s="1855"/>
      <c r="O468" s="1854"/>
      <c r="P468" s="1854"/>
      <c r="Q468" s="1854"/>
      <c r="R468" s="1854"/>
      <c r="S468" s="1854"/>
      <c r="T468" s="1854"/>
      <c r="U468" s="1854"/>
      <c r="V468" s="1854"/>
      <c r="W468" s="1854"/>
      <c r="X468" s="1854"/>
      <c r="Y468" s="1854"/>
      <c r="Z468" s="1854"/>
      <c r="AA468" s="1854"/>
      <c r="AB468" s="1854"/>
      <c r="AC468" s="1854"/>
      <c r="AD468" s="1854"/>
      <c r="AE468" s="1854"/>
      <c r="AF468" s="1460"/>
      <c r="AG468" s="1460"/>
      <c r="AH468" s="1460"/>
      <c r="AI468" s="1460"/>
      <c r="AJ468" s="1854"/>
      <c r="AK468" s="1854"/>
      <c r="AL468" s="1854"/>
      <c r="AM468" s="1854"/>
      <c r="AN468" s="1854"/>
      <c r="AO468" s="1854"/>
      <c r="AP468" s="1854"/>
      <c r="AQ468" s="1854"/>
      <c r="AR468" s="1854"/>
      <c r="AS468" s="1854"/>
      <c r="AT468" s="1854"/>
      <c r="AU468" s="1852"/>
      <c r="AV468" s="1856">
        <f>SUM(AV428:AV467)</f>
        <v>330810.76400000002</v>
      </c>
      <c r="AW468" s="1856">
        <f t="shared" ref="AW468:CN468" si="3730">SUM(AW428:AW467)</f>
        <v>353902.50133333338</v>
      </c>
      <c r="AX468" s="1856">
        <f t="shared" si="3730"/>
        <v>179.5</v>
      </c>
      <c r="AY468" s="1856">
        <f t="shared" si="3730"/>
        <v>3552.2825625000005</v>
      </c>
      <c r="AZ468" s="1856">
        <f t="shared" si="3730"/>
        <v>0</v>
      </c>
      <c r="BA468" s="1856">
        <f t="shared" si="3730"/>
        <v>0</v>
      </c>
      <c r="BB468" s="1856">
        <f t="shared" si="3730"/>
        <v>0</v>
      </c>
      <c r="BC468" s="1856">
        <f t="shared" si="3730"/>
        <v>42142.072999468757</v>
      </c>
      <c r="BD468" s="1856">
        <f t="shared" si="3730"/>
        <v>730407.62089530216</v>
      </c>
      <c r="BE468" s="1856">
        <f t="shared" si="3730"/>
        <v>234105.43800000008</v>
      </c>
      <c r="BF468" s="1856">
        <f t="shared" si="3730"/>
        <v>111539.96999999999</v>
      </c>
      <c r="BG468" s="1856">
        <f t="shared" si="3730"/>
        <v>225</v>
      </c>
      <c r="BH468" s="1856">
        <f t="shared" si="3730"/>
        <v>4566.1619375</v>
      </c>
      <c r="BI468" s="1856">
        <f t="shared" si="3730"/>
        <v>0</v>
      </c>
      <c r="BJ468" s="1856">
        <f t="shared" si="3730"/>
        <v>0</v>
      </c>
      <c r="BK468" s="1856">
        <f t="shared" si="3730"/>
        <v>0</v>
      </c>
      <c r="BL468" s="1856">
        <f t="shared" si="3730"/>
        <v>27515.641712081251</v>
      </c>
      <c r="BM468" s="1856">
        <f t="shared" si="3730"/>
        <v>377727.21164958132</v>
      </c>
      <c r="BN468" s="1856">
        <f t="shared" si="3730"/>
        <v>33847.248000000007</v>
      </c>
      <c r="BO468" s="1856">
        <f t="shared" si="3730"/>
        <v>14277.19</v>
      </c>
      <c r="BP468" s="1856">
        <f t="shared" si="3730"/>
        <v>142</v>
      </c>
      <c r="BQ468" s="1856">
        <f t="shared" si="3730"/>
        <v>2834.9790000000003</v>
      </c>
      <c r="BR468" s="1856">
        <f t="shared" si="3730"/>
        <v>12</v>
      </c>
      <c r="BS468" s="1856">
        <f t="shared" si="3730"/>
        <v>316.63800000000003</v>
      </c>
      <c r="BT468" s="1856">
        <f t="shared" si="3730"/>
        <v>0</v>
      </c>
      <c r="BU468" s="1856">
        <f t="shared" si="3730"/>
        <v>4687.756195500001</v>
      </c>
      <c r="BV468" s="1856">
        <f t="shared" si="3730"/>
        <v>55963.811195500006</v>
      </c>
      <c r="BW468" s="1856">
        <f t="shared" si="3730"/>
        <v>0</v>
      </c>
      <c r="BX468" s="1856">
        <f t="shared" si="3730"/>
        <v>0</v>
      </c>
      <c r="BY468" s="1856">
        <f t="shared" si="3730"/>
        <v>0</v>
      </c>
      <c r="BZ468" s="1856">
        <f t="shared" si="3730"/>
        <v>0</v>
      </c>
      <c r="CA468" s="1856">
        <f t="shared" si="3730"/>
        <v>0</v>
      </c>
      <c r="CB468" s="1856">
        <f t="shared" si="3730"/>
        <v>0</v>
      </c>
      <c r="CC468" s="1856">
        <f t="shared" si="3730"/>
        <v>0</v>
      </c>
      <c r="CD468" s="1856">
        <f t="shared" si="3730"/>
        <v>0</v>
      </c>
      <c r="CE468" s="1856">
        <f t="shared" si="3730"/>
        <v>0</v>
      </c>
      <c r="CF468" s="1856" t="e">
        <f t="shared" si="3730"/>
        <v>#REF!</v>
      </c>
      <c r="CG468" s="1856" t="e">
        <f t="shared" si="3730"/>
        <v>#REF!</v>
      </c>
      <c r="CH468" s="1856" t="e">
        <f t="shared" si="3730"/>
        <v>#REF!</v>
      </c>
      <c r="CI468" s="1856" t="e">
        <f t="shared" si="3730"/>
        <v>#REF!</v>
      </c>
      <c r="CJ468" s="1856" t="e">
        <f t="shared" si="3730"/>
        <v>#REF!</v>
      </c>
      <c r="CK468" s="1856" t="e">
        <f t="shared" si="3730"/>
        <v>#REF!</v>
      </c>
      <c r="CL468" s="1856" t="e">
        <f t="shared" si="3730"/>
        <v>#REF!</v>
      </c>
      <c r="CM468" s="1856" t="e">
        <f t="shared" si="3730"/>
        <v>#REF!</v>
      </c>
      <c r="CN468" s="1856" t="e">
        <f t="shared" si="3730"/>
        <v>#REF!</v>
      </c>
      <c r="CO468" s="1857"/>
      <c r="CP468" s="1852"/>
      <c r="CQ468" s="1854"/>
      <c r="CR468" s="1854"/>
      <c r="CS468" s="1854"/>
      <c r="CT468" s="1854"/>
      <c r="CU468" s="1854"/>
      <c r="CV468" s="1854"/>
      <c r="CW468" s="1854"/>
      <c r="CX468" s="1854"/>
      <c r="CY468" s="1854"/>
      <c r="CZ468" s="1854"/>
      <c r="DA468" s="1854"/>
      <c r="DB468" s="1854"/>
      <c r="DC468" s="1854"/>
      <c r="DD468" s="1854"/>
      <c r="DE468" s="1854"/>
      <c r="DF468" s="1854"/>
      <c r="DG468" s="1854"/>
      <c r="DH468" s="1854"/>
      <c r="DI468" s="1854"/>
      <c r="DJ468" s="1854"/>
      <c r="DK468" s="1854"/>
      <c r="DL468" s="1854"/>
      <c r="DM468" s="1854"/>
      <c r="DN468" s="1854"/>
      <c r="DO468" s="1854"/>
      <c r="DP468" s="1854"/>
      <c r="DQ468" s="1854"/>
      <c r="DR468" s="1854"/>
      <c r="DS468" s="1854"/>
      <c r="DT468" s="1854"/>
      <c r="DU468" s="1854"/>
      <c r="DV468" s="1854"/>
      <c r="DW468" s="1854"/>
      <c r="DX468" s="1854"/>
      <c r="DY468" s="1854"/>
      <c r="DZ468" s="1854"/>
      <c r="EA468" s="1854"/>
      <c r="EB468" s="1854"/>
      <c r="EC468" s="1854"/>
      <c r="ED468" s="1854"/>
      <c r="EE468" s="1854"/>
      <c r="EF468" s="1854"/>
      <c r="EG468" s="1854"/>
      <c r="EH468" s="1854"/>
      <c r="EI468" s="1854"/>
      <c r="EJ468" s="1857"/>
      <c r="EK468" s="1852"/>
      <c r="EL468" s="1852"/>
      <c r="EM468" s="1852"/>
      <c r="EN468" s="1852"/>
      <c r="EO468" s="1852"/>
      <c r="EP468" s="1852"/>
      <c r="EQ468" s="1852"/>
      <c r="ER468" s="1852"/>
      <c r="ES468" s="1852"/>
      <c r="ET468" s="1852"/>
      <c r="EU468" s="1852"/>
      <c r="EV468" s="1852"/>
      <c r="EW468" s="1852"/>
      <c r="EX468" s="1852"/>
      <c r="EY468" s="1852"/>
      <c r="EZ468" s="1852"/>
      <c r="FA468" s="1852"/>
      <c r="FB468" s="1852"/>
      <c r="FC468" s="1852"/>
      <c r="FD468" s="1852"/>
      <c r="FE468" s="1852"/>
      <c r="FF468" s="1852"/>
      <c r="FG468" s="1852"/>
      <c r="FH468" s="1852"/>
      <c r="FI468" s="1852"/>
      <c r="FJ468" s="1852"/>
      <c r="FK468" s="1852"/>
      <c r="FL468" s="1852"/>
      <c r="FM468" s="1852"/>
      <c r="FN468" s="1852"/>
      <c r="FO468" s="1852"/>
      <c r="FP468" s="1852"/>
      <c r="FQ468" s="1852"/>
      <c r="FR468" s="1852"/>
      <c r="FS468" s="1852"/>
      <c r="FT468" s="1852"/>
      <c r="FU468" s="1852"/>
      <c r="FV468" s="1852"/>
      <c r="FW468" s="1852"/>
      <c r="FX468" s="1852"/>
      <c r="FY468" s="1852"/>
      <c r="FZ468" s="1852"/>
      <c r="GA468" s="1852"/>
      <c r="GB468" s="1852"/>
      <c r="GC468" s="1852"/>
      <c r="GD468" s="1852"/>
      <c r="GE468" s="1852"/>
      <c r="GF468" s="1852"/>
      <c r="GG468" s="1852"/>
      <c r="GH468" s="1852"/>
      <c r="GI468" s="1852"/>
      <c r="GJ468" s="1852"/>
      <c r="GK468" s="1852"/>
      <c r="GL468" s="1852"/>
      <c r="GM468" s="1852"/>
      <c r="GN468" s="1852"/>
      <c r="GO468" s="1852"/>
      <c r="GP468" s="1852"/>
      <c r="GQ468" s="1852"/>
      <c r="GR468" s="1852"/>
      <c r="GS468" s="1852"/>
      <c r="GT468" s="1852"/>
      <c r="GU468" s="1852"/>
      <c r="GV468" s="1852"/>
      <c r="GW468" s="1852"/>
      <c r="GX468" s="1852"/>
      <c r="GY468" s="1852"/>
      <c r="GZ468" s="1852"/>
      <c r="HA468" s="1852"/>
      <c r="HB468" s="1852"/>
      <c r="HC468" s="1852"/>
      <c r="HD468" s="1852"/>
      <c r="HE468" s="1852"/>
      <c r="HF468" s="1852"/>
      <c r="HG468" s="1852"/>
      <c r="HH468" s="1852"/>
      <c r="HI468" s="1852"/>
      <c r="HJ468" s="1852"/>
      <c r="HK468" s="1852"/>
      <c r="HL468" s="1852"/>
      <c r="HM468" s="1852"/>
      <c r="HN468" s="1852"/>
      <c r="HO468" s="1852"/>
      <c r="HP468" s="1852"/>
      <c r="HQ468" s="1852"/>
      <c r="HR468" s="1852"/>
      <c r="HS468" s="1852"/>
      <c r="HT468" s="1852"/>
      <c r="HU468" s="1852"/>
      <c r="HV468" s="1852"/>
      <c r="HW468" s="1852"/>
      <c r="HX468" s="1852"/>
      <c r="HY468" s="1852"/>
      <c r="HZ468" s="1852"/>
      <c r="IA468" s="1852"/>
      <c r="IB468" s="1852"/>
      <c r="IC468" s="1852"/>
      <c r="ID468" s="1852"/>
      <c r="IE468" s="1852"/>
      <c r="IF468" s="1852"/>
      <c r="IG468" s="1852"/>
      <c r="IH468" s="1852"/>
      <c r="II468" s="1852"/>
      <c r="IJ468" s="1852"/>
      <c r="IK468" s="1852"/>
      <c r="IL468" s="1852"/>
      <c r="IM468" s="1852"/>
      <c r="IN468" s="1852"/>
      <c r="IO468" s="1852"/>
      <c r="IP468" s="1852"/>
      <c r="IQ468" s="1852"/>
      <c r="IR468" s="1852"/>
      <c r="IS468" s="1852"/>
      <c r="IT468" s="1852"/>
      <c r="IU468" s="1852"/>
      <c r="IV468" s="1852"/>
      <c r="IW468" s="1852"/>
      <c r="IX468" s="1852"/>
      <c r="IY468" s="1852"/>
      <c r="IZ468" s="1852"/>
      <c r="JA468" s="1852"/>
    </row>
    <row r="469" spans="2:261" ht="12" thickTop="1">
      <c r="C469" s="1858"/>
      <c r="AV469" s="1343">
        <f t="shared" ref="AV469:CN469" si="3731">AV468-CQ230</f>
        <v>0</v>
      </c>
      <c r="AW469" s="1343">
        <f t="shared" si="3731"/>
        <v>0</v>
      </c>
      <c r="AX469" s="1343">
        <f t="shared" si="3731"/>
        <v>0</v>
      </c>
      <c r="AY469" s="1343">
        <f t="shared" si="3731"/>
        <v>0</v>
      </c>
      <c r="AZ469" s="1343">
        <f t="shared" si="3731"/>
        <v>0</v>
      </c>
      <c r="BA469" s="1343">
        <f t="shared" si="3731"/>
        <v>0</v>
      </c>
      <c r="BB469" s="1343">
        <f t="shared" si="3731"/>
        <v>0</v>
      </c>
      <c r="BC469" s="1343">
        <f t="shared" si="3731"/>
        <v>0</v>
      </c>
      <c r="BD469" s="1343">
        <f t="shared" si="3731"/>
        <v>0</v>
      </c>
      <c r="BE469" s="1343">
        <f t="shared" si="3731"/>
        <v>0</v>
      </c>
      <c r="BF469" s="1343">
        <f t="shared" si="3731"/>
        <v>0</v>
      </c>
      <c r="BG469" s="1343">
        <f t="shared" si="3731"/>
        <v>0</v>
      </c>
      <c r="BH469" s="1343">
        <f t="shared" si="3731"/>
        <v>0</v>
      </c>
      <c r="BI469" s="1343">
        <f t="shared" si="3731"/>
        <v>0</v>
      </c>
      <c r="BJ469" s="1343">
        <f t="shared" si="3731"/>
        <v>0</v>
      </c>
      <c r="BK469" s="1343">
        <f t="shared" si="3731"/>
        <v>0</v>
      </c>
      <c r="BL469" s="1343">
        <f t="shared" si="3731"/>
        <v>0</v>
      </c>
      <c r="BM469" s="1343">
        <f t="shared" si="3731"/>
        <v>0</v>
      </c>
      <c r="BN469" s="1343">
        <f t="shared" si="3731"/>
        <v>0</v>
      </c>
      <c r="BO469" s="1343">
        <f>BO468-DJ230</f>
        <v>0</v>
      </c>
      <c r="BP469" s="1343">
        <f t="shared" si="3731"/>
        <v>0</v>
      </c>
      <c r="BQ469" s="1343">
        <f t="shared" si="3731"/>
        <v>0</v>
      </c>
      <c r="BR469" s="1343">
        <f t="shared" si="3731"/>
        <v>0</v>
      </c>
      <c r="BS469" s="1343">
        <f t="shared" si="3731"/>
        <v>0</v>
      </c>
      <c r="BT469" s="1343">
        <f t="shared" si="3731"/>
        <v>0</v>
      </c>
      <c r="BU469" s="1343">
        <f t="shared" si="3731"/>
        <v>0</v>
      </c>
      <c r="BV469" s="1343">
        <f t="shared" si="3731"/>
        <v>0</v>
      </c>
      <c r="BW469" s="1343">
        <f t="shared" si="3731"/>
        <v>0</v>
      </c>
      <c r="BX469" s="1343">
        <f t="shared" si="3731"/>
        <v>0</v>
      </c>
      <c r="BY469" s="1343">
        <f t="shared" si="3731"/>
        <v>0</v>
      </c>
      <c r="BZ469" s="1343">
        <f t="shared" si="3731"/>
        <v>0</v>
      </c>
      <c r="CA469" s="1343">
        <f t="shared" si="3731"/>
        <v>0</v>
      </c>
      <c r="CB469" s="1343">
        <f t="shared" si="3731"/>
        <v>0</v>
      </c>
      <c r="CC469" s="1343">
        <f t="shared" si="3731"/>
        <v>0</v>
      </c>
      <c r="CD469" s="1343">
        <f t="shared" si="3731"/>
        <v>0</v>
      </c>
      <c r="CE469" s="1343">
        <f t="shared" si="3731"/>
        <v>0</v>
      </c>
      <c r="CF469" s="1343" t="e">
        <f t="shared" si="3731"/>
        <v>#REF!</v>
      </c>
      <c r="CG469" s="1343" t="e">
        <f t="shared" si="3731"/>
        <v>#REF!</v>
      </c>
      <c r="CH469" s="1343" t="e">
        <f t="shared" si="3731"/>
        <v>#REF!</v>
      </c>
      <c r="CI469" s="1343" t="e">
        <f t="shared" si="3731"/>
        <v>#REF!</v>
      </c>
      <c r="CJ469" s="1343" t="e">
        <f t="shared" si="3731"/>
        <v>#REF!</v>
      </c>
      <c r="CK469" s="1343" t="e">
        <f t="shared" si="3731"/>
        <v>#REF!</v>
      </c>
      <c r="CL469" s="1343" t="e">
        <f t="shared" si="3731"/>
        <v>#REF!</v>
      </c>
      <c r="CM469" s="1343" t="e">
        <f t="shared" si="3731"/>
        <v>#REF!</v>
      </c>
      <c r="CN469" s="1343" t="e">
        <f t="shared" si="3731"/>
        <v>#REF!</v>
      </c>
      <c r="CQ469" s="1331"/>
      <c r="CR469" s="1331"/>
      <c r="CS469" s="1331"/>
      <c r="CT469" s="1331"/>
      <c r="CU469" s="1331"/>
      <c r="CV469" s="1331"/>
      <c r="CW469" s="1331"/>
      <c r="CX469" s="1331"/>
      <c r="CY469" s="1331"/>
      <c r="CZ469" s="1331"/>
      <c r="DA469" s="1331"/>
      <c r="DB469" s="1331"/>
      <c r="DC469" s="1331"/>
      <c r="DD469" s="1331"/>
      <c r="DE469" s="1331"/>
      <c r="DF469" s="1331"/>
      <c r="DG469" s="1331"/>
      <c r="DH469" s="1331"/>
      <c r="DI469" s="1331"/>
      <c r="DJ469" s="1331"/>
      <c r="DK469" s="1331"/>
      <c r="DL469" s="1331"/>
      <c r="DM469" s="1331"/>
      <c r="DN469" s="1331"/>
      <c r="DO469" s="1331"/>
      <c r="DP469" s="1331"/>
      <c r="DQ469" s="1331"/>
      <c r="DR469" s="1331"/>
      <c r="DS469" s="1331"/>
      <c r="DT469" s="1331"/>
      <c r="DU469" s="1331"/>
      <c r="DV469" s="1331"/>
      <c r="DW469" s="1331"/>
      <c r="DX469" s="1331"/>
      <c r="DY469" s="1331"/>
      <c r="DZ469" s="1331"/>
      <c r="EA469" s="1331"/>
      <c r="EB469" s="1331"/>
      <c r="EC469" s="1331"/>
      <c r="ED469" s="1331"/>
      <c r="EE469" s="1331"/>
      <c r="EF469" s="1331"/>
      <c r="EG469" s="1331"/>
      <c r="EH469" s="1331"/>
      <c r="EI469" s="1331"/>
      <c r="EK469" s="1331"/>
    </row>
    <row r="470" spans="2:261">
      <c r="C470" s="1858"/>
      <c r="AV470" s="1343" t="str">
        <f>IF(AV469&lt;&gt;0,"ERROR VERIFICAR TRASLADO DE DATOS DE DISTRIBUCIÓN A CUADRO","")</f>
        <v/>
      </c>
      <c r="AW470" s="1343" t="str">
        <f t="shared" ref="AW470:CN470" si="3732">IF(AW469&lt;&gt;0,"ERROR VERIFICAR TRASLADO DE DATOS DE DISTRIBUCIÓN A CUADRO","")</f>
        <v/>
      </c>
      <c r="AX470" s="1343" t="str">
        <f t="shared" si="3732"/>
        <v/>
      </c>
      <c r="AY470" s="1343" t="str">
        <f t="shared" si="3732"/>
        <v/>
      </c>
      <c r="AZ470" s="1343" t="str">
        <f t="shared" si="3732"/>
        <v/>
      </c>
      <c r="BA470" s="1343" t="str">
        <f t="shared" si="3732"/>
        <v/>
      </c>
      <c r="BB470" s="1343" t="str">
        <f t="shared" si="3732"/>
        <v/>
      </c>
      <c r="BC470" s="1343" t="str">
        <f t="shared" si="3732"/>
        <v/>
      </c>
      <c r="BD470" s="1343" t="str">
        <f t="shared" si="3732"/>
        <v/>
      </c>
      <c r="BE470" s="1343" t="str">
        <f t="shared" si="3732"/>
        <v/>
      </c>
      <c r="BF470" s="1343" t="str">
        <f t="shared" si="3732"/>
        <v/>
      </c>
      <c r="BG470" s="1343" t="str">
        <f t="shared" si="3732"/>
        <v/>
      </c>
      <c r="BH470" s="1343" t="str">
        <f t="shared" si="3732"/>
        <v/>
      </c>
      <c r="BI470" s="1343" t="str">
        <f t="shared" si="3732"/>
        <v/>
      </c>
      <c r="BJ470" s="1343" t="str">
        <f t="shared" si="3732"/>
        <v/>
      </c>
      <c r="BK470" s="1343" t="str">
        <f t="shared" si="3732"/>
        <v/>
      </c>
      <c r="BL470" s="1343" t="str">
        <f t="shared" si="3732"/>
        <v/>
      </c>
      <c r="BM470" s="1343" t="str">
        <f t="shared" si="3732"/>
        <v/>
      </c>
      <c r="BN470" s="1343" t="str">
        <f t="shared" si="3732"/>
        <v/>
      </c>
      <c r="BO470" s="1343" t="str">
        <f t="shared" si="3732"/>
        <v/>
      </c>
      <c r="BP470" s="1343" t="str">
        <f t="shared" si="3732"/>
        <v/>
      </c>
      <c r="BQ470" s="1343" t="str">
        <f t="shared" si="3732"/>
        <v/>
      </c>
      <c r="BR470" s="1343" t="str">
        <f t="shared" si="3732"/>
        <v/>
      </c>
      <c r="BS470" s="1343" t="str">
        <f t="shared" si="3732"/>
        <v/>
      </c>
      <c r="BT470" s="1343" t="str">
        <f t="shared" si="3732"/>
        <v/>
      </c>
      <c r="BU470" s="1343" t="str">
        <f t="shared" si="3732"/>
        <v/>
      </c>
      <c r="BV470" s="1343" t="str">
        <f t="shared" si="3732"/>
        <v/>
      </c>
      <c r="BW470" s="1343" t="str">
        <f t="shared" si="3732"/>
        <v/>
      </c>
      <c r="BX470" s="1343" t="str">
        <f t="shared" si="3732"/>
        <v/>
      </c>
      <c r="BY470" s="1343" t="str">
        <f t="shared" si="3732"/>
        <v/>
      </c>
      <c r="BZ470" s="1343" t="str">
        <f t="shared" si="3732"/>
        <v/>
      </c>
      <c r="CA470" s="1343" t="str">
        <f t="shared" si="3732"/>
        <v/>
      </c>
      <c r="CB470" s="1343" t="str">
        <f t="shared" si="3732"/>
        <v/>
      </c>
      <c r="CC470" s="1343" t="str">
        <f t="shared" si="3732"/>
        <v/>
      </c>
      <c r="CD470" s="1343" t="str">
        <f t="shared" si="3732"/>
        <v/>
      </c>
      <c r="CE470" s="1343" t="str">
        <f t="shared" si="3732"/>
        <v/>
      </c>
      <c r="CF470" s="1343" t="e">
        <f t="shared" si="3732"/>
        <v>#REF!</v>
      </c>
      <c r="CG470" s="1343" t="e">
        <f t="shared" si="3732"/>
        <v>#REF!</v>
      </c>
      <c r="CH470" s="1343" t="e">
        <f t="shared" si="3732"/>
        <v>#REF!</v>
      </c>
      <c r="CI470" s="1343" t="e">
        <f t="shared" si="3732"/>
        <v>#REF!</v>
      </c>
      <c r="CJ470" s="1343" t="e">
        <f t="shared" si="3732"/>
        <v>#REF!</v>
      </c>
      <c r="CK470" s="1343" t="e">
        <f t="shared" si="3732"/>
        <v>#REF!</v>
      </c>
      <c r="CL470" s="1343" t="e">
        <f t="shared" si="3732"/>
        <v>#REF!</v>
      </c>
      <c r="CM470" s="1343" t="e">
        <f t="shared" si="3732"/>
        <v>#REF!</v>
      </c>
      <c r="CN470" s="1343" t="e">
        <f t="shared" si="3732"/>
        <v>#REF!</v>
      </c>
      <c r="CQ470" s="1331"/>
      <c r="CR470" s="1331"/>
      <c r="CS470" s="1331"/>
      <c r="CT470" s="1331"/>
      <c r="CU470" s="1331"/>
      <c r="CV470" s="1331"/>
      <c r="CW470" s="1331"/>
      <c r="CX470" s="1331"/>
      <c r="CY470" s="1331"/>
      <c r="CZ470" s="1331"/>
      <c r="DA470" s="1331"/>
      <c r="DB470" s="1331"/>
      <c r="DC470" s="1331"/>
      <c r="DD470" s="1331"/>
      <c r="DE470" s="1331"/>
      <c r="DF470" s="1331"/>
      <c r="DG470" s="1331"/>
      <c r="DH470" s="1331"/>
      <c r="DI470" s="1331"/>
      <c r="DJ470" s="1331"/>
      <c r="DK470" s="1331"/>
      <c r="DL470" s="1331"/>
      <c r="DM470" s="1331"/>
      <c r="DN470" s="1331"/>
      <c r="DO470" s="1331"/>
      <c r="DP470" s="1331"/>
      <c r="DQ470" s="1331"/>
      <c r="DR470" s="1331"/>
      <c r="DS470" s="1331"/>
      <c r="DT470" s="1331"/>
      <c r="DU470" s="1331"/>
      <c r="DV470" s="1331"/>
      <c r="DW470" s="1331"/>
      <c r="DX470" s="1331"/>
      <c r="DY470" s="1331"/>
      <c r="DZ470" s="1331"/>
      <c r="EA470" s="1331"/>
      <c r="EB470" s="1331"/>
      <c r="EC470" s="1331"/>
      <c r="ED470" s="1331"/>
      <c r="EE470" s="1331"/>
      <c r="EF470" s="1331"/>
      <c r="EG470" s="1331"/>
      <c r="EH470" s="1331"/>
      <c r="EI470" s="1331"/>
      <c r="EK470" s="1331"/>
    </row>
    <row r="471" spans="2:261" ht="12" thickBot="1">
      <c r="C471" s="1858"/>
      <c r="AV471" s="2220" t="s">
        <v>393</v>
      </c>
      <c r="AW471" s="2220"/>
      <c r="AX471" s="2220"/>
      <c r="AY471" s="2220"/>
      <c r="AZ471" s="2220"/>
      <c r="BA471" s="2220"/>
      <c r="BB471" s="2220"/>
      <c r="BC471" s="2220"/>
      <c r="BD471" s="2220"/>
      <c r="BE471" s="2220" t="s">
        <v>393</v>
      </c>
      <c r="BF471" s="2220"/>
      <c r="BG471" s="2220"/>
      <c r="BH471" s="2220"/>
      <c r="BI471" s="2220"/>
      <c r="BJ471" s="2220"/>
      <c r="BK471" s="2220"/>
      <c r="BL471" s="2220"/>
      <c r="BM471" s="2220"/>
      <c r="BN471" s="2220" t="s">
        <v>393</v>
      </c>
      <c r="BO471" s="2220"/>
      <c r="BP471" s="2220"/>
      <c r="BQ471" s="2220"/>
      <c r="BR471" s="2220"/>
      <c r="BS471" s="2220"/>
      <c r="BT471" s="2220"/>
      <c r="BU471" s="2220"/>
      <c r="BV471" s="2220"/>
      <c r="BW471" s="2220" t="s">
        <v>393</v>
      </c>
      <c r="BX471" s="2220"/>
      <c r="BY471" s="2220"/>
      <c r="BZ471" s="2220"/>
      <c r="CA471" s="2220"/>
      <c r="CB471" s="2220"/>
      <c r="CC471" s="2220"/>
      <c r="CD471" s="2220"/>
      <c r="CE471" s="2220"/>
      <c r="CF471" s="2220" t="s">
        <v>393</v>
      </c>
      <c r="CG471" s="2220"/>
      <c r="CH471" s="2220"/>
      <c r="CI471" s="2220"/>
      <c r="CJ471" s="2220"/>
      <c r="CK471" s="2220"/>
      <c r="CL471" s="2220"/>
      <c r="CM471" s="2220"/>
      <c r="CN471" s="2220"/>
      <c r="CQ471" s="1331"/>
      <c r="CR471" s="1331"/>
      <c r="CS471" s="1331"/>
      <c r="CT471" s="1331"/>
      <c r="CU471" s="1331"/>
      <c r="CV471" s="1331"/>
      <c r="CW471" s="1331"/>
      <c r="CX471" s="1331"/>
      <c r="CY471" s="1331"/>
      <c r="CZ471" s="1331"/>
      <c r="DA471" s="1331"/>
      <c r="DB471" s="1331"/>
      <c r="DC471" s="1331"/>
      <c r="DD471" s="1331"/>
      <c r="DE471" s="1331"/>
      <c r="DF471" s="1331"/>
      <c r="DG471" s="1331"/>
      <c r="DH471" s="1331"/>
      <c r="DI471" s="1331"/>
      <c r="DJ471" s="1331"/>
      <c r="DK471" s="1331"/>
      <c r="DL471" s="1331"/>
      <c r="DM471" s="1331"/>
      <c r="DN471" s="1331"/>
      <c r="DO471" s="1331"/>
      <c r="DP471" s="1331"/>
      <c r="DQ471" s="1331"/>
      <c r="DR471" s="1331"/>
      <c r="DS471" s="1331"/>
      <c r="DT471" s="1331"/>
      <c r="DU471" s="1331"/>
      <c r="DV471" s="1331"/>
      <c r="DW471" s="1331"/>
      <c r="DX471" s="1331"/>
      <c r="DY471" s="1331"/>
      <c r="DZ471" s="1331"/>
      <c r="EA471" s="1331"/>
      <c r="EB471" s="1331"/>
      <c r="EC471" s="1331"/>
      <c r="ED471" s="1331"/>
      <c r="EE471" s="1331"/>
      <c r="EF471" s="1331"/>
      <c r="EG471" s="1331"/>
      <c r="EH471" s="1331"/>
      <c r="EI471" s="1331"/>
      <c r="EK471" s="1331"/>
    </row>
    <row r="472" spans="2:261">
      <c r="C472" s="1858"/>
      <c r="AV472" s="1836" t="s">
        <v>17</v>
      </c>
      <c r="AW472" s="1837" t="s">
        <v>18</v>
      </c>
      <c r="AX472" s="1837" t="s">
        <v>26</v>
      </c>
      <c r="AY472" s="1838" t="s">
        <v>27</v>
      </c>
      <c r="AZ472" s="1838" t="s">
        <v>26</v>
      </c>
      <c r="BA472" s="1838" t="s">
        <v>27</v>
      </c>
      <c r="BB472" s="1839" t="s">
        <v>28</v>
      </c>
      <c r="BC472" s="1839" t="s">
        <v>29</v>
      </c>
      <c r="BD472" s="1840" t="s">
        <v>19</v>
      </c>
      <c r="BE472" s="1836" t="s">
        <v>17</v>
      </c>
      <c r="BF472" s="1837" t="s">
        <v>18</v>
      </c>
      <c r="BG472" s="1837" t="s">
        <v>26</v>
      </c>
      <c r="BH472" s="1838" t="s">
        <v>27</v>
      </c>
      <c r="BI472" s="1838" t="s">
        <v>26</v>
      </c>
      <c r="BJ472" s="1838" t="s">
        <v>27</v>
      </c>
      <c r="BK472" s="1839" t="s">
        <v>28</v>
      </c>
      <c r="BL472" s="1839" t="s">
        <v>29</v>
      </c>
      <c r="BM472" s="1840" t="s">
        <v>19</v>
      </c>
      <c r="BN472" s="1836" t="s">
        <v>17</v>
      </c>
      <c r="BO472" s="1837" t="s">
        <v>18</v>
      </c>
      <c r="BP472" s="1837" t="s">
        <v>26</v>
      </c>
      <c r="BQ472" s="1838" t="s">
        <v>27</v>
      </c>
      <c r="BR472" s="1838" t="s">
        <v>26</v>
      </c>
      <c r="BS472" s="1838" t="s">
        <v>27</v>
      </c>
      <c r="BT472" s="1839" t="s">
        <v>28</v>
      </c>
      <c r="BU472" s="1839" t="s">
        <v>29</v>
      </c>
      <c r="BV472" s="1840" t="s">
        <v>19</v>
      </c>
      <c r="BW472" s="1836" t="s">
        <v>17</v>
      </c>
      <c r="BX472" s="1837" t="s">
        <v>18</v>
      </c>
      <c r="BY472" s="1837" t="s">
        <v>26</v>
      </c>
      <c r="BZ472" s="1838" t="s">
        <v>27</v>
      </c>
      <c r="CA472" s="1838" t="s">
        <v>26</v>
      </c>
      <c r="CB472" s="1838" t="s">
        <v>27</v>
      </c>
      <c r="CC472" s="1839" t="s">
        <v>28</v>
      </c>
      <c r="CD472" s="1839" t="s">
        <v>29</v>
      </c>
      <c r="CE472" s="1840" t="s">
        <v>19</v>
      </c>
      <c r="CF472" s="1836" t="s">
        <v>17</v>
      </c>
      <c r="CG472" s="1837" t="s">
        <v>18</v>
      </c>
      <c r="CH472" s="1837" t="s">
        <v>26</v>
      </c>
      <c r="CI472" s="1838" t="s">
        <v>27</v>
      </c>
      <c r="CJ472" s="1838" t="s">
        <v>26</v>
      </c>
      <c r="CK472" s="1838" t="s">
        <v>27</v>
      </c>
      <c r="CL472" s="1839" t="s">
        <v>28</v>
      </c>
      <c r="CM472" s="1839" t="s">
        <v>29</v>
      </c>
      <c r="CN472" s="1841" t="s">
        <v>19</v>
      </c>
      <c r="CQ472" s="1331"/>
      <c r="CR472" s="1331"/>
      <c r="CS472" s="1331"/>
      <c r="CT472" s="1331"/>
      <c r="CU472" s="1331"/>
      <c r="CV472" s="1331"/>
      <c r="CW472" s="1331"/>
      <c r="CX472" s="1331"/>
      <c r="CY472" s="1331"/>
      <c r="CZ472" s="1331"/>
      <c r="DA472" s="1331"/>
      <c r="DB472" s="1331"/>
      <c r="DC472" s="1331"/>
      <c r="DD472" s="1331"/>
      <c r="DE472" s="1331"/>
      <c r="DF472" s="1331"/>
      <c r="DG472" s="1331"/>
      <c r="DH472" s="1331"/>
      <c r="DI472" s="1331"/>
      <c r="DJ472" s="1331"/>
      <c r="DK472" s="1331"/>
      <c r="DL472" s="1331"/>
      <c r="DM472" s="1331"/>
      <c r="DN472" s="1331"/>
      <c r="DO472" s="1331"/>
      <c r="DP472" s="1331"/>
      <c r="DQ472" s="1331"/>
      <c r="DR472" s="1331"/>
      <c r="DS472" s="1331"/>
      <c r="DT472" s="1331"/>
      <c r="DU472" s="1331"/>
      <c r="DV472" s="1331"/>
      <c r="DW472" s="1331"/>
      <c r="DX472" s="1331"/>
      <c r="DY472" s="1331"/>
      <c r="DZ472" s="1331"/>
      <c r="EA472" s="1331"/>
      <c r="EB472" s="1331"/>
      <c r="EC472" s="1331"/>
      <c r="ED472" s="1331"/>
      <c r="EE472" s="1331"/>
      <c r="EF472" s="1331"/>
      <c r="EG472" s="1331"/>
      <c r="EH472" s="1331"/>
      <c r="EI472" s="1331"/>
      <c r="EK472" s="1331"/>
    </row>
    <row r="473" spans="2:261">
      <c r="C473" s="1858"/>
      <c r="AV473" s="1842" t="s">
        <v>39</v>
      </c>
      <c r="AW473" s="1843" t="s">
        <v>40</v>
      </c>
      <c r="AX473" s="1843" t="s">
        <v>46</v>
      </c>
      <c r="AY473" s="1843" t="s">
        <v>389</v>
      </c>
      <c r="AZ473" s="1843" t="s">
        <v>47</v>
      </c>
      <c r="BA473" s="1843" t="s">
        <v>390</v>
      </c>
      <c r="BB473" s="1844" t="s">
        <v>48</v>
      </c>
      <c r="BC473" s="1844" t="s">
        <v>49</v>
      </c>
      <c r="BD473" s="1845"/>
      <c r="BE473" s="1842" t="s">
        <v>39</v>
      </c>
      <c r="BF473" s="1843" t="s">
        <v>40</v>
      </c>
      <c r="BG473" s="1843" t="s">
        <v>46</v>
      </c>
      <c r="BH473" s="1843" t="s">
        <v>389</v>
      </c>
      <c r="BI473" s="1843" t="s">
        <v>47</v>
      </c>
      <c r="BJ473" s="1843" t="s">
        <v>390</v>
      </c>
      <c r="BK473" s="1844" t="s">
        <v>48</v>
      </c>
      <c r="BL473" s="1844" t="s">
        <v>49</v>
      </c>
      <c r="BM473" s="1845"/>
      <c r="BN473" s="1842" t="s">
        <v>39</v>
      </c>
      <c r="BO473" s="1843" t="s">
        <v>40</v>
      </c>
      <c r="BP473" s="1843" t="s">
        <v>46</v>
      </c>
      <c r="BQ473" s="1843" t="s">
        <v>389</v>
      </c>
      <c r="BR473" s="1843" t="s">
        <v>47</v>
      </c>
      <c r="BS473" s="1843" t="s">
        <v>390</v>
      </c>
      <c r="BT473" s="1844" t="s">
        <v>48</v>
      </c>
      <c r="BU473" s="1844" t="s">
        <v>49</v>
      </c>
      <c r="BV473" s="1845"/>
      <c r="BW473" s="1842" t="s">
        <v>39</v>
      </c>
      <c r="BX473" s="1843" t="s">
        <v>40</v>
      </c>
      <c r="BY473" s="1843" t="s">
        <v>46</v>
      </c>
      <c r="BZ473" s="1843" t="s">
        <v>389</v>
      </c>
      <c r="CA473" s="1843" t="s">
        <v>47</v>
      </c>
      <c r="CB473" s="1843" t="s">
        <v>390</v>
      </c>
      <c r="CC473" s="1844" t="s">
        <v>48</v>
      </c>
      <c r="CD473" s="1844" t="s">
        <v>49</v>
      </c>
      <c r="CE473" s="1845"/>
      <c r="CF473" s="1842" t="s">
        <v>39</v>
      </c>
      <c r="CG473" s="1843" t="s">
        <v>40</v>
      </c>
      <c r="CH473" s="1843" t="s">
        <v>46</v>
      </c>
      <c r="CI473" s="1843" t="s">
        <v>389</v>
      </c>
      <c r="CJ473" s="1843" t="s">
        <v>47</v>
      </c>
      <c r="CK473" s="1843" t="s">
        <v>390</v>
      </c>
      <c r="CL473" s="1844" t="s">
        <v>48</v>
      </c>
      <c r="CM473" s="1844" t="s">
        <v>49</v>
      </c>
      <c r="CN473" s="1846"/>
      <c r="CQ473" s="1331"/>
      <c r="CR473" s="1331"/>
      <c r="CS473" s="1331"/>
      <c r="CT473" s="1331"/>
      <c r="CU473" s="1331"/>
      <c r="CV473" s="1331"/>
      <c r="CW473" s="1331"/>
      <c r="CX473" s="1331"/>
      <c r="CY473" s="1331"/>
      <c r="CZ473" s="1331"/>
      <c r="DA473" s="1331"/>
      <c r="DB473" s="1331"/>
      <c r="DC473" s="1331"/>
      <c r="DD473" s="1331"/>
      <c r="DE473" s="1331"/>
      <c r="DF473" s="1331"/>
      <c r="DG473" s="1331"/>
      <c r="DH473" s="1331"/>
      <c r="DI473" s="1331"/>
      <c r="DJ473" s="1331"/>
      <c r="DK473" s="1331"/>
      <c r="DL473" s="1331"/>
      <c r="DM473" s="1331"/>
      <c r="DN473" s="1331"/>
      <c r="DO473" s="1331"/>
      <c r="DP473" s="1331"/>
      <c r="DQ473" s="1331"/>
      <c r="DR473" s="1331"/>
      <c r="DS473" s="1331"/>
      <c r="DT473" s="1331"/>
      <c r="DU473" s="1331"/>
      <c r="DV473" s="1331"/>
      <c r="DW473" s="1331"/>
      <c r="DX473" s="1331"/>
      <c r="DY473" s="1331"/>
      <c r="DZ473" s="1331"/>
      <c r="EA473" s="1331"/>
      <c r="EB473" s="1331"/>
      <c r="EC473" s="1331"/>
      <c r="ED473" s="1331"/>
      <c r="EE473" s="1331"/>
      <c r="EF473" s="1331"/>
      <c r="EG473" s="1331"/>
      <c r="EH473" s="1331"/>
      <c r="EI473" s="1331"/>
      <c r="EK473" s="1331"/>
    </row>
    <row r="474" spans="2:261" ht="12.75">
      <c r="B474" s="1848"/>
      <c r="C474" s="1847" t="s">
        <v>53</v>
      </c>
      <c r="AV474" s="1331"/>
      <c r="AW474" s="1331"/>
      <c r="BE474" s="1331"/>
      <c r="BF474" s="1331"/>
      <c r="BN474" s="1331"/>
      <c r="BO474" s="1331"/>
      <c r="BW474" s="1331"/>
      <c r="BX474" s="1331"/>
      <c r="CF474" s="1331"/>
      <c r="CG474" s="1331"/>
      <c r="CQ474" s="1331"/>
      <c r="CR474" s="1331"/>
      <c r="CS474" s="1331"/>
      <c r="CT474" s="1331"/>
      <c r="CU474" s="1331"/>
      <c r="CV474" s="1331"/>
      <c r="CW474" s="1331"/>
      <c r="CX474" s="1331"/>
      <c r="CY474" s="1331"/>
      <c r="CZ474" s="1331"/>
      <c r="DA474" s="1331"/>
      <c r="DB474" s="1331"/>
      <c r="DC474" s="1331"/>
      <c r="DD474" s="1331"/>
      <c r="DE474" s="1331"/>
      <c r="DF474" s="1331"/>
      <c r="DG474" s="1331"/>
      <c r="DH474" s="1331"/>
      <c r="DI474" s="1331"/>
      <c r="DJ474" s="1331"/>
      <c r="DK474" s="1331"/>
      <c r="DL474" s="1331"/>
      <c r="DM474" s="1331"/>
      <c r="DN474" s="1331"/>
      <c r="DO474" s="1331"/>
      <c r="DP474" s="1331"/>
      <c r="DQ474" s="1331"/>
      <c r="DR474" s="1331"/>
      <c r="DS474" s="1331"/>
      <c r="DT474" s="1331"/>
      <c r="DU474" s="1331"/>
      <c r="DV474" s="1331"/>
      <c r="DW474" s="1331"/>
      <c r="DX474" s="1331"/>
      <c r="DY474" s="1331"/>
      <c r="DZ474" s="1331"/>
      <c r="EA474" s="1331"/>
      <c r="EB474" s="1331"/>
      <c r="EC474" s="1331"/>
      <c r="ED474" s="1331"/>
      <c r="EE474" s="1331"/>
      <c r="EF474" s="1331"/>
      <c r="EG474" s="1331"/>
      <c r="EH474" s="1331"/>
      <c r="EI474" s="1331"/>
      <c r="EK474" s="1331"/>
    </row>
    <row r="475" spans="2:261" ht="12.75">
      <c r="B475" s="1848"/>
      <c r="C475" s="1848" t="s">
        <v>56</v>
      </c>
      <c r="AV475" s="1343">
        <f>AV428-AV381</f>
        <v>0</v>
      </c>
      <c r="AW475" s="1343">
        <f t="shared" ref="AW475:CN475" si="3733">AW428-AW381</f>
        <v>-650</v>
      </c>
      <c r="AX475" s="1343">
        <f t="shared" si="3733"/>
        <v>0</v>
      </c>
      <c r="AY475" s="1343">
        <f t="shared" si="3733"/>
        <v>0</v>
      </c>
      <c r="AZ475" s="1343">
        <f t="shared" si="3733"/>
        <v>0</v>
      </c>
      <c r="BA475" s="1343">
        <f t="shared" si="3733"/>
        <v>0</v>
      </c>
      <c r="BB475" s="1343">
        <f t="shared" si="3733"/>
        <v>0</v>
      </c>
      <c r="BC475" s="1343">
        <f t="shared" si="3733"/>
        <v>-221.72500000000036</v>
      </c>
      <c r="BD475" s="1343">
        <f>BD428-BD381</f>
        <v>-871.72500000003492</v>
      </c>
      <c r="BE475" s="1343">
        <f t="shared" si="3733"/>
        <v>1499.9999999999964</v>
      </c>
      <c r="BF475" s="1343">
        <f t="shared" si="3733"/>
        <v>1850</v>
      </c>
      <c r="BG475" s="1343">
        <f t="shared" si="3733"/>
        <v>0</v>
      </c>
      <c r="BH475" s="1343">
        <f t="shared" si="3733"/>
        <v>0</v>
      </c>
      <c r="BI475" s="1343">
        <f t="shared" si="3733"/>
        <v>0</v>
      </c>
      <c r="BJ475" s="1343">
        <f t="shared" si="3733"/>
        <v>0</v>
      </c>
      <c r="BK475" s="1343">
        <f t="shared" si="3733"/>
        <v>0</v>
      </c>
      <c r="BL475" s="1343">
        <f t="shared" si="3733"/>
        <v>411.77500000000009</v>
      </c>
      <c r="BM475" s="1343">
        <f t="shared" si="3733"/>
        <v>3761.7750000000015</v>
      </c>
      <c r="BN475" s="1343">
        <f t="shared" si="3733"/>
        <v>0</v>
      </c>
      <c r="BO475" s="1343">
        <f t="shared" si="3733"/>
        <v>0</v>
      </c>
      <c r="BP475" s="1343">
        <f t="shared" si="3733"/>
        <v>0</v>
      </c>
      <c r="BQ475" s="1343">
        <f t="shared" si="3733"/>
        <v>0</v>
      </c>
      <c r="BR475" s="1343">
        <f t="shared" si="3733"/>
        <v>0</v>
      </c>
      <c r="BS475" s="1343">
        <f t="shared" si="3733"/>
        <v>0</v>
      </c>
      <c r="BT475" s="1343">
        <f t="shared" si="3733"/>
        <v>0</v>
      </c>
      <c r="BU475" s="1343">
        <f t="shared" si="3733"/>
        <v>0</v>
      </c>
      <c r="BV475" s="1343">
        <f t="shared" si="3733"/>
        <v>0</v>
      </c>
      <c r="BW475" s="1343">
        <f>BW428-BW381</f>
        <v>-1500</v>
      </c>
      <c r="BX475" s="1343">
        <f t="shared" si="3733"/>
        <v>-1200</v>
      </c>
      <c r="BY475" s="1343">
        <f t="shared" si="3733"/>
        <v>0</v>
      </c>
      <c r="BZ475" s="1343">
        <f t="shared" si="3733"/>
        <v>0</v>
      </c>
      <c r="CA475" s="1343">
        <f t="shared" si="3733"/>
        <v>0</v>
      </c>
      <c r="CB475" s="1343">
        <f t="shared" si="3733"/>
        <v>0</v>
      </c>
      <c r="CC475" s="1343">
        <f t="shared" si="3733"/>
        <v>0</v>
      </c>
      <c r="CD475" s="1343">
        <f t="shared" si="3733"/>
        <v>-190.05</v>
      </c>
      <c r="CE475" s="1343">
        <f>CE428-CE381</f>
        <v>-2890.05</v>
      </c>
      <c r="CF475" s="1343">
        <f t="shared" si="3733"/>
        <v>0</v>
      </c>
      <c r="CG475" s="1343">
        <f t="shared" si="3733"/>
        <v>0</v>
      </c>
      <c r="CH475" s="1343">
        <f t="shared" si="3733"/>
        <v>0</v>
      </c>
      <c r="CI475" s="1343">
        <f t="shared" si="3733"/>
        <v>0</v>
      </c>
      <c r="CJ475" s="1343">
        <f t="shared" si="3733"/>
        <v>0</v>
      </c>
      <c r="CK475" s="1343">
        <f t="shared" si="3733"/>
        <v>0</v>
      </c>
      <c r="CL475" s="1343">
        <f t="shared" si="3733"/>
        <v>0</v>
      </c>
      <c r="CM475" s="1343">
        <f t="shared" si="3733"/>
        <v>0</v>
      </c>
      <c r="CN475" s="1343">
        <f t="shared" si="3733"/>
        <v>0</v>
      </c>
      <c r="CQ475" s="1331"/>
      <c r="CR475" s="1331"/>
      <c r="CS475" s="1331"/>
      <c r="CT475" s="1331"/>
      <c r="CU475" s="1331"/>
      <c r="CV475" s="1331"/>
      <c r="CW475" s="1331"/>
      <c r="CX475" s="1331"/>
      <c r="CY475" s="1331"/>
      <c r="CZ475" s="1331"/>
      <c r="DA475" s="1331"/>
      <c r="DB475" s="1331"/>
      <c r="DC475" s="1331"/>
      <c r="DD475" s="1331"/>
      <c r="DE475" s="1331"/>
      <c r="DF475" s="1331"/>
      <c r="DG475" s="1331"/>
      <c r="DH475" s="1331"/>
      <c r="DI475" s="1331"/>
      <c r="DJ475" s="1331"/>
      <c r="DK475" s="1331"/>
      <c r="DL475" s="1331"/>
      <c r="DM475" s="1331"/>
      <c r="DN475" s="1331"/>
      <c r="DO475" s="1331"/>
      <c r="DP475" s="1331"/>
      <c r="DQ475" s="1331"/>
      <c r="DR475" s="1331"/>
      <c r="DS475" s="1331"/>
      <c r="DT475" s="1331"/>
      <c r="DU475" s="1331"/>
      <c r="DV475" s="1331"/>
      <c r="DW475" s="1331"/>
      <c r="DX475" s="1331"/>
      <c r="DY475" s="1331"/>
      <c r="DZ475" s="1331"/>
      <c r="EA475" s="1331"/>
      <c r="EB475" s="1331"/>
      <c r="EC475" s="1331"/>
      <c r="ED475" s="1331"/>
      <c r="EE475" s="1331"/>
      <c r="EF475" s="1331"/>
      <c r="EG475" s="1331"/>
      <c r="EH475" s="1331"/>
      <c r="EI475" s="1331"/>
      <c r="EK475" s="1331"/>
    </row>
    <row r="476" spans="2:261" ht="12.75">
      <c r="B476" s="1848"/>
      <c r="C476" s="1848" t="s">
        <v>62</v>
      </c>
      <c r="AV476" s="1343">
        <f t="shared" ref="AV476:CN476" si="3734">AV429-AV382</f>
        <v>1583.1899999999987</v>
      </c>
      <c r="AW476" s="1343">
        <f t="shared" si="3734"/>
        <v>125</v>
      </c>
      <c r="AX476" s="1343">
        <f t="shared" si="3734"/>
        <v>0</v>
      </c>
      <c r="AY476" s="1343">
        <f t="shared" si="3734"/>
        <v>0</v>
      </c>
      <c r="AZ476" s="1343">
        <f t="shared" si="3734"/>
        <v>0</v>
      </c>
      <c r="BA476" s="1343">
        <f t="shared" si="3734"/>
        <v>0</v>
      </c>
      <c r="BB476" s="1343">
        <f t="shared" si="3734"/>
        <v>0</v>
      </c>
      <c r="BC476" s="1343">
        <f t="shared" si="3734"/>
        <v>200.59017300000005</v>
      </c>
      <c r="BD476" s="1343">
        <f t="shared" si="3734"/>
        <v>1908.7801729999992</v>
      </c>
      <c r="BE476" s="1343">
        <f t="shared" si="3734"/>
        <v>-1583.1899999999996</v>
      </c>
      <c r="BF476" s="1343">
        <f t="shared" si="3734"/>
        <v>-125.00000000000003</v>
      </c>
      <c r="BG476" s="1343">
        <f t="shared" si="3734"/>
        <v>0</v>
      </c>
      <c r="BH476" s="1343">
        <f t="shared" si="3734"/>
        <v>0</v>
      </c>
      <c r="BI476" s="1343">
        <f t="shared" si="3734"/>
        <v>0</v>
      </c>
      <c r="BJ476" s="1343">
        <f t="shared" si="3734"/>
        <v>0</v>
      </c>
      <c r="BK476" s="1343">
        <f t="shared" si="3734"/>
        <v>0</v>
      </c>
      <c r="BL476" s="1343">
        <f t="shared" si="3734"/>
        <v>-200.59017299999999</v>
      </c>
      <c r="BM476" s="1343">
        <f t="shared" si="3734"/>
        <v>-1908.7801730000001</v>
      </c>
      <c r="BN476" s="1343">
        <f t="shared" si="3734"/>
        <v>0</v>
      </c>
      <c r="BO476" s="1343">
        <f t="shared" si="3734"/>
        <v>0</v>
      </c>
      <c r="BP476" s="1343">
        <f t="shared" si="3734"/>
        <v>0</v>
      </c>
      <c r="BQ476" s="1343">
        <f t="shared" si="3734"/>
        <v>0</v>
      </c>
      <c r="BR476" s="1343">
        <f t="shared" si="3734"/>
        <v>0</v>
      </c>
      <c r="BS476" s="1343">
        <f t="shared" si="3734"/>
        <v>0</v>
      </c>
      <c r="BT476" s="1343">
        <f t="shared" si="3734"/>
        <v>0</v>
      </c>
      <c r="BU476" s="1343">
        <f t="shared" si="3734"/>
        <v>0</v>
      </c>
      <c r="BV476" s="1343">
        <f t="shared" si="3734"/>
        <v>0</v>
      </c>
      <c r="BW476" s="1343">
        <f t="shared" si="3734"/>
        <v>0</v>
      </c>
      <c r="BX476" s="1343">
        <f t="shared" si="3734"/>
        <v>0</v>
      </c>
      <c r="BY476" s="1343">
        <f t="shared" si="3734"/>
        <v>0</v>
      </c>
      <c r="BZ476" s="1343">
        <f t="shared" si="3734"/>
        <v>0</v>
      </c>
      <c r="CA476" s="1343">
        <f t="shared" si="3734"/>
        <v>0</v>
      </c>
      <c r="CB476" s="1343">
        <f t="shared" si="3734"/>
        <v>0</v>
      </c>
      <c r="CC476" s="1343">
        <f t="shared" si="3734"/>
        <v>0</v>
      </c>
      <c r="CD476" s="1343">
        <f t="shared" si="3734"/>
        <v>0</v>
      </c>
      <c r="CE476" s="1343">
        <f>CE429-CE382</f>
        <v>0</v>
      </c>
      <c r="CF476" s="1343">
        <f t="shared" si="3734"/>
        <v>0</v>
      </c>
      <c r="CG476" s="1343">
        <f t="shared" si="3734"/>
        <v>0</v>
      </c>
      <c r="CH476" s="1343">
        <f t="shared" si="3734"/>
        <v>0</v>
      </c>
      <c r="CI476" s="1343">
        <f t="shared" si="3734"/>
        <v>0</v>
      </c>
      <c r="CJ476" s="1343">
        <f t="shared" si="3734"/>
        <v>0</v>
      </c>
      <c r="CK476" s="1343">
        <f t="shared" si="3734"/>
        <v>0</v>
      </c>
      <c r="CL476" s="1343">
        <f t="shared" si="3734"/>
        <v>0</v>
      </c>
      <c r="CM476" s="1343">
        <f t="shared" si="3734"/>
        <v>0</v>
      </c>
      <c r="CN476" s="1343">
        <f t="shared" si="3734"/>
        <v>0</v>
      </c>
      <c r="CQ476" s="1331"/>
      <c r="CR476" s="1331"/>
      <c r="CS476" s="1331"/>
      <c r="CT476" s="1331"/>
      <c r="CU476" s="1331"/>
      <c r="CV476" s="1331"/>
      <c r="CW476" s="1331"/>
      <c r="CX476" s="1331"/>
      <c r="CY476" s="1331"/>
      <c r="CZ476" s="1331"/>
      <c r="DA476" s="1331"/>
      <c r="DB476" s="1331"/>
      <c r="DC476" s="1331"/>
      <c r="DD476" s="1331"/>
      <c r="DE476" s="1331"/>
      <c r="DF476" s="1331"/>
      <c r="DG476" s="1331"/>
      <c r="DH476" s="1331"/>
      <c r="DI476" s="1331"/>
      <c r="DJ476" s="1331"/>
      <c r="DK476" s="1331"/>
      <c r="DL476" s="1331"/>
      <c r="DM476" s="1331"/>
      <c r="DN476" s="1331"/>
      <c r="DO476" s="1331"/>
      <c r="DP476" s="1331"/>
      <c r="DQ476" s="1331"/>
      <c r="DR476" s="1331"/>
      <c r="DS476" s="1331"/>
      <c r="DT476" s="1331"/>
      <c r="DU476" s="1331"/>
      <c r="DV476" s="1331"/>
      <c r="DW476" s="1331"/>
      <c r="DX476" s="1331"/>
      <c r="DY476" s="1331"/>
      <c r="DZ476" s="1331"/>
      <c r="EA476" s="1331"/>
      <c r="EB476" s="1331"/>
      <c r="EC476" s="1331"/>
      <c r="ED476" s="1331"/>
      <c r="EE476" s="1331"/>
      <c r="EF476" s="1331"/>
      <c r="EG476" s="1331"/>
      <c r="EH476" s="1331"/>
      <c r="EI476" s="1331"/>
      <c r="EK476" s="1331"/>
    </row>
    <row r="477" spans="2:261" ht="12.75">
      <c r="B477" s="1848"/>
      <c r="C477" s="1848" t="s">
        <v>68</v>
      </c>
      <c r="AV477" s="1343">
        <f t="shared" ref="AV477:CN477" si="3735">AV430-AV383</f>
        <v>-10043.799666666666</v>
      </c>
      <c r="AW477" s="1343">
        <f t="shared" si="3735"/>
        <v>1240.3216666666667</v>
      </c>
      <c r="AX477" s="1343">
        <f t="shared" si="3735"/>
        <v>0</v>
      </c>
      <c r="AY477" s="1343">
        <f t="shared" si="3735"/>
        <v>0</v>
      </c>
      <c r="AZ477" s="1343">
        <f t="shared" si="3735"/>
        <v>0</v>
      </c>
      <c r="BA477" s="1343">
        <f t="shared" si="3735"/>
        <v>0</v>
      </c>
      <c r="BB477" s="1343">
        <f t="shared" si="3735"/>
        <v>0</v>
      </c>
      <c r="BC477" s="1343">
        <f t="shared" si="3735"/>
        <v>-1272.5494177666669</v>
      </c>
      <c r="BD477" s="1343">
        <f t="shared" si="3735"/>
        <v>-10076.027417766658</v>
      </c>
      <c r="BE477" s="1343">
        <f t="shared" si="3735"/>
        <v>16555.786999999997</v>
      </c>
      <c r="BF477" s="1343">
        <f t="shared" si="3735"/>
        <v>1892.1149999999998</v>
      </c>
      <c r="BG477" s="1343">
        <f t="shared" si="3735"/>
        <v>0</v>
      </c>
      <c r="BH477" s="1343">
        <f t="shared" si="3735"/>
        <v>0</v>
      </c>
      <c r="BI477" s="1343">
        <f t="shared" si="3735"/>
        <v>0</v>
      </c>
      <c r="BJ477" s="1343">
        <f t="shared" si="3735"/>
        <v>0</v>
      </c>
      <c r="BK477" s="1343">
        <f t="shared" si="3735"/>
        <v>0</v>
      </c>
      <c r="BL477" s="1343">
        <f t="shared" si="3735"/>
        <v>2097.6182128999999</v>
      </c>
      <c r="BM477" s="1343">
        <f t="shared" si="3735"/>
        <v>20545.52021290001</v>
      </c>
      <c r="BN477" s="1343">
        <f t="shared" si="3735"/>
        <v>0</v>
      </c>
      <c r="BO477" s="1343">
        <f t="shared" si="3735"/>
        <v>0</v>
      </c>
      <c r="BP477" s="1343">
        <f t="shared" si="3735"/>
        <v>0</v>
      </c>
      <c r="BQ477" s="1343">
        <f t="shared" si="3735"/>
        <v>0</v>
      </c>
      <c r="BR477" s="1343">
        <f t="shared" si="3735"/>
        <v>0</v>
      </c>
      <c r="BS477" s="1343">
        <f t="shared" si="3735"/>
        <v>0</v>
      </c>
      <c r="BT477" s="1343">
        <f t="shared" si="3735"/>
        <v>0</v>
      </c>
      <c r="BU477" s="1343">
        <f t="shared" si="3735"/>
        <v>0</v>
      </c>
      <c r="BV477" s="1343">
        <f t="shared" si="3735"/>
        <v>0</v>
      </c>
      <c r="BW477" s="1343">
        <f t="shared" si="3735"/>
        <v>-6511.9873333333326</v>
      </c>
      <c r="BX477" s="1343">
        <f t="shared" si="3735"/>
        <v>-3132.4366666666665</v>
      </c>
      <c r="BY477" s="1343">
        <f t="shared" si="3735"/>
        <v>0</v>
      </c>
      <c r="BZ477" s="1343">
        <f t="shared" si="3735"/>
        <v>0</v>
      </c>
      <c r="CA477" s="1343">
        <f t="shared" si="3735"/>
        <v>0</v>
      </c>
      <c r="CB477" s="1343">
        <f t="shared" si="3735"/>
        <v>0</v>
      </c>
      <c r="CC477" s="1343">
        <f t="shared" si="3735"/>
        <v>0</v>
      </c>
      <c r="CD477" s="1343">
        <f t="shared" si="3735"/>
        <v>-825.06879513333331</v>
      </c>
      <c r="CE477" s="1343">
        <f>CE430-CE383</f>
        <v>-10469.492795133332</v>
      </c>
      <c r="CF477" s="1343">
        <f t="shared" si="3735"/>
        <v>0</v>
      </c>
      <c r="CG477" s="1343">
        <f t="shared" si="3735"/>
        <v>0</v>
      </c>
      <c r="CH477" s="1343">
        <f t="shared" si="3735"/>
        <v>0</v>
      </c>
      <c r="CI477" s="1343">
        <f t="shared" si="3735"/>
        <v>0</v>
      </c>
      <c r="CJ477" s="1343">
        <f t="shared" si="3735"/>
        <v>0</v>
      </c>
      <c r="CK477" s="1343">
        <f t="shared" si="3735"/>
        <v>0</v>
      </c>
      <c r="CL477" s="1343">
        <f t="shared" si="3735"/>
        <v>0</v>
      </c>
      <c r="CM477" s="1343">
        <f t="shared" si="3735"/>
        <v>0</v>
      </c>
      <c r="CN477" s="1343">
        <f t="shared" si="3735"/>
        <v>0</v>
      </c>
      <c r="CQ477" s="1331"/>
      <c r="CR477" s="1331"/>
      <c r="CS477" s="1331"/>
      <c r="CT477" s="1331"/>
      <c r="CU477" s="1331"/>
      <c r="CV477" s="1331"/>
      <c r="CW477" s="1331"/>
      <c r="CX477" s="1331"/>
      <c r="CY477" s="1331"/>
      <c r="CZ477" s="1331"/>
      <c r="DA477" s="1331"/>
      <c r="DB477" s="1331"/>
      <c r="DC477" s="1331"/>
      <c r="DD477" s="1331"/>
      <c r="DE477" s="1331"/>
      <c r="DF477" s="1331"/>
      <c r="DG477" s="1331"/>
      <c r="DH477" s="1331"/>
      <c r="DI477" s="1331"/>
      <c r="DJ477" s="1331"/>
      <c r="DK477" s="1331"/>
      <c r="DL477" s="1331"/>
      <c r="DM477" s="1331"/>
      <c r="DN477" s="1331"/>
      <c r="DO477" s="1331"/>
      <c r="DP477" s="1331"/>
      <c r="DQ477" s="1331"/>
      <c r="DR477" s="1331"/>
      <c r="DS477" s="1331"/>
      <c r="DT477" s="1331"/>
      <c r="DU477" s="1331"/>
      <c r="DV477" s="1331"/>
      <c r="DW477" s="1331"/>
      <c r="DX477" s="1331"/>
      <c r="DY477" s="1331"/>
      <c r="DZ477" s="1331"/>
      <c r="EA477" s="1331"/>
      <c r="EB477" s="1331"/>
      <c r="EC477" s="1331"/>
      <c r="ED477" s="1331"/>
      <c r="EE477" s="1331"/>
      <c r="EF477" s="1331"/>
      <c r="EG477" s="1331"/>
      <c r="EH477" s="1331"/>
      <c r="EI477" s="1331"/>
      <c r="EK477" s="1331"/>
    </row>
    <row r="478" spans="2:261" ht="12.75">
      <c r="B478" s="1848"/>
      <c r="C478" s="1848" t="s">
        <v>73</v>
      </c>
      <c r="AV478" s="1343">
        <f t="shared" ref="AV478:CN478" si="3736">AV431-AV384</f>
        <v>0</v>
      </c>
      <c r="AW478" s="1343">
        <f t="shared" si="3736"/>
        <v>0</v>
      </c>
      <c r="AX478" s="1343">
        <f t="shared" si="3736"/>
        <v>0</v>
      </c>
      <c r="AY478" s="1343">
        <f t="shared" si="3736"/>
        <v>0</v>
      </c>
      <c r="AZ478" s="1343">
        <f t="shared" si="3736"/>
        <v>0</v>
      </c>
      <c r="BA478" s="1343">
        <f t="shared" si="3736"/>
        <v>0</v>
      </c>
      <c r="BB478" s="1343">
        <f t="shared" si="3736"/>
        <v>0</v>
      </c>
      <c r="BC478" s="1343">
        <f t="shared" si="3736"/>
        <v>0</v>
      </c>
      <c r="BD478" s="1343">
        <f t="shared" si="3736"/>
        <v>0</v>
      </c>
      <c r="BE478" s="1343">
        <f t="shared" si="3736"/>
        <v>0</v>
      </c>
      <c r="BF478" s="1343">
        <f t="shared" si="3736"/>
        <v>0</v>
      </c>
      <c r="BG478" s="1343">
        <f t="shared" si="3736"/>
        <v>0</v>
      </c>
      <c r="BH478" s="1343">
        <f t="shared" si="3736"/>
        <v>0</v>
      </c>
      <c r="BI478" s="1343">
        <f t="shared" si="3736"/>
        <v>0</v>
      </c>
      <c r="BJ478" s="1343">
        <f t="shared" si="3736"/>
        <v>0</v>
      </c>
      <c r="BK478" s="1343">
        <f t="shared" si="3736"/>
        <v>0</v>
      </c>
      <c r="BL478" s="1343">
        <f t="shared" si="3736"/>
        <v>0</v>
      </c>
      <c r="BM478" s="1343">
        <f t="shared" si="3736"/>
        <v>0</v>
      </c>
      <c r="BN478" s="1343">
        <f t="shared" si="3736"/>
        <v>0</v>
      </c>
      <c r="BO478" s="1343">
        <f t="shared" si="3736"/>
        <v>0</v>
      </c>
      <c r="BP478" s="1343">
        <f t="shared" si="3736"/>
        <v>0</v>
      </c>
      <c r="BQ478" s="1343">
        <f t="shared" si="3736"/>
        <v>0</v>
      </c>
      <c r="BR478" s="1343">
        <f t="shared" si="3736"/>
        <v>0</v>
      </c>
      <c r="BS478" s="1343">
        <f t="shared" si="3736"/>
        <v>0</v>
      </c>
      <c r="BT478" s="1343">
        <f t="shared" si="3736"/>
        <v>0</v>
      </c>
      <c r="BU478" s="1343">
        <f t="shared" si="3736"/>
        <v>0</v>
      </c>
      <c r="BV478" s="1343">
        <f t="shared" si="3736"/>
        <v>0</v>
      </c>
      <c r="BW478" s="1343">
        <f t="shared" si="3736"/>
        <v>0</v>
      </c>
      <c r="BX478" s="1343">
        <f t="shared" si="3736"/>
        <v>0</v>
      </c>
      <c r="BY478" s="1343">
        <f t="shared" si="3736"/>
        <v>0</v>
      </c>
      <c r="BZ478" s="1343">
        <f t="shared" si="3736"/>
        <v>0</v>
      </c>
      <c r="CA478" s="1343">
        <f t="shared" si="3736"/>
        <v>0</v>
      </c>
      <c r="CB478" s="1343">
        <f t="shared" si="3736"/>
        <v>0</v>
      </c>
      <c r="CC478" s="1343">
        <f t="shared" si="3736"/>
        <v>0</v>
      </c>
      <c r="CD478" s="1343">
        <f t="shared" si="3736"/>
        <v>0</v>
      </c>
      <c r="CE478" s="1343">
        <f t="shared" ref="CE478:CE489" si="3737">CE431-CE384</f>
        <v>0</v>
      </c>
      <c r="CF478" s="1343">
        <f t="shared" si="3736"/>
        <v>0</v>
      </c>
      <c r="CG478" s="1343">
        <f t="shared" si="3736"/>
        <v>0</v>
      </c>
      <c r="CH478" s="1343">
        <f t="shared" si="3736"/>
        <v>0</v>
      </c>
      <c r="CI478" s="1343">
        <f t="shared" si="3736"/>
        <v>0</v>
      </c>
      <c r="CJ478" s="1343">
        <f t="shared" si="3736"/>
        <v>0</v>
      </c>
      <c r="CK478" s="1343">
        <f t="shared" si="3736"/>
        <v>0</v>
      </c>
      <c r="CL478" s="1343">
        <f t="shared" si="3736"/>
        <v>0</v>
      </c>
      <c r="CM478" s="1343">
        <f t="shared" si="3736"/>
        <v>0</v>
      </c>
      <c r="CN478" s="1343">
        <f t="shared" si="3736"/>
        <v>0</v>
      </c>
      <c r="CQ478" s="1331"/>
      <c r="CR478" s="1331"/>
      <c r="CS478" s="1331"/>
      <c r="CT478" s="1331"/>
      <c r="CU478" s="1331"/>
      <c r="CV478" s="1331"/>
      <c r="CW478" s="1331"/>
      <c r="CX478" s="1331"/>
      <c r="CY478" s="1331"/>
      <c r="CZ478" s="1331"/>
      <c r="DA478" s="1331"/>
      <c r="DB478" s="1331"/>
      <c r="DC478" s="1331"/>
      <c r="DD478" s="1331"/>
      <c r="DE478" s="1331"/>
      <c r="DF478" s="1331"/>
      <c r="DG478" s="1331"/>
      <c r="DH478" s="1331"/>
      <c r="DI478" s="1331"/>
      <c r="DJ478" s="1331"/>
      <c r="DK478" s="1331"/>
      <c r="DL478" s="1331"/>
      <c r="DM478" s="1331"/>
      <c r="DN478" s="1331"/>
      <c r="DO478" s="1331"/>
      <c r="DP478" s="1331"/>
      <c r="DQ478" s="1331"/>
      <c r="DR478" s="1331"/>
      <c r="DS478" s="1331"/>
      <c r="DT478" s="1331"/>
      <c r="DU478" s="1331"/>
      <c r="DV478" s="1331"/>
      <c r="DW478" s="1331"/>
      <c r="DX478" s="1331"/>
      <c r="DY478" s="1331"/>
      <c r="DZ478" s="1331"/>
      <c r="EA478" s="1331"/>
      <c r="EB478" s="1331"/>
      <c r="EC478" s="1331"/>
      <c r="ED478" s="1331"/>
      <c r="EE478" s="1331"/>
      <c r="EF478" s="1331"/>
      <c r="EG478" s="1331"/>
      <c r="EH478" s="1331"/>
      <c r="EI478" s="1331"/>
      <c r="EK478" s="1331"/>
    </row>
    <row r="479" spans="2:261" ht="12.75">
      <c r="B479" s="1848"/>
      <c r="C479" s="1848" t="s">
        <v>76</v>
      </c>
      <c r="AV479" s="1343">
        <f t="shared" ref="AV479:CN479" si="3738">AV432-AV385</f>
        <v>1828.9660000000022</v>
      </c>
      <c r="AW479" s="1343">
        <f t="shared" si="3738"/>
        <v>1552.5</v>
      </c>
      <c r="AX479" s="1343">
        <f t="shared" si="3738"/>
        <v>0</v>
      </c>
      <c r="AY479" s="1343">
        <f t="shared" si="3738"/>
        <v>0</v>
      </c>
      <c r="AZ479" s="1343">
        <f t="shared" si="3738"/>
        <v>0</v>
      </c>
      <c r="BA479" s="1343">
        <f t="shared" si="3738"/>
        <v>0</v>
      </c>
      <c r="BB479" s="1343">
        <f t="shared" si="3738"/>
        <v>0</v>
      </c>
      <c r="BC479" s="1343">
        <f t="shared" si="3738"/>
        <v>231.72999219999997</v>
      </c>
      <c r="BD479" s="1343">
        <f t="shared" si="3738"/>
        <v>3613.1959921999987</v>
      </c>
      <c r="BE479" s="1343">
        <f t="shared" si="3738"/>
        <v>-891.46600000000035</v>
      </c>
      <c r="BF479" s="1343">
        <f t="shared" si="3738"/>
        <v>-1339.9999999999998</v>
      </c>
      <c r="BG479" s="1343">
        <f t="shared" si="3738"/>
        <v>0</v>
      </c>
      <c r="BH479" s="1343">
        <f t="shared" si="3738"/>
        <v>0</v>
      </c>
      <c r="BI479" s="1343">
        <f t="shared" si="3738"/>
        <v>0</v>
      </c>
      <c r="BJ479" s="1343">
        <f t="shared" si="3738"/>
        <v>0</v>
      </c>
      <c r="BK479" s="1343">
        <f t="shared" si="3738"/>
        <v>0</v>
      </c>
      <c r="BL479" s="1343">
        <f t="shared" si="3738"/>
        <v>-112.94874219999997</v>
      </c>
      <c r="BM479" s="1343">
        <f t="shared" si="3738"/>
        <v>-2344.4147421999969</v>
      </c>
      <c r="BN479" s="1343">
        <f t="shared" si="3738"/>
        <v>0</v>
      </c>
      <c r="BO479" s="1343">
        <f t="shared" si="3738"/>
        <v>0</v>
      </c>
      <c r="BP479" s="1343">
        <f t="shared" si="3738"/>
        <v>0</v>
      </c>
      <c r="BQ479" s="1343">
        <f t="shared" si="3738"/>
        <v>0</v>
      </c>
      <c r="BR479" s="1343">
        <f t="shared" si="3738"/>
        <v>0</v>
      </c>
      <c r="BS479" s="1343">
        <f t="shared" si="3738"/>
        <v>0</v>
      </c>
      <c r="BT479" s="1343">
        <f t="shared" si="3738"/>
        <v>0</v>
      </c>
      <c r="BU479" s="1343">
        <f t="shared" si="3738"/>
        <v>0</v>
      </c>
      <c r="BV479" s="1343">
        <f t="shared" si="3738"/>
        <v>0</v>
      </c>
      <c r="BW479" s="1343">
        <f t="shared" si="3738"/>
        <v>-937.5</v>
      </c>
      <c r="BX479" s="1343">
        <f t="shared" si="3738"/>
        <v>-212.5</v>
      </c>
      <c r="BY479" s="1343">
        <f t="shared" si="3738"/>
        <v>0</v>
      </c>
      <c r="BZ479" s="1343">
        <f t="shared" si="3738"/>
        <v>0</v>
      </c>
      <c r="CA479" s="1343">
        <f t="shared" si="3738"/>
        <v>0</v>
      </c>
      <c r="CB479" s="1343">
        <f t="shared" si="3738"/>
        <v>0</v>
      </c>
      <c r="CC479" s="1343">
        <f t="shared" si="3738"/>
        <v>0</v>
      </c>
      <c r="CD479" s="1343">
        <f t="shared" si="3738"/>
        <v>-118.78125</v>
      </c>
      <c r="CE479" s="1343">
        <f t="shared" si="3737"/>
        <v>-1268.78125</v>
      </c>
      <c r="CF479" s="1343">
        <f t="shared" si="3738"/>
        <v>0</v>
      </c>
      <c r="CG479" s="1343">
        <f t="shared" si="3738"/>
        <v>0</v>
      </c>
      <c r="CH479" s="1343">
        <f t="shared" si="3738"/>
        <v>0</v>
      </c>
      <c r="CI479" s="1343">
        <f t="shared" si="3738"/>
        <v>0</v>
      </c>
      <c r="CJ479" s="1343">
        <f t="shared" si="3738"/>
        <v>0</v>
      </c>
      <c r="CK479" s="1343">
        <f t="shared" si="3738"/>
        <v>0</v>
      </c>
      <c r="CL479" s="1343">
        <f t="shared" si="3738"/>
        <v>0</v>
      </c>
      <c r="CM479" s="1343">
        <f t="shared" si="3738"/>
        <v>0</v>
      </c>
      <c r="CN479" s="1343">
        <f t="shared" si="3738"/>
        <v>0</v>
      </c>
      <c r="CQ479" s="1331"/>
      <c r="CR479" s="1331"/>
      <c r="CS479" s="1331"/>
      <c r="CT479" s="1331"/>
      <c r="CU479" s="1331"/>
      <c r="CV479" s="1331"/>
      <c r="CW479" s="1331"/>
      <c r="CX479" s="1331"/>
      <c r="CY479" s="1331"/>
      <c r="CZ479" s="1331"/>
      <c r="DA479" s="1331"/>
      <c r="DB479" s="1331"/>
      <c r="DC479" s="1331"/>
      <c r="DD479" s="1331"/>
      <c r="DE479" s="1331"/>
      <c r="DF479" s="1331"/>
      <c r="DG479" s="1331"/>
      <c r="DH479" s="1331"/>
      <c r="DI479" s="1331"/>
      <c r="DJ479" s="1331"/>
      <c r="DK479" s="1331"/>
      <c r="DL479" s="1331"/>
      <c r="DM479" s="1331"/>
      <c r="DN479" s="1331"/>
      <c r="DO479" s="1331"/>
      <c r="DP479" s="1331"/>
      <c r="DQ479" s="1331"/>
      <c r="DR479" s="1331"/>
      <c r="DS479" s="1331"/>
      <c r="DT479" s="1331"/>
      <c r="DU479" s="1331"/>
      <c r="DV479" s="1331"/>
      <c r="DW479" s="1331"/>
      <c r="DX479" s="1331"/>
      <c r="DY479" s="1331"/>
      <c r="DZ479" s="1331"/>
      <c r="EA479" s="1331"/>
      <c r="EB479" s="1331"/>
      <c r="EC479" s="1331"/>
      <c r="ED479" s="1331"/>
      <c r="EE479" s="1331"/>
      <c r="EF479" s="1331"/>
      <c r="EG479" s="1331"/>
      <c r="EH479" s="1331"/>
      <c r="EI479" s="1331"/>
      <c r="EK479" s="1331"/>
    </row>
    <row r="480" spans="2:261" ht="12.75">
      <c r="B480" s="1848"/>
      <c r="C480" s="1848" t="s">
        <v>79</v>
      </c>
      <c r="AV480" s="1343">
        <f t="shared" ref="AV480:CN480" si="3739">AV433-AV386</f>
        <v>8365.0820000000003</v>
      </c>
      <c r="AW480" s="1343">
        <f t="shared" si="3739"/>
        <v>4262.5</v>
      </c>
      <c r="AX480" s="1343">
        <f t="shared" si="3739"/>
        <v>0</v>
      </c>
      <c r="AY480" s="1343">
        <f t="shared" si="3739"/>
        <v>0</v>
      </c>
      <c r="AZ480" s="1343">
        <f t="shared" si="3739"/>
        <v>0</v>
      </c>
      <c r="BA480" s="1343">
        <f t="shared" si="3739"/>
        <v>0</v>
      </c>
      <c r="BB480" s="1343">
        <f t="shared" si="3739"/>
        <v>0</v>
      </c>
      <c r="BC480" s="1343">
        <f t="shared" si="3739"/>
        <v>1059.8558894</v>
      </c>
      <c r="BD480" s="1343">
        <f t="shared" si="3739"/>
        <v>13687.4378894</v>
      </c>
      <c r="BE480" s="1343">
        <f t="shared" si="3739"/>
        <v>-6083.6959999999999</v>
      </c>
      <c r="BF480" s="1343">
        <f t="shared" si="3739"/>
        <v>-3100</v>
      </c>
      <c r="BG480" s="1343">
        <f t="shared" si="3739"/>
        <v>0</v>
      </c>
      <c r="BH480" s="1343">
        <f t="shared" si="3739"/>
        <v>0</v>
      </c>
      <c r="BI480" s="1343">
        <f t="shared" si="3739"/>
        <v>0</v>
      </c>
      <c r="BJ480" s="1343">
        <f t="shared" si="3739"/>
        <v>0</v>
      </c>
      <c r="BK480" s="1343">
        <f t="shared" si="3739"/>
        <v>0</v>
      </c>
      <c r="BL480" s="1343">
        <f t="shared" si="3739"/>
        <v>-770.8042832000001</v>
      </c>
      <c r="BM480" s="1343">
        <f t="shared" si="3739"/>
        <v>-9954.5002831999991</v>
      </c>
      <c r="BN480" s="1343">
        <f t="shared" si="3739"/>
        <v>0</v>
      </c>
      <c r="BO480" s="1343">
        <f t="shared" si="3739"/>
        <v>0</v>
      </c>
      <c r="BP480" s="1343">
        <f t="shared" si="3739"/>
        <v>0</v>
      </c>
      <c r="BQ480" s="1343">
        <f t="shared" si="3739"/>
        <v>0</v>
      </c>
      <c r="BR480" s="1343">
        <f t="shared" si="3739"/>
        <v>0</v>
      </c>
      <c r="BS480" s="1343">
        <f t="shared" si="3739"/>
        <v>0</v>
      </c>
      <c r="BT480" s="1343">
        <f t="shared" si="3739"/>
        <v>0</v>
      </c>
      <c r="BU480" s="1343">
        <f t="shared" si="3739"/>
        <v>0</v>
      </c>
      <c r="BV480" s="1343">
        <f t="shared" si="3739"/>
        <v>0</v>
      </c>
      <c r="BW480" s="1343">
        <f t="shared" si="3739"/>
        <v>-2281.386</v>
      </c>
      <c r="BX480" s="1343">
        <f t="shared" si="3739"/>
        <v>-1162.5</v>
      </c>
      <c r="BY480" s="1343">
        <f t="shared" si="3739"/>
        <v>0</v>
      </c>
      <c r="BZ480" s="1343">
        <f t="shared" si="3739"/>
        <v>0</v>
      </c>
      <c r="CA480" s="1343">
        <f t="shared" si="3739"/>
        <v>0</v>
      </c>
      <c r="CB480" s="1343">
        <f t="shared" si="3739"/>
        <v>0</v>
      </c>
      <c r="CC480" s="1343">
        <f t="shared" si="3739"/>
        <v>0</v>
      </c>
      <c r="CD480" s="1343">
        <f t="shared" si="3739"/>
        <v>-289.05160620000004</v>
      </c>
      <c r="CE480" s="1343">
        <f>CE433-CE386</f>
        <v>-3732.9376062000001</v>
      </c>
      <c r="CF480" s="1343">
        <f t="shared" si="3739"/>
        <v>0</v>
      </c>
      <c r="CG480" s="1343">
        <f t="shared" si="3739"/>
        <v>0</v>
      </c>
      <c r="CH480" s="1343">
        <f t="shared" si="3739"/>
        <v>0</v>
      </c>
      <c r="CI480" s="1343">
        <f t="shared" si="3739"/>
        <v>0</v>
      </c>
      <c r="CJ480" s="1343">
        <f t="shared" si="3739"/>
        <v>0</v>
      </c>
      <c r="CK480" s="1343">
        <f t="shared" si="3739"/>
        <v>0</v>
      </c>
      <c r="CL480" s="1343">
        <f t="shared" si="3739"/>
        <v>0</v>
      </c>
      <c r="CM480" s="1343">
        <f t="shared" si="3739"/>
        <v>0</v>
      </c>
      <c r="CN480" s="1343">
        <f t="shared" si="3739"/>
        <v>0</v>
      </c>
      <c r="CQ480" s="1331"/>
      <c r="CR480" s="1331"/>
      <c r="CS480" s="1331"/>
      <c r="CT480" s="1331"/>
      <c r="CU480" s="1331"/>
      <c r="CV480" s="1331"/>
      <c r="CW480" s="1331"/>
      <c r="CX480" s="1331"/>
      <c r="CY480" s="1331"/>
      <c r="CZ480" s="1331"/>
      <c r="DA480" s="1331"/>
      <c r="DB480" s="1331"/>
      <c r="DC480" s="1331"/>
      <c r="DD480" s="1331"/>
      <c r="DE480" s="1331"/>
      <c r="DF480" s="1331"/>
      <c r="DG480" s="1331"/>
      <c r="DH480" s="1331"/>
      <c r="DI480" s="1331"/>
      <c r="DJ480" s="1331"/>
      <c r="DK480" s="1331"/>
      <c r="DL480" s="1331"/>
      <c r="DM480" s="1331"/>
      <c r="DN480" s="1331"/>
      <c r="DO480" s="1331"/>
      <c r="DP480" s="1331"/>
      <c r="DQ480" s="1331"/>
      <c r="DR480" s="1331"/>
      <c r="DS480" s="1331"/>
      <c r="DT480" s="1331"/>
      <c r="DU480" s="1331"/>
      <c r="DV480" s="1331"/>
      <c r="DW480" s="1331"/>
      <c r="DX480" s="1331"/>
      <c r="DY480" s="1331"/>
      <c r="DZ480" s="1331"/>
      <c r="EA480" s="1331"/>
      <c r="EB480" s="1331"/>
      <c r="EC480" s="1331"/>
      <c r="ED480" s="1331"/>
      <c r="EE480" s="1331"/>
      <c r="EF480" s="1331"/>
      <c r="EG480" s="1331"/>
      <c r="EH480" s="1331"/>
      <c r="EI480" s="1331"/>
      <c r="EK480" s="1331"/>
    </row>
    <row r="481" spans="2:141" ht="12.75">
      <c r="B481" s="1848"/>
      <c r="C481" s="1848" t="s">
        <v>81</v>
      </c>
      <c r="AV481" s="1343">
        <f t="shared" ref="AV481:CN481" si="3740">AV434-AV387</f>
        <v>235</v>
      </c>
      <c r="AW481" s="1343">
        <f t="shared" si="3740"/>
        <v>-1259.5</v>
      </c>
      <c r="AX481" s="1343">
        <f t="shared" si="3740"/>
        <v>0</v>
      </c>
      <c r="AY481" s="1343">
        <f t="shared" si="3740"/>
        <v>0</v>
      </c>
      <c r="AZ481" s="1343">
        <f t="shared" si="3740"/>
        <v>0</v>
      </c>
      <c r="BA481" s="1343">
        <f t="shared" si="3740"/>
        <v>0</v>
      </c>
      <c r="BB481" s="1343">
        <f t="shared" si="3740"/>
        <v>0</v>
      </c>
      <c r="BC481" s="1343">
        <f t="shared" si="3740"/>
        <v>29.774499999999875</v>
      </c>
      <c r="BD481" s="1343">
        <f t="shared" si="3740"/>
        <v>-994.72550000000047</v>
      </c>
      <c r="BE481" s="1343">
        <f t="shared" si="3740"/>
        <v>2357.5000000000009</v>
      </c>
      <c r="BF481" s="1343">
        <f t="shared" si="3740"/>
        <v>2122.25</v>
      </c>
      <c r="BG481" s="1343">
        <f t="shared" si="3740"/>
        <v>0</v>
      </c>
      <c r="BH481" s="1343">
        <f t="shared" si="3740"/>
        <v>0</v>
      </c>
      <c r="BI481" s="1343">
        <f t="shared" si="3740"/>
        <v>0</v>
      </c>
      <c r="BJ481" s="1343">
        <f t="shared" si="3740"/>
        <v>0</v>
      </c>
      <c r="BK481" s="1343">
        <f t="shared" si="3740"/>
        <v>0</v>
      </c>
      <c r="BL481" s="1343">
        <f t="shared" si="3740"/>
        <v>298.69525000000021</v>
      </c>
      <c r="BM481" s="1343">
        <f t="shared" si="3740"/>
        <v>4778.4452500000007</v>
      </c>
      <c r="BN481" s="1343">
        <f t="shared" si="3740"/>
        <v>0</v>
      </c>
      <c r="BO481" s="1343">
        <f t="shared" si="3740"/>
        <v>0</v>
      </c>
      <c r="BP481" s="1343">
        <f t="shared" si="3740"/>
        <v>0</v>
      </c>
      <c r="BQ481" s="1343">
        <f t="shared" si="3740"/>
        <v>0</v>
      </c>
      <c r="BR481" s="1343">
        <f t="shared" si="3740"/>
        <v>0</v>
      </c>
      <c r="BS481" s="1343">
        <f t="shared" si="3740"/>
        <v>0</v>
      </c>
      <c r="BT481" s="1343">
        <f t="shared" si="3740"/>
        <v>0</v>
      </c>
      <c r="BU481" s="1343">
        <f t="shared" si="3740"/>
        <v>0</v>
      </c>
      <c r="BV481" s="1343">
        <f t="shared" si="3740"/>
        <v>0</v>
      </c>
      <c r="BW481" s="1343">
        <f t="shared" si="3740"/>
        <v>-2592.5</v>
      </c>
      <c r="BX481" s="1343">
        <f t="shared" si="3740"/>
        <v>-862.75000000000011</v>
      </c>
      <c r="BY481" s="1343">
        <f t="shared" si="3740"/>
        <v>0</v>
      </c>
      <c r="BZ481" s="1343">
        <f t="shared" si="3740"/>
        <v>0</v>
      </c>
      <c r="CA481" s="1343">
        <f t="shared" si="3740"/>
        <v>0</v>
      </c>
      <c r="CB481" s="1343">
        <f t="shared" si="3740"/>
        <v>0</v>
      </c>
      <c r="CC481" s="1343">
        <f t="shared" si="3740"/>
        <v>0</v>
      </c>
      <c r="CD481" s="1343">
        <f t="shared" si="3740"/>
        <v>-328.46975000000003</v>
      </c>
      <c r="CE481" s="1343">
        <f t="shared" si="3737"/>
        <v>-3783.7197500000002</v>
      </c>
      <c r="CF481" s="1343">
        <f t="shared" si="3740"/>
        <v>0</v>
      </c>
      <c r="CG481" s="1343">
        <f t="shared" si="3740"/>
        <v>0</v>
      </c>
      <c r="CH481" s="1343">
        <f t="shared" si="3740"/>
        <v>0</v>
      </c>
      <c r="CI481" s="1343">
        <f t="shared" si="3740"/>
        <v>0</v>
      </c>
      <c r="CJ481" s="1343">
        <f t="shared" si="3740"/>
        <v>0</v>
      </c>
      <c r="CK481" s="1343">
        <f t="shared" si="3740"/>
        <v>0</v>
      </c>
      <c r="CL481" s="1343">
        <f t="shared" si="3740"/>
        <v>0</v>
      </c>
      <c r="CM481" s="1343">
        <f t="shared" si="3740"/>
        <v>0</v>
      </c>
      <c r="CN481" s="1343">
        <f t="shared" si="3740"/>
        <v>0</v>
      </c>
      <c r="CQ481" s="1331"/>
      <c r="CR481" s="1331"/>
      <c r="CS481" s="1331"/>
      <c r="CT481" s="1331"/>
      <c r="CU481" s="1331"/>
      <c r="CV481" s="1331"/>
      <c r="CW481" s="1331"/>
      <c r="CX481" s="1331"/>
      <c r="CY481" s="1331"/>
      <c r="CZ481" s="1331"/>
      <c r="DA481" s="1331"/>
      <c r="DB481" s="1331"/>
      <c r="DC481" s="1331"/>
      <c r="DD481" s="1331"/>
      <c r="DE481" s="1331"/>
      <c r="DF481" s="1331"/>
      <c r="DG481" s="1331"/>
      <c r="DH481" s="1331"/>
      <c r="DI481" s="1331"/>
      <c r="DJ481" s="1331"/>
      <c r="DK481" s="1331"/>
      <c r="DL481" s="1331"/>
      <c r="DM481" s="1331"/>
      <c r="DN481" s="1331"/>
      <c r="DO481" s="1331"/>
      <c r="DP481" s="1331"/>
      <c r="DQ481" s="1331"/>
      <c r="DR481" s="1331"/>
      <c r="DS481" s="1331"/>
      <c r="DT481" s="1331"/>
      <c r="DU481" s="1331"/>
      <c r="DV481" s="1331"/>
      <c r="DW481" s="1331"/>
      <c r="DX481" s="1331"/>
      <c r="DY481" s="1331"/>
      <c r="DZ481" s="1331"/>
      <c r="EA481" s="1331"/>
      <c r="EB481" s="1331"/>
      <c r="EC481" s="1331"/>
      <c r="ED481" s="1331"/>
      <c r="EE481" s="1331"/>
      <c r="EF481" s="1331"/>
      <c r="EG481" s="1331"/>
      <c r="EH481" s="1331"/>
      <c r="EI481" s="1331"/>
      <c r="EK481" s="1331"/>
    </row>
    <row r="482" spans="2:141" ht="12.75">
      <c r="B482" s="1848"/>
      <c r="C482" s="1848" t="s">
        <v>85</v>
      </c>
      <c r="AV482" s="1343">
        <f t="shared" ref="AV482:CN482" si="3741">AV435-AV388</f>
        <v>0</v>
      </c>
      <c r="AW482" s="1343">
        <f t="shared" si="3741"/>
        <v>0</v>
      </c>
      <c r="AX482" s="1343">
        <f t="shared" si="3741"/>
        <v>0</v>
      </c>
      <c r="AY482" s="1343">
        <f t="shared" si="3741"/>
        <v>0</v>
      </c>
      <c r="AZ482" s="1343">
        <f t="shared" si="3741"/>
        <v>0</v>
      </c>
      <c r="BA482" s="1343">
        <f t="shared" si="3741"/>
        <v>0</v>
      </c>
      <c r="BB482" s="1343">
        <f t="shared" si="3741"/>
        <v>0</v>
      </c>
      <c r="BC482" s="1343">
        <f t="shared" si="3741"/>
        <v>0</v>
      </c>
      <c r="BD482" s="1343">
        <f t="shared" si="3741"/>
        <v>0</v>
      </c>
      <c r="BE482" s="1343">
        <f t="shared" si="3741"/>
        <v>0</v>
      </c>
      <c r="BF482" s="1343">
        <f t="shared" si="3741"/>
        <v>0</v>
      </c>
      <c r="BG482" s="1343">
        <f t="shared" si="3741"/>
        <v>0</v>
      </c>
      <c r="BH482" s="1343">
        <f t="shared" si="3741"/>
        <v>0</v>
      </c>
      <c r="BI482" s="1343">
        <f t="shared" si="3741"/>
        <v>0</v>
      </c>
      <c r="BJ482" s="1343">
        <f t="shared" si="3741"/>
        <v>0</v>
      </c>
      <c r="BK482" s="1343">
        <f t="shared" si="3741"/>
        <v>0</v>
      </c>
      <c r="BL482" s="1343">
        <f t="shared" si="3741"/>
        <v>0</v>
      </c>
      <c r="BM482" s="1343">
        <f t="shared" si="3741"/>
        <v>0</v>
      </c>
      <c r="BN482" s="1343">
        <f t="shared" si="3741"/>
        <v>0</v>
      </c>
      <c r="BO482" s="1343">
        <f t="shared" si="3741"/>
        <v>0</v>
      </c>
      <c r="BP482" s="1343">
        <f t="shared" si="3741"/>
        <v>0</v>
      </c>
      <c r="BQ482" s="1343">
        <f t="shared" si="3741"/>
        <v>0</v>
      </c>
      <c r="BR482" s="1343">
        <f t="shared" si="3741"/>
        <v>0</v>
      </c>
      <c r="BS482" s="1343">
        <f t="shared" si="3741"/>
        <v>0</v>
      </c>
      <c r="BT482" s="1343">
        <f t="shared" si="3741"/>
        <v>0</v>
      </c>
      <c r="BU482" s="1343">
        <f t="shared" si="3741"/>
        <v>0</v>
      </c>
      <c r="BV482" s="1343">
        <f t="shared" si="3741"/>
        <v>0</v>
      </c>
      <c r="BW482" s="1343">
        <f t="shared" si="3741"/>
        <v>0</v>
      </c>
      <c r="BX482" s="1343">
        <f t="shared" si="3741"/>
        <v>0</v>
      </c>
      <c r="BY482" s="1343">
        <f t="shared" si="3741"/>
        <v>0</v>
      </c>
      <c r="BZ482" s="1343">
        <f t="shared" si="3741"/>
        <v>0</v>
      </c>
      <c r="CA482" s="1343">
        <f t="shared" si="3741"/>
        <v>0</v>
      </c>
      <c r="CB482" s="1343">
        <f t="shared" si="3741"/>
        <v>0</v>
      </c>
      <c r="CC482" s="1343">
        <f t="shared" si="3741"/>
        <v>0</v>
      </c>
      <c r="CD482" s="1343">
        <f t="shared" si="3741"/>
        <v>0</v>
      </c>
      <c r="CE482" s="1343">
        <f t="shared" si="3737"/>
        <v>0</v>
      </c>
      <c r="CF482" s="1343">
        <f t="shared" si="3741"/>
        <v>0</v>
      </c>
      <c r="CG482" s="1343">
        <f t="shared" si="3741"/>
        <v>0</v>
      </c>
      <c r="CH482" s="1343">
        <f t="shared" si="3741"/>
        <v>0</v>
      </c>
      <c r="CI482" s="1343">
        <f t="shared" si="3741"/>
        <v>0</v>
      </c>
      <c r="CJ482" s="1343">
        <f t="shared" si="3741"/>
        <v>0</v>
      </c>
      <c r="CK482" s="1343">
        <f t="shared" si="3741"/>
        <v>0</v>
      </c>
      <c r="CL482" s="1343">
        <f t="shared" si="3741"/>
        <v>0</v>
      </c>
      <c r="CM482" s="1343">
        <f t="shared" si="3741"/>
        <v>0</v>
      </c>
      <c r="CN482" s="1343">
        <f t="shared" si="3741"/>
        <v>0</v>
      </c>
      <c r="CQ482" s="1331"/>
      <c r="CR482" s="1331"/>
      <c r="CS482" s="1331"/>
      <c r="CT482" s="1331"/>
      <c r="CU482" s="1331"/>
      <c r="CV482" s="1331"/>
      <c r="CW482" s="1331"/>
      <c r="CX482" s="1331"/>
      <c r="CY482" s="1331"/>
      <c r="CZ482" s="1331"/>
      <c r="DA482" s="1331"/>
      <c r="DB482" s="1331"/>
      <c r="DC482" s="1331"/>
      <c r="DD482" s="1331"/>
      <c r="DE482" s="1331"/>
      <c r="DF482" s="1331"/>
      <c r="DG482" s="1331"/>
      <c r="DH482" s="1331"/>
      <c r="DI482" s="1331"/>
      <c r="DJ482" s="1331"/>
      <c r="DK482" s="1331"/>
      <c r="DL482" s="1331"/>
      <c r="DM482" s="1331"/>
      <c r="DN482" s="1331"/>
      <c r="DO482" s="1331"/>
      <c r="DP482" s="1331"/>
      <c r="DQ482" s="1331"/>
      <c r="DR482" s="1331"/>
      <c r="DS482" s="1331"/>
      <c r="DT482" s="1331"/>
      <c r="DU482" s="1331"/>
      <c r="DV482" s="1331"/>
      <c r="DW482" s="1331"/>
      <c r="DX482" s="1331"/>
      <c r="DY482" s="1331"/>
      <c r="DZ482" s="1331"/>
      <c r="EA482" s="1331"/>
      <c r="EB482" s="1331"/>
      <c r="EC482" s="1331"/>
      <c r="ED482" s="1331"/>
      <c r="EE482" s="1331"/>
      <c r="EF482" s="1331"/>
      <c r="EG482" s="1331"/>
      <c r="EH482" s="1331"/>
      <c r="EI482" s="1331"/>
      <c r="EK482" s="1331"/>
    </row>
    <row r="483" spans="2:141" ht="12.75">
      <c r="B483" s="1848"/>
      <c r="C483" s="1848" t="s">
        <v>86</v>
      </c>
      <c r="AV483" s="1343">
        <f t="shared" ref="AV483:CN483" si="3742">AV436-AV389</f>
        <v>-4461.6666666666661</v>
      </c>
      <c r="AW483" s="1343">
        <f t="shared" si="3742"/>
        <v>-1788.3333333333333</v>
      </c>
      <c r="AX483" s="1343">
        <f t="shared" si="3742"/>
        <v>0</v>
      </c>
      <c r="AY483" s="1343">
        <f t="shared" si="3742"/>
        <v>0</v>
      </c>
      <c r="AZ483" s="1343">
        <f t="shared" si="3742"/>
        <v>0</v>
      </c>
      <c r="BA483" s="1343">
        <f t="shared" si="3742"/>
        <v>0</v>
      </c>
      <c r="BB483" s="1343">
        <f t="shared" si="3742"/>
        <v>0</v>
      </c>
      <c r="BC483" s="1343">
        <f t="shared" si="3742"/>
        <v>-565.29316666666682</v>
      </c>
      <c r="BD483" s="1343">
        <f t="shared" si="3742"/>
        <v>-6815.2931666666664</v>
      </c>
      <c r="BE483" s="1343">
        <f t="shared" si="3742"/>
        <v>6763.5</v>
      </c>
      <c r="BF483" s="1343">
        <f t="shared" si="3742"/>
        <v>2671.5</v>
      </c>
      <c r="BG483" s="1343">
        <f t="shared" si="3742"/>
        <v>0</v>
      </c>
      <c r="BH483" s="1343">
        <f t="shared" si="3742"/>
        <v>0</v>
      </c>
      <c r="BI483" s="1343">
        <f t="shared" si="3742"/>
        <v>0</v>
      </c>
      <c r="BJ483" s="1343">
        <f t="shared" si="3742"/>
        <v>0</v>
      </c>
      <c r="BK483" s="1343">
        <f t="shared" si="3742"/>
        <v>0</v>
      </c>
      <c r="BL483" s="1343">
        <f t="shared" si="3742"/>
        <v>856.93545000000017</v>
      </c>
      <c r="BM483" s="1343">
        <f t="shared" si="3742"/>
        <v>10291.935450000001</v>
      </c>
      <c r="BN483" s="1343">
        <f t="shared" si="3742"/>
        <v>0</v>
      </c>
      <c r="BO483" s="1343">
        <f t="shared" si="3742"/>
        <v>0</v>
      </c>
      <c r="BP483" s="1343">
        <f t="shared" si="3742"/>
        <v>0</v>
      </c>
      <c r="BQ483" s="1343">
        <f t="shared" si="3742"/>
        <v>0</v>
      </c>
      <c r="BR483" s="1343">
        <f t="shared" si="3742"/>
        <v>0</v>
      </c>
      <c r="BS483" s="1343">
        <f t="shared" si="3742"/>
        <v>0</v>
      </c>
      <c r="BT483" s="1343">
        <f t="shared" si="3742"/>
        <v>0</v>
      </c>
      <c r="BU483" s="1343">
        <f t="shared" si="3742"/>
        <v>0</v>
      </c>
      <c r="BV483" s="1343">
        <f t="shared" si="3742"/>
        <v>0</v>
      </c>
      <c r="BW483" s="1343">
        <f t="shared" si="3742"/>
        <v>-2301.8333333333335</v>
      </c>
      <c r="BX483" s="1343">
        <f t="shared" si="3742"/>
        <v>-883.16666666666674</v>
      </c>
      <c r="BY483" s="1343">
        <f t="shared" si="3742"/>
        <v>0</v>
      </c>
      <c r="BZ483" s="1343">
        <f t="shared" si="3742"/>
        <v>0</v>
      </c>
      <c r="CA483" s="1343">
        <f t="shared" si="3742"/>
        <v>0</v>
      </c>
      <c r="CB483" s="1343">
        <f t="shared" si="3742"/>
        <v>0</v>
      </c>
      <c r="CC483" s="1343">
        <f t="shared" si="3742"/>
        <v>0</v>
      </c>
      <c r="CD483" s="1343">
        <f t="shared" si="3742"/>
        <v>-291.64228333333335</v>
      </c>
      <c r="CE483" s="1343">
        <f t="shared" si="3737"/>
        <v>-3476.6422833333331</v>
      </c>
      <c r="CF483" s="1343">
        <f t="shared" si="3742"/>
        <v>0</v>
      </c>
      <c r="CG483" s="1343">
        <f t="shared" si="3742"/>
        <v>0</v>
      </c>
      <c r="CH483" s="1343">
        <f t="shared" si="3742"/>
        <v>0</v>
      </c>
      <c r="CI483" s="1343">
        <f t="shared" si="3742"/>
        <v>0</v>
      </c>
      <c r="CJ483" s="1343">
        <f t="shared" si="3742"/>
        <v>0</v>
      </c>
      <c r="CK483" s="1343">
        <f t="shared" si="3742"/>
        <v>0</v>
      </c>
      <c r="CL483" s="1343">
        <f t="shared" si="3742"/>
        <v>0</v>
      </c>
      <c r="CM483" s="1343">
        <f t="shared" si="3742"/>
        <v>0</v>
      </c>
      <c r="CN483" s="1343">
        <f t="shared" si="3742"/>
        <v>0</v>
      </c>
      <c r="CQ483" s="1331"/>
      <c r="CR483" s="1331"/>
      <c r="CS483" s="1331"/>
      <c r="CT483" s="1331"/>
      <c r="CU483" s="1331"/>
      <c r="CV483" s="1331"/>
      <c r="CW483" s="1331"/>
      <c r="CX483" s="1331"/>
      <c r="CY483" s="1331"/>
      <c r="CZ483" s="1331"/>
      <c r="DA483" s="1331"/>
      <c r="DB483" s="1331"/>
      <c r="DC483" s="1331"/>
      <c r="DD483" s="1331"/>
      <c r="DE483" s="1331"/>
      <c r="DF483" s="1331"/>
      <c r="DG483" s="1331"/>
      <c r="DH483" s="1331"/>
      <c r="DI483" s="1331"/>
      <c r="DJ483" s="1331"/>
      <c r="DK483" s="1331"/>
      <c r="DL483" s="1331"/>
      <c r="DM483" s="1331"/>
      <c r="DN483" s="1331"/>
      <c r="DO483" s="1331"/>
      <c r="DP483" s="1331"/>
      <c r="DQ483" s="1331"/>
      <c r="DR483" s="1331"/>
      <c r="DS483" s="1331"/>
      <c r="DT483" s="1331"/>
      <c r="DU483" s="1331"/>
      <c r="DV483" s="1331"/>
      <c r="DW483" s="1331"/>
      <c r="DX483" s="1331"/>
      <c r="DY483" s="1331"/>
      <c r="DZ483" s="1331"/>
      <c r="EA483" s="1331"/>
      <c r="EB483" s="1331"/>
      <c r="EC483" s="1331"/>
      <c r="ED483" s="1331"/>
      <c r="EE483" s="1331"/>
      <c r="EF483" s="1331"/>
      <c r="EG483" s="1331"/>
      <c r="EH483" s="1331"/>
      <c r="EI483" s="1331"/>
      <c r="EK483" s="1331"/>
    </row>
    <row r="484" spans="2:141" ht="12.75">
      <c r="B484" s="1848"/>
      <c r="C484" s="1848" t="s">
        <v>89</v>
      </c>
      <c r="AV484" s="1343">
        <f t="shared" ref="AV484:CN484" si="3743">AV437-AV390</f>
        <v>0</v>
      </c>
      <c r="AW484" s="1343">
        <f t="shared" si="3743"/>
        <v>0</v>
      </c>
      <c r="AX484" s="1343">
        <f t="shared" si="3743"/>
        <v>0</v>
      </c>
      <c r="AY484" s="1343">
        <f t="shared" si="3743"/>
        <v>0</v>
      </c>
      <c r="AZ484" s="1343">
        <f t="shared" si="3743"/>
        <v>0</v>
      </c>
      <c r="BA484" s="1343">
        <f t="shared" si="3743"/>
        <v>0</v>
      </c>
      <c r="BB484" s="1343">
        <f t="shared" si="3743"/>
        <v>0</v>
      </c>
      <c r="BC484" s="1343">
        <f t="shared" si="3743"/>
        <v>0</v>
      </c>
      <c r="BD484" s="1343">
        <f t="shared" si="3743"/>
        <v>0</v>
      </c>
      <c r="BE484" s="1343">
        <f t="shared" si="3743"/>
        <v>0</v>
      </c>
      <c r="BF484" s="1343">
        <f t="shared" si="3743"/>
        <v>0</v>
      </c>
      <c r="BG484" s="1343">
        <f t="shared" si="3743"/>
        <v>0</v>
      </c>
      <c r="BH484" s="1343">
        <f t="shared" si="3743"/>
        <v>0</v>
      </c>
      <c r="BI484" s="1343">
        <f t="shared" si="3743"/>
        <v>0</v>
      </c>
      <c r="BJ484" s="1343">
        <f t="shared" si="3743"/>
        <v>0</v>
      </c>
      <c r="BK484" s="1343">
        <f t="shared" si="3743"/>
        <v>0</v>
      </c>
      <c r="BL484" s="1343">
        <f t="shared" si="3743"/>
        <v>0</v>
      </c>
      <c r="BM484" s="1343">
        <f t="shared" si="3743"/>
        <v>0</v>
      </c>
      <c r="BN484" s="1343">
        <f t="shared" si="3743"/>
        <v>0</v>
      </c>
      <c r="BO484" s="1343">
        <f t="shared" si="3743"/>
        <v>0</v>
      </c>
      <c r="BP484" s="1343">
        <f t="shared" si="3743"/>
        <v>0</v>
      </c>
      <c r="BQ484" s="1343">
        <f t="shared" si="3743"/>
        <v>0</v>
      </c>
      <c r="BR484" s="1343">
        <f t="shared" si="3743"/>
        <v>0</v>
      </c>
      <c r="BS484" s="1343">
        <f t="shared" si="3743"/>
        <v>0</v>
      </c>
      <c r="BT484" s="1343">
        <f t="shared" si="3743"/>
        <v>0</v>
      </c>
      <c r="BU484" s="1343">
        <f t="shared" si="3743"/>
        <v>0</v>
      </c>
      <c r="BV484" s="1343">
        <f t="shared" si="3743"/>
        <v>0</v>
      </c>
      <c r="BW484" s="1343">
        <f t="shared" si="3743"/>
        <v>0</v>
      </c>
      <c r="BX484" s="1343">
        <f t="shared" si="3743"/>
        <v>0</v>
      </c>
      <c r="BY484" s="1343">
        <f t="shared" si="3743"/>
        <v>0</v>
      </c>
      <c r="BZ484" s="1343">
        <f t="shared" si="3743"/>
        <v>0</v>
      </c>
      <c r="CA484" s="1343">
        <f t="shared" si="3743"/>
        <v>0</v>
      </c>
      <c r="CB484" s="1343">
        <f t="shared" si="3743"/>
        <v>0</v>
      </c>
      <c r="CC484" s="1343">
        <f t="shared" si="3743"/>
        <v>0</v>
      </c>
      <c r="CD484" s="1343">
        <f t="shared" si="3743"/>
        <v>0</v>
      </c>
      <c r="CE484" s="1343">
        <f t="shared" si="3737"/>
        <v>0</v>
      </c>
      <c r="CF484" s="1343">
        <f t="shared" si="3743"/>
        <v>0</v>
      </c>
      <c r="CG484" s="1343">
        <f t="shared" si="3743"/>
        <v>0</v>
      </c>
      <c r="CH484" s="1343">
        <f t="shared" si="3743"/>
        <v>0</v>
      </c>
      <c r="CI484" s="1343">
        <f t="shared" si="3743"/>
        <v>0</v>
      </c>
      <c r="CJ484" s="1343">
        <f t="shared" si="3743"/>
        <v>0</v>
      </c>
      <c r="CK484" s="1343">
        <f t="shared" si="3743"/>
        <v>0</v>
      </c>
      <c r="CL484" s="1343">
        <f t="shared" si="3743"/>
        <v>0</v>
      </c>
      <c r="CM484" s="1343">
        <f t="shared" si="3743"/>
        <v>0</v>
      </c>
      <c r="CN484" s="1343">
        <f t="shared" si="3743"/>
        <v>0</v>
      </c>
      <c r="CQ484" s="1331"/>
      <c r="CR484" s="1331"/>
      <c r="CS484" s="1331"/>
      <c r="CT484" s="1331"/>
      <c r="CU484" s="1331"/>
      <c r="CV484" s="1331"/>
      <c r="CW484" s="1331"/>
      <c r="CX484" s="1331"/>
      <c r="CY484" s="1331"/>
      <c r="CZ484" s="1331"/>
      <c r="DA484" s="1331"/>
      <c r="DB484" s="1331"/>
      <c r="DC484" s="1331"/>
      <c r="DD484" s="1331"/>
      <c r="DE484" s="1331"/>
      <c r="DF484" s="1331"/>
      <c r="DG484" s="1331"/>
      <c r="DH484" s="1331"/>
      <c r="DI484" s="1331"/>
      <c r="DJ484" s="1331"/>
      <c r="DK484" s="1331"/>
      <c r="DL484" s="1331"/>
      <c r="DM484" s="1331"/>
      <c r="DN484" s="1331"/>
      <c r="DO484" s="1331"/>
      <c r="DP484" s="1331"/>
      <c r="DQ484" s="1331"/>
      <c r="DR484" s="1331"/>
      <c r="DS484" s="1331"/>
      <c r="DT484" s="1331"/>
      <c r="DU484" s="1331"/>
      <c r="DV484" s="1331"/>
      <c r="DW484" s="1331"/>
      <c r="DX484" s="1331"/>
      <c r="DY484" s="1331"/>
      <c r="DZ484" s="1331"/>
      <c r="EA484" s="1331"/>
      <c r="EB484" s="1331"/>
      <c r="EC484" s="1331"/>
      <c r="ED484" s="1331"/>
      <c r="EE484" s="1331"/>
      <c r="EF484" s="1331"/>
      <c r="EG484" s="1331"/>
      <c r="EH484" s="1331"/>
      <c r="EI484" s="1331"/>
      <c r="EK484" s="1331"/>
    </row>
    <row r="485" spans="2:141" ht="12.75">
      <c r="B485" s="1848"/>
      <c r="C485" s="1848" t="s">
        <v>90</v>
      </c>
      <c r="AV485" s="1343">
        <f t="shared" ref="AV485:CN485" si="3744">AV438-AV391</f>
        <v>10820</v>
      </c>
      <c r="AW485" s="1343">
        <f t="shared" si="3744"/>
        <v>11052.629999999997</v>
      </c>
      <c r="AX485" s="1343">
        <f t="shared" si="3744"/>
        <v>0</v>
      </c>
      <c r="AY485" s="1343">
        <f t="shared" si="3744"/>
        <v>0</v>
      </c>
      <c r="AZ485" s="1343">
        <f t="shared" si="3744"/>
        <v>0</v>
      </c>
      <c r="BA485" s="1343">
        <f t="shared" si="3744"/>
        <v>0</v>
      </c>
      <c r="BB485" s="1343">
        <f t="shared" si="3744"/>
        <v>0</v>
      </c>
      <c r="BC485" s="1343">
        <f t="shared" si="3744"/>
        <v>1370.8939999999998</v>
      </c>
      <c r="BD485" s="1343">
        <f t="shared" si="3744"/>
        <v>23243.523999999998</v>
      </c>
      <c r="BE485" s="1343">
        <f t="shared" si="3744"/>
        <v>-13620</v>
      </c>
      <c r="BF485" s="1343">
        <f t="shared" si="3744"/>
        <v>-13768.93</v>
      </c>
      <c r="BG485" s="1343">
        <f t="shared" si="3744"/>
        <v>-14</v>
      </c>
      <c r="BH485" s="1343">
        <f t="shared" si="3744"/>
        <v>-301.875</v>
      </c>
      <c r="BI485" s="1343">
        <f t="shared" si="3744"/>
        <v>0</v>
      </c>
      <c r="BJ485" s="1343">
        <f t="shared" si="3744"/>
        <v>0</v>
      </c>
      <c r="BK485" s="1343">
        <f t="shared" si="3744"/>
        <v>0</v>
      </c>
      <c r="BL485" s="1343">
        <f t="shared" si="3744"/>
        <v>-1763.9015625000004</v>
      </c>
      <c r="BM485" s="1343">
        <f t="shared" si="3744"/>
        <v>-29454.706562500003</v>
      </c>
      <c r="BN485" s="1343">
        <f t="shared" si="3744"/>
        <v>3450</v>
      </c>
      <c r="BO485" s="1343">
        <f t="shared" si="3744"/>
        <v>3352.1900000000005</v>
      </c>
      <c r="BP485" s="1343">
        <f t="shared" si="3744"/>
        <v>14</v>
      </c>
      <c r="BQ485" s="1343">
        <f t="shared" si="3744"/>
        <v>301.875</v>
      </c>
      <c r="BR485" s="1343">
        <f t="shared" si="3744"/>
        <v>0</v>
      </c>
      <c r="BS485" s="1343">
        <f t="shared" si="3744"/>
        <v>0</v>
      </c>
      <c r="BT485" s="1343">
        <f t="shared" si="3744"/>
        <v>0</v>
      </c>
      <c r="BU485" s="1343">
        <f t="shared" si="3744"/>
        <v>475.36256250000002</v>
      </c>
      <c r="BV485" s="1343">
        <f t="shared" si="3744"/>
        <v>7579.4275625000009</v>
      </c>
      <c r="BW485" s="1343">
        <f t="shared" si="3744"/>
        <v>-650</v>
      </c>
      <c r="BX485" s="1343">
        <f t="shared" si="3744"/>
        <v>-635.89</v>
      </c>
      <c r="BY485" s="1343">
        <f t="shared" si="3744"/>
        <v>0</v>
      </c>
      <c r="BZ485" s="1343">
        <f t="shared" si="3744"/>
        <v>0</v>
      </c>
      <c r="CA485" s="1343">
        <f t="shared" si="3744"/>
        <v>0</v>
      </c>
      <c r="CB485" s="1343">
        <f t="shared" si="3744"/>
        <v>0</v>
      </c>
      <c r="CC485" s="1343">
        <f t="shared" si="3744"/>
        <v>0</v>
      </c>
      <c r="CD485" s="1343">
        <f t="shared" si="3744"/>
        <v>-82.355000000000004</v>
      </c>
      <c r="CE485" s="1343">
        <f t="shared" si="3737"/>
        <v>-1368.2449999999999</v>
      </c>
      <c r="CF485" s="1343">
        <f t="shared" si="3744"/>
        <v>0</v>
      </c>
      <c r="CG485" s="1343">
        <f t="shared" si="3744"/>
        <v>0</v>
      </c>
      <c r="CH485" s="1343">
        <f t="shared" si="3744"/>
        <v>0</v>
      </c>
      <c r="CI485" s="1343">
        <f t="shared" si="3744"/>
        <v>0</v>
      </c>
      <c r="CJ485" s="1343">
        <f t="shared" si="3744"/>
        <v>0</v>
      </c>
      <c r="CK485" s="1343">
        <f t="shared" si="3744"/>
        <v>0</v>
      </c>
      <c r="CL485" s="1343">
        <f t="shared" si="3744"/>
        <v>0</v>
      </c>
      <c r="CM485" s="1343">
        <f t="shared" si="3744"/>
        <v>0</v>
      </c>
      <c r="CN485" s="1343">
        <f t="shared" si="3744"/>
        <v>0</v>
      </c>
      <c r="CQ485" s="1331"/>
      <c r="CR485" s="1331"/>
      <c r="CS485" s="1331"/>
      <c r="CT485" s="1331"/>
      <c r="CU485" s="1331"/>
      <c r="CV485" s="1331"/>
      <c r="CW485" s="1331"/>
      <c r="CX485" s="1331"/>
      <c r="CY485" s="1331"/>
      <c r="CZ485" s="1331"/>
      <c r="DA485" s="1331"/>
      <c r="DB485" s="1331"/>
      <c r="DC485" s="1331"/>
      <c r="DD485" s="1331"/>
      <c r="DE485" s="1331"/>
      <c r="DF485" s="1331"/>
      <c r="DG485" s="1331"/>
      <c r="DH485" s="1331"/>
      <c r="DI485" s="1331"/>
      <c r="DJ485" s="1331"/>
      <c r="DK485" s="1331"/>
      <c r="DL485" s="1331"/>
      <c r="DM485" s="1331"/>
      <c r="DN485" s="1331"/>
      <c r="DO485" s="1331"/>
      <c r="DP485" s="1331"/>
      <c r="DQ485" s="1331"/>
      <c r="DR485" s="1331"/>
      <c r="DS485" s="1331"/>
      <c r="DT485" s="1331"/>
      <c r="DU485" s="1331"/>
      <c r="DV485" s="1331"/>
      <c r="DW485" s="1331"/>
      <c r="DX485" s="1331"/>
      <c r="DY485" s="1331"/>
      <c r="DZ485" s="1331"/>
      <c r="EA485" s="1331"/>
      <c r="EB485" s="1331"/>
      <c r="EC485" s="1331"/>
      <c r="ED485" s="1331"/>
      <c r="EE485" s="1331"/>
      <c r="EF485" s="1331"/>
      <c r="EG485" s="1331"/>
      <c r="EH485" s="1331"/>
      <c r="EI485" s="1331"/>
      <c r="EK485" s="1331"/>
    </row>
    <row r="486" spans="2:141" ht="12.75">
      <c r="B486" s="1848"/>
      <c r="C486" s="1848" t="s">
        <v>11</v>
      </c>
      <c r="AV486" s="1343">
        <f t="shared" ref="AV486:CN486" si="3745">AV439-AV392</f>
        <v>0</v>
      </c>
      <c r="AW486" s="1343">
        <f t="shared" si="3745"/>
        <v>-675</v>
      </c>
      <c r="AX486" s="1343">
        <f t="shared" si="3745"/>
        <v>-3</v>
      </c>
      <c r="AY486" s="1343">
        <f t="shared" si="3745"/>
        <v>-59.369625000000006</v>
      </c>
      <c r="AZ486" s="1343">
        <f t="shared" si="3745"/>
        <v>0</v>
      </c>
      <c r="BA486" s="1343">
        <f t="shared" si="3745"/>
        <v>0</v>
      </c>
      <c r="BB486" s="1343">
        <f t="shared" si="3745"/>
        <v>0</v>
      </c>
      <c r="BC486" s="1343">
        <f t="shared" si="3745"/>
        <v>-7.5221314875000012</v>
      </c>
      <c r="BD486" s="1343">
        <f t="shared" si="3745"/>
        <v>-741.89175648750006</v>
      </c>
      <c r="BE486" s="1343">
        <f t="shared" si="3745"/>
        <v>0</v>
      </c>
      <c r="BF486" s="1343">
        <f t="shared" si="3745"/>
        <v>675</v>
      </c>
      <c r="BG486" s="1343">
        <f t="shared" si="3745"/>
        <v>3</v>
      </c>
      <c r="BH486" s="1343">
        <f t="shared" si="3745"/>
        <v>59.369625000000042</v>
      </c>
      <c r="BI486" s="1343">
        <f t="shared" si="3745"/>
        <v>0</v>
      </c>
      <c r="BJ486" s="1343">
        <f t="shared" si="3745"/>
        <v>0</v>
      </c>
      <c r="BK486" s="1343">
        <f t="shared" si="3745"/>
        <v>0</v>
      </c>
      <c r="BL486" s="1343">
        <f t="shared" si="3745"/>
        <v>7.5221314874997915</v>
      </c>
      <c r="BM486" s="1343">
        <f t="shared" si="3745"/>
        <v>741.89175648750097</v>
      </c>
      <c r="BN486" s="1343">
        <f t="shared" si="3745"/>
        <v>0</v>
      </c>
      <c r="BO486" s="1343">
        <f t="shared" si="3745"/>
        <v>0</v>
      </c>
      <c r="BP486" s="1343">
        <f t="shared" si="3745"/>
        <v>0</v>
      </c>
      <c r="BQ486" s="1343">
        <f t="shared" si="3745"/>
        <v>0</v>
      </c>
      <c r="BR486" s="1343">
        <f t="shared" si="3745"/>
        <v>0</v>
      </c>
      <c r="BS486" s="1343">
        <f t="shared" si="3745"/>
        <v>0</v>
      </c>
      <c r="BT486" s="1343">
        <f t="shared" si="3745"/>
        <v>0</v>
      </c>
      <c r="BU486" s="1343">
        <f t="shared" si="3745"/>
        <v>0</v>
      </c>
      <c r="BV486" s="1343">
        <f t="shared" si="3745"/>
        <v>0</v>
      </c>
      <c r="BW486" s="1343">
        <f t="shared" si="3745"/>
        <v>0</v>
      </c>
      <c r="BX486" s="1343">
        <f t="shared" si="3745"/>
        <v>0</v>
      </c>
      <c r="BY486" s="1343">
        <f t="shared" si="3745"/>
        <v>0</v>
      </c>
      <c r="BZ486" s="1343">
        <f t="shared" si="3745"/>
        <v>0</v>
      </c>
      <c r="CA486" s="1343">
        <f t="shared" si="3745"/>
        <v>0</v>
      </c>
      <c r="CB486" s="1343">
        <f t="shared" si="3745"/>
        <v>0</v>
      </c>
      <c r="CC486" s="1343">
        <f t="shared" si="3745"/>
        <v>0</v>
      </c>
      <c r="CD486" s="1343">
        <f t="shared" si="3745"/>
        <v>0</v>
      </c>
      <c r="CE486" s="1343">
        <f t="shared" si="3737"/>
        <v>0</v>
      </c>
      <c r="CF486" s="1343">
        <f t="shared" si="3745"/>
        <v>0</v>
      </c>
      <c r="CG486" s="1343">
        <f t="shared" si="3745"/>
        <v>0</v>
      </c>
      <c r="CH486" s="1343">
        <f t="shared" si="3745"/>
        <v>0</v>
      </c>
      <c r="CI486" s="1343">
        <f t="shared" si="3745"/>
        <v>0</v>
      </c>
      <c r="CJ486" s="1343">
        <f t="shared" si="3745"/>
        <v>0</v>
      </c>
      <c r="CK486" s="1343">
        <f t="shared" si="3745"/>
        <v>0</v>
      </c>
      <c r="CL486" s="1343">
        <f t="shared" si="3745"/>
        <v>0</v>
      </c>
      <c r="CM486" s="1343">
        <f t="shared" si="3745"/>
        <v>0</v>
      </c>
      <c r="CN486" s="1343">
        <f t="shared" si="3745"/>
        <v>0</v>
      </c>
      <c r="CQ486" s="1331"/>
      <c r="CR486" s="1331"/>
      <c r="CS486" s="1331"/>
      <c r="CT486" s="1331"/>
      <c r="CU486" s="1331"/>
      <c r="CV486" s="1331"/>
      <c r="CW486" s="1331"/>
      <c r="CX486" s="1331"/>
      <c r="CY486" s="1331"/>
      <c r="CZ486" s="1331"/>
      <c r="DA486" s="1331"/>
      <c r="DB486" s="1331"/>
      <c r="DC486" s="1331"/>
      <c r="DD486" s="1331"/>
      <c r="DE486" s="1331"/>
      <c r="DF486" s="1331"/>
      <c r="DG486" s="1331"/>
      <c r="DH486" s="1331"/>
      <c r="DI486" s="1331"/>
      <c r="DJ486" s="1331"/>
      <c r="DK486" s="1331"/>
      <c r="DL486" s="1331"/>
      <c r="DM486" s="1331"/>
      <c r="DN486" s="1331"/>
      <c r="DO486" s="1331"/>
      <c r="DP486" s="1331"/>
      <c r="DQ486" s="1331"/>
      <c r="DR486" s="1331"/>
      <c r="DS486" s="1331"/>
      <c r="DT486" s="1331"/>
      <c r="DU486" s="1331"/>
      <c r="DV486" s="1331"/>
      <c r="DW486" s="1331"/>
      <c r="DX486" s="1331"/>
      <c r="DY486" s="1331"/>
      <c r="DZ486" s="1331"/>
      <c r="EA486" s="1331"/>
      <c r="EB486" s="1331"/>
      <c r="EC486" s="1331"/>
      <c r="ED486" s="1331"/>
      <c r="EE486" s="1331"/>
      <c r="EF486" s="1331"/>
      <c r="EG486" s="1331"/>
      <c r="EH486" s="1331"/>
      <c r="EI486" s="1331"/>
      <c r="EK486" s="1331"/>
    </row>
    <row r="487" spans="2:141" ht="12.75">
      <c r="B487" s="1848"/>
      <c r="C487" s="1848" t="s">
        <v>12</v>
      </c>
      <c r="AV487" s="1343">
        <f t="shared" ref="AV487:CN487" si="3746">AV440-AV393</f>
        <v>0</v>
      </c>
      <c r="AW487" s="1343">
        <f t="shared" si="3746"/>
        <v>-1575</v>
      </c>
      <c r="AX487" s="1343">
        <f t="shared" si="3746"/>
        <v>-4</v>
      </c>
      <c r="AY487" s="1343">
        <f t="shared" si="3746"/>
        <v>-79.159500000000008</v>
      </c>
      <c r="AZ487" s="1343">
        <f t="shared" si="3746"/>
        <v>-12</v>
      </c>
      <c r="BA487" s="1343">
        <f t="shared" si="3746"/>
        <v>-316.63800000000003</v>
      </c>
      <c r="BB487" s="1343">
        <f t="shared" si="3746"/>
        <v>0</v>
      </c>
      <c r="BC487" s="1343">
        <f t="shared" si="3746"/>
        <v>-50.147543250000005</v>
      </c>
      <c r="BD487" s="1343">
        <f t="shared" si="3746"/>
        <v>-2020.9450432499998</v>
      </c>
      <c r="BE487" s="1343">
        <f t="shared" si="3746"/>
        <v>0</v>
      </c>
      <c r="BF487" s="1343">
        <f t="shared" si="3746"/>
        <v>0</v>
      </c>
      <c r="BG487" s="1343">
        <f t="shared" si="3746"/>
        <v>0</v>
      </c>
      <c r="BH487" s="1343">
        <f t="shared" si="3746"/>
        <v>0</v>
      </c>
      <c r="BI487" s="1343">
        <f t="shared" si="3746"/>
        <v>0</v>
      </c>
      <c r="BJ487" s="1343">
        <f t="shared" si="3746"/>
        <v>0</v>
      </c>
      <c r="BK487" s="1343">
        <f t="shared" si="3746"/>
        <v>0</v>
      </c>
      <c r="BL487" s="1343">
        <f t="shared" si="3746"/>
        <v>0</v>
      </c>
      <c r="BM487" s="1343">
        <f t="shared" si="3746"/>
        <v>0</v>
      </c>
      <c r="BN487" s="1343">
        <f t="shared" si="3746"/>
        <v>0</v>
      </c>
      <c r="BO487" s="1343">
        <f t="shared" si="3746"/>
        <v>1575</v>
      </c>
      <c r="BP487" s="1343">
        <f t="shared" si="3746"/>
        <v>4</v>
      </c>
      <c r="BQ487" s="1343">
        <f t="shared" si="3746"/>
        <v>79.159499999999753</v>
      </c>
      <c r="BR487" s="1343">
        <f t="shared" si="3746"/>
        <v>12</v>
      </c>
      <c r="BS487" s="1343">
        <f t="shared" si="3746"/>
        <v>316.63800000000003</v>
      </c>
      <c r="BT487" s="1343">
        <f t="shared" si="3746"/>
        <v>0</v>
      </c>
      <c r="BU487" s="1343">
        <f t="shared" si="3746"/>
        <v>50.147543250000126</v>
      </c>
      <c r="BV487" s="1343">
        <f t="shared" si="3746"/>
        <v>2020.9450432500016</v>
      </c>
      <c r="BW487" s="1343">
        <f t="shared" si="3746"/>
        <v>0</v>
      </c>
      <c r="BX487" s="1343">
        <f t="shared" si="3746"/>
        <v>0</v>
      </c>
      <c r="BY487" s="1343">
        <f>BY440-BY393</f>
        <v>0</v>
      </c>
      <c r="BZ487" s="1343">
        <f t="shared" si="3746"/>
        <v>0</v>
      </c>
      <c r="CA487" s="1343">
        <f t="shared" si="3746"/>
        <v>0</v>
      </c>
      <c r="CB487" s="1343">
        <f t="shared" si="3746"/>
        <v>0</v>
      </c>
      <c r="CC487" s="1343">
        <f t="shared" si="3746"/>
        <v>0</v>
      </c>
      <c r="CD487" s="1343">
        <f t="shared" si="3746"/>
        <v>0</v>
      </c>
      <c r="CE487" s="1343">
        <f t="shared" si="3737"/>
        <v>0</v>
      </c>
      <c r="CF487" s="1343">
        <f t="shared" si="3746"/>
        <v>0</v>
      </c>
      <c r="CG487" s="1343">
        <f t="shared" si="3746"/>
        <v>0</v>
      </c>
      <c r="CH487" s="1343">
        <f t="shared" si="3746"/>
        <v>0</v>
      </c>
      <c r="CI487" s="1343">
        <f t="shared" si="3746"/>
        <v>0</v>
      </c>
      <c r="CJ487" s="1343">
        <f t="shared" si="3746"/>
        <v>0</v>
      </c>
      <c r="CK487" s="1343">
        <f t="shared" si="3746"/>
        <v>0</v>
      </c>
      <c r="CL487" s="1343">
        <f t="shared" si="3746"/>
        <v>0</v>
      </c>
      <c r="CM487" s="1343">
        <f t="shared" si="3746"/>
        <v>0</v>
      </c>
      <c r="CN487" s="1343">
        <f t="shared" si="3746"/>
        <v>0</v>
      </c>
      <c r="CQ487" s="1331"/>
      <c r="CR487" s="1331"/>
      <c r="CS487" s="1331"/>
      <c r="CT487" s="1331"/>
      <c r="CU487" s="1331"/>
      <c r="CV487" s="1331"/>
      <c r="CW487" s="1331"/>
      <c r="CX487" s="1331"/>
      <c r="CY487" s="1331"/>
      <c r="CZ487" s="1331"/>
      <c r="DA487" s="1331"/>
      <c r="DB487" s="1331"/>
      <c r="DC487" s="1331"/>
      <c r="DD487" s="1331"/>
      <c r="DE487" s="1331"/>
      <c r="DF487" s="1331"/>
      <c r="DG487" s="1331"/>
      <c r="DH487" s="1331"/>
      <c r="DI487" s="1331"/>
      <c r="DJ487" s="1331"/>
      <c r="DK487" s="1331"/>
      <c r="DL487" s="1331"/>
      <c r="DM487" s="1331"/>
      <c r="DN487" s="1331"/>
      <c r="DO487" s="1331"/>
      <c r="DP487" s="1331"/>
      <c r="DQ487" s="1331"/>
      <c r="DR487" s="1331"/>
      <c r="DS487" s="1331"/>
      <c r="DT487" s="1331"/>
      <c r="DU487" s="1331"/>
      <c r="DV487" s="1331"/>
      <c r="DW487" s="1331"/>
      <c r="DX487" s="1331"/>
      <c r="DY487" s="1331"/>
      <c r="DZ487" s="1331"/>
      <c r="EA487" s="1331"/>
      <c r="EB487" s="1331"/>
      <c r="EC487" s="1331"/>
      <c r="ED487" s="1331"/>
      <c r="EE487" s="1331"/>
      <c r="EF487" s="1331"/>
      <c r="EG487" s="1331"/>
      <c r="EH487" s="1331"/>
      <c r="EI487" s="1331"/>
      <c r="EK487" s="1331"/>
    </row>
    <row r="488" spans="2:141" ht="12.75">
      <c r="B488" s="1848"/>
      <c r="C488" s="1848" t="s">
        <v>10</v>
      </c>
      <c r="AV488" s="1343">
        <f t="shared" ref="AV488:CN488" si="3747">AV441-AV394</f>
        <v>0</v>
      </c>
      <c r="AW488" s="1343">
        <f t="shared" si="3747"/>
        <v>0</v>
      </c>
      <c r="AX488" s="1343">
        <f t="shared" si="3747"/>
        <v>0</v>
      </c>
      <c r="AY488" s="1343">
        <f t="shared" si="3747"/>
        <v>0</v>
      </c>
      <c r="AZ488" s="1343">
        <f t="shared" si="3747"/>
        <v>0</v>
      </c>
      <c r="BA488" s="1343">
        <f t="shared" si="3747"/>
        <v>0</v>
      </c>
      <c r="BB488" s="1343">
        <f t="shared" si="3747"/>
        <v>0</v>
      </c>
      <c r="BC488" s="1343">
        <f t="shared" si="3747"/>
        <v>0</v>
      </c>
      <c r="BD488" s="1343">
        <f t="shared" si="3747"/>
        <v>0</v>
      </c>
      <c r="BE488" s="1343">
        <f t="shared" si="3747"/>
        <v>0</v>
      </c>
      <c r="BF488" s="1343">
        <f t="shared" si="3747"/>
        <v>0</v>
      </c>
      <c r="BG488" s="1343">
        <f t="shared" si="3747"/>
        <v>0</v>
      </c>
      <c r="BH488" s="1343">
        <f t="shared" si="3747"/>
        <v>0</v>
      </c>
      <c r="BI488" s="1343">
        <f t="shared" si="3747"/>
        <v>0</v>
      </c>
      <c r="BJ488" s="1343">
        <f t="shared" si="3747"/>
        <v>0</v>
      </c>
      <c r="BK488" s="1343">
        <f t="shared" si="3747"/>
        <v>0</v>
      </c>
      <c r="BL488" s="1343">
        <f t="shared" si="3747"/>
        <v>0</v>
      </c>
      <c r="BM488" s="1343">
        <f t="shared" si="3747"/>
        <v>0</v>
      </c>
      <c r="BN488" s="1343">
        <f t="shared" si="3747"/>
        <v>0</v>
      </c>
      <c r="BO488" s="1343">
        <f t="shared" si="3747"/>
        <v>0</v>
      </c>
      <c r="BP488" s="1343">
        <f t="shared" si="3747"/>
        <v>0</v>
      </c>
      <c r="BQ488" s="1343">
        <f t="shared" si="3747"/>
        <v>0</v>
      </c>
      <c r="BR488" s="1343">
        <f t="shared" si="3747"/>
        <v>0</v>
      </c>
      <c r="BS488" s="1343">
        <f t="shared" si="3747"/>
        <v>0</v>
      </c>
      <c r="BT488" s="1343">
        <f t="shared" si="3747"/>
        <v>0</v>
      </c>
      <c r="BU488" s="1343">
        <f t="shared" si="3747"/>
        <v>0</v>
      </c>
      <c r="BV488" s="1343">
        <f t="shared" si="3747"/>
        <v>0</v>
      </c>
      <c r="BW488" s="1343">
        <f>BW441-BW394</f>
        <v>0</v>
      </c>
      <c r="BX488" s="1343">
        <f t="shared" si="3747"/>
        <v>0</v>
      </c>
      <c r="BY488" s="1343">
        <f t="shared" si="3747"/>
        <v>0</v>
      </c>
      <c r="BZ488" s="1343">
        <f t="shared" si="3747"/>
        <v>0</v>
      </c>
      <c r="CA488" s="1343">
        <f t="shared" si="3747"/>
        <v>0</v>
      </c>
      <c r="CB488" s="1343">
        <f t="shared" si="3747"/>
        <v>0</v>
      </c>
      <c r="CC488" s="1343">
        <f t="shared" si="3747"/>
        <v>0</v>
      </c>
      <c r="CD488" s="1343">
        <f t="shared" si="3747"/>
        <v>0</v>
      </c>
      <c r="CE488" s="1343">
        <f t="shared" si="3737"/>
        <v>0</v>
      </c>
      <c r="CF488" s="1343" t="e">
        <f t="shared" si="3747"/>
        <v>#REF!</v>
      </c>
      <c r="CG488" s="1343" t="e">
        <f t="shared" si="3747"/>
        <v>#REF!</v>
      </c>
      <c r="CH488" s="1343" t="e">
        <f t="shared" si="3747"/>
        <v>#REF!</v>
      </c>
      <c r="CI488" s="1343" t="e">
        <f t="shared" si="3747"/>
        <v>#REF!</v>
      </c>
      <c r="CJ488" s="1343" t="e">
        <f t="shared" si="3747"/>
        <v>#REF!</v>
      </c>
      <c r="CK488" s="1343" t="e">
        <f t="shared" si="3747"/>
        <v>#REF!</v>
      </c>
      <c r="CL488" s="1343" t="e">
        <f t="shared" si="3747"/>
        <v>#REF!</v>
      </c>
      <c r="CM488" s="1343" t="e">
        <f t="shared" si="3747"/>
        <v>#REF!</v>
      </c>
      <c r="CN488" s="1343" t="e">
        <f t="shared" si="3747"/>
        <v>#REF!</v>
      </c>
      <c r="CQ488" s="1331"/>
      <c r="CR488" s="1331"/>
      <c r="CS488" s="1331"/>
      <c r="CT488" s="1331"/>
      <c r="CU488" s="1331"/>
      <c r="CV488" s="1331"/>
      <c r="CW488" s="1331"/>
      <c r="CX488" s="1331"/>
      <c r="CY488" s="1331"/>
      <c r="CZ488" s="1331"/>
      <c r="DA488" s="1331"/>
      <c r="DB488" s="1331"/>
      <c r="DC488" s="1331"/>
      <c r="DD488" s="1331"/>
      <c r="DE488" s="1331"/>
      <c r="DF488" s="1331"/>
      <c r="DG488" s="1331"/>
      <c r="DH488" s="1331"/>
      <c r="DI488" s="1331"/>
      <c r="DJ488" s="1331"/>
      <c r="DK488" s="1331"/>
      <c r="DL488" s="1331"/>
      <c r="DM488" s="1331"/>
      <c r="DN488" s="1331"/>
      <c r="DO488" s="1331"/>
      <c r="DP488" s="1331"/>
      <c r="DQ488" s="1331"/>
      <c r="DR488" s="1331"/>
      <c r="DS488" s="1331"/>
      <c r="DT488" s="1331"/>
      <c r="DU488" s="1331"/>
      <c r="DV488" s="1331"/>
      <c r="DW488" s="1331"/>
      <c r="DX488" s="1331"/>
      <c r="DY488" s="1331"/>
      <c r="DZ488" s="1331"/>
      <c r="EA488" s="1331"/>
      <c r="EB488" s="1331"/>
      <c r="EC488" s="1331"/>
      <c r="ED488" s="1331"/>
      <c r="EE488" s="1331"/>
      <c r="EF488" s="1331"/>
      <c r="EG488" s="1331"/>
      <c r="EH488" s="1331"/>
      <c r="EI488" s="1331"/>
      <c r="EK488" s="1331"/>
    </row>
    <row r="489" spans="2:141" ht="12.75">
      <c r="B489" s="1848"/>
      <c r="C489" s="1848" t="s">
        <v>10</v>
      </c>
      <c r="AV489" s="1343">
        <f t="shared" ref="AV489:CN490" si="3748">AV442-AV395</f>
        <v>0</v>
      </c>
      <c r="AW489" s="1343">
        <f t="shared" si="3748"/>
        <v>675</v>
      </c>
      <c r="AX489" s="1343">
        <f t="shared" si="3748"/>
        <v>0</v>
      </c>
      <c r="AY489" s="1343">
        <f t="shared" si="3748"/>
        <v>0</v>
      </c>
      <c r="AZ489" s="1343">
        <f t="shared" si="3748"/>
        <v>0</v>
      </c>
      <c r="BA489" s="1343">
        <f t="shared" si="3748"/>
        <v>0</v>
      </c>
      <c r="BB489" s="1343">
        <f t="shared" si="3748"/>
        <v>0</v>
      </c>
      <c r="BC489" s="1343">
        <f t="shared" si="3748"/>
        <v>0</v>
      </c>
      <c r="BD489" s="1343">
        <f t="shared" si="3748"/>
        <v>675</v>
      </c>
      <c r="BE489" s="1343">
        <f t="shared" si="3748"/>
        <v>0</v>
      </c>
      <c r="BF489" s="1343">
        <f t="shared" si="3748"/>
        <v>-675</v>
      </c>
      <c r="BG489" s="1343">
        <f t="shared" si="3748"/>
        <v>0</v>
      </c>
      <c r="BH489" s="1343">
        <f t="shared" si="3748"/>
        <v>0</v>
      </c>
      <c r="BI489" s="1343">
        <f t="shared" si="3748"/>
        <v>0</v>
      </c>
      <c r="BJ489" s="1343">
        <f t="shared" si="3748"/>
        <v>0</v>
      </c>
      <c r="BK489" s="1343">
        <f t="shared" si="3748"/>
        <v>0</v>
      </c>
      <c r="BL489" s="1343">
        <f t="shared" si="3748"/>
        <v>0</v>
      </c>
      <c r="BM489" s="1343">
        <f t="shared" si="3748"/>
        <v>-675</v>
      </c>
      <c r="BN489" s="1343">
        <f t="shared" si="3748"/>
        <v>0</v>
      </c>
      <c r="BO489" s="1343">
        <f t="shared" si="3748"/>
        <v>0</v>
      </c>
      <c r="BP489" s="1343">
        <f t="shared" si="3748"/>
        <v>0</v>
      </c>
      <c r="BQ489" s="1343">
        <f t="shared" si="3748"/>
        <v>0</v>
      </c>
      <c r="BR489" s="1343">
        <f t="shared" si="3748"/>
        <v>0</v>
      </c>
      <c r="BS489" s="1343">
        <f t="shared" si="3748"/>
        <v>0</v>
      </c>
      <c r="BT489" s="1343">
        <f t="shared" si="3748"/>
        <v>0</v>
      </c>
      <c r="BU489" s="1343">
        <f t="shared" si="3748"/>
        <v>0</v>
      </c>
      <c r="BV489" s="1343">
        <f t="shared" si="3748"/>
        <v>0</v>
      </c>
      <c r="BW489" s="1343">
        <f t="shared" si="3748"/>
        <v>0</v>
      </c>
      <c r="BX489" s="1343">
        <f t="shared" si="3748"/>
        <v>0</v>
      </c>
      <c r="BY489" s="1343">
        <f t="shared" si="3748"/>
        <v>0</v>
      </c>
      <c r="BZ489" s="1343">
        <f t="shared" si="3748"/>
        <v>0</v>
      </c>
      <c r="CA489" s="1343">
        <f t="shared" si="3748"/>
        <v>0</v>
      </c>
      <c r="CB489" s="1343">
        <f t="shared" si="3748"/>
        <v>0</v>
      </c>
      <c r="CC489" s="1343">
        <f t="shared" si="3748"/>
        <v>0</v>
      </c>
      <c r="CD489" s="1343">
        <f t="shared" si="3748"/>
        <v>0</v>
      </c>
      <c r="CE489" s="1343">
        <f t="shared" si="3737"/>
        <v>0</v>
      </c>
      <c r="CF489" s="1343">
        <f t="shared" si="3748"/>
        <v>0</v>
      </c>
      <c r="CG489" s="1343">
        <f t="shared" si="3748"/>
        <v>0</v>
      </c>
      <c r="CH489" s="1343">
        <f t="shared" si="3748"/>
        <v>0</v>
      </c>
      <c r="CI489" s="1343">
        <f t="shared" si="3748"/>
        <v>0</v>
      </c>
      <c r="CJ489" s="1343">
        <f t="shared" si="3748"/>
        <v>0</v>
      </c>
      <c r="CK489" s="1343">
        <f t="shared" si="3748"/>
        <v>0</v>
      </c>
      <c r="CL489" s="1343">
        <f t="shared" si="3748"/>
        <v>0</v>
      </c>
      <c r="CM489" s="1343">
        <f t="shared" si="3748"/>
        <v>0</v>
      </c>
      <c r="CN489" s="1343">
        <f t="shared" si="3748"/>
        <v>0</v>
      </c>
      <c r="CQ489" s="1331"/>
      <c r="CR489" s="1331"/>
      <c r="CS489" s="1331"/>
      <c r="CT489" s="1331"/>
      <c r="CU489" s="1331"/>
      <c r="CV489" s="1331"/>
      <c r="CW489" s="1331"/>
      <c r="CX489" s="1331"/>
      <c r="CY489" s="1331"/>
      <c r="CZ489" s="1331"/>
      <c r="DA489" s="1331"/>
      <c r="DB489" s="1331"/>
      <c r="DC489" s="1331"/>
      <c r="DD489" s="1331"/>
      <c r="DE489" s="1331"/>
      <c r="DF489" s="1331"/>
      <c r="DG489" s="1331"/>
      <c r="DH489" s="1331"/>
      <c r="DI489" s="1331"/>
      <c r="DJ489" s="1331"/>
      <c r="DK489" s="1331"/>
      <c r="DL489" s="1331"/>
      <c r="DM489" s="1331"/>
      <c r="DN489" s="1331"/>
      <c r="DO489" s="1331"/>
      <c r="DP489" s="1331"/>
      <c r="DQ489" s="1331"/>
      <c r="DR489" s="1331"/>
      <c r="DS489" s="1331"/>
      <c r="DT489" s="1331"/>
      <c r="DU489" s="1331"/>
      <c r="DV489" s="1331"/>
      <c r="DW489" s="1331"/>
      <c r="DX489" s="1331"/>
      <c r="DY489" s="1331"/>
      <c r="DZ489" s="1331"/>
      <c r="EA489" s="1331"/>
      <c r="EB489" s="1331"/>
      <c r="EC489" s="1331"/>
      <c r="ED489" s="1331"/>
      <c r="EE489" s="1331"/>
      <c r="EF489" s="1331"/>
      <c r="EG489" s="1331"/>
      <c r="EH489" s="1331"/>
      <c r="EI489" s="1331"/>
      <c r="EK489" s="1331"/>
    </row>
    <row r="490" spans="2:141" ht="12.75">
      <c r="B490" s="1848"/>
      <c r="C490" s="1848" t="s">
        <v>422</v>
      </c>
      <c r="AV490" s="1343">
        <f t="shared" si="3748"/>
        <v>0</v>
      </c>
      <c r="AW490" s="1343">
        <f t="shared" si="3748"/>
        <v>0</v>
      </c>
      <c r="AX490" s="1343">
        <f t="shared" si="3748"/>
        <v>0</v>
      </c>
      <c r="AY490" s="1343">
        <f t="shared" si="3748"/>
        <v>0</v>
      </c>
      <c r="AZ490" s="1343">
        <f t="shared" si="3748"/>
        <v>0</v>
      </c>
      <c r="BA490" s="1343">
        <f t="shared" si="3748"/>
        <v>0</v>
      </c>
      <c r="BB490" s="1343">
        <f t="shared" si="3748"/>
        <v>0</v>
      </c>
      <c r="BC490" s="1343">
        <f t="shared" si="3748"/>
        <v>0</v>
      </c>
      <c r="BD490" s="1343">
        <f t="shared" si="3748"/>
        <v>0</v>
      </c>
      <c r="BE490" s="1343">
        <f t="shared" si="3748"/>
        <v>0</v>
      </c>
      <c r="BF490" s="1343">
        <f t="shared" si="3748"/>
        <v>0</v>
      </c>
      <c r="BG490" s="1343">
        <f t="shared" si="3748"/>
        <v>0</v>
      </c>
      <c r="BH490" s="1343">
        <f t="shared" si="3748"/>
        <v>0</v>
      </c>
      <c r="BI490" s="1343">
        <f t="shared" si="3748"/>
        <v>0</v>
      </c>
      <c r="BJ490" s="1343">
        <f t="shared" si="3748"/>
        <v>0</v>
      </c>
      <c r="BK490" s="1343">
        <f t="shared" si="3748"/>
        <v>0</v>
      </c>
      <c r="BL490" s="1343">
        <f t="shared" si="3748"/>
        <v>0</v>
      </c>
      <c r="BM490" s="1343">
        <f t="shared" si="3748"/>
        <v>0</v>
      </c>
      <c r="BN490" s="1343">
        <f t="shared" si="3748"/>
        <v>0</v>
      </c>
      <c r="BO490" s="1343">
        <f t="shared" si="3748"/>
        <v>0</v>
      </c>
      <c r="BP490" s="1343">
        <f t="shared" si="3748"/>
        <v>0</v>
      </c>
      <c r="BQ490" s="1343">
        <f t="shared" si="3748"/>
        <v>0</v>
      </c>
      <c r="BR490" s="1343">
        <f t="shared" si="3748"/>
        <v>0</v>
      </c>
      <c r="BS490" s="1343">
        <f t="shared" si="3748"/>
        <v>0</v>
      </c>
      <c r="BT490" s="1343">
        <f t="shared" si="3748"/>
        <v>0</v>
      </c>
      <c r="BU490" s="1343">
        <f t="shared" si="3748"/>
        <v>0</v>
      </c>
      <c r="BV490" s="1343">
        <f t="shared" si="3748"/>
        <v>0</v>
      </c>
      <c r="BW490" s="1343">
        <f t="shared" ref="BW490:CN490" si="3749">+BW396-BW443</f>
        <v>0</v>
      </c>
      <c r="BX490" s="1343">
        <f t="shared" si="3749"/>
        <v>0</v>
      </c>
      <c r="BY490" s="1343">
        <f t="shared" si="3749"/>
        <v>0</v>
      </c>
      <c r="BZ490" s="1343">
        <f t="shared" si="3749"/>
        <v>0</v>
      </c>
      <c r="CA490" s="1343">
        <f t="shared" si="3749"/>
        <v>0</v>
      </c>
      <c r="CB490" s="1343">
        <f t="shared" si="3749"/>
        <v>0</v>
      </c>
      <c r="CC490" s="1343">
        <f t="shared" si="3749"/>
        <v>0</v>
      </c>
      <c r="CD490" s="1343">
        <f t="shared" si="3749"/>
        <v>0</v>
      </c>
      <c r="CE490" s="1343">
        <f>+CE396-CE443</f>
        <v>0</v>
      </c>
      <c r="CF490" s="1343">
        <f t="shared" si="3749"/>
        <v>0</v>
      </c>
      <c r="CG490" s="1343">
        <f t="shared" si="3749"/>
        <v>0</v>
      </c>
      <c r="CH490" s="1343">
        <f t="shared" si="3749"/>
        <v>0</v>
      </c>
      <c r="CI490" s="1343">
        <f t="shared" si="3749"/>
        <v>0</v>
      </c>
      <c r="CJ490" s="1343">
        <f t="shared" si="3749"/>
        <v>0</v>
      </c>
      <c r="CK490" s="1343">
        <f t="shared" si="3749"/>
        <v>0</v>
      </c>
      <c r="CL490" s="1343">
        <f t="shared" si="3749"/>
        <v>0</v>
      </c>
      <c r="CM490" s="1343">
        <f t="shared" si="3749"/>
        <v>0</v>
      </c>
      <c r="CN490" s="1343">
        <f t="shared" si="3749"/>
        <v>0</v>
      </c>
      <c r="CQ490" s="1331"/>
      <c r="CR490" s="1331"/>
      <c r="CS490" s="1331"/>
      <c r="CT490" s="1331"/>
      <c r="CU490" s="1331"/>
      <c r="CV490" s="1331"/>
      <c r="CW490" s="1331"/>
      <c r="CX490" s="1331"/>
      <c r="CY490" s="1331"/>
      <c r="CZ490" s="1331"/>
      <c r="DA490" s="1331"/>
      <c r="DB490" s="1331"/>
      <c r="DC490" s="1331"/>
      <c r="DD490" s="1331"/>
      <c r="DE490" s="1331"/>
      <c r="DF490" s="1331"/>
      <c r="DG490" s="1331"/>
      <c r="DH490" s="1331"/>
      <c r="DI490" s="1331"/>
      <c r="DJ490" s="1331"/>
      <c r="DK490" s="1331"/>
      <c r="DL490" s="1331"/>
      <c r="DM490" s="1331"/>
      <c r="DN490" s="1331"/>
      <c r="DO490" s="1331"/>
      <c r="DP490" s="1331"/>
      <c r="DQ490" s="1331"/>
      <c r="DR490" s="1331"/>
      <c r="DS490" s="1331"/>
      <c r="DT490" s="1331"/>
      <c r="DU490" s="1331"/>
      <c r="DV490" s="1331"/>
      <c r="DW490" s="1331"/>
      <c r="DX490" s="1331"/>
      <c r="DY490" s="1331"/>
      <c r="DZ490" s="1331"/>
      <c r="EA490" s="1331"/>
      <c r="EB490" s="1331"/>
      <c r="EC490" s="1331"/>
      <c r="ED490" s="1331"/>
      <c r="EE490" s="1331"/>
      <c r="EF490" s="1331"/>
      <c r="EG490" s="1331"/>
      <c r="EH490" s="1331"/>
      <c r="EI490" s="1331"/>
      <c r="EK490" s="1331"/>
    </row>
    <row r="491" spans="2:141" ht="12.75">
      <c r="B491" s="1848"/>
      <c r="C491" s="1848" t="s">
        <v>104</v>
      </c>
      <c r="AV491" s="1343">
        <f t="shared" ref="AV491:CN491" si="3750">AV444-AV397</f>
        <v>0</v>
      </c>
      <c r="AW491" s="1343">
        <f t="shared" si="3750"/>
        <v>0</v>
      </c>
      <c r="AX491" s="1343">
        <f t="shared" si="3750"/>
        <v>0</v>
      </c>
      <c r="AY491" s="1343">
        <f t="shared" si="3750"/>
        <v>0</v>
      </c>
      <c r="AZ491" s="1343">
        <f t="shared" si="3750"/>
        <v>0</v>
      </c>
      <c r="BA491" s="1343">
        <f t="shared" si="3750"/>
        <v>0</v>
      </c>
      <c r="BB491" s="1343">
        <f t="shared" si="3750"/>
        <v>0</v>
      </c>
      <c r="BC491" s="1343">
        <f t="shared" si="3750"/>
        <v>0</v>
      </c>
      <c r="BD491" s="1343">
        <f t="shared" si="3750"/>
        <v>0</v>
      </c>
      <c r="BE491" s="1343">
        <f t="shared" si="3750"/>
        <v>0</v>
      </c>
      <c r="BF491" s="1343">
        <f t="shared" si="3750"/>
        <v>0</v>
      </c>
      <c r="BG491" s="1343">
        <f t="shared" si="3750"/>
        <v>0</v>
      </c>
      <c r="BH491" s="1343">
        <f t="shared" si="3750"/>
        <v>0</v>
      </c>
      <c r="BI491" s="1343">
        <f t="shared" si="3750"/>
        <v>0</v>
      </c>
      <c r="BJ491" s="1343">
        <f t="shared" si="3750"/>
        <v>0</v>
      </c>
      <c r="BK491" s="1343">
        <f t="shared" si="3750"/>
        <v>0</v>
      </c>
      <c r="BL491" s="1343">
        <f t="shared" si="3750"/>
        <v>0</v>
      </c>
      <c r="BM491" s="1343">
        <f t="shared" si="3750"/>
        <v>0</v>
      </c>
      <c r="BN491" s="1343">
        <f t="shared" si="3750"/>
        <v>0</v>
      </c>
      <c r="BO491" s="1343">
        <f t="shared" si="3750"/>
        <v>0</v>
      </c>
      <c r="BP491" s="1343">
        <f t="shared" si="3750"/>
        <v>0</v>
      </c>
      <c r="BQ491" s="1343">
        <f t="shared" si="3750"/>
        <v>0</v>
      </c>
      <c r="BR491" s="1343">
        <f t="shared" si="3750"/>
        <v>0</v>
      </c>
      <c r="BS491" s="1343">
        <f t="shared" si="3750"/>
        <v>0</v>
      </c>
      <c r="BT491" s="1343">
        <f t="shared" si="3750"/>
        <v>0</v>
      </c>
      <c r="BU491" s="1343">
        <f t="shared" si="3750"/>
        <v>0</v>
      </c>
      <c r="BV491" s="1343">
        <f t="shared" si="3750"/>
        <v>0</v>
      </c>
      <c r="BW491" s="1343">
        <f t="shared" si="3750"/>
        <v>0</v>
      </c>
      <c r="BX491" s="1343">
        <f t="shared" si="3750"/>
        <v>0</v>
      </c>
      <c r="BY491" s="1343">
        <f t="shared" si="3750"/>
        <v>0</v>
      </c>
      <c r="BZ491" s="1343">
        <f t="shared" si="3750"/>
        <v>0</v>
      </c>
      <c r="CA491" s="1343">
        <f t="shared" si="3750"/>
        <v>0</v>
      </c>
      <c r="CB491" s="1343">
        <f t="shared" si="3750"/>
        <v>0</v>
      </c>
      <c r="CC491" s="1343">
        <f t="shared" si="3750"/>
        <v>0</v>
      </c>
      <c r="CD491" s="1343">
        <f t="shared" si="3750"/>
        <v>0</v>
      </c>
      <c r="CE491" s="1343">
        <f t="shared" ref="CE491:CE505" si="3751">CE444-CE397</f>
        <v>0</v>
      </c>
      <c r="CF491" s="1343">
        <f t="shared" si="3750"/>
        <v>0</v>
      </c>
      <c r="CG491" s="1343">
        <f t="shared" si="3750"/>
        <v>0</v>
      </c>
      <c r="CH491" s="1343">
        <f t="shared" si="3750"/>
        <v>0</v>
      </c>
      <c r="CI491" s="1343">
        <f t="shared" si="3750"/>
        <v>0</v>
      </c>
      <c r="CJ491" s="1343">
        <f t="shared" si="3750"/>
        <v>0</v>
      </c>
      <c r="CK491" s="1343">
        <f t="shared" si="3750"/>
        <v>0</v>
      </c>
      <c r="CL491" s="1343">
        <f t="shared" si="3750"/>
        <v>0</v>
      </c>
      <c r="CM491" s="1343">
        <f t="shared" si="3750"/>
        <v>0</v>
      </c>
      <c r="CN491" s="1343">
        <f t="shared" si="3750"/>
        <v>0</v>
      </c>
      <c r="CQ491" s="1331"/>
      <c r="CR491" s="1331"/>
      <c r="CS491" s="1331"/>
      <c r="CT491" s="1331"/>
      <c r="CU491" s="1331"/>
      <c r="CV491" s="1331"/>
      <c r="CW491" s="1331"/>
      <c r="CX491" s="1331"/>
      <c r="CY491" s="1331"/>
      <c r="CZ491" s="1331"/>
      <c r="DA491" s="1331"/>
      <c r="DB491" s="1331"/>
      <c r="DC491" s="1331"/>
      <c r="DD491" s="1331"/>
      <c r="DE491" s="1331"/>
      <c r="DF491" s="1331"/>
      <c r="DG491" s="1331"/>
      <c r="DH491" s="1331"/>
      <c r="DI491" s="1331"/>
      <c r="DJ491" s="1331"/>
      <c r="DK491" s="1331"/>
      <c r="DL491" s="1331"/>
      <c r="DM491" s="1331"/>
      <c r="DN491" s="1331"/>
      <c r="DO491" s="1331"/>
      <c r="DP491" s="1331"/>
      <c r="DQ491" s="1331"/>
      <c r="DR491" s="1331"/>
      <c r="DS491" s="1331"/>
      <c r="DT491" s="1331"/>
      <c r="DU491" s="1331"/>
      <c r="DV491" s="1331"/>
      <c r="DW491" s="1331"/>
      <c r="DX491" s="1331"/>
      <c r="DY491" s="1331"/>
      <c r="DZ491" s="1331"/>
      <c r="EA491" s="1331"/>
      <c r="EB491" s="1331"/>
      <c r="EC491" s="1331"/>
      <c r="ED491" s="1331"/>
      <c r="EE491" s="1331"/>
      <c r="EF491" s="1331"/>
      <c r="EG491" s="1331"/>
      <c r="EH491" s="1331"/>
      <c r="EI491" s="1331"/>
      <c r="EK491" s="1331"/>
    </row>
    <row r="492" spans="2:141" ht="12.75">
      <c r="B492" s="1850"/>
      <c r="C492" s="1850" t="s">
        <v>105</v>
      </c>
      <c r="AV492" s="1343">
        <f t="shared" ref="AV492:CN492" si="3752">AV445-AV398</f>
        <v>633.27600000000166</v>
      </c>
      <c r="AW492" s="1343">
        <f t="shared" si="3752"/>
        <v>-385</v>
      </c>
      <c r="AX492" s="1343">
        <f t="shared" si="3752"/>
        <v>47</v>
      </c>
      <c r="AY492" s="1343">
        <f t="shared" si="3752"/>
        <v>930.12412500000005</v>
      </c>
      <c r="AZ492" s="1343">
        <f t="shared" si="3752"/>
        <v>0</v>
      </c>
      <c r="BA492" s="1343">
        <f t="shared" si="3752"/>
        <v>0</v>
      </c>
      <c r="BB492" s="1343">
        <f t="shared" si="3752"/>
        <v>0</v>
      </c>
      <c r="BC492" s="1343">
        <f t="shared" si="3752"/>
        <v>198.08279583750027</v>
      </c>
      <c r="BD492" s="1343">
        <f t="shared" si="3752"/>
        <v>1376.4829208374977</v>
      </c>
      <c r="BE492" s="1343">
        <f t="shared" si="3752"/>
        <v>-633.27599999999984</v>
      </c>
      <c r="BF492" s="1343">
        <f t="shared" si="3752"/>
        <v>385</v>
      </c>
      <c r="BG492" s="1343">
        <f t="shared" si="3752"/>
        <v>-47</v>
      </c>
      <c r="BH492" s="1343">
        <f t="shared" si="3752"/>
        <v>-930.12412500000005</v>
      </c>
      <c r="BI492" s="1343">
        <f t="shared" si="3752"/>
        <v>0</v>
      </c>
      <c r="BJ492" s="1343">
        <f t="shared" si="3752"/>
        <v>0</v>
      </c>
      <c r="BK492" s="1343">
        <f t="shared" si="3752"/>
        <v>0</v>
      </c>
      <c r="BL492" s="1343">
        <f t="shared" si="3752"/>
        <v>-198.08279583750004</v>
      </c>
      <c r="BM492" s="1343">
        <f t="shared" si="3752"/>
        <v>-1376.4829208374995</v>
      </c>
      <c r="BN492" s="1343">
        <f t="shared" si="3752"/>
        <v>0</v>
      </c>
      <c r="BO492" s="1343">
        <f t="shared" si="3752"/>
        <v>0</v>
      </c>
      <c r="BP492" s="1343">
        <f t="shared" si="3752"/>
        <v>0</v>
      </c>
      <c r="BQ492" s="1343">
        <f t="shared" si="3752"/>
        <v>0</v>
      </c>
      <c r="BR492" s="1343">
        <f t="shared" si="3752"/>
        <v>0</v>
      </c>
      <c r="BS492" s="1343">
        <f t="shared" si="3752"/>
        <v>0</v>
      </c>
      <c r="BT492" s="1343">
        <f t="shared" si="3752"/>
        <v>0</v>
      </c>
      <c r="BU492" s="1343">
        <f t="shared" si="3752"/>
        <v>0</v>
      </c>
      <c r="BV492" s="1343">
        <f t="shared" si="3752"/>
        <v>0</v>
      </c>
      <c r="BW492" s="1343">
        <f t="shared" si="3752"/>
        <v>0</v>
      </c>
      <c r="BX492" s="1343">
        <f t="shared" si="3752"/>
        <v>0</v>
      </c>
      <c r="BY492" s="1343">
        <f t="shared" si="3752"/>
        <v>0</v>
      </c>
      <c r="BZ492" s="1343">
        <f t="shared" si="3752"/>
        <v>0</v>
      </c>
      <c r="CA492" s="1343">
        <f t="shared" si="3752"/>
        <v>0</v>
      </c>
      <c r="CB492" s="1343">
        <f t="shared" si="3752"/>
        <v>0</v>
      </c>
      <c r="CC492" s="1343">
        <f t="shared" si="3752"/>
        <v>0</v>
      </c>
      <c r="CD492" s="1343">
        <f t="shared" si="3752"/>
        <v>0</v>
      </c>
      <c r="CE492" s="1343">
        <f t="shared" si="3751"/>
        <v>0</v>
      </c>
      <c r="CF492" s="1343">
        <f t="shared" si="3752"/>
        <v>0</v>
      </c>
      <c r="CG492" s="1343">
        <f t="shared" si="3752"/>
        <v>0</v>
      </c>
      <c r="CH492" s="1343">
        <f t="shared" si="3752"/>
        <v>0</v>
      </c>
      <c r="CI492" s="1343">
        <f t="shared" si="3752"/>
        <v>0</v>
      </c>
      <c r="CJ492" s="1343">
        <f t="shared" si="3752"/>
        <v>0</v>
      </c>
      <c r="CK492" s="1343">
        <f t="shared" si="3752"/>
        <v>0</v>
      </c>
      <c r="CL492" s="1343">
        <f t="shared" si="3752"/>
        <v>0</v>
      </c>
      <c r="CM492" s="1343">
        <f t="shared" si="3752"/>
        <v>0</v>
      </c>
      <c r="CN492" s="1343">
        <f t="shared" si="3752"/>
        <v>0</v>
      </c>
      <c r="CQ492" s="1331"/>
      <c r="CR492" s="1331"/>
      <c r="CS492" s="1331"/>
      <c r="CT492" s="1331"/>
      <c r="CU492" s="1331"/>
      <c r="CV492" s="1331"/>
      <c r="CW492" s="1331"/>
      <c r="CX492" s="1331"/>
      <c r="CY492" s="1331"/>
      <c r="CZ492" s="1331"/>
      <c r="DA492" s="1331"/>
      <c r="DB492" s="1331"/>
      <c r="DC492" s="1331"/>
      <c r="DD492" s="1331"/>
      <c r="DE492" s="1331"/>
      <c r="DF492" s="1331"/>
      <c r="DG492" s="1331"/>
      <c r="DH492" s="1331"/>
      <c r="DI492" s="1331"/>
      <c r="DJ492" s="1331"/>
      <c r="DK492" s="1331"/>
      <c r="DL492" s="1331"/>
      <c r="DM492" s="1331"/>
      <c r="DN492" s="1331"/>
      <c r="DO492" s="1331"/>
      <c r="DP492" s="1331"/>
      <c r="DQ492" s="1331"/>
      <c r="DR492" s="1331"/>
      <c r="DS492" s="1331"/>
      <c r="DT492" s="1331"/>
      <c r="DU492" s="1331"/>
      <c r="DV492" s="1331"/>
      <c r="DW492" s="1331"/>
      <c r="DX492" s="1331"/>
      <c r="DY492" s="1331"/>
      <c r="DZ492" s="1331"/>
      <c r="EA492" s="1331"/>
      <c r="EB492" s="1331"/>
      <c r="EC492" s="1331"/>
      <c r="ED492" s="1331"/>
      <c r="EE492" s="1331"/>
      <c r="EF492" s="1331"/>
      <c r="EG492" s="1331"/>
      <c r="EH492" s="1331"/>
      <c r="EI492" s="1331"/>
      <c r="EK492" s="1331"/>
    </row>
    <row r="493" spans="2:141" ht="12.75">
      <c r="B493" s="1850"/>
      <c r="C493" s="1850" t="s">
        <v>111</v>
      </c>
      <c r="AV493" s="1343">
        <f t="shared" ref="AV493:CN493" si="3753">AV446-AV399</f>
        <v>633.27600000000166</v>
      </c>
      <c r="AW493" s="1343">
        <f t="shared" si="3753"/>
        <v>170</v>
      </c>
      <c r="AX493" s="1343">
        <f t="shared" si="3753"/>
        <v>15</v>
      </c>
      <c r="AY493" s="1343">
        <f t="shared" si="3753"/>
        <v>296.84812500000021</v>
      </c>
      <c r="AZ493" s="1343">
        <f t="shared" si="3753"/>
        <v>0</v>
      </c>
      <c r="BA493" s="1343">
        <f t="shared" si="3753"/>
        <v>0</v>
      </c>
      <c r="BB493" s="1343">
        <f t="shared" si="3753"/>
        <v>0</v>
      </c>
      <c r="BC493" s="1343">
        <f t="shared" si="3753"/>
        <v>117.84672663749984</v>
      </c>
      <c r="BD493" s="1343">
        <f t="shared" si="3753"/>
        <v>1217.9708516375031</v>
      </c>
      <c r="BE493" s="1343">
        <f t="shared" si="3753"/>
        <v>-633.27599999999984</v>
      </c>
      <c r="BF493" s="1343">
        <f t="shared" si="3753"/>
        <v>-170</v>
      </c>
      <c r="BG493" s="1343">
        <f t="shared" si="3753"/>
        <v>-15</v>
      </c>
      <c r="BH493" s="1343">
        <f t="shared" si="3753"/>
        <v>-296.84812499999975</v>
      </c>
      <c r="BI493" s="1343">
        <f t="shared" si="3753"/>
        <v>0</v>
      </c>
      <c r="BJ493" s="1343">
        <f t="shared" si="3753"/>
        <v>0</v>
      </c>
      <c r="BK493" s="1343">
        <f t="shared" si="3753"/>
        <v>0</v>
      </c>
      <c r="BL493" s="1343">
        <f t="shared" si="3753"/>
        <v>-117.84672663750007</v>
      </c>
      <c r="BM493" s="1343">
        <f t="shared" si="3753"/>
        <v>-1217.9708516375013</v>
      </c>
      <c r="BN493" s="1343">
        <f t="shared" si="3753"/>
        <v>0</v>
      </c>
      <c r="BO493" s="1343">
        <f t="shared" si="3753"/>
        <v>0</v>
      </c>
      <c r="BP493" s="1343">
        <f t="shared" si="3753"/>
        <v>0</v>
      </c>
      <c r="BQ493" s="1343">
        <f t="shared" si="3753"/>
        <v>0</v>
      </c>
      <c r="BR493" s="1343">
        <f t="shared" si="3753"/>
        <v>0</v>
      </c>
      <c r="BS493" s="1343">
        <f t="shared" si="3753"/>
        <v>0</v>
      </c>
      <c r="BT493" s="1343">
        <f t="shared" si="3753"/>
        <v>0</v>
      </c>
      <c r="BU493" s="1343">
        <f t="shared" si="3753"/>
        <v>0</v>
      </c>
      <c r="BV493" s="1343">
        <f t="shared" si="3753"/>
        <v>0</v>
      </c>
      <c r="BW493" s="1343">
        <f t="shared" si="3753"/>
        <v>0</v>
      </c>
      <c r="BX493" s="1343">
        <f t="shared" si="3753"/>
        <v>0</v>
      </c>
      <c r="BY493" s="1343">
        <f t="shared" si="3753"/>
        <v>0</v>
      </c>
      <c r="BZ493" s="1343">
        <f t="shared" si="3753"/>
        <v>0</v>
      </c>
      <c r="CA493" s="1343">
        <f t="shared" si="3753"/>
        <v>0</v>
      </c>
      <c r="CB493" s="1343">
        <f t="shared" si="3753"/>
        <v>0</v>
      </c>
      <c r="CC493" s="1343">
        <f t="shared" si="3753"/>
        <v>0</v>
      </c>
      <c r="CD493" s="1343">
        <f t="shared" si="3753"/>
        <v>0</v>
      </c>
      <c r="CE493" s="1343">
        <f t="shared" si="3751"/>
        <v>0</v>
      </c>
      <c r="CF493" s="1343">
        <f t="shared" si="3753"/>
        <v>0</v>
      </c>
      <c r="CG493" s="1343">
        <f t="shared" si="3753"/>
        <v>0</v>
      </c>
      <c r="CH493" s="1343">
        <f t="shared" si="3753"/>
        <v>0</v>
      </c>
      <c r="CI493" s="1343">
        <f t="shared" si="3753"/>
        <v>0</v>
      </c>
      <c r="CJ493" s="1343">
        <f t="shared" si="3753"/>
        <v>0</v>
      </c>
      <c r="CK493" s="1343">
        <f t="shared" si="3753"/>
        <v>0</v>
      </c>
      <c r="CL493" s="1343">
        <f t="shared" si="3753"/>
        <v>0</v>
      </c>
      <c r="CM493" s="1343">
        <f t="shared" si="3753"/>
        <v>0</v>
      </c>
      <c r="CN493" s="1343">
        <f t="shared" si="3753"/>
        <v>0</v>
      </c>
      <c r="CQ493" s="1331"/>
      <c r="CR493" s="1331"/>
      <c r="CS493" s="1331"/>
      <c r="CT493" s="1331"/>
      <c r="CU493" s="1331"/>
      <c r="CV493" s="1331"/>
      <c r="CW493" s="1331"/>
      <c r="CX493" s="1331"/>
      <c r="CY493" s="1331"/>
      <c r="CZ493" s="1331"/>
      <c r="DA493" s="1331"/>
      <c r="DB493" s="1331"/>
      <c r="DC493" s="1331"/>
      <c r="DD493" s="1331"/>
      <c r="DE493" s="1331"/>
      <c r="DF493" s="1331"/>
      <c r="DG493" s="1331"/>
      <c r="DH493" s="1331"/>
      <c r="DI493" s="1331"/>
      <c r="DJ493" s="1331"/>
      <c r="DK493" s="1331"/>
      <c r="DL493" s="1331"/>
      <c r="DM493" s="1331"/>
      <c r="DN493" s="1331"/>
      <c r="DO493" s="1331"/>
      <c r="DP493" s="1331"/>
      <c r="DQ493" s="1331"/>
      <c r="DR493" s="1331"/>
      <c r="DS493" s="1331"/>
      <c r="DT493" s="1331"/>
      <c r="DU493" s="1331"/>
      <c r="DV493" s="1331"/>
      <c r="DW493" s="1331"/>
      <c r="DX493" s="1331"/>
      <c r="DY493" s="1331"/>
      <c r="DZ493" s="1331"/>
      <c r="EA493" s="1331"/>
      <c r="EB493" s="1331"/>
      <c r="EC493" s="1331"/>
      <c r="ED493" s="1331"/>
      <c r="EE493" s="1331"/>
      <c r="EF493" s="1331"/>
      <c r="EG493" s="1331"/>
      <c r="EH493" s="1331"/>
      <c r="EI493" s="1331"/>
      <c r="EK493" s="1331"/>
    </row>
    <row r="494" spans="2:141" ht="12.75">
      <c r="B494" s="1848"/>
      <c r="C494" s="1848" t="s">
        <v>115</v>
      </c>
      <c r="AV494" s="1343">
        <f t="shared" ref="AV494:CN494" si="3754">AV447-AV400</f>
        <v>4906.4488000000019</v>
      </c>
      <c r="AW494" s="1343">
        <f t="shared" si="3754"/>
        <v>4636.5599999999995</v>
      </c>
      <c r="AX494" s="1343">
        <f t="shared" si="3754"/>
        <v>7</v>
      </c>
      <c r="AY494" s="1343">
        <f t="shared" si="3754"/>
        <v>138.52912500000002</v>
      </c>
      <c r="AZ494" s="1343">
        <f t="shared" si="3754"/>
        <v>0</v>
      </c>
      <c r="BA494" s="1343">
        <f t="shared" si="3754"/>
        <v>0</v>
      </c>
      <c r="BB494" s="1343">
        <f t="shared" si="3754"/>
        <v>0</v>
      </c>
      <c r="BC494" s="1343">
        <f t="shared" si="3754"/>
        <v>639.1987030974999</v>
      </c>
      <c r="BD494" s="1343">
        <f t="shared" si="3754"/>
        <v>10320.7366280975</v>
      </c>
      <c r="BE494" s="1343">
        <f t="shared" si="3754"/>
        <v>-4656.4487999999992</v>
      </c>
      <c r="BF494" s="1343">
        <f t="shared" si="3754"/>
        <v>-4481.42</v>
      </c>
      <c r="BG494" s="1343">
        <f t="shared" si="3754"/>
        <v>-7</v>
      </c>
      <c r="BH494" s="1343">
        <f t="shared" si="3754"/>
        <v>-138.52912500000002</v>
      </c>
      <c r="BI494" s="1343">
        <f t="shared" si="3754"/>
        <v>0</v>
      </c>
      <c r="BJ494" s="1343">
        <f t="shared" si="3754"/>
        <v>0</v>
      </c>
      <c r="BK494" s="1343">
        <f t="shared" si="3754"/>
        <v>0</v>
      </c>
      <c r="BL494" s="1343">
        <f t="shared" si="3754"/>
        <v>-607.52370309750006</v>
      </c>
      <c r="BM494" s="1343">
        <f t="shared" si="3754"/>
        <v>-9883.9216280975015</v>
      </c>
      <c r="BN494" s="1343">
        <f t="shared" si="3754"/>
        <v>0</v>
      </c>
      <c r="BO494" s="1343">
        <f t="shared" si="3754"/>
        <v>0</v>
      </c>
      <c r="BP494" s="1343">
        <f t="shared" si="3754"/>
        <v>0</v>
      </c>
      <c r="BQ494" s="1343">
        <f t="shared" si="3754"/>
        <v>0</v>
      </c>
      <c r="BR494" s="1343">
        <f t="shared" si="3754"/>
        <v>0</v>
      </c>
      <c r="BS494" s="1343">
        <f t="shared" si="3754"/>
        <v>0</v>
      </c>
      <c r="BT494" s="1343">
        <f t="shared" si="3754"/>
        <v>0</v>
      </c>
      <c r="BU494" s="1343">
        <f t="shared" si="3754"/>
        <v>0</v>
      </c>
      <c r="BV494" s="1343">
        <f t="shared" si="3754"/>
        <v>0</v>
      </c>
      <c r="BW494" s="1343">
        <f t="shared" si="3754"/>
        <v>-250</v>
      </c>
      <c r="BX494" s="1343">
        <f t="shared" si="3754"/>
        <v>-155.14000000000001</v>
      </c>
      <c r="BY494" s="1343">
        <f t="shared" si="3754"/>
        <v>0</v>
      </c>
      <c r="BZ494" s="1343">
        <f t="shared" si="3754"/>
        <v>0</v>
      </c>
      <c r="CA494" s="1343">
        <f t="shared" si="3754"/>
        <v>0</v>
      </c>
      <c r="CB494" s="1343">
        <f t="shared" si="3754"/>
        <v>0</v>
      </c>
      <c r="CC494" s="1343">
        <f t="shared" si="3754"/>
        <v>0</v>
      </c>
      <c r="CD494" s="1343">
        <f t="shared" si="3754"/>
        <v>-31.675000000000001</v>
      </c>
      <c r="CE494" s="1343">
        <f t="shared" si="3751"/>
        <v>-436.815</v>
      </c>
      <c r="CF494" s="1343">
        <f t="shared" si="3754"/>
        <v>0</v>
      </c>
      <c r="CG494" s="1343">
        <f t="shared" si="3754"/>
        <v>0</v>
      </c>
      <c r="CH494" s="1343">
        <f t="shared" si="3754"/>
        <v>0</v>
      </c>
      <c r="CI494" s="1343">
        <f t="shared" si="3754"/>
        <v>0</v>
      </c>
      <c r="CJ494" s="1343">
        <f t="shared" si="3754"/>
        <v>0</v>
      </c>
      <c r="CK494" s="1343">
        <f t="shared" si="3754"/>
        <v>0</v>
      </c>
      <c r="CL494" s="1343">
        <f t="shared" si="3754"/>
        <v>0</v>
      </c>
      <c r="CM494" s="1343">
        <f t="shared" si="3754"/>
        <v>0</v>
      </c>
      <c r="CN494" s="1343">
        <f t="shared" si="3754"/>
        <v>0</v>
      </c>
      <c r="CQ494" s="1331"/>
      <c r="CR494" s="1331"/>
      <c r="CS494" s="1331"/>
      <c r="CT494" s="1331"/>
      <c r="CU494" s="1331"/>
      <c r="CV494" s="1331"/>
      <c r="CW494" s="1331"/>
      <c r="CX494" s="1331"/>
      <c r="CY494" s="1331"/>
      <c r="CZ494" s="1331"/>
      <c r="DA494" s="1331"/>
      <c r="DB494" s="1331"/>
      <c r="DC494" s="1331"/>
      <c r="DD494" s="1331"/>
      <c r="DE494" s="1331"/>
      <c r="DF494" s="1331"/>
      <c r="DG494" s="1331"/>
      <c r="DH494" s="1331"/>
      <c r="DI494" s="1331"/>
      <c r="DJ494" s="1331"/>
      <c r="DK494" s="1331"/>
      <c r="DL494" s="1331"/>
      <c r="DM494" s="1331"/>
      <c r="DN494" s="1331"/>
      <c r="DO494" s="1331"/>
      <c r="DP494" s="1331"/>
      <c r="DQ494" s="1331"/>
      <c r="DR494" s="1331"/>
      <c r="DS494" s="1331"/>
      <c r="DT494" s="1331"/>
      <c r="DU494" s="1331"/>
      <c r="DV494" s="1331"/>
      <c r="DW494" s="1331"/>
      <c r="DX494" s="1331"/>
      <c r="DY494" s="1331"/>
      <c r="DZ494" s="1331"/>
      <c r="EA494" s="1331"/>
      <c r="EB494" s="1331"/>
      <c r="EC494" s="1331"/>
      <c r="ED494" s="1331"/>
      <c r="EE494" s="1331"/>
      <c r="EF494" s="1331"/>
      <c r="EG494" s="1331"/>
      <c r="EH494" s="1331"/>
      <c r="EI494" s="1331"/>
      <c r="EK494" s="1331"/>
    </row>
    <row r="495" spans="2:141" ht="12.75">
      <c r="B495" s="1848"/>
      <c r="C495" s="1848" t="s">
        <v>120</v>
      </c>
      <c r="AV495" s="1343">
        <f t="shared" ref="AV495:CN495" si="3755">AV448-AV401</f>
        <v>0</v>
      </c>
      <c r="AW495" s="1343">
        <f t="shared" si="3755"/>
        <v>0</v>
      </c>
      <c r="AX495" s="1343">
        <f t="shared" si="3755"/>
        <v>0</v>
      </c>
      <c r="AY495" s="1343">
        <f t="shared" si="3755"/>
        <v>0</v>
      </c>
      <c r="AZ495" s="1343">
        <f t="shared" si="3755"/>
        <v>0</v>
      </c>
      <c r="BA495" s="1343">
        <f t="shared" si="3755"/>
        <v>0</v>
      </c>
      <c r="BB495" s="1343">
        <f t="shared" si="3755"/>
        <v>0</v>
      </c>
      <c r="BC495" s="1343">
        <f t="shared" si="3755"/>
        <v>0</v>
      </c>
      <c r="BD495" s="1343">
        <f t="shared" si="3755"/>
        <v>0</v>
      </c>
      <c r="BE495" s="1343">
        <f t="shared" si="3755"/>
        <v>0</v>
      </c>
      <c r="BF495" s="1343">
        <f t="shared" si="3755"/>
        <v>0</v>
      </c>
      <c r="BG495" s="1343">
        <f t="shared" si="3755"/>
        <v>0</v>
      </c>
      <c r="BH495" s="1343">
        <f t="shared" si="3755"/>
        <v>0</v>
      </c>
      <c r="BI495" s="1343">
        <f t="shared" si="3755"/>
        <v>0</v>
      </c>
      <c r="BJ495" s="1343">
        <f t="shared" si="3755"/>
        <v>0</v>
      </c>
      <c r="BK495" s="1343">
        <f t="shared" si="3755"/>
        <v>0</v>
      </c>
      <c r="BL495" s="1343">
        <f t="shared" si="3755"/>
        <v>0</v>
      </c>
      <c r="BM495" s="1343">
        <f t="shared" si="3755"/>
        <v>0</v>
      </c>
      <c r="BN495" s="1343">
        <f t="shared" si="3755"/>
        <v>0</v>
      </c>
      <c r="BO495" s="1343">
        <f t="shared" si="3755"/>
        <v>0</v>
      </c>
      <c r="BP495" s="1343">
        <f t="shared" si="3755"/>
        <v>0</v>
      </c>
      <c r="BQ495" s="1343">
        <f t="shared" si="3755"/>
        <v>0</v>
      </c>
      <c r="BR495" s="1343">
        <f t="shared" si="3755"/>
        <v>0</v>
      </c>
      <c r="BS495" s="1343">
        <f t="shared" si="3755"/>
        <v>0</v>
      </c>
      <c r="BT495" s="1343">
        <f t="shared" si="3755"/>
        <v>0</v>
      </c>
      <c r="BU495" s="1343">
        <f t="shared" si="3755"/>
        <v>0</v>
      </c>
      <c r="BV495" s="1343">
        <f t="shared" si="3755"/>
        <v>0</v>
      </c>
      <c r="BW495" s="1343">
        <f t="shared" si="3755"/>
        <v>0</v>
      </c>
      <c r="BX495" s="1343">
        <f t="shared" si="3755"/>
        <v>0</v>
      </c>
      <c r="BY495" s="1343">
        <f t="shared" si="3755"/>
        <v>0</v>
      </c>
      <c r="BZ495" s="1343">
        <f t="shared" si="3755"/>
        <v>0</v>
      </c>
      <c r="CA495" s="1343">
        <f t="shared" si="3755"/>
        <v>0</v>
      </c>
      <c r="CB495" s="1343">
        <f t="shared" si="3755"/>
        <v>0</v>
      </c>
      <c r="CC495" s="1343">
        <f t="shared" si="3755"/>
        <v>0</v>
      </c>
      <c r="CD495" s="1343">
        <f t="shared" si="3755"/>
        <v>0</v>
      </c>
      <c r="CE495" s="1343">
        <f t="shared" si="3751"/>
        <v>0</v>
      </c>
      <c r="CF495" s="1343">
        <f t="shared" si="3755"/>
        <v>0</v>
      </c>
      <c r="CG495" s="1343">
        <f t="shared" si="3755"/>
        <v>0</v>
      </c>
      <c r="CH495" s="1343">
        <f t="shared" si="3755"/>
        <v>0</v>
      </c>
      <c r="CI495" s="1343">
        <f t="shared" si="3755"/>
        <v>0</v>
      </c>
      <c r="CJ495" s="1343">
        <f t="shared" si="3755"/>
        <v>0</v>
      </c>
      <c r="CK495" s="1343">
        <f t="shared" si="3755"/>
        <v>0</v>
      </c>
      <c r="CL495" s="1343">
        <f t="shared" si="3755"/>
        <v>0</v>
      </c>
      <c r="CM495" s="1343">
        <f t="shared" si="3755"/>
        <v>0</v>
      </c>
      <c r="CN495" s="1343">
        <f t="shared" si="3755"/>
        <v>0</v>
      </c>
      <c r="CQ495" s="1331"/>
      <c r="CR495" s="1331"/>
      <c r="CS495" s="1331"/>
      <c r="CT495" s="1331"/>
      <c r="CU495" s="1331"/>
      <c r="CV495" s="1331"/>
      <c r="CW495" s="1331"/>
      <c r="CX495" s="1331"/>
      <c r="CY495" s="1331"/>
      <c r="CZ495" s="1331"/>
      <c r="DA495" s="1331"/>
      <c r="DB495" s="1331"/>
      <c r="DC495" s="1331"/>
      <c r="DD495" s="1331"/>
      <c r="DE495" s="1331"/>
      <c r="DF495" s="1331"/>
      <c r="DG495" s="1331"/>
      <c r="DH495" s="1331"/>
      <c r="DI495" s="1331"/>
      <c r="DJ495" s="1331"/>
      <c r="DK495" s="1331"/>
      <c r="DL495" s="1331"/>
      <c r="DM495" s="1331"/>
      <c r="DN495" s="1331"/>
      <c r="DO495" s="1331"/>
      <c r="DP495" s="1331"/>
      <c r="DQ495" s="1331"/>
      <c r="DR495" s="1331"/>
      <c r="DS495" s="1331"/>
      <c r="DT495" s="1331"/>
      <c r="DU495" s="1331"/>
      <c r="DV495" s="1331"/>
      <c r="DW495" s="1331"/>
      <c r="DX495" s="1331"/>
      <c r="DY495" s="1331"/>
      <c r="DZ495" s="1331"/>
      <c r="EA495" s="1331"/>
      <c r="EB495" s="1331"/>
      <c r="EC495" s="1331"/>
      <c r="ED495" s="1331"/>
      <c r="EE495" s="1331"/>
      <c r="EF495" s="1331"/>
      <c r="EG495" s="1331"/>
      <c r="EH495" s="1331"/>
      <c r="EI495" s="1331"/>
      <c r="EK495" s="1331"/>
    </row>
    <row r="496" spans="2:141" ht="12.75">
      <c r="B496" s="1848"/>
      <c r="C496" s="1848" t="s">
        <v>121</v>
      </c>
      <c r="AV496" s="1343">
        <f t="shared" ref="AV496:CN496" si="3756">AV449-AV402</f>
        <v>0</v>
      </c>
      <c r="AW496" s="1343">
        <f t="shared" si="3756"/>
        <v>0</v>
      </c>
      <c r="AX496" s="1343">
        <f t="shared" si="3756"/>
        <v>0</v>
      </c>
      <c r="AY496" s="1343">
        <f t="shared" si="3756"/>
        <v>0</v>
      </c>
      <c r="AZ496" s="1343">
        <f t="shared" si="3756"/>
        <v>0</v>
      </c>
      <c r="BA496" s="1343">
        <f t="shared" si="3756"/>
        <v>0</v>
      </c>
      <c r="BB496" s="1343">
        <f t="shared" si="3756"/>
        <v>0</v>
      </c>
      <c r="BC496" s="1343">
        <f t="shared" si="3756"/>
        <v>0</v>
      </c>
      <c r="BD496" s="1343">
        <f t="shared" si="3756"/>
        <v>0</v>
      </c>
      <c r="BE496" s="1343">
        <f t="shared" si="3756"/>
        <v>0</v>
      </c>
      <c r="BF496" s="1343">
        <f t="shared" si="3756"/>
        <v>0</v>
      </c>
      <c r="BG496" s="1343">
        <f t="shared" si="3756"/>
        <v>0</v>
      </c>
      <c r="BH496" s="1343">
        <f t="shared" si="3756"/>
        <v>0</v>
      </c>
      <c r="BI496" s="1343">
        <f t="shared" si="3756"/>
        <v>0</v>
      </c>
      <c r="BJ496" s="1343">
        <f t="shared" si="3756"/>
        <v>0</v>
      </c>
      <c r="BK496" s="1343">
        <f t="shared" si="3756"/>
        <v>0</v>
      </c>
      <c r="BL496" s="1343">
        <f t="shared" si="3756"/>
        <v>0</v>
      </c>
      <c r="BM496" s="1343">
        <f t="shared" si="3756"/>
        <v>0</v>
      </c>
      <c r="BN496" s="1343">
        <f t="shared" si="3756"/>
        <v>0</v>
      </c>
      <c r="BO496" s="1343">
        <f t="shared" si="3756"/>
        <v>0</v>
      </c>
      <c r="BP496" s="1343">
        <f t="shared" si="3756"/>
        <v>0</v>
      </c>
      <c r="BQ496" s="1343">
        <f t="shared" si="3756"/>
        <v>0</v>
      </c>
      <c r="BR496" s="1343">
        <f t="shared" si="3756"/>
        <v>0</v>
      </c>
      <c r="BS496" s="1343">
        <f t="shared" si="3756"/>
        <v>0</v>
      </c>
      <c r="BT496" s="1343">
        <f t="shared" si="3756"/>
        <v>0</v>
      </c>
      <c r="BU496" s="1343">
        <f t="shared" si="3756"/>
        <v>0</v>
      </c>
      <c r="BV496" s="1343">
        <f t="shared" si="3756"/>
        <v>0</v>
      </c>
      <c r="BW496" s="1343">
        <f t="shared" si="3756"/>
        <v>0</v>
      </c>
      <c r="BX496" s="1343">
        <f t="shared" si="3756"/>
        <v>0</v>
      </c>
      <c r="BY496" s="1343">
        <f t="shared" si="3756"/>
        <v>0</v>
      </c>
      <c r="BZ496" s="1343">
        <f t="shared" si="3756"/>
        <v>0</v>
      </c>
      <c r="CA496" s="1343">
        <f t="shared" si="3756"/>
        <v>0</v>
      </c>
      <c r="CB496" s="1343">
        <f t="shared" si="3756"/>
        <v>0</v>
      </c>
      <c r="CC496" s="1343">
        <f t="shared" si="3756"/>
        <v>0</v>
      </c>
      <c r="CD496" s="1343">
        <f t="shared" si="3756"/>
        <v>0</v>
      </c>
      <c r="CE496" s="1343">
        <f t="shared" si="3751"/>
        <v>0</v>
      </c>
      <c r="CF496" s="1343">
        <f t="shared" si="3756"/>
        <v>0</v>
      </c>
      <c r="CG496" s="1343">
        <f t="shared" si="3756"/>
        <v>0</v>
      </c>
      <c r="CH496" s="1343">
        <f t="shared" si="3756"/>
        <v>0</v>
      </c>
      <c r="CI496" s="1343">
        <f t="shared" si="3756"/>
        <v>0</v>
      </c>
      <c r="CJ496" s="1343">
        <f t="shared" si="3756"/>
        <v>0</v>
      </c>
      <c r="CK496" s="1343">
        <f t="shared" si="3756"/>
        <v>0</v>
      </c>
      <c r="CL496" s="1343">
        <f t="shared" si="3756"/>
        <v>0</v>
      </c>
      <c r="CM496" s="1343">
        <f t="shared" si="3756"/>
        <v>0</v>
      </c>
      <c r="CN496" s="1343">
        <f t="shared" si="3756"/>
        <v>0</v>
      </c>
      <c r="CQ496" s="1331"/>
      <c r="CR496" s="1331"/>
      <c r="CS496" s="1331"/>
      <c r="CT496" s="1331"/>
      <c r="CU496" s="1331"/>
      <c r="CV496" s="1331"/>
      <c r="CW496" s="1331"/>
      <c r="CX496" s="1331"/>
      <c r="CY496" s="1331"/>
      <c r="CZ496" s="1331"/>
      <c r="DA496" s="1331"/>
      <c r="DB496" s="1331"/>
      <c r="DC496" s="1331"/>
      <c r="DD496" s="1331"/>
      <c r="DE496" s="1331"/>
      <c r="DF496" s="1331"/>
      <c r="DG496" s="1331"/>
      <c r="DH496" s="1331"/>
      <c r="DI496" s="1331"/>
      <c r="DJ496" s="1331"/>
      <c r="DK496" s="1331"/>
      <c r="DL496" s="1331"/>
      <c r="DM496" s="1331"/>
      <c r="DN496" s="1331"/>
      <c r="DO496" s="1331"/>
      <c r="DP496" s="1331"/>
      <c r="DQ496" s="1331"/>
      <c r="DR496" s="1331"/>
      <c r="DS496" s="1331"/>
      <c r="DT496" s="1331"/>
      <c r="DU496" s="1331"/>
      <c r="DV496" s="1331"/>
      <c r="DW496" s="1331"/>
      <c r="DX496" s="1331"/>
      <c r="DY496" s="1331"/>
      <c r="DZ496" s="1331"/>
      <c r="EA496" s="1331"/>
      <c r="EB496" s="1331"/>
      <c r="EC496" s="1331"/>
      <c r="ED496" s="1331"/>
      <c r="EE496" s="1331"/>
      <c r="EF496" s="1331"/>
      <c r="EG496" s="1331"/>
      <c r="EH496" s="1331"/>
      <c r="EI496" s="1331"/>
      <c r="EK496" s="1331"/>
    </row>
    <row r="497" spans="2:141" ht="12.75">
      <c r="B497" s="1848"/>
      <c r="C497" s="1848" t="s">
        <v>227</v>
      </c>
      <c r="AV497" s="1343">
        <f t="shared" ref="AV497:CN497" si="3757">AV450-AV403</f>
        <v>0</v>
      </c>
      <c r="AW497" s="1343">
        <f t="shared" si="3757"/>
        <v>0</v>
      </c>
      <c r="AX497" s="1343">
        <f t="shared" si="3757"/>
        <v>0</v>
      </c>
      <c r="AY497" s="1343">
        <f t="shared" si="3757"/>
        <v>0</v>
      </c>
      <c r="AZ497" s="1343">
        <f t="shared" si="3757"/>
        <v>0</v>
      </c>
      <c r="BA497" s="1343">
        <f t="shared" si="3757"/>
        <v>0</v>
      </c>
      <c r="BB497" s="1343">
        <f t="shared" si="3757"/>
        <v>0</v>
      </c>
      <c r="BC497" s="1343">
        <f t="shared" si="3757"/>
        <v>0</v>
      </c>
      <c r="BD497" s="1343">
        <f t="shared" si="3757"/>
        <v>0</v>
      </c>
      <c r="BE497" s="1343">
        <f t="shared" si="3757"/>
        <v>2075</v>
      </c>
      <c r="BF497" s="1343">
        <f t="shared" si="3757"/>
        <v>750</v>
      </c>
      <c r="BG497" s="1343">
        <f t="shared" si="3757"/>
        <v>0</v>
      </c>
      <c r="BH497" s="1343">
        <f t="shared" si="3757"/>
        <v>0</v>
      </c>
      <c r="BI497" s="1343">
        <f t="shared" si="3757"/>
        <v>0</v>
      </c>
      <c r="BJ497" s="1343">
        <f t="shared" si="3757"/>
        <v>0</v>
      </c>
      <c r="BK497" s="1343">
        <f t="shared" si="3757"/>
        <v>0</v>
      </c>
      <c r="BL497" s="1343">
        <f t="shared" si="3757"/>
        <v>262.90250000000015</v>
      </c>
      <c r="BM497" s="1343">
        <f t="shared" si="3757"/>
        <v>3087.9025000000038</v>
      </c>
      <c r="BN497" s="1343">
        <f t="shared" si="3757"/>
        <v>-2075</v>
      </c>
      <c r="BO497" s="1343">
        <f t="shared" si="3757"/>
        <v>-750</v>
      </c>
      <c r="BP497" s="1343">
        <f t="shared" si="3757"/>
        <v>0</v>
      </c>
      <c r="BQ497" s="1343">
        <f t="shared" si="3757"/>
        <v>0</v>
      </c>
      <c r="BR497" s="1343">
        <f t="shared" si="3757"/>
        <v>0</v>
      </c>
      <c r="BS497" s="1343">
        <f t="shared" si="3757"/>
        <v>0</v>
      </c>
      <c r="BT497" s="1343">
        <f t="shared" si="3757"/>
        <v>0</v>
      </c>
      <c r="BU497" s="1343">
        <f t="shared" si="3757"/>
        <v>-262.90250000000003</v>
      </c>
      <c r="BV497" s="1343">
        <f t="shared" si="3757"/>
        <v>-3087.9025000000001</v>
      </c>
      <c r="BW497" s="1343">
        <f t="shared" si="3757"/>
        <v>0</v>
      </c>
      <c r="BX497" s="1343">
        <f t="shared" si="3757"/>
        <v>0</v>
      </c>
      <c r="BY497" s="1343">
        <f t="shared" si="3757"/>
        <v>0</v>
      </c>
      <c r="BZ497" s="1343">
        <f t="shared" si="3757"/>
        <v>0</v>
      </c>
      <c r="CA497" s="1343">
        <f t="shared" si="3757"/>
        <v>0</v>
      </c>
      <c r="CB497" s="1343">
        <f t="shared" si="3757"/>
        <v>0</v>
      </c>
      <c r="CC497" s="1343">
        <f t="shared" si="3757"/>
        <v>0</v>
      </c>
      <c r="CD497" s="1343">
        <f t="shared" si="3757"/>
        <v>0</v>
      </c>
      <c r="CE497" s="1343">
        <f t="shared" si="3751"/>
        <v>0</v>
      </c>
      <c r="CF497" s="1343">
        <f t="shared" si="3757"/>
        <v>0</v>
      </c>
      <c r="CG497" s="1343">
        <f t="shared" si="3757"/>
        <v>0</v>
      </c>
      <c r="CH497" s="1343">
        <f t="shared" si="3757"/>
        <v>0</v>
      </c>
      <c r="CI497" s="1343">
        <f t="shared" si="3757"/>
        <v>0</v>
      </c>
      <c r="CJ497" s="1343">
        <f t="shared" si="3757"/>
        <v>0</v>
      </c>
      <c r="CK497" s="1343">
        <f t="shared" si="3757"/>
        <v>0</v>
      </c>
      <c r="CL497" s="1343">
        <f t="shared" si="3757"/>
        <v>0</v>
      </c>
      <c r="CM497" s="1343">
        <f t="shared" si="3757"/>
        <v>0</v>
      </c>
      <c r="CN497" s="1343">
        <f t="shared" si="3757"/>
        <v>0</v>
      </c>
      <c r="CQ497" s="1331"/>
      <c r="CR497" s="1331"/>
      <c r="CS497" s="1331"/>
      <c r="CT497" s="1331"/>
      <c r="CU497" s="1331"/>
      <c r="CV497" s="1331"/>
      <c r="CW497" s="1331"/>
      <c r="CX497" s="1331"/>
      <c r="CY497" s="1331"/>
      <c r="CZ497" s="1331"/>
      <c r="DA497" s="1331"/>
      <c r="DB497" s="1331"/>
      <c r="DC497" s="1331"/>
      <c r="DD497" s="1331"/>
      <c r="DE497" s="1331"/>
      <c r="DF497" s="1331"/>
      <c r="DG497" s="1331"/>
      <c r="DH497" s="1331"/>
      <c r="DI497" s="1331"/>
      <c r="DJ497" s="1331"/>
      <c r="DK497" s="1331"/>
      <c r="DL497" s="1331"/>
      <c r="DM497" s="1331"/>
      <c r="DN497" s="1331"/>
      <c r="DO497" s="1331"/>
      <c r="DP497" s="1331"/>
      <c r="DQ497" s="1331"/>
      <c r="DR497" s="1331"/>
      <c r="DS497" s="1331"/>
      <c r="DT497" s="1331"/>
      <c r="DU497" s="1331"/>
      <c r="DV497" s="1331"/>
      <c r="DW497" s="1331"/>
      <c r="DX497" s="1331"/>
      <c r="DY497" s="1331"/>
      <c r="DZ497" s="1331"/>
      <c r="EA497" s="1331"/>
      <c r="EB497" s="1331"/>
      <c r="EC497" s="1331"/>
      <c r="ED497" s="1331"/>
      <c r="EE497" s="1331"/>
      <c r="EF497" s="1331"/>
      <c r="EG497" s="1331"/>
      <c r="EH497" s="1331"/>
      <c r="EI497" s="1331"/>
      <c r="EK497" s="1331"/>
    </row>
    <row r="498" spans="2:141" ht="12.75">
      <c r="B498" s="1848"/>
      <c r="C498" s="1848" t="s">
        <v>391</v>
      </c>
      <c r="AV498" s="1343">
        <f t="shared" ref="AV498:CN498" si="3758">AV451-AV404</f>
        <v>0</v>
      </c>
      <c r="AW498" s="1343">
        <f t="shared" si="3758"/>
        <v>18.080000000001746</v>
      </c>
      <c r="AX498" s="1343">
        <f t="shared" si="3758"/>
        <v>0</v>
      </c>
      <c r="AY498" s="1343">
        <f t="shared" si="3758"/>
        <v>0</v>
      </c>
      <c r="AZ498" s="1343">
        <f t="shared" si="3758"/>
        <v>0</v>
      </c>
      <c r="BA498" s="1343">
        <f t="shared" si="3758"/>
        <v>0</v>
      </c>
      <c r="BB498" s="1343">
        <f t="shared" si="3758"/>
        <v>0</v>
      </c>
      <c r="BC498" s="1343">
        <f t="shared" si="3758"/>
        <v>0</v>
      </c>
      <c r="BD498" s="1343">
        <f t="shared" si="3758"/>
        <v>18.080000000001746</v>
      </c>
      <c r="BE498" s="1343">
        <f t="shared" si="3758"/>
        <v>0</v>
      </c>
      <c r="BF498" s="1343">
        <f t="shared" si="3758"/>
        <v>-18.079999999999998</v>
      </c>
      <c r="BG498" s="1343">
        <f t="shared" si="3758"/>
        <v>0</v>
      </c>
      <c r="BH498" s="1343">
        <f t="shared" si="3758"/>
        <v>0</v>
      </c>
      <c r="BI498" s="1343">
        <f t="shared" si="3758"/>
        <v>0</v>
      </c>
      <c r="BJ498" s="1343">
        <f t="shared" si="3758"/>
        <v>0</v>
      </c>
      <c r="BK498" s="1343">
        <f t="shared" si="3758"/>
        <v>0</v>
      </c>
      <c r="BL498" s="1343">
        <f t="shared" si="3758"/>
        <v>0</v>
      </c>
      <c r="BM498" s="1343">
        <f t="shared" si="3758"/>
        <v>-18.079999999999998</v>
      </c>
      <c r="BN498" s="1343">
        <f t="shared" si="3758"/>
        <v>0</v>
      </c>
      <c r="BO498" s="1343">
        <f t="shared" si="3758"/>
        <v>0</v>
      </c>
      <c r="BP498" s="1343">
        <f t="shared" si="3758"/>
        <v>0</v>
      </c>
      <c r="BQ498" s="1343">
        <f t="shared" si="3758"/>
        <v>0</v>
      </c>
      <c r="BR498" s="1343">
        <f t="shared" si="3758"/>
        <v>0</v>
      </c>
      <c r="BS498" s="1343">
        <f t="shared" si="3758"/>
        <v>0</v>
      </c>
      <c r="BT498" s="1343">
        <f t="shared" si="3758"/>
        <v>0</v>
      </c>
      <c r="BU498" s="1343">
        <f t="shared" si="3758"/>
        <v>0</v>
      </c>
      <c r="BV498" s="1343">
        <f t="shared" si="3758"/>
        <v>0</v>
      </c>
      <c r="BW498" s="1343">
        <f t="shared" si="3758"/>
        <v>0</v>
      </c>
      <c r="BX498" s="1343">
        <f t="shared" si="3758"/>
        <v>0</v>
      </c>
      <c r="BY498" s="1343">
        <f t="shared" si="3758"/>
        <v>0</v>
      </c>
      <c r="BZ498" s="1343">
        <f t="shared" si="3758"/>
        <v>0</v>
      </c>
      <c r="CA498" s="1343">
        <f t="shared" si="3758"/>
        <v>0</v>
      </c>
      <c r="CB498" s="1343">
        <f t="shared" si="3758"/>
        <v>0</v>
      </c>
      <c r="CC498" s="1343">
        <f t="shared" si="3758"/>
        <v>0</v>
      </c>
      <c r="CD498" s="1343">
        <f t="shared" si="3758"/>
        <v>0</v>
      </c>
      <c r="CE498" s="1343">
        <f t="shared" si="3751"/>
        <v>0</v>
      </c>
      <c r="CF498" s="1343">
        <f t="shared" si="3758"/>
        <v>0</v>
      </c>
      <c r="CG498" s="1343">
        <f t="shared" si="3758"/>
        <v>0</v>
      </c>
      <c r="CH498" s="1343">
        <f t="shared" si="3758"/>
        <v>0</v>
      </c>
      <c r="CI498" s="1343">
        <f t="shared" si="3758"/>
        <v>0</v>
      </c>
      <c r="CJ498" s="1343">
        <f t="shared" si="3758"/>
        <v>0</v>
      </c>
      <c r="CK498" s="1343">
        <f t="shared" si="3758"/>
        <v>0</v>
      </c>
      <c r="CL498" s="1343">
        <f t="shared" si="3758"/>
        <v>0</v>
      </c>
      <c r="CM498" s="1343">
        <f t="shared" si="3758"/>
        <v>0</v>
      </c>
      <c r="CN498" s="1343">
        <f t="shared" si="3758"/>
        <v>0</v>
      </c>
      <c r="CQ498" s="1331"/>
      <c r="CR498" s="1331"/>
      <c r="CS498" s="1331"/>
      <c r="CT498" s="1331"/>
      <c r="CU498" s="1331"/>
      <c r="CV498" s="1331"/>
      <c r="CW498" s="1331"/>
      <c r="CX498" s="1331"/>
      <c r="CY498" s="1331"/>
      <c r="CZ498" s="1331"/>
      <c r="DA498" s="1331"/>
      <c r="DB498" s="1331"/>
      <c r="DC498" s="1331"/>
      <c r="DD498" s="1331"/>
      <c r="DE498" s="1331"/>
      <c r="DF498" s="1331"/>
      <c r="DG498" s="1331"/>
      <c r="DH498" s="1331"/>
      <c r="DI498" s="1331"/>
      <c r="DJ498" s="1331"/>
      <c r="DK498" s="1331"/>
      <c r="DL498" s="1331"/>
      <c r="DM498" s="1331"/>
      <c r="DN498" s="1331"/>
      <c r="DO498" s="1331"/>
      <c r="DP498" s="1331"/>
      <c r="DQ498" s="1331"/>
      <c r="DR498" s="1331"/>
      <c r="DS498" s="1331"/>
      <c r="DT498" s="1331"/>
      <c r="DU498" s="1331"/>
      <c r="DV498" s="1331"/>
      <c r="DW498" s="1331"/>
      <c r="DX498" s="1331"/>
      <c r="DY498" s="1331"/>
      <c r="DZ498" s="1331"/>
      <c r="EA498" s="1331"/>
      <c r="EB498" s="1331"/>
      <c r="EC498" s="1331"/>
      <c r="ED498" s="1331"/>
      <c r="EE498" s="1331"/>
      <c r="EF498" s="1331"/>
      <c r="EG498" s="1331"/>
      <c r="EH498" s="1331"/>
      <c r="EI498" s="1331"/>
      <c r="EK498" s="1331"/>
    </row>
    <row r="499" spans="2:141" ht="12.75">
      <c r="B499" s="1848"/>
      <c r="C499" s="1848" t="s">
        <v>126</v>
      </c>
      <c r="AV499" s="1343">
        <f t="shared" ref="AV499:CN499" si="3759">AV452-AV405</f>
        <v>0</v>
      </c>
      <c r="AW499" s="1343">
        <f t="shared" si="3759"/>
        <v>0</v>
      </c>
      <c r="AX499" s="1343">
        <f t="shared" si="3759"/>
        <v>0</v>
      </c>
      <c r="AY499" s="1343">
        <f t="shared" si="3759"/>
        <v>0</v>
      </c>
      <c r="AZ499" s="1343">
        <f t="shared" si="3759"/>
        <v>0</v>
      </c>
      <c r="BA499" s="1343">
        <f t="shared" si="3759"/>
        <v>0</v>
      </c>
      <c r="BB499" s="1343">
        <f t="shared" si="3759"/>
        <v>0</v>
      </c>
      <c r="BC499" s="1343">
        <f t="shared" si="3759"/>
        <v>0</v>
      </c>
      <c r="BD499" s="1343">
        <f t="shared" si="3759"/>
        <v>0</v>
      </c>
      <c r="BE499" s="1343">
        <f t="shared" si="3759"/>
        <v>0</v>
      </c>
      <c r="BF499" s="1343">
        <f t="shared" si="3759"/>
        <v>0</v>
      </c>
      <c r="BG499" s="1343">
        <f t="shared" si="3759"/>
        <v>0</v>
      </c>
      <c r="BH499" s="1343">
        <f t="shared" si="3759"/>
        <v>0</v>
      </c>
      <c r="BI499" s="1343">
        <f t="shared" si="3759"/>
        <v>0</v>
      </c>
      <c r="BJ499" s="1343">
        <f t="shared" si="3759"/>
        <v>0</v>
      </c>
      <c r="BK499" s="1343">
        <f t="shared" si="3759"/>
        <v>0</v>
      </c>
      <c r="BL499" s="1343">
        <f t="shared" si="3759"/>
        <v>0</v>
      </c>
      <c r="BM499" s="1343">
        <f t="shared" si="3759"/>
        <v>0</v>
      </c>
      <c r="BN499" s="1343">
        <f t="shared" si="3759"/>
        <v>0</v>
      </c>
      <c r="BO499" s="1343">
        <f t="shared" si="3759"/>
        <v>0</v>
      </c>
      <c r="BP499" s="1343">
        <f t="shared" si="3759"/>
        <v>0</v>
      </c>
      <c r="BQ499" s="1343">
        <f t="shared" si="3759"/>
        <v>0</v>
      </c>
      <c r="BR499" s="1343">
        <f t="shared" si="3759"/>
        <v>0</v>
      </c>
      <c r="BS499" s="1343">
        <f t="shared" si="3759"/>
        <v>0</v>
      </c>
      <c r="BT499" s="1343">
        <f t="shared" si="3759"/>
        <v>0</v>
      </c>
      <c r="BU499" s="1343">
        <f t="shared" si="3759"/>
        <v>0</v>
      </c>
      <c r="BV499" s="1343">
        <f t="shared" si="3759"/>
        <v>0</v>
      </c>
      <c r="BW499" s="1343">
        <f t="shared" si="3759"/>
        <v>0</v>
      </c>
      <c r="BX499" s="1343">
        <f t="shared" si="3759"/>
        <v>0</v>
      </c>
      <c r="BY499" s="1343">
        <f t="shared" si="3759"/>
        <v>0</v>
      </c>
      <c r="BZ499" s="1343">
        <f t="shared" si="3759"/>
        <v>0</v>
      </c>
      <c r="CA499" s="1343">
        <f t="shared" si="3759"/>
        <v>0</v>
      </c>
      <c r="CB499" s="1343">
        <f t="shared" si="3759"/>
        <v>0</v>
      </c>
      <c r="CC499" s="1343">
        <f t="shared" si="3759"/>
        <v>0</v>
      </c>
      <c r="CD499" s="1343">
        <f t="shared" si="3759"/>
        <v>0</v>
      </c>
      <c r="CE499" s="1343">
        <f t="shared" si="3751"/>
        <v>0</v>
      </c>
      <c r="CF499" s="1343">
        <f t="shared" si="3759"/>
        <v>0</v>
      </c>
      <c r="CG499" s="1343">
        <f t="shared" si="3759"/>
        <v>0</v>
      </c>
      <c r="CH499" s="1343">
        <f t="shared" si="3759"/>
        <v>0</v>
      </c>
      <c r="CI499" s="1343">
        <f t="shared" si="3759"/>
        <v>0</v>
      </c>
      <c r="CJ499" s="1343">
        <f t="shared" si="3759"/>
        <v>0</v>
      </c>
      <c r="CK499" s="1343">
        <f t="shared" si="3759"/>
        <v>0</v>
      </c>
      <c r="CL499" s="1343">
        <f t="shared" si="3759"/>
        <v>0</v>
      </c>
      <c r="CM499" s="1343">
        <f t="shared" si="3759"/>
        <v>0</v>
      </c>
      <c r="CN499" s="1343">
        <f t="shared" si="3759"/>
        <v>0</v>
      </c>
      <c r="CQ499" s="1331"/>
      <c r="CR499" s="1331"/>
      <c r="CS499" s="1331"/>
      <c r="CT499" s="1331"/>
      <c r="CU499" s="1331"/>
      <c r="CV499" s="1331"/>
      <c r="CW499" s="1331"/>
      <c r="CX499" s="1331"/>
      <c r="CY499" s="1331"/>
      <c r="CZ499" s="1331"/>
      <c r="DA499" s="1331"/>
      <c r="DB499" s="1331"/>
      <c r="DC499" s="1331"/>
      <c r="DD499" s="1331"/>
      <c r="DE499" s="1331"/>
      <c r="DF499" s="1331"/>
      <c r="DG499" s="1331"/>
      <c r="DH499" s="1331"/>
      <c r="DI499" s="1331"/>
      <c r="DJ499" s="1331"/>
      <c r="DK499" s="1331"/>
      <c r="DL499" s="1331"/>
      <c r="DM499" s="1331"/>
      <c r="DN499" s="1331"/>
      <c r="DO499" s="1331"/>
      <c r="DP499" s="1331"/>
      <c r="DQ499" s="1331"/>
      <c r="DR499" s="1331"/>
      <c r="DS499" s="1331"/>
      <c r="DT499" s="1331"/>
      <c r="DU499" s="1331"/>
      <c r="DV499" s="1331"/>
      <c r="DW499" s="1331"/>
      <c r="DX499" s="1331"/>
      <c r="DY499" s="1331"/>
      <c r="DZ499" s="1331"/>
      <c r="EA499" s="1331"/>
      <c r="EB499" s="1331"/>
      <c r="EC499" s="1331"/>
      <c r="ED499" s="1331"/>
      <c r="EE499" s="1331"/>
      <c r="EF499" s="1331"/>
      <c r="EG499" s="1331"/>
      <c r="EH499" s="1331"/>
      <c r="EI499" s="1331"/>
      <c r="EK499" s="1331"/>
    </row>
    <row r="500" spans="2:141" ht="12.75">
      <c r="B500" s="1848"/>
      <c r="C500" s="1848" t="s">
        <v>127</v>
      </c>
      <c r="AV500" s="1343">
        <f t="shared" ref="AV500:CN500" si="3760">AV453-AV406</f>
        <v>0</v>
      </c>
      <c r="AW500" s="1343">
        <f t="shared" si="3760"/>
        <v>0</v>
      </c>
      <c r="AX500" s="1343">
        <f t="shared" si="3760"/>
        <v>0</v>
      </c>
      <c r="AY500" s="1343">
        <f t="shared" si="3760"/>
        <v>0</v>
      </c>
      <c r="AZ500" s="1343">
        <f t="shared" si="3760"/>
        <v>0</v>
      </c>
      <c r="BA500" s="1343">
        <f t="shared" si="3760"/>
        <v>0</v>
      </c>
      <c r="BB500" s="1343">
        <f t="shared" si="3760"/>
        <v>0</v>
      </c>
      <c r="BC500" s="1343">
        <f t="shared" si="3760"/>
        <v>0</v>
      </c>
      <c r="BD500" s="1343">
        <f t="shared" si="3760"/>
        <v>0</v>
      </c>
      <c r="BE500" s="1343">
        <f t="shared" si="3760"/>
        <v>0</v>
      </c>
      <c r="BF500" s="1343">
        <f t="shared" si="3760"/>
        <v>0</v>
      </c>
      <c r="BG500" s="1343">
        <f t="shared" si="3760"/>
        <v>0</v>
      </c>
      <c r="BH500" s="1343">
        <f t="shared" si="3760"/>
        <v>0</v>
      </c>
      <c r="BI500" s="1343">
        <f t="shared" si="3760"/>
        <v>0</v>
      </c>
      <c r="BJ500" s="1343">
        <f t="shared" si="3760"/>
        <v>0</v>
      </c>
      <c r="BK500" s="1343">
        <f t="shared" si="3760"/>
        <v>0</v>
      </c>
      <c r="BL500" s="1343">
        <f t="shared" si="3760"/>
        <v>0</v>
      </c>
      <c r="BM500" s="1343">
        <f t="shared" si="3760"/>
        <v>0</v>
      </c>
      <c r="BN500" s="1343">
        <f t="shared" si="3760"/>
        <v>0</v>
      </c>
      <c r="BO500" s="1343">
        <f t="shared" si="3760"/>
        <v>0</v>
      </c>
      <c r="BP500" s="1343">
        <f t="shared" si="3760"/>
        <v>0</v>
      </c>
      <c r="BQ500" s="1343">
        <f t="shared" si="3760"/>
        <v>0</v>
      </c>
      <c r="BR500" s="1343">
        <f t="shared" si="3760"/>
        <v>0</v>
      </c>
      <c r="BS500" s="1343">
        <f t="shared" si="3760"/>
        <v>0</v>
      </c>
      <c r="BT500" s="1343">
        <f t="shared" si="3760"/>
        <v>0</v>
      </c>
      <c r="BU500" s="1343">
        <f t="shared" si="3760"/>
        <v>0</v>
      </c>
      <c r="BV500" s="1343">
        <f t="shared" si="3760"/>
        <v>0</v>
      </c>
      <c r="BW500" s="1343">
        <f t="shared" si="3760"/>
        <v>0</v>
      </c>
      <c r="BX500" s="1343">
        <f t="shared" si="3760"/>
        <v>0</v>
      </c>
      <c r="BY500" s="1343">
        <f t="shared" si="3760"/>
        <v>0</v>
      </c>
      <c r="BZ500" s="1343">
        <f t="shared" si="3760"/>
        <v>0</v>
      </c>
      <c r="CA500" s="1343">
        <f t="shared" si="3760"/>
        <v>0</v>
      </c>
      <c r="CB500" s="1343">
        <f t="shared" si="3760"/>
        <v>0</v>
      </c>
      <c r="CC500" s="1343">
        <f t="shared" si="3760"/>
        <v>0</v>
      </c>
      <c r="CD500" s="1343">
        <f t="shared" si="3760"/>
        <v>0</v>
      </c>
      <c r="CE500" s="1343">
        <f t="shared" si="3751"/>
        <v>0</v>
      </c>
      <c r="CF500" s="1343">
        <f t="shared" si="3760"/>
        <v>0</v>
      </c>
      <c r="CG500" s="1343">
        <f t="shared" si="3760"/>
        <v>0</v>
      </c>
      <c r="CH500" s="1343">
        <f t="shared" si="3760"/>
        <v>0</v>
      </c>
      <c r="CI500" s="1343">
        <f t="shared" si="3760"/>
        <v>0</v>
      </c>
      <c r="CJ500" s="1343">
        <f t="shared" si="3760"/>
        <v>0</v>
      </c>
      <c r="CK500" s="1343">
        <f t="shared" si="3760"/>
        <v>0</v>
      </c>
      <c r="CL500" s="1343">
        <f t="shared" si="3760"/>
        <v>0</v>
      </c>
      <c r="CM500" s="1343">
        <f t="shared" si="3760"/>
        <v>0</v>
      </c>
      <c r="CN500" s="1343">
        <f t="shared" si="3760"/>
        <v>0</v>
      </c>
      <c r="CQ500" s="1331"/>
      <c r="CR500" s="1331"/>
      <c r="CS500" s="1331"/>
      <c r="CT500" s="1331"/>
      <c r="CU500" s="1331"/>
      <c r="CV500" s="1331"/>
      <c r="CW500" s="1331"/>
      <c r="CX500" s="1331"/>
      <c r="CY500" s="1331"/>
      <c r="CZ500" s="1331"/>
      <c r="DA500" s="1331"/>
      <c r="DB500" s="1331"/>
      <c r="DC500" s="1331"/>
      <c r="DD500" s="1331"/>
      <c r="DE500" s="1331"/>
      <c r="DF500" s="1331"/>
      <c r="DG500" s="1331"/>
      <c r="DH500" s="1331"/>
      <c r="DI500" s="1331"/>
      <c r="DJ500" s="1331"/>
      <c r="DK500" s="1331"/>
      <c r="DL500" s="1331"/>
      <c r="DM500" s="1331"/>
      <c r="DN500" s="1331"/>
      <c r="DO500" s="1331"/>
      <c r="DP500" s="1331"/>
      <c r="DQ500" s="1331"/>
      <c r="DR500" s="1331"/>
      <c r="DS500" s="1331"/>
      <c r="DT500" s="1331"/>
      <c r="DU500" s="1331"/>
      <c r="DV500" s="1331"/>
      <c r="DW500" s="1331"/>
      <c r="DX500" s="1331"/>
      <c r="DY500" s="1331"/>
      <c r="DZ500" s="1331"/>
      <c r="EA500" s="1331"/>
      <c r="EB500" s="1331"/>
      <c r="EC500" s="1331"/>
      <c r="ED500" s="1331"/>
      <c r="EE500" s="1331"/>
      <c r="EF500" s="1331"/>
      <c r="EG500" s="1331"/>
      <c r="EH500" s="1331"/>
      <c r="EI500" s="1331"/>
      <c r="EK500" s="1331"/>
    </row>
    <row r="501" spans="2:141" ht="12.75">
      <c r="B501" s="1851"/>
      <c r="C501" s="1851" t="s">
        <v>62</v>
      </c>
      <c r="AV501" s="1343">
        <f t="shared" ref="AV501:CN501" si="3761">AV454-AV407</f>
        <v>0</v>
      </c>
      <c r="AW501" s="1343">
        <f t="shared" si="3761"/>
        <v>0</v>
      </c>
      <c r="AX501" s="1343">
        <f t="shared" si="3761"/>
        <v>0</v>
      </c>
      <c r="AY501" s="1343">
        <f t="shared" si="3761"/>
        <v>0</v>
      </c>
      <c r="AZ501" s="1343">
        <f t="shared" si="3761"/>
        <v>0</v>
      </c>
      <c r="BA501" s="1343">
        <f t="shared" si="3761"/>
        <v>0</v>
      </c>
      <c r="BB501" s="1343">
        <f t="shared" si="3761"/>
        <v>0</v>
      </c>
      <c r="BC501" s="1343">
        <f t="shared" si="3761"/>
        <v>0</v>
      </c>
      <c r="BD501" s="1343">
        <f t="shared" si="3761"/>
        <v>0</v>
      </c>
      <c r="BE501" s="1343">
        <f t="shared" si="3761"/>
        <v>0</v>
      </c>
      <c r="BF501" s="1343">
        <f t="shared" si="3761"/>
        <v>0</v>
      </c>
      <c r="BG501" s="1343">
        <f t="shared" si="3761"/>
        <v>0</v>
      </c>
      <c r="BH501" s="1343">
        <f t="shared" si="3761"/>
        <v>0</v>
      </c>
      <c r="BI501" s="1343">
        <f t="shared" si="3761"/>
        <v>0</v>
      </c>
      <c r="BJ501" s="1343">
        <f t="shared" si="3761"/>
        <v>0</v>
      </c>
      <c r="BK501" s="1343">
        <f t="shared" si="3761"/>
        <v>0</v>
      </c>
      <c r="BL501" s="1343">
        <f t="shared" si="3761"/>
        <v>0</v>
      </c>
      <c r="BM501" s="1343">
        <f t="shared" si="3761"/>
        <v>0</v>
      </c>
      <c r="BN501" s="1343">
        <f t="shared" si="3761"/>
        <v>0</v>
      </c>
      <c r="BO501" s="1343">
        <f t="shared" si="3761"/>
        <v>0</v>
      </c>
      <c r="BP501" s="1343">
        <f t="shared" si="3761"/>
        <v>0</v>
      </c>
      <c r="BQ501" s="1343">
        <f t="shared" si="3761"/>
        <v>0</v>
      </c>
      <c r="BR501" s="1343">
        <f t="shared" si="3761"/>
        <v>0</v>
      </c>
      <c r="BS501" s="1343">
        <f t="shared" si="3761"/>
        <v>0</v>
      </c>
      <c r="BT501" s="1343">
        <f t="shared" si="3761"/>
        <v>0</v>
      </c>
      <c r="BU501" s="1343">
        <f t="shared" si="3761"/>
        <v>0</v>
      </c>
      <c r="BV501" s="1343">
        <f t="shared" si="3761"/>
        <v>0</v>
      </c>
      <c r="BW501" s="1343">
        <f t="shared" si="3761"/>
        <v>0</v>
      </c>
      <c r="BX501" s="1343">
        <f t="shared" si="3761"/>
        <v>0</v>
      </c>
      <c r="BY501" s="1343">
        <f t="shared" si="3761"/>
        <v>0</v>
      </c>
      <c r="BZ501" s="1343">
        <f t="shared" si="3761"/>
        <v>0</v>
      </c>
      <c r="CA501" s="1343">
        <f t="shared" si="3761"/>
        <v>0</v>
      </c>
      <c r="CB501" s="1343">
        <f t="shared" si="3761"/>
        <v>0</v>
      </c>
      <c r="CC501" s="1343">
        <f t="shared" si="3761"/>
        <v>0</v>
      </c>
      <c r="CD501" s="1343">
        <f t="shared" si="3761"/>
        <v>0</v>
      </c>
      <c r="CE501" s="1343">
        <f t="shared" si="3751"/>
        <v>0</v>
      </c>
      <c r="CF501" s="1343">
        <f t="shared" si="3761"/>
        <v>0</v>
      </c>
      <c r="CG501" s="1343">
        <f t="shared" si="3761"/>
        <v>0</v>
      </c>
      <c r="CH501" s="1343">
        <f t="shared" si="3761"/>
        <v>0</v>
      </c>
      <c r="CI501" s="1343">
        <f t="shared" si="3761"/>
        <v>0</v>
      </c>
      <c r="CJ501" s="1343">
        <f t="shared" si="3761"/>
        <v>0</v>
      </c>
      <c r="CK501" s="1343">
        <f t="shared" si="3761"/>
        <v>0</v>
      </c>
      <c r="CL501" s="1343">
        <f t="shared" si="3761"/>
        <v>0</v>
      </c>
      <c r="CM501" s="1343">
        <f t="shared" si="3761"/>
        <v>0</v>
      </c>
      <c r="CN501" s="1343">
        <f t="shared" si="3761"/>
        <v>0</v>
      </c>
      <c r="CQ501" s="1331"/>
      <c r="CR501" s="1331"/>
      <c r="CS501" s="1331"/>
      <c r="CT501" s="1331"/>
      <c r="CU501" s="1331"/>
      <c r="CV501" s="1331"/>
      <c r="CW501" s="1331"/>
      <c r="CX501" s="1331"/>
      <c r="CY501" s="1331"/>
      <c r="CZ501" s="1331"/>
      <c r="DA501" s="1331"/>
      <c r="DB501" s="1331"/>
      <c r="DC501" s="1331"/>
      <c r="DD501" s="1331"/>
      <c r="DE501" s="1331"/>
      <c r="DF501" s="1331"/>
      <c r="DG501" s="1331"/>
      <c r="DH501" s="1331"/>
      <c r="DI501" s="1331"/>
      <c r="DJ501" s="1331"/>
      <c r="DK501" s="1331"/>
      <c r="DL501" s="1331"/>
      <c r="DM501" s="1331"/>
      <c r="DN501" s="1331"/>
      <c r="DO501" s="1331"/>
      <c r="DP501" s="1331"/>
      <c r="DQ501" s="1331"/>
      <c r="DR501" s="1331"/>
      <c r="DS501" s="1331"/>
      <c r="DT501" s="1331"/>
      <c r="DU501" s="1331"/>
      <c r="DV501" s="1331"/>
      <c r="DW501" s="1331"/>
      <c r="DX501" s="1331"/>
      <c r="DY501" s="1331"/>
      <c r="DZ501" s="1331"/>
      <c r="EA501" s="1331"/>
      <c r="EB501" s="1331"/>
      <c r="EC501" s="1331"/>
      <c r="ED501" s="1331"/>
      <c r="EE501" s="1331"/>
      <c r="EF501" s="1331"/>
      <c r="EG501" s="1331"/>
      <c r="EH501" s="1331"/>
      <c r="EI501" s="1331"/>
      <c r="EK501" s="1331"/>
    </row>
    <row r="502" spans="2:141" ht="12.75">
      <c r="B502" s="1851"/>
      <c r="C502" s="1851" t="s">
        <v>452</v>
      </c>
      <c r="AV502" s="1343">
        <f t="shared" ref="AV502:CN502" si="3762">AV455-AV408</f>
        <v>0</v>
      </c>
      <c r="AW502" s="1343">
        <f t="shared" si="3762"/>
        <v>0</v>
      </c>
      <c r="AX502" s="1343">
        <f t="shared" si="3762"/>
        <v>0</v>
      </c>
      <c r="AY502" s="1343">
        <f t="shared" si="3762"/>
        <v>0</v>
      </c>
      <c r="AZ502" s="1343">
        <f t="shared" si="3762"/>
        <v>0</v>
      </c>
      <c r="BA502" s="1343">
        <f t="shared" si="3762"/>
        <v>0</v>
      </c>
      <c r="BB502" s="1343">
        <f t="shared" si="3762"/>
        <v>0</v>
      </c>
      <c r="BC502" s="1343">
        <f t="shared" si="3762"/>
        <v>0</v>
      </c>
      <c r="BD502" s="1343">
        <f t="shared" si="3762"/>
        <v>0</v>
      </c>
      <c r="BE502" s="1343">
        <f t="shared" si="3762"/>
        <v>0</v>
      </c>
      <c r="BF502" s="1343">
        <f t="shared" si="3762"/>
        <v>0</v>
      </c>
      <c r="BG502" s="1343">
        <f t="shared" si="3762"/>
        <v>0</v>
      </c>
      <c r="BH502" s="1343">
        <f t="shared" si="3762"/>
        <v>0</v>
      </c>
      <c r="BI502" s="1343">
        <f t="shared" si="3762"/>
        <v>0</v>
      </c>
      <c r="BJ502" s="1343">
        <f t="shared" si="3762"/>
        <v>0</v>
      </c>
      <c r="BK502" s="1343">
        <f t="shared" si="3762"/>
        <v>0</v>
      </c>
      <c r="BL502" s="1343">
        <f t="shared" si="3762"/>
        <v>0</v>
      </c>
      <c r="BM502" s="1343">
        <f t="shared" si="3762"/>
        <v>0</v>
      </c>
      <c r="BN502" s="1343">
        <f t="shared" si="3762"/>
        <v>0</v>
      </c>
      <c r="BO502" s="1343">
        <f t="shared" si="3762"/>
        <v>0</v>
      </c>
      <c r="BP502" s="1343">
        <f t="shared" si="3762"/>
        <v>0</v>
      </c>
      <c r="BQ502" s="1343">
        <f t="shared" si="3762"/>
        <v>0</v>
      </c>
      <c r="BR502" s="1343">
        <f t="shared" si="3762"/>
        <v>0</v>
      </c>
      <c r="BS502" s="1343">
        <f t="shared" si="3762"/>
        <v>0</v>
      </c>
      <c r="BT502" s="1343">
        <f t="shared" si="3762"/>
        <v>0</v>
      </c>
      <c r="BU502" s="1343">
        <f t="shared" si="3762"/>
        <v>0</v>
      </c>
      <c r="BV502" s="1343">
        <f t="shared" si="3762"/>
        <v>0</v>
      </c>
      <c r="BW502" s="1343">
        <f t="shared" si="3762"/>
        <v>0</v>
      </c>
      <c r="BX502" s="1343">
        <f t="shared" si="3762"/>
        <v>0</v>
      </c>
      <c r="BY502" s="1343">
        <f t="shared" si="3762"/>
        <v>0</v>
      </c>
      <c r="BZ502" s="1343">
        <f t="shared" si="3762"/>
        <v>0</v>
      </c>
      <c r="CA502" s="1343">
        <f t="shared" si="3762"/>
        <v>0</v>
      </c>
      <c r="CB502" s="1343">
        <f t="shared" si="3762"/>
        <v>0</v>
      </c>
      <c r="CC502" s="1343">
        <f t="shared" si="3762"/>
        <v>0</v>
      </c>
      <c r="CD502" s="1343">
        <f t="shared" si="3762"/>
        <v>0</v>
      </c>
      <c r="CE502" s="1343">
        <f t="shared" si="3751"/>
        <v>0</v>
      </c>
      <c r="CF502" s="1343">
        <f t="shared" si="3762"/>
        <v>0</v>
      </c>
      <c r="CG502" s="1343">
        <f t="shared" si="3762"/>
        <v>0</v>
      </c>
      <c r="CH502" s="1343">
        <f t="shared" si="3762"/>
        <v>0</v>
      </c>
      <c r="CI502" s="1343">
        <f t="shared" si="3762"/>
        <v>0</v>
      </c>
      <c r="CJ502" s="1343">
        <f t="shared" si="3762"/>
        <v>0</v>
      </c>
      <c r="CK502" s="1343">
        <f t="shared" si="3762"/>
        <v>0</v>
      </c>
      <c r="CL502" s="1343">
        <f t="shared" si="3762"/>
        <v>0</v>
      </c>
      <c r="CM502" s="1343">
        <f t="shared" si="3762"/>
        <v>0</v>
      </c>
      <c r="CN502" s="1343">
        <f t="shared" si="3762"/>
        <v>0</v>
      </c>
      <c r="CQ502" s="1331"/>
      <c r="CR502" s="1331"/>
      <c r="CS502" s="1331"/>
      <c r="CT502" s="1331"/>
      <c r="CU502" s="1331"/>
      <c r="CV502" s="1331"/>
      <c r="CW502" s="1331"/>
      <c r="CX502" s="1331"/>
      <c r="CY502" s="1331"/>
      <c r="CZ502" s="1331"/>
      <c r="DA502" s="1331"/>
      <c r="DB502" s="1331"/>
      <c r="DC502" s="1331"/>
      <c r="DD502" s="1331"/>
      <c r="DE502" s="1331"/>
      <c r="DF502" s="1331"/>
      <c r="DG502" s="1331"/>
      <c r="DH502" s="1331"/>
      <c r="DI502" s="1331"/>
      <c r="DJ502" s="1331"/>
      <c r="DK502" s="1331"/>
      <c r="DL502" s="1331"/>
      <c r="DM502" s="1331"/>
      <c r="DN502" s="1331"/>
      <c r="DO502" s="1331"/>
      <c r="DP502" s="1331"/>
      <c r="DQ502" s="1331"/>
      <c r="DR502" s="1331"/>
      <c r="DS502" s="1331"/>
      <c r="DT502" s="1331"/>
      <c r="DU502" s="1331"/>
      <c r="DV502" s="1331"/>
      <c r="DW502" s="1331"/>
      <c r="DX502" s="1331"/>
      <c r="DY502" s="1331"/>
      <c r="DZ502" s="1331"/>
      <c r="EA502" s="1331"/>
      <c r="EB502" s="1331"/>
      <c r="EC502" s="1331"/>
      <c r="ED502" s="1331"/>
      <c r="EE502" s="1331"/>
      <c r="EF502" s="1331"/>
      <c r="EG502" s="1331"/>
      <c r="EH502" s="1331"/>
      <c r="EI502" s="1331"/>
      <c r="EK502" s="1331"/>
    </row>
    <row r="503" spans="2:141" ht="12.75">
      <c r="B503" s="1851"/>
      <c r="C503" s="1851" t="s">
        <v>128</v>
      </c>
      <c r="AV503" s="1343">
        <f t="shared" ref="AV503:CN503" si="3763">AV456-AV409</f>
        <v>0</v>
      </c>
      <c r="AW503" s="1343">
        <f t="shared" si="3763"/>
        <v>0</v>
      </c>
      <c r="AX503" s="1343">
        <f t="shared" si="3763"/>
        <v>0</v>
      </c>
      <c r="AY503" s="1343">
        <f t="shared" si="3763"/>
        <v>0</v>
      </c>
      <c r="AZ503" s="1343">
        <f t="shared" si="3763"/>
        <v>0</v>
      </c>
      <c r="BA503" s="1343">
        <f t="shared" si="3763"/>
        <v>0</v>
      </c>
      <c r="BB503" s="1343">
        <f t="shared" si="3763"/>
        <v>0</v>
      </c>
      <c r="BC503" s="1343">
        <f t="shared" si="3763"/>
        <v>0</v>
      </c>
      <c r="BD503" s="1343">
        <f t="shared" si="3763"/>
        <v>0</v>
      </c>
      <c r="BE503" s="1343">
        <f t="shared" si="3763"/>
        <v>0</v>
      </c>
      <c r="BF503" s="1343">
        <f t="shared" si="3763"/>
        <v>0</v>
      </c>
      <c r="BG503" s="1343">
        <f t="shared" si="3763"/>
        <v>0</v>
      </c>
      <c r="BH503" s="1343">
        <f t="shared" si="3763"/>
        <v>0</v>
      </c>
      <c r="BI503" s="1343">
        <f t="shared" si="3763"/>
        <v>0</v>
      </c>
      <c r="BJ503" s="1343">
        <f t="shared" si="3763"/>
        <v>0</v>
      </c>
      <c r="BK503" s="1343">
        <f t="shared" si="3763"/>
        <v>0</v>
      </c>
      <c r="BL503" s="1343">
        <f t="shared" si="3763"/>
        <v>0</v>
      </c>
      <c r="BM503" s="1343">
        <f t="shared" si="3763"/>
        <v>0</v>
      </c>
      <c r="BN503" s="1343">
        <f t="shared" si="3763"/>
        <v>0</v>
      </c>
      <c r="BO503" s="1343">
        <f t="shared" si="3763"/>
        <v>0</v>
      </c>
      <c r="BP503" s="1343">
        <f t="shared" si="3763"/>
        <v>0</v>
      </c>
      <c r="BQ503" s="1343">
        <f t="shared" si="3763"/>
        <v>0</v>
      </c>
      <c r="BR503" s="1343">
        <f t="shared" si="3763"/>
        <v>0</v>
      </c>
      <c r="BS503" s="1343">
        <f t="shared" si="3763"/>
        <v>0</v>
      </c>
      <c r="BT503" s="1343">
        <f t="shared" si="3763"/>
        <v>0</v>
      </c>
      <c r="BU503" s="1343">
        <f t="shared" si="3763"/>
        <v>0</v>
      </c>
      <c r="BV503" s="1343">
        <f t="shared" si="3763"/>
        <v>0</v>
      </c>
      <c r="BW503" s="1343">
        <f t="shared" si="3763"/>
        <v>0</v>
      </c>
      <c r="BX503" s="1343">
        <f t="shared" si="3763"/>
        <v>0</v>
      </c>
      <c r="BY503" s="1343">
        <f t="shared" si="3763"/>
        <v>0</v>
      </c>
      <c r="BZ503" s="1343">
        <f t="shared" si="3763"/>
        <v>0</v>
      </c>
      <c r="CA503" s="1343">
        <f t="shared" si="3763"/>
        <v>0</v>
      </c>
      <c r="CB503" s="1343">
        <f t="shared" si="3763"/>
        <v>0</v>
      </c>
      <c r="CC503" s="1343">
        <f t="shared" si="3763"/>
        <v>0</v>
      </c>
      <c r="CD503" s="1343">
        <f t="shared" si="3763"/>
        <v>0</v>
      </c>
      <c r="CE503" s="1343">
        <f t="shared" si="3751"/>
        <v>0</v>
      </c>
      <c r="CF503" s="1343">
        <f t="shared" si="3763"/>
        <v>0</v>
      </c>
      <c r="CG503" s="1343">
        <f t="shared" si="3763"/>
        <v>0</v>
      </c>
      <c r="CH503" s="1343">
        <f t="shared" si="3763"/>
        <v>0</v>
      </c>
      <c r="CI503" s="1343">
        <f t="shared" si="3763"/>
        <v>0</v>
      </c>
      <c r="CJ503" s="1343">
        <f t="shared" si="3763"/>
        <v>0</v>
      </c>
      <c r="CK503" s="1343">
        <f t="shared" si="3763"/>
        <v>0</v>
      </c>
      <c r="CL503" s="1343">
        <f t="shared" si="3763"/>
        <v>0</v>
      </c>
      <c r="CM503" s="1343">
        <f t="shared" si="3763"/>
        <v>0</v>
      </c>
      <c r="CN503" s="1343">
        <f t="shared" si="3763"/>
        <v>0</v>
      </c>
      <c r="CQ503" s="1331"/>
      <c r="CR503" s="1331"/>
      <c r="CS503" s="1331"/>
      <c r="CT503" s="1331"/>
      <c r="CU503" s="1331"/>
      <c r="CV503" s="1331"/>
      <c r="CW503" s="1331"/>
      <c r="CX503" s="1331"/>
      <c r="CY503" s="1331"/>
      <c r="CZ503" s="1331"/>
      <c r="DA503" s="1331"/>
      <c r="DB503" s="1331"/>
      <c r="DC503" s="1331"/>
      <c r="DD503" s="1331"/>
      <c r="DE503" s="1331"/>
      <c r="DF503" s="1331"/>
      <c r="DG503" s="1331"/>
      <c r="DH503" s="1331"/>
      <c r="DI503" s="1331"/>
      <c r="DJ503" s="1331"/>
      <c r="DK503" s="1331"/>
      <c r="DL503" s="1331"/>
      <c r="DM503" s="1331"/>
      <c r="DN503" s="1331"/>
      <c r="DO503" s="1331"/>
      <c r="DP503" s="1331"/>
      <c r="DQ503" s="1331"/>
      <c r="DR503" s="1331"/>
      <c r="DS503" s="1331"/>
      <c r="DT503" s="1331"/>
      <c r="DU503" s="1331"/>
      <c r="DV503" s="1331"/>
      <c r="DW503" s="1331"/>
      <c r="DX503" s="1331"/>
      <c r="DY503" s="1331"/>
      <c r="DZ503" s="1331"/>
      <c r="EA503" s="1331"/>
      <c r="EB503" s="1331"/>
      <c r="EC503" s="1331"/>
      <c r="ED503" s="1331"/>
      <c r="EE503" s="1331"/>
      <c r="EF503" s="1331"/>
      <c r="EG503" s="1331"/>
      <c r="EH503" s="1331"/>
      <c r="EI503" s="1331"/>
      <c r="EK503" s="1331"/>
    </row>
    <row r="504" spans="2:141" ht="12.75">
      <c r="B504" s="1851"/>
      <c r="C504" s="1851" t="s">
        <v>130</v>
      </c>
      <c r="AV504" s="1343">
        <f t="shared" ref="AV504:CN504" si="3764">AV457-AV410</f>
        <v>0</v>
      </c>
      <c r="AW504" s="1343">
        <f t="shared" si="3764"/>
        <v>0</v>
      </c>
      <c r="AX504" s="1343">
        <f t="shared" si="3764"/>
        <v>0</v>
      </c>
      <c r="AY504" s="1343">
        <f t="shared" si="3764"/>
        <v>0</v>
      </c>
      <c r="AZ504" s="1343">
        <f t="shared" si="3764"/>
        <v>0</v>
      </c>
      <c r="BA504" s="1343">
        <f t="shared" si="3764"/>
        <v>0</v>
      </c>
      <c r="BB504" s="1343">
        <f t="shared" si="3764"/>
        <v>0</v>
      </c>
      <c r="BC504" s="1343">
        <f t="shared" si="3764"/>
        <v>0</v>
      </c>
      <c r="BD504" s="1343">
        <f t="shared" si="3764"/>
        <v>0</v>
      </c>
      <c r="BE504" s="1343">
        <f t="shared" si="3764"/>
        <v>0</v>
      </c>
      <c r="BF504" s="1343">
        <f t="shared" si="3764"/>
        <v>0</v>
      </c>
      <c r="BG504" s="1343">
        <f t="shared" si="3764"/>
        <v>0</v>
      </c>
      <c r="BH504" s="1343">
        <f t="shared" si="3764"/>
        <v>0</v>
      </c>
      <c r="BI504" s="1343">
        <f t="shared" si="3764"/>
        <v>0</v>
      </c>
      <c r="BJ504" s="1343">
        <f t="shared" si="3764"/>
        <v>0</v>
      </c>
      <c r="BK504" s="1343">
        <f t="shared" si="3764"/>
        <v>0</v>
      </c>
      <c r="BL504" s="1343">
        <f t="shared" si="3764"/>
        <v>0</v>
      </c>
      <c r="BM504" s="1343">
        <f t="shared" si="3764"/>
        <v>0</v>
      </c>
      <c r="BN504" s="1343">
        <f t="shared" si="3764"/>
        <v>0</v>
      </c>
      <c r="BO504" s="1343">
        <f t="shared" si="3764"/>
        <v>0</v>
      </c>
      <c r="BP504" s="1343">
        <f t="shared" si="3764"/>
        <v>0</v>
      </c>
      <c r="BQ504" s="1343">
        <f t="shared" si="3764"/>
        <v>0</v>
      </c>
      <c r="BR504" s="1343">
        <f t="shared" si="3764"/>
        <v>0</v>
      </c>
      <c r="BS504" s="1343">
        <f t="shared" si="3764"/>
        <v>0</v>
      </c>
      <c r="BT504" s="1343">
        <f t="shared" si="3764"/>
        <v>0</v>
      </c>
      <c r="BU504" s="1343">
        <f t="shared" si="3764"/>
        <v>0</v>
      </c>
      <c r="BV504" s="1343">
        <f t="shared" si="3764"/>
        <v>0</v>
      </c>
      <c r="BW504" s="1343">
        <f t="shared" si="3764"/>
        <v>0</v>
      </c>
      <c r="BX504" s="1343">
        <f t="shared" si="3764"/>
        <v>0</v>
      </c>
      <c r="BY504" s="1343">
        <f t="shared" si="3764"/>
        <v>0</v>
      </c>
      <c r="BZ504" s="1343">
        <f t="shared" si="3764"/>
        <v>0</v>
      </c>
      <c r="CA504" s="1343">
        <f t="shared" si="3764"/>
        <v>0</v>
      </c>
      <c r="CB504" s="1343">
        <f t="shared" si="3764"/>
        <v>0</v>
      </c>
      <c r="CC504" s="1343">
        <f t="shared" si="3764"/>
        <v>0</v>
      </c>
      <c r="CD504" s="1343">
        <f t="shared" si="3764"/>
        <v>0</v>
      </c>
      <c r="CE504" s="1343">
        <f t="shared" si="3751"/>
        <v>0</v>
      </c>
      <c r="CF504" s="1343">
        <f t="shared" si="3764"/>
        <v>0</v>
      </c>
      <c r="CG504" s="1343">
        <f t="shared" si="3764"/>
        <v>0</v>
      </c>
      <c r="CH504" s="1343">
        <f t="shared" si="3764"/>
        <v>0</v>
      </c>
      <c r="CI504" s="1343">
        <f t="shared" si="3764"/>
        <v>0</v>
      </c>
      <c r="CJ504" s="1343">
        <f t="shared" si="3764"/>
        <v>0</v>
      </c>
      <c r="CK504" s="1343">
        <f t="shared" si="3764"/>
        <v>0</v>
      </c>
      <c r="CL504" s="1343">
        <f t="shared" si="3764"/>
        <v>0</v>
      </c>
      <c r="CM504" s="1343">
        <f t="shared" si="3764"/>
        <v>0</v>
      </c>
      <c r="CN504" s="1343">
        <f t="shared" si="3764"/>
        <v>0</v>
      </c>
      <c r="CQ504" s="1331"/>
      <c r="CR504" s="1331"/>
      <c r="CS504" s="1331"/>
      <c r="CT504" s="1331"/>
      <c r="CU504" s="1331"/>
      <c r="CV504" s="1331"/>
      <c r="CW504" s="1331"/>
      <c r="CX504" s="1331"/>
      <c r="CY504" s="1331"/>
      <c r="CZ504" s="1331"/>
      <c r="DA504" s="1331"/>
      <c r="DB504" s="1331"/>
      <c r="DC504" s="1331"/>
      <c r="DD504" s="1331"/>
      <c r="DE504" s="1331"/>
      <c r="DF504" s="1331"/>
      <c r="DG504" s="1331"/>
      <c r="DH504" s="1331"/>
      <c r="DI504" s="1331"/>
      <c r="DJ504" s="1331"/>
      <c r="DK504" s="1331"/>
      <c r="DL504" s="1331"/>
      <c r="DM504" s="1331"/>
      <c r="DN504" s="1331"/>
      <c r="DO504" s="1331"/>
      <c r="DP504" s="1331"/>
      <c r="DQ504" s="1331"/>
      <c r="DR504" s="1331"/>
      <c r="DS504" s="1331"/>
      <c r="DT504" s="1331"/>
      <c r="DU504" s="1331"/>
      <c r="DV504" s="1331"/>
      <c r="DW504" s="1331"/>
      <c r="DX504" s="1331"/>
      <c r="DY504" s="1331"/>
      <c r="DZ504" s="1331"/>
      <c r="EA504" s="1331"/>
      <c r="EB504" s="1331"/>
      <c r="EC504" s="1331"/>
      <c r="ED504" s="1331"/>
      <c r="EE504" s="1331"/>
      <c r="EF504" s="1331"/>
      <c r="EG504" s="1331"/>
      <c r="EH504" s="1331"/>
      <c r="EI504" s="1331"/>
      <c r="EK504" s="1331"/>
    </row>
    <row r="505" spans="2:141" ht="12.75">
      <c r="B505" s="1851"/>
      <c r="C505" s="1851" t="s">
        <v>132</v>
      </c>
      <c r="AV505" s="1343">
        <f t="shared" ref="AV505:CN505" si="3765">AV458-AV411</f>
        <v>0</v>
      </c>
      <c r="AW505" s="1343">
        <f t="shared" si="3765"/>
        <v>0</v>
      </c>
      <c r="AX505" s="1343">
        <f t="shared" si="3765"/>
        <v>0</v>
      </c>
      <c r="AY505" s="1343">
        <f t="shared" si="3765"/>
        <v>0</v>
      </c>
      <c r="AZ505" s="1343">
        <f t="shared" si="3765"/>
        <v>0</v>
      </c>
      <c r="BA505" s="1343">
        <f t="shared" si="3765"/>
        <v>0</v>
      </c>
      <c r="BB505" s="1343">
        <f t="shared" si="3765"/>
        <v>0</v>
      </c>
      <c r="BC505" s="1343">
        <f t="shared" si="3765"/>
        <v>0</v>
      </c>
      <c r="BD505" s="1343">
        <f t="shared" si="3765"/>
        <v>0</v>
      </c>
      <c r="BE505" s="1343">
        <f t="shared" si="3765"/>
        <v>0</v>
      </c>
      <c r="BF505" s="1343">
        <f t="shared" si="3765"/>
        <v>0</v>
      </c>
      <c r="BG505" s="1343">
        <f t="shared" si="3765"/>
        <v>0</v>
      </c>
      <c r="BH505" s="1343">
        <f t="shared" si="3765"/>
        <v>0</v>
      </c>
      <c r="BI505" s="1343">
        <f t="shared" si="3765"/>
        <v>0</v>
      </c>
      <c r="BJ505" s="1343">
        <f t="shared" si="3765"/>
        <v>0</v>
      </c>
      <c r="BK505" s="1343">
        <f t="shared" si="3765"/>
        <v>0</v>
      </c>
      <c r="BL505" s="1343">
        <f t="shared" si="3765"/>
        <v>0</v>
      </c>
      <c r="BM505" s="1343">
        <f t="shared" si="3765"/>
        <v>0</v>
      </c>
      <c r="BN505" s="1343">
        <f t="shared" si="3765"/>
        <v>0</v>
      </c>
      <c r="BO505" s="1343">
        <f t="shared" si="3765"/>
        <v>0</v>
      </c>
      <c r="BP505" s="1343">
        <f t="shared" si="3765"/>
        <v>0</v>
      </c>
      <c r="BQ505" s="1343">
        <f t="shared" si="3765"/>
        <v>0</v>
      </c>
      <c r="BR505" s="1343">
        <f t="shared" si="3765"/>
        <v>0</v>
      </c>
      <c r="BS505" s="1343">
        <f t="shared" si="3765"/>
        <v>0</v>
      </c>
      <c r="BT505" s="1343">
        <f t="shared" si="3765"/>
        <v>0</v>
      </c>
      <c r="BU505" s="1343">
        <f t="shared" si="3765"/>
        <v>0</v>
      </c>
      <c r="BV505" s="1343">
        <f t="shared" si="3765"/>
        <v>0</v>
      </c>
      <c r="BW505" s="1343">
        <f t="shared" si="3765"/>
        <v>0</v>
      </c>
      <c r="BX505" s="1343">
        <f t="shared" si="3765"/>
        <v>0</v>
      </c>
      <c r="BY505" s="1343">
        <f t="shared" si="3765"/>
        <v>0</v>
      </c>
      <c r="BZ505" s="1343">
        <f t="shared" si="3765"/>
        <v>0</v>
      </c>
      <c r="CA505" s="1343">
        <f t="shared" si="3765"/>
        <v>0</v>
      </c>
      <c r="CB505" s="1343">
        <f t="shared" si="3765"/>
        <v>0</v>
      </c>
      <c r="CC505" s="1343">
        <f t="shared" si="3765"/>
        <v>0</v>
      </c>
      <c r="CD505" s="1343">
        <f t="shared" si="3765"/>
        <v>0</v>
      </c>
      <c r="CE505" s="1343">
        <f t="shared" si="3751"/>
        <v>0</v>
      </c>
      <c r="CF505" s="1343">
        <f t="shared" si="3765"/>
        <v>0</v>
      </c>
      <c r="CG505" s="1343">
        <f t="shared" si="3765"/>
        <v>0</v>
      </c>
      <c r="CH505" s="1343">
        <f t="shared" si="3765"/>
        <v>0</v>
      </c>
      <c r="CI505" s="1343">
        <f t="shared" si="3765"/>
        <v>0</v>
      </c>
      <c r="CJ505" s="1343">
        <f t="shared" si="3765"/>
        <v>0</v>
      </c>
      <c r="CK505" s="1343">
        <f t="shared" si="3765"/>
        <v>0</v>
      </c>
      <c r="CL505" s="1343">
        <f t="shared" si="3765"/>
        <v>0</v>
      </c>
      <c r="CM505" s="1343">
        <f t="shared" si="3765"/>
        <v>0</v>
      </c>
      <c r="CN505" s="1343">
        <f t="shared" si="3765"/>
        <v>0</v>
      </c>
      <c r="CQ505" s="1331"/>
      <c r="CR505" s="1331"/>
      <c r="CS505" s="1331"/>
      <c r="CT505" s="1331"/>
      <c r="CU505" s="1331"/>
      <c r="CV505" s="1331"/>
      <c r="CW505" s="1331"/>
      <c r="CX505" s="1331"/>
      <c r="CY505" s="1331"/>
      <c r="CZ505" s="1331"/>
      <c r="DA505" s="1331"/>
      <c r="DB505" s="1331"/>
      <c r="DC505" s="1331"/>
      <c r="DD505" s="1331"/>
      <c r="DE505" s="1331"/>
      <c r="DF505" s="1331"/>
      <c r="DG505" s="1331"/>
      <c r="DH505" s="1331"/>
      <c r="DI505" s="1331"/>
      <c r="DJ505" s="1331"/>
      <c r="DK505" s="1331"/>
      <c r="DL505" s="1331"/>
      <c r="DM505" s="1331"/>
      <c r="DN505" s="1331"/>
      <c r="DO505" s="1331"/>
      <c r="DP505" s="1331"/>
      <c r="DQ505" s="1331"/>
      <c r="DR505" s="1331"/>
      <c r="DS505" s="1331"/>
      <c r="DT505" s="1331"/>
      <c r="DU505" s="1331"/>
      <c r="DV505" s="1331"/>
      <c r="DW505" s="1331"/>
      <c r="DX505" s="1331"/>
      <c r="DY505" s="1331"/>
      <c r="DZ505" s="1331"/>
      <c r="EA505" s="1331"/>
      <c r="EB505" s="1331"/>
      <c r="EC505" s="1331"/>
      <c r="ED505" s="1331"/>
      <c r="EE505" s="1331"/>
      <c r="EF505" s="1331"/>
      <c r="EG505" s="1331"/>
      <c r="EH505" s="1331"/>
      <c r="EI505" s="1331"/>
      <c r="EK505" s="1331"/>
    </row>
    <row r="506" spans="2:141" ht="12.75">
      <c r="B506" s="1848"/>
      <c r="C506" s="1848" t="s">
        <v>134</v>
      </c>
      <c r="AV506" s="1343">
        <f t="shared" ref="AV506:CN506" si="3766">AV460-AV413</f>
        <v>0</v>
      </c>
      <c r="AW506" s="1343">
        <f t="shared" ref="AW506:AW513" si="3767">AW459-AW412</f>
        <v>0</v>
      </c>
      <c r="AX506" s="1343">
        <f t="shared" si="3766"/>
        <v>0</v>
      </c>
      <c r="AY506" s="1343">
        <f t="shared" si="3766"/>
        <v>0</v>
      </c>
      <c r="AZ506" s="1343">
        <f t="shared" si="3766"/>
        <v>0</v>
      </c>
      <c r="BA506" s="1343">
        <f t="shared" si="3766"/>
        <v>0</v>
      </c>
      <c r="BB506" s="1343">
        <f t="shared" si="3766"/>
        <v>0</v>
      </c>
      <c r="BC506" s="1343">
        <f t="shared" si="3766"/>
        <v>0</v>
      </c>
      <c r="BD506" s="1343">
        <f t="shared" ref="BD506:BD513" si="3768">BD459-BD412</f>
        <v>0</v>
      </c>
      <c r="BE506" s="1343">
        <f t="shared" si="3766"/>
        <v>0</v>
      </c>
      <c r="BF506" s="1343">
        <f t="shared" ref="BF506:BF513" si="3769">BF459-BF412</f>
        <v>0</v>
      </c>
      <c r="BG506" s="1343">
        <f t="shared" si="3766"/>
        <v>0</v>
      </c>
      <c r="BH506" s="1343">
        <f t="shared" si="3766"/>
        <v>0</v>
      </c>
      <c r="BI506" s="1343">
        <f t="shared" si="3766"/>
        <v>0</v>
      </c>
      <c r="BJ506" s="1343">
        <f t="shared" si="3766"/>
        <v>0</v>
      </c>
      <c r="BK506" s="1343">
        <f t="shared" si="3766"/>
        <v>0</v>
      </c>
      <c r="BL506" s="1343">
        <f t="shared" si="3766"/>
        <v>0</v>
      </c>
      <c r="BM506" s="1343">
        <f t="shared" ref="BM506:BM513" si="3770">BM459-BM412</f>
        <v>0</v>
      </c>
      <c r="BN506" s="1343">
        <f t="shared" si="3766"/>
        <v>0</v>
      </c>
      <c r="BO506" s="1343">
        <f t="shared" si="3766"/>
        <v>0</v>
      </c>
      <c r="BP506" s="1343">
        <f t="shared" si="3766"/>
        <v>0</v>
      </c>
      <c r="BQ506" s="1343">
        <f t="shared" si="3766"/>
        <v>0</v>
      </c>
      <c r="BR506" s="1343">
        <f t="shared" si="3766"/>
        <v>0</v>
      </c>
      <c r="BS506" s="1343">
        <f t="shared" si="3766"/>
        <v>0</v>
      </c>
      <c r="BT506" s="1343">
        <f t="shared" si="3766"/>
        <v>0</v>
      </c>
      <c r="BU506" s="1343">
        <f t="shared" si="3766"/>
        <v>0</v>
      </c>
      <c r="BV506" s="1343">
        <f t="shared" si="3766"/>
        <v>0</v>
      </c>
      <c r="BW506" s="1343">
        <f t="shared" si="3766"/>
        <v>0</v>
      </c>
      <c r="BX506" s="1343">
        <f t="shared" si="3766"/>
        <v>0</v>
      </c>
      <c r="BY506" s="1343">
        <f t="shared" si="3766"/>
        <v>0</v>
      </c>
      <c r="BZ506" s="1343">
        <f t="shared" si="3766"/>
        <v>0</v>
      </c>
      <c r="CA506" s="1343">
        <f t="shared" si="3766"/>
        <v>0</v>
      </c>
      <c r="CB506" s="1343">
        <f t="shared" si="3766"/>
        <v>0</v>
      </c>
      <c r="CC506" s="1343">
        <f t="shared" si="3766"/>
        <v>0</v>
      </c>
      <c r="CD506" s="1343">
        <f t="shared" si="3766"/>
        <v>0</v>
      </c>
      <c r="CE506" s="1343">
        <f t="shared" ref="CE506:CE513" si="3771">CE460-CE413</f>
        <v>0</v>
      </c>
      <c r="CF506" s="1343">
        <f t="shared" si="3766"/>
        <v>0</v>
      </c>
      <c r="CG506" s="1343">
        <f t="shared" si="3766"/>
        <v>0</v>
      </c>
      <c r="CH506" s="1343">
        <f t="shared" si="3766"/>
        <v>0</v>
      </c>
      <c r="CI506" s="1343">
        <f t="shared" si="3766"/>
        <v>0</v>
      </c>
      <c r="CJ506" s="1343">
        <f t="shared" si="3766"/>
        <v>0</v>
      </c>
      <c r="CK506" s="1343">
        <f t="shared" si="3766"/>
        <v>0</v>
      </c>
      <c r="CL506" s="1343">
        <f t="shared" si="3766"/>
        <v>0</v>
      </c>
      <c r="CM506" s="1343">
        <f t="shared" si="3766"/>
        <v>0</v>
      </c>
      <c r="CN506" s="1343">
        <f t="shared" si="3766"/>
        <v>0</v>
      </c>
      <c r="CQ506" s="1331"/>
      <c r="CR506" s="1331"/>
      <c r="CS506" s="1331"/>
      <c r="CT506" s="1331"/>
      <c r="CU506" s="1331"/>
      <c r="CV506" s="1331"/>
      <c r="CW506" s="1331"/>
      <c r="CX506" s="1331"/>
      <c r="CY506" s="1331"/>
      <c r="CZ506" s="1331"/>
      <c r="DA506" s="1331"/>
      <c r="DB506" s="1331"/>
      <c r="DC506" s="1331"/>
      <c r="DD506" s="1331"/>
      <c r="DE506" s="1331"/>
      <c r="DF506" s="1331"/>
      <c r="DG506" s="1331"/>
      <c r="DH506" s="1331"/>
      <c r="DI506" s="1331"/>
      <c r="DJ506" s="1331"/>
      <c r="DK506" s="1331"/>
      <c r="DL506" s="1331"/>
      <c r="DM506" s="1331"/>
      <c r="DN506" s="1331"/>
      <c r="DO506" s="1331"/>
      <c r="DP506" s="1331"/>
      <c r="DQ506" s="1331"/>
      <c r="DR506" s="1331"/>
      <c r="DS506" s="1331"/>
      <c r="DT506" s="1331"/>
      <c r="DU506" s="1331"/>
      <c r="DV506" s="1331"/>
      <c r="DW506" s="1331"/>
      <c r="DX506" s="1331"/>
      <c r="DY506" s="1331"/>
      <c r="DZ506" s="1331"/>
      <c r="EA506" s="1331"/>
      <c r="EB506" s="1331"/>
      <c r="EC506" s="1331"/>
      <c r="ED506" s="1331"/>
      <c r="EE506" s="1331"/>
      <c r="EF506" s="1331"/>
      <c r="EG506" s="1331"/>
      <c r="EH506" s="1331"/>
      <c r="EI506" s="1331"/>
      <c r="EK506" s="1331"/>
    </row>
    <row r="507" spans="2:141" ht="12.75">
      <c r="B507" s="1851"/>
      <c r="C507" s="1851" t="s">
        <v>385</v>
      </c>
      <c r="AV507" s="1343">
        <f t="shared" ref="AV507:CN507" si="3772">AV461-AV414</f>
        <v>0</v>
      </c>
      <c r="AW507" s="1343">
        <f t="shared" si="3767"/>
        <v>0</v>
      </c>
      <c r="AX507" s="1343">
        <f t="shared" si="3772"/>
        <v>0</v>
      </c>
      <c r="AY507" s="1343">
        <f t="shared" si="3772"/>
        <v>0</v>
      </c>
      <c r="AZ507" s="1343">
        <f t="shared" si="3772"/>
        <v>0</v>
      </c>
      <c r="BA507" s="1343">
        <f t="shared" si="3772"/>
        <v>0</v>
      </c>
      <c r="BB507" s="1343">
        <f t="shared" si="3772"/>
        <v>0</v>
      </c>
      <c r="BC507" s="1343">
        <f t="shared" si="3772"/>
        <v>0</v>
      </c>
      <c r="BD507" s="1343">
        <f t="shared" si="3768"/>
        <v>0</v>
      </c>
      <c r="BE507" s="1343">
        <f t="shared" si="3772"/>
        <v>0</v>
      </c>
      <c r="BF507" s="1343">
        <f t="shared" si="3769"/>
        <v>0</v>
      </c>
      <c r="BG507" s="1343">
        <f t="shared" si="3772"/>
        <v>0</v>
      </c>
      <c r="BH507" s="1343">
        <f t="shared" si="3772"/>
        <v>0</v>
      </c>
      <c r="BI507" s="1343">
        <f t="shared" si="3772"/>
        <v>0</v>
      </c>
      <c r="BJ507" s="1343">
        <f t="shared" si="3772"/>
        <v>0</v>
      </c>
      <c r="BK507" s="1343">
        <f t="shared" si="3772"/>
        <v>0</v>
      </c>
      <c r="BL507" s="1343">
        <f t="shared" si="3772"/>
        <v>0</v>
      </c>
      <c r="BM507" s="1343">
        <f t="shared" si="3770"/>
        <v>0</v>
      </c>
      <c r="BN507" s="1343">
        <f t="shared" si="3772"/>
        <v>0</v>
      </c>
      <c r="BO507" s="1343">
        <f t="shared" si="3772"/>
        <v>0</v>
      </c>
      <c r="BP507" s="1343">
        <f t="shared" si="3772"/>
        <v>0</v>
      </c>
      <c r="BQ507" s="1343">
        <f t="shared" si="3772"/>
        <v>0</v>
      </c>
      <c r="BR507" s="1343">
        <f t="shared" si="3772"/>
        <v>0</v>
      </c>
      <c r="BS507" s="1343">
        <f t="shared" si="3772"/>
        <v>0</v>
      </c>
      <c r="BT507" s="1343">
        <f t="shared" si="3772"/>
        <v>0</v>
      </c>
      <c r="BU507" s="1343">
        <f t="shared" si="3772"/>
        <v>0</v>
      </c>
      <c r="BV507" s="1343">
        <f t="shared" si="3772"/>
        <v>0</v>
      </c>
      <c r="BW507" s="1343">
        <f t="shared" si="3772"/>
        <v>0</v>
      </c>
      <c r="BX507" s="1343">
        <f t="shared" si="3772"/>
        <v>0</v>
      </c>
      <c r="BY507" s="1343">
        <f t="shared" si="3772"/>
        <v>0</v>
      </c>
      <c r="BZ507" s="1343">
        <f t="shared" si="3772"/>
        <v>0</v>
      </c>
      <c r="CA507" s="1343">
        <f t="shared" si="3772"/>
        <v>0</v>
      </c>
      <c r="CB507" s="1343">
        <f t="shared" si="3772"/>
        <v>0</v>
      </c>
      <c r="CC507" s="1343">
        <f t="shared" si="3772"/>
        <v>0</v>
      </c>
      <c r="CD507" s="1343">
        <f t="shared" si="3772"/>
        <v>0</v>
      </c>
      <c r="CE507" s="1343">
        <f t="shared" si="3771"/>
        <v>0</v>
      </c>
      <c r="CF507" s="1343">
        <f t="shared" si="3772"/>
        <v>0</v>
      </c>
      <c r="CG507" s="1343">
        <f t="shared" si="3772"/>
        <v>0</v>
      </c>
      <c r="CH507" s="1343">
        <f t="shared" si="3772"/>
        <v>0</v>
      </c>
      <c r="CI507" s="1343">
        <f t="shared" si="3772"/>
        <v>0</v>
      </c>
      <c r="CJ507" s="1343">
        <f t="shared" si="3772"/>
        <v>0</v>
      </c>
      <c r="CK507" s="1343">
        <f t="shared" si="3772"/>
        <v>0</v>
      </c>
      <c r="CL507" s="1343">
        <f t="shared" si="3772"/>
        <v>0</v>
      </c>
      <c r="CM507" s="1343">
        <f t="shared" si="3772"/>
        <v>0</v>
      </c>
      <c r="CN507" s="1343">
        <f t="shared" si="3772"/>
        <v>0</v>
      </c>
      <c r="CQ507" s="1331"/>
      <c r="CR507" s="1331"/>
      <c r="CS507" s="1331"/>
      <c r="CT507" s="1331"/>
      <c r="CU507" s="1331"/>
      <c r="CV507" s="1331"/>
      <c r="CW507" s="1331"/>
      <c r="CX507" s="1331"/>
      <c r="CY507" s="1331"/>
      <c r="CZ507" s="1331"/>
      <c r="DA507" s="1331"/>
      <c r="DB507" s="1331"/>
      <c r="DC507" s="1331"/>
      <c r="DD507" s="1331"/>
      <c r="DE507" s="1331"/>
      <c r="DF507" s="1331"/>
      <c r="DG507" s="1331"/>
      <c r="DH507" s="1331"/>
      <c r="DI507" s="1331"/>
      <c r="DJ507" s="1331"/>
      <c r="DK507" s="1331"/>
      <c r="DL507" s="1331"/>
      <c r="DM507" s="1331"/>
      <c r="DN507" s="1331"/>
      <c r="DO507" s="1331"/>
      <c r="DP507" s="1331"/>
      <c r="DQ507" s="1331"/>
      <c r="DR507" s="1331"/>
      <c r="DS507" s="1331"/>
      <c r="DT507" s="1331"/>
      <c r="DU507" s="1331"/>
      <c r="DV507" s="1331"/>
      <c r="DW507" s="1331"/>
      <c r="DX507" s="1331"/>
      <c r="DY507" s="1331"/>
      <c r="DZ507" s="1331"/>
      <c r="EA507" s="1331"/>
      <c r="EB507" s="1331"/>
      <c r="EC507" s="1331"/>
      <c r="ED507" s="1331"/>
      <c r="EE507" s="1331"/>
      <c r="EF507" s="1331"/>
      <c r="EG507" s="1331"/>
      <c r="EH507" s="1331"/>
      <c r="EI507" s="1331"/>
      <c r="EK507" s="1331"/>
    </row>
    <row r="508" spans="2:141" ht="12.75">
      <c r="B508" s="1851"/>
      <c r="C508" s="1851" t="s">
        <v>408</v>
      </c>
      <c r="AV508" s="1343">
        <f t="shared" ref="AV508:CN508" si="3773">AV462-AV415</f>
        <v>0</v>
      </c>
      <c r="AW508" s="1343">
        <f t="shared" si="3767"/>
        <v>0</v>
      </c>
      <c r="AX508" s="1343">
        <f t="shared" si="3773"/>
        <v>0</v>
      </c>
      <c r="AY508" s="1343">
        <f t="shared" si="3773"/>
        <v>0</v>
      </c>
      <c r="AZ508" s="1343">
        <f t="shared" si="3773"/>
        <v>0</v>
      </c>
      <c r="BA508" s="1343">
        <f t="shared" si="3773"/>
        <v>0</v>
      </c>
      <c r="BB508" s="1343">
        <f t="shared" si="3773"/>
        <v>0</v>
      </c>
      <c r="BC508" s="1343">
        <f t="shared" si="3773"/>
        <v>0</v>
      </c>
      <c r="BD508" s="1343">
        <f t="shared" si="3768"/>
        <v>0</v>
      </c>
      <c r="BE508" s="1343">
        <f t="shared" si="3773"/>
        <v>0</v>
      </c>
      <c r="BF508" s="1343">
        <f t="shared" si="3769"/>
        <v>0</v>
      </c>
      <c r="BG508" s="1343">
        <f t="shared" si="3773"/>
        <v>0</v>
      </c>
      <c r="BH508" s="1343">
        <f t="shared" si="3773"/>
        <v>0</v>
      </c>
      <c r="BI508" s="1343">
        <f t="shared" si="3773"/>
        <v>0</v>
      </c>
      <c r="BJ508" s="1343">
        <f t="shared" si="3773"/>
        <v>0</v>
      </c>
      <c r="BK508" s="1343">
        <f t="shared" si="3773"/>
        <v>0</v>
      </c>
      <c r="BL508" s="1343">
        <f t="shared" si="3773"/>
        <v>0</v>
      </c>
      <c r="BM508" s="1343">
        <f t="shared" si="3770"/>
        <v>0</v>
      </c>
      <c r="BN508" s="1343">
        <f t="shared" si="3773"/>
        <v>0</v>
      </c>
      <c r="BO508" s="1343">
        <f t="shared" si="3773"/>
        <v>0</v>
      </c>
      <c r="BP508" s="1343">
        <f t="shared" si="3773"/>
        <v>0</v>
      </c>
      <c r="BQ508" s="1343">
        <f t="shared" si="3773"/>
        <v>0</v>
      </c>
      <c r="BR508" s="1343">
        <f t="shared" si="3773"/>
        <v>0</v>
      </c>
      <c r="BS508" s="1343">
        <f t="shared" si="3773"/>
        <v>0</v>
      </c>
      <c r="BT508" s="1343">
        <f t="shared" si="3773"/>
        <v>0</v>
      </c>
      <c r="BU508" s="1343">
        <f t="shared" si="3773"/>
        <v>0</v>
      </c>
      <c r="BV508" s="1343">
        <f t="shared" si="3773"/>
        <v>0</v>
      </c>
      <c r="BW508" s="1343">
        <f t="shared" si="3773"/>
        <v>0</v>
      </c>
      <c r="BX508" s="1343">
        <f t="shared" si="3773"/>
        <v>0</v>
      </c>
      <c r="BY508" s="1343">
        <f t="shared" si="3773"/>
        <v>0</v>
      </c>
      <c r="BZ508" s="1343">
        <f t="shared" si="3773"/>
        <v>0</v>
      </c>
      <c r="CA508" s="1343">
        <f t="shared" si="3773"/>
        <v>0</v>
      </c>
      <c r="CB508" s="1343">
        <f t="shared" si="3773"/>
        <v>0</v>
      </c>
      <c r="CC508" s="1343">
        <f t="shared" si="3773"/>
        <v>0</v>
      </c>
      <c r="CD508" s="1343">
        <f t="shared" si="3773"/>
        <v>0</v>
      </c>
      <c r="CE508" s="1343">
        <f t="shared" si="3771"/>
        <v>0</v>
      </c>
      <c r="CF508" s="1343">
        <f t="shared" si="3773"/>
        <v>0</v>
      </c>
      <c r="CG508" s="1343">
        <f t="shared" si="3773"/>
        <v>0</v>
      </c>
      <c r="CH508" s="1343">
        <f t="shared" si="3773"/>
        <v>0</v>
      </c>
      <c r="CI508" s="1343">
        <f t="shared" si="3773"/>
        <v>0</v>
      </c>
      <c r="CJ508" s="1343">
        <f t="shared" si="3773"/>
        <v>0</v>
      </c>
      <c r="CK508" s="1343">
        <f t="shared" si="3773"/>
        <v>0</v>
      </c>
      <c r="CL508" s="1343">
        <f t="shared" si="3773"/>
        <v>0</v>
      </c>
      <c r="CM508" s="1343">
        <f t="shared" si="3773"/>
        <v>0</v>
      </c>
      <c r="CN508" s="1343">
        <f t="shared" si="3773"/>
        <v>0</v>
      </c>
      <c r="CQ508" s="1331"/>
      <c r="CR508" s="1331"/>
      <c r="CS508" s="1331"/>
      <c r="CT508" s="1331"/>
      <c r="CU508" s="1331"/>
      <c r="CV508" s="1331"/>
      <c r="CW508" s="1331"/>
      <c r="CX508" s="1331"/>
      <c r="CY508" s="1331"/>
      <c r="CZ508" s="1331"/>
      <c r="DA508" s="1331"/>
      <c r="DB508" s="1331"/>
      <c r="DC508" s="1331"/>
      <c r="DD508" s="1331"/>
      <c r="DE508" s="1331"/>
      <c r="DF508" s="1331"/>
      <c r="DG508" s="1331"/>
      <c r="DH508" s="1331"/>
      <c r="DI508" s="1331"/>
      <c r="DJ508" s="1331"/>
      <c r="DK508" s="1331"/>
      <c r="DL508" s="1331"/>
      <c r="DM508" s="1331"/>
      <c r="DN508" s="1331"/>
      <c r="DO508" s="1331"/>
      <c r="DP508" s="1331"/>
      <c r="DQ508" s="1331"/>
      <c r="DR508" s="1331"/>
      <c r="DS508" s="1331"/>
      <c r="DT508" s="1331"/>
      <c r="DU508" s="1331"/>
      <c r="DV508" s="1331"/>
      <c r="DW508" s="1331"/>
      <c r="DX508" s="1331"/>
      <c r="DY508" s="1331"/>
      <c r="DZ508" s="1331"/>
      <c r="EA508" s="1331"/>
      <c r="EB508" s="1331"/>
      <c r="EC508" s="1331"/>
      <c r="ED508" s="1331"/>
      <c r="EE508" s="1331"/>
      <c r="EF508" s="1331"/>
      <c r="EG508" s="1331"/>
      <c r="EH508" s="1331"/>
      <c r="EI508" s="1331"/>
      <c r="EK508" s="1331"/>
    </row>
    <row r="509" spans="2:141" ht="12.75">
      <c r="B509" s="1851"/>
      <c r="C509" s="1851" t="s">
        <v>409</v>
      </c>
      <c r="AV509" s="1343">
        <f t="shared" ref="AV509:CN509" si="3774">AV463-AV416</f>
        <v>0</v>
      </c>
      <c r="AW509" s="1343">
        <f t="shared" si="3767"/>
        <v>0</v>
      </c>
      <c r="AX509" s="1343">
        <f t="shared" si="3774"/>
        <v>0</v>
      </c>
      <c r="AY509" s="1343">
        <f t="shared" si="3774"/>
        <v>0</v>
      </c>
      <c r="AZ509" s="1343">
        <f t="shared" si="3774"/>
        <v>0</v>
      </c>
      <c r="BA509" s="1343">
        <f t="shared" si="3774"/>
        <v>0</v>
      </c>
      <c r="BB509" s="1343">
        <f t="shared" si="3774"/>
        <v>0</v>
      </c>
      <c r="BC509" s="1343">
        <f t="shared" si="3774"/>
        <v>0</v>
      </c>
      <c r="BD509" s="1343">
        <f t="shared" si="3768"/>
        <v>0</v>
      </c>
      <c r="BE509" s="1343">
        <f t="shared" si="3774"/>
        <v>0</v>
      </c>
      <c r="BF509" s="1343">
        <f t="shared" si="3769"/>
        <v>0</v>
      </c>
      <c r="BG509" s="1343">
        <f t="shared" si="3774"/>
        <v>0</v>
      </c>
      <c r="BH509" s="1343">
        <f t="shared" si="3774"/>
        <v>0</v>
      </c>
      <c r="BI509" s="1343">
        <f t="shared" si="3774"/>
        <v>0</v>
      </c>
      <c r="BJ509" s="1343">
        <f t="shared" si="3774"/>
        <v>0</v>
      </c>
      <c r="BK509" s="1343">
        <f t="shared" si="3774"/>
        <v>0</v>
      </c>
      <c r="BL509" s="1343">
        <f t="shared" si="3774"/>
        <v>0</v>
      </c>
      <c r="BM509" s="1343">
        <f t="shared" si="3770"/>
        <v>0</v>
      </c>
      <c r="BN509" s="1343">
        <f t="shared" si="3774"/>
        <v>0</v>
      </c>
      <c r="BO509" s="1343">
        <f t="shared" si="3774"/>
        <v>0</v>
      </c>
      <c r="BP509" s="1343">
        <f t="shared" si="3774"/>
        <v>0</v>
      </c>
      <c r="BQ509" s="1343">
        <f t="shared" si="3774"/>
        <v>0</v>
      </c>
      <c r="BR509" s="1343">
        <f t="shared" si="3774"/>
        <v>0</v>
      </c>
      <c r="BS509" s="1343">
        <f t="shared" si="3774"/>
        <v>0</v>
      </c>
      <c r="BT509" s="1343">
        <f t="shared" si="3774"/>
        <v>0</v>
      </c>
      <c r="BU509" s="1343">
        <f t="shared" si="3774"/>
        <v>0</v>
      </c>
      <c r="BV509" s="1343">
        <f t="shared" si="3774"/>
        <v>0</v>
      </c>
      <c r="BW509" s="1343">
        <f t="shared" si="3774"/>
        <v>0</v>
      </c>
      <c r="BX509" s="1343">
        <f t="shared" si="3774"/>
        <v>0</v>
      </c>
      <c r="BY509" s="1343">
        <f t="shared" si="3774"/>
        <v>0</v>
      </c>
      <c r="BZ509" s="1343">
        <f t="shared" si="3774"/>
        <v>0</v>
      </c>
      <c r="CA509" s="1343">
        <f t="shared" si="3774"/>
        <v>0</v>
      </c>
      <c r="CB509" s="1343">
        <f t="shared" si="3774"/>
        <v>0</v>
      </c>
      <c r="CC509" s="1343">
        <f t="shared" si="3774"/>
        <v>0</v>
      </c>
      <c r="CD509" s="1343">
        <f t="shared" si="3774"/>
        <v>0</v>
      </c>
      <c r="CE509" s="1343">
        <f t="shared" si="3771"/>
        <v>0</v>
      </c>
      <c r="CF509" s="1343">
        <f t="shared" si="3774"/>
        <v>0</v>
      </c>
      <c r="CG509" s="1343">
        <f t="shared" si="3774"/>
        <v>0</v>
      </c>
      <c r="CH509" s="1343">
        <f t="shared" si="3774"/>
        <v>0</v>
      </c>
      <c r="CI509" s="1343">
        <f t="shared" si="3774"/>
        <v>0</v>
      </c>
      <c r="CJ509" s="1343">
        <f t="shared" si="3774"/>
        <v>0</v>
      </c>
      <c r="CK509" s="1343">
        <f t="shared" si="3774"/>
        <v>0</v>
      </c>
      <c r="CL509" s="1343">
        <f t="shared" si="3774"/>
        <v>0</v>
      </c>
      <c r="CM509" s="1343">
        <f t="shared" si="3774"/>
        <v>0</v>
      </c>
      <c r="CN509" s="1343">
        <f t="shared" si="3774"/>
        <v>0</v>
      </c>
      <c r="CQ509" s="1331"/>
      <c r="CR509" s="1331"/>
      <c r="CS509" s="1331"/>
      <c r="CT509" s="1331"/>
      <c r="CU509" s="1331"/>
      <c r="CV509" s="1331"/>
      <c r="CW509" s="1331"/>
      <c r="CX509" s="1331"/>
      <c r="CY509" s="1331"/>
      <c r="CZ509" s="1331"/>
      <c r="DA509" s="1331"/>
      <c r="DB509" s="1331"/>
      <c r="DC509" s="1331"/>
      <c r="DD509" s="1331"/>
      <c r="DE509" s="1331"/>
      <c r="DF509" s="1331"/>
      <c r="DG509" s="1331"/>
      <c r="DH509" s="1331"/>
      <c r="DI509" s="1331"/>
      <c r="DJ509" s="1331"/>
      <c r="DK509" s="1331"/>
      <c r="DL509" s="1331"/>
      <c r="DM509" s="1331"/>
      <c r="DN509" s="1331"/>
      <c r="DO509" s="1331"/>
      <c r="DP509" s="1331"/>
      <c r="DQ509" s="1331"/>
      <c r="DR509" s="1331"/>
      <c r="DS509" s="1331"/>
      <c r="DT509" s="1331"/>
      <c r="DU509" s="1331"/>
      <c r="DV509" s="1331"/>
      <c r="DW509" s="1331"/>
      <c r="DX509" s="1331"/>
      <c r="DY509" s="1331"/>
      <c r="DZ509" s="1331"/>
      <c r="EA509" s="1331"/>
      <c r="EB509" s="1331"/>
      <c r="EC509" s="1331"/>
      <c r="ED509" s="1331"/>
      <c r="EE509" s="1331"/>
      <c r="EF509" s="1331"/>
      <c r="EG509" s="1331"/>
      <c r="EH509" s="1331"/>
      <c r="EI509" s="1331"/>
      <c r="EK509" s="1331"/>
    </row>
    <row r="510" spans="2:141" ht="12.75">
      <c r="B510" s="1851"/>
      <c r="C510" s="1851" t="s">
        <v>386</v>
      </c>
      <c r="AV510" s="1343">
        <f t="shared" ref="AV510:CN510" si="3775">AV464-AV417</f>
        <v>0</v>
      </c>
      <c r="AW510" s="1343">
        <f t="shared" si="3767"/>
        <v>0</v>
      </c>
      <c r="AX510" s="1343">
        <f t="shared" si="3775"/>
        <v>0</v>
      </c>
      <c r="AY510" s="1343">
        <f t="shared" si="3775"/>
        <v>0</v>
      </c>
      <c r="AZ510" s="1343">
        <f t="shared" si="3775"/>
        <v>0</v>
      </c>
      <c r="BA510" s="1343">
        <f t="shared" si="3775"/>
        <v>0</v>
      </c>
      <c r="BB510" s="1343">
        <f t="shared" si="3775"/>
        <v>0</v>
      </c>
      <c r="BC510" s="1343">
        <f t="shared" si="3775"/>
        <v>0</v>
      </c>
      <c r="BD510" s="1343">
        <f t="shared" si="3768"/>
        <v>0</v>
      </c>
      <c r="BE510" s="1343">
        <f t="shared" si="3775"/>
        <v>0</v>
      </c>
      <c r="BF510" s="1343">
        <f t="shared" si="3769"/>
        <v>0</v>
      </c>
      <c r="BG510" s="1343">
        <f t="shared" si="3775"/>
        <v>0</v>
      </c>
      <c r="BH510" s="1343">
        <f t="shared" si="3775"/>
        <v>0</v>
      </c>
      <c r="BI510" s="1343">
        <f t="shared" si="3775"/>
        <v>0</v>
      </c>
      <c r="BJ510" s="1343">
        <f t="shared" si="3775"/>
        <v>0</v>
      </c>
      <c r="BK510" s="1343">
        <f t="shared" si="3775"/>
        <v>0</v>
      </c>
      <c r="BL510" s="1343">
        <f t="shared" si="3775"/>
        <v>0</v>
      </c>
      <c r="BM510" s="1343">
        <f t="shared" si="3770"/>
        <v>0</v>
      </c>
      <c r="BN510" s="1343">
        <f t="shared" si="3775"/>
        <v>0</v>
      </c>
      <c r="BO510" s="1343">
        <f t="shared" si="3775"/>
        <v>0</v>
      </c>
      <c r="BP510" s="1343">
        <f t="shared" si="3775"/>
        <v>0</v>
      </c>
      <c r="BQ510" s="1343">
        <f t="shared" si="3775"/>
        <v>0</v>
      </c>
      <c r="BR510" s="1343">
        <f t="shared" si="3775"/>
        <v>0</v>
      </c>
      <c r="BS510" s="1343">
        <f t="shared" si="3775"/>
        <v>0</v>
      </c>
      <c r="BT510" s="1343">
        <f t="shared" si="3775"/>
        <v>0</v>
      </c>
      <c r="BU510" s="1343">
        <f t="shared" si="3775"/>
        <v>0</v>
      </c>
      <c r="BV510" s="1343">
        <f t="shared" si="3775"/>
        <v>0</v>
      </c>
      <c r="BW510" s="1343">
        <f t="shared" si="3775"/>
        <v>0</v>
      </c>
      <c r="BX510" s="1343">
        <f t="shared" si="3775"/>
        <v>0</v>
      </c>
      <c r="BY510" s="1343">
        <f t="shared" si="3775"/>
        <v>0</v>
      </c>
      <c r="BZ510" s="1343">
        <f t="shared" si="3775"/>
        <v>0</v>
      </c>
      <c r="CA510" s="1343">
        <f t="shared" si="3775"/>
        <v>0</v>
      </c>
      <c r="CB510" s="1343">
        <f t="shared" si="3775"/>
        <v>0</v>
      </c>
      <c r="CC510" s="1343">
        <f t="shared" si="3775"/>
        <v>0</v>
      </c>
      <c r="CD510" s="1343">
        <f t="shared" si="3775"/>
        <v>0</v>
      </c>
      <c r="CE510" s="1343">
        <f t="shared" si="3771"/>
        <v>0</v>
      </c>
      <c r="CF510" s="1343">
        <f t="shared" si="3775"/>
        <v>0</v>
      </c>
      <c r="CG510" s="1343">
        <f t="shared" si="3775"/>
        <v>0</v>
      </c>
      <c r="CH510" s="1343">
        <f t="shared" si="3775"/>
        <v>0</v>
      </c>
      <c r="CI510" s="1343">
        <f t="shared" si="3775"/>
        <v>0</v>
      </c>
      <c r="CJ510" s="1343">
        <f t="shared" si="3775"/>
        <v>0</v>
      </c>
      <c r="CK510" s="1343">
        <f t="shared" si="3775"/>
        <v>0</v>
      </c>
      <c r="CL510" s="1343">
        <f t="shared" si="3775"/>
        <v>0</v>
      </c>
      <c r="CM510" s="1343">
        <f t="shared" si="3775"/>
        <v>0</v>
      </c>
      <c r="CN510" s="1343">
        <f t="shared" si="3775"/>
        <v>0</v>
      </c>
      <c r="CQ510" s="1331"/>
      <c r="CR510" s="1331"/>
      <c r="CS510" s="1331"/>
      <c r="CT510" s="1331"/>
      <c r="CU510" s="1331"/>
      <c r="CV510" s="1331"/>
      <c r="CW510" s="1331"/>
      <c r="CX510" s="1331"/>
      <c r="CY510" s="1331"/>
      <c r="CZ510" s="1331"/>
      <c r="DA510" s="1331"/>
      <c r="DB510" s="1331"/>
      <c r="DC510" s="1331"/>
      <c r="DD510" s="1331"/>
      <c r="DE510" s="1331"/>
      <c r="DF510" s="1331"/>
      <c r="DG510" s="1331"/>
      <c r="DH510" s="1331"/>
      <c r="DI510" s="1331"/>
      <c r="DJ510" s="1331"/>
      <c r="DK510" s="1331"/>
      <c r="DL510" s="1331"/>
      <c r="DM510" s="1331"/>
      <c r="DN510" s="1331"/>
      <c r="DO510" s="1331"/>
      <c r="DP510" s="1331"/>
      <c r="DQ510" s="1331"/>
      <c r="DR510" s="1331"/>
      <c r="DS510" s="1331"/>
      <c r="DT510" s="1331"/>
      <c r="DU510" s="1331"/>
      <c r="DV510" s="1331"/>
      <c r="DW510" s="1331"/>
      <c r="DX510" s="1331"/>
      <c r="DY510" s="1331"/>
      <c r="DZ510" s="1331"/>
      <c r="EA510" s="1331"/>
      <c r="EB510" s="1331"/>
      <c r="EC510" s="1331"/>
      <c r="ED510" s="1331"/>
      <c r="EE510" s="1331"/>
      <c r="EF510" s="1331"/>
      <c r="EG510" s="1331"/>
      <c r="EH510" s="1331"/>
      <c r="EI510" s="1331"/>
      <c r="EK510" s="1331"/>
    </row>
    <row r="511" spans="2:141" ht="12.75">
      <c r="B511" s="1848"/>
      <c r="C511" s="1848" t="s">
        <v>138</v>
      </c>
      <c r="AV511" s="1343">
        <f t="shared" ref="AV511:CN511" si="3776">AV465-AV418</f>
        <v>0</v>
      </c>
      <c r="AW511" s="1343">
        <f t="shared" si="3767"/>
        <v>0</v>
      </c>
      <c r="AX511" s="1343">
        <f t="shared" si="3776"/>
        <v>0</v>
      </c>
      <c r="AY511" s="1343">
        <f t="shared" si="3776"/>
        <v>0</v>
      </c>
      <c r="AZ511" s="1343">
        <f t="shared" si="3776"/>
        <v>0</v>
      </c>
      <c r="BA511" s="1343">
        <f t="shared" si="3776"/>
        <v>0</v>
      </c>
      <c r="BB511" s="1343">
        <f t="shared" si="3776"/>
        <v>0</v>
      </c>
      <c r="BC511" s="1343">
        <f t="shared" si="3776"/>
        <v>0</v>
      </c>
      <c r="BD511" s="1343">
        <f t="shared" si="3768"/>
        <v>0</v>
      </c>
      <c r="BE511" s="1343">
        <f t="shared" si="3776"/>
        <v>0</v>
      </c>
      <c r="BF511" s="1343">
        <f t="shared" si="3769"/>
        <v>0</v>
      </c>
      <c r="BG511" s="1343">
        <f t="shared" si="3776"/>
        <v>0</v>
      </c>
      <c r="BH511" s="1343">
        <f t="shared" si="3776"/>
        <v>0</v>
      </c>
      <c r="BI511" s="1343">
        <f t="shared" si="3776"/>
        <v>0</v>
      </c>
      <c r="BJ511" s="1343">
        <f t="shared" si="3776"/>
        <v>0</v>
      </c>
      <c r="BK511" s="1343">
        <f t="shared" si="3776"/>
        <v>0</v>
      </c>
      <c r="BL511" s="1343">
        <f t="shared" si="3776"/>
        <v>0</v>
      </c>
      <c r="BM511" s="1343">
        <f t="shared" si="3770"/>
        <v>0</v>
      </c>
      <c r="BN511" s="1343">
        <f t="shared" si="3776"/>
        <v>0</v>
      </c>
      <c r="BO511" s="1343">
        <f t="shared" si="3776"/>
        <v>0</v>
      </c>
      <c r="BP511" s="1343">
        <f t="shared" si="3776"/>
        <v>0</v>
      </c>
      <c r="BQ511" s="1343">
        <f t="shared" si="3776"/>
        <v>0</v>
      </c>
      <c r="BR511" s="1343">
        <f t="shared" si="3776"/>
        <v>0</v>
      </c>
      <c r="BS511" s="1343">
        <f t="shared" si="3776"/>
        <v>0</v>
      </c>
      <c r="BT511" s="1343">
        <f t="shared" si="3776"/>
        <v>0</v>
      </c>
      <c r="BU511" s="1343">
        <f t="shared" si="3776"/>
        <v>0</v>
      </c>
      <c r="BV511" s="1343">
        <f t="shared" si="3776"/>
        <v>0</v>
      </c>
      <c r="BW511" s="1343">
        <f t="shared" si="3776"/>
        <v>0</v>
      </c>
      <c r="BX511" s="1343">
        <f t="shared" si="3776"/>
        <v>0</v>
      </c>
      <c r="BY511" s="1343">
        <f t="shared" si="3776"/>
        <v>0</v>
      </c>
      <c r="BZ511" s="1343">
        <f t="shared" si="3776"/>
        <v>0</v>
      </c>
      <c r="CA511" s="1343">
        <f t="shared" si="3776"/>
        <v>0</v>
      </c>
      <c r="CB511" s="1343">
        <f t="shared" si="3776"/>
        <v>0</v>
      </c>
      <c r="CC511" s="1343">
        <f t="shared" si="3776"/>
        <v>0</v>
      </c>
      <c r="CD511" s="1343">
        <f t="shared" si="3776"/>
        <v>0</v>
      </c>
      <c r="CE511" s="1343">
        <f t="shared" si="3771"/>
        <v>0</v>
      </c>
      <c r="CF511" s="1343">
        <f t="shared" si="3776"/>
        <v>0</v>
      </c>
      <c r="CG511" s="1343">
        <f t="shared" si="3776"/>
        <v>0</v>
      </c>
      <c r="CH511" s="1343">
        <f t="shared" si="3776"/>
        <v>0</v>
      </c>
      <c r="CI511" s="1343">
        <f t="shared" si="3776"/>
        <v>0</v>
      </c>
      <c r="CJ511" s="1343">
        <f t="shared" si="3776"/>
        <v>0</v>
      </c>
      <c r="CK511" s="1343">
        <f t="shared" si="3776"/>
        <v>0</v>
      </c>
      <c r="CL511" s="1343">
        <f t="shared" si="3776"/>
        <v>0</v>
      </c>
      <c r="CM511" s="1343">
        <f t="shared" si="3776"/>
        <v>0</v>
      </c>
      <c r="CN511" s="1343">
        <f t="shared" si="3776"/>
        <v>0</v>
      </c>
      <c r="CQ511" s="1331"/>
      <c r="CR511" s="1331"/>
      <c r="CS511" s="1331"/>
      <c r="CT511" s="1331"/>
      <c r="CU511" s="1331"/>
      <c r="CV511" s="1331"/>
      <c r="CW511" s="1331"/>
      <c r="CX511" s="1331"/>
      <c r="CY511" s="1331"/>
      <c r="CZ511" s="1331"/>
      <c r="DA511" s="1331"/>
      <c r="DB511" s="1331"/>
      <c r="DC511" s="1331"/>
      <c r="DD511" s="1331"/>
      <c r="DE511" s="1331"/>
      <c r="DF511" s="1331"/>
      <c r="DG511" s="1331"/>
      <c r="DH511" s="1331"/>
      <c r="DI511" s="1331"/>
      <c r="DJ511" s="1331"/>
      <c r="DK511" s="1331"/>
      <c r="DL511" s="1331"/>
      <c r="DM511" s="1331"/>
      <c r="DN511" s="1331"/>
      <c r="DO511" s="1331"/>
      <c r="DP511" s="1331"/>
      <c r="DQ511" s="1331"/>
      <c r="DR511" s="1331"/>
      <c r="DS511" s="1331"/>
      <c r="DT511" s="1331"/>
      <c r="DU511" s="1331"/>
      <c r="DV511" s="1331"/>
      <c r="DW511" s="1331"/>
      <c r="DX511" s="1331"/>
      <c r="DY511" s="1331"/>
      <c r="DZ511" s="1331"/>
      <c r="EA511" s="1331"/>
      <c r="EB511" s="1331"/>
      <c r="EC511" s="1331"/>
      <c r="ED511" s="1331"/>
      <c r="EE511" s="1331"/>
      <c r="EF511" s="1331"/>
      <c r="EG511" s="1331"/>
      <c r="EH511" s="1331"/>
      <c r="EI511" s="1331"/>
      <c r="EK511" s="1331"/>
    </row>
    <row r="512" spans="2:141" ht="12.75">
      <c r="B512" s="1851"/>
      <c r="C512" s="1851" t="s">
        <v>406</v>
      </c>
      <c r="AV512" s="1343">
        <f t="shared" ref="AV512:CN512" si="3777">AV466-AV419</f>
        <v>0</v>
      </c>
      <c r="AW512" s="1343">
        <f t="shared" si="3767"/>
        <v>0</v>
      </c>
      <c r="AX512" s="1343">
        <f t="shared" si="3777"/>
        <v>0</v>
      </c>
      <c r="AY512" s="1343">
        <f t="shared" si="3777"/>
        <v>0</v>
      </c>
      <c r="AZ512" s="1343">
        <f t="shared" si="3777"/>
        <v>0</v>
      </c>
      <c r="BA512" s="1343">
        <f t="shared" si="3777"/>
        <v>0</v>
      </c>
      <c r="BB512" s="1343">
        <f t="shared" si="3777"/>
        <v>0</v>
      </c>
      <c r="BC512" s="1343">
        <f t="shared" si="3777"/>
        <v>0</v>
      </c>
      <c r="BD512" s="1343">
        <f t="shared" si="3768"/>
        <v>0</v>
      </c>
      <c r="BE512" s="1343">
        <f t="shared" si="3777"/>
        <v>0</v>
      </c>
      <c r="BF512" s="1343">
        <f t="shared" si="3769"/>
        <v>0</v>
      </c>
      <c r="BG512" s="1343">
        <f t="shared" si="3777"/>
        <v>0</v>
      </c>
      <c r="BH512" s="1343">
        <f t="shared" si="3777"/>
        <v>0</v>
      </c>
      <c r="BI512" s="1343">
        <f t="shared" si="3777"/>
        <v>0</v>
      </c>
      <c r="BJ512" s="1343">
        <f t="shared" si="3777"/>
        <v>0</v>
      </c>
      <c r="BK512" s="1343">
        <f t="shared" si="3777"/>
        <v>0</v>
      </c>
      <c r="BL512" s="1343">
        <f t="shared" si="3777"/>
        <v>0</v>
      </c>
      <c r="BM512" s="1343">
        <f t="shared" si="3770"/>
        <v>0</v>
      </c>
      <c r="BN512" s="1343">
        <f t="shared" si="3777"/>
        <v>0</v>
      </c>
      <c r="BO512" s="1343">
        <f t="shared" si="3777"/>
        <v>0</v>
      </c>
      <c r="BP512" s="1343">
        <f t="shared" si="3777"/>
        <v>0</v>
      </c>
      <c r="BQ512" s="1343">
        <f t="shared" si="3777"/>
        <v>0</v>
      </c>
      <c r="BR512" s="1343">
        <f t="shared" si="3777"/>
        <v>0</v>
      </c>
      <c r="BS512" s="1343">
        <f t="shared" si="3777"/>
        <v>0</v>
      </c>
      <c r="BT512" s="1343">
        <f t="shared" si="3777"/>
        <v>0</v>
      </c>
      <c r="BU512" s="1343">
        <f t="shared" si="3777"/>
        <v>0</v>
      </c>
      <c r="BV512" s="1343">
        <f t="shared" si="3777"/>
        <v>0</v>
      </c>
      <c r="BW512" s="1343">
        <f t="shared" si="3777"/>
        <v>0</v>
      </c>
      <c r="BX512" s="1343">
        <f t="shared" si="3777"/>
        <v>0</v>
      </c>
      <c r="BY512" s="1343">
        <f t="shared" si="3777"/>
        <v>0</v>
      </c>
      <c r="BZ512" s="1343">
        <f t="shared" si="3777"/>
        <v>0</v>
      </c>
      <c r="CA512" s="1343">
        <f t="shared" si="3777"/>
        <v>0</v>
      </c>
      <c r="CB512" s="1343">
        <f t="shared" si="3777"/>
        <v>0</v>
      </c>
      <c r="CC512" s="1343">
        <f t="shared" si="3777"/>
        <v>0</v>
      </c>
      <c r="CD512" s="1343">
        <f t="shared" si="3777"/>
        <v>0</v>
      </c>
      <c r="CE512" s="1343">
        <f t="shared" si="3771"/>
        <v>0</v>
      </c>
      <c r="CF512" s="1343">
        <f t="shared" si="3777"/>
        <v>0</v>
      </c>
      <c r="CG512" s="1343">
        <f t="shared" si="3777"/>
        <v>0</v>
      </c>
      <c r="CH512" s="1343">
        <f t="shared" si="3777"/>
        <v>0</v>
      </c>
      <c r="CI512" s="1343">
        <f t="shared" si="3777"/>
        <v>0</v>
      </c>
      <c r="CJ512" s="1343">
        <f t="shared" si="3777"/>
        <v>0</v>
      </c>
      <c r="CK512" s="1343">
        <f t="shared" si="3777"/>
        <v>0</v>
      </c>
      <c r="CL512" s="1343">
        <f t="shared" si="3777"/>
        <v>0</v>
      </c>
      <c r="CM512" s="1343">
        <f t="shared" si="3777"/>
        <v>0</v>
      </c>
      <c r="CN512" s="1343">
        <f t="shared" si="3777"/>
        <v>0</v>
      </c>
      <c r="CQ512" s="1331"/>
      <c r="CR512" s="1331"/>
      <c r="CS512" s="1331"/>
      <c r="CT512" s="1331"/>
      <c r="CU512" s="1331"/>
      <c r="CV512" s="1331"/>
      <c r="CW512" s="1331"/>
      <c r="CX512" s="1331"/>
      <c r="CY512" s="1331"/>
      <c r="CZ512" s="1331"/>
      <c r="DA512" s="1331"/>
      <c r="DB512" s="1331"/>
      <c r="DC512" s="1331"/>
      <c r="DD512" s="1331"/>
      <c r="DE512" s="1331"/>
      <c r="DF512" s="1331"/>
      <c r="DG512" s="1331"/>
      <c r="DH512" s="1331"/>
      <c r="DI512" s="1331"/>
      <c r="DJ512" s="1331"/>
      <c r="DK512" s="1331"/>
      <c r="DL512" s="1331"/>
      <c r="DM512" s="1331"/>
      <c r="DN512" s="1331"/>
      <c r="DO512" s="1331"/>
      <c r="DP512" s="1331"/>
      <c r="DQ512" s="1331"/>
      <c r="DR512" s="1331"/>
      <c r="DS512" s="1331"/>
      <c r="DT512" s="1331"/>
      <c r="DU512" s="1331"/>
      <c r="DV512" s="1331"/>
      <c r="DW512" s="1331"/>
      <c r="DX512" s="1331"/>
      <c r="DY512" s="1331"/>
      <c r="DZ512" s="1331"/>
      <c r="EA512" s="1331"/>
      <c r="EB512" s="1331"/>
      <c r="EC512" s="1331"/>
      <c r="ED512" s="1331"/>
      <c r="EE512" s="1331"/>
      <c r="EF512" s="1331"/>
      <c r="EG512" s="1331"/>
      <c r="EH512" s="1331"/>
      <c r="EI512" s="1331"/>
      <c r="EK512" s="1331"/>
    </row>
    <row r="513" spans="2:141" ht="12.75">
      <c r="B513" s="1851"/>
      <c r="C513" s="1851" t="s">
        <v>407</v>
      </c>
      <c r="AV513" s="1343">
        <f t="shared" ref="AV513:CN513" si="3778">AV467-AV420</f>
        <v>0</v>
      </c>
      <c r="AW513" s="1343">
        <f t="shared" si="3767"/>
        <v>0</v>
      </c>
      <c r="AX513" s="1343">
        <f t="shared" si="3778"/>
        <v>0</v>
      </c>
      <c r="AY513" s="1343">
        <f t="shared" si="3778"/>
        <v>0</v>
      </c>
      <c r="AZ513" s="1343">
        <f t="shared" si="3778"/>
        <v>0</v>
      </c>
      <c r="BA513" s="1343">
        <f t="shared" si="3778"/>
        <v>0</v>
      </c>
      <c r="BB513" s="1343">
        <f t="shared" si="3778"/>
        <v>0</v>
      </c>
      <c r="BC513" s="1343">
        <f t="shared" si="3778"/>
        <v>0</v>
      </c>
      <c r="BD513" s="1343">
        <f t="shared" si="3768"/>
        <v>0</v>
      </c>
      <c r="BE513" s="1343">
        <f t="shared" si="3778"/>
        <v>0</v>
      </c>
      <c r="BF513" s="1343">
        <f t="shared" si="3769"/>
        <v>0</v>
      </c>
      <c r="BG513" s="1343">
        <f t="shared" si="3778"/>
        <v>0</v>
      </c>
      <c r="BH513" s="1343">
        <f t="shared" si="3778"/>
        <v>0</v>
      </c>
      <c r="BI513" s="1343">
        <f t="shared" si="3778"/>
        <v>0</v>
      </c>
      <c r="BJ513" s="1343">
        <f t="shared" si="3778"/>
        <v>0</v>
      </c>
      <c r="BK513" s="1343">
        <f t="shared" si="3778"/>
        <v>0</v>
      </c>
      <c r="BL513" s="1343">
        <f t="shared" si="3778"/>
        <v>0</v>
      </c>
      <c r="BM513" s="1343">
        <f t="shared" si="3770"/>
        <v>0</v>
      </c>
      <c r="BN513" s="1343">
        <f t="shared" si="3778"/>
        <v>0</v>
      </c>
      <c r="BO513" s="1343">
        <f t="shared" si="3778"/>
        <v>0</v>
      </c>
      <c r="BP513" s="1343">
        <f t="shared" si="3778"/>
        <v>0</v>
      </c>
      <c r="BQ513" s="1343">
        <f t="shared" si="3778"/>
        <v>0</v>
      </c>
      <c r="BR513" s="1343">
        <f t="shared" si="3778"/>
        <v>0</v>
      </c>
      <c r="BS513" s="1343">
        <f t="shared" si="3778"/>
        <v>0</v>
      </c>
      <c r="BT513" s="1343">
        <f t="shared" si="3778"/>
        <v>0</v>
      </c>
      <c r="BU513" s="1343">
        <f t="shared" si="3778"/>
        <v>0</v>
      </c>
      <c r="BV513" s="1343">
        <f t="shared" si="3778"/>
        <v>0</v>
      </c>
      <c r="BW513" s="1343">
        <f t="shared" si="3778"/>
        <v>0</v>
      </c>
      <c r="BX513" s="1343">
        <f t="shared" si="3778"/>
        <v>0</v>
      </c>
      <c r="BY513" s="1343">
        <f t="shared" si="3778"/>
        <v>0</v>
      </c>
      <c r="BZ513" s="1343">
        <f t="shared" si="3778"/>
        <v>0</v>
      </c>
      <c r="CA513" s="1343">
        <f t="shared" si="3778"/>
        <v>0</v>
      </c>
      <c r="CB513" s="1343">
        <f t="shared" si="3778"/>
        <v>0</v>
      </c>
      <c r="CC513" s="1343">
        <f t="shared" si="3778"/>
        <v>0</v>
      </c>
      <c r="CD513" s="1343">
        <f t="shared" si="3778"/>
        <v>0</v>
      </c>
      <c r="CE513" s="1343">
        <f t="shared" si="3771"/>
        <v>0</v>
      </c>
      <c r="CF513" s="1343">
        <f t="shared" si="3778"/>
        <v>0</v>
      </c>
      <c r="CG513" s="1343">
        <f t="shared" si="3778"/>
        <v>0</v>
      </c>
      <c r="CH513" s="1343">
        <f t="shared" si="3778"/>
        <v>0</v>
      </c>
      <c r="CI513" s="1343">
        <f t="shared" si="3778"/>
        <v>0</v>
      </c>
      <c r="CJ513" s="1343">
        <f t="shared" si="3778"/>
        <v>0</v>
      </c>
      <c r="CK513" s="1343">
        <f t="shared" si="3778"/>
        <v>0</v>
      </c>
      <c r="CL513" s="1343">
        <f t="shared" si="3778"/>
        <v>0</v>
      </c>
      <c r="CM513" s="1343">
        <f t="shared" si="3778"/>
        <v>0</v>
      </c>
      <c r="CN513" s="1343">
        <f t="shared" si="3778"/>
        <v>0</v>
      </c>
      <c r="CQ513" s="1331"/>
      <c r="CR513" s="1331"/>
      <c r="CS513" s="1331"/>
      <c r="CT513" s="1331"/>
      <c r="CU513" s="1331"/>
      <c r="CV513" s="1331"/>
      <c r="CW513" s="1331"/>
      <c r="CX513" s="1331"/>
      <c r="CY513" s="1331"/>
      <c r="CZ513" s="1331"/>
      <c r="DA513" s="1331"/>
      <c r="DB513" s="1331"/>
      <c r="DC513" s="1331"/>
      <c r="DD513" s="1331"/>
      <c r="DE513" s="1331"/>
      <c r="DF513" s="1331"/>
      <c r="DG513" s="1331"/>
      <c r="DH513" s="1331"/>
      <c r="DI513" s="1331"/>
      <c r="DJ513" s="1331"/>
      <c r="DK513" s="1331"/>
      <c r="DL513" s="1331"/>
      <c r="DM513" s="1331"/>
      <c r="DN513" s="1331"/>
      <c r="DO513" s="1331"/>
      <c r="DP513" s="1331"/>
      <c r="DQ513" s="1331"/>
      <c r="DR513" s="1331"/>
      <c r="DS513" s="1331"/>
      <c r="DT513" s="1331"/>
      <c r="DU513" s="1331"/>
      <c r="DV513" s="1331"/>
      <c r="DW513" s="1331"/>
      <c r="DX513" s="1331"/>
      <c r="DY513" s="1331"/>
      <c r="DZ513" s="1331"/>
      <c r="EA513" s="1331"/>
      <c r="EB513" s="1331"/>
      <c r="EC513" s="1331"/>
      <c r="ED513" s="1331"/>
      <c r="EE513" s="1331"/>
      <c r="EF513" s="1331"/>
      <c r="EG513" s="1331"/>
      <c r="EH513" s="1331"/>
      <c r="EI513" s="1331"/>
      <c r="EK513" s="1331"/>
    </row>
    <row r="514" spans="2:141" ht="13.5" thickBot="1">
      <c r="C514" s="1853" t="s">
        <v>204</v>
      </c>
      <c r="D514" s="1852"/>
      <c r="E514" s="1854"/>
      <c r="F514" s="1854"/>
      <c r="G514" s="1854"/>
      <c r="H514" s="1854"/>
      <c r="I514" s="1855"/>
      <c r="J514" s="1855"/>
      <c r="K514" s="1855"/>
      <c r="L514" s="1855"/>
      <c r="M514" s="1855"/>
      <c r="N514" s="1855"/>
      <c r="O514" s="1854"/>
      <c r="P514" s="1854"/>
      <c r="Q514" s="1854"/>
      <c r="R514" s="1854"/>
      <c r="S514" s="1854"/>
      <c r="T514" s="1854"/>
      <c r="U514" s="1854"/>
      <c r="V514" s="1854"/>
      <c r="W514" s="1854"/>
      <c r="X514" s="1854"/>
      <c r="Y514" s="1854"/>
      <c r="Z514" s="1854"/>
      <c r="AA514" s="1854"/>
      <c r="AB514" s="1854"/>
      <c r="AC514" s="1854"/>
      <c r="AD514" s="1854"/>
      <c r="AE514" s="1854"/>
      <c r="AF514" s="1460"/>
      <c r="AG514" s="1460"/>
      <c r="AH514" s="1460"/>
      <c r="AI514" s="1460"/>
      <c r="AJ514" s="1854"/>
      <c r="AK514" s="1854"/>
      <c r="AL514" s="1854"/>
      <c r="AM514" s="1854"/>
      <c r="AN514" s="1854"/>
      <c r="AO514" s="1854"/>
      <c r="AP514" s="1854"/>
      <c r="AQ514" s="1854"/>
      <c r="AR514" s="1854"/>
      <c r="AS514" s="1854"/>
      <c r="AT514" s="1854"/>
      <c r="AU514" s="1852"/>
      <c r="AV514" s="1856">
        <f>SUM(AV475:AV513)</f>
        <v>14499.772466666675</v>
      </c>
      <c r="AW514" s="1856">
        <f t="shared" ref="AW514:CN514" si="3779">SUM(AW475:AW511)</f>
        <v>17399.758333333331</v>
      </c>
      <c r="AX514" s="1856">
        <f t="shared" si="3779"/>
        <v>62</v>
      </c>
      <c r="AY514" s="1856">
        <f t="shared" si="3779"/>
        <v>1226.9722500000003</v>
      </c>
      <c r="AZ514" s="1856">
        <f t="shared" si="3779"/>
        <v>-12</v>
      </c>
      <c r="BA514" s="1856">
        <f t="shared" si="3779"/>
        <v>-316.63800000000003</v>
      </c>
      <c r="BB514" s="1856">
        <f t="shared" si="3779"/>
        <v>0</v>
      </c>
      <c r="BC514" s="1856">
        <f t="shared" si="3779"/>
        <v>1730.7355210016656</v>
      </c>
      <c r="BD514" s="1856">
        <f>SUM(BD475:BD513)</f>
        <v>34540.60057100164</v>
      </c>
      <c r="BE514" s="1856">
        <f t="shared" si="3779"/>
        <v>1150.4341999999951</v>
      </c>
      <c r="BF514" s="1856">
        <f>SUM(BF475:BF513)</f>
        <v>-13332.565000000001</v>
      </c>
      <c r="BG514" s="1856">
        <f t="shared" si="3779"/>
        <v>-80</v>
      </c>
      <c r="BH514" s="1856">
        <f t="shared" si="3779"/>
        <v>-1608.0067499999998</v>
      </c>
      <c r="BI514" s="1856">
        <f t="shared" si="3779"/>
        <v>0</v>
      </c>
      <c r="BJ514" s="1856">
        <f t="shared" si="3779"/>
        <v>0</v>
      </c>
      <c r="BK514" s="1856">
        <f t="shared" si="3779"/>
        <v>0</v>
      </c>
      <c r="BL514" s="1856">
        <f t="shared" si="3779"/>
        <v>163.7505579149996</v>
      </c>
      <c r="BM514" s="1856">
        <f t="shared" si="3779"/>
        <v>-13626.386992084981</v>
      </c>
      <c r="BN514" s="1856">
        <f t="shared" si="3779"/>
        <v>1375</v>
      </c>
      <c r="BO514" s="1856">
        <f t="shared" si="3779"/>
        <v>4177.1900000000005</v>
      </c>
      <c r="BP514" s="1856">
        <f t="shared" si="3779"/>
        <v>18</v>
      </c>
      <c r="BQ514" s="1856">
        <f t="shared" si="3779"/>
        <v>381.03449999999975</v>
      </c>
      <c r="BR514" s="1856">
        <f t="shared" si="3779"/>
        <v>12</v>
      </c>
      <c r="BS514" s="1856">
        <f t="shared" si="3779"/>
        <v>316.63800000000003</v>
      </c>
      <c r="BT514" s="1856">
        <f t="shared" si="3779"/>
        <v>0</v>
      </c>
      <c r="BU514" s="1856">
        <f t="shared" si="3779"/>
        <v>262.60760575000006</v>
      </c>
      <c r="BV514" s="1856">
        <f t="shared" si="3779"/>
        <v>6512.4701057500024</v>
      </c>
      <c r="BW514" s="1856">
        <f>SUM(BW474:BW513)</f>
        <v>-17025.206666666665</v>
      </c>
      <c r="BX514" s="1856">
        <f t="shared" ref="BX514:CD514" si="3780">SUM(BX474:BX513)</f>
        <v>-8244.3833333333332</v>
      </c>
      <c r="BY514" s="1856">
        <f t="shared" si="3780"/>
        <v>0</v>
      </c>
      <c r="BZ514" s="1856">
        <f t="shared" si="3780"/>
        <v>0</v>
      </c>
      <c r="CA514" s="1856">
        <f t="shared" si="3780"/>
        <v>0</v>
      </c>
      <c r="CB514" s="1856">
        <f t="shared" si="3780"/>
        <v>0</v>
      </c>
      <c r="CC514" s="1856">
        <f t="shared" si="3780"/>
        <v>0</v>
      </c>
      <c r="CD514" s="1856">
        <f t="shared" si="3780"/>
        <v>-2157.0936846666668</v>
      </c>
      <c r="CE514" s="1856">
        <f>SUM(CE474:CE513)</f>
        <v>-27426.683684666667</v>
      </c>
      <c r="CF514" s="1856" t="e">
        <f t="shared" si="3779"/>
        <v>#REF!</v>
      </c>
      <c r="CG514" s="1856" t="e">
        <f t="shared" si="3779"/>
        <v>#REF!</v>
      </c>
      <c r="CH514" s="1856" t="e">
        <f t="shared" si="3779"/>
        <v>#REF!</v>
      </c>
      <c r="CI514" s="1856" t="e">
        <f t="shared" si="3779"/>
        <v>#REF!</v>
      </c>
      <c r="CJ514" s="1856" t="e">
        <f t="shared" si="3779"/>
        <v>#REF!</v>
      </c>
      <c r="CK514" s="1856" t="e">
        <f t="shared" si="3779"/>
        <v>#REF!</v>
      </c>
      <c r="CL514" s="1856" t="e">
        <f t="shared" si="3779"/>
        <v>#REF!</v>
      </c>
      <c r="CM514" s="1856" t="e">
        <f t="shared" si="3779"/>
        <v>#REF!</v>
      </c>
      <c r="CN514" s="1856" t="e">
        <f t="shared" si="3779"/>
        <v>#REF!</v>
      </c>
      <c r="CQ514" s="1331"/>
      <c r="CR514" s="1331"/>
      <c r="CS514" s="1331"/>
      <c r="CT514" s="1331"/>
      <c r="CU514" s="1331"/>
      <c r="CV514" s="1331"/>
      <c r="CW514" s="1331"/>
      <c r="CX514" s="1331"/>
      <c r="CY514" s="1331"/>
      <c r="CZ514" s="1331"/>
      <c r="DA514" s="1331"/>
      <c r="DB514" s="1331"/>
      <c r="DC514" s="1331"/>
      <c r="DD514" s="1331"/>
      <c r="DE514" s="1331"/>
      <c r="DF514" s="1331"/>
      <c r="DG514" s="1331"/>
      <c r="DH514" s="1331"/>
      <c r="DI514" s="1331"/>
      <c r="DJ514" s="1331"/>
      <c r="DK514" s="1331"/>
      <c r="DL514" s="1331"/>
      <c r="DM514" s="1331"/>
      <c r="DN514" s="1331"/>
      <c r="DO514" s="1331"/>
      <c r="DP514" s="1331"/>
      <c r="DQ514" s="1331"/>
      <c r="DR514" s="1331"/>
      <c r="DS514" s="1331"/>
      <c r="DT514" s="1331"/>
      <c r="DU514" s="1331"/>
      <c r="DV514" s="1331"/>
      <c r="DW514" s="1331"/>
      <c r="DX514" s="1331"/>
      <c r="DY514" s="1331"/>
      <c r="DZ514" s="1331"/>
      <c r="EA514" s="1331"/>
      <c r="EB514" s="1331"/>
      <c r="EC514" s="1331"/>
      <c r="ED514" s="1331"/>
      <c r="EE514" s="1331"/>
      <c r="EF514" s="1331"/>
      <c r="EG514" s="1331"/>
      <c r="EH514" s="1331"/>
      <c r="EI514" s="1331"/>
      <c r="EK514" s="1331"/>
    </row>
    <row r="515" spans="2:141" ht="12" thickTop="1">
      <c r="AV515" s="1343">
        <f t="shared" ref="AV515:CN515" si="3781">AV468-AV421-AV514</f>
        <v>3.092281986027956E-11</v>
      </c>
      <c r="AW515" s="1343">
        <f t="shared" si="3781"/>
        <v>8.7311491370201111E-11</v>
      </c>
      <c r="AX515" s="1343">
        <f t="shared" si="3781"/>
        <v>0</v>
      </c>
      <c r="AY515" s="1343">
        <f t="shared" si="3781"/>
        <v>0</v>
      </c>
      <c r="AZ515" s="1343">
        <f t="shared" si="3781"/>
        <v>0</v>
      </c>
      <c r="BA515" s="1343">
        <f t="shared" si="3781"/>
        <v>0</v>
      </c>
      <c r="BB515" s="1343">
        <f t="shared" si="3781"/>
        <v>0</v>
      </c>
      <c r="BC515" s="1343">
        <f t="shared" si="3781"/>
        <v>2.9558577807620168E-12</v>
      </c>
      <c r="BD515" s="1343">
        <f t="shared" si="3781"/>
        <v>1.2369127944111824E-10</v>
      </c>
      <c r="BE515" s="1343">
        <f t="shared" si="3781"/>
        <v>5.184119800105691E-11</v>
      </c>
      <c r="BF515" s="1343">
        <f>BF468-BF421-BF514</f>
        <v>0</v>
      </c>
      <c r="BG515" s="1343">
        <f t="shared" si="3781"/>
        <v>0</v>
      </c>
      <c r="BH515" s="1343">
        <f t="shared" si="3781"/>
        <v>0</v>
      </c>
      <c r="BI515" s="1343">
        <f t="shared" si="3781"/>
        <v>0</v>
      </c>
      <c r="BJ515" s="1343">
        <f t="shared" si="3781"/>
        <v>0</v>
      </c>
      <c r="BK515" s="1343">
        <f t="shared" si="3781"/>
        <v>0</v>
      </c>
      <c r="BL515" s="1343">
        <f t="shared" si="3781"/>
        <v>2.3874235921539366E-12</v>
      </c>
      <c r="BM515" s="1343">
        <f t="shared" si="3781"/>
        <v>7.0940586738288403E-11</v>
      </c>
      <c r="BN515" s="1343">
        <f t="shared" si="3781"/>
        <v>0</v>
      </c>
      <c r="BO515" s="1343">
        <f t="shared" si="3781"/>
        <v>0</v>
      </c>
      <c r="BP515" s="1343">
        <f t="shared" si="3781"/>
        <v>0</v>
      </c>
      <c r="BQ515" s="1343">
        <f t="shared" si="3781"/>
        <v>0</v>
      </c>
      <c r="BR515" s="1343">
        <f t="shared" si="3781"/>
        <v>0</v>
      </c>
      <c r="BS515" s="1343">
        <f t="shared" si="3781"/>
        <v>0</v>
      </c>
      <c r="BT515" s="1343">
        <f t="shared" si="3781"/>
        <v>0</v>
      </c>
      <c r="BU515" s="1343">
        <f t="shared" si="3781"/>
        <v>0</v>
      </c>
      <c r="BV515" s="1343">
        <f t="shared" si="3781"/>
        <v>0</v>
      </c>
      <c r="BW515" s="1343">
        <f t="shared" si="3781"/>
        <v>0</v>
      </c>
      <c r="BX515" s="1343">
        <f t="shared" si="3781"/>
        <v>0</v>
      </c>
      <c r="BY515" s="1343">
        <f t="shared" si="3781"/>
        <v>0</v>
      </c>
      <c r="BZ515" s="1343">
        <f t="shared" si="3781"/>
        <v>0</v>
      </c>
      <c r="CA515" s="1343">
        <f t="shared" si="3781"/>
        <v>0</v>
      </c>
      <c r="CB515" s="1343">
        <f t="shared" si="3781"/>
        <v>0</v>
      </c>
      <c r="CC515" s="1343">
        <f t="shared" si="3781"/>
        <v>0</v>
      </c>
      <c r="CD515" s="1343">
        <f t="shared" si="3781"/>
        <v>0</v>
      </c>
      <c r="CE515" s="1343">
        <f>CE468-CE421-CE514</f>
        <v>0</v>
      </c>
      <c r="CF515" s="1343" t="e">
        <f t="shared" si="3781"/>
        <v>#REF!</v>
      </c>
      <c r="CG515" s="1343" t="e">
        <f t="shared" si="3781"/>
        <v>#REF!</v>
      </c>
      <c r="CH515" s="1343" t="e">
        <f t="shared" si="3781"/>
        <v>#REF!</v>
      </c>
      <c r="CI515" s="1343" t="e">
        <f t="shared" si="3781"/>
        <v>#REF!</v>
      </c>
      <c r="CJ515" s="1343" t="e">
        <f t="shared" si="3781"/>
        <v>#REF!</v>
      </c>
      <c r="CK515" s="1343" t="e">
        <f t="shared" si="3781"/>
        <v>#REF!</v>
      </c>
      <c r="CL515" s="1343" t="e">
        <f t="shared" si="3781"/>
        <v>#REF!</v>
      </c>
      <c r="CM515" s="1343" t="e">
        <f t="shared" si="3781"/>
        <v>#REF!</v>
      </c>
      <c r="CN515" s="1343" t="e">
        <f t="shared" si="3781"/>
        <v>#REF!</v>
      </c>
      <c r="CQ515" s="1331"/>
      <c r="CR515" s="1331"/>
      <c r="CS515" s="1331"/>
      <c r="CT515" s="1331"/>
      <c r="CU515" s="1331"/>
      <c r="CV515" s="1331"/>
      <c r="CW515" s="1331"/>
      <c r="CX515" s="1331"/>
      <c r="CY515" s="1331"/>
      <c r="CZ515" s="1331"/>
      <c r="DA515" s="1331"/>
      <c r="DB515" s="1331"/>
      <c r="DC515" s="1331"/>
      <c r="DD515" s="1331"/>
      <c r="DE515" s="1331"/>
      <c r="DF515" s="1331"/>
      <c r="DG515" s="1331"/>
      <c r="DH515" s="1331"/>
      <c r="DI515" s="1331"/>
      <c r="DJ515" s="1331"/>
      <c r="DK515" s="1331"/>
      <c r="DL515" s="1331"/>
      <c r="DM515" s="1331"/>
      <c r="DN515" s="1331"/>
      <c r="DO515" s="1331"/>
      <c r="DP515" s="1331"/>
      <c r="DQ515" s="1331"/>
      <c r="DR515" s="1331"/>
      <c r="DS515" s="1331"/>
      <c r="DT515" s="1331"/>
      <c r="DU515" s="1331"/>
      <c r="DV515" s="1331"/>
      <c r="DW515" s="1331"/>
      <c r="DX515" s="1331"/>
      <c r="DY515" s="1331"/>
      <c r="DZ515" s="1331"/>
      <c r="EA515" s="1331"/>
      <c r="EB515" s="1331"/>
      <c r="EC515" s="1331"/>
      <c r="ED515" s="1331"/>
      <c r="EE515" s="1331"/>
      <c r="EF515" s="1331"/>
      <c r="EG515" s="1331"/>
      <c r="EH515" s="1331"/>
      <c r="EI515" s="1331"/>
      <c r="EK515" s="1331"/>
    </row>
    <row r="516" spans="2:141">
      <c r="AV516" s="1343" t="str">
        <f>IF(AV515&lt;&gt;0,"ERROR VERIFICAR TRASLADO DE DATOS DE DISTRIBUCIÓN A CUADRO","")</f>
        <v>ERROR VERIFICAR TRASLADO DE DATOS DE DISTRIBUCIÓN A CUADRO</v>
      </c>
      <c r="AW516" s="1343" t="str">
        <f t="shared" ref="AW516:CN516" si="3782">IF(AW515&lt;&gt;0,"ERROR VERIFICAR TRASLADO DE DATOS DE DISTRIBUCIÓN A CUADRO","")</f>
        <v>ERROR VERIFICAR TRASLADO DE DATOS DE DISTRIBUCIÓN A CUADRO</v>
      </c>
      <c r="AX516" s="1343" t="str">
        <f t="shared" si="3782"/>
        <v/>
      </c>
      <c r="AY516" s="1343" t="str">
        <f t="shared" si="3782"/>
        <v/>
      </c>
      <c r="AZ516" s="1343" t="str">
        <f t="shared" si="3782"/>
        <v/>
      </c>
      <c r="BA516" s="1343" t="str">
        <f t="shared" si="3782"/>
        <v/>
      </c>
      <c r="BB516" s="1343" t="str">
        <f t="shared" si="3782"/>
        <v/>
      </c>
      <c r="BC516" s="1343" t="str">
        <f>IF(BC515&lt;&gt;0,"ERROR VERIFICAR TRASLADO DE DATOS DE DISTRIBUCIÓN A CUADRO","")</f>
        <v>ERROR VERIFICAR TRASLADO DE DATOS DE DISTRIBUCIÓN A CUADRO</v>
      </c>
      <c r="BD516" s="1343" t="str">
        <f t="shared" si="3782"/>
        <v>ERROR VERIFICAR TRASLADO DE DATOS DE DISTRIBUCIÓN A CUADRO</v>
      </c>
      <c r="BE516" s="1343" t="str">
        <f t="shared" si="3782"/>
        <v>ERROR VERIFICAR TRASLADO DE DATOS DE DISTRIBUCIÓN A CUADRO</v>
      </c>
      <c r="BF516" s="1343" t="str">
        <f t="shared" si="3782"/>
        <v/>
      </c>
      <c r="BG516" s="1343" t="str">
        <f t="shared" si="3782"/>
        <v/>
      </c>
      <c r="BH516" s="1343" t="str">
        <f t="shared" si="3782"/>
        <v/>
      </c>
      <c r="BI516" s="1343" t="str">
        <f t="shared" si="3782"/>
        <v/>
      </c>
      <c r="BJ516" s="1343" t="str">
        <f t="shared" si="3782"/>
        <v/>
      </c>
      <c r="BK516" s="1343" t="str">
        <f t="shared" si="3782"/>
        <v/>
      </c>
      <c r="BL516" s="1343" t="str">
        <f>IF(BL515&lt;&gt;0,"ERROR VERIFICAR TRASLADO DE DATOS DE DISTRIBUCIÓN A CUADRO","")</f>
        <v>ERROR VERIFICAR TRASLADO DE DATOS DE DISTRIBUCIÓN A CUADRO</v>
      </c>
      <c r="BM516" s="1343" t="str">
        <f t="shared" si="3782"/>
        <v>ERROR VERIFICAR TRASLADO DE DATOS DE DISTRIBUCIÓN A CUADRO</v>
      </c>
      <c r="BN516" s="1343" t="str">
        <f t="shared" si="3782"/>
        <v/>
      </c>
      <c r="BO516" s="1343" t="str">
        <f t="shared" si="3782"/>
        <v/>
      </c>
      <c r="BP516" s="1343" t="str">
        <f t="shared" si="3782"/>
        <v/>
      </c>
      <c r="BQ516" s="1343" t="str">
        <f t="shared" si="3782"/>
        <v/>
      </c>
      <c r="BR516" s="1343" t="str">
        <f t="shared" si="3782"/>
        <v/>
      </c>
      <c r="BS516" s="1343" t="str">
        <f t="shared" si="3782"/>
        <v/>
      </c>
      <c r="BT516" s="1343" t="str">
        <f t="shared" si="3782"/>
        <v/>
      </c>
      <c r="BU516" s="1343" t="str">
        <f t="shared" si="3782"/>
        <v/>
      </c>
      <c r="BV516" s="1343" t="str">
        <f t="shared" si="3782"/>
        <v/>
      </c>
      <c r="BW516" s="1343" t="str">
        <f t="shared" si="3782"/>
        <v/>
      </c>
      <c r="BX516" s="1343" t="str">
        <f t="shared" si="3782"/>
        <v/>
      </c>
      <c r="BY516" s="1343" t="str">
        <f t="shared" si="3782"/>
        <v/>
      </c>
      <c r="BZ516" s="1343" t="str">
        <f t="shared" si="3782"/>
        <v/>
      </c>
      <c r="CA516" s="1343" t="str">
        <f t="shared" si="3782"/>
        <v/>
      </c>
      <c r="CB516" s="1343" t="str">
        <f t="shared" si="3782"/>
        <v/>
      </c>
      <c r="CC516" s="1343" t="str">
        <f t="shared" si="3782"/>
        <v/>
      </c>
      <c r="CD516" s="1343" t="str">
        <f t="shared" si="3782"/>
        <v/>
      </c>
      <c r="CE516" s="1343" t="str">
        <f t="shared" si="3782"/>
        <v/>
      </c>
      <c r="CF516" s="1343" t="e">
        <f t="shared" si="3782"/>
        <v>#REF!</v>
      </c>
      <c r="CG516" s="1343" t="e">
        <f t="shared" si="3782"/>
        <v>#REF!</v>
      </c>
      <c r="CH516" s="1343" t="e">
        <f t="shared" si="3782"/>
        <v>#REF!</v>
      </c>
      <c r="CI516" s="1343" t="e">
        <f t="shared" si="3782"/>
        <v>#REF!</v>
      </c>
      <c r="CJ516" s="1343" t="e">
        <f t="shared" si="3782"/>
        <v>#REF!</v>
      </c>
      <c r="CK516" s="1343" t="e">
        <f t="shared" si="3782"/>
        <v>#REF!</v>
      </c>
      <c r="CL516" s="1343" t="e">
        <f t="shared" si="3782"/>
        <v>#REF!</v>
      </c>
      <c r="CM516" s="1343" t="e">
        <f t="shared" si="3782"/>
        <v>#REF!</v>
      </c>
      <c r="CN516" s="1343" t="e">
        <f t="shared" si="3782"/>
        <v>#REF!</v>
      </c>
    </row>
    <row r="518" spans="2:141" ht="12" thickBot="1">
      <c r="AV518" s="2220" t="s">
        <v>394</v>
      </c>
      <c r="AW518" s="2220"/>
      <c r="AX518" s="2220"/>
      <c r="AY518" s="2220"/>
      <c r="AZ518" s="2220"/>
      <c r="BA518" s="2220"/>
      <c r="BB518" s="2220"/>
      <c r="BC518" s="2220"/>
      <c r="BD518" s="2220"/>
      <c r="CQ518" s="1331"/>
      <c r="CR518" s="1331"/>
      <c r="CS518" s="1331"/>
      <c r="CT518" s="1331"/>
      <c r="CU518" s="1331"/>
      <c r="CV518" s="1331"/>
      <c r="CW518" s="1331"/>
      <c r="CX518" s="1331"/>
      <c r="CY518" s="1331"/>
      <c r="CZ518" s="1331"/>
      <c r="DA518" s="1331"/>
      <c r="DB518" s="1331"/>
      <c r="DC518" s="1331"/>
      <c r="DD518" s="1331"/>
      <c r="DE518" s="1331"/>
      <c r="DF518" s="1331"/>
      <c r="DG518" s="1331"/>
      <c r="DH518" s="1331"/>
      <c r="DI518" s="1331"/>
      <c r="DJ518" s="1331"/>
      <c r="DK518" s="1331"/>
      <c r="DL518" s="1331"/>
      <c r="DM518" s="1331"/>
      <c r="DN518" s="1331"/>
      <c r="DO518" s="1331"/>
      <c r="DP518" s="1331"/>
      <c r="DQ518" s="1331"/>
      <c r="DR518" s="1331"/>
      <c r="DS518" s="1331"/>
      <c r="DT518" s="1331"/>
      <c r="DU518" s="1331"/>
      <c r="DV518" s="1331"/>
      <c r="DW518" s="1331"/>
      <c r="DX518" s="1331"/>
      <c r="DY518" s="1331"/>
      <c r="DZ518" s="1331"/>
      <c r="EA518" s="1331"/>
      <c r="EB518" s="1331"/>
      <c r="EC518" s="1331"/>
      <c r="ED518" s="1331"/>
      <c r="EE518" s="1331"/>
      <c r="EF518" s="1331"/>
      <c r="EG518" s="1331"/>
      <c r="EH518" s="1331"/>
      <c r="EI518" s="1331"/>
      <c r="EK518" s="1331"/>
    </row>
    <row r="519" spans="2:141">
      <c r="AV519" s="1836" t="s">
        <v>17</v>
      </c>
      <c r="AW519" s="1837" t="s">
        <v>18</v>
      </c>
      <c r="AX519" s="1837" t="s">
        <v>26</v>
      </c>
      <c r="AY519" s="1838" t="s">
        <v>27</v>
      </c>
      <c r="AZ519" s="1838" t="s">
        <v>26</v>
      </c>
      <c r="BA519" s="1838" t="s">
        <v>27</v>
      </c>
      <c r="BB519" s="1839" t="s">
        <v>28</v>
      </c>
      <c r="BC519" s="1839" t="s">
        <v>29</v>
      </c>
      <c r="BD519" s="1840" t="s">
        <v>19</v>
      </c>
      <c r="CQ519" s="1331"/>
      <c r="CR519" s="1331"/>
      <c r="CS519" s="1331"/>
      <c r="CT519" s="1331"/>
      <c r="CU519" s="1331"/>
      <c r="CV519" s="1331"/>
      <c r="CW519" s="1331"/>
      <c r="CX519" s="1331"/>
      <c r="CY519" s="1331"/>
      <c r="CZ519" s="1331"/>
      <c r="DA519" s="1331"/>
      <c r="DB519" s="1331"/>
      <c r="DC519" s="1331"/>
      <c r="DD519" s="1331"/>
      <c r="DE519" s="1331"/>
      <c r="DF519" s="1331"/>
      <c r="DG519" s="1331"/>
      <c r="DH519" s="1331"/>
      <c r="DI519" s="1331"/>
      <c r="DJ519" s="1331"/>
      <c r="DK519" s="1331"/>
      <c r="DL519" s="1331"/>
      <c r="DM519" s="1331"/>
      <c r="DN519" s="1331"/>
      <c r="DO519" s="1331"/>
      <c r="DP519" s="1331"/>
      <c r="DQ519" s="1331"/>
      <c r="DR519" s="1331"/>
      <c r="DS519" s="1331"/>
      <c r="DT519" s="1331"/>
      <c r="DU519" s="1331"/>
      <c r="DV519" s="1331"/>
      <c r="DW519" s="1331"/>
      <c r="DX519" s="1331"/>
      <c r="DY519" s="1331"/>
      <c r="DZ519" s="1331"/>
      <c r="EA519" s="1331"/>
      <c r="EB519" s="1331"/>
      <c r="EC519" s="1331"/>
      <c r="ED519" s="1331"/>
      <c r="EE519" s="1331"/>
      <c r="EF519" s="1331"/>
      <c r="EG519" s="1331"/>
      <c r="EH519" s="1331"/>
      <c r="EI519" s="1331"/>
      <c r="EK519" s="1331"/>
    </row>
    <row r="520" spans="2:141">
      <c r="AV520" s="1842" t="s">
        <v>39</v>
      </c>
      <c r="AW520" s="1843" t="s">
        <v>40</v>
      </c>
      <c r="AX520" s="1843" t="s">
        <v>46</v>
      </c>
      <c r="AY520" s="1843" t="s">
        <v>389</v>
      </c>
      <c r="AZ520" s="1843" t="s">
        <v>47</v>
      </c>
      <c r="BA520" s="1843" t="s">
        <v>390</v>
      </c>
      <c r="BB520" s="1844" t="s">
        <v>48</v>
      </c>
      <c r="BC520" s="1844" t="s">
        <v>49</v>
      </c>
      <c r="BD520" s="1845"/>
      <c r="CQ520" s="1331"/>
      <c r="CR520" s="1331"/>
      <c r="CS520" s="1331"/>
      <c r="CT520" s="1331"/>
      <c r="CU520" s="1331"/>
      <c r="CV520" s="1331"/>
      <c r="CW520" s="1331"/>
      <c r="CX520" s="1331"/>
      <c r="CY520" s="1331"/>
      <c r="CZ520" s="1331"/>
      <c r="DA520" s="1331"/>
      <c r="DB520" s="1331"/>
      <c r="DC520" s="1331"/>
      <c r="DD520" s="1331"/>
      <c r="DE520" s="1331"/>
      <c r="DF520" s="1331"/>
      <c r="DG520" s="1331"/>
      <c r="DH520" s="1331"/>
      <c r="DI520" s="1331"/>
      <c r="DJ520" s="1331"/>
      <c r="DK520" s="1331"/>
      <c r="DL520" s="1331"/>
      <c r="DM520" s="1331"/>
      <c r="DN520" s="1331"/>
      <c r="DO520" s="1331"/>
      <c r="DP520" s="1331"/>
      <c r="DQ520" s="1331"/>
      <c r="DR520" s="1331"/>
      <c r="DS520" s="1331"/>
      <c r="DT520" s="1331"/>
      <c r="DU520" s="1331"/>
      <c r="DV520" s="1331"/>
      <c r="DW520" s="1331"/>
      <c r="DX520" s="1331"/>
      <c r="DY520" s="1331"/>
      <c r="DZ520" s="1331"/>
      <c r="EA520" s="1331"/>
      <c r="EB520" s="1331"/>
      <c r="EC520" s="1331"/>
      <c r="ED520" s="1331"/>
      <c r="EE520" s="1331"/>
      <c r="EF520" s="1331"/>
      <c r="EG520" s="1331"/>
      <c r="EH520" s="1331"/>
      <c r="EI520" s="1331"/>
      <c r="EK520" s="1331"/>
    </row>
    <row r="521" spans="2:141">
      <c r="C521" s="1324" t="s">
        <v>10</v>
      </c>
      <c r="AV521" s="1343">
        <f>AV514</f>
        <v>14499.772466666675</v>
      </c>
      <c r="AW521" s="1343">
        <f>AW514</f>
        <v>17399.758333333331</v>
      </c>
      <c r="AX521" s="1343">
        <f t="shared" ref="AX521:BC521" si="3783">AX514</f>
        <v>62</v>
      </c>
      <c r="AY521" s="1343">
        <f t="shared" si="3783"/>
        <v>1226.9722500000003</v>
      </c>
      <c r="AZ521" s="1343">
        <f t="shared" si="3783"/>
        <v>-12</v>
      </c>
      <c r="BA521" s="1343">
        <f t="shared" si="3783"/>
        <v>-316.63800000000003</v>
      </c>
      <c r="BB521" s="1343">
        <f t="shared" si="3783"/>
        <v>0</v>
      </c>
      <c r="BC521" s="1343">
        <f t="shared" si="3783"/>
        <v>1730.7355210016656</v>
      </c>
      <c r="BD521" s="1343">
        <f>BD514</f>
        <v>34540.60057100164</v>
      </c>
      <c r="CQ521" s="1331"/>
      <c r="CR521" s="1331"/>
      <c r="CS521" s="1331"/>
      <c r="CT521" s="1331"/>
      <c r="CU521" s="1331"/>
      <c r="CV521" s="1331"/>
      <c r="CW521" s="1331"/>
      <c r="CX521" s="1331"/>
      <c r="CY521" s="1331"/>
      <c r="CZ521" s="1331"/>
      <c r="DA521" s="1331"/>
      <c r="DB521" s="1331"/>
      <c r="DC521" s="1331"/>
      <c r="DD521" s="1331"/>
      <c r="DE521" s="1331"/>
      <c r="DF521" s="1331"/>
      <c r="DG521" s="1331"/>
      <c r="DH521" s="1331"/>
      <c r="DI521" s="1331"/>
      <c r="DJ521" s="1331"/>
      <c r="DK521" s="1331"/>
      <c r="DL521" s="1331"/>
      <c r="DM521" s="1331"/>
      <c r="DN521" s="1331"/>
      <c r="DO521" s="1331"/>
      <c r="DP521" s="1331"/>
      <c r="DQ521" s="1331"/>
      <c r="DR521" s="1331"/>
      <c r="DS521" s="1331"/>
      <c r="DT521" s="1331"/>
      <c r="DU521" s="1331"/>
      <c r="DV521" s="1331"/>
      <c r="DW521" s="1331"/>
      <c r="DX521" s="1331"/>
      <c r="DY521" s="1331"/>
      <c r="DZ521" s="1331"/>
      <c r="EA521" s="1331"/>
      <c r="EB521" s="1331"/>
      <c r="EC521" s="1331"/>
      <c r="ED521" s="1331"/>
      <c r="EE521" s="1331"/>
      <c r="EF521" s="1331"/>
      <c r="EG521" s="1331"/>
      <c r="EH521" s="1331"/>
      <c r="EI521" s="1331"/>
      <c r="EK521" s="1331"/>
    </row>
    <row r="522" spans="2:141">
      <c r="C522" s="1324" t="s">
        <v>11</v>
      </c>
      <c r="AV522" s="1343">
        <f>BE514</f>
        <v>1150.4341999999951</v>
      </c>
      <c r="AW522" s="1343">
        <f>BF514</f>
        <v>-13332.565000000001</v>
      </c>
      <c r="AX522" s="1343">
        <f t="shared" ref="AX522:BC522" si="3784">BG514</f>
        <v>-80</v>
      </c>
      <c r="AY522" s="1343">
        <f t="shared" si="3784"/>
        <v>-1608.0067499999998</v>
      </c>
      <c r="AZ522" s="1343">
        <f t="shared" si="3784"/>
        <v>0</v>
      </c>
      <c r="BA522" s="1343">
        <f t="shared" si="3784"/>
        <v>0</v>
      </c>
      <c r="BB522" s="1343">
        <f t="shared" si="3784"/>
        <v>0</v>
      </c>
      <c r="BC522" s="1343">
        <f t="shared" si="3784"/>
        <v>163.7505579149996</v>
      </c>
      <c r="BD522" s="1343">
        <f>BM514</f>
        <v>-13626.386992084981</v>
      </c>
      <c r="CQ522" s="1331"/>
      <c r="CR522" s="1331"/>
      <c r="CS522" s="1331"/>
      <c r="CT522" s="1331"/>
      <c r="CU522" s="1331"/>
      <c r="CV522" s="1331"/>
      <c r="CW522" s="1331"/>
      <c r="CX522" s="1331"/>
      <c r="CY522" s="1331"/>
      <c r="CZ522" s="1331"/>
      <c r="DA522" s="1331"/>
      <c r="DB522" s="1331"/>
      <c r="DC522" s="1331"/>
      <c r="DD522" s="1331"/>
      <c r="DE522" s="1331"/>
      <c r="DF522" s="1331"/>
      <c r="DG522" s="1331"/>
      <c r="DH522" s="1331"/>
      <c r="DI522" s="1331"/>
      <c r="DJ522" s="1331"/>
      <c r="DK522" s="1331"/>
      <c r="DL522" s="1331"/>
      <c r="DM522" s="1331"/>
      <c r="DN522" s="1331"/>
      <c r="DO522" s="1331"/>
      <c r="DP522" s="1331"/>
      <c r="DQ522" s="1331"/>
      <c r="DR522" s="1331"/>
      <c r="DS522" s="1331"/>
      <c r="DT522" s="1331"/>
      <c r="DU522" s="1331"/>
      <c r="DV522" s="1331"/>
      <c r="DW522" s="1331"/>
      <c r="DX522" s="1331"/>
      <c r="DY522" s="1331"/>
      <c r="DZ522" s="1331"/>
      <c r="EA522" s="1331"/>
      <c r="EB522" s="1331"/>
      <c r="EC522" s="1331"/>
      <c r="ED522" s="1331"/>
      <c r="EE522" s="1331"/>
      <c r="EF522" s="1331"/>
      <c r="EG522" s="1331"/>
      <c r="EH522" s="1331"/>
      <c r="EI522" s="1331"/>
      <c r="EK522" s="1331"/>
    </row>
    <row r="523" spans="2:141">
      <c r="C523" s="1324" t="s">
        <v>395</v>
      </c>
      <c r="AV523" s="1343">
        <f>BN514</f>
        <v>1375</v>
      </c>
      <c r="AW523" s="1343">
        <f>BO514</f>
        <v>4177.1900000000005</v>
      </c>
      <c r="AX523" s="1343">
        <f t="shared" ref="AX523:BC523" si="3785">BP514</f>
        <v>18</v>
      </c>
      <c r="AY523" s="1343">
        <f t="shared" si="3785"/>
        <v>381.03449999999975</v>
      </c>
      <c r="AZ523" s="1343">
        <f t="shared" si="3785"/>
        <v>12</v>
      </c>
      <c r="BA523" s="1343">
        <f t="shared" si="3785"/>
        <v>316.63800000000003</v>
      </c>
      <c r="BB523" s="1343">
        <f t="shared" si="3785"/>
        <v>0</v>
      </c>
      <c r="BC523" s="1343">
        <f t="shared" si="3785"/>
        <v>262.60760575000006</v>
      </c>
      <c r="BD523" s="1343">
        <f>BV514</f>
        <v>6512.4701057500024</v>
      </c>
      <c r="CQ523" s="1331"/>
      <c r="CR523" s="1331"/>
      <c r="CS523" s="1331"/>
      <c r="CT523" s="1331"/>
      <c r="CU523" s="1331"/>
      <c r="CV523" s="1331"/>
      <c r="CW523" s="1331"/>
      <c r="CX523" s="1331"/>
      <c r="CY523" s="1331"/>
      <c r="CZ523" s="1331"/>
      <c r="DA523" s="1331"/>
      <c r="DB523" s="1331"/>
      <c r="DC523" s="1331"/>
      <c r="DD523" s="1331"/>
      <c r="DE523" s="1331"/>
      <c r="DF523" s="1331"/>
      <c r="DG523" s="1331"/>
      <c r="DH523" s="1331"/>
      <c r="DI523" s="1331"/>
      <c r="DJ523" s="1331"/>
      <c r="DK523" s="1331"/>
      <c r="DL523" s="1331"/>
      <c r="DM523" s="1331"/>
      <c r="DN523" s="1331"/>
      <c r="DO523" s="1331"/>
      <c r="DP523" s="1331"/>
      <c r="DQ523" s="1331"/>
      <c r="DR523" s="1331"/>
      <c r="DS523" s="1331"/>
      <c r="DT523" s="1331"/>
      <c r="DU523" s="1331"/>
      <c r="DV523" s="1331"/>
      <c r="DW523" s="1331"/>
      <c r="DX523" s="1331"/>
      <c r="DY523" s="1331"/>
      <c r="DZ523" s="1331"/>
      <c r="EA523" s="1331"/>
      <c r="EB523" s="1331"/>
      <c r="EC523" s="1331"/>
      <c r="ED523" s="1331"/>
      <c r="EE523" s="1331"/>
      <c r="EF523" s="1331"/>
      <c r="EG523" s="1331"/>
      <c r="EH523" s="1331"/>
      <c r="EI523" s="1331"/>
      <c r="EK523" s="1331"/>
    </row>
    <row r="524" spans="2:141">
      <c r="C524" s="1324" t="s">
        <v>13</v>
      </c>
      <c r="AV524" s="1343">
        <f>+BW514</f>
        <v>-17025.206666666665</v>
      </c>
      <c r="AW524" s="1343">
        <f>+BX514</f>
        <v>-8244.3833333333332</v>
      </c>
      <c r="AX524" s="1343">
        <f>+BG514</f>
        <v>-80</v>
      </c>
      <c r="AY524" s="1343">
        <f>+BY514</f>
        <v>0</v>
      </c>
      <c r="AZ524" s="1343">
        <f>+CA514</f>
        <v>0</v>
      </c>
      <c r="BA524" s="1343">
        <f>+CB514</f>
        <v>0</v>
      </c>
      <c r="BB524" s="1343">
        <f>+CC514</f>
        <v>0</v>
      </c>
      <c r="BC524" s="1343">
        <f>+CD514</f>
        <v>-2157.0936846666668</v>
      </c>
      <c r="BD524" s="1849">
        <f>+CE514</f>
        <v>-27426.683684666667</v>
      </c>
      <c r="CQ524" s="1331"/>
      <c r="CR524" s="1331"/>
      <c r="CS524" s="1331"/>
      <c r="CT524" s="1331"/>
      <c r="CU524" s="1331"/>
      <c r="CV524" s="1331"/>
      <c r="CW524" s="1331"/>
      <c r="CX524" s="1331"/>
      <c r="CY524" s="1331"/>
      <c r="CZ524" s="1331"/>
      <c r="DA524" s="1331"/>
      <c r="DB524" s="1331"/>
      <c r="DC524" s="1331"/>
      <c r="DD524" s="1331"/>
      <c r="DE524" s="1331"/>
      <c r="DF524" s="1331"/>
      <c r="DG524" s="1331"/>
      <c r="DH524" s="1331"/>
      <c r="DI524" s="1331"/>
      <c r="DJ524" s="1331"/>
      <c r="DK524" s="1331"/>
      <c r="DL524" s="1331"/>
      <c r="DM524" s="1331"/>
      <c r="DN524" s="1331"/>
      <c r="DO524" s="1331"/>
      <c r="DP524" s="1331"/>
      <c r="DQ524" s="1331"/>
      <c r="DR524" s="1331"/>
      <c r="DS524" s="1331"/>
      <c r="DT524" s="1331"/>
      <c r="DU524" s="1331"/>
      <c r="DV524" s="1331"/>
      <c r="DW524" s="1331"/>
      <c r="DX524" s="1331"/>
      <c r="DY524" s="1331"/>
      <c r="DZ524" s="1331"/>
      <c r="EA524" s="1331"/>
      <c r="EB524" s="1331"/>
      <c r="EC524" s="1331"/>
      <c r="ED524" s="1331"/>
      <c r="EE524" s="1331"/>
      <c r="EF524" s="1331"/>
      <c r="EG524" s="1331"/>
      <c r="EH524" s="1331"/>
      <c r="EI524" s="1331"/>
      <c r="EK524" s="1331"/>
    </row>
    <row r="525" spans="2:141" ht="12" thickBot="1">
      <c r="C525" s="1324" t="s">
        <v>381</v>
      </c>
      <c r="CQ525" s="1331"/>
      <c r="CR525" s="1331"/>
      <c r="CS525" s="1331"/>
      <c r="CT525" s="1331"/>
      <c r="CU525" s="1331"/>
      <c r="CV525" s="1331"/>
      <c r="CW525" s="1331"/>
      <c r="CX525" s="1331"/>
      <c r="CY525" s="1331"/>
      <c r="CZ525" s="1331"/>
      <c r="DA525" s="1331"/>
      <c r="DB525" s="1331"/>
      <c r="DC525" s="1331"/>
      <c r="DD525" s="1331"/>
      <c r="DE525" s="1331"/>
      <c r="DF525" s="1331"/>
      <c r="DG525" s="1331"/>
      <c r="DH525" s="1331"/>
      <c r="DI525" s="1331"/>
      <c r="DJ525" s="1331"/>
      <c r="DK525" s="1331"/>
      <c r="DL525" s="1331"/>
      <c r="DM525" s="1331"/>
      <c r="DN525" s="1331"/>
      <c r="DO525" s="1331"/>
      <c r="DP525" s="1331"/>
      <c r="DQ525" s="1331"/>
      <c r="DR525" s="1331"/>
      <c r="DS525" s="1331"/>
      <c r="DT525" s="1331"/>
      <c r="DU525" s="1331"/>
      <c r="DV525" s="1331"/>
      <c r="DW525" s="1331"/>
      <c r="DX525" s="1331"/>
      <c r="DY525" s="1331"/>
      <c r="DZ525" s="1331"/>
      <c r="EA525" s="1331"/>
      <c r="EB525" s="1331"/>
      <c r="EC525" s="1331"/>
      <c r="ED525" s="1331"/>
      <c r="EE525" s="1331"/>
      <c r="EF525" s="1331"/>
      <c r="EG525" s="1331"/>
      <c r="EH525" s="1331"/>
      <c r="EI525" s="1331"/>
      <c r="EK525" s="1331"/>
    </row>
    <row r="526" spans="2:141" ht="13.5" thickBot="1">
      <c r="C526" s="1853" t="s">
        <v>204</v>
      </c>
      <c r="D526" s="1852"/>
      <c r="E526" s="1854"/>
      <c r="F526" s="1854"/>
      <c r="G526" s="1854"/>
      <c r="H526" s="1854"/>
      <c r="I526" s="1855"/>
      <c r="J526" s="1855"/>
      <c r="K526" s="1855"/>
      <c r="L526" s="1855"/>
      <c r="M526" s="1855"/>
      <c r="N526" s="1855"/>
      <c r="O526" s="1854"/>
      <c r="P526" s="1854"/>
      <c r="Q526" s="1854"/>
      <c r="R526" s="1854"/>
      <c r="S526" s="1854"/>
      <c r="T526" s="1854"/>
      <c r="U526" s="1854"/>
      <c r="V526" s="1854"/>
      <c r="W526" s="1854"/>
      <c r="X526" s="1854"/>
      <c r="Y526" s="1854"/>
      <c r="Z526" s="1854"/>
      <c r="AA526" s="1854"/>
      <c r="AB526" s="1854"/>
      <c r="AC526" s="1854"/>
      <c r="AD526" s="1854"/>
      <c r="AE526" s="1854"/>
      <c r="AF526" s="1460"/>
      <c r="AG526" s="1460"/>
      <c r="AH526" s="1460"/>
      <c r="AI526" s="1460"/>
      <c r="AJ526" s="1854"/>
      <c r="AK526" s="1854"/>
      <c r="AL526" s="1854"/>
      <c r="AM526" s="1854"/>
      <c r="AN526" s="1854"/>
      <c r="AO526" s="1854"/>
      <c r="AP526" s="1854"/>
      <c r="AQ526" s="1854"/>
      <c r="AR526" s="1854"/>
      <c r="AS526" s="1854"/>
      <c r="AT526" s="1854"/>
      <c r="AU526" s="1852"/>
      <c r="AV526" s="1859">
        <f>SUM(AV521:AV525)</f>
        <v>0</v>
      </c>
      <c r="AW526" s="1860">
        <f>SUM(AW521:AW525)</f>
        <v>0</v>
      </c>
      <c r="AX526" s="1860">
        <f t="shared" ref="AX526:BC526" si="3786">SUM(AX521:AX525)</f>
        <v>-80</v>
      </c>
      <c r="AY526" s="1860">
        <f t="shared" si="3786"/>
        <v>2.2737367544323206E-13</v>
      </c>
      <c r="AZ526" s="1860">
        <f t="shared" si="3786"/>
        <v>0</v>
      </c>
      <c r="BA526" s="1860">
        <f t="shared" si="3786"/>
        <v>0</v>
      </c>
      <c r="BB526" s="1860">
        <f t="shared" si="3786"/>
        <v>0</v>
      </c>
      <c r="BC526" s="1860">
        <f t="shared" si="3786"/>
        <v>0</v>
      </c>
      <c r="BD526" s="1861">
        <f>SUM(BD521:BD525)</f>
        <v>0</v>
      </c>
      <c r="BE526" s="1331"/>
      <c r="BF526" s="1331"/>
      <c r="BG526" s="1331"/>
      <c r="BH526" s="1331"/>
      <c r="BI526" s="1331"/>
      <c r="BJ526" s="1331"/>
      <c r="BK526" s="1331"/>
      <c r="BL526" s="1331"/>
      <c r="BM526" s="1331"/>
      <c r="BN526" s="1331"/>
      <c r="BO526" s="1331"/>
      <c r="BP526" s="1331"/>
      <c r="BQ526" s="1331"/>
      <c r="BR526" s="1331"/>
      <c r="BS526" s="1331"/>
      <c r="BT526" s="1331"/>
      <c r="BU526" s="1331"/>
      <c r="BV526" s="1331"/>
      <c r="BW526" s="1331"/>
      <c r="BX526" s="1331"/>
      <c r="BY526" s="1331"/>
      <c r="BZ526" s="1331"/>
      <c r="CA526" s="1331"/>
      <c r="CB526" s="1331"/>
      <c r="CC526" s="1331"/>
      <c r="CD526" s="1331"/>
      <c r="CE526" s="1331"/>
      <c r="CF526" s="1331"/>
      <c r="CG526" s="1331"/>
      <c r="CH526" s="1331"/>
      <c r="CI526" s="1331"/>
      <c r="CJ526" s="1331"/>
      <c r="CK526" s="1331"/>
      <c r="CL526" s="1331"/>
      <c r="CM526" s="1331"/>
      <c r="CN526" s="1331"/>
      <c r="CQ526" s="1331"/>
      <c r="CR526" s="1331"/>
      <c r="CS526" s="1331"/>
      <c r="CT526" s="1331"/>
      <c r="CU526" s="1331"/>
      <c r="CV526" s="1331"/>
      <c r="CW526" s="1331"/>
      <c r="CX526" s="1331"/>
      <c r="CY526" s="1331"/>
      <c r="CZ526" s="1331"/>
      <c r="DA526" s="1331"/>
      <c r="DB526" s="1331"/>
      <c r="DC526" s="1331"/>
      <c r="DD526" s="1331"/>
      <c r="DE526" s="1331"/>
      <c r="DF526" s="1331"/>
      <c r="DG526" s="1331"/>
      <c r="DH526" s="1331"/>
      <c r="DI526" s="1331"/>
      <c r="DJ526" s="1331"/>
      <c r="DK526" s="1331"/>
      <c r="DL526" s="1331"/>
      <c r="DM526" s="1331"/>
      <c r="DN526" s="1331"/>
      <c r="DO526" s="1331"/>
      <c r="DP526" s="1331"/>
      <c r="DQ526" s="1331"/>
      <c r="DR526" s="1331"/>
      <c r="DS526" s="1331"/>
      <c r="DT526" s="1331"/>
      <c r="DU526" s="1331"/>
      <c r="DV526" s="1331"/>
      <c r="DW526" s="1331"/>
      <c r="DX526" s="1331"/>
      <c r="DY526" s="1331"/>
      <c r="DZ526" s="1331"/>
      <c r="EA526" s="1331"/>
      <c r="EB526" s="1331"/>
      <c r="EC526" s="1331"/>
      <c r="ED526" s="1331"/>
      <c r="EE526" s="1331"/>
      <c r="EF526" s="1331"/>
      <c r="EG526" s="1331"/>
      <c r="EH526" s="1331"/>
      <c r="EI526" s="1331"/>
      <c r="EK526" s="1331"/>
    </row>
    <row r="527" spans="2:141">
      <c r="AT527" s="1331" t="s">
        <v>10</v>
      </c>
      <c r="AV527" s="1862">
        <f>AV514-AV521</f>
        <v>0</v>
      </c>
      <c r="AW527" s="1863">
        <f t="shared" ref="AW527:BD527" si="3787">AW514-AW521</f>
        <v>0</v>
      </c>
      <c r="AX527" s="1863">
        <f t="shared" si="3787"/>
        <v>0</v>
      </c>
      <c r="AY527" s="1863">
        <f t="shared" si="3787"/>
        <v>0</v>
      </c>
      <c r="AZ527" s="1863">
        <f t="shared" si="3787"/>
        <v>0</v>
      </c>
      <c r="BA527" s="1863">
        <f t="shared" si="3787"/>
        <v>0</v>
      </c>
      <c r="BB527" s="1863">
        <f t="shared" si="3787"/>
        <v>0</v>
      </c>
      <c r="BC527" s="1863">
        <f t="shared" si="3787"/>
        <v>0</v>
      </c>
      <c r="BD527" s="1864">
        <f t="shared" si="3787"/>
        <v>0</v>
      </c>
      <c r="BE527" s="1331"/>
      <c r="BF527" s="1331"/>
      <c r="BG527" s="1331"/>
      <c r="BH527" s="1331"/>
      <c r="BI527" s="1331"/>
      <c r="BJ527" s="1331"/>
      <c r="BK527" s="1331"/>
      <c r="BL527" s="1331"/>
      <c r="BM527" s="1331"/>
      <c r="BN527" s="1331"/>
      <c r="BO527" s="1331"/>
      <c r="BP527" s="1331"/>
      <c r="BQ527" s="1331"/>
      <c r="BR527" s="1331"/>
      <c r="BS527" s="1331"/>
      <c r="BT527" s="1331"/>
      <c r="BU527" s="1331"/>
      <c r="BV527" s="1331"/>
      <c r="BW527" s="1331"/>
      <c r="BX527" s="1331"/>
      <c r="BY527" s="1331"/>
      <c r="BZ527" s="1331"/>
      <c r="CA527" s="1331"/>
      <c r="CB527" s="1331"/>
      <c r="CC527" s="1331"/>
      <c r="CD527" s="1331"/>
      <c r="CE527" s="1331"/>
      <c r="CF527" s="1331"/>
      <c r="CG527" s="1331"/>
      <c r="CH527" s="1331"/>
      <c r="CI527" s="1331"/>
      <c r="CJ527" s="1331"/>
      <c r="CK527" s="1331"/>
      <c r="CL527" s="1331"/>
      <c r="CM527" s="1331"/>
      <c r="CN527" s="1331"/>
      <c r="CQ527" s="1331"/>
      <c r="CR527" s="1331"/>
      <c r="CS527" s="1331"/>
      <c r="CT527" s="1331"/>
      <c r="CU527" s="1331"/>
      <c r="CV527" s="1331"/>
      <c r="CW527" s="1331"/>
      <c r="CX527" s="1331"/>
      <c r="CY527" s="1331"/>
      <c r="CZ527" s="1331"/>
      <c r="DA527" s="1331"/>
      <c r="DB527" s="1331"/>
      <c r="DC527" s="1331"/>
      <c r="DD527" s="1331"/>
      <c r="DE527" s="1331"/>
      <c r="DF527" s="1331"/>
      <c r="DG527" s="1331"/>
      <c r="DH527" s="1331"/>
      <c r="DI527" s="1331"/>
      <c r="DJ527" s="1331"/>
      <c r="DK527" s="1331"/>
      <c r="DL527" s="1331"/>
      <c r="DM527" s="1331"/>
      <c r="DN527" s="1331"/>
      <c r="DO527" s="1331"/>
      <c r="DP527" s="1331"/>
      <c r="DQ527" s="1331"/>
      <c r="DR527" s="1331"/>
      <c r="DS527" s="1331"/>
      <c r="DT527" s="1331"/>
      <c r="DU527" s="1331"/>
      <c r="DV527" s="1331"/>
      <c r="DW527" s="1331"/>
      <c r="DX527" s="1331"/>
      <c r="DY527" s="1331"/>
      <c r="DZ527" s="1331"/>
      <c r="EA527" s="1331"/>
      <c r="EB527" s="1331"/>
      <c r="EC527" s="1331"/>
      <c r="ED527" s="1331"/>
      <c r="EE527" s="1331"/>
      <c r="EF527" s="1331"/>
      <c r="EG527" s="1331"/>
      <c r="EH527" s="1331"/>
      <c r="EI527" s="1331"/>
      <c r="EK527" s="1331"/>
    </row>
    <row r="528" spans="2:141">
      <c r="AV528" s="1865" t="str">
        <f>IF(AV527&lt;&gt;0,"ERROR VERIFICAR TRASLADO DE DATOS DE DISTRIBUCIÓN A CUADRO","")</f>
        <v/>
      </c>
      <c r="AW528" s="1866" t="str">
        <f t="shared" ref="AW528:BD528" si="3788">IF(AW527&lt;&gt;0,"ERROR VERIFICAR TRASLADO DE DATOS DE DISTRIBUCIÓN A CUADRO","")</f>
        <v/>
      </c>
      <c r="AX528" s="1866" t="str">
        <f t="shared" si="3788"/>
        <v/>
      </c>
      <c r="AY528" s="1866" t="str">
        <f t="shared" si="3788"/>
        <v/>
      </c>
      <c r="AZ528" s="1866" t="str">
        <f t="shared" si="3788"/>
        <v/>
      </c>
      <c r="BA528" s="1866" t="str">
        <f t="shared" si="3788"/>
        <v/>
      </c>
      <c r="BB528" s="1866" t="str">
        <f t="shared" si="3788"/>
        <v/>
      </c>
      <c r="BC528" s="1866" t="str">
        <f t="shared" si="3788"/>
        <v/>
      </c>
      <c r="BD528" s="1867" t="str">
        <f t="shared" si="3788"/>
        <v/>
      </c>
    </row>
    <row r="529" spans="46:141">
      <c r="AT529" s="1331" t="s">
        <v>11</v>
      </c>
      <c r="AV529" s="1868">
        <f>AV522-BE514</f>
        <v>0</v>
      </c>
      <c r="AW529" s="1869">
        <f t="shared" ref="AW529:BD529" si="3789">AW522-BF514</f>
        <v>0</v>
      </c>
      <c r="AX529" s="1869">
        <f t="shared" si="3789"/>
        <v>0</v>
      </c>
      <c r="AY529" s="1869">
        <f t="shared" si="3789"/>
        <v>0</v>
      </c>
      <c r="AZ529" s="1869">
        <f t="shared" si="3789"/>
        <v>0</v>
      </c>
      <c r="BA529" s="1869">
        <f t="shared" si="3789"/>
        <v>0</v>
      </c>
      <c r="BB529" s="1869">
        <f t="shared" si="3789"/>
        <v>0</v>
      </c>
      <c r="BC529" s="1869">
        <f t="shared" si="3789"/>
        <v>0</v>
      </c>
      <c r="BD529" s="1870">
        <f t="shared" si="3789"/>
        <v>0</v>
      </c>
    </row>
    <row r="530" spans="46:141">
      <c r="AV530" s="1865" t="str">
        <f>IF(AV529&lt;&gt;0,"ERROR VERIFICAR TRASLADO DE DATOS DE DISTRIBUCIÓN A CUADRO","")</f>
        <v/>
      </c>
      <c r="AW530" s="1866" t="str">
        <f t="shared" ref="AW530:BD530" si="3790">IF(AW529&lt;&gt;0,"ERROR VERIFICAR TRASLADO DE DATOS DE DISTRIBUCIÓN A CUADRO","")</f>
        <v/>
      </c>
      <c r="AX530" s="1866" t="str">
        <f t="shared" si="3790"/>
        <v/>
      </c>
      <c r="AY530" s="1866" t="str">
        <f t="shared" si="3790"/>
        <v/>
      </c>
      <c r="AZ530" s="1866" t="str">
        <f t="shared" si="3790"/>
        <v/>
      </c>
      <c r="BA530" s="1866" t="str">
        <f t="shared" si="3790"/>
        <v/>
      </c>
      <c r="BB530" s="1866" t="str">
        <f t="shared" si="3790"/>
        <v/>
      </c>
      <c r="BC530" s="1866" t="str">
        <f t="shared" si="3790"/>
        <v/>
      </c>
      <c r="BD530" s="1867" t="str">
        <f t="shared" si="3790"/>
        <v/>
      </c>
    </row>
    <row r="531" spans="46:141">
      <c r="AT531" s="1331" t="s">
        <v>395</v>
      </c>
      <c r="AV531" s="1868">
        <f>AV523-BN514</f>
        <v>0</v>
      </c>
      <c r="AW531" s="1869">
        <f t="shared" ref="AW531:BC531" si="3791">AW523-BO514</f>
        <v>0</v>
      </c>
      <c r="AX531" s="1869">
        <f t="shared" si="3791"/>
        <v>0</v>
      </c>
      <c r="AY531" s="1869">
        <f t="shared" si="3791"/>
        <v>0</v>
      </c>
      <c r="AZ531" s="1869">
        <f t="shared" si="3791"/>
        <v>0</v>
      </c>
      <c r="BA531" s="1869">
        <f t="shared" si="3791"/>
        <v>0</v>
      </c>
      <c r="BB531" s="1869">
        <f t="shared" si="3791"/>
        <v>0</v>
      </c>
      <c r="BC531" s="1869">
        <f t="shared" si="3791"/>
        <v>0</v>
      </c>
      <c r="BD531" s="1870">
        <f>BD523-BV514</f>
        <v>0</v>
      </c>
    </row>
    <row r="532" spans="46:141">
      <c r="AV532" s="1865" t="str">
        <f>IF(AV531&lt;&gt;0,"ERROR VERIFICAR TRASLADO DE DATOS DE DISTRIBUCIÓN A CUADRO","")</f>
        <v/>
      </c>
      <c r="AW532" s="1866" t="str">
        <f t="shared" ref="AW532:BC532" si="3792">IF(AW531&lt;&gt;0,"ERROR VERIFICAR TRASLADO DE DATOS DE DISTRIBUCIÓN A CUADRO","")</f>
        <v/>
      </c>
      <c r="AX532" s="1866" t="str">
        <f t="shared" si="3792"/>
        <v/>
      </c>
      <c r="AY532" s="1866" t="str">
        <f t="shared" si="3792"/>
        <v/>
      </c>
      <c r="AZ532" s="1866" t="str">
        <f t="shared" si="3792"/>
        <v/>
      </c>
      <c r="BA532" s="1866" t="str">
        <f t="shared" si="3792"/>
        <v/>
      </c>
      <c r="BB532" s="1866" t="str">
        <f t="shared" si="3792"/>
        <v/>
      </c>
      <c r="BC532" s="1866" t="str">
        <f t="shared" si="3792"/>
        <v/>
      </c>
      <c r="BD532" s="1867" t="str">
        <f>IF(BD531&lt;&gt;0,"ERROR VERIFICAR TRASLADO DE DATOS DE DISTRIBUCIÓN A CUADRO","")</f>
        <v/>
      </c>
    </row>
    <row r="533" spans="46:141">
      <c r="AT533" s="1331" t="s">
        <v>13</v>
      </c>
      <c r="AV533" s="1868"/>
      <c r="AW533" s="1869"/>
      <c r="AX533" s="1869"/>
      <c r="AY533" s="1869"/>
      <c r="AZ533" s="1869"/>
      <c r="BA533" s="1869"/>
      <c r="BB533" s="1869"/>
      <c r="BC533" s="1869"/>
      <c r="BD533" s="1870"/>
    </row>
    <row r="534" spans="46:141">
      <c r="AV534" s="1865"/>
      <c r="AW534" s="1866"/>
      <c r="AX534" s="1866"/>
      <c r="AY534" s="1866"/>
      <c r="AZ534" s="1866"/>
      <c r="BA534" s="1866"/>
      <c r="BB534" s="1866"/>
      <c r="BC534" s="1866"/>
      <c r="BD534" s="1867"/>
    </row>
    <row r="535" spans="46:141">
      <c r="AT535" s="1331" t="s">
        <v>381</v>
      </c>
      <c r="AV535" s="1868"/>
      <c r="AW535" s="1869"/>
      <c r="AX535" s="1869"/>
      <c r="AY535" s="1869"/>
      <c r="AZ535" s="1869"/>
      <c r="BA535" s="1869"/>
      <c r="BB535" s="1869"/>
      <c r="BC535" s="1869"/>
      <c r="BD535" s="1870"/>
    </row>
    <row r="536" spans="46:141">
      <c r="AV536" s="1865"/>
      <c r="AW536" s="1866"/>
      <c r="AX536" s="1866"/>
      <c r="AY536" s="1866"/>
      <c r="AZ536" s="1866"/>
      <c r="BA536" s="1866"/>
      <c r="BB536" s="1866"/>
      <c r="BC536" s="1866"/>
      <c r="BD536" s="1867"/>
    </row>
    <row r="537" spans="46:141" ht="12" thickBot="1"/>
    <row r="538" spans="46:141">
      <c r="AY538" s="1871" t="s">
        <v>423</v>
      </c>
      <c r="AZ538" s="1872"/>
      <c r="BA538" s="1873"/>
    </row>
    <row r="539" spans="46:141" ht="15">
      <c r="AY539" s="1874" t="str">
        <f>IF(BD521&gt;0,"Facturar desde PROQUIMA","")</f>
        <v>Facturar desde PROQUIMA</v>
      </c>
      <c r="AZ539" s="1863"/>
      <c r="BA539" s="1875"/>
    </row>
    <row r="540" spans="46:141">
      <c r="AY540" s="1876" t="str">
        <f>IF((BD522+BD523)&gt;0,"Facturar desde UNHESA","")</f>
        <v/>
      </c>
      <c r="AZ540" s="1863"/>
      <c r="BA540" s="1875"/>
    </row>
    <row r="541" spans="46:141" ht="15">
      <c r="AY541" s="1874" t="str">
        <f>IF(BD524&gt;0,"Facturar desde ECONACIONAL","")</f>
        <v/>
      </c>
      <c r="AZ541" s="1863"/>
      <c r="BA541" s="1875"/>
    </row>
    <row r="542" spans="46:141" ht="15.75" thickBot="1">
      <c r="AY542" s="1877" t="str">
        <f>IF(BD525&gt;0,"Facturar desde ECOMEZCLAS","")</f>
        <v/>
      </c>
      <c r="AZ542" s="1878"/>
      <c r="BA542" s="1879"/>
    </row>
    <row r="544" spans="46:141" ht="14.25">
      <c r="AY544" s="1880" t="s">
        <v>880</v>
      </c>
      <c r="AZ544" s="1881"/>
      <c r="BA544" s="1881"/>
      <c r="BB544" s="1881"/>
      <c r="BC544" s="1882"/>
      <c r="BD544" s="1881"/>
      <c r="BE544" s="1331"/>
      <c r="BF544" s="1331"/>
      <c r="BG544" s="1995">
        <f>+BD521-BB555</f>
        <v>20157.088848134976</v>
      </c>
      <c r="BH544" s="1331"/>
      <c r="BI544" s="1331"/>
      <c r="BJ544" s="1331"/>
      <c r="BK544" s="1331"/>
      <c r="BL544" s="1331"/>
      <c r="BM544" s="1331"/>
      <c r="BN544" s="1331"/>
      <c r="BO544" s="1331"/>
      <c r="BP544" s="1331"/>
      <c r="BQ544" s="1331"/>
      <c r="BR544" s="1331"/>
      <c r="BS544" s="1331"/>
      <c r="BT544" s="1331"/>
      <c r="BU544" s="1331"/>
      <c r="BV544" s="1331"/>
      <c r="BW544" s="1331"/>
      <c r="BX544" s="1331"/>
      <c r="BY544" s="1331"/>
      <c r="BZ544" s="1331"/>
      <c r="CA544" s="1331"/>
      <c r="CB544" s="1331"/>
      <c r="CC544" s="1331"/>
      <c r="CD544" s="1331"/>
      <c r="CE544" s="1331"/>
      <c r="CF544" s="1331"/>
      <c r="CG544" s="1331"/>
      <c r="CH544" s="1331"/>
      <c r="CI544" s="1331"/>
      <c r="CJ544" s="1331"/>
      <c r="CK544" s="1331"/>
      <c r="CL544" s="1331"/>
      <c r="CM544" s="1331"/>
      <c r="CN544" s="1331"/>
      <c r="CQ544" s="1331"/>
      <c r="CR544" s="1331"/>
      <c r="CS544" s="1331"/>
      <c r="CT544" s="1331"/>
      <c r="CU544" s="1331"/>
      <c r="CV544" s="1331"/>
      <c r="CW544" s="1331"/>
      <c r="CX544" s="1331"/>
      <c r="CY544" s="1331"/>
      <c r="CZ544" s="1331"/>
      <c r="DA544" s="1331"/>
      <c r="DB544" s="1331"/>
      <c r="DC544" s="1331"/>
      <c r="DD544" s="1331"/>
      <c r="DE544" s="1331"/>
      <c r="DF544" s="1331"/>
      <c r="DG544" s="1331"/>
      <c r="DH544" s="1331"/>
      <c r="DI544" s="1331"/>
      <c r="DJ544" s="1331"/>
      <c r="DK544" s="1331"/>
      <c r="DL544" s="1331"/>
      <c r="DM544" s="1331"/>
      <c r="DN544" s="1331"/>
      <c r="DO544" s="1331"/>
      <c r="DP544" s="1331"/>
      <c r="DQ544" s="1331"/>
      <c r="DR544" s="1331"/>
      <c r="DS544" s="1331"/>
      <c r="DT544" s="1331"/>
      <c r="DU544" s="1331"/>
      <c r="DV544" s="1331"/>
      <c r="DW544" s="1331"/>
      <c r="DX544" s="1331"/>
      <c r="DY544" s="1331"/>
      <c r="DZ544" s="1331"/>
      <c r="EA544" s="1331"/>
      <c r="EB544" s="1331"/>
      <c r="EC544" s="1331"/>
      <c r="ED544" s="1331"/>
      <c r="EE544" s="1331"/>
      <c r="EF544" s="1331"/>
      <c r="EG544" s="1331"/>
      <c r="EH544" s="1331"/>
      <c r="EI544" s="1331"/>
      <c r="EK544" s="1331"/>
    </row>
    <row r="545" spans="51:141" ht="14.25">
      <c r="AY545" s="1808"/>
      <c r="AZ545" s="1815"/>
      <c r="BA545" s="1815"/>
      <c r="BB545" s="1815"/>
      <c r="BC545" s="1815"/>
      <c r="BD545" s="1815"/>
      <c r="BE545" s="1331"/>
      <c r="BF545" s="1331"/>
      <c r="BG545" s="1996">
        <f>+BD521-BB555</f>
        <v>20157.088848134976</v>
      </c>
      <c r="BH545" s="1331"/>
      <c r="BI545" s="1331"/>
      <c r="BJ545" s="1331"/>
      <c r="BK545" s="1331"/>
      <c r="BL545" s="1331"/>
      <c r="BM545" s="1331"/>
      <c r="BN545" s="1331"/>
      <c r="BO545" s="1331"/>
      <c r="BP545" s="1331"/>
      <c r="BQ545" s="1331"/>
      <c r="BR545" s="1331"/>
      <c r="BS545" s="1331"/>
      <c r="BT545" s="1331"/>
      <c r="BU545" s="1331"/>
      <c r="BV545" s="1331"/>
      <c r="BW545" s="1331"/>
      <c r="BX545" s="1331"/>
      <c r="BY545" s="1331"/>
      <c r="BZ545" s="1331"/>
      <c r="CA545" s="1331"/>
      <c r="CB545" s="1331"/>
      <c r="CC545" s="1331"/>
      <c r="CD545" s="1331"/>
      <c r="CE545" s="1331"/>
      <c r="CF545" s="1331"/>
      <c r="CG545" s="1331"/>
      <c r="CH545" s="1331"/>
      <c r="CI545" s="1331"/>
      <c r="CJ545" s="1331"/>
      <c r="CK545" s="1331"/>
      <c r="CL545" s="1331"/>
      <c r="CM545" s="1331"/>
      <c r="CN545" s="1331"/>
      <c r="CQ545" s="1331"/>
      <c r="CR545" s="1331"/>
      <c r="CS545" s="1331"/>
      <c r="CT545" s="1331"/>
      <c r="CU545" s="1331"/>
      <c r="CV545" s="1331"/>
      <c r="CW545" s="1331"/>
      <c r="CX545" s="1331"/>
      <c r="CY545" s="1331"/>
      <c r="CZ545" s="1331"/>
      <c r="DA545" s="1331"/>
      <c r="DB545" s="1331"/>
      <c r="DC545" s="1331"/>
      <c r="DD545" s="1331"/>
      <c r="DE545" s="1331"/>
      <c r="DF545" s="1331"/>
      <c r="DG545" s="1331"/>
      <c r="DH545" s="1331"/>
      <c r="DI545" s="1331"/>
      <c r="DJ545" s="1331"/>
      <c r="DK545" s="1331"/>
      <c r="DL545" s="1331"/>
      <c r="DM545" s="1331"/>
      <c r="DN545" s="1331"/>
      <c r="DO545" s="1331"/>
      <c r="DP545" s="1331"/>
      <c r="DQ545" s="1331"/>
      <c r="DR545" s="1331"/>
      <c r="DS545" s="1331"/>
      <c r="DT545" s="1331"/>
      <c r="DU545" s="1331"/>
      <c r="DV545" s="1331"/>
      <c r="DW545" s="1331"/>
      <c r="DX545" s="1331"/>
      <c r="DY545" s="1331"/>
      <c r="DZ545" s="1331"/>
      <c r="EA545" s="1331"/>
      <c r="EB545" s="1331"/>
      <c r="EC545" s="1331"/>
      <c r="ED545" s="1331"/>
      <c r="EE545" s="1331"/>
      <c r="EF545" s="1331"/>
      <c r="EG545" s="1331"/>
      <c r="EH545" s="1331"/>
      <c r="EI545" s="1331"/>
      <c r="EK545" s="1331"/>
    </row>
    <row r="546" spans="51:141" ht="14.25">
      <c r="AY546" s="1808"/>
      <c r="AZ546" s="1815"/>
      <c r="BA546" s="1815"/>
      <c r="BB546" s="1883" t="s">
        <v>202</v>
      </c>
      <c r="BC546" s="1883" t="s">
        <v>203</v>
      </c>
      <c r="BD546" s="1883" t="s">
        <v>204</v>
      </c>
      <c r="BE546" s="1331"/>
      <c r="BF546" s="1884"/>
      <c r="BG546" s="1997"/>
      <c r="BH546" s="1331"/>
      <c r="BI546" s="1331"/>
      <c r="BJ546" s="1331"/>
      <c r="BK546" s="1331"/>
      <c r="BL546" s="1331"/>
      <c r="BM546" s="1331"/>
      <c r="BN546" s="1331"/>
      <c r="BO546" s="1331"/>
      <c r="BP546" s="1331"/>
      <c r="BQ546" s="1331"/>
      <c r="BR546" s="1331"/>
      <c r="BS546" s="1331"/>
      <c r="BT546" s="1331"/>
      <c r="BU546" s="1331"/>
      <c r="BV546" s="1331"/>
      <c r="BW546" s="1331"/>
      <c r="BX546" s="1331"/>
      <c r="BY546" s="1331"/>
      <c r="BZ546" s="1331"/>
      <c r="CA546" s="1331"/>
      <c r="CB546" s="1331"/>
      <c r="CC546" s="1331"/>
      <c r="CD546" s="1331"/>
      <c r="CE546" s="1331"/>
      <c r="CF546" s="1331"/>
      <c r="CG546" s="1331"/>
      <c r="CH546" s="1331"/>
      <c r="CI546" s="1331"/>
      <c r="CJ546" s="1331"/>
      <c r="CK546" s="1331"/>
      <c r="CL546" s="1331"/>
      <c r="CM546" s="1331"/>
      <c r="CN546" s="1331"/>
      <c r="CQ546" s="1331"/>
      <c r="CR546" s="1331"/>
      <c r="CS546" s="1331"/>
      <c r="CT546" s="1331"/>
      <c r="CU546" s="1331"/>
      <c r="CV546" s="1331"/>
      <c r="CW546" s="1331"/>
      <c r="CX546" s="1331"/>
      <c r="CY546" s="1331"/>
      <c r="CZ546" s="1331"/>
      <c r="DA546" s="1331"/>
      <c r="DB546" s="1331"/>
      <c r="DC546" s="1331"/>
      <c r="DD546" s="1331"/>
      <c r="DE546" s="1331"/>
      <c r="DF546" s="1331"/>
      <c r="DG546" s="1331"/>
      <c r="DH546" s="1331"/>
      <c r="DI546" s="1331"/>
      <c r="DJ546" s="1331"/>
      <c r="DK546" s="1331"/>
      <c r="DL546" s="1331"/>
      <c r="DM546" s="1331"/>
      <c r="DN546" s="1331"/>
      <c r="DO546" s="1331"/>
      <c r="DP546" s="1331"/>
      <c r="DQ546" s="1331"/>
      <c r="DR546" s="1331"/>
      <c r="DS546" s="1331"/>
      <c r="DT546" s="1331"/>
      <c r="DU546" s="1331"/>
      <c r="DV546" s="1331"/>
      <c r="DW546" s="1331"/>
      <c r="DX546" s="1331"/>
      <c r="DY546" s="1331"/>
      <c r="DZ546" s="1331"/>
      <c r="EA546" s="1331"/>
      <c r="EB546" s="1331"/>
      <c r="EC546" s="1331"/>
      <c r="ED546" s="1331"/>
      <c r="EE546" s="1331"/>
      <c r="EF546" s="1331"/>
      <c r="EG546" s="1331"/>
      <c r="EH546" s="1331"/>
      <c r="EI546" s="1331"/>
      <c r="EK546" s="1331"/>
    </row>
    <row r="547" spans="51:141" ht="14.25" hidden="1">
      <c r="AY547" s="1809"/>
      <c r="AZ547" s="1809"/>
      <c r="BA547" s="1795"/>
      <c r="BB547" s="1885"/>
      <c r="BC547" s="1885"/>
      <c r="BD547" s="1885"/>
      <c r="BE547" s="1331"/>
      <c r="BF547" s="1331"/>
      <c r="BG547" s="1997"/>
      <c r="BH547" s="1331"/>
      <c r="BI547" s="1331"/>
      <c r="BJ547" s="1331"/>
      <c r="BK547" s="1331"/>
      <c r="BL547" s="1331"/>
      <c r="BM547" s="1331"/>
      <c r="BN547" s="1331"/>
      <c r="BO547" s="1331"/>
      <c r="BP547" s="1331"/>
      <c r="BQ547" s="1331"/>
      <c r="BR547" s="1331"/>
      <c r="BS547" s="1331"/>
      <c r="BT547" s="1331"/>
      <c r="BU547" s="1331"/>
      <c r="BV547" s="1331"/>
      <c r="BW547" s="1331"/>
      <c r="BX547" s="1331"/>
      <c r="BY547" s="1331"/>
      <c r="BZ547" s="1331"/>
      <c r="CA547" s="1331"/>
      <c r="CB547" s="1331"/>
      <c r="CC547" s="1331"/>
      <c r="CD547" s="1331"/>
      <c r="CE547" s="1331"/>
      <c r="CF547" s="1331"/>
      <c r="CG547" s="1331"/>
      <c r="CH547" s="1331"/>
      <c r="CI547" s="1331"/>
      <c r="CJ547" s="1331"/>
      <c r="CK547" s="1331"/>
      <c r="CL547" s="1331"/>
      <c r="CM547" s="1331"/>
      <c r="CN547" s="1331"/>
      <c r="CQ547" s="1331"/>
      <c r="CR547" s="1331"/>
      <c r="CS547" s="1331"/>
      <c r="CT547" s="1331"/>
      <c r="CU547" s="1331"/>
      <c r="CV547" s="1331"/>
      <c r="CW547" s="1331"/>
      <c r="CX547" s="1331"/>
      <c r="CY547" s="1331"/>
      <c r="CZ547" s="1331"/>
      <c r="DA547" s="1331"/>
      <c r="DB547" s="1331"/>
      <c r="DC547" s="1331"/>
      <c r="DD547" s="1331"/>
      <c r="DE547" s="1331"/>
      <c r="DF547" s="1331"/>
      <c r="DG547" s="1331"/>
      <c r="DH547" s="1331"/>
      <c r="DI547" s="1331"/>
      <c r="DJ547" s="1331"/>
      <c r="DK547" s="1331"/>
      <c r="DL547" s="1331"/>
      <c r="DM547" s="1331"/>
      <c r="DN547" s="1331"/>
      <c r="DO547" s="1331"/>
      <c r="DP547" s="1331"/>
      <c r="DQ547" s="1331"/>
      <c r="DR547" s="1331"/>
      <c r="DS547" s="1331"/>
      <c r="DT547" s="1331"/>
      <c r="DU547" s="1331"/>
      <c r="DV547" s="1331"/>
      <c r="DW547" s="1331"/>
      <c r="DX547" s="1331"/>
      <c r="DY547" s="1331"/>
      <c r="DZ547" s="1331"/>
      <c r="EA547" s="1331"/>
      <c r="EB547" s="1331"/>
      <c r="EC547" s="1331"/>
      <c r="ED547" s="1331"/>
      <c r="EE547" s="1331"/>
      <c r="EF547" s="1331"/>
      <c r="EG547" s="1331"/>
      <c r="EH547" s="1331"/>
      <c r="EI547" s="1331"/>
      <c r="EK547" s="1331"/>
    </row>
    <row r="548" spans="51:141" ht="14.25" hidden="1">
      <c r="AY548" s="1809" t="s">
        <v>13</v>
      </c>
      <c r="AZ548" s="1809"/>
      <c r="BA548" s="1795"/>
      <c r="BB548" s="1885">
        <f>-BD524</f>
        <v>27426.683684666667</v>
      </c>
      <c r="BC548" s="1885">
        <f>+BB548*0.12</f>
        <v>3291.20204216</v>
      </c>
      <c r="BD548" s="1885">
        <f>+BB548+BC548</f>
        <v>30717.885726826666</v>
      </c>
      <c r="BE548" s="1331"/>
      <c r="BF548" s="1331"/>
      <c r="BG548" s="1997"/>
      <c r="BH548" s="1331"/>
      <c r="BI548" s="1331"/>
      <c r="BJ548" s="1331"/>
      <c r="BK548" s="1331"/>
      <c r="BL548" s="1331"/>
      <c r="BM548" s="1331"/>
      <c r="BN548" s="1331"/>
      <c r="BO548" s="1331"/>
      <c r="BP548" s="1331"/>
      <c r="BQ548" s="1331"/>
      <c r="BR548" s="1331"/>
      <c r="BS548" s="1331"/>
      <c r="BT548" s="1331"/>
      <c r="BU548" s="1331"/>
      <c r="BV548" s="1331"/>
      <c r="BW548" s="1331"/>
      <c r="BX548" s="1331"/>
      <c r="BY548" s="1331"/>
      <c r="BZ548" s="1331"/>
      <c r="CA548" s="1331"/>
      <c r="CB548" s="1331"/>
      <c r="CC548" s="1331"/>
      <c r="CD548" s="1331"/>
      <c r="CE548" s="1331"/>
      <c r="CF548" s="1331"/>
      <c r="CG548" s="1331"/>
      <c r="CH548" s="1331"/>
      <c r="CI548" s="1331"/>
      <c r="CJ548" s="1331"/>
      <c r="CK548" s="1331"/>
      <c r="CL548" s="1331"/>
      <c r="CM548" s="1331"/>
      <c r="CN548" s="1331"/>
      <c r="CQ548" s="1331"/>
      <c r="CR548" s="1331"/>
      <c r="CS548" s="1331"/>
      <c r="CT548" s="1331"/>
      <c r="CU548" s="1331"/>
      <c r="CV548" s="1331"/>
      <c r="CW548" s="1331"/>
      <c r="CX548" s="1331"/>
      <c r="CY548" s="1331"/>
      <c r="CZ548" s="1331"/>
      <c r="DA548" s="1331"/>
      <c r="DB548" s="1331"/>
      <c r="DC548" s="1331"/>
      <c r="DD548" s="1331"/>
      <c r="DE548" s="1331"/>
      <c r="DF548" s="1331"/>
      <c r="DG548" s="1331"/>
      <c r="DH548" s="1331"/>
      <c r="DI548" s="1331"/>
      <c r="DJ548" s="1331"/>
      <c r="DK548" s="1331"/>
      <c r="DL548" s="1331"/>
      <c r="DM548" s="1331"/>
      <c r="DN548" s="1331"/>
      <c r="DO548" s="1331"/>
      <c r="DP548" s="1331"/>
      <c r="DQ548" s="1331"/>
      <c r="DR548" s="1331"/>
      <c r="DS548" s="1331"/>
      <c r="DT548" s="1331"/>
      <c r="DU548" s="1331"/>
      <c r="DV548" s="1331"/>
      <c r="DW548" s="1331"/>
      <c r="DX548" s="1331"/>
      <c r="DY548" s="1331"/>
      <c r="DZ548" s="1331"/>
      <c r="EA548" s="1331"/>
      <c r="EB548" s="1331"/>
      <c r="EC548" s="1331"/>
      <c r="ED548" s="1331"/>
      <c r="EE548" s="1331"/>
      <c r="EF548" s="1331"/>
      <c r="EG548" s="1331"/>
      <c r="EH548" s="1331"/>
      <c r="EI548" s="1331"/>
      <c r="EK548" s="1331"/>
    </row>
    <row r="549" spans="51:141" ht="14.25">
      <c r="AY549" s="1809"/>
      <c r="AZ549" s="1809"/>
      <c r="BA549" s="1795"/>
      <c r="BB549" s="1885">
        <v>20157.09</v>
      </c>
      <c r="BC549" s="1885">
        <f>+BB549*0.12</f>
        <v>2418.8507999999997</v>
      </c>
      <c r="BD549" s="1885">
        <f>+BB549+BC549</f>
        <v>22575.9408</v>
      </c>
      <c r="BE549" s="1331"/>
      <c r="BF549" s="1884"/>
      <c r="BG549" s="1998"/>
      <c r="BH549" s="1331"/>
      <c r="BI549" s="1331"/>
      <c r="BJ549" s="1331"/>
      <c r="BK549" s="1331"/>
      <c r="BL549" s="1331"/>
      <c r="BM549" s="1331"/>
      <c r="BN549" s="1331"/>
      <c r="BO549" s="1331"/>
      <c r="BP549" s="1331"/>
      <c r="BQ549" s="1331"/>
      <c r="BR549" s="1331"/>
      <c r="BS549" s="1331"/>
      <c r="BT549" s="1331"/>
      <c r="BU549" s="1331"/>
      <c r="BV549" s="1331"/>
      <c r="BW549" s="1331"/>
      <c r="BX549" s="1331"/>
      <c r="BY549" s="1331"/>
      <c r="BZ549" s="1331"/>
      <c r="CA549" s="1331"/>
      <c r="CB549" s="1331"/>
      <c r="CC549" s="1331"/>
      <c r="CD549" s="1331"/>
      <c r="CE549" s="1331"/>
      <c r="CF549" s="1331"/>
      <c r="CG549" s="1331"/>
      <c r="CH549" s="1331"/>
      <c r="CI549" s="1331"/>
      <c r="CJ549" s="1331"/>
      <c r="CK549" s="1331"/>
      <c r="CL549" s="1331"/>
      <c r="CM549" s="1331"/>
      <c r="CN549" s="1331"/>
      <c r="CQ549" s="1331"/>
      <c r="CR549" s="1331"/>
      <c r="CS549" s="1331"/>
      <c r="CT549" s="1331"/>
      <c r="CU549" s="1331"/>
      <c r="CV549" s="1331"/>
      <c r="CW549" s="1331"/>
      <c r="CX549" s="1331"/>
      <c r="CY549" s="1331"/>
      <c r="CZ549" s="1331"/>
      <c r="DA549" s="1331"/>
      <c r="DB549" s="1331"/>
      <c r="DC549" s="1331"/>
      <c r="DD549" s="1331"/>
      <c r="DE549" s="1331"/>
      <c r="DF549" s="1331"/>
      <c r="DG549" s="1331"/>
      <c r="DH549" s="1331"/>
      <c r="DI549" s="1331"/>
      <c r="DJ549" s="1331"/>
      <c r="DK549" s="1331"/>
      <c r="DL549" s="1331"/>
      <c r="DM549" s="1331"/>
      <c r="DN549" s="1331"/>
      <c r="DO549" s="1331"/>
      <c r="DP549" s="1331"/>
      <c r="DQ549" s="1331"/>
      <c r="DR549" s="1331"/>
      <c r="DS549" s="1331"/>
      <c r="DT549" s="1331"/>
      <c r="DU549" s="1331"/>
      <c r="DV549" s="1331"/>
      <c r="DW549" s="1331"/>
      <c r="DX549" s="1331"/>
      <c r="DY549" s="1331"/>
      <c r="DZ549" s="1331"/>
      <c r="EA549" s="1331"/>
      <c r="EB549" s="1331"/>
      <c r="EC549" s="1331"/>
      <c r="ED549" s="1331"/>
      <c r="EE549" s="1331"/>
      <c r="EF549" s="1331"/>
      <c r="EG549" s="1331"/>
      <c r="EH549" s="1331"/>
      <c r="EI549" s="1331"/>
      <c r="EK549" s="1331"/>
    </row>
    <row r="550" spans="51:141" ht="14.25">
      <c r="AY550" s="1809"/>
      <c r="AZ550" s="1809"/>
      <c r="BA550" s="1795"/>
      <c r="BB550" s="1886"/>
      <c r="BC550" s="1886"/>
      <c r="BD550" s="1886"/>
      <c r="BE550" s="1331"/>
      <c r="BF550" s="1331"/>
      <c r="BG550" s="1997"/>
      <c r="BH550" s="1331"/>
      <c r="BI550" s="1331"/>
      <c r="BJ550" s="1331"/>
      <c r="BK550" s="1331"/>
      <c r="BL550" s="1331"/>
      <c r="BM550" s="1331"/>
      <c r="BN550" s="1331"/>
      <c r="BO550" s="1331"/>
      <c r="BP550" s="1331"/>
      <c r="BQ550" s="1331"/>
      <c r="BR550" s="1331"/>
      <c r="BS550" s="1331"/>
      <c r="BT550" s="1331"/>
      <c r="BU550" s="1331"/>
      <c r="BV550" s="1331"/>
      <c r="BW550" s="1331"/>
      <c r="BX550" s="1331"/>
      <c r="BY550" s="1331"/>
      <c r="BZ550" s="1331"/>
      <c r="CA550" s="1331"/>
      <c r="CB550" s="1331"/>
      <c r="CC550" s="1331"/>
      <c r="CD550" s="1331"/>
      <c r="CE550" s="1331"/>
      <c r="CF550" s="1331"/>
      <c r="CG550" s="1331"/>
      <c r="CH550" s="1331"/>
      <c r="CI550" s="1331"/>
      <c r="CJ550" s="1331"/>
      <c r="CK550" s="1331"/>
      <c r="CL550" s="1331"/>
      <c r="CM550" s="1331"/>
      <c r="CN550" s="1331"/>
      <c r="CQ550" s="1331"/>
      <c r="CR550" s="1331"/>
      <c r="CS550" s="1331"/>
      <c r="CT550" s="1331"/>
      <c r="CU550" s="1331"/>
      <c r="CV550" s="1331"/>
      <c r="CW550" s="1331"/>
      <c r="CX550" s="1331"/>
      <c r="CY550" s="1331"/>
      <c r="CZ550" s="1331"/>
      <c r="DA550" s="1331"/>
      <c r="DB550" s="1331"/>
      <c r="DC550" s="1331"/>
      <c r="DD550" s="1331"/>
      <c r="DE550" s="1331"/>
      <c r="DF550" s="1331"/>
      <c r="DG550" s="1331"/>
      <c r="DH550" s="1331"/>
      <c r="DI550" s="1331"/>
      <c r="DJ550" s="1331"/>
      <c r="DK550" s="1331"/>
      <c r="DL550" s="1331"/>
      <c r="DM550" s="1331"/>
      <c r="DN550" s="1331"/>
      <c r="DO550" s="1331"/>
      <c r="DP550" s="1331"/>
      <c r="DQ550" s="1331"/>
      <c r="DR550" s="1331"/>
      <c r="DS550" s="1331"/>
      <c r="DT550" s="1331"/>
      <c r="DU550" s="1331"/>
      <c r="DV550" s="1331"/>
      <c r="DW550" s="1331"/>
      <c r="DX550" s="1331"/>
      <c r="DY550" s="1331"/>
      <c r="DZ550" s="1331"/>
      <c r="EA550" s="1331"/>
      <c r="EB550" s="1331"/>
      <c r="EC550" s="1331"/>
      <c r="ED550" s="1331"/>
      <c r="EE550" s="1331"/>
      <c r="EF550" s="1331"/>
      <c r="EG550" s="1331"/>
      <c r="EH550" s="1331"/>
      <c r="EI550" s="1331"/>
      <c r="EK550" s="1331"/>
    </row>
    <row r="551" spans="51:141" ht="14.25">
      <c r="AY551" s="1880" t="s">
        <v>881</v>
      </c>
      <c r="BC551" s="1828"/>
      <c r="BD551" s="1828"/>
      <c r="BG551" s="1999">
        <f>+BB555+BB561</f>
        <v>27426.683684666663</v>
      </c>
    </row>
    <row r="552" spans="51:141" ht="14.25">
      <c r="AY552" s="1343" t="s">
        <v>375</v>
      </c>
      <c r="BG552" s="1999"/>
    </row>
    <row r="553" spans="51:141" ht="14.25">
      <c r="BG553" s="1999">
        <f>+BB549+BB555</f>
        <v>34540.601722866668</v>
      </c>
    </row>
    <row r="554" spans="51:141" ht="14.25">
      <c r="BB554" s="1883" t="s">
        <v>202</v>
      </c>
      <c r="BC554" s="1883" t="s">
        <v>203</v>
      </c>
      <c r="BD554" s="1883" t="s">
        <v>204</v>
      </c>
      <c r="BG554" s="1999"/>
    </row>
    <row r="555" spans="51:141" ht="14.25">
      <c r="BB555" s="1887">
        <f>+CE69+CE70+CE77+CE36+CE12+CE33+CE76+CE64+CE63+CE62+CE53+CE83+CE145</f>
        <v>14383.511722866666</v>
      </c>
      <c r="BC555" s="1885">
        <f>+BB555*0.12</f>
        <v>1726.0214067439999</v>
      </c>
      <c r="BD555" s="1885">
        <f>+BB555+BC555</f>
        <v>16109.533129610665</v>
      </c>
      <c r="BG555" s="1999"/>
    </row>
    <row r="556" spans="51:141" ht="12">
      <c r="BB556" s="1888"/>
      <c r="BC556" s="1886"/>
      <c r="BD556" s="1886"/>
    </row>
    <row r="557" spans="51:141" ht="12">
      <c r="AY557" s="1880" t="s">
        <v>882</v>
      </c>
      <c r="BB557" s="1828"/>
      <c r="BC557" s="1828"/>
      <c r="BD557" s="1828"/>
    </row>
    <row r="560" spans="51:141">
      <c r="BB560" s="1889" t="s">
        <v>202</v>
      </c>
      <c r="BC560" s="1889" t="s">
        <v>203</v>
      </c>
      <c r="BD560" s="1889" t="s">
        <v>204</v>
      </c>
    </row>
    <row r="561" spans="54:56" ht="12">
      <c r="BB561" s="1885">
        <f>+CE31+CE35+CE68+CE75+CE78+CE14+CE32+CE54</f>
        <v>13043.171961799999</v>
      </c>
      <c r="BC561" s="1885">
        <f>+BB561*0.12</f>
        <v>1565.1806354159999</v>
      </c>
      <c r="BD561" s="1890">
        <f>+BB561+BC561</f>
        <v>14608.352597215999</v>
      </c>
    </row>
    <row r="562" spans="54:56" ht="12">
      <c r="BB562" s="1828"/>
    </row>
  </sheetData>
  <sheetProtection selectLockedCells="1" selectUnlockedCells="1"/>
  <autoFilter ref="A7:JA235" xr:uid="{00000000-0009-0000-0000-000000000000}"/>
  <mergeCells count="58">
    <mergeCell ref="AJ5:AN5"/>
    <mergeCell ref="CQ5:CY5"/>
    <mergeCell ref="D6:N6"/>
    <mergeCell ref="AV4:CN4"/>
    <mergeCell ref="CQ4:EI4"/>
    <mergeCell ref="P5:S5"/>
    <mergeCell ref="T5:W5"/>
    <mergeCell ref="X5:AA5"/>
    <mergeCell ref="AB5:AE5"/>
    <mergeCell ref="AF5:AI5"/>
    <mergeCell ref="AO5:AS5"/>
    <mergeCell ref="AV5:BD5"/>
    <mergeCell ref="BE5:BM5"/>
    <mergeCell ref="BN5:BV5"/>
    <mergeCell ref="BW5:CE5"/>
    <mergeCell ref="CF5:CN5"/>
    <mergeCell ref="FF5:FK5"/>
    <mergeCell ref="AJ6:AJ7"/>
    <mergeCell ref="AK6:AK7"/>
    <mergeCell ref="AL6:AL7"/>
    <mergeCell ref="AM6:AM7"/>
    <mergeCell ref="AN6:AN7"/>
    <mergeCell ref="AO6:AO7"/>
    <mergeCell ref="AP6:AP7"/>
    <mergeCell ref="AQ6:AQ7"/>
    <mergeCell ref="AR6:AR7"/>
    <mergeCell ref="CZ5:DH5"/>
    <mergeCell ref="DI5:DQ5"/>
    <mergeCell ref="DR5:DZ5"/>
    <mergeCell ref="EA5:EI5"/>
    <mergeCell ref="EK6:ES6"/>
    <mergeCell ref="EV6:FE6"/>
    <mergeCell ref="I323:J323"/>
    <mergeCell ref="K323:L323"/>
    <mergeCell ref="I358:J358"/>
    <mergeCell ref="K358:L358"/>
    <mergeCell ref="AS6:AS7"/>
    <mergeCell ref="I247:N247"/>
    <mergeCell ref="I259:J259"/>
    <mergeCell ref="K259:L259"/>
    <mergeCell ref="I290:J290"/>
    <mergeCell ref="K290:L290"/>
    <mergeCell ref="CF377:CN377"/>
    <mergeCell ref="CF424:CN424"/>
    <mergeCell ref="CF471:CN471"/>
    <mergeCell ref="AV518:BD518"/>
    <mergeCell ref="BN377:BV377"/>
    <mergeCell ref="BN424:BV424"/>
    <mergeCell ref="BN471:BV471"/>
    <mergeCell ref="BW377:CE377"/>
    <mergeCell ref="BW424:CE424"/>
    <mergeCell ref="BW471:CE471"/>
    <mergeCell ref="AV377:BD377"/>
    <mergeCell ref="AV424:BD424"/>
    <mergeCell ref="AV471:BD471"/>
    <mergeCell ref="BE377:BM377"/>
    <mergeCell ref="BE424:BM424"/>
    <mergeCell ref="BE471:BM471"/>
  </mergeCells>
  <conditionalFormatting sqref="A197:XFD197">
    <cfRule type="duplicateValues" dxfId="994" priority="383"/>
  </conditionalFormatting>
  <conditionalFormatting sqref="A216:A1048576 A193:A196 A79:A83 A161:A177 A198:A204 A71:A76 A99:A102 A116:A119 A149:A155 A59:A69 A91:A94 A121:A126 A179:A191 A134:A145 A1:A31 A42:A53">
    <cfRule type="duplicateValues" dxfId="993" priority="454"/>
  </conditionalFormatting>
  <conditionalFormatting sqref="B77">
    <cfRule type="duplicateValues" dxfId="992" priority="354"/>
  </conditionalFormatting>
  <conditionalFormatting sqref="B133">
    <cfRule type="duplicateValues" dxfId="991" priority="342"/>
  </conditionalFormatting>
  <conditionalFormatting sqref="B133">
    <cfRule type="duplicateValues" dxfId="990" priority="341"/>
  </conditionalFormatting>
  <conditionalFormatting sqref="B133">
    <cfRule type="duplicateValues" dxfId="989" priority="340"/>
  </conditionalFormatting>
  <conditionalFormatting sqref="B210:B1048576 B134:B137 B99:B102 B59:B69 B142:B145 B71:B83 B97 B1:B57 B147:B177 B179:B204 B109:B113 B116:B131 B88 B90:B94">
    <cfRule type="duplicateValues" dxfId="988" priority="689"/>
  </conditionalFormatting>
  <conditionalFormatting sqref="B210:B1048576">
    <cfRule type="duplicateValues" dxfId="987" priority="697"/>
  </conditionalFormatting>
  <conditionalFormatting sqref="B210:B1048576 B142:B145 B99:B102 B59:B69 B71:B83 B97 B1:B57 B147:B177 B179:B204 B109:B113 B133:B140 B116:B131 B88 B90:B94">
    <cfRule type="duplicateValues" dxfId="986" priority="704"/>
  </conditionalFormatting>
  <conditionalFormatting sqref="B58">
    <cfRule type="duplicateValues" dxfId="985" priority="318"/>
  </conditionalFormatting>
  <conditionalFormatting sqref="B58">
    <cfRule type="duplicateValues" dxfId="984" priority="319"/>
  </conditionalFormatting>
  <conditionalFormatting sqref="B58">
    <cfRule type="duplicateValues" dxfId="983" priority="320"/>
  </conditionalFormatting>
  <conditionalFormatting sqref="B58">
    <cfRule type="duplicateValues" dxfId="982" priority="321"/>
  </conditionalFormatting>
  <conditionalFormatting sqref="B114">
    <cfRule type="duplicateValues" dxfId="981" priority="762"/>
  </conditionalFormatting>
  <conditionalFormatting sqref="B114">
    <cfRule type="duplicateValues" dxfId="980" priority="763"/>
  </conditionalFormatting>
  <conditionalFormatting sqref="B210:B1048576 B142:B145 B99:B102 B71:B83 B97 B1:B69 B147:B177 B179:B204 B133:B140 B109:B131 B88 B90:B94">
    <cfRule type="duplicateValues" dxfId="979" priority="293"/>
  </conditionalFormatting>
  <conditionalFormatting sqref="B210:B1048576 B142:B145 B147:B177 B179:B204">
    <cfRule type="duplicateValues" dxfId="978" priority="286"/>
  </conditionalFormatting>
  <conditionalFormatting sqref="A216:B1048576 A161:B177 A79:B83 A134:B137 A99:B102 A116:B119 B157:B160 A142:B145 B88 B97 A71:B76 B210:B215 A149:B155 B32:B41 A59:B69 B78 A91:B94 B120 A121:B126 B109:B113 B127:B131 B147:B148 A179:B204 B55:B56 A138:A141 A1:B31 A42:B54 B90">
    <cfRule type="duplicateValues" dxfId="977" priority="917"/>
  </conditionalFormatting>
  <conditionalFormatting sqref="B57">
    <cfRule type="duplicateValues" dxfId="976" priority="1663"/>
  </conditionalFormatting>
  <conditionalFormatting sqref="A85:A88 A90">
    <cfRule type="duplicateValues" dxfId="975" priority="235"/>
  </conditionalFormatting>
  <conditionalFormatting sqref="B85:B87">
    <cfRule type="duplicateValues" dxfId="974" priority="236"/>
  </conditionalFormatting>
  <conditionalFormatting sqref="B85:B87">
    <cfRule type="duplicateValues" dxfId="973" priority="237"/>
  </conditionalFormatting>
  <conditionalFormatting sqref="B85:B87">
    <cfRule type="duplicateValues" dxfId="972" priority="238"/>
  </conditionalFormatting>
  <conditionalFormatting sqref="B85:B87">
    <cfRule type="duplicateValues" dxfId="971" priority="234"/>
  </conditionalFormatting>
  <conditionalFormatting sqref="A85:B87 A86:A88 A90">
    <cfRule type="duplicateValues" dxfId="970" priority="239"/>
  </conditionalFormatting>
  <conditionalFormatting sqref="A70">
    <cfRule type="duplicateValues" dxfId="969" priority="227"/>
  </conditionalFormatting>
  <conditionalFormatting sqref="B70">
    <cfRule type="duplicateValues" dxfId="968" priority="228"/>
  </conditionalFormatting>
  <conditionalFormatting sqref="B70">
    <cfRule type="duplicateValues" dxfId="967" priority="229"/>
  </conditionalFormatting>
  <conditionalFormatting sqref="B70">
    <cfRule type="duplicateValues" dxfId="966" priority="230"/>
  </conditionalFormatting>
  <conditionalFormatting sqref="B70">
    <cfRule type="duplicateValues" dxfId="965" priority="226"/>
  </conditionalFormatting>
  <conditionalFormatting sqref="A70:B70">
    <cfRule type="duplicateValues" dxfId="964" priority="231"/>
  </conditionalFormatting>
  <conditionalFormatting sqref="B96">
    <cfRule type="duplicateValues" dxfId="963" priority="220"/>
  </conditionalFormatting>
  <conditionalFormatting sqref="B96">
    <cfRule type="duplicateValues" dxfId="962" priority="221"/>
  </conditionalFormatting>
  <conditionalFormatting sqref="B96">
    <cfRule type="duplicateValues" dxfId="961" priority="222"/>
  </conditionalFormatting>
  <conditionalFormatting sqref="B96">
    <cfRule type="duplicateValues" dxfId="960" priority="218"/>
  </conditionalFormatting>
  <conditionalFormatting sqref="B96">
    <cfRule type="duplicateValues" dxfId="959" priority="217"/>
  </conditionalFormatting>
  <conditionalFormatting sqref="B96">
    <cfRule type="duplicateValues" dxfId="958" priority="223"/>
  </conditionalFormatting>
  <conditionalFormatting sqref="B209">
    <cfRule type="duplicateValues" dxfId="957" priority="210"/>
  </conditionalFormatting>
  <conditionalFormatting sqref="B209">
    <cfRule type="duplicateValues" dxfId="956" priority="211"/>
  </conditionalFormatting>
  <conditionalFormatting sqref="B209">
    <cfRule type="duplicateValues" dxfId="955" priority="212"/>
  </conditionalFormatting>
  <conditionalFormatting sqref="B209">
    <cfRule type="duplicateValues" dxfId="954" priority="208"/>
  </conditionalFormatting>
  <conditionalFormatting sqref="B209">
    <cfRule type="duplicateValues" dxfId="953" priority="213"/>
  </conditionalFormatting>
  <conditionalFormatting sqref="B206">
    <cfRule type="duplicateValues" dxfId="952" priority="191"/>
  </conditionalFormatting>
  <conditionalFormatting sqref="B206">
    <cfRule type="duplicateValues" dxfId="951" priority="192"/>
  </conditionalFormatting>
  <conditionalFormatting sqref="B206">
    <cfRule type="duplicateValues" dxfId="950" priority="193"/>
  </conditionalFormatting>
  <conditionalFormatting sqref="B206">
    <cfRule type="duplicateValues" dxfId="949" priority="189"/>
  </conditionalFormatting>
  <conditionalFormatting sqref="B206">
    <cfRule type="duplicateValues" dxfId="948" priority="194"/>
  </conditionalFormatting>
  <conditionalFormatting sqref="B208">
    <cfRule type="duplicateValues" dxfId="947" priority="185"/>
  </conditionalFormatting>
  <conditionalFormatting sqref="B208">
    <cfRule type="duplicateValues" dxfId="946" priority="184"/>
  </conditionalFormatting>
  <conditionalFormatting sqref="B208">
    <cfRule type="duplicateValues" dxfId="945" priority="183"/>
  </conditionalFormatting>
  <conditionalFormatting sqref="B208">
    <cfRule type="duplicateValues" dxfId="944" priority="187"/>
  </conditionalFormatting>
  <conditionalFormatting sqref="B208">
    <cfRule type="duplicateValues" dxfId="943" priority="182"/>
  </conditionalFormatting>
  <conditionalFormatting sqref="B205">
    <cfRule type="duplicateValues" dxfId="942" priority="178"/>
  </conditionalFormatting>
  <conditionalFormatting sqref="B205">
    <cfRule type="duplicateValues" dxfId="941" priority="179"/>
  </conditionalFormatting>
  <conditionalFormatting sqref="B205">
    <cfRule type="duplicateValues" dxfId="940" priority="180"/>
  </conditionalFormatting>
  <conditionalFormatting sqref="B205">
    <cfRule type="duplicateValues" dxfId="939" priority="176"/>
  </conditionalFormatting>
  <conditionalFormatting sqref="B205">
    <cfRule type="duplicateValues" dxfId="938" priority="181"/>
  </conditionalFormatting>
  <conditionalFormatting sqref="B207">
    <cfRule type="duplicateValues" dxfId="937" priority="175"/>
  </conditionalFormatting>
  <conditionalFormatting sqref="B141">
    <cfRule type="duplicateValues" dxfId="936" priority="3990"/>
  </conditionalFormatting>
  <conditionalFormatting sqref="A156">
    <cfRule type="duplicateValues" dxfId="935" priority="4087"/>
  </conditionalFormatting>
  <conditionalFormatting sqref="A156:B156">
    <cfRule type="duplicateValues" dxfId="934" priority="4090"/>
  </conditionalFormatting>
  <conditionalFormatting sqref="A146">
    <cfRule type="duplicateValues" dxfId="933" priority="115"/>
  </conditionalFormatting>
  <conditionalFormatting sqref="B146">
    <cfRule type="duplicateValues" dxfId="932" priority="116"/>
  </conditionalFormatting>
  <conditionalFormatting sqref="B146">
    <cfRule type="duplicateValues" dxfId="931" priority="117"/>
  </conditionalFormatting>
  <conditionalFormatting sqref="B146">
    <cfRule type="duplicateValues" dxfId="930" priority="118"/>
  </conditionalFormatting>
  <conditionalFormatting sqref="B146">
    <cfRule type="duplicateValues" dxfId="929" priority="114"/>
  </conditionalFormatting>
  <conditionalFormatting sqref="B146">
    <cfRule type="duplicateValues" dxfId="928" priority="113"/>
  </conditionalFormatting>
  <conditionalFormatting sqref="A146:B146">
    <cfRule type="duplicateValues" dxfId="927" priority="119"/>
  </conditionalFormatting>
  <conditionalFormatting sqref="A178">
    <cfRule type="duplicateValues" dxfId="926" priority="98"/>
  </conditionalFormatting>
  <conditionalFormatting sqref="B178">
    <cfRule type="duplicateValues" dxfId="925" priority="99"/>
  </conditionalFormatting>
  <conditionalFormatting sqref="B178">
    <cfRule type="duplicateValues" dxfId="924" priority="100"/>
  </conditionalFormatting>
  <conditionalFormatting sqref="B178">
    <cfRule type="duplicateValues" dxfId="923" priority="101"/>
  </conditionalFormatting>
  <conditionalFormatting sqref="B178">
    <cfRule type="duplicateValues" dxfId="922" priority="97"/>
  </conditionalFormatting>
  <conditionalFormatting sqref="B178">
    <cfRule type="duplicateValues" dxfId="921" priority="96"/>
  </conditionalFormatting>
  <conditionalFormatting sqref="A178:B178">
    <cfRule type="duplicateValues" dxfId="920" priority="102"/>
  </conditionalFormatting>
  <conditionalFormatting sqref="B98">
    <cfRule type="duplicateValues" dxfId="919" priority="4706"/>
  </conditionalFormatting>
  <conditionalFormatting sqref="A205">
    <cfRule type="duplicateValues" dxfId="918" priority="4806"/>
  </conditionalFormatting>
  <conditionalFormatting sqref="B132">
    <cfRule type="duplicateValues" dxfId="917" priority="88"/>
  </conditionalFormatting>
  <conditionalFormatting sqref="B132">
    <cfRule type="duplicateValues" dxfId="916" priority="89"/>
  </conditionalFormatting>
  <conditionalFormatting sqref="B132">
    <cfRule type="duplicateValues" dxfId="915" priority="90"/>
  </conditionalFormatting>
  <conditionalFormatting sqref="B132">
    <cfRule type="duplicateValues" dxfId="914" priority="87"/>
  </conditionalFormatting>
  <conditionalFormatting sqref="B132">
    <cfRule type="duplicateValues" dxfId="913" priority="91"/>
  </conditionalFormatting>
  <conditionalFormatting sqref="B105:B108">
    <cfRule type="duplicateValues" dxfId="912" priority="5136"/>
  </conditionalFormatting>
  <conditionalFormatting sqref="B105:B108">
    <cfRule type="duplicateValues" dxfId="911" priority="5140"/>
  </conditionalFormatting>
  <conditionalFormatting sqref="A147:A148">
    <cfRule type="duplicateValues" dxfId="910" priority="72"/>
  </conditionalFormatting>
  <conditionalFormatting sqref="A147:A148">
    <cfRule type="duplicateValues" dxfId="909" priority="73"/>
  </conditionalFormatting>
  <conditionalFormatting sqref="B115">
    <cfRule type="duplicateValues" dxfId="908" priority="5281"/>
  </conditionalFormatting>
  <conditionalFormatting sqref="B138:B140">
    <cfRule type="duplicateValues" dxfId="907" priority="5606"/>
  </conditionalFormatting>
  <conditionalFormatting sqref="A54">
    <cfRule type="duplicateValues" dxfId="906" priority="5631"/>
  </conditionalFormatting>
  <conditionalFormatting sqref="A120">
    <cfRule type="duplicateValues" dxfId="905" priority="55"/>
  </conditionalFormatting>
  <conditionalFormatting sqref="A120">
    <cfRule type="duplicateValues" dxfId="904" priority="56"/>
  </conditionalFormatting>
  <conditionalFormatting sqref="A55:A58">
    <cfRule type="duplicateValues" dxfId="903" priority="53"/>
  </conditionalFormatting>
  <conditionalFormatting sqref="A55:A58">
    <cfRule type="duplicateValues" dxfId="902" priority="54"/>
  </conditionalFormatting>
  <conditionalFormatting sqref="A103">
    <cfRule type="duplicateValues" dxfId="901" priority="43"/>
  </conditionalFormatting>
  <conditionalFormatting sqref="B103:B104">
    <cfRule type="duplicateValues" dxfId="900" priority="44"/>
  </conditionalFormatting>
  <conditionalFormatting sqref="B103:B104">
    <cfRule type="duplicateValues" dxfId="899" priority="45"/>
  </conditionalFormatting>
  <conditionalFormatting sqref="B103:B104">
    <cfRule type="duplicateValues" dxfId="898" priority="42"/>
  </conditionalFormatting>
  <conditionalFormatting sqref="A103:B103 B104">
    <cfRule type="duplicateValues" dxfId="897" priority="46"/>
  </conditionalFormatting>
  <conditionalFormatting sqref="A206:A215">
    <cfRule type="duplicateValues" dxfId="896" priority="6202"/>
  </conditionalFormatting>
  <conditionalFormatting sqref="A77">
    <cfRule type="duplicateValues" dxfId="895" priority="40"/>
  </conditionalFormatting>
  <conditionalFormatting sqref="A77">
    <cfRule type="duplicateValues" dxfId="894" priority="41"/>
  </conditionalFormatting>
  <conditionalFormatting sqref="A78">
    <cfRule type="duplicateValues" dxfId="893" priority="38"/>
  </conditionalFormatting>
  <conditionalFormatting sqref="A78">
    <cfRule type="duplicateValues" dxfId="892" priority="39"/>
  </conditionalFormatting>
  <conditionalFormatting sqref="A32:A41">
    <cfRule type="duplicateValues" dxfId="891" priority="6304"/>
  </conditionalFormatting>
  <conditionalFormatting sqref="A127:A133">
    <cfRule type="duplicateValues" dxfId="890" priority="6679"/>
  </conditionalFormatting>
  <conditionalFormatting sqref="A104:A115">
    <cfRule type="duplicateValues" dxfId="889" priority="6922"/>
  </conditionalFormatting>
  <conditionalFormatting sqref="A157:A160">
    <cfRule type="duplicateValues" dxfId="888" priority="7007"/>
  </conditionalFormatting>
  <conditionalFormatting sqref="A84">
    <cfRule type="duplicateValues" dxfId="887" priority="17"/>
  </conditionalFormatting>
  <conditionalFormatting sqref="B84">
    <cfRule type="duplicateValues" dxfId="886" priority="18"/>
  </conditionalFormatting>
  <conditionalFormatting sqref="B84">
    <cfRule type="duplicateValues" dxfId="885" priority="19"/>
  </conditionalFormatting>
  <conditionalFormatting sqref="B84">
    <cfRule type="duplicateValues" dxfId="884" priority="16"/>
  </conditionalFormatting>
  <conditionalFormatting sqref="A84:B84">
    <cfRule type="duplicateValues" dxfId="883" priority="20"/>
  </conditionalFormatting>
  <conditionalFormatting sqref="B95">
    <cfRule type="duplicateValues" dxfId="882" priority="7"/>
  </conditionalFormatting>
  <conditionalFormatting sqref="B95">
    <cfRule type="duplicateValues" dxfId="881" priority="8"/>
  </conditionalFormatting>
  <conditionalFormatting sqref="B95">
    <cfRule type="duplicateValues" dxfId="880" priority="6"/>
  </conditionalFormatting>
  <conditionalFormatting sqref="B95">
    <cfRule type="duplicateValues" dxfId="879" priority="9"/>
  </conditionalFormatting>
  <conditionalFormatting sqref="A95">
    <cfRule type="duplicateValues" dxfId="878" priority="10"/>
  </conditionalFormatting>
  <conditionalFormatting sqref="B89">
    <cfRule type="duplicateValues" dxfId="877" priority="2"/>
  </conditionalFormatting>
  <conditionalFormatting sqref="B89">
    <cfRule type="duplicateValues" dxfId="876" priority="3"/>
  </conditionalFormatting>
  <conditionalFormatting sqref="B89">
    <cfRule type="duplicateValues" dxfId="875" priority="1"/>
  </conditionalFormatting>
  <conditionalFormatting sqref="B89">
    <cfRule type="duplicateValues" dxfId="874" priority="4"/>
  </conditionalFormatting>
  <conditionalFormatting sqref="A89">
    <cfRule type="duplicateValues" dxfId="873" priority="5"/>
  </conditionalFormatting>
  <conditionalFormatting sqref="A96:A98">
    <cfRule type="duplicateValues" dxfId="872" priority="7701"/>
  </conditionalFormatting>
  <pageMargins left="0.7" right="0.7" top="0.75" bottom="0.75" header="0.51180555555555551" footer="0.51180555555555551"/>
  <pageSetup scale="56" firstPageNumber="0" orientation="portrait" horizontalDpi="4294967293" verticalDpi="300" r:id="rId1"/>
  <headerFooter alignWithMargins="0"/>
  <rowBreaks count="1" manualBreakCount="1">
    <brk id="99" max="16383" man="1"/>
  </rowBreaks>
  <colBreaks count="1" manualBreakCount="1">
    <brk id="8"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57"/>
  </sheetPr>
  <dimension ref="A1:I309"/>
  <sheetViews>
    <sheetView showGridLines="0" view="pageBreakPreview" zoomScale="50" zoomScaleNormal="95" zoomScaleSheetLayoutView="50" workbookViewId="0">
      <pane xSplit="3" ySplit="7" topLeftCell="D131" activePane="bottomRight" state="frozen"/>
      <selection activeCell="H25" sqref="H25"/>
      <selection pane="topRight" activeCell="H25" sqref="H25"/>
      <selection pane="bottomLeft" activeCell="H25" sqref="H25"/>
      <selection pane="bottomRight" activeCell="B134" sqref="B134"/>
    </sheetView>
  </sheetViews>
  <sheetFormatPr baseColWidth="10" defaultColWidth="35.7109375" defaultRowHeight="39.950000000000003" customHeight="1" outlineLevelRow="1" outlineLevelCol="1"/>
  <cols>
    <col min="1" max="1" width="14.28515625" style="722" customWidth="1"/>
    <col min="2" max="2" width="129.28515625" style="735" customWidth="1"/>
    <col min="3" max="3" width="83.42578125" style="722" customWidth="1"/>
    <col min="4" max="4" width="61.85546875" style="727" customWidth="1"/>
    <col min="5" max="5" width="49.7109375" style="736" customWidth="1" outlineLevel="1"/>
    <col min="6" max="6" width="50" style="736" customWidth="1" outlineLevel="1"/>
    <col min="7" max="7" width="52.7109375" style="736" customWidth="1" outlineLevel="1"/>
    <col min="8" max="8" width="48" style="736" customWidth="1" outlineLevel="1"/>
    <col min="9" max="16384" width="35.7109375" style="727"/>
  </cols>
  <sheetData>
    <row r="1" spans="1:9" ht="32.25" customHeight="1">
      <c r="B1" s="723">
        <v>1</v>
      </c>
      <c r="C1" s="724">
        <v>2</v>
      </c>
      <c r="D1" s="725">
        <v>3</v>
      </c>
      <c r="E1" s="726">
        <v>4</v>
      </c>
      <c r="F1" s="725">
        <v>5</v>
      </c>
      <c r="G1" s="726">
        <v>6</v>
      </c>
      <c r="H1" s="726">
        <v>6</v>
      </c>
    </row>
    <row r="2" spans="1:9" s="732" customFormat="1" ht="56.25" customHeight="1">
      <c r="A2" s="728"/>
      <c r="B2" s="729" t="s">
        <v>0</v>
      </c>
      <c r="C2" s="730"/>
      <c r="D2" s="731"/>
      <c r="I2" s="727"/>
    </row>
    <row r="3" spans="1:9" ht="63.75" customHeight="1">
      <c r="B3" s="733" t="s">
        <v>693</v>
      </c>
      <c r="C3" s="734"/>
      <c r="E3" s="727"/>
      <c r="F3" s="727"/>
      <c r="G3" s="727"/>
      <c r="H3" s="727"/>
    </row>
    <row r="4" spans="1:9" ht="24.95" customHeight="1">
      <c r="C4" s="730"/>
    </row>
    <row r="5" spans="1:9" s="739" customFormat="1" ht="24.95" customHeight="1">
      <c r="A5" s="737"/>
      <c r="B5" s="738"/>
      <c r="C5" s="737" t="s">
        <v>54</v>
      </c>
      <c r="E5" s="739">
        <v>5</v>
      </c>
      <c r="F5" s="739">
        <v>6</v>
      </c>
    </row>
    <row r="6" spans="1:9" s="743" customFormat="1" ht="53.25" customHeight="1" thickBot="1">
      <c r="A6" s="740"/>
      <c r="B6" s="741"/>
      <c r="C6" s="742"/>
      <c r="D6" s="2250" t="s">
        <v>1</v>
      </c>
      <c r="E6" s="2250"/>
      <c r="F6" s="2250"/>
      <c r="G6" s="2250"/>
    </row>
    <row r="7" spans="1:9" ht="94.5" customHeight="1" thickBot="1">
      <c r="B7" s="744" t="s">
        <v>37</v>
      </c>
      <c r="C7" s="745" t="s">
        <v>38</v>
      </c>
      <c r="D7" s="746" t="s">
        <v>444</v>
      </c>
      <c r="E7" s="746" t="s">
        <v>443</v>
      </c>
      <c r="F7" s="746" t="s">
        <v>445</v>
      </c>
      <c r="G7" s="746" t="s">
        <v>19</v>
      </c>
      <c r="H7" s="747" t="s">
        <v>706</v>
      </c>
    </row>
    <row r="8" spans="1:9" s="753" customFormat="1" ht="50.1" customHeight="1">
      <c r="A8" s="748"/>
      <c r="B8" s="741" t="s">
        <v>53</v>
      </c>
      <c r="C8" s="749"/>
      <c r="D8" s="750"/>
      <c r="E8" s="751"/>
      <c r="F8" s="751"/>
      <c r="G8" s="752"/>
      <c r="H8" s="752"/>
    </row>
    <row r="9" spans="1:9" s="753" customFormat="1" ht="50.1" customHeight="1">
      <c r="A9" s="748"/>
      <c r="B9" s="754" t="s">
        <v>56</v>
      </c>
      <c r="C9" s="749"/>
      <c r="D9" s="755"/>
      <c r="E9" s="755"/>
      <c r="F9" s="756"/>
      <c r="G9" s="757" t="s">
        <v>405</v>
      </c>
      <c r="H9" s="757" t="s">
        <v>405</v>
      </c>
    </row>
    <row r="10" spans="1:9" s="763" customFormat="1" ht="50.1" customHeight="1" outlineLevel="1">
      <c r="A10" s="758">
        <v>1</v>
      </c>
      <c r="B10" s="759" t="s">
        <v>631</v>
      </c>
      <c r="C10" s="760" t="s">
        <v>59</v>
      </c>
      <c r="D10" s="760" t="s">
        <v>11</v>
      </c>
      <c r="E10" s="761">
        <v>3750</v>
      </c>
      <c r="F10" s="761">
        <f>2000+250</f>
        <v>2250</v>
      </c>
      <c r="G10" s="762">
        <f>+E10+F10</f>
        <v>6000</v>
      </c>
      <c r="H10" s="762">
        <v>50</v>
      </c>
    </row>
    <row r="11" spans="1:9" s="770" customFormat="1" ht="50.1" customHeight="1" outlineLevel="1">
      <c r="A11" s="758">
        <f>+A10+1</f>
        <v>2</v>
      </c>
      <c r="B11" s="764" t="s">
        <v>557</v>
      </c>
      <c r="C11" s="765" t="s">
        <v>58</v>
      </c>
      <c r="D11" s="766" t="s">
        <v>11</v>
      </c>
      <c r="E11" s="767">
        <v>2959.24</v>
      </c>
      <c r="F11" s="768">
        <v>250</v>
      </c>
      <c r="G11" s="769">
        <f>+E11+F11</f>
        <v>3209.24</v>
      </c>
      <c r="H11" s="769">
        <v>50</v>
      </c>
    </row>
    <row r="12" spans="1:9" s="775" customFormat="1" ht="50.1" customHeight="1" outlineLevel="1">
      <c r="A12" s="758">
        <f>+A11+1</f>
        <v>3</v>
      </c>
      <c r="B12" s="759" t="s">
        <v>612</v>
      </c>
      <c r="C12" s="771" t="s">
        <v>58</v>
      </c>
      <c r="D12" s="772" t="s">
        <v>10</v>
      </c>
      <c r="E12" s="767">
        <v>3250</v>
      </c>
      <c r="F12" s="773">
        <v>250</v>
      </c>
      <c r="G12" s="774">
        <f>+E12+F12</f>
        <v>3500</v>
      </c>
      <c r="H12" s="774">
        <v>50</v>
      </c>
    </row>
    <row r="13" spans="1:9" s="753" customFormat="1" ht="50.1" customHeight="1" outlineLevel="1" thickBot="1">
      <c r="A13" s="748"/>
      <c r="B13" s="776"/>
      <c r="C13" s="777" t="s">
        <v>61</v>
      </c>
      <c r="E13" s="778">
        <f>SUM(E10:E12)</f>
        <v>9959.24</v>
      </c>
      <c r="F13" s="778">
        <f>SUM(F10:F12)</f>
        <v>2750</v>
      </c>
      <c r="G13" s="778">
        <f>SUM(G10:G12)</f>
        <v>12709.24</v>
      </c>
      <c r="H13" s="778">
        <f>SUM(H10:H12)</f>
        <v>150</v>
      </c>
    </row>
    <row r="14" spans="1:9" s="781" customFormat="1" ht="50.1" customHeight="1" outlineLevel="1" thickTop="1">
      <c r="A14" s="779"/>
      <c r="B14" s="776"/>
      <c r="C14" s="748"/>
      <c r="D14" s="753"/>
      <c r="E14" s="780"/>
      <c r="G14" s="782"/>
      <c r="H14" s="782"/>
      <c r="I14" s="753"/>
    </row>
    <row r="15" spans="1:9" s="753" customFormat="1" ht="50.1" customHeight="1" outlineLevel="1">
      <c r="A15" s="748"/>
      <c r="B15" s="754" t="s">
        <v>62</v>
      </c>
      <c r="C15" s="748"/>
      <c r="D15" s="748"/>
      <c r="E15" s="780"/>
      <c r="F15" s="781"/>
      <c r="G15" s="781"/>
      <c r="H15" s="781"/>
    </row>
    <row r="16" spans="1:9" s="775" customFormat="1" ht="50.1" customHeight="1" outlineLevel="1">
      <c r="A16" s="783">
        <f>A12+1</f>
        <v>4</v>
      </c>
      <c r="B16" s="759" t="s">
        <v>506</v>
      </c>
      <c r="C16" s="771" t="s">
        <v>63</v>
      </c>
      <c r="D16" s="772" t="s">
        <v>10</v>
      </c>
      <c r="E16" s="767">
        <v>3262.5</v>
      </c>
      <c r="F16" s="773">
        <v>2250</v>
      </c>
      <c r="G16" s="774">
        <f t="shared" ref="G16:G21" si="0">+E16+F16</f>
        <v>5512.5</v>
      </c>
      <c r="H16" s="774">
        <v>50</v>
      </c>
    </row>
    <row r="17" spans="1:9" s="775" customFormat="1" ht="50.1" customHeight="1" outlineLevel="1">
      <c r="A17" s="783">
        <f>+A16+1</f>
        <v>5</v>
      </c>
      <c r="B17" s="759" t="s">
        <v>641</v>
      </c>
      <c r="C17" s="771" t="s">
        <v>578</v>
      </c>
      <c r="D17" s="772" t="s">
        <v>10</v>
      </c>
      <c r="E17" s="767">
        <v>2959.24</v>
      </c>
      <c r="F17" s="773">
        <v>725</v>
      </c>
      <c r="G17" s="774">
        <f t="shared" si="0"/>
        <v>3684.24</v>
      </c>
      <c r="H17" s="774">
        <v>50</v>
      </c>
    </row>
    <row r="18" spans="1:9" s="786" customFormat="1" ht="50.1" customHeight="1" outlineLevel="1">
      <c r="A18" s="783">
        <f>+A17+1</f>
        <v>6</v>
      </c>
      <c r="B18" s="759" t="s">
        <v>514</v>
      </c>
      <c r="C18" s="771" t="s">
        <v>64</v>
      </c>
      <c r="D18" s="771" t="s">
        <v>10</v>
      </c>
      <c r="E18" s="767">
        <v>2959.24</v>
      </c>
      <c r="F18" s="784">
        <v>250</v>
      </c>
      <c r="G18" s="785">
        <f t="shared" si="0"/>
        <v>3209.24</v>
      </c>
      <c r="H18" s="774">
        <v>50</v>
      </c>
    </row>
    <row r="19" spans="1:9" s="790" customFormat="1" ht="50.1" customHeight="1" outlineLevel="1">
      <c r="A19" s="783">
        <f>+A18+1</f>
        <v>7</v>
      </c>
      <c r="B19" s="787" t="s">
        <v>542</v>
      </c>
      <c r="C19" s="760" t="s">
        <v>65</v>
      </c>
      <c r="D19" s="788" t="s">
        <v>11</v>
      </c>
      <c r="E19" s="767">
        <v>2959.24</v>
      </c>
      <c r="F19" s="767">
        <v>250</v>
      </c>
      <c r="G19" s="789">
        <f t="shared" si="0"/>
        <v>3209.24</v>
      </c>
      <c r="H19" s="774">
        <v>50</v>
      </c>
    </row>
    <row r="20" spans="1:9" s="790" customFormat="1" ht="50.1" customHeight="1" outlineLevel="1">
      <c r="A20" s="783">
        <f>+A19+1</f>
        <v>8</v>
      </c>
      <c r="B20" s="787" t="s">
        <v>520</v>
      </c>
      <c r="C20" s="760" t="s">
        <v>66</v>
      </c>
      <c r="D20" s="788" t="s">
        <v>10</v>
      </c>
      <c r="E20" s="767">
        <v>2959.24</v>
      </c>
      <c r="F20" s="767">
        <f>250+120</f>
        <v>370</v>
      </c>
      <c r="G20" s="789">
        <f t="shared" si="0"/>
        <v>3329.24</v>
      </c>
      <c r="H20" s="774">
        <v>50</v>
      </c>
    </row>
    <row r="21" spans="1:9" s="770" customFormat="1" ht="50.1" customHeight="1" outlineLevel="1">
      <c r="A21" s="783">
        <f>+A20+1</f>
        <v>9</v>
      </c>
      <c r="B21" s="759" t="s">
        <v>515</v>
      </c>
      <c r="C21" s="771" t="s">
        <v>66</v>
      </c>
      <c r="D21" s="766" t="s">
        <v>10</v>
      </c>
      <c r="E21" s="767">
        <v>2959.24</v>
      </c>
      <c r="F21" s="768">
        <v>370</v>
      </c>
      <c r="G21" s="769">
        <f t="shared" si="0"/>
        <v>3329.24</v>
      </c>
      <c r="H21" s="774">
        <v>50</v>
      </c>
    </row>
    <row r="22" spans="1:9" s="770" customFormat="1" ht="50.1" customHeight="1" outlineLevel="1" thickBot="1">
      <c r="A22" s="758"/>
      <c r="B22" s="791"/>
      <c r="C22" s="792" t="s">
        <v>67</v>
      </c>
      <c r="D22" s="753"/>
      <c r="E22" s="778">
        <f>SUM(E16:E21)</f>
        <v>18058.699999999997</v>
      </c>
      <c r="F22" s="793">
        <f>SUM(F16:F21)</f>
        <v>4215</v>
      </c>
      <c r="G22" s="793">
        <f>SUM(G16:G21)</f>
        <v>22273.699999999997</v>
      </c>
      <c r="H22" s="793">
        <f>SUM(H16:H21)</f>
        <v>300</v>
      </c>
    </row>
    <row r="23" spans="1:9" s="781" customFormat="1" ht="50.1" customHeight="1" outlineLevel="1" thickTop="1">
      <c r="A23" s="779"/>
      <c r="B23" s="791"/>
      <c r="C23" s="794"/>
      <c r="D23" s="753"/>
      <c r="E23" s="780"/>
      <c r="G23" s="782"/>
      <c r="H23" s="782"/>
      <c r="I23" s="753"/>
    </row>
    <row r="24" spans="1:9" s="753" customFormat="1" ht="50.1" customHeight="1" outlineLevel="1">
      <c r="A24" s="748"/>
      <c r="B24" s="754" t="s">
        <v>68</v>
      </c>
      <c r="C24" s="794"/>
      <c r="E24" s="780"/>
      <c r="F24" s="781"/>
      <c r="G24" s="781"/>
      <c r="H24" s="781"/>
    </row>
    <row r="25" spans="1:9" s="770" customFormat="1" ht="50.1" customHeight="1" outlineLevel="1">
      <c r="A25" s="758">
        <f>A21+1</f>
        <v>10</v>
      </c>
      <c r="B25" s="759" t="s">
        <v>545</v>
      </c>
      <c r="C25" s="771" t="s">
        <v>69</v>
      </c>
      <c r="D25" s="766" t="s">
        <v>11</v>
      </c>
      <c r="E25" s="767">
        <v>2959.24</v>
      </c>
      <c r="F25" s="768">
        <v>250</v>
      </c>
      <c r="G25" s="769">
        <f t="shared" ref="G25:G33" si="1">+E25+F25</f>
        <v>3209.24</v>
      </c>
      <c r="H25" s="769">
        <v>50</v>
      </c>
    </row>
    <row r="26" spans="1:9" s="770" customFormat="1" ht="50.1" customHeight="1" outlineLevel="1">
      <c r="A26" s="758">
        <f>A25+1</f>
        <v>11</v>
      </c>
      <c r="B26" s="759" t="s">
        <v>565</v>
      </c>
      <c r="C26" s="771" t="s">
        <v>566</v>
      </c>
      <c r="D26" s="766" t="s">
        <v>11</v>
      </c>
      <c r="E26" s="795">
        <v>4200</v>
      </c>
      <c r="F26" s="768">
        <v>2800</v>
      </c>
      <c r="G26" s="769">
        <f t="shared" si="1"/>
        <v>7000</v>
      </c>
      <c r="H26" s="769">
        <v>75</v>
      </c>
    </row>
    <row r="27" spans="1:9" s="770" customFormat="1" ht="50.1" customHeight="1" outlineLevel="1">
      <c r="A27" s="758">
        <f t="shared" ref="A27:A33" si="2">A26+1</f>
        <v>12</v>
      </c>
      <c r="B27" s="759" t="s">
        <v>517</v>
      </c>
      <c r="C27" s="771" t="s">
        <v>376</v>
      </c>
      <c r="D27" s="766" t="s">
        <v>10</v>
      </c>
      <c r="E27" s="795">
        <v>13000</v>
      </c>
      <c r="F27" s="768">
        <v>7000</v>
      </c>
      <c r="G27" s="769">
        <f t="shared" si="1"/>
        <v>20000</v>
      </c>
      <c r="H27" s="769">
        <v>150</v>
      </c>
    </row>
    <row r="28" spans="1:9" s="798" customFormat="1" ht="50.1" customHeight="1" outlineLevel="1">
      <c r="A28" s="758">
        <f t="shared" si="2"/>
        <v>13</v>
      </c>
      <c r="B28" s="759" t="s">
        <v>550</v>
      </c>
      <c r="C28" s="760" t="s">
        <v>478</v>
      </c>
      <c r="D28" s="796" t="s">
        <v>11</v>
      </c>
      <c r="E28" s="795">
        <v>3250</v>
      </c>
      <c r="F28" s="795">
        <v>750</v>
      </c>
      <c r="G28" s="797">
        <f t="shared" si="1"/>
        <v>4000</v>
      </c>
      <c r="H28" s="797">
        <v>50</v>
      </c>
    </row>
    <row r="29" spans="1:9" s="770" customFormat="1" ht="50.1" customHeight="1" outlineLevel="1">
      <c r="A29" s="758">
        <f t="shared" si="2"/>
        <v>14</v>
      </c>
      <c r="B29" s="759" t="s">
        <v>516</v>
      </c>
      <c r="C29" s="771" t="s">
        <v>412</v>
      </c>
      <c r="D29" s="766" t="s">
        <v>10</v>
      </c>
      <c r="E29" s="797">
        <v>3500</v>
      </c>
      <c r="F29" s="768">
        <v>500</v>
      </c>
      <c r="G29" s="797">
        <f t="shared" si="1"/>
        <v>4000</v>
      </c>
      <c r="H29" s="797">
        <v>50</v>
      </c>
    </row>
    <row r="30" spans="1:9" s="770" customFormat="1" ht="50.1" customHeight="1" outlineLevel="1">
      <c r="A30" s="758">
        <f t="shared" si="2"/>
        <v>15</v>
      </c>
      <c r="B30" s="759" t="s">
        <v>509</v>
      </c>
      <c r="C30" s="771" t="s">
        <v>70</v>
      </c>
      <c r="D30" s="766" t="s">
        <v>10</v>
      </c>
      <c r="E30" s="795">
        <v>3500</v>
      </c>
      <c r="F30" s="768">
        <f>1000</f>
        <v>1000</v>
      </c>
      <c r="G30" s="769">
        <f t="shared" si="1"/>
        <v>4500</v>
      </c>
      <c r="H30" s="797">
        <v>50</v>
      </c>
    </row>
    <row r="31" spans="1:9" s="770" customFormat="1" ht="50.1" customHeight="1" outlineLevel="1">
      <c r="A31" s="758">
        <f>A30+1</f>
        <v>16</v>
      </c>
      <c r="B31" s="759" t="s">
        <v>558</v>
      </c>
      <c r="C31" s="771" t="s">
        <v>70</v>
      </c>
      <c r="D31" s="766" t="s">
        <v>11</v>
      </c>
      <c r="E31" s="767">
        <v>2959.24</v>
      </c>
      <c r="F31" s="768">
        <v>250</v>
      </c>
      <c r="G31" s="769">
        <f t="shared" si="1"/>
        <v>3209.24</v>
      </c>
      <c r="H31" s="797">
        <v>50</v>
      </c>
    </row>
    <row r="32" spans="1:9" s="798" customFormat="1" ht="50.1" customHeight="1" outlineLevel="1">
      <c r="A32" s="758">
        <f t="shared" si="2"/>
        <v>17</v>
      </c>
      <c r="B32" s="787" t="s">
        <v>500</v>
      </c>
      <c r="C32" s="760" t="s">
        <v>71</v>
      </c>
      <c r="D32" s="796" t="s">
        <v>10</v>
      </c>
      <c r="E32" s="795">
        <v>5055</v>
      </c>
      <c r="F32" s="795">
        <v>3045</v>
      </c>
      <c r="G32" s="797">
        <f t="shared" si="1"/>
        <v>8100</v>
      </c>
      <c r="H32" s="797">
        <v>75</v>
      </c>
    </row>
    <row r="33" spans="1:9" s="783" customFormat="1" ht="50.1" customHeight="1" outlineLevel="1">
      <c r="A33" s="783">
        <f t="shared" si="2"/>
        <v>18</v>
      </c>
      <c r="B33" s="759" t="s">
        <v>630</v>
      </c>
      <c r="C33" s="771" t="s">
        <v>70</v>
      </c>
      <c r="D33" s="771" t="s">
        <v>11</v>
      </c>
      <c r="E33" s="761">
        <v>3250</v>
      </c>
      <c r="F33" s="784">
        <v>750</v>
      </c>
      <c r="G33" s="799">
        <f t="shared" si="1"/>
        <v>4000</v>
      </c>
      <c r="H33" s="797">
        <v>50</v>
      </c>
    </row>
    <row r="34" spans="1:9" s="770" customFormat="1" ht="50.1" customHeight="1" outlineLevel="1" thickBot="1">
      <c r="A34" s="758"/>
      <c r="B34" s="741"/>
      <c r="C34" s="792" t="s">
        <v>72</v>
      </c>
      <c r="D34" s="753"/>
      <c r="E34" s="778">
        <f>SUM(E25:E33)</f>
        <v>41673.479999999996</v>
      </c>
      <c r="F34" s="778">
        <f>SUM(F25:F33)</f>
        <v>16345</v>
      </c>
      <c r="G34" s="778">
        <f>SUM(G25:G33)</f>
        <v>58018.479999999996</v>
      </c>
      <c r="H34" s="778">
        <f>SUM(H25:H33)</f>
        <v>600</v>
      </c>
    </row>
    <row r="35" spans="1:9" s="770" customFormat="1" ht="50.1" customHeight="1" outlineLevel="1" thickTop="1">
      <c r="A35" s="758"/>
      <c r="B35" s="741"/>
      <c r="C35" s="794"/>
      <c r="D35" s="753"/>
      <c r="E35" s="800"/>
      <c r="F35" s="801"/>
      <c r="G35" s="801"/>
      <c r="H35" s="801"/>
    </row>
    <row r="36" spans="1:9" s="804" customFormat="1" ht="50.1" customHeight="1" outlineLevel="1">
      <c r="A36" s="802"/>
      <c r="B36" s="754" t="s">
        <v>73</v>
      </c>
      <c r="C36" s="748"/>
      <c r="D36" s="753"/>
      <c r="E36" s="803"/>
      <c r="I36" s="770"/>
    </row>
    <row r="37" spans="1:9" s="810" customFormat="1" ht="50.1" customHeight="1" outlineLevel="1">
      <c r="A37" s="805">
        <f>A33+1</f>
        <v>19</v>
      </c>
      <c r="B37" s="806" t="s">
        <v>610</v>
      </c>
      <c r="C37" s="807" t="s">
        <v>562</v>
      </c>
      <c r="D37" s="808" t="s">
        <v>10</v>
      </c>
      <c r="E37" s="809">
        <v>5000</v>
      </c>
      <c r="F37" s="789">
        <f>250+750</f>
        <v>1000</v>
      </c>
      <c r="G37" s="789">
        <f>+E37+F37</f>
        <v>6000</v>
      </c>
      <c r="H37" s="789">
        <v>50</v>
      </c>
    </row>
    <row r="38" spans="1:9" s="810" customFormat="1" ht="50.1" customHeight="1" outlineLevel="1">
      <c r="A38" s="805">
        <f>+A37+1</f>
        <v>20</v>
      </c>
      <c r="B38" s="806" t="s">
        <v>663</v>
      </c>
      <c r="C38" s="807" t="s">
        <v>664</v>
      </c>
      <c r="D38" s="808" t="s">
        <v>10</v>
      </c>
      <c r="E38" s="809">
        <v>4000</v>
      </c>
      <c r="F38" s="811">
        <v>500</v>
      </c>
      <c r="G38" s="789">
        <f>+E38+F38</f>
        <v>4500</v>
      </c>
      <c r="H38" s="789">
        <v>50</v>
      </c>
    </row>
    <row r="39" spans="1:9" s="810" customFormat="1" ht="50.1" customHeight="1" outlineLevel="1">
      <c r="A39" s="805">
        <f>+A38+1</f>
        <v>21</v>
      </c>
      <c r="B39" s="806" t="s">
        <v>654</v>
      </c>
      <c r="C39" s="807" t="s">
        <v>659</v>
      </c>
      <c r="D39" s="808" t="s">
        <v>10</v>
      </c>
      <c r="E39" s="767">
        <v>2959.24</v>
      </c>
      <c r="F39" s="789">
        <v>250</v>
      </c>
      <c r="G39" s="789">
        <f>+E39+F39</f>
        <v>3209.24</v>
      </c>
      <c r="H39" s="789">
        <v>50</v>
      </c>
    </row>
    <row r="40" spans="1:9" s="770" customFormat="1" ht="50.1" customHeight="1" outlineLevel="1" thickBot="1">
      <c r="A40" s="758"/>
      <c r="B40" s="741"/>
      <c r="C40" s="792" t="s">
        <v>75</v>
      </c>
      <c r="D40" s="753"/>
      <c r="E40" s="812">
        <f>SUM(E37:E39)</f>
        <v>11959.24</v>
      </c>
      <c r="F40" s="813">
        <f>SUM(F37:F39)</f>
        <v>1750</v>
      </c>
      <c r="G40" s="813">
        <f>SUM(G37:G39)</f>
        <v>13709.24</v>
      </c>
      <c r="H40" s="813">
        <f>SUM(H37:H39)</f>
        <v>150</v>
      </c>
    </row>
    <row r="41" spans="1:9" s="753" customFormat="1" ht="50.1" customHeight="1" outlineLevel="1" thickTop="1">
      <c r="A41" s="748"/>
      <c r="B41" s="741"/>
      <c r="C41" s="792"/>
      <c r="E41" s="803"/>
      <c r="F41" s="804"/>
      <c r="G41" s="814"/>
      <c r="H41" s="814"/>
    </row>
    <row r="42" spans="1:9" s="804" customFormat="1" ht="50.1" customHeight="1" outlineLevel="1">
      <c r="A42" s="802"/>
      <c r="B42" s="754" t="s">
        <v>76</v>
      </c>
      <c r="C42" s="748"/>
      <c r="D42" s="753"/>
      <c r="E42" s="803"/>
      <c r="I42" s="753"/>
    </row>
    <row r="43" spans="1:9" s="798" customFormat="1" ht="50.1" customHeight="1" outlineLevel="1">
      <c r="A43" s="815">
        <v>22</v>
      </c>
      <c r="B43" s="816" t="s">
        <v>497</v>
      </c>
      <c r="C43" s="817" t="s">
        <v>603</v>
      </c>
      <c r="D43" s="796" t="s">
        <v>10</v>
      </c>
      <c r="E43" s="789">
        <f>4250+500</f>
        <v>4750</v>
      </c>
      <c r="F43" s="789">
        <f>250+2000</f>
        <v>2250</v>
      </c>
      <c r="G43" s="797">
        <f>+E43+F43</f>
        <v>7000</v>
      </c>
      <c r="H43" s="797">
        <v>75</v>
      </c>
    </row>
    <row r="44" spans="1:9" s="790" customFormat="1" ht="50.1" customHeight="1" outlineLevel="1">
      <c r="A44" s="763">
        <f>+A43+1</f>
        <v>23</v>
      </c>
      <c r="B44" s="787" t="s">
        <v>594</v>
      </c>
      <c r="C44" s="760" t="s">
        <v>379</v>
      </c>
      <c r="D44" s="788" t="s">
        <v>10</v>
      </c>
      <c r="E44" s="789">
        <f>4250+250</f>
        <v>4500</v>
      </c>
      <c r="F44" s="789">
        <f>250+250</f>
        <v>500</v>
      </c>
      <c r="G44" s="789">
        <f>+E44+F44</f>
        <v>5000</v>
      </c>
      <c r="H44" s="789">
        <v>50</v>
      </c>
    </row>
    <row r="45" spans="1:9" s="790" customFormat="1" ht="50.1" customHeight="1" outlineLevel="1">
      <c r="A45" s="763">
        <f>+A44+1</f>
        <v>24</v>
      </c>
      <c r="B45" s="787" t="s">
        <v>605</v>
      </c>
      <c r="C45" s="760" t="s">
        <v>379</v>
      </c>
      <c r="D45" s="788" t="s">
        <v>11</v>
      </c>
      <c r="E45" s="789">
        <v>4250</v>
      </c>
      <c r="F45" s="789">
        <v>750</v>
      </c>
      <c r="G45" s="789">
        <f>+E45+F45</f>
        <v>5000</v>
      </c>
      <c r="H45" s="789">
        <v>50</v>
      </c>
    </row>
    <row r="46" spans="1:9" s="790" customFormat="1" ht="50.1" customHeight="1" outlineLevel="1">
      <c r="A46" s="763">
        <f>+A45+1</f>
        <v>25</v>
      </c>
      <c r="B46" s="787" t="s">
        <v>507</v>
      </c>
      <c r="C46" s="760" t="s">
        <v>593</v>
      </c>
      <c r="D46" s="788" t="s">
        <v>10</v>
      </c>
      <c r="E46" s="767">
        <v>2959.24</v>
      </c>
      <c r="F46" s="789">
        <v>400</v>
      </c>
      <c r="G46" s="789">
        <f>+E46+F46</f>
        <v>3359.24</v>
      </c>
      <c r="H46" s="789">
        <v>50</v>
      </c>
    </row>
    <row r="47" spans="1:9" s="763" customFormat="1" ht="50.1" customHeight="1" outlineLevel="1">
      <c r="A47" s="763">
        <f>+A46+1</f>
        <v>26</v>
      </c>
      <c r="B47" s="787" t="s">
        <v>619</v>
      </c>
      <c r="C47" s="760" t="s">
        <v>593</v>
      </c>
      <c r="D47" s="760" t="s">
        <v>10</v>
      </c>
      <c r="E47" s="767">
        <v>2959.24</v>
      </c>
      <c r="F47" s="762">
        <v>250</v>
      </c>
      <c r="G47" s="762">
        <f>+E47+F47</f>
        <v>3209.24</v>
      </c>
      <c r="H47" s="762">
        <v>50</v>
      </c>
    </row>
    <row r="48" spans="1:9" s="770" customFormat="1" ht="50.1" customHeight="1" outlineLevel="1" thickBot="1">
      <c r="A48" s="758"/>
      <c r="B48" s="741"/>
      <c r="C48" s="792" t="s">
        <v>78</v>
      </c>
      <c r="D48" s="753"/>
      <c r="E48" s="818">
        <f>SUM(E43:E47)</f>
        <v>19418.479999999996</v>
      </c>
      <c r="F48" s="818">
        <f>SUM(F43:F47)</f>
        <v>4150</v>
      </c>
      <c r="G48" s="818">
        <f>SUM(G43:G47)</f>
        <v>23568.479999999996</v>
      </c>
      <c r="H48" s="818">
        <f>SUM(H43:H47)</f>
        <v>275</v>
      </c>
    </row>
    <row r="49" spans="1:9" s="804" customFormat="1" ht="50.1" customHeight="1" outlineLevel="1" thickTop="1">
      <c r="A49" s="802"/>
      <c r="B49" s="741"/>
      <c r="C49" s="792"/>
      <c r="D49" s="753"/>
      <c r="E49" s="803"/>
      <c r="I49" s="770"/>
    </row>
    <row r="50" spans="1:9" s="804" customFormat="1" ht="50.1" customHeight="1" outlineLevel="1">
      <c r="A50" s="802"/>
      <c r="B50" s="754" t="s">
        <v>79</v>
      </c>
      <c r="C50" s="777"/>
      <c r="D50" s="819"/>
      <c r="E50" s="803"/>
      <c r="I50" s="819"/>
    </row>
    <row r="51" spans="1:9" s="819" customFormat="1" ht="50.1" customHeight="1" outlineLevel="1">
      <c r="A51" s="758">
        <f>A47+1</f>
        <v>27</v>
      </c>
      <c r="B51" s="764" t="s">
        <v>501</v>
      </c>
      <c r="C51" s="765" t="s">
        <v>80</v>
      </c>
      <c r="D51" s="766" t="s">
        <v>10</v>
      </c>
      <c r="E51" s="797">
        <v>5775</v>
      </c>
      <c r="F51" s="769">
        <v>5250</v>
      </c>
      <c r="G51" s="769">
        <f>+E51+F51</f>
        <v>11025</v>
      </c>
      <c r="H51" s="769">
        <v>100</v>
      </c>
    </row>
    <row r="52" spans="1:9" s="819" customFormat="1" ht="50.1" customHeight="1" outlineLevel="1">
      <c r="A52" s="748">
        <f>+A51+1</f>
        <v>28</v>
      </c>
      <c r="B52" s="764" t="s">
        <v>518</v>
      </c>
      <c r="C52" s="765" t="s">
        <v>615</v>
      </c>
      <c r="D52" s="766" t="s">
        <v>10</v>
      </c>
      <c r="E52" s="797">
        <v>5250</v>
      </c>
      <c r="F52" s="797">
        <f>1900+715</f>
        <v>2615</v>
      </c>
      <c r="G52" s="797">
        <f>+E52+F52</f>
        <v>7865</v>
      </c>
      <c r="H52" s="797">
        <v>75</v>
      </c>
    </row>
    <row r="53" spans="1:9" s="820" customFormat="1" ht="50.1" customHeight="1" outlineLevel="1">
      <c r="A53" s="748">
        <v>29</v>
      </c>
      <c r="B53" s="759" t="s">
        <v>535</v>
      </c>
      <c r="C53" s="771" t="s">
        <v>435</v>
      </c>
      <c r="D53" s="771" t="s">
        <v>10</v>
      </c>
      <c r="E53" s="767">
        <v>2959.24</v>
      </c>
      <c r="F53" s="762">
        <v>250</v>
      </c>
      <c r="G53" s="762">
        <f>+E53+F53</f>
        <v>3209.24</v>
      </c>
      <c r="H53" s="762">
        <v>50</v>
      </c>
    </row>
    <row r="54" spans="1:9" s="819" customFormat="1" ht="50.1" customHeight="1" outlineLevel="1" thickBot="1">
      <c r="A54" s="748"/>
      <c r="B54" s="776"/>
      <c r="C54" s="777" t="s">
        <v>431</v>
      </c>
      <c r="D54" s="753"/>
      <c r="E54" s="821">
        <f>+SUM(E51:E53)</f>
        <v>13984.24</v>
      </c>
      <c r="F54" s="822">
        <f>+SUM(F51:F53)</f>
        <v>8115</v>
      </c>
      <c r="G54" s="822">
        <f>+SUM(G51:G53)</f>
        <v>22099.239999999998</v>
      </c>
      <c r="H54" s="822">
        <f>+SUM(H51:H53)</f>
        <v>225</v>
      </c>
    </row>
    <row r="55" spans="1:9" s="753" customFormat="1" ht="50.1" customHeight="1" outlineLevel="1" thickTop="1">
      <c r="A55" s="748"/>
      <c r="B55" s="741"/>
      <c r="C55" s="748"/>
      <c r="E55" s="823"/>
      <c r="F55" s="814"/>
      <c r="G55" s="814"/>
      <c r="H55" s="814"/>
    </row>
    <row r="56" spans="1:9" s="804" customFormat="1" ht="50.1" customHeight="1" outlineLevel="1">
      <c r="A56" s="802"/>
      <c r="B56" s="754" t="s">
        <v>81</v>
      </c>
      <c r="C56" s="777"/>
      <c r="D56" s="819"/>
      <c r="E56" s="803"/>
      <c r="I56" s="753"/>
    </row>
    <row r="57" spans="1:9" s="770" customFormat="1" ht="50.1" customHeight="1" outlineLevel="1">
      <c r="A57" s="758">
        <f>A53+1</f>
        <v>30</v>
      </c>
      <c r="B57" s="764" t="s">
        <v>539</v>
      </c>
      <c r="C57" s="765" t="s">
        <v>82</v>
      </c>
      <c r="D57" s="766" t="s">
        <v>11</v>
      </c>
      <c r="E57" s="797">
        <v>7025</v>
      </c>
      <c r="F57" s="769">
        <v>4000</v>
      </c>
      <c r="G57" s="769">
        <f>+E57+F57</f>
        <v>11025</v>
      </c>
      <c r="H57" s="769">
        <v>100</v>
      </c>
    </row>
    <row r="58" spans="1:9" s="770" customFormat="1" ht="50.1" customHeight="1" outlineLevel="1">
      <c r="A58" s="758">
        <f>+A57+1</f>
        <v>31</v>
      </c>
      <c r="B58" s="764" t="s">
        <v>651</v>
      </c>
      <c r="C58" s="765" t="s">
        <v>563</v>
      </c>
      <c r="D58" s="766" t="s">
        <v>10</v>
      </c>
      <c r="E58" s="797">
        <v>3500</v>
      </c>
      <c r="F58" s="769">
        <v>825</v>
      </c>
      <c r="G58" s="769">
        <f>+E58+F58</f>
        <v>4325</v>
      </c>
      <c r="H58" s="769">
        <v>50</v>
      </c>
    </row>
    <row r="59" spans="1:9" s="770" customFormat="1" ht="50.1" customHeight="1" outlineLevel="1">
      <c r="A59" s="758">
        <f>+A58+1</f>
        <v>32</v>
      </c>
      <c r="B59" s="764" t="s">
        <v>670</v>
      </c>
      <c r="C59" s="765" t="s">
        <v>671</v>
      </c>
      <c r="D59" s="766" t="s">
        <v>10</v>
      </c>
      <c r="E59" s="797">
        <v>3750</v>
      </c>
      <c r="F59" s="769">
        <v>250</v>
      </c>
      <c r="G59" s="769">
        <f>+E59+F59</f>
        <v>4000</v>
      </c>
      <c r="H59" s="769">
        <v>50</v>
      </c>
    </row>
    <row r="60" spans="1:9" s="819" customFormat="1" ht="50.1" customHeight="1" outlineLevel="1" thickBot="1">
      <c r="A60" s="748"/>
      <c r="B60" s="741"/>
      <c r="C60" s="792" t="s">
        <v>83</v>
      </c>
      <c r="E60" s="824">
        <f>SUM(E57:E59)</f>
        <v>14275</v>
      </c>
      <c r="F60" s="824">
        <f>SUM(F57:F59)</f>
        <v>5075</v>
      </c>
      <c r="G60" s="824">
        <f>SUM(G57:G59)</f>
        <v>19350</v>
      </c>
      <c r="H60" s="824">
        <f>SUM(H57:H59)</f>
        <v>200</v>
      </c>
    </row>
    <row r="61" spans="1:9" s="819" customFormat="1" ht="50.1" customHeight="1" outlineLevel="1" thickTop="1">
      <c r="A61" s="748"/>
      <c r="B61" s="741"/>
      <c r="C61" s="792" t="s">
        <v>84</v>
      </c>
      <c r="E61" s="825">
        <f>SUM(E13+E22+E34+E40+E48+E54+E60)</f>
        <v>129328.37999999999</v>
      </c>
      <c r="F61" s="826">
        <f>SUM(F13+F22+F34+F40+F48+F54+F60)</f>
        <v>42400</v>
      </c>
      <c r="G61" s="826">
        <f>SUM(G13+G22+G34+G40+G48+G54+G60)</f>
        <v>171728.37999999998</v>
      </c>
      <c r="H61" s="826">
        <f>SUM(H13+H22+H34+H40+H48+H54+H60)</f>
        <v>1900</v>
      </c>
    </row>
    <row r="62" spans="1:9" s="753" customFormat="1" ht="50.1" customHeight="1" outlineLevel="1">
      <c r="A62" s="748"/>
      <c r="B62" s="741"/>
      <c r="C62" s="792"/>
      <c r="E62" s="823"/>
      <c r="F62" s="814"/>
      <c r="G62" s="814"/>
      <c r="H62" s="814"/>
    </row>
    <row r="63" spans="1:9" s="782" customFormat="1" ht="50.1" customHeight="1" outlineLevel="1">
      <c r="A63" s="802"/>
      <c r="B63" s="754" t="s">
        <v>570</v>
      </c>
      <c r="C63" s="748"/>
      <c r="D63" s="753"/>
      <c r="E63" s="827"/>
      <c r="I63" s="770"/>
    </row>
    <row r="64" spans="1:9" s="834" customFormat="1" ht="50.1" customHeight="1" outlineLevel="1">
      <c r="A64" s="828">
        <v>33</v>
      </c>
      <c r="B64" s="829" t="s">
        <v>638</v>
      </c>
      <c r="C64" s="830" t="s">
        <v>377</v>
      </c>
      <c r="D64" s="831" t="s">
        <v>11</v>
      </c>
      <c r="E64" s="832">
        <v>3450</v>
      </c>
      <c r="F64" s="832">
        <v>550</v>
      </c>
      <c r="G64" s="833">
        <f>+E64+F64</f>
        <v>4000</v>
      </c>
      <c r="H64" s="833">
        <v>50</v>
      </c>
    </row>
    <row r="65" spans="1:9" s="770" customFormat="1" ht="50.1" customHeight="1" outlineLevel="1">
      <c r="A65" s="758">
        <f>A64+1</f>
        <v>34</v>
      </c>
      <c r="B65" s="759" t="s">
        <v>527</v>
      </c>
      <c r="C65" s="765" t="s">
        <v>87</v>
      </c>
      <c r="D65" s="766" t="s">
        <v>10</v>
      </c>
      <c r="E65" s="795">
        <v>4550</v>
      </c>
      <c r="F65" s="795">
        <v>950</v>
      </c>
      <c r="G65" s="769">
        <f>+E65+F65</f>
        <v>5500</v>
      </c>
      <c r="H65" s="769">
        <v>50</v>
      </c>
    </row>
    <row r="66" spans="1:9" s="786" customFormat="1" ht="50.1" customHeight="1" outlineLevel="1">
      <c r="A66" s="783">
        <f>A65+1</f>
        <v>35</v>
      </c>
      <c r="B66" s="759" t="s">
        <v>547</v>
      </c>
      <c r="C66" s="771" t="s">
        <v>87</v>
      </c>
      <c r="D66" s="771" t="s">
        <v>11</v>
      </c>
      <c r="E66" s="835">
        <v>4400</v>
      </c>
      <c r="F66" s="785">
        <v>1100</v>
      </c>
      <c r="G66" s="769">
        <f>+E66+F66</f>
        <v>5500</v>
      </c>
      <c r="H66" s="769">
        <v>50</v>
      </c>
    </row>
    <row r="67" spans="1:9" s="770" customFormat="1" ht="50.1" customHeight="1" outlineLevel="1">
      <c r="A67" s="758">
        <f>A66+1</f>
        <v>36</v>
      </c>
      <c r="B67" s="764" t="s">
        <v>546</v>
      </c>
      <c r="C67" s="765" t="s">
        <v>559</v>
      </c>
      <c r="D67" s="766" t="s">
        <v>11</v>
      </c>
      <c r="E67" s="797">
        <v>10000</v>
      </c>
      <c r="F67" s="769">
        <v>3000</v>
      </c>
      <c r="G67" s="769">
        <f>+E67+F67</f>
        <v>13000</v>
      </c>
      <c r="H67" s="769">
        <v>150</v>
      </c>
    </row>
    <row r="68" spans="1:9" s="836" customFormat="1" ht="50.1" customHeight="1" outlineLevel="1" thickBot="1">
      <c r="A68" s="758"/>
      <c r="B68" s="741"/>
      <c r="C68" s="792" t="s">
        <v>88</v>
      </c>
      <c r="D68" s="777"/>
      <c r="E68" s="812">
        <f>SUM(E64:E67)</f>
        <v>22400</v>
      </c>
      <c r="F68" s="813">
        <f>SUM(F64:F67)</f>
        <v>5600</v>
      </c>
      <c r="G68" s="813">
        <f>SUM(G64:G67)</f>
        <v>28000</v>
      </c>
      <c r="H68" s="813">
        <f>SUM(H64:H67)</f>
        <v>300</v>
      </c>
    </row>
    <row r="69" spans="1:9" s="836" customFormat="1" ht="50.1" customHeight="1" outlineLevel="1" thickTop="1">
      <c r="A69" s="758"/>
      <c r="B69" s="741" t="s">
        <v>85</v>
      </c>
      <c r="C69" s="792"/>
      <c r="D69" s="777"/>
      <c r="E69" s="837"/>
      <c r="F69" s="838"/>
      <c r="G69" s="838"/>
      <c r="H69" s="838"/>
    </row>
    <row r="70" spans="1:9" s="782" customFormat="1" ht="50.1" customHeight="1" outlineLevel="1">
      <c r="A70" s="802"/>
      <c r="B70" s="754" t="s">
        <v>89</v>
      </c>
      <c r="C70" s="748"/>
      <c r="D70" s="753"/>
      <c r="E70" s="827"/>
      <c r="I70" s="753"/>
    </row>
    <row r="71" spans="1:9" s="782" customFormat="1" ht="50.1" customHeight="1" outlineLevel="1">
      <c r="A71" s="802"/>
      <c r="B71" s="729" t="s">
        <v>90</v>
      </c>
      <c r="C71" s="748"/>
      <c r="D71" s="753"/>
      <c r="E71" s="827"/>
      <c r="I71" s="753"/>
    </row>
    <row r="72" spans="1:9" s="810" customFormat="1" ht="50.1" customHeight="1" outlineLevel="1">
      <c r="A72" s="805">
        <f>+A67+1</f>
        <v>37</v>
      </c>
      <c r="B72" s="839" t="s">
        <v>523</v>
      </c>
      <c r="C72" s="807" t="s">
        <v>91</v>
      </c>
      <c r="D72" s="808" t="s">
        <v>10</v>
      </c>
      <c r="E72" s="789">
        <f>13000</f>
        <v>13000</v>
      </c>
      <c r="F72" s="789">
        <v>9000</v>
      </c>
      <c r="G72" s="809">
        <f>+E72+F72</f>
        <v>22000</v>
      </c>
      <c r="H72" s="809">
        <v>150</v>
      </c>
    </row>
    <row r="73" spans="1:9" s="790" customFormat="1" ht="50.1" customHeight="1" outlineLevel="1">
      <c r="A73" s="805">
        <f>+A72+1</f>
        <v>38</v>
      </c>
      <c r="B73" s="816" t="s">
        <v>524</v>
      </c>
      <c r="C73" s="807" t="s">
        <v>665</v>
      </c>
      <c r="D73" s="788" t="s">
        <v>10</v>
      </c>
      <c r="E73" s="767">
        <v>2959.24</v>
      </c>
      <c r="F73" s="789">
        <v>250</v>
      </c>
      <c r="G73" s="789">
        <f>+E73+F73</f>
        <v>3209.24</v>
      </c>
      <c r="H73" s="789">
        <v>50</v>
      </c>
    </row>
    <row r="74" spans="1:9" s="790" customFormat="1" ht="50.1" customHeight="1" outlineLevel="1">
      <c r="A74" s="805">
        <v>39</v>
      </c>
      <c r="B74" s="816" t="s">
        <v>707</v>
      </c>
      <c r="C74" s="807" t="s">
        <v>665</v>
      </c>
      <c r="D74" s="788" t="s">
        <v>11</v>
      </c>
      <c r="E74" s="767">
        <v>3450</v>
      </c>
      <c r="F74" s="789">
        <v>450</v>
      </c>
      <c r="G74" s="789">
        <v>3900</v>
      </c>
      <c r="H74" s="789">
        <v>50</v>
      </c>
    </row>
    <row r="75" spans="1:9" s="790" customFormat="1" ht="50.1" customHeight="1" outlineLevel="1">
      <c r="A75" s="805">
        <v>40</v>
      </c>
      <c r="B75" s="816" t="s">
        <v>708</v>
      </c>
      <c r="C75" s="807" t="s">
        <v>665</v>
      </c>
      <c r="D75" s="788" t="s">
        <v>11</v>
      </c>
      <c r="E75" s="767">
        <v>3450</v>
      </c>
      <c r="F75" s="789">
        <v>450</v>
      </c>
      <c r="G75" s="789">
        <v>3900</v>
      </c>
      <c r="H75" s="789">
        <v>50</v>
      </c>
    </row>
    <row r="76" spans="1:9" s="798" customFormat="1" ht="50.1" customHeight="1" outlineLevel="1">
      <c r="A76" s="805">
        <v>41</v>
      </c>
      <c r="B76" s="816" t="s">
        <v>569</v>
      </c>
      <c r="C76" s="817" t="s">
        <v>499</v>
      </c>
      <c r="D76" s="796" t="s">
        <v>10</v>
      </c>
      <c r="E76" s="797">
        <v>5000</v>
      </c>
      <c r="F76" s="797">
        <v>1500</v>
      </c>
      <c r="G76" s="797">
        <f>+E76+F76</f>
        <v>6500</v>
      </c>
      <c r="H76" s="797">
        <v>75</v>
      </c>
    </row>
    <row r="77" spans="1:9" s="840" customFormat="1" ht="50.1" customHeight="1" outlineLevel="1">
      <c r="A77" s="805">
        <f>+A76+1</f>
        <v>42</v>
      </c>
      <c r="B77" s="816" t="s">
        <v>530</v>
      </c>
      <c r="C77" s="817" t="s">
        <v>454</v>
      </c>
      <c r="D77" s="796" t="s">
        <v>10</v>
      </c>
      <c r="E77" s="797">
        <v>3250</v>
      </c>
      <c r="F77" s="797">
        <v>750</v>
      </c>
      <c r="G77" s="797">
        <f>+E77+F77</f>
        <v>4000</v>
      </c>
      <c r="H77" s="797">
        <v>50</v>
      </c>
    </row>
    <row r="78" spans="1:9" s="843" customFormat="1" ht="50.1" customHeight="1" outlineLevel="1" thickBot="1">
      <c r="A78" s="815"/>
      <c r="B78" s="741"/>
      <c r="C78" s="841"/>
      <c r="D78" s="841"/>
      <c r="E78" s="842">
        <f>SUM(E72:E77)</f>
        <v>31109.239999999998</v>
      </c>
      <c r="F78" s="842">
        <f>SUM(F72:F77)</f>
        <v>12400</v>
      </c>
      <c r="G78" s="842">
        <f>SUM(G72:G77)</f>
        <v>43509.24</v>
      </c>
      <c r="H78" s="842">
        <f>SUM(H72:H77)</f>
        <v>425</v>
      </c>
    </row>
    <row r="79" spans="1:9" s="798" customFormat="1" ht="50.1" customHeight="1" outlineLevel="1" thickTop="1">
      <c r="A79" s="815"/>
      <c r="B79" s="844" t="s">
        <v>11</v>
      </c>
      <c r="C79" s="815"/>
      <c r="E79" s="845"/>
      <c r="F79" s="845"/>
      <c r="G79" s="845"/>
      <c r="H79" s="845"/>
    </row>
    <row r="80" spans="1:9" s="798" customFormat="1" ht="50.1" customHeight="1" outlineLevel="1">
      <c r="A80" s="815">
        <f>+A77+1</f>
        <v>43</v>
      </c>
      <c r="B80" s="787" t="s">
        <v>555</v>
      </c>
      <c r="C80" s="817" t="s">
        <v>596</v>
      </c>
      <c r="D80" s="817" t="s">
        <v>11</v>
      </c>
      <c r="E80" s="767">
        <v>2959.24</v>
      </c>
      <c r="F80" s="797">
        <v>250</v>
      </c>
      <c r="G80" s="846">
        <f t="shared" ref="G80:G86" si="3">+E80+F80</f>
        <v>3209.24</v>
      </c>
      <c r="H80" s="846">
        <v>50</v>
      </c>
    </row>
    <row r="81" spans="1:8" s="790" customFormat="1" ht="50.1" customHeight="1" outlineLevel="1">
      <c r="A81" s="763">
        <f>+A80+1</f>
        <v>44</v>
      </c>
      <c r="B81" s="787" t="s">
        <v>556</v>
      </c>
      <c r="C81" s="760" t="s">
        <v>596</v>
      </c>
      <c r="D81" s="760" t="s">
        <v>11</v>
      </c>
      <c r="E81" s="767">
        <v>2959.24</v>
      </c>
      <c r="F81" s="789">
        <v>250</v>
      </c>
      <c r="G81" s="847">
        <f t="shared" si="3"/>
        <v>3209.24</v>
      </c>
      <c r="H81" s="846">
        <v>50</v>
      </c>
    </row>
    <row r="82" spans="1:8" s="798" customFormat="1" ht="50.1" customHeight="1" outlineLevel="1">
      <c r="A82" s="763">
        <f t="shared" ref="A82:A96" si="4">+A81+1</f>
        <v>45</v>
      </c>
      <c r="B82" s="787" t="s">
        <v>548</v>
      </c>
      <c r="C82" s="817" t="s">
        <v>598</v>
      </c>
      <c r="D82" s="817" t="s">
        <v>11</v>
      </c>
      <c r="E82" s="767">
        <v>2959.24</v>
      </c>
      <c r="F82" s="797">
        <v>250</v>
      </c>
      <c r="G82" s="846">
        <f t="shared" si="3"/>
        <v>3209.24</v>
      </c>
      <c r="H82" s="846">
        <v>50</v>
      </c>
    </row>
    <row r="83" spans="1:8" s="790" customFormat="1" ht="50.1" customHeight="1" outlineLevel="1">
      <c r="A83" s="763">
        <f t="shared" si="4"/>
        <v>46</v>
      </c>
      <c r="B83" s="787" t="s">
        <v>582</v>
      </c>
      <c r="C83" s="817" t="s">
        <v>598</v>
      </c>
      <c r="D83" s="760" t="s">
        <v>11</v>
      </c>
      <c r="E83" s="767">
        <v>2959.24</v>
      </c>
      <c r="F83" s="789">
        <f>250</f>
        <v>250</v>
      </c>
      <c r="G83" s="847">
        <f t="shared" si="3"/>
        <v>3209.24</v>
      </c>
      <c r="H83" s="846">
        <v>50</v>
      </c>
    </row>
    <row r="84" spans="1:8" s="790" customFormat="1" ht="50.1" customHeight="1" outlineLevel="1">
      <c r="A84" s="763">
        <f t="shared" si="4"/>
        <v>47</v>
      </c>
      <c r="B84" s="787" t="s">
        <v>513</v>
      </c>
      <c r="C84" s="760" t="s">
        <v>599</v>
      </c>
      <c r="D84" s="760" t="s">
        <v>11</v>
      </c>
      <c r="E84" s="767">
        <v>2959.24</v>
      </c>
      <c r="F84" s="789">
        <f>250</f>
        <v>250</v>
      </c>
      <c r="G84" s="847">
        <f t="shared" si="3"/>
        <v>3209.24</v>
      </c>
      <c r="H84" s="846">
        <v>50</v>
      </c>
    </row>
    <row r="85" spans="1:8" s="790" customFormat="1" ht="50.1" customHeight="1" outlineLevel="1">
      <c r="A85" s="763">
        <f t="shared" si="4"/>
        <v>48</v>
      </c>
      <c r="B85" s="787" t="s">
        <v>588</v>
      </c>
      <c r="C85" s="760" t="s">
        <v>599</v>
      </c>
      <c r="D85" s="760" t="s">
        <v>11</v>
      </c>
      <c r="E85" s="767">
        <v>2959.24</v>
      </c>
      <c r="F85" s="789">
        <v>250</v>
      </c>
      <c r="G85" s="847">
        <f t="shared" si="3"/>
        <v>3209.24</v>
      </c>
      <c r="H85" s="846">
        <v>50</v>
      </c>
    </row>
    <row r="86" spans="1:8" s="790" customFormat="1" ht="50.1" customHeight="1" outlineLevel="1">
      <c r="A86" s="763">
        <f t="shared" si="4"/>
        <v>49</v>
      </c>
      <c r="B86" s="787" t="s">
        <v>590</v>
      </c>
      <c r="C86" s="760" t="s">
        <v>599</v>
      </c>
      <c r="D86" s="760" t="s">
        <v>11</v>
      </c>
      <c r="E86" s="767">
        <v>2959.24</v>
      </c>
      <c r="F86" s="762">
        <v>250</v>
      </c>
      <c r="G86" s="848">
        <f t="shared" si="3"/>
        <v>3209.24</v>
      </c>
      <c r="H86" s="846">
        <v>50</v>
      </c>
    </row>
    <row r="87" spans="1:8" s="790" customFormat="1" ht="50.1" customHeight="1" outlineLevel="1">
      <c r="A87" s="763">
        <f t="shared" si="4"/>
        <v>50</v>
      </c>
      <c r="B87" s="787" t="s">
        <v>589</v>
      </c>
      <c r="C87" s="760" t="s">
        <v>568</v>
      </c>
      <c r="D87" s="760" t="s">
        <v>11</v>
      </c>
      <c r="E87" s="767">
        <v>2959.24</v>
      </c>
      <c r="F87" s="789">
        <v>250</v>
      </c>
      <c r="G87" s="848">
        <f>+E87+F87</f>
        <v>3209.24</v>
      </c>
      <c r="H87" s="846">
        <v>50</v>
      </c>
    </row>
    <row r="88" spans="1:8" s="790" customFormat="1" ht="50.1" customHeight="1" outlineLevel="1">
      <c r="A88" s="763">
        <f t="shared" si="4"/>
        <v>51</v>
      </c>
      <c r="B88" s="787" t="s">
        <v>623</v>
      </c>
      <c r="C88" s="760" t="s">
        <v>624</v>
      </c>
      <c r="D88" s="760" t="s">
        <v>11</v>
      </c>
      <c r="E88" s="767">
        <v>2959.24</v>
      </c>
      <c r="F88" s="789">
        <v>250</v>
      </c>
      <c r="G88" s="847">
        <f>+E88+F88</f>
        <v>3209.24</v>
      </c>
      <c r="H88" s="846">
        <v>50</v>
      </c>
    </row>
    <row r="89" spans="1:8" s="790" customFormat="1" ht="50.1" customHeight="1" outlineLevel="1">
      <c r="A89" s="763">
        <f t="shared" si="4"/>
        <v>52</v>
      </c>
      <c r="B89" s="787" t="s">
        <v>625</v>
      </c>
      <c r="C89" s="760" t="s">
        <v>94</v>
      </c>
      <c r="D89" s="760" t="s">
        <v>11</v>
      </c>
      <c r="E89" s="767">
        <v>2959.24</v>
      </c>
      <c r="F89" s="789">
        <v>250</v>
      </c>
      <c r="G89" s="847">
        <f>+E89+F89</f>
        <v>3209.24</v>
      </c>
      <c r="H89" s="846">
        <v>50</v>
      </c>
    </row>
    <row r="90" spans="1:8" s="763" customFormat="1" ht="50.1" customHeight="1" outlineLevel="1">
      <c r="A90" s="763">
        <f t="shared" si="4"/>
        <v>53</v>
      </c>
      <c r="B90" s="787" t="s">
        <v>635</v>
      </c>
      <c r="C90" s="760" t="s">
        <v>93</v>
      </c>
      <c r="D90" s="760" t="s">
        <v>11</v>
      </c>
      <c r="E90" s="767">
        <v>2959.24</v>
      </c>
      <c r="F90" s="762">
        <v>250</v>
      </c>
      <c r="G90" s="848">
        <f t="shared" ref="G90:G96" si="5">+E90+F90</f>
        <v>3209.24</v>
      </c>
      <c r="H90" s="846">
        <v>50</v>
      </c>
    </row>
    <row r="91" spans="1:8" s="763" customFormat="1" ht="50.1" customHeight="1" outlineLevel="1">
      <c r="A91" s="763">
        <f t="shared" si="4"/>
        <v>54</v>
      </c>
      <c r="B91" s="787" t="s">
        <v>639</v>
      </c>
      <c r="C91" s="760" t="s">
        <v>93</v>
      </c>
      <c r="D91" s="760" t="s">
        <v>11</v>
      </c>
      <c r="E91" s="767">
        <v>2959.24</v>
      </c>
      <c r="F91" s="762">
        <v>250</v>
      </c>
      <c r="G91" s="848">
        <f t="shared" si="5"/>
        <v>3209.24</v>
      </c>
      <c r="H91" s="846">
        <v>50</v>
      </c>
    </row>
    <row r="92" spans="1:8" s="763" customFormat="1" ht="50.1" customHeight="1" outlineLevel="1">
      <c r="A92" s="763">
        <f t="shared" si="4"/>
        <v>55</v>
      </c>
      <c r="B92" s="787" t="s">
        <v>640</v>
      </c>
      <c r="C92" s="760" t="s">
        <v>93</v>
      </c>
      <c r="D92" s="760" t="s">
        <v>11</v>
      </c>
      <c r="E92" s="767">
        <v>2959.24</v>
      </c>
      <c r="F92" s="762">
        <v>250</v>
      </c>
      <c r="G92" s="848">
        <f t="shared" si="5"/>
        <v>3209.24</v>
      </c>
      <c r="H92" s="846">
        <v>50</v>
      </c>
    </row>
    <row r="93" spans="1:8" s="763" customFormat="1" ht="50.1" customHeight="1" outlineLevel="1">
      <c r="A93" s="763">
        <f t="shared" si="4"/>
        <v>56</v>
      </c>
      <c r="B93" s="787" t="s">
        <v>646</v>
      </c>
      <c r="C93" s="760" t="s">
        <v>93</v>
      </c>
      <c r="D93" s="760" t="s">
        <v>11</v>
      </c>
      <c r="E93" s="767">
        <v>2959.24</v>
      </c>
      <c r="F93" s="762">
        <v>250</v>
      </c>
      <c r="G93" s="848">
        <f t="shared" si="5"/>
        <v>3209.24</v>
      </c>
      <c r="H93" s="846">
        <v>50</v>
      </c>
    </row>
    <row r="94" spans="1:8" s="763" customFormat="1" ht="50.1" customHeight="1" outlineLevel="1">
      <c r="A94" s="763">
        <f t="shared" si="4"/>
        <v>57</v>
      </c>
      <c r="B94" s="787" t="s">
        <v>647</v>
      </c>
      <c r="C94" s="760" t="s">
        <v>93</v>
      </c>
      <c r="D94" s="760" t="s">
        <v>11</v>
      </c>
      <c r="E94" s="767">
        <v>2959.24</v>
      </c>
      <c r="F94" s="762">
        <v>250</v>
      </c>
      <c r="G94" s="848">
        <f t="shared" si="5"/>
        <v>3209.24</v>
      </c>
      <c r="H94" s="846">
        <v>50</v>
      </c>
    </row>
    <row r="95" spans="1:8" s="763" customFormat="1" ht="50.1" customHeight="1" outlineLevel="1">
      <c r="A95" s="763">
        <f t="shared" si="4"/>
        <v>58</v>
      </c>
      <c r="B95" s="787" t="s">
        <v>648</v>
      </c>
      <c r="C95" s="760" t="s">
        <v>93</v>
      </c>
      <c r="D95" s="760" t="s">
        <v>11</v>
      </c>
      <c r="E95" s="767">
        <v>2959.24</v>
      </c>
      <c r="F95" s="762">
        <v>250</v>
      </c>
      <c r="G95" s="848">
        <f t="shared" si="5"/>
        <v>3209.24</v>
      </c>
      <c r="H95" s="846">
        <v>50</v>
      </c>
    </row>
    <row r="96" spans="1:8" s="763" customFormat="1" ht="50.1" customHeight="1" outlineLevel="1">
      <c r="A96" s="763">
        <f t="shared" si="4"/>
        <v>59</v>
      </c>
      <c r="B96" s="787" t="s">
        <v>636</v>
      </c>
      <c r="C96" s="760" t="s">
        <v>606</v>
      </c>
      <c r="D96" s="760" t="s">
        <v>11</v>
      </c>
      <c r="E96" s="767">
        <v>2959.24</v>
      </c>
      <c r="F96" s="762">
        <v>250</v>
      </c>
      <c r="G96" s="848">
        <f t="shared" si="5"/>
        <v>3209.24</v>
      </c>
      <c r="H96" s="846">
        <v>50</v>
      </c>
    </row>
    <row r="97" spans="1:8" s="840" customFormat="1" ht="50.1" customHeight="1" outlineLevel="1" thickBot="1">
      <c r="A97" s="849"/>
      <c r="B97" s="850"/>
      <c r="C97" s="841" t="s">
        <v>96</v>
      </c>
      <c r="D97" s="851"/>
      <c r="E97" s="842">
        <f>SUM(E80:E96)</f>
        <v>50307.07999999998</v>
      </c>
      <c r="F97" s="842">
        <f>SUM(F80:F96)</f>
        <v>4250</v>
      </c>
      <c r="G97" s="842">
        <f>SUM(G80:G96)</f>
        <v>54557.07999999998</v>
      </c>
      <c r="H97" s="842">
        <f>SUM(H80:H96)</f>
        <v>850</v>
      </c>
    </row>
    <row r="98" spans="1:8" s="753" customFormat="1" ht="50.1" customHeight="1" outlineLevel="1" thickTop="1">
      <c r="A98" s="748"/>
      <c r="B98" s="776"/>
      <c r="C98" s="777"/>
      <c r="D98" s="794"/>
      <c r="E98" s="780"/>
      <c r="F98" s="781"/>
      <c r="G98" s="781"/>
      <c r="H98" s="781"/>
    </row>
    <row r="99" spans="1:8" s="753" customFormat="1" ht="50.1" customHeight="1" outlineLevel="1">
      <c r="A99" s="748"/>
      <c r="B99" s="754" t="s">
        <v>383</v>
      </c>
      <c r="C99" s="748"/>
      <c r="D99" s="794"/>
      <c r="E99" s="827"/>
      <c r="F99" s="782"/>
      <c r="G99" s="782"/>
      <c r="H99" s="782"/>
    </row>
    <row r="100" spans="1:8" s="798" customFormat="1" ht="50.1" customHeight="1" outlineLevel="1">
      <c r="A100" s="815">
        <f>A96+1</f>
        <v>60</v>
      </c>
      <c r="B100" s="787" t="s">
        <v>531</v>
      </c>
      <c r="C100" s="817" t="s">
        <v>94</v>
      </c>
      <c r="D100" s="796" t="s">
        <v>10</v>
      </c>
      <c r="E100" s="767">
        <v>2959.24</v>
      </c>
      <c r="F100" s="797">
        <v>250</v>
      </c>
      <c r="G100" s="846">
        <f t="shared" ref="G100:G107" si="6">+E100+F100</f>
        <v>3209.24</v>
      </c>
      <c r="H100" s="846">
        <v>50</v>
      </c>
    </row>
    <row r="101" spans="1:8" s="798" customFormat="1" ht="50.1" customHeight="1" outlineLevel="1">
      <c r="A101" s="815">
        <f t="shared" ref="A101:A111" si="7">A100+1</f>
        <v>61</v>
      </c>
      <c r="B101" s="787" t="s">
        <v>532</v>
      </c>
      <c r="C101" s="817" t="s">
        <v>94</v>
      </c>
      <c r="D101" s="796" t="s">
        <v>10</v>
      </c>
      <c r="E101" s="767">
        <v>2959.24</v>
      </c>
      <c r="F101" s="797">
        <v>250</v>
      </c>
      <c r="G101" s="846">
        <f t="shared" si="6"/>
        <v>3209.24</v>
      </c>
      <c r="H101" s="846">
        <v>50</v>
      </c>
    </row>
    <row r="102" spans="1:8" s="798" customFormat="1" ht="50.1" customHeight="1" outlineLevel="1">
      <c r="A102" s="815">
        <f t="shared" si="7"/>
        <v>62</v>
      </c>
      <c r="B102" s="787" t="s">
        <v>533</v>
      </c>
      <c r="C102" s="817" t="s">
        <v>94</v>
      </c>
      <c r="D102" s="796" t="s">
        <v>10</v>
      </c>
      <c r="E102" s="767">
        <v>2959.24</v>
      </c>
      <c r="F102" s="797">
        <v>250</v>
      </c>
      <c r="G102" s="846">
        <f t="shared" si="6"/>
        <v>3209.24</v>
      </c>
      <c r="H102" s="846">
        <v>50</v>
      </c>
    </row>
    <row r="103" spans="1:8" s="798" customFormat="1" ht="50.1" customHeight="1" outlineLevel="1">
      <c r="A103" s="815">
        <f t="shared" si="7"/>
        <v>63</v>
      </c>
      <c r="B103" s="787" t="s">
        <v>534</v>
      </c>
      <c r="C103" s="817" t="s">
        <v>94</v>
      </c>
      <c r="D103" s="796" t="s">
        <v>10</v>
      </c>
      <c r="E103" s="767">
        <v>2959.24</v>
      </c>
      <c r="F103" s="797">
        <v>250</v>
      </c>
      <c r="G103" s="846">
        <f t="shared" si="6"/>
        <v>3209.24</v>
      </c>
      <c r="H103" s="846">
        <v>50</v>
      </c>
    </row>
    <row r="104" spans="1:8" s="798" customFormat="1" ht="50.1" customHeight="1" outlineLevel="1">
      <c r="A104" s="815">
        <f t="shared" si="7"/>
        <v>64</v>
      </c>
      <c r="B104" s="787" t="s">
        <v>554</v>
      </c>
      <c r="C104" s="817" t="s">
        <v>93</v>
      </c>
      <c r="D104" s="817" t="s">
        <v>10</v>
      </c>
      <c r="E104" s="767">
        <v>2959.24</v>
      </c>
      <c r="F104" s="797">
        <v>250</v>
      </c>
      <c r="G104" s="846">
        <f t="shared" si="6"/>
        <v>3209.24</v>
      </c>
      <c r="H104" s="846">
        <v>50</v>
      </c>
    </row>
    <row r="105" spans="1:8" s="798" customFormat="1" ht="50.1" customHeight="1" outlineLevel="1">
      <c r="A105" s="815">
        <f t="shared" si="7"/>
        <v>65</v>
      </c>
      <c r="B105" s="787" t="s">
        <v>601</v>
      </c>
      <c r="C105" s="817" t="s">
        <v>93</v>
      </c>
      <c r="D105" s="817" t="s">
        <v>10</v>
      </c>
      <c r="E105" s="767">
        <v>2959.24</v>
      </c>
      <c r="F105" s="797">
        <v>250</v>
      </c>
      <c r="G105" s="846">
        <f t="shared" si="6"/>
        <v>3209.24</v>
      </c>
      <c r="H105" s="846">
        <v>50</v>
      </c>
    </row>
    <row r="106" spans="1:8" s="852" customFormat="1" ht="50.1" customHeight="1" outlineLevel="1">
      <c r="A106" s="815">
        <f t="shared" si="7"/>
        <v>66</v>
      </c>
      <c r="B106" s="816" t="s">
        <v>525</v>
      </c>
      <c r="C106" s="817" t="s">
        <v>94</v>
      </c>
      <c r="D106" s="796" t="s">
        <v>10</v>
      </c>
      <c r="E106" s="767">
        <v>2959.24</v>
      </c>
      <c r="F106" s="797">
        <f>250</f>
        <v>250</v>
      </c>
      <c r="G106" s="846">
        <f t="shared" si="6"/>
        <v>3209.24</v>
      </c>
      <c r="H106" s="846">
        <v>50</v>
      </c>
    </row>
    <row r="107" spans="1:8" s="852" customFormat="1" ht="50.1" customHeight="1" outlineLevel="1">
      <c r="A107" s="815">
        <f t="shared" si="7"/>
        <v>67</v>
      </c>
      <c r="B107" s="816" t="s">
        <v>526</v>
      </c>
      <c r="C107" s="817" t="s">
        <v>94</v>
      </c>
      <c r="D107" s="796" t="s">
        <v>10</v>
      </c>
      <c r="E107" s="767">
        <v>2959.24</v>
      </c>
      <c r="F107" s="797">
        <f>250</f>
        <v>250</v>
      </c>
      <c r="G107" s="846">
        <f t="shared" si="6"/>
        <v>3209.24</v>
      </c>
      <c r="H107" s="846">
        <v>50</v>
      </c>
    </row>
    <row r="108" spans="1:8" s="855" customFormat="1" ht="50.1" customHeight="1" outlineLevel="1">
      <c r="A108" s="815">
        <f t="shared" si="7"/>
        <v>68</v>
      </c>
      <c r="B108" s="787" t="s">
        <v>617</v>
      </c>
      <c r="C108" s="760" t="s">
        <v>94</v>
      </c>
      <c r="D108" s="760" t="s">
        <v>10</v>
      </c>
      <c r="E108" s="767">
        <v>2959.24</v>
      </c>
      <c r="F108" s="853">
        <f>250</f>
        <v>250</v>
      </c>
      <c r="G108" s="854">
        <f>+E108+F108</f>
        <v>3209.24</v>
      </c>
      <c r="H108" s="846">
        <v>50</v>
      </c>
    </row>
    <row r="109" spans="1:8" s="855" customFormat="1" ht="50.1" customHeight="1" outlineLevel="1">
      <c r="A109" s="815">
        <f t="shared" si="7"/>
        <v>69</v>
      </c>
      <c r="B109" s="787" t="s">
        <v>620</v>
      </c>
      <c r="C109" s="760" t="s">
        <v>94</v>
      </c>
      <c r="D109" s="760" t="s">
        <v>10</v>
      </c>
      <c r="E109" s="767">
        <v>2959.24</v>
      </c>
      <c r="F109" s="853">
        <f>250</f>
        <v>250</v>
      </c>
      <c r="G109" s="854">
        <f>+E109+F109</f>
        <v>3209.24</v>
      </c>
      <c r="H109" s="846">
        <v>50</v>
      </c>
    </row>
    <row r="110" spans="1:8" s="855" customFormat="1" ht="50.1" customHeight="1" outlineLevel="1">
      <c r="A110" s="815">
        <f t="shared" si="7"/>
        <v>70</v>
      </c>
      <c r="B110" s="787" t="s">
        <v>621</v>
      </c>
      <c r="C110" s="760" t="s">
        <v>94</v>
      </c>
      <c r="D110" s="760" t="s">
        <v>10</v>
      </c>
      <c r="E110" s="767">
        <v>2959.24</v>
      </c>
      <c r="F110" s="853">
        <f>250</f>
        <v>250</v>
      </c>
      <c r="G110" s="854">
        <f>+E110+F110</f>
        <v>3209.24</v>
      </c>
      <c r="H110" s="846">
        <v>50</v>
      </c>
    </row>
    <row r="111" spans="1:8" s="855" customFormat="1" ht="50.1" customHeight="1" outlineLevel="1">
      <c r="A111" s="815">
        <f t="shared" si="7"/>
        <v>71</v>
      </c>
      <c r="B111" s="787" t="s">
        <v>622</v>
      </c>
      <c r="C111" s="760" t="s">
        <v>94</v>
      </c>
      <c r="D111" s="760" t="s">
        <v>10</v>
      </c>
      <c r="E111" s="767">
        <v>2959.24</v>
      </c>
      <c r="F111" s="853">
        <f>250</f>
        <v>250</v>
      </c>
      <c r="G111" s="854">
        <f>+E111+F111</f>
        <v>3209.24</v>
      </c>
      <c r="H111" s="846">
        <v>50</v>
      </c>
    </row>
    <row r="112" spans="1:8" s="843" customFormat="1" ht="50.1" customHeight="1" outlineLevel="1" thickBot="1">
      <c r="A112" s="815"/>
      <c r="B112" s="850"/>
      <c r="C112" s="841" t="s">
        <v>97</v>
      </c>
      <c r="D112" s="841"/>
      <c r="E112" s="842">
        <f>SUM(E100:E111)</f>
        <v>35510.87999999999</v>
      </c>
      <c r="F112" s="842">
        <f>SUM(F100:F111)</f>
        <v>3000</v>
      </c>
      <c r="G112" s="842">
        <f>SUM(G100:G111)</f>
        <v>38510.87999999999</v>
      </c>
      <c r="H112" s="842">
        <f>SUM(H100:H111)</f>
        <v>600</v>
      </c>
    </row>
    <row r="113" spans="1:9" s="798" customFormat="1" ht="50.1" customHeight="1" outlineLevel="1" thickTop="1">
      <c r="A113" s="815"/>
      <c r="B113" s="776"/>
      <c r="C113" s="851"/>
      <c r="D113" s="852"/>
      <c r="E113" s="837"/>
      <c r="F113" s="837"/>
      <c r="G113" s="837"/>
      <c r="H113" s="837"/>
    </row>
    <row r="114" spans="1:9" s="798" customFormat="1" ht="50.1" customHeight="1" outlineLevel="1">
      <c r="A114" s="815"/>
      <c r="B114" s="754" t="s">
        <v>418</v>
      </c>
      <c r="C114" s="851"/>
      <c r="D114" s="852"/>
      <c r="E114" s="837"/>
      <c r="F114" s="837"/>
      <c r="G114" s="837"/>
      <c r="H114" s="837"/>
    </row>
    <row r="115" spans="1:9" s="798" customFormat="1" ht="50.1" customHeight="1" outlineLevel="1">
      <c r="A115" s="849">
        <f>A111+1</f>
        <v>72</v>
      </c>
      <c r="B115" s="759" t="s">
        <v>549</v>
      </c>
      <c r="C115" s="817" t="s">
        <v>419</v>
      </c>
      <c r="D115" s="796" t="s">
        <v>11</v>
      </c>
      <c r="E115" s="767">
        <v>2959.24</v>
      </c>
      <c r="F115" s="797">
        <v>250</v>
      </c>
      <c r="G115" s="846">
        <f>+E115+F115</f>
        <v>3209.24</v>
      </c>
      <c r="H115" s="846">
        <v>50</v>
      </c>
    </row>
    <row r="116" spans="1:9" s="790" customFormat="1" ht="50.1" customHeight="1" outlineLevel="1">
      <c r="A116" s="763">
        <f>A115+1</f>
        <v>73</v>
      </c>
      <c r="B116" s="787" t="s">
        <v>629</v>
      </c>
      <c r="C116" s="787" t="s">
        <v>419</v>
      </c>
      <c r="D116" s="760" t="s">
        <v>10</v>
      </c>
      <c r="E116" s="767">
        <v>2959.24</v>
      </c>
      <c r="F116" s="789">
        <f>250</f>
        <v>250</v>
      </c>
      <c r="G116" s="847">
        <f>+E116+F116</f>
        <v>3209.24</v>
      </c>
      <c r="H116" s="847">
        <v>50</v>
      </c>
    </row>
    <row r="117" spans="1:9" s="843" customFormat="1" ht="50.1" customHeight="1" outlineLevel="1">
      <c r="A117" s="815"/>
      <c r="B117" s="741"/>
      <c r="C117" s="841" t="s">
        <v>420</v>
      </c>
      <c r="D117" s="841"/>
      <c r="E117" s="856">
        <f>SUM(E115:E116)</f>
        <v>5918.48</v>
      </c>
      <c r="F117" s="856">
        <f>SUM(F115:F116)</f>
        <v>500</v>
      </c>
      <c r="G117" s="856">
        <f>SUM(G115:G116)</f>
        <v>6418.48</v>
      </c>
      <c r="H117" s="856">
        <f>SUM(H115:H116)</f>
        <v>100</v>
      </c>
    </row>
    <row r="118" spans="1:9" s="798" customFormat="1" ht="50.1" customHeight="1" outlineLevel="1" thickBot="1">
      <c r="A118" s="815"/>
      <c r="B118" s="776"/>
      <c r="C118" s="851" t="s">
        <v>421</v>
      </c>
      <c r="D118" s="852"/>
      <c r="E118" s="857">
        <f>SUM(E97+E112+E117)</f>
        <v>91736.439999999959</v>
      </c>
      <c r="F118" s="857">
        <f>SUM(F97+F112+F117)</f>
        <v>7750</v>
      </c>
      <c r="G118" s="857">
        <f>SUM(G97+G112+G117)</f>
        <v>99486.439999999959</v>
      </c>
      <c r="H118" s="857">
        <f>SUM(H97+H112+H117)</f>
        <v>1550</v>
      </c>
    </row>
    <row r="119" spans="1:9" s="827" customFormat="1" ht="50.1" customHeight="1" outlineLevel="1" thickTop="1">
      <c r="A119" s="858"/>
      <c r="B119" s="754" t="s">
        <v>104</v>
      </c>
      <c r="C119" s="849"/>
      <c r="D119" s="852"/>
      <c r="I119" s="852"/>
    </row>
    <row r="120" spans="1:9" s="827" customFormat="1" ht="50.1" customHeight="1" outlineLevel="1">
      <c r="A120" s="858"/>
      <c r="B120" s="859" t="s">
        <v>105</v>
      </c>
      <c r="C120" s="849"/>
      <c r="D120" s="852"/>
      <c r="I120" s="852"/>
    </row>
    <row r="121" spans="1:9" s="798" customFormat="1" ht="50.1" customHeight="1" outlineLevel="1">
      <c r="A121" s="860">
        <f>A116+1</f>
        <v>74</v>
      </c>
      <c r="B121" s="816" t="s">
        <v>106</v>
      </c>
      <c r="C121" s="817" t="s">
        <v>107</v>
      </c>
      <c r="D121" s="817" t="s">
        <v>11</v>
      </c>
      <c r="E121" s="861">
        <v>6000</v>
      </c>
      <c r="F121" s="861">
        <v>2000</v>
      </c>
      <c r="G121" s="861">
        <f t="shared" ref="G121:G127" si="8">+E121+F121</f>
        <v>8000</v>
      </c>
      <c r="H121" s="861">
        <v>75</v>
      </c>
    </row>
    <row r="122" spans="1:9" s="798" customFormat="1" ht="50.1" customHeight="1" outlineLevel="1">
      <c r="A122" s="860">
        <f>A121+1</f>
        <v>75</v>
      </c>
      <c r="B122" s="816" t="s">
        <v>553</v>
      </c>
      <c r="C122" s="817" t="s">
        <v>479</v>
      </c>
      <c r="D122" s="817" t="s">
        <v>11</v>
      </c>
      <c r="E122" s="861">
        <v>3000</v>
      </c>
      <c r="F122" s="861">
        <v>1000</v>
      </c>
      <c r="G122" s="861">
        <f t="shared" si="8"/>
        <v>4000</v>
      </c>
      <c r="H122" s="861">
        <v>50</v>
      </c>
    </row>
    <row r="123" spans="1:9" s="798" customFormat="1" ht="50.1" customHeight="1" outlineLevel="1">
      <c r="A123" s="860">
        <f t="shared" ref="A123:A129" si="9">A122+1</f>
        <v>76</v>
      </c>
      <c r="B123" s="787" t="s">
        <v>511</v>
      </c>
      <c r="C123" s="817" t="s">
        <v>112</v>
      </c>
      <c r="D123" s="796" t="s">
        <v>10</v>
      </c>
      <c r="E123" s="767">
        <v>2959.24</v>
      </c>
      <c r="F123" s="797">
        <v>450</v>
      </c>
      <c r="G123" s="797">
        <f t="shared" si="8"/>
        <v>3409.24</v>
      </c>
      <c r="H123" s="861">
        <v>50</v>
      </c>
    </row>
    <row r="124" spans="1:9" s="798" customFormat="1" ht="50.1" customHeight="1" outlineLevel="1">
      <c r="A124" s="860">
        <f>A123+1</f>
        <v>77</v>
      </c>
      <c r="B124" s="816" t="s">
        <v>521</v>
      </c>
      <c r="C124" s="817" t="s">
        <v>58</v>
      </c>
      <c r="D124" s="796" t="s">
        <v>10</v>
      </c>
      <c r="E124" s="767">
        <v>2959.24</v>
      </c>
      <c r="F124" s="797">
        <v>1400</v>
      </c>
      <c r="G124" s="846">
        <f t="shared" si="8"/>
        <v>4359.24</v>
      </c>
      <c r="H124" s="861">
        <v>50</v>
      </c>
    </row>
    <row r="125" spans="1:9" s="798" customFormat="1" ht="50.1" customHeight="1" outlineLevel="1">
      <c r="A125" s="860">
        <f t="shared" si="9"/>
        <v>78</v>
      </c>
      <c r="B125" s="787" t="s">
        <v>522</v>
      </c>
      <c r="C125" s="817" t="s">
        <v>380</v>
      </c>
      <c r="D125" s="796" t="s">
        <v>10</v>
      </c>
      <c r="E125" s="767">
        <v>2959.24</v>
      </c>
      <c r="F125" s="797">
        <v>750</v>
      </c>
      <c r="G125" s="846">
        <f t="shared" si="8"/>
        <v>3709.24</v>
      </c>
      <c r="H125" s="861">
        <v>50</v>
      </c>
    </row>
    <row r="126" spans="1:9" s="798" customFormat="1" ht="50.1" customHeight="1" outlineLevel="1">
      <c r="A126" s="860">
        <f t="shared" si="9"/>
        <v>79</v>
      </c>
      <c r="B126" s="787" t="s">
        <v>512</v>
      </c>
      <c r="C126" s="817" t="s">
        <v>380</v>
      </c>
      <c r="D126" s="796" t="s">
        <v>10</v>
      </c>
      <c r="E126" s="767">
        <v>2959.24</v>
      </c>
      <c r="F126" s="797">
        <v>750</v>
      </c>
      <c r="G126" s="846">
        <f t="shared" si="8"/>
        <v>3709.24</v>
      </c>
      <c r="H126" s="861">
        <v>50</v>
      </c>
    </row>
    <row r="127" spans="1:9" s="863" customFormat="1" ht="50.1" customHeight="1" outlineLevel="1">
      <c r="A127" s="860">
        <f t="shared" si="9"/>
        <v>80</v>
      </c>
      <c r="B127" s="787" t="s">
        <v>579</v>
      </c>
      <c r="C127" s="760" t="s">
        <v>573</v>
      </c>
      <c r="D127" s="760" t="s">
        <v>11</v>
      </c>
      <c r="E127" s="862">
        <v>3000</v>
      </c>
      <c r="F127" s="853">
        <v>250</v>
      </c>
      <c r="G127" s="853">
        <f t="shared" si="8"/>
        <v>3250</v>
      </c>
      <c r="H127" s="861">
        <v>50</v>
      </c>
    </row>
    <row r="128" spans="1:9" s="763" customFormat="1" ht="50.1" customHeight="1" outlineLevel="1">
      <c r="A128" s="860">
        <f t="shared" si="9"/>
        <v>81</v>
      </c>
      <c r="B128" s="787" t="s">
        <v>592</v>
      </c>
      <c r="C128" s="760" t="s">
        <v>58</v>
      </c>
      <c r="D128" s="760" t="s">
        <v>10</v>
      </c>
      <c r="E128" s="767">
        <v>2959.24</v>
      </c>
      <c r="F128" s="762">
        <f>1150+250</f>
        <v>1400</v>
      </c>
      <c r="G128" s="848">
        <f>+E128+F128</f>
        <v>4359.24</v>
      </c>
      <c r="H128" s="861">
        <v>50</v>
      </c>
    </row>
    <row r="129" spans="1:8" s="790" customFormat="1" ht="50.1" customHeight="1" outlineLevel="1">
      <c r="A129" s="860">
        <f t="shared" si="9"/>
        <v>82</v>
      </c>
      <c r="B129" s="787" t="s">
        <v>613</v>
      </c>
      <c r="C129" s="760" t="s">
        <v>112</v>
      </c>
      <c r="D129" s="760" t="s">
        <v>10</v>
      </c>
      <c r="E129" s="767">
        <v>2959.24</v>
      </c>
      <c r="F129" s="789">
        <f>250+150</f>
        <v>400</v>
      </c>
      <c r="G129" s="847">
        <f>+E129+F129</f>
        <v>3359.24</v>
      </c>
      <c r="H129" s="861">
        <v>50</v>
      </c>
    </row>
    <row r="130" spans="1:8" s="864" customFormat="1" ht="50.1" customHeight="1" outlineLevel="1" thickBot="1">
      <c r="A130" s="849"/>
      <c r="B130" s="850"/>
      <c r="C130" s="841" t="s">
        <v>110</v>
      </c>
      <c r="D130" s="840"/>
      <c r="E130" s="842">
        <f>SUM(E121:E129)</f>
        <v>29755.439999999995</v>
      </c>
      <c r="F130" s="842">
        <f>SUM(F121:F129)</f>
        <v>8400</v>
      </c>
      <c r="G130" s="842">
        <f>SUM(G121:G129)</f>
        <v>38155.439999999995</v>
      </c>
      <c r="H130" s="842">
        <f>SUM(H121:H129)</f>
        <v>475</v>
      </c>
    </row>
    <row r="131" spans="1:8" s="798" customFormat="1" ht="50.1" customHeight="1" outlineLevel="1" thickTop="1">
      <c r="A131" s="849"/>
      <c r="B131" s="859" t="s">
        <v>319</v>
      </c>
      <c r="C131" s="849"/>
      <c r="D131" s="852"/>
      <c r="E131" s="827"/>
      <c r="F131" s="827"/>
      <c r="G131" s="827"/>
      <c r="H131" s="827"/>
    </row>
    <row r="132" spans="1:8" s="843" customFormat="1" ht="50.1" customHeight="1" outlineLevel="1">
      <c r="A132" s="860">
        <f>A129+1</f>
        <v>83</v>
      </c>
      <c r="B132" s="816" t="s">
        <v>508</v>
      </c>
      <c r="C132" s="817" t="s">
        <v>108</v>
      </c>
      <c r="D132" s="817" t="s">
        <v>10</v>
      </c>
      <c r="E132" s="767">
        <v>2959.24</v>
      </c>
      <c r="F132" s="861">
        <f>500</f>
        <v>500</v>
      </c>
      <c r="G132" s="861">
        <f t="shared" ref="G132:G137" si="10">+E132+F132</f>
        <v>3459.24</v>
      </c>
      <c r="H132" s="861">
        <v>50</v>
      </c>
    </row>
    <row r="133" spans="1:8" s="843" customFormat="1" ht="50.1" customHeight="1" outlineLevel="1">
      <c r="A133" s="860">
        <f>+A132+1</f>
        <v>84</v>
      </c>
      <c r="B133" s="816" t="s">
        <v>661</v>
      </c>
      <c r="C133" s="817" t="s">
        <v>662</v>
      </c>
      <c r="D133" s="817" t="s">
        <v>10</v>
      </c>
      <c r="E133" s="861">
        <v>3000</v>
      </c>
      <c r="F133" s="865">
        <f>1000</f>
        <v>1000</v>
      </c>
      <c r="G133" s="861">
        <f t="shared" si="10"/>
        <v>4000</v>
      </c>
      <c r="H133" s="861">
        <v>50</v>
      </c>
    </row>
    <row r="134" spans="1:8" s="763" customFormat="1" ht="50.1" customHeight="1" outlineLevel="1">
      <c r="A134" s="860">
        <f>+A133+1</f>
        <v>85</v>
      </c>
      <c r="B134" s="787" t="s">
        <v>614</v>
      </c>
      <c r="C134" s="760" t="s">
        <v>112</v>
      </c>
      <c r="D134" s="760" t="s">
        <v>11</v>
      </c>
      <c r="E134" s="767">
        <v>2959.24</v>
      </c>
      <c r="F134" s="762">
        <f>250+150</f>
        <v>400</v>
      </c>
      <c r="G134" s="762">
        <f t="shared" si="10"/>
        <v>3359.24</v>
      </c>
      <c r="H134" s="861">
        <v>50</v>
      </c>
    </row>
    <row r="135" spans="1:8" s="763" customFormat="1" ht="50.1" customHeight="1" outlineLevel="1">
      <c r="A135" s="860">
        <f>+A134+1</f>
        <v>86</v>
      </c>
      <c r="B135" s="787" t="s">
        <v>669</v>
      </c>
      <c r="C135" s="760" t="s">
        <v>112</v>
      </c>
      <c r="D135" s="760" t="s">
        <v>10</v>
      </c>
      <c r="E135" s="767">
        <v>2959.24</v>
      </c>
      <c r="F135" s="762">
        <v>250</v>
      </c>
      <c r="G135" s="762">
        <f t="shared" si="10"/>
        <v>3209.24</v>
      </c>
      <c r="H135" s="861">
        <v>50</v>
      </c>
    </row>
    <row r="136" spans="1:8" s="866" customFormat="1" ht="50.1" customHeight="1" outlineLevel="1">
      <c r="A136" s="860">
        <f>+A135+1</f>
        <v>87</v>
      </c>
      <c r="B136" s="787" t="s">
        <v>634</v>
      </c>
      <c r="C136" s="760" t="s">
        <v>108</v>
      </c>
      <c r="D136" s="760" t="s">
        <v>10</v>
      </c>
      <c r="E136" s="767">
        <v>2959.24</v>
      </c>
      <c r="F136" s="762">
        <f>500</f>
        <v>500</v>
      </c>
      <c r="G136" s="762">
        <f t="shared" si="10"/>
        <v>3459.24</v>
      </c>
      <c r="H136" s="861">
        <v>50</v>
      </c>
    </row>
    <row r="137" spans="1:8" s="805" customFormat="1" ht="50.1" customHeight="1" outlineLevel="1">
      <c r="A137" s="860">
        <f>+A136+1</f>
        <v>88</v>
      </c>
      <c r="B137" s="839" t="s">
        <v>637</v>
      </c>
      <c r="C137" s="807" t="s">
        <v>591</v>
      </c>
      <c r="D137" s="807" t="s">
        <v>10</v>
      </c>
      <c r="E137" s="767">
        <v>2959.24</v>
      </c>
      <c r="F137" s="865">
        <v>250</v>
      </c>
      <c r="G137" s="865">
        <f t="shared" si="10"/>
        <v>3209.24</v>
      </c>
      <c r="H137" s="861">
        <v>50</v>
      </c>
    </row>
    <row r="138" spans="1:8" s="841" customFormat="1" ht="50.1" customHeight="1" outlineLevel="1">
      <c r="A138" s="849"/>
      <c r="B138" s="850"/>
      <c r="C138" s="851" t="s">
        <v>113</v>
      </c>
      <c r="E138" s="867">
        <f>SUM(E132:E137)</f>
        <v>17796.199999999997</v>
      </c>
      <c r="F138" s="867">
        <f>SUM(F132:F137)</f>
        <v>2900</v>
      </c>
      <c r="G138" s="867">
        <f>SUM(G132:G137)</f>
        <v>20696.199999999997</v>
      </c>
      <c r="H138" s="867">
        <f>SUM(H132:H137)</f>
        <v>300</v>
      </c>
    </row>
    <row r="139" spans="1:8" s="841" customFormat="1" ht="50.1" customHeight="1" outlineLevel="1" thickBot="1">
      <c r="A139" s="849"/>
      <c r="B139" s="741"/>
      <c r="C139" s="851" t="s">
        <v>114</v>
      </c>
      <c r="E139" s="868">
        <f>SUM(E130+E138)</f>
        <v>47551.639999999992</v>
      </c>
      <c r="F139" s="868">
        <f>SUM(F130+F138)</f>
        <v>11300</v>
      </c>
      <c r="G139" s="868">
        <f>SUM(G130+G138)</f>
        <v>58851.639999999992</v>
      </c>
      <c r="H139" s="868">
        <f>SUM(H130+H138)</f>
        <v>775</v>
      </c>
    </row>
    <row r="140" spans="1:8" s="852" customFormat="1" ht="50.1" customHeight="1" outlineLevel="1" thickTop="1">
      <c r="A140" s="849"/>
      <c r="B140" s="754" t="s">
        <v>115</v>
      </c>
      <c r="C140" s="849"/>
      <c r="E140" s="827"/>
      <c r="F140" s="827"/>
      <c r="G140" s="827"/>
      <c r="H140" s="827"/>
    </row>
    <row r="141" spans="1:8" s="852" customFormat="1" ht="50.1" customHeight="1" outlineLevel="1">
      <c r="A141" s="849">
        <f>+A137+1</f>
        <v>89</v>
      </c>
      <c r="B141" s="816" t="s">
        <v>504</v>
      </c>
      <c r="C141" s="817" t="s">
        <v>116</v>
      </c>
      <c r="D141" s="796" t="s">
        <v>10</v>
      </c>
      <c r="E141" s="797">
        <v>3500</v>
      </c>
      <c r="F141" s="797">
        <v>700</v>
      </c>
      <c r="G141" s="797">
        <f>+E141+F141</f>
        <v>4200</v>
      </c>
      <c r="H141" s="797">
        <v>50</v>
      </c>
    </row>
    <row r="142" spans="1:8" s="852" customFormat="1" ht="50.1" customHeight="1" outlineLevel="1">
      <c r="A142" s="849">
        <f>+A141+1</f>
        <v>90</v>
      </c>
      <c r="B142" s="816" t="s">
        <v>505</v>
      </c>
      <c r="C142" s="817" t="s">
        <v>117</v>
      </c>
      <c r="D142" s="796" t="s">
        <v>10</v>
      </c>
      <c r="E142" s="795">
        <v>2975</v>
      </c>
      <c r="F142" s="797">
        <f>700</f>
        <v>700</v>
      </c>
      <c r="G142" s="797">
        <f>+E142+F142</f>
        <v>3675</v>
      </c>
      <c r="H142" s="797">
        <v>50</v>
      </c>
    </row>
    <row r="143" spans="1:8" s="852" customFormat="1" ht="50.1" customHeight="1" outlineLevel="1">
      <c r="A143" s="849">
        <f>+A142+1</f>
        <v>91</v>
      </c>
      <c r="B143" s="816" t="s">
        <v>552</v>
      </c>
      <c r="C143" s="817" t="s">
        <v>572</v>
      </c>
      <c r="D143" s="796" t="s">
        <v>11</v>
      </c>
      <c r="E143" s="767">
        <v>2959.24</v>
      </c>
      <c r="F143" s="797">
        <v>250</v>
      </c>
      <c r="G143" s="846">
        <f>+E143+F143</f>
        <v>3209.24</v>
      </c>
      <c r="H143" s="846">
        <v>50</v>
      </c>
    </row>
    <row r="144" spans="1:8" s="819" customFormat="1" ht="50.1" customHeight="1" outlineLevel="1" thickBot="1">
      <c r="A144" s="748"/>
      <c r="B144" s="741"/>
      <c r="C144" s="792" t="s">
        <v>118</v>
      </c>
      <c r="E144" s="812">
        <f>SUM(E141:E143)</f>
        <v>9434.24</v>
      </c>
      <c r="F144" s="813">
        <f>SUM(F141:F143)</f>
        <v>1650</v>
      </c>
      <c r="G144" s="813">
        <f>SUM(G141:G143)</f>
        <v>11084.24</v>
      </c>
      <c r="H144" s="813">
        <f>SUM(H141:H143)</f>
        <v>150</v>
      </c>
    </row>
    <row r="145" spans="1:9" s="804" customFormat="1" ht="50.1" customHeight="1" outlineLevel="1" thickTop="1">
      <c r="A145" s="802"/>
      <c r="B145" s="741"/>
      <c r="C145" s="792" t="s">
        <v>119</v>
      </c>
      <c r="D145" s="819"/>
      <c r="E145" s="837">
        <f>SUM(E68+E78+E97+E112+E117+E130+E138+E144)</f>
        <v>202231.55999999994</v>
      </c>
      <c r="F145" s="837">
        <f>SUM(F68+F78+F97+F112+F117+F130+F138+F144)</f>
        <v>38700</v>
      </c>
      <c r="G145" s="837">
        <f>SUM(G68+G78+G97+G112+G117+G130+G138+G144)</f>
        <v>240931.55999999994</v>
      </c>
      <c r="H145" s="837">
        <f>SUM(H68+H78+H97+H112+H117+H130+H138+H144)</f>
        <v>3200</v>
      </c>
      <c r="I145" s="819"/>
    </row>
    <row r="146" spans="1:9" s="804" customFormat="1" ht="50.1" customHeight="1" outlineLevel="1">
      <c r="A146" s="802"/>
      <c r="B146" s="741"/>
      <c r="C146" s="792"/>
      <c r="D146" s="819"/>
      <c r="E146" s="803"/>
      <c r="I146" s="819"/>
    </row>
    <row r="147" spans="1:9" s="804" customFormat="1" ht="50.1" customHeight="1" outlineLevel="1">
      <c r="A147" s="802"/>
      <c r="B147" s="741" t="s">
        <v>120</v>
      </c>
      <c r="C147" s="792"/>
      <c r="D147" s="819"/>
      <c r="E147" s="803"/>
      <c r="I147" s="819"/>
    </row>
    <row r="148" spans="1:9" s="804" customFormat="1" ht="50.1" customHeight="1" outlineLevel="1">
      <c r="A148" s="802"/>
      <c r="B148" s="754" t="s">
        <v>121</v>
      </c>
      <c r="C148" s="777"/>
      <c r="D148" s="819"/>
      <c r="E148" s="803"/>
      <c r="I148" s="819"/>
    </row>
    <row r="149" spans="1:9" s="804" customFormat="1" ht="50.1" customHeight="1" outlineLevel="1">
      <c r="A149" s="802"/>
      <c r="B149" s="754" t="s">
        <v>237</v>
      </c>
      <c r="C149" s="777"/>
      <c r="D149" s="819"/>
      <c r="E149" s="803"/>
      <c r="I149" s="819"/>
    </row>
    <row r="150" spans="1:9" s="870" customFormat="1" ht="50.1" customHeight="1" outlineLevel="1">
      <c r="A150" s="794">
        <f>A143+1</f>
        <v>92</v>
      </c>
      <c r="B150" s="787" t="s">
        <v>551</v>
      </c>
      <c r="C150" s="760" t="s">
        <v>430</v>
      </c>
      <c r="D150" s="869" t="s">
        <v>11</v>
      </c>
      <c r="E150" s="762">
        <v>19460</v>
      </c>
      <c r="F150" s="774">
        <v>250</v>
      </c>
      <c r="G150" s="774">
        <f t="shared" ref="G150:G156" si="11">+E150+F150</f>
        <v>19710</v>
      </c>
      <c r="H150" s="774">
        <v>150</v>
      </c>
    </row>
    <row r="151" spans="1:9" s="820" customFormat="1" ht="50.1" customHeight="1" outlineLevel="1">
      <c r="A151" s="794">
        <f>A150+1</f>
        <v>93</v>
      </c>
      <c r="B151" s="787" t="s">
        <v>604</v>
      </c>
      <c r="C151" s="760" t="s">
        <v>430</v>
      </c>
      <c r="D151" s="771" t="s">
        <v>10</v>
      </c>
      <c r="E151" s="762">
        <v>10000</v>
      </c>
      <c r="F151" s="785">
        <f>3750+250</f>
        <v>4000</v>
      </c>
      <c r="G151" s="785">
        <f t="shared" si="11"/>
        <v>14000</v>
      </c>
      <c r="H151" s="785">
        <v>150</v>
      </c>
    </row>
    <row r="152" spans="1:9" s="820" customFormat="1" ht="50.1" customHeight="1" outlineLevel="1">
      <c r="A152" s="794">
        <f>A151+1</f>
        <v>94</v>
      </c>
      <c r="B152" s="759" t="s">
        <v>426</v>
      </c>
      <c r="C152" s="771" t="s">
        <v>480</v>
      </c>
      <c r="D152" s="771" t="s">
        <v>10</v>
      </c>
      <c r="E152" s="762">
        <v>3000</v>
      </c>
      <c r="F152" s="785">
        <f>250+1500</f>
        <v>1750</v>
      </c>
      <c r="G152" s="785">
        <f t="shared" si="11"/>
        <v>4750</v>
      </c>
      <c r="H152" s="785">
        <v>50</v>
      </c>
    </row>
    <row r="153" spans="1:9" s="855" customFormat="1" ht="50.1" customHeight="1" outlineLevel="1">
      <c r="A153" s="794">
        <f>A152+1</f>
        <v>95</v>
      </c>
      <c r="B153" s="787" t="s">
        <v>510</v>
      </c>
      <c r="C153" s="760" t="s">
        <v>561</v>
      </c>
      <c r="D153" s="760" t="s">
        <v>10</v>
      </c>
      <c r="E153" s="762">
        <v>4000</v>
      </c>
      <c r="F153" s="789">
        <v>550</v>
      </c>
      <c r="G153" s="789">
        <f t="shared" si="11"/>
        <v>4550</v>
      </c>
      <c r="H153" s="785">
        <v>50</v>
      </c>
    </row>
    <row r="154" spans="1:9" s="855" customFormat="1" ht="50.1" customHeight="1" outlineLevel="1">
      <c r="A154" s="794">
        <f>A153+1</f>
        <v>96</v>
      </c>
      <c r="B154" s="787" t="s">
        <v>643</v>
      </c>
      <c r="C154" s="760" t="s">
        <v>644</v>
      </c>
      <c r="D154" s="760" t="s">
        <v>11</v>
      </c>
      <c r="E154" s="767">
        <v>2959.24</v>
      </c>
      <c r="F154" s="789">
        <v>250</v>
      </c>
      <c r="G154" s="789">
        <f t="shared" si="11"/>
        <v>3209.24</v>
      </c>
      <c r="H154" s="785">
        <v>50</v>
      </c>
    </row>
    <row r="155" spans="1:9" s="855" customFormat="1" ht="50.1" customHeight="1" outlineLevel="1">
      <c r="A155" s="794">
        <v>97</v>
      </c>
      <c r="B155" s="787" t="s">
        <v>701</v>
      </c>
      <c r="C155" s="760" t="s">
        <v>644</v>
      </c>
      <c r="D155" s="760" t="s">
        <v>11</v>
      </c>
      <c r="E155" s="767">
        <v>2959.24</v>
      </c>
      <c r="F155" s="789">
        <v>250</v>
      </c>
      <c r="G155" s="789">
        <f t="shared" si="11"/>
        <v>3209.24</v>
      </c>
      <c r="H155" s="785">
        <v>50</v>
      </c>
    </row>
    <row r="156" spans="1:9" s="855" customFormat="1" ht="50.1" customHeight="1" outlineLevel="1">
      <c r="A156" s="794">
        <v>98</v>
      </c>
      <c r="B156" s="759" t="s">
        <v>543</v>
      </c>
      <c r="C156" s="760" t="s">
        <v>560</v>
      </c>
      <c r="D156" s="760" t="s">
        <v>11</v>
      </c>
      <c r="E156" s="762">
        <v>4150</v>
      </c>
      <c r="F156" s="789">
        <v>500</v>
      </c>
      <c r="G156" s="789">
        <f t="shared" si="11"/>
        <v>4650</v>
      </c>
      <c r="H156" s="785">
        <v>50</v>
      </c>
    </row>
    <row r="157" spans="1:9" s="836" customFormat="1" ht="50.1" customHeight="1" outlineLevel="1">
      <c r="A157" s="748"/>
      <c r="B157" s="741"/>
      <c r="C157" s="777" t="s">
        <v>122</v>
      </c>
      <c r="D157" s="777"/>
      <c r="E157" s="856">
        <f>+SUM(E150:E156)</f>
        <v>46528.479999999996</v>
      </c>
      <c r="F157" s="871">
        <f>+SUM(F150:F156)</f>
        <v>7550</v>
      </c>
      <c r="G157" s="871">
        <f>+SUM(G150:G156)</f>
        <v>54078.479999999996</v>
      </c>
      <c r="H157" s="871">
        <f>+SUM(H150:H156)</f>
        <v>550</v>
      </c>
    </row>
    <row r="158" spans="1:9" s="781" customFormat="1" ht="50.1" customHeight="1" outlineLevel="1">
      <c r="A158" s="748"/>
      <c r="B158" s="776"/>
      <c r="C158" s="748"/>
      <c r="D158" s="753"/>
      <c r="E158" s="780"/>
      <c r="I158" s="753"/>
    </row>
    <row r="159" spans="1:9" s="786" customFormat="1" ht="50.1" customHeight="1" outlineLevel="1">
      <c r="A159" s="794">
        <f>A156+1</f>
        <v>99</v>
      </c>
      <c r="B159" s="759" t="s">
        <v>502</v>
      </c>
      <c r="C159" s="771" t="s">
        <v>414</v>
      </c>
      <c r="D159" s="772" t="s">
        <v>10</v>
      </c>
      <c r="E159" s="789">
        <v>5000</v>
      </c>
      <c r="F159" s="774">
        <f>250</f>
        <v>250</v>
      </c>
      <c r="G159" s="774">
        <f>+E159+F159</f>
        <v>5250</v>
      </c>
      <c r="H159" s="774">
        <v>50</v>
      </c>
    </row>
    <row r="160" spans="1:9" s="786" customFormat="1" ht="50.1" customHeight="1" outlineLevel="1">
      <c r="A160" s="794">
        <f>+A159+1</f>
        <v>100</v>
      </c>
      <c r="B160" s="759" t="s">
        <v>529</v>
      </c>
      <c r="C160" s="771" t="s">
        <v>414</v>
      </c>
      <c r="D160" s="771" t="s">
        <v>10</v>
      </c>
      <c r="E160" s="853">
        <v>10000</v>
      </c>
      <c r="F160" s="785">
        <v>250</v>
      </c>
      <c r="G160" s="785">
        <f>+E160+F160</f>
        <v>10250</v>
      </c>
      <c r="H160" s="785">
        <v>100</v>
      </c>
    </row>
    <row r="161" spans="1:9" s="777" customFormat="1" ht="50.1" customHeight="1" outlineLevel="1">
      <c r="A161" s="748"/>
      <c r="B161" s="741"/>
      <c r="C161" s="749" t="s">
        <v>123</v>
      </c>
      <c r="E161" s="856">
        <f>SUM(E159:E160)</f>
        <v>15000</v>
      </c>
      <c r="F161" s="871">
        <f>SUM(F159:F160)</f>
        <v>500</v>
      </c>
      <c r="G161" s="871">
        <f>SUM(G159:G160)</f>
        <v>15500</v>
      </c>
      <c r="H161" s="871">
        <f>SUM(H159:H160)</f>
        <v>150</v>
      </c>
    </row>
    <row r="162" spans="1:9" s="819" customFormat="1" ht="50.1" customHeight="1" outlineLevel="1" thickBot="1">
      <c r="A162" s="748"/>
      <c r="B162" s="776"/>
      <c r="C162" s="749" t="s">
        <v>124</v>
      </c>
      <c r="D162" s="753"/>
      <c r="E162" s="857">
        <f>SUM(E157+E161)</f>
        <v>61528.479999999996</v>
      </c>
      <c r="F162" s="872">
        <f>SUM(F157+F161)</f>
        <v>8050</v>
      </c>
      <c r="G162" s="872">
        <f>SUM(G157+G161)</f>
        <v>69578.48</v>
      </c>
      <c r="H162" s="872">
        <f>SUM(H157+H161)</f>
        <v>700</v>
      </c>
    </row>
    <row r="163" spans="1:9" s="781" customFormat="1" ht="50.1" customHeight="1" outlineLevel="1" thickTop="1">
      <c r="A163" s="779"/>
      <c r="B163" s="754" t="s">
        <v>125</v>
      </c>
      <c r="C163" s="748"/>
      <c r="D163" s="753"/>
      <c r="E163" s="827"/>
      <c r="F163" s="782"/>
      <c r="G163" s="782"/>
      <c r="H163" s="782"/>
      <c r="I163" s="819"/>
    </row>
    <row r="164" spans="1:9" s="782" customFormat="1" ht="50.1" customHeight="1" outlineLevel="1">
      <c r="A164" s="802"/>
      <c r="B164" s="754" t="s">
        <v>126</v>
      </c>
      <c r="C164" s="748"/>
      <c r="D164" s="753"/>
      <c r="E164" s="827"/>
      <c r="I164" s="819"/>
    </row>
    <row r="165" spans="1:9" s="782" customFormat="1" ht="50.1" customHeight="1" outlineLevel="1">
      <c r="A165" s="802"/>
      <c r="B165" s="754" t="s">
        <v>321</v>
      </c>
      <c r="C165" s="748"/>
      <c r="D165" s="753"/>
      <c r="E165" s="827"/>
      <c r="I165" s="819"/>
    </row>
    <row r="166" spans="1:9" s="819" customFormat="1" ht="50.1" customHeight="1" outlineLevel="1">
      <c r="A166" s="748"/>
      <c r="B166" s="741" t="s">
        <v>436</v>
      </c>
      <c r="C166" s="748"/>
      <c r="D166" s="753"/>
      <c r="E166" s="837"/>
      <c r="F166" s="838"/>
      <c r="G166" s="838"/>
      <c r="H166" s="838"/>
    </row>
    <row r="167" spans="1:9" s="878" customFormat="1" ht="50.1" customHeight="1" outlineLevel="1">
      <c r="A167" s="873">
        <f>A160+1</f>
        <v>101</v>
      </c>
      <c r="B167" s="874" t="s">
        <v>538</v>
      </c>
      <c r="C167" s="875" t="s">
        <v>133</v>
      </c>
      <c r="D167" s="876" t="s">
        <v>11</v>
      </c>
      <c r="E167" s="877">
        <v>3000</v>
      </c>
      <c r="F167" s="877">
        <f>250</f>
        <v>250</v>
      </c>
      <c r="G167" s="877">
        <f>+E167+F167</f>
        <v>3250</v>
      </c>
      <c r="H167" s="877">
        <v>50</v>
      </c>
    </row>
    <row r="168" spans="1:9" s="820" customFormat="1" ht="50.1" customHeight="1" outlineLevel="1" thickBot="1">
      <c r="A168" s="794"/>
      <c r="B168" s="879"/>
      <c r="C168" s="879" t="s">
        <v>384</v>
      </c>
      <c r="E168" s="880">
        <f>+E167</f>
        <v>3000</v>
      </c>
      <c r="F168" s="881">
        <f>+F167</f>
        <v>250</v>
      </c>
      <c r="G168" s="881">
        <f>+G167</f>
        <v>3250</v>
      </c>
      <c r="H168" s="881">
        <f>+H167</f>
        <v>50</v>
      </c>
    </row>
    <row r="169" spans="1:9" s="871" customFormat="1" ht="50.1" customHeight="1" outlineLevel="1" thickTop="1">
      <c r="A169" s="779"/>
      <c r="B169" s="754" t="s">
        <v>134</v>
      </c>
      <c r="C169" s="748"/>
      <c r="D169" s="753"/>
      <c r="E169" s="856"/>
      <c r="I169" s="819"/>
    </row>
    <row r="170" spans="1:9" s="871" customFormat="1" ht="50.1" customHeight="1" outlineLevel="1">
      <c r="A170" s="779"/>
      <c r="B170" s="741" t="s">
        <v>135</v>
      </c>
      <c r="C170" s="748"/>
      <c r="D170" s="753"/>
      <c r="E170" s="856"/>
      <c r="I170" s="819"/>
    </row>
    <row r="171" spans="1:9" s="855" customFormat="1" ht="50.1" customHeight="1" outlineLevel="1">
      <c r="A171" s="860">
        <f>+A167+1</f>
        <v>102</v>
      </c>
      <c r="B171" s="882" t="s">
        <v>584</v>
      </c>
      <c r="C171" s="883" t="s">
        <v>585</v>
      </c>
      <c r="D171" s="884" t="s">
        <v>11</v>
      </c>
      <c r="E171" s="885">
        <v>4750</v>
      </c>
      <c r="F171" s="885">
        <f>250+1000</f>
        <v>1250</v>
      </c>
      <c r="G171" s="885">
        <f>+E171+F171</f>
        <v>6000</v>
      </c>
      <c r="H171" s="885">
        <v>50</v>
      </c>
    </row>
    <row r="172" spans="1:9" s="819" customFormat="1" ht="50.1" customHeight="1" outlineLevel="1">
      <c r="A172" s="748"/>
      <c r="B172" s="886"/>
      <c r="C172" s="887" t="s">
        <v>137</v>
      </c>
      <c r="D172" s="766"/>
      <c r="E172" s="888">
        <f>SUM(E171:E171)</f>
        <v>4750</v>
      </c>
      <c r="F172" s="889">
        <f>SUM(F171:F171)</f>
        <v>1250</v>
      </c>
      <c r="G172" s="889">
        <f>SUM(G171:G171)</f>
        <v>6000</v>
      </c>
      <c r="H172" s="889">
        <f>SUM(H171:H171)</f>
        <v>50</v>
      </c>
    </row>
    <row r="173" spans="1:9" s="804" customFormat="1" ht="50.1" customHeight="1" outlineLevel="1">
      <c r="A173" s="802"/>
      <c r="B173" s="741"/>
      <c r="C173" s="792"/>
      <c r="D173" s="819"/>
      <c r="E173" s="803"/>
      <c r="I173" s="819"/>
    </row>
    <row r="174" spans="1:9" s="804" customFormat="1" ht="50.1" customHeight="1" outlineLevel="1">
      <c r="A174" s="802"/>
      <c r="B174" s="754" t="s">
        <v>399</v>
      </c>
      <c r="C174" s="792"/>
      <c r="D174" s="819"/>
      <c r="E174" s="803"/>
      <c r="I174" s="819"/>
    </row>
    <row r="175" spans="1:9" s="753" customFormat="1" ht="50.1" customHeight="1" outlineLevel="1">
      <c r="A175" s="748"/>
      <c r="B175" s="890" t="s">
        <v>400</v>
      </c>
      <c r="C175" s="748"/>
      <c r="D175" s="794"/>
      <c r="E175" s="827"/>
      <c r="F175" s="782"/>
      <c r="G175" s="782"/>
      <c r="H175" s="782"/>
    </row>
    <row r="176" spans="1:9" s="798" customFormat="1" ht="50.1" customHeight="1" outlineLevel="1">
      <c r="A176" s="815">
        <v>103</v>
      </c>
      <c r="B176" s="787" t="s">
        <v>541</v>
      </c>
      <c r="C176" s="817" t="s">
        <v>597</v>
      </c>
      <c r="D176" s="817" t="s">
        <v>11</v>
      </c>
      <c r="E176" s="767">
        <v>2959.24</v>
      </c>
      <c r="F176" s="797">
        <v>250</v>
      </c>
      <c r="G176" s="846">
        <f t="shared" ref="G176:G184" si="12">+E176+F176</f>
        <v>3209.24</v>
      </c>
      <c r="H176" s="846">
        <v>50</v>
      </c>
    </row>
    <row r="177" spans="1:9" s="798" customFormat="1" ht="50.1" customHeight="1" outlineLevel="1">
      <c r="A177" s="815">
        <f t="shared" ref="A177:A184" si="13">A176+1</f>
        <v>104</v>
      </c>
      <c r="B177" s="816" t="s">
        <v>537</v>
      </c>
      <c r="C177" s="817" t="s">
        <v>597</v>
      </c>
      <c r="D177" s="817" t="s">
        <v>11</v>
      </c>
      <c r="E177" s="767">
        <f>2959.24+40.37</f>
        <v>2999.6099999999997</v>
      </c>
      <c r="F177" s="797">
        <v>450</v>
      </c>
      <c r="G177" s="797">
        <f t="shared" si="12"/>
        <v>3449.6099999999997</v>
      </c>
      <c r="H177" s="846">
        <v>50</v>
      </c>
    </row>
    <row r="178" spans="1:9" s="798" customFormat="1" ht="50.1" customHeight="1" outlineLevel="1">
      <c r="A178" s="815">
        <f t="shared" si="13"/>
        <v>105</v>
      </c>
      <c r="B178" s="787" t="s">
        <v>378</v>
      </c>
      <c r="C178" s="817" t="s">
        <v>597</v>
      </c>
      <c r="D178" s="817" t="s">
        <v>11</v>
      </c>
      <c r="E178" s="767">
        <v>2959.24</v>
      </c>
      <c r="F178" s="797">
        <v>250</v>
      </c>
      <c r="G178" s="846">
        <f t="shared" si="12"/>
        <v>3209.24</v>
      </c>
      <c r="H178" s="846">
        <v>50</v>
      </c>
    </row>
    <row r="179" spans="1:9" s="790" customFormat="1" ht="50.1" customHeight="1" outlineLevel="1">
      <c r="A179" s="815">
        <f t="shared" si="13"/>
        <v>106</v>
      </c>
      <c r="B179" s="787" t="s">
        <v>574</v>
      </c>
      <c r="C179" s="817" t="s">
        <v>595</v>
      </c>
      <c r="D179" s="760" t="s">
        <v>11</v>
      </c>
      <c r="E179" s="767">
        <v>2959.24</v>
      </c>
      <c r="F179" s="789">
        <f>250</f>
        <v>250</v>
      </c>
      <c r="G179" s="847">
        <f t="shared" si="12"/>
        <v>3209.24</v>
      </c>
      <c r="H179" s="846">
        <v>50</v>
      </c>
    </row>
    <row r="180" spans="1:9" s="790" customFormat="1" ht="50.1" customHeight="1" outlineLevel="1">
      <c r="A180" s="815">
        <f t="shared" si="13"/>
        <v>107</v>
      </c>
      <c r="B180" s="787" t="s">
        <v>633</v>
      </c>
      <c r="C180" s="817" t="s">
        <v>597</v>
      </c>
      <c r="D180" s="760" t="s">
        <v>11</v>
      </c>
      <c r="E180" s="767">
        <v>2959.24</v>
      </c>
      <c r="F180" s="789">
        <f>250</f>
        <v>250</v>
      </c>
      <c r="G180" s="847">
        <f t="shared" si="12"/>
        <v>3209.24</v>
      </c>
      <c r="H180" s="846">
        <v>50</v>
      </c>
    </row>
    <row r="181" spans="1:9" s="790" customFormat="1" ht="50.1" customHeight="1" outlineLevel="1">
      <c r="A181" s="815">
        <f t="shared" si="13"/>
        <v>108</v>
      </c>
      <c r="B181" s="787" t="s">
        <v>577</v>
      </c>
      <c r="C181" s="817" t="s">
        <v>595</v>
      </c>
      <c r="D181" s="760" t="s">
        <v>11</v>
      </c>
      <c r="E181" s="767">
        <v>2959.24</v>
      </c>
      <c r="F181" s="789">
        <f>250</f>
        <v>250</v>
      </c>
      <c r="G181" s="847">
        <f t="shared" si="12"/>
        <v>3209.24</v>
      </c>
      <c r="H181" s="846">
        <v>50</v>
      </c>
    </row>
    <row r="182" spans="1:9" s="790" customFormat="1" ht="50.1" customHeight="1" outlineLevel="1">
      <c r="A182" s="815">
        <f t="shared" si="13"/>
        <v>109</v>
      </c>
      <c r="B182" s="787" t="s">
        <v>632</v>
      </c>
      <c r="C182" s="817" t="s">
        <v>595</v>
      </c>
      <c r="D182" s="760" t="s">
        <v>11</v>
      </c>
      <c r="E182" s="767">
        <v>2959.24</v>
      </c>
      <c r="F182" s="789">
        <f>250</f>
        <v>250</v>
      </c>
      <c r="G182" s="847">
        <f t="shared" si="12"/>
        <v>3209.24</v>
      </c>
      <c r="H182" s="846">
        <v>50</v>
      </c>
    </row>
    <row r="183" spans="1:9" s="852" customFormat="1" ht="50.1" customHeight="1" outlineLevel="1">
      <c r="A183" s="815">
        <f>+A182+1</f>
        <v>110</v>
      </c>
      <c r="B183" s="816" t="s">
        <v>528</v>
      </c>
      <c r="C183" s="817" t="s">
        <v>595</v>
      </c>
      <c r="D183" s="817" t="s">
        <v>11</v>
      </c>
      <c r="E183" s="767">
        <v>2959.24</v>
      </c>
      <c r="F183" s="797">
        <v>250</v>
      </c>
      <c r="G183" s="846">
        <f t="shared" si="12"/>
        <v>3209.24</v>
      </c>
      <c r="H183" s="846">
        <v>50</v>
      </c>
    </row>
    <row r="184" spans="1:9" s="798" customFormat="1" ht="50.1" customHeight="1" outlineLevel="1">
      <c r="A184" s="815">
        <f t="shared" si="13"/>
        <v>111</v>
      </c>
      <c r="B184" s="787" t="s">
        <v>519</v>
      </c>
      <c r="C184" s="817" t="s">
        <v>600</v>
      </c>
      <c r="D184" s="817" t="s">
        <v>11</v>
      </c>
      <c r="E184" s="767">
        <v>2959.24</v>
      </c>
      <c r="F184" s="797">
        <f>250</f>
        <v>250</v>
      </c>
      <c r="G184" s="846">
        <f t="shared" si="12"/>
        <v>3209.24</v>
      </c>
      <c r="H184" s="846">
        <v>50</v>
      </c>
    </row>
    <row r="185" spans="1:9" s="841" customFormat="1" ht="50.1" customHeight="1" outlineLevel="1" thickBot="1">
      <c r="A185" s="849"/>
      <c r="B185" s="850"/>
      <c r="C185" s="841" t="s">
        <v>382</v>
      </c>
      <c r="D185" s="851"/>
      <c r="E185" s="842">
        <f>SUM(E176:E184)</f>
        <v>26673.529999999992</v>
      </c>
      <c r="F185" s="842">
        <f>SUM(F176:F184)</f>
        <v>2450</v>
      </c>
      <c r="G185" s="842">
        <f>SUM(G176:G184)</f>
        <v>29123.529999999992</v>
      </c>
      <c r="H185" s="842">
        <f>SUM(H176:H184)</f>
        <v>450</v>
      </c>
    </row>
    <row r="186" spans="1:9" s="804" customFormat="1" ht="50.1" customHeight="1" outlineLevel="1" thickTop="1">
      <c r="A186" s="802"/>
      <c r="B186" s="741"/>
      <c r="C186" s="792"/>
      <c r="D186" s="819"/>
      <c r="E186" s="803"/>
      <c r="I186" s="819"/>
    </row>
    <row r="187" spans="1:9" s="804" customFormat="1" ht="50.1" customHeight="1" outlineLevel="1">
      <c r="A187" s="802"/>
      <c r="B187" s="741"/>
      <c r="C187" s="792"/>
      <c r="D187" s="819"/>
      <c r="E187" s="803"/>
      <c r="I187" s="819"/>
    </row>
    <row r="188" spans="1:9" s="804" customFormat="1" ht="50.1" customHeight="1" outlineLevel="1">
      <c r="A188" s="802"/>
      <c r="B188" s="754" t="s">
        <v>429</v>
      </c>
      <c r="C188" s="891"/>
      <c r="D188" s="819"/>
      <c r="E188" s="803"/>
      <c r="I188" s="819"/>
    </row>
    <row r="189" spans="1:9" s="897" customFormat="1" ht="50.1" customHeight="1" outlineLevel="1">
      <c r="A189" s="892">
        <f>A184+1</f>
        <v>112</v>
      </c>
      <c r="B189" s="893" t="s">
        <v>540</v>
      </c>
      <c r="C189" s="894" t="s">
        <v>415</v>
      </c>
      <c r="D189" s="895" t="s">
        <v>11</v>
      </c>
      <c r="E189" s="896">
        <v>3000</v>
      </c>
      <c r="F189" s="896">
        <f>500</f>
        <v>500</v>
      </c>
      <c r="G189" s="896">
        <f>+E189+F189</f>
        <v>3500</v>
      </c>
      <c r="H189" s="896">
        <v>50</v>
      </c>
    </row>
    <row r="190" spans="1:9" s="770" customFormat="1" ht="50.1" customHeight="1" outlineLevel="1">
      <c r="A190" s="758">
        <f>A189+1</f>
        <v>113</v>
      </c>
      <c r="B190" s="764" t="s">
        <v>544</v>
      </c>
      <c r="C190" s="765" t="s">
        <v>415</v>
      </c>
      <c r="D190" s="766" t="s">
        <v>11</v>
      </c>
      <c r="E190" s="795">
        <v>3000</v>
      </c>
      <c r="F190" s="769">
        <v>250</v>
      </c>
      <c r="G190" s="769">
        <f>+E190+F190</f>
        <v>3250</v>
      </c>
      <c r="H190" s="769">
        <v>50</v>
      </c>
    </row>
    <row r="191" spans="1:9" s="775" customFormat="1" ht="50.1" customHeight="1" outlineLevel="1">
      <c r="A191" s="783">
        <f>A190+1</f>
        <v>114</v>
      </c>
      <c r="B191" s="759" t="s">
        <v>628</v>
      </c>
      <c r="C191" s="771" t="s">
        <v>415</v>
      </c>
      <c r="D191" s="772" t="s">
        <v>11</v>
      </c>
      <c r="E191" s="767">
        <v>3000</v>
      </c>
      <c r="F191" s="774">
        <v>250</v>
      </c>
      <c r="G191" s="774">
        <f>+E191+F191</f>
        <v>3250</v>
      </c>
      <c r="H191" s="774">
        <v>50</v>
      </c>
    </row>
    <row r="192" spans="1:9" s="838" customFormat="1" ht="50.1" customHeight="1" thickBot="1">
      <c r="A192" s="802"/>
      <c r="B192" s="741"/>
      <c r="C192" s="794" t="s">
        <v>434</v>
      </c>
      <c r="D192" s="777"/>
      <c r="E192" s="822">
        <f>SUM(E189:E191)</f>
        <v>9000</v>
      </c>
      <c r="F192" s="822">
        <f>SUM(F189:F191)</f>
        <v>1000</v>
      </c>
      <c r="G192" s="822">
        <f>SUM(G189:G191)</f>
        <v>10000</v>
      </c>
      <c r="H192" s="822">
        <f>SUM(H189:H191)</f>
        <v>150</v>
      </c>
      <c r="I192" s="777"/>
    </row>
    <row r="193" spans="1:9" s="804" customFormat="1" ht="50.1" customHeight="1" thickTop="1">
      <c r="A193" s="802"/>
      <c r="B193" s="741"/>
      <c r="C193" s="792"/>
      <c r="D193" s="819"/>
      <c r="I193" s="819"/>
    </row>
    <row r="194" spans="1:9" s="804" customFormat="1" ht="50.1" customHeight="1">
      <c r="A194" s="802"/>
      <c r="B194" s="741"/>
      <c r="C194" s="792"/>
      <c r="D194" s="819"/>
      <c r="I194" s="819"/>
    </row>
    <row r="195" spans="1:9" s="819" customFormat="1" ht="50.1" customHeight="1" thickBot="1">
      <c r="A195" s="748"/>
      <c r="B195" s="741"/>
      <c r="C195" s="794" t="s">
        <v>140</v>
      </c>
      <c r="E195" s="898"/>
      <c r="F195" s="898"/>
      <c r="G195" s="898"/>
      <c r="H195" s="898">
        <f>+H13+H40+H48+H60+H68+H78+H97+H112+H117+H130+H138+H144+H157+H161+H168+H172+H185+H192+H54+H34+H22</f>
        <v>6500</v>
      </c>
    </row>
    <row r="196" spans="1:9" s="804" customFormat="1" ht="50.1" customHeight="1" thickTop="1">
      <c r="A196" s="802"/>
      <c r="B196" s="741"/>
      <c r="C196" s="792"/>
      <c r="D196" s="819"/>
      <c r="I196" s="819"/>
    </row>
    <row r="197" spans="1:9" s="804" customFormat="1" ht="35.1" customHeight="1">
      <c r="A197" s="802"/>
      <c r="B197" s="741"/>
      <c r="C197" s="792"/>
      <c r="D197" s="819"/>
      <c r="G197" s="819"/>
      <c r="H197" s="819"/>
      <c r="I197" s="819"/>
    </row>
    <row r="198" spans="1:9" s="804" customFormat="1" ht="39.950000000000003" customHeight="1">
      <c r="A198" s="802"/>
      <c r="B198" s="741"/>
      <c r="C198" s="792"/>
      <c r="D198" s="819"/>
      <c r="G198" s="819"/>
      <c r="H198" s="819"/>
      <c r="I198" s="819"/>
    </row>
    <row r="199" spans="1:9" s="904" customFormat="1" ht="39.950000000000003" customHeight="1">
      <c r="A199" s="899"/>
      <c r="B199" s="900"/>
      <c r="C199" s="901"/>
      <c r="D199" s="902"/>
      <c r="E199" s="903"/>
      <c r="F199" s="903"/>
      <c r="G199" s="753"/>
    </row>
    <row r="200" spans="1:9" s="902" customFormat="1" ht="39.950000000000003" customHeight="1">
      <c r="A200" s="901"/>
      <c r="B200" s="900"/>
      <c r="C200" s="901"/>
      <c r="E200" s="901"/>
      <c r="F200" s="901"/>
    </row>
    <row r="201" spans="1:9" s="902" customFormat="1" ht="39.950000000000003" customHeight="1">
      <c r="A201" s="901"/>
      <c r="B201" s="900"/>
      <c r="C201" s="901"/>
      <c r="E201" s="901"/>
      <c r="F201" s="901"/>
    </row>
    <row r="202" spans="1:9" s="902" customFormat="1" ht="39.950000000000003" customHeight="1">
      <c r="A202" s="901"/>
      <c r="B202" s="900"/>
      <c r="C202" s="901"/>
      <c r="E202" s="901"/>
      <c r="F202" s="901"/>
    </row>
    <row r="203" spans="1:9" s="902" customFormat="1" ht="39.950000000000003" customHeight="1">
      <c r="A203" s="901"/>
      <c r="B203" s="900"/>
      <c r="C203" s="901"/>
      <c r="E203" s="901"/>
      <c r="F203" s="901"/>
    </row>
    <row r="204" spans="1:9" s="902" customFormat="1" ht="39.950000000000003" customHeight="1">
      <c r="A204" s="901"/>
      <c r="B204" s="905"/>
      <c r="C204" s="758"/>
      <c r="D204" s="770"/>
      <c r="E204" s="901"/>
      <c r="F204" s="901"/>
    </row>
    <row r="205" spans="1:9" s="902" customFormat="1" ht="39.950000000000003" customHeight="1">
      <c r="A205" s="901"/>
      <c r="B205" s="905"/>
      <c r="C205" s="758"/>
      <c r="D205" s="770"/>
      <c r="E205" s="901"/>
      <c r="F205" s="901"/>
    </row>
    <row r="206" spans="1:9" s="902" customFormat="1" ht="39.950000000000003" customHeight="1">
      <c r="A206" s="901"/>
      <c r="B206" s="905"/>
      <c r="C206" s="758"/>
      <c r="D206" s="770"/>
      <c r="E206" s="901"/>
      <c r="F206" s="901"/>
    </row>
    <row r="207" spans="1:9" s="902" customFormat="1" ht="39.950000000000003" customHeight="1">
      <c r="A207" s="901"/>
      <c r="B207" s="905"/>
      <c r="C207" s="758"/>
      <c r="D207" s="770"/>
      <c r="E207" s="901"/>
      <c r="F207" s="901"/>
    </row>
    <row r="208" spans="1:9" s="902" customFormat="1" ht="39.950000000000003" customHeight="1">
      <c r="A208" s="901"/>
      <c r="B208" s="905"/>
      <c r="C208" s="758"/>
      <c r="D208" s="770"/>
      <c r="E208" s="901"/>
      <c r="F208" s="901"/>
    </row>
    <row r="209" spans="1:6" s="902" customFormat="1" ht="39.950000000000003" customHeight="1">
      <c r="A209" s="901"/>
      <c r="B209" s="905"/>
      <c r="C209" s="758"/>
      <c r="D209" s="770"/>
      <c r="E209" s="901"/>
      <c r="F209" s="901"/>
    </row>
    <row r="210" spans="1:6" s="902" customFormat="1" ht="39.950000000000003" customHeight="1">
      <c r="A210" s="901"/>
      <c r="B210" s="905"/>
      <c r="C210" s="758"/>
      <c r="D210" s="770"/>
      <c r="E210" s="901"/>
      <c r="F210" s="901"/>
    </row>
    <row r="211" spans="1:6" s="902" customFormat="1" ht="39.950000000000003" customHeight="1">
      <c r="A211" s="901"/>
      <c r="B211" s="905"/>
      <c r="C211" s="758"/>
      <c r="D211" s="770"/>
      <c r="E211" s="901"/>
      <c r="F211" s="901"/>
    </row>
    <row r="212" spans="1:6" s="902" customFormat="1" ht="39.950000000000003" customHeight="1">
      <c r="A212" s="901"/>
      <c r="B212" s="905"/>
      <c r="C212" s="758"/>
      <c r="D212" s="770"/>
      <c r="E212" s="901"/>
      <c r="F212" s="901"/>
    </row>
    <row r="213" spans="1:6" s="902" customFormat="1" ht="39.950000000000003" customHeight="1">
      <c r="A213" s="901"/>
      <c r="B213" s="905"/>
      <c r="C213" s="758"/>
      <c r="D213" s="770"/>
      <c r="E213" s="901"/>
      <c r="F213" s="901"/>
    </row>
    <row r="214" spans="1:6" s="902" customFormat="1" ht="39.950000000000003" customHeight="1">
      <c r="A214" s="901"/>
      <c r="B214" s="905"/>
      <c r="C214" s="758"/>
      <c r="D214" s="770"/>
      <c r="E214" s="901"/>
      <c r="F214" s="901"/>
    </row>
    <row r="215" spans="1:6" s="902" customFormat="1" ht="39.950000000000003" customHeight="1">
      <c r="A215" s="901"/>
      <c r="B215" s="905"/>
      <c r="C215" s="758"/>
      <c r="D215" s="770"/>
      <c r="E215" s="901"/>
      <c r="F215" s="901"/>
    </row>
    <row r="216" spans="1:6" s="770" customFormat="1" ht="39.950000000000003" customHeight="1">
      <c r="A216" s="758"/>
      <c r="B216" s="735"/>
      <c r="C216" s="758"/>
      <c r="E216" s="903"/>
      <c r="F216" s="903"/>
    </row>
    <row r="217" spans="1:6" s="770" customFormat="1" ht="39.950000000000003" customHeight="1">
      <c r="A217" s="758"/>
      <c r="B217" s="735"/>
      <c r="C217" s="758"/>
      <c r="E217" s="901"/>
      <c r="F217" s="901"/>
    </row>
    <row r="218" spans="1:6" s="770" customFormat="1" ht="39.950000000000003" customHeight="1">
      <c r="A218" s="758"/>
      <c r="B218" s="735"/>
      <c r="C218" s="758"/>
      <c r="E218" s="901"/>
      <c r="F218" s="901"/>
    </row>
    <row r="219" spans="1:6" s="770" customFormat="1" ht="39.950000000000003" customHeight="1">
      <c r="A219" s="758"/>
      <c r="B219" s="735"/>
      <c r="C219" s="758"/>
      <c r="E219" s="901"/>
      <c r="F219" s="901"/>
    </row>
    <row r="220" spans="1:6" s="902" customFormat="1" ht="39.950000000000003" customHeight="1">
      <c r="A220" s="901"/>
      <c r="B220" s="905"/>
      <c r="C220" s="758"/>
      <c r="D220" s="770"/>
      <c r="E220" s="901"/>
      <c r="F220" s="901"/>
    </row>
    <row r="221" spans="1:6" s="902" customFormat="1" ht="39.950000000000003" customHeight="1">
      <c r="A221" s="901"/>
      <c r="B221" s="905"/>
      <c r="C221" s="758"/>
      <c r="D221" s="770"/>
      <c r="E221" s="901"/>
      <c r="F221" s="901"/>
    </row>
    <row r="222" spans="1:6" s="902" customFormat="1" ht="39.950000000000003" customHeight="1">
      <c r="A222" s="901"/>
      <c r="B222" s="900"/>
      <c r="C222" s="901"/>
      <c r="E222" s="901"/>
      <c r="F222" s="901"/>
    </row>
    <row r="223" spans="1:6" s="902" customFormat="1" ht="39.950000000000003" customHeight="1">
      <c r="A223" s="901"/>
      <c r="B223" s="900"/>
      <c r="C223" s="901"/>
      <c r="E223" s="901"/>
      <c r="F223" s="901"/>
    </row>
    <row r="224" spans="1:6" s="902" customFormat="1" ht="39.950000000000003" customHeight="1">
      <c r="A224" s="901"/>
      <c r="B224" s="900"/>
      <c r="C224" s="901"/>
      <c r="E224" s="901"/>
      <c r="F224" s="901"/>
    </row>
    <row r="225" spans="1:6" s="902" customFormat="1" ht="39.950000000000003" customHeight="1">
      <c r="A225" s="901"/>
      <c r="B225" s="905"/>
      <c r="C225" s="758"/>
      <c r="D225" s="770"/>
      <c r="E225" s="901"/>
      <c r="F225" s="901"/>
    </row>
    <row r="226" spans="1:6" s="902" customFormat="1" ht="39.950000000000003" customHeight="1">
      <c r="A226" s="901"/>
      <c r="B226" s="905"/>
      <c r="C226" s="758"/>
      <c r="D226" s="770"/>
      <c r="E226" s="901"/>
      <c r="F226" s="901"/>
    </row>
    <row r="227" spans="1:6" s="902" customFormat="1" ht="39.950000000000003" customHeight="1">
      <c r="A227" s="901"/>
      <c r="B227" s="900"/>
      <c r="C227" s="901"/>
      <c r="E227" s="901"/>
      <c r="F227" s="901"/>
    </row>
    <row r="228" spans="1:6" s="902" customFormat="1" ht="39.950000000000003" customHeight="1">
      <c r="A228" s="901"/>
      <c r="B228" s="900"/>
      <c r="C228" s="901"/>
      <c r="E228" s="901"/>
      <c r="F228" s="901"/>
    </row>
    <row r="229" spans="1:6" s="902" customFormat="1" ht="39.950000000000003" customHeight="1">
      <c r="A229" s="901"/>
      <c r="B229" s="900"/>
      <c r="C229" s="901"/>
      <c r="E229" s="901"/>
      <c r="F229" s="901"/>
    </row>
    <row r="230" spans="1:6" s="902" customFormat="1" ht="39.950000000000003" customHeight="1">
      <c r="A230" s="901"/>
      <c r="B230" s="905"/>
      <c r="C230" s="758"/>
      <c r="D230" s="770"/>
      <c r="E230" s="901"/>
      <c r="F230" s="901"/>
    </row>
    <row r="231" spans="1:6" s="902" customFormat="1" ht="39.950000000000003" customHeight="1">
      <c r="A231" s="901"/>
      <c r="B231" s="905"/>
      <c r="C231" s="758"/>
      <c r="D231" s="770"/>
      <c r="E231" s="901"/>
      <c r="F231" s="901"/>
    </row>
    <row r="232" spans="1:6" s="902" customFormat="1" ht="39.950000000000003" customHeight="1">
      <c r="A232" s="901"/>
      <c r="B232" s="905"/>
      <c r="C232" s="758"/>
      <c r="D232" s="770"/>
      <c r="E232" s="901"/>
      <c r="F232" s="901"/>
    </row>
    <row r="233" spans="1:6" s="902" customFormat="1" ht="39.950000000000003" customHeight="1">
      <c r="A233" s="901"/>
      <c r="B233" s="905"/>
      <c r="C233" s="758"/>
      <c r="D233" s="770"/>
      <c r="E233" s="901"/>
      <c r="F233" s="901"/>
    </row>
    <row r="234" spans="1:6" s="902" customFormat="1" ht="39.950000000000003" customHeight="1">
      <c r="A234" s="901"/>
      <c r="B234" s="905"/>
      <c r="C234" s="758"/>
      <c r="D234" s="770"/>
      <c r="E234" s="901"/>
      <c r="F234" s="901"/>
    </row>
    <row r="235" spans="1:6" s="902" customFormat="1" ht="39.950000000000003" customHeight="1">
      <c r="A235" s="901"/>
      <c r="B235" s="905"/>
      <c r="C235" s="758"/>
      <c r="D235" s="770"/>
      <c r="E235" s="901"/>
      <c r="F235" s="901"/>
    </row>
    <row r="236" spans="1:6" s="902" customFormat="1" ht="39.950000000000003" customHeight="1">
      <c r="A236" s="901"/>
      <c r="B236" s="905"/>
      <c r="C236" s="758"/>
      <c r="D236" s="770"/>
      <c r="E236" s="901"/>
      <c r="F236" s="901"/>
    </row>
    <row r="237" spans="1:6" s="902" customFormat="1" ht="39.950000000000003" customHeight="1">
      <c r="A237" s="901"/>
      <c r="B237" s="905"/>
      <c r="C237" s="758"/>
      <c r="D237" s="770"/>
      <c r="E237" s="901"/>
      <c r="F237" s="901"/>
    </row>
    <row r="238" spans="1:6" s="902" customFormat="1" ht="39.950000000000003" customHeight="1">
      <c r="A238" s="901"/>
      <c r="B238" s="905"/>
      <c r="C238" s="758"/>
      <c r="D238" s="770"/>
      <c r="E238" s="901"/>
      <c r="F238" s="901"/>
    </row>
    <row r="239" spans="1:6" s="902" customFormat="1" ht="39.950000000000003" customHeight="1">
      <c r="A239" s="901"/>
      <c r="B239" s="905"/>
      <c r="C239" s="758"/>
      <c r="D239" s="770"/>
      <c r="E239" s="901"/>
      <c r="F239" s="901"/>
    </row>
    <row r="240" spans="1:6" s="902" customFormat="1" ht="39.950000000000003" customHeight="1">
      <c r="A240" s="901"/>
      <c r="B240" s="905"/>
      <c r="C240" s="758"/>
      <c r="D240" s="770"/>
      <c r="E240" s="901"/>
      <c r="F240" s="901"/>
    </row>
    <row r="241" spans="1:6" s="902" customFormat="1" ht="39.950000000000003" customHeight="1">
      <c r="A241" s="901"/>
      <c r="B241" s="905"/>
      <c r="C241" s="758"/>
      <c r="D241" s="770"/>
      <c r="E241" s="901"/>
      <c r="F241" s="901"/>
    </row>
    <row r="242" spans="1:6" s="902" customFormat="1" ht="39.950000000000003" customHeight="1">
      <c r="A242" s="901"/>
      <c r="B242" s="905"/>
      <c r="C242" s="758"/>
      <c r="D242" s="770"/>
      <c r="E242" s="901"/>
      <c r="F242" s="901"/>
    </row>
    <row r="243" spans="1:6" s="770" customFormat="1" ht="39.950000000000003" customHeight="1">
      <c r="A243" s="758"/>
      <c r="B243" s="735"/>
      <c r="C243" s="758"/>
      <c r="E243" s="901"/>
      <c r="F243" s="901"/>
    </row>
    <row r="244" spans="1:6" s="902" customFormat="1" ht="39.950000000000003" customHeight="1">
      <c r="A244" s="901"/>
      <c r="B244" s="905"/>
      <c r="C244" s="758"/>
      <c r="D244" s="770"/>
      <c r="E244" s="901"/>
      <c r="F244" s="901"/>
    </row>
    <row r="245" spans="1:6" s="902" customFormat="1" ht="39.950000000000003" customHeight="1">
      <c r="A245" s="901"/>
      <c r="B245" s="905"/>
      <c r="C245" s="758"/>
      <c r="D245" s="770"/>
      <c r="E245" s="901"/>
      <c r="F245" s="901"/>
    </row>
    <row r="246" spans="1:6" s="902" customFormat="1" ht="39.950000000000003" customHeight="1">
      <c r="A246" s="901"/>
      <c r="B246" s="905"/>
      <c r="C246" s="758"/>
      <c r="D246" s="770"/>
      <c r="E246" s="901"/>
      <c r="F246" s="901"/>
    </row>
    <row r="247" spans="1:6" s="770" customFormat="1" ht="39.950000000000003" customHeight="1">
      <c r="A247" s="758"/>
      <c r="B247" s="735"/>
      <c r="C247" s="901"/>
      <c r="D247" s="902"/>
      <c r="E247" s="901"/>
      <c r="F247" s="901"/>
    </row>
    <row r="248" spans="1:6" s="770" customFormat="1" ht="39.950000000000003" customHeight="1">
      <c r="A248" s="758"/>
      <c r="B248" s="735"/>
      <c r="C248" s="901"/>
      <c r="D248" s="902"/>
      <c r="E248" s="901"/>
      <c r="F248" s="901"/>
    </row>
    <row r="249" spans="1:6" s="770" customFormat="1" ht="39.950000000000003" customHeight="1">
      <c r="A249" s="758"/>
      <c r="B249" s="735"/>
      <c r="C249" s="758"/>
      <c r="E249" s="903"/>
      <c r="F249" s="903"/>
    </row>
    <row r="250" spans="1:6" s="770" customFormat="1" ht="39.950000000000003" customHeight="1">
      <c r="A250" s="758"/>
      <c r="B250" s="735"/>
      <c r="C250" s="758"/>
      <c r="E250" s="903"/>
      <c r="F250" s="903"/>
    </row>
    <row r="251" spans="1:6" s="770" customFormat="1" ht="39.950000000000003" customHeight="1">
      <c r="A251" s="758"/>
      <c r="B251" s="735"/>
      <c r="C251" s="758"/>
      <c r="E251" s="903"/>
      <c r="F251" s="903"/>
    </row>
    <row r="252" spans="1:6" s="770" customFormat="1" ht="39.950000000000003" customHeight="1">
      <c r="A252" s="758"/>
      <c r="B252" s="735"/>
      <c r="C252" s="758"/>
      <c r="E252" s="903"/>
      <c r="F252" s="903"/>
    </row>
    <row r="253" spans="1:6" s="770" customFormat="1" ht="39.950000000000003" customHeight="1">
      <c r="A253" s="758"/>
      <c r="B253" s="735"/>
      <c r="C253" s="901"/>
      <c r="E253" s="901"/>
      <c r="F253" s="901"/>
    </row>
    <row r="254" spans="1:6" s="770" customFormat="1" ht="39.950000000000003" customHeight="1">
      <c r="A254" s="758"/>
      <c r="B254" s="735"/>
      <c r="C254" s="758"/>
      <c r="E254" s="901"/>
      <c r="F254" s="901"/>
    </row>
    <row r="255" spans="1:6" s="770" customFormat="1" ht="39.950000000000003" customHeight="1">
      <c r="A255" s="758"/>
      <c r="B255" s="735"/>
      <c r="C255" s="758"/>
      <c r="E255" s="901"/>
      <c r="F255" s="901"/>
    </row>
    <row r="256" spans="1:6" s="770" customFormat="1" ht="39.950000000000003" customHeight="1">
      <c r="A256" s="758"/>
      <c r="B256" s="735"/>
      <c r="C256" s="758"/>
      <c r="E256" s="901"/>
      <c r="F256" s="901"/>
    </row>
    <row r="257" spans="1:6" s="770" customFormat="1" ht="39.950000000000003" customHeight="1">
      <c r="A257" s="758"/>
      <c r="B257" s="735"/>
      <c r="C257" s="758"/>
      <c r="E257" s="901"/>
      <c r="F257" s="901"/>
    </row>
    <row r="258" spans="1:6" s="770" customFormat="1" ht="39.950000000000003" customHeight="1">
      <c r="A258" s="758"/>
      <c r="B258" s="735"/>
      <c r="C258" s="901"/>
      <c r="E258" s="901"/>
      <c r="F258" s="901"/>
    </row>
    <row r="259" spans="1:6" s="770" customFormat="1" ht="39.950000000000003" customHeight="1">
      <c r="A259" s="758"/>
      <c r="B259" s="735"/>
      <c r="C259" s="758"/>
      <c r="E259" s="901"/>
      <c r="F259" s="901"/>
    </row>
    <row r="260" spans="1:6" s="770" customFormat="1" ht="39.950000000000003" customHeight="1">
      <c r="A260" s="758"/>
      <c r="B260" s="735"/>
      <c r="C260" s="758"/>
      <c r="E260" s="901"/>
      <c r="F260" s="901"/>
    </row>
    <row r="261" spans="1:6" s="770" customFormat="1" ht="39.950000000000003" customHeight="1">
      <c r="A261" s="758"/>
      <c r="B261" s="735"/>
      <c r="C261" s="758"/>
      <c r="E261" s="901"/>
      <c r="F261" s="901"/>
    </row>
    <row r="262" spans="1:6" s="770" customFormat="1" ht="39.950000000000003" customHeight="1">
      <c r="A262" s="758"/>
      <c r="B262" s="735"/>
      <c r="C262" s="758"/>
      <c r="E262" s="901"/>
      <c r="F262" s="901"/>
    </row>
    <row r="263" spans="1:6" s="770" customFormat="1" ht="39.950000000000003" customHeight="1">
      <c r="A263" s="758"/>
      <c r="B263" s="735"/>
      <c r="C263" s="758"/>
      <c r="E263" s="901"/>
      <c r="F263" s="901"/>
    </row>
    <row r="264" spans="1:6" s="770" customFormat="1" ht="39.950000000000003" customHeight="1">
      <c r="A264" s="758"/>
      <c r="B264" s="735"/>
      <c r="C264" s="758"/>
      <c r="E264" s="901"/>
      <c r="F264" s="901"/>
    </row>
    <row r="265" spans="1:6" s="770" customFormat="1" ht="39.950000000000003" customHeight="1">
      <c r="A265" s="758"/>
      <c r="B265" s="735"/>
      <c r="C265" s="758"/>
      <c r="E265" s="901"/>
      <c r="F265" s="901"/>
    </row>
    <row r="266" spans="1:6" s="770" customFormat="1" ht="39.950000000000003" customHeight="1">
      <c r="A266" s="758"/>
      <c r="B266" s="735"/>
      <c r="C266" s="758"/>
      <c r="E266" s="901"/>
      <c r="F266" s="901"/>
    </row>
    <row r="267" spans="1:6" s="770" customFormat="1" ht="39.950000000000003" customHeight="1">
      <c r="A267" s="758"/>
      <c r="B267" s="735"/>
      <c r="C267" s="758"/>
      <c r="E267" s="901"/>
      <c r="F267" s="901"/>
    </row>
    <row r="268" spans="1:6" s="770" customFormat="1" ht="39.950000000000003" customHeight="1">
      <c r="A268" s="758"/>
      <c r="B268" s="735"/>
      <c r="C268" s="758"/>
      <c r="E268" s="901"/>
      <c r="F268" s="901"/>
    </row>
    <row r="269" spans="1:6" s="770" customFormat="1" ht="39.950000000000003" customHeight="1">
      <c r="A269" s="758"/>
      <c r="B269" s="735"/>
      <c r="C269" s="758"/>
      <c r="E269" s="901"/>
      <c r="F269" s="901"/>
    </row>
    <row r="270" spans="1:6" s="770" customFormat="1" ht="39.950000000000003" customHeight="1">
      <c r="A270" s="758"/>
      <c r="B270" s="735"/>
      <c r="C270" s="758"/>
      <c r="E270" s="901"/>
      <c r="F270" s="901"/>
    </row>
    <row r="271" spans="1:6" s="770" customFormat="1" ht="39.950000000000003" customHeight="1">
      <c r="A271" s="758"/>
      <c r="B271" s="735"/>
      <c r="C271" s="758"/>
      <c r="E271" s="901"/>
      <c r="F271" s="901"/>
    </row>
    <row r="272" spans="1:6" s="770" customFormat="1" ht="39.950000000000003" customHeight="1">
      <c r="A272" s="758"/>
      <c r="B272" s="735"/>
      <c r="C272" s="758"/>
      <c r="E272" s="901"/>
      <c r="F272" s="901"/>
    </row>
    <row r="273" spans="1:6" s="770" customFormat="1" ht="39.950000000000003" customHeight="1">
      <c r="A273" s="758"/>
      <c r="B273" s="735"/>
      <c r="C273" s="758"/>
      <c r="E273" s="901"/>
      <c r="F273" s="901"/>
    </row>
    <row r="274" spans="1:6" s="770" customFormat="1" ht="39.950000000000003" customHeight="1">
      <c r="A274" s="758"/>
      <c r="B274" s="735"/>
      <c r="C274" s="758"/>
      <c r="E274" s="901"/>
      <c r="F274" s="901"/>
    </row>
    <row r="275" spans="1:6" s="770" customFormat="1" ht="39.950000000000003" customHeight="1">
      <c r="A275" s="758"/>
      <c r="B275" s="735"/>
      <c r="C275" s="758"/>
      <c r="E275" s="901"/>
      <c r="F275" s="901"/>
    </row>
    <row r="276" spans="1:6" s="770" customFormat="1" ht="39.950000000000003" customHeight="1">
      <c r="A276" s="758"/>
      <c r="B276" s="735"/>
      <c r="C276" s="758"/>
      <c r="E276" s="901"/>
      <c r="F276" s="901"/>
    </row>
    <row r="277" spans="1:6" s="770" customFormat="1" ht="39.950000000000003" customHeight="1">
      <c r="A277" s="758"/>
      <c r="B277" s="735"/>
      <c r="C277" s="758"/>
      <c r="E277" s="901"/>
      <c r="F277" s="901"/>
    </row>
    <row r="278" spans="1:6" s="770" customFormat="1" ht="39.950000000000003" customHeight="1">
      <c r="A278" s="758"/>
      <c r="B278" s="735"/>
      <c r="C278" s="758"/>
      <c r="E278" s="901"/>
      <c r="F278" s="901"/>
    </row>
    <row r="279" spans="1:6" s="770" customFormat="1" ht="39.950000000000003" customHeight="1">
      <c r="A279" s="758"/>
      <c r="B279" s="735"/>
      <c r="C279" s="758"/>
      <c r="E279" s="901"/>
      <c r="F279" s="901"/>
    </row>
    <row r="280" spans="1:6" s="770" customFormat="1" ht="39.950000000000003" customHeight="1">
      <c r="A280" s="758"/>
      <c r="B280" s="735"/>
      <c r="C280" s="758"/>
      <c r="E280" s="901"/>
      <c r="F280" s="901"/>
    </row>
    <row r="281" spans="1:6" s="770" customFormat="1" ht="39.950000000000003" customHeight="1">
      <c r="A281" s="758"/>
      <c r="B281" s="735"/>
      <c r="C281" s="758"/>
      <c r="E281" s="901"/>
      <c r="F281" s="901"/>
    </row>
    <row r="282" spans="1:6" s="770" customFormat="1" ht="39.950000000000003" customHeight="1">
      <c r="A282" s="758"/>
      <c r="B282" s="735"/>
      <c r="C282" s="758"/>
      <c r="E282" s="903"/>
      <c r="F282" s="903"/>
    </row>
    <row r="283" spans="1:6" s="770" customFormat="1" ht="39.950000000000003" customHeight="1">
      <c r="A283" s="758"/>
      <c r="B283" s="735"/>
      <c r="C283" s="758"/>
      <c r="E283" s="903"/>
      <c r="F283" s="903"/>
    </row>
    <row r="284" spans="1:6" s="770" customFormat="1" ht="39.950000000000003" customHeight="1">
      <c r="A284" s="758"/>
      <c r="B284" s="735"/>
      <c r="C284" s="758"/>
      <c r="E284" s="758"/>
      <c r="F284" s="758"/>
    </row>
    <row r="285" spans="1:6" s="770" customFormat="1" ht="39.950000000000003" customHeight="1">
      <c r="A285" s="758"/>
      <c r="B285" s="735"/>
      <c r="C285" s="758"/>
      <c r="E285" s="758"/>
      <c r="F285" s="758"/>
    </row>
    <row r="286" spans="1:6" s="770" customFormat="1" ht="39.950000000000003" customHeight="1">
      <c r="A286" s="758"/>
      <c r="B286" s="735"/>
      <c r="C286" s="758"/>
      <c r="E286" s="758"/>
      <c r="F286" s="758"/>
    </row>
    <row r="287" spans="1:6" s="770" customFormat="1" ht="39.950000000000003" customHeight="1">
      <c r="A287" s="758"/>
      <c r="B287" s="735"/>
      <c r="C287" s="758"/>
      <c r="E287" s="758"/>
      <c r="F287" s="758"/>
    </row>
    <row r="288" spans="1:6" s="770" customFormat="1" ht="39.950000000000003" customHeight="1">
      <c r="A288" s="758"/>
      <c r="B288" s="735"/>
      <c r="C288" s="758"/>
      <c r="E288" s="758"/>
      <c r="F288" s="758"/>
    </row>
    <row r="289" spans="1:8" s="770" customFormat="1" ht="39.950000000000003" customHeight="1">
      <c r="A289" s="758"/>
      <c r="B289" s="735"/>
      <c r="C289" s="758"/>
      <c r="E289" s="758"/>
      <c r="F289" s="758"/>
    </row>
    <row r="290" spans="1:8" s="770" customFormat="1" ht="39.950000000000003" customHeight="1">
      <c r="A290" s="758"/>
      <c r="B290" s="735"/>
      <c r="C290" s="758"/>
      <c r="E290" s="758"/>
      <c r="F290" s="758"/>
    </row>
    <row r="291" spans="1:8" s="770" customFormat="1" ht="39.950000000000003" customHeight="1">
      <c r="A291" s="758"/>
      <c r="B291" s="735"/>
      <c r="C291" s="758"/>
      <c r="E291" s="758"/>
      <c r="F291" s="758"/>
    </row>
    <row r="292" spans="1:8" s="770" customFormat="1" ht="39.950000000000003" customHeight="1">
      <c r="A292" s="758"/>
      <c r="B292" s="735"/>
      <c r="C292" s="758"/>
      <c r="E292" s="903"/>
      <c r="F292" s="903"/>
    </row>
    <row r="293" spans="1:8" s="770" customFormat="1" ht="39.950000000000003" customHeight="1">
      <c r="A293" s="758"/>
      <c r="B293" s="735"/>
      <c r="C293" s="758"/>
      <c r="E293" s="903"/>
      <c r="F293" s="903"/>
    </row>
    <row r="294" spans="1:8" s="770" customFormat="1" ht="39.950000000000003" customHeight="1">
      <c r="A294" s="758"/>
      <c r="B294" s="735"/>
      <c r="C294" s="758"/>
      <c r="E294" s="903"/>
      <c r="F294" s="903"/>
    </row>
    <row r="295" spans="1:8" s="770" customFormat="1" ht="39.950000000000003" customHeight="1">
      <c r="A295" s="758"/>
      <c r="B295" s="735"/>
      <c r="C295" s="758"/>
      <c r="E295" s="903"/>
      <c r="F295" s="903"/>
    </row>
    <row r="296" spans="1:8" s="770" customFormat="1" ht="39.950000000000003" customHeight="1">
      <c r="A296" s="758"/>
      <c r="B296" s="735"/>
      <c r="C296" s="758"/>
      <c r="E296" s="903"/>
      <c r="F296" s="903"/>
    </row>
    <row r="297" spans="1:8" s="770" customFormat="1" ht="39.950000000000003" customHeight="1">
      <c r="A297" s="758"/>
      <c r="B297" s="735"/>
      <c r="C297" s="758"/>
      <c r="E297" s="903"/>
      <c r="F297" s="903"/>
    </row>
    <row r="298" spans="1:8" s="770" customFormat="1" ht="39.950000000000003" customHeight="1">
      <c r="A298" s="758"/>
      <c r="B298" s="735"/>
      <c r="C298" s="758"/>
      <c r="E298" s="758"/>
      <c r="F298" s="758"/>
    </row>
    <row r="299" spans="1:8" s="770" customFormat="1" ht="39.950000000000003" customHeight="1">
      <c r="A299" s="758"/>
      <c r="B299" s="735"/>
      <c r="C299" s="758"/>
      <c r="E299" s="758"/>
      <c r="F299" s="758"/>
    </row>
    <row r="300" spans="1:8" s="770" customFormat="1" ht="39.950000000000003" customHeight="1">
      <c r="A300" s="758"/>
      <c r="B300" s="735"/>
      <c r="C300" s="758"/>
      <c r="E300" s="901"/>
      <c r="F300" s="901"/>
    </row>
    <row r="301" spans="1:8" s="770" customFormat="1" ht="39.950000000000003" customHeight="1">
      <c r="A301" s="758"/>
      <c r="B301" s="735"/>
      <c r="C301" s="758"/>
      <c r="E301" s="901"/>
      <c r="F301" s="901"/>
    </row>
    <row r="302" spans="1:8" s="770" customFormat="1" ht="39.950000000000003" customHeight="1">
      <c r="A302" s="758"/>
      <c r="B302" s="735"/>
      <c r="C302" s="758"/>
      <c r="E302" s="902"/>
      <c r="F302" s="902"/>
    </row>
    <row r="303" spans="1:8" s="770" customFormat="1" ht="39.950000000000003" customHeight="1">
      <c r="A303" s="758"/>
      <c r="B303" s="735"/>
      <c r="C303" s="758"/>
      <c r="E303" s="902"/>
      <c r="F303" s="902"/>
    </row>
    <row r="304" spans="1:8" ht="39.950000000000003" customHeight="1">
      <c r="G304" s="727"/>
      <c r="H304" s="727"/>
    </row>
    <row r="305" spans="7:8" ht="39.950000000000003" customHeight="1">
      <c r="G305" s="727"/>
      <c r="H305" s="727"/>
    </row>
    <row r="306" spans="7:8" ht="39.950000000000003" customHeight="1">
      <c r="G306" s="727"/>
      <c r="H306" s="727"/>
    </row>
    <row r="307" spans="7:8" ht="39.950000000000003" customHeight="1">
      <c r="G307" s="727"/>
      <c r="H307" s="727"/>
    </row>
    <row r="308" spans="7:8" ht="39.950000000000003" customHeight="1">
      <c r="G308" s="727"/>
      <c r="H308" s="727"/>
    </row>
    <row r="309" spans="7:8" ht="39.950000000000003" customHeight="1">
      <c r="G309" s="727"/>
      <c r="H309" s="727"/>
    </row>
  </sheetData>
  <sheetProtection selectLockedCells="1" selectUnlockedCells="1"/>
  <autoFilter ref="A7:J197" xr:uid="{00000000-0009-0000-0000-000001000000}"/>
  <mergeCells count="1">
    <mergeCell ref="D6:G6"/>
  </mergeCells>
  <conditionalFormatting sqref="A192:A1048576 A152 A66:A72 A157:A190 A48:A58 A34:A43 A60:A64 A1:A32 A78:A150">
    <cfRule type="duplicateValues" dxfId="871" priority="62"/>
  </conditionalFormatting>
  <conditionalFormatting sqref="A151 A153:A156">
    <cfRule type="duplicateValues" dxfId="870" priority="60"/>
  </conditionalFormatting>
  <conditionalFormatting sqref="A151:B151 A153:A156">
    <cfRule type="duplicateValues" dxfId="869" priority="59"/>
  </conditionalFormatting>
  <conditionalFormatting sqref="A44">
    <cfRule type="duplicateValues" dxfId="868" priority="63"/>
  </conditionalFormatting>
  <conditionalFormatting sqref="A65">
    <cfRule type="duplicateValues" dxfId="867" priority="58"/>
  </conditionalFormatting>
  <conditionalFormatting sqref="A65:B65">
    <cfRule type="duplicateValues" dxfId="866" priority="57"/>
  </conditionalFormatting>
  <conditionalFormatting sqref="B129">
    <cfRule type="duplicateValues" dxfId="865" priority="56"/>
  </conditionalFormatting>
  <conditionalFormatting sqref="B129">
    <cfRule type="duplicateValues" dxfId="864" priority="55"/>
  </conditionalFormatting>
  <conditionalFormatting sqref="B129">
    <cfRule type="duplicateValues" dxfId="863" priority="54"/>
  </conditionalFormatting>
  <conditionalFormatting sqref="B134:B135">
    <cfRule type="duplicateValues" dxfId="862" priority="53"/>
  </conditionalFormatting>
  <conditionalFormatting sqref="B134:B135">
    <cfRule type="duplicateValues" dxfId="861" priority="52"/>
  </conditionalFormatting>
  <conditionalFormatting sqref="B134:B135">
    <cfRule type="duplicateValues" dxfId="860" priority="51"/>
  </conditionalFormatting>
  <conditionalFormatting sqref="B87">
    <cfRule type="duplicateValues" dxfId="859" priority="50"/>
  </conditionalFormatting>
  <conditionalFormatting sqref="B87">
    <cfRule type="duplicateValues" dxfId="858" priority="49"/>
  </conditionalFormatting>
  <conditionalFormatting sqref="B87">
    <cfRule type="duplicateValues" dxfId="857" priority="48"/>
  </conditionalFormatting>
  <conditionalFormatting sqref="B192:B1048576 B48:B58 B1:B9 B97:B107 B112:B128 B130:B133 B34:B46 B11:B32 B138:B190 B76:B86 B60:B72">
    <cfRule type="duplicateValues" dxfId="856" priority="64"/>
  </conditionalFormatting>
  <conditionalFormatting sqref="B192:B1048576 B1:B9 B97:B107 B112:B128 B130:B133 B34:B46 B48:B58 B11:B32 B138:B190 B76:B86 B60:B72">
    <cfRule type="duplicateValues" dxfId="855" priority="65"/>
  </conditionalFormatting>
  <conditionalFormatting sqref="B192:B1048576 B1:B9 B97:B107 B34:B46 B48:B58 B11:B32 B138:B190 B112:B135 B76:B87 B60:B72">
    <cfRule type="duplicateValues" dxfId="854" priority="66"/>
  </conditionalFormatting>
  <conditionalFormatting sqref="B47">
    <cfRule type="duplicateValues" dxfId="853" priority="44"/>
  </conditionalFormatting>
  <conditionalFormatting sqref="B47">
    <cfRule type="duplicateValues" dxfId="852" priority="45"/>
  </conditionalFormatting>
  <conditionalFormatting sqref="B47">
    <cfRule type="duplicateValues" dxfId="851" priority="46"/>
  </conditionalFormatting>
  <conditionalFormatting sqref="B47">
    <cfRule type="duplicateValues" dxfId="850" priority="47"/>
  </conditionalFormatting>
  <conditionalFormatting sqref="B108">
    <cfRule type="duplicateValues" dxfId="849" priority="67"/>
  </conditionalFormatting>
  <conditionalFormatting sqref="B108">
    <cfRule type="duplicateValues" dxfId="848" priority="68"/>
  </conditionalFormatting>
  <conditionalFormatting sqref="B109:B111">
    <cfRule type="duplicateValues" dxfId="847" priority="42"/>
  </conditionalFormatting>
  <conditionalFormatting sqref="B109:B111">
    <cfRule type="duplicateValues" dxfId="846" priority="43"/>
  </conditionalFormatting>
  <conditionalFormatting sqref="B88:B89">
    <cfRule type="duplicateValues" dxfId="845" priority="40"/>
  </conditionalFormatting>
  <conditionalFormatting sqref="B88:B89">
    <cfRule type="duplicateValues" dxfId="844" priority="39"/>
  </conditionalFormatting>
  <conditionalFormatting sqref="B88:B89">
    <cfRule type="duplicateValues" dxfId="843" priority="38"/>
  </conditionalFormatting>
  <conditionalFormatting sqref="B88:B89">
    <cfRule type="duplicateValues" dxfId="842" priority="41"/>
  </conditionalFormatting>
  <conditionalFormatting sqref="A191">
    <cfRule type="duplicateValues" dxfId="841" priority="34"/>
  </conditionalFormatting>
  <conditionalFormatting sqref="A191:B191">
    <cfRule type="duplicateValues" dxfId="840" priority="33"/>
  </conditionalFormatting>
  <conditionalFormatting sqref="B191">
    <cfRule type="duplicateValues" dxfId="839" priority="35"/>
  </conditionalFormatting>
  <conditionalFormatting sqref="B191">
    <cfRule type="duplicateValues" dxfId="838" priority="36"/>
  </conditionalFormatting>
  <conditionalFormatting sqref="B191">
    <cfRule type="duplicateValues" dxfId="837" priority="37"/>
  </conditionalFormatting>
  <conditionalFormatting sqref="A33">
    <cfRule type="duplicateValues" dxfId="836" priority="29"/>
  </conditionalFormatting>
  <conditionalFormatting sqref="A33:B33">
    <cfRule type="duplicateValues" dxfId="835" priority="28"/>
  </conditionalFormatting>
  <conditionalFormatting sqref="B33">
    <cfRule type="duplicateValues" dxfId="834" priority="30"/>
  </conditionalFormatting>
  <conditionalFormatting sqref="B33">
    <cfRule type="duplicateValues" dxfId="833" priority="31"/>
  </conditionalFormatting>
  <conditionalFormatting sqref="B33">
    <cfRule type="duplicateValues" dxfId="832" priority="32"/>
  </conditionalFormatting>
  <conditionalFormatting sqref="B138:B1048576 B1:B9 B11:B58 B97:B135 B76:B89 B60:B72">
    <cfRule type="duplicateValues" dxfId="831" priority="27"/>
  </conditionalFormatting>
  <conditionalFormatting sqref="B138:B1048576">
    <cfRule type="duplicateValues" dxfId="830" priority="26"/>
  </conditionalFormatting>
  <conditionalFormatting sqref="B10">
    <cfRule type="duplicateValues" dxfId="829" priority="22"/>
  </conditionalFormatting>
  <conditionalFormatting sqref="B10">
    <cfRule type="duplicateValues" dxfId="828" priority="23"/>
  </conditionalFormatting>
  <conditionalFormatting sqref="B10">
    <cfRule type="duplicateValues" dxfId="827" priority="24"/>
  </conditionalFormatting>
  <conditionalFormatting sqref="B10">
    <cfRule type="duplicateValues" dxfId="826" priority="25"/>
  </conditionalFormatting>
  <conditionalFormatting sqref="B10">
    <cfRule type="duplicateValues" dxfId="825" priority="21"/>
  </conditionalFormatting>
  <conditionalFormatting sqref="B10">
    <cfRule type="duplicateValues" dxfId="824" priority="20"/>
  </conditionalFormatting>
  <conditionalFormatting sqref="B136">
    <cfRule type="duplicateValues" dxfId="823" priority="69"/>
  </conditionalFormatting>
  <conditionalFormatting sqref="B136">
    <cfRule type="duplicateValues" dxfId="822" priority="70"/>
  </conditionalFormatting>
  <conditionalFormatting sqref="B96">
    <cfRule type="duplicateValues" dxfId="821" priority="18"/>
  </conditionalFormatting>
  <conditionalFormatting sqref="B96">
    <cfRule type="duplicateValues" dxfId="820" priority="17"/>
  </conditionalFormatting>
  <conditionalFormatting sqref="B96">
    <cfRule type="duplicateValues" dxfId="819" priority="16"/>
  </conditionalFormatting>
  <conditionalFormatting sqref="B96">
    <cfRule type="duplicateValues" dxfId="818" priority="19"/>
  </conditionalFormatting>
  <conditionalFormatting sqref="B96">
    <cfRule type="duplicateValues" dxfId="817" priority="15"/>
  </conditionalFormatting>
  <conditionalFormatting sqref="B96">
    <cfRule type="duplicateValues" dxfId="816" priority="14"/>
  </conditionalFormatting>
  <conditionalFormatting sqref="A192:B1048576 A152:B152 A66:B72 A130:B133 A97:B102 A112:B123 A1:B9 B103:B107 B124:B128 A124:A129 B153:B156 A157:B190 B11:B12 A138:B150 A48:B58 A34:B44 A78:B81 B76:B77 B82:B86 A82:A96 A60:B64 A134:A137 A10:A12 A13:B32 A103:A111">
    <cfRule type="duplicateValues" dxfId="815" priority="71"/>
  </conditionalFormatting>
  <conditionalFormatting sqref="B90:B95">
    <cfRule type="duplicateValues" dxfId="814" priority="72"/>
  </conditionalFormatting>
  <conditionalFormatting sqref="B137">
    <cfRule type="duplicateValues" dxfId="813" priority="73"/>
  </conditionalFormatting>
  <conditionalFormatting sqref="B46">
    <cfRule type="duplicateValues" dxfId="812" priority="74"/>
  </conditionalFormatting>
  <conditionalFormatting sqref="A73:A77">
    <cfRule type="duplicateValues" dxfId="811" priority="9"/>
  </conditionalFormatting>
  <conditionalFormatting sqref="B73:B75">
    <cfRule type="duplicateValues" dxfId="810" priority="10"/>
  </conditionalFormatting>
  <conditionalFormatting sqref="B73:B75">
    <cfRule type="duplicateValues" dxfId="809" priority="11"/>
  </conditionalFormatting>
  <conditionalFormatting sqref="B73:B75">
    <cfRule type="duplicateValues" dxfId="808" priority="12"/>
  </conditionalFormatting>
  <conditionalFormatting sqref="B73:B75">
    <cfRule type="duplicateValues" dxfId="807" priority="8"/>
  </conditionalFormatting>
  <conditionalFormatting sqref="A73:B75 A76:A77">
    <cfRule type="duplicateValues" dxfId="806" priority="13"/>
  </conditionalFormatting>
  <conditionalFormatting sqref="A59">
    <cfRule type="duplicateValues" dxfId="805" priority="3"/>
  </conditionalFormatting>
  <conditionalFormatting sqref="B59">
    <cfRule type="duplicateValues" dxfId="804" priority="4"/>
  </conditionalFormatting>
  <conditionalFormatting sqref="B59">
    <cfRule type="duplicateValues" dxfId="803" priority="5"/>
  </conditionalFormatting>
  <conditionalFormatting sqref="B59">
    <cfRule type="duplicateValues" dxfId="802" priority="6"/>
  </conditionalFormatting>
  <conditionalFormatting sqref="B59">
    <cfRule type="duplicateValues" dxfId="801" priority="2"/>
  </conditionalFormatting>
  <conditionalFormatting sqref="A59:B59">
    <cfRule type="duplicateValues" dxfId="800" priority="7"/>
  </conditionalFormatting>
  <conditionalFormatting sqref="B45">
    <cfRule type="duplicateValues" dxfId="799" priority="75"/>
  </conditionalFormatting>
  <conditionalFormatting sqref="A45:A47">
    <cfRule type="duplicateValues" dxfId="798" priority="76"/>
  </conditionalFormatting>
  <pageMargins left="0.7" right="0.7" top="0.75" bottom="0.75" header="0.51180555555555551" footer="0.51180555555555551"/>
  <pageSetup scale="14" firstPageNumber="0" fitToWidth="0" fitToHeight="2" orientation="portrait" horizontalDpi="4294967293" verticalDpi="300" r:id="rId1"/>
  <headerFooter alignWithMargins="0"/>
  <rowBreaks count="2" manualBreakCount="2">
    <brk id="98" max="96" man="1"/>
    <brk id="197" max="96"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57"/>
  </sheetPr>
  <dimension ref="A1:CX251"/>
  <sheetViews>
    <sheetView showGridLines="0" view="pageBreakPreview" zoomScale="60" zoomScaleNormal="95" workbookViewId="0">
      <pane xSplit="3" ySplit="7" topLeftCell="D94" activePane="bottomRight" state="frozen"/>
      <selection activeCell="H25" sqref="H25"/>
      <selection pane="topRight" activeCell="H25" sqref="H25"/>
      <selection pane="bottomLeft" activeCell="H25" sqref="H25"/>
      <selection pane="bottomRight" activeCell="B100" sqref="B100"/>
    </sheetView>
  </sheetViews>
  <sheetFormatPr baseColWidth="10" defaultColWidth="11.42578125" defaultRowHeight="23.25" outlineLevelRow="1" outlineLevelCol="1"/>
  <cols>
    <col min="1" max="1" width="7.140625" style="486" customWidth="1"/>
    <col min="2" max="2" width="36.28515625" style="500" customWidth="1"/>
    <col min="3" max="3" width="25.28515625" style="486" customWidth="1"/>
    <col min="4" max="4" width="12" style="491" customWidth="1"/>
    <col min="5" max="5" width="11.28515625" style="501" customWidth="1" outlineLevel="1"/>
    <col min="6" max="6" width="13.42578125" style="501" customWidth="1" outlineLevel="1"/>
    <col min="7" max="7" width="10.7109375" style="501" customWidth="1" outlineLevel="1"/>
    <col min="8" max="8" width="12" style="502" customWidth="1" outlineLevel="1"/>
    <col min="9" max="9" width="13" style="502" customWidth="1" outlineLevel="1"/>
    <col min="10" max="10" width="19.42578125" style="502" bestFit="1" customWidth="1" outlineLevel="1"/>
    <col min="11" max="11" width="21.140625" style="502" bestFit="1" customWidth="1" outlineLevel="1"/>
    <col min="12" max="12" width="11.85546875" style="491" bestFit="1" customWidth="1"/>
    <col min="13" max="13" width="51.5703125" style="500" customWidth="1"/>
    <col min="14" max="14" width="28.42578125" style="462" customWidth="1"/>
    <col min="15" max="15" width="27.140625" style="491" customWidth="1"/>
    <col min="16" max="16" width="21.5703125" style="691" customWidth="1" outlineLevel="1"/>
    <col min="17" max="17" width="20.5703125" style="691" customWidth="1" outlineLevel="1"/>
    <col min="18" max="18" width="28.140625" style="691" customWidth="1" outlineLevel="1"/>
    <col min="19" max="21" width="11.140625" style="502" customWidth="1" outlineLevel="1"/>
    <col min="22" max="22" width="11.28515625" style="502" customWidth="1" outlineLevel="1"/>
    <col min="23" max="16384" width="11.42578125" style="491"/>
  </cols>
  <sheetData>
    <row r="1" spans="1:22">
      <c r="B1" s="487">
        <v>1</v>
      </c>
      <c r="C1" s="488">
        <v>2</v>
      </c>
      <c r="D1" s="489">
        <v>3</v>
      </c>
      <c r="E1" s="490">
        <v>4</v>
      </c>
      <c r="F1" s="489">
        <v>5</v>
      </c>
      <c r="G1" s="490">
        <v>6</v>
      </c>
      <c r="H1" s="490">
        <v>8</v>
      </c>
      <c r="I1" s="489">
        <v>9</v>
      </c>
      <c r="J1" s="490">
        <v>10</v>
      </c>
      <c r="K1" s="489">
        <v>13</v>
      </c>
      <c r="M1" s="487">
        <v>1</v>
      </c>
      <c r="N1" s="463">
        <v>2</v>
      </c>
      <c r="O1" s="489">
        <v>3</v>
      </c>
      <c r="P1" s="689">
        <v>4</v>
      </c>
      <c r="Q1" s="690">
        <v>5</v>
      </c>
      <c r="R1" s="689">
        <v>6</v>
      </c>
      <c r="S1" s="490">
        <v>8</v>
      </c>
      <c r="T1" s="489">
        <v>9</v>
      </c>
      <c r="U1" s="490">
        <v>10</v>
      </c>
      <c r="V1" s="489">
        <v>13</v>
      </c>
    </row>
    <row r="2" spans="1:22" s="496" customFormat="1">
      <c r="A2" s="492"/>
      <c r="B2" s="493" t="s">
        <v>0</v>
      </c>
      <c r="C2" s="494"/>
      <c r="D2" s="495"/>
      <c r="H2" s="497"/>
      <c r="I2" s="497"/>
      <c r="J2" s="497"/>
      <c r="K2" s="497"/>
      <c r="L2" s="491"/>
      <c r="M2" s="493" t="s">
        <v>0</v>
      </c>
      <c r="N2" s="464"/>
      <c r="O2" s="495"/>
      <c r="P2" s="689"/>
      <c r="Q2" s="689"/>
      <c r="R2" s="689"/>
      <c r="S2" s="497"/>
      <c r="T2" s="497"/>
      <c r="U2" s="497"/>
      <c r="V2" s="497"/>
    </row>
    <row r="3" spans="1:22">
      <c r="B3" s="498" t="s">
        <v>693</v>
      </c>
      <c r="C3" s="499"/>
      <c r="E3" s="491"/>
      <c r="F3" s="491"/>
      <c r="G3" s="491"/>
      <c r="H3" s="491"/>
      <c r="I3" s="491"/>
      <c r="J3" s="491"/>
      <c r="K3" s="491"/>
      <c r="M3" s="498" t="s">
        <v>693</v>
      </c>
      <c r="N3" s="465"/>
      <c r="S3" s="491"/>
      <c r="T3" s="491"/>
      <c r="U3" s="491"/>
      <c r="V3" s="491"/>
    </row>
    <row r="4" spans="1:22" ht="12.75" customHeight="1">
      <c r="C4" s="494"/>
      <c r="N4" s="464"/>
    </row>
    <row r="5" spans="1:22" s="505" customFormat="1" ht="15" customHeight="1">
      <c r="A5" s="503"/>
      <c r="B5" s="504"/>
      <c r="C5" s="503" t="s">
        <v>54</v>
      </c>
      <c r="E5" s="505">
        <v>5</v>
      </c>
      <c r="F5" s="505">
        <v>6</v>
      </c>
      <c r="H5" s="506"/>
      <c r="I5" s="506"/>
      <c r="J5" s="506"/>
      <c r="K5" s="506"/>
      <c r="M5" s="504"/>
      <c r="N5" s="466" t="s">
        <v>54</v>
      </c>
      <c r="P5" s="691">
        <v>5</v>
      </c>
      <c r="Q5" s="691">
        <v>6</v>
      </c>
      <c r="R5" s="691"/>
      <c r="S5" s="506"/>
      <c r="T5" s="506"/>
      <c r="U5" s="506"/>
      <c r="V5" s="506"/>
    </row>
    <row r="6" spans="1:22" s="510" customFormat="1" ht="30" customHeight="1" thickBot="1">
      <c r="A6" s="507"/>
      <c r="B6" s="508"/>
      <c r="C6" s="509"/>
      <c r="D6" s="2255" t="s">
        <v>1</v>
      </c>
      <c r="E6" s="2255"/>
      <c r="F6" s="2255"/>
      <c r="G6" s="2255"/>
      <c r="H6" s="2255"/>
      <c r="I6" s="2255"/>
      <c r="J6" s="2255"/>
      <c r="K6" s="2255"/>
      <c r="M6" s="508"/>
      <c r="N6" s="467"/>
      <c r="O6" s="2255" t="s">
        <v>1</v>
      </c>
      <c r="P6" s="2255"/>
      <c r="Q6" s="2255"/>
      <c r="R6" s="2255"/>
      <c r="S6" s="2255"/>
      <c r="T6" s="2255"/>
      <c r="U6" s="2255"/>
      <c r="V6" s="2255"/>
    </row>
    <row r="7" spans="1:22" ht="30" customHeight="1" thickBot="1">
      <c r="B7" s="511" t="s">
        <v>37</v>
      </c>
      <c r="C7" s="512" t="s">
        <v>38</v>
      </c>
      <c r="D7" s="513" t="s">
        <v>444</v>
      </c>
      <c r="E7" s="513" t="s">
        <v>443</v>
      </c>
      <c r="F7" s="513" t="s">
        <v>445</v>
      </c>
      <c r="G7" s="513" t="s">
        <v>19</v>
      </c>
      <c r="H7" s="513" t="s">
        <v>447</v>
      </c>
      <c r="I7" s="513" t="s">
        <v>21</v>
      </c>
      <c r="J7" s="513" t="s">
        <v>448</v>
      </c>
      <c r="K7" s="513" t="s">
        <v>451</v>
      </c>
      <c r="M7" s="511" t="s">
        <v>37</v>
      </c>
      <c r="N7" s="468" t="s">
        <v>38</v>
      </c>
      <c r="O7" s="513" t="s">
        <v>444</v>
      </c>
      <c r="P7" s="692" t="s">
        <v>443</v>
      </c>
      <c r="Q7" s="692" t="s">
        <v>445</v>
      </c>
      <c r="R7" s="692" t="s">
        <v>19</v>
      </c>
      <c r="S7" s="513" t="s">
        <v>447</v>
      </c>
      <c r="T7" s="513" t="s">
        <v>21</v>
      </c>
      <c r="U7" s="513" t="s">
        <v>448</v>
      </c>
      <c r="V7" s="513" t="s">
        <v>451</v>
      </c>
    </row>
    <row r="8" spans="1:22" s="520" customFormat="1" ht="30" customHeight="1">
      <c r="A8" s="514"/>
      <c r="B8" s="508" t="s">
        <v>53</v>
      </c>
      <c r="C8" s="515"/>
      <c r="D8" s="516"/>
      <c r="E8" s="517"/>
      <c r="F8" s="517"/>
      <c r="G8" s="518"/>
      <c r="H8" s="519"/>
      <c r="I8" s="519"/>
      <c r="J8" s="519"/>
      <c r="K8" s="519"/>
      <c r="M8" s="508" t="s">
        <v>53</v>
      </c>
      <c r="N8" s="470"/>
      <c r="O8" s="516"/>
      <c r="P8" s="693"/>
      <c r="Q8" s="693"/>
      <c r="R8" s="694"/>
      <c r="S8" s="519"/>
      <c r="T8" s="519"/>
      <c r="U8" s="519"/>
      <c r="V8" s="519"/>
    </row>
    <row r="9" spans="1:22" s="520" customFormat="1" ht="30" customHeight="1">
      <c r="A9" s="514"/>
      <c r="B9" s="521" t="s">
        <v>56</v>
      </c>
      <c r="C9" s="515"/>
      <c r="D9" s="522"/>
      <c r="E9" s="522"/>
      <c r="F9" s="523"/>
      <c r="G9" s="524" t="s">
        <v>405</v>
      </c>
      <c r="H9" s="523"/>
      <c r="I9" s="525"/>
      <c r="J9" s="525"/>
      <c r="K9" s="525"/>
      <c r="M9" s="521" t="s">
        <v>56</v>
      </c>
      <c r="N9" s="470"/>
      <c r="O9" s="522"/>
      <c r="P9" s="693"/>
      <c r="Q9" s="693"/>
      <c r="R9" s="694" t="s">
        <v>405</v>
      </c>
      <c r="S9" s="523"/>
      <c r="T9" s="525"/>
      <c r="U9" s="525"/>
      <c r="V9" s="525"/>
    </row>
    <row r="10" spans="1:22" s="526" customFormat="1" ht="30" customHeight="1" outlineLevel="1">
      <c r="A10" s="526">
        <v>2</v>
      </c>
      <c r="B10" s="527" t="s">
        <v>575</v>
      </c>
      <c r="C10" s="528" t="s">
        <v>414</v>
      </c>
      <c r="D10" s="528" t="s">
        <v>10</v>
      </c>
      <c r="E10" s="529">
        <v>2825.1</v>
      </c>
      <c r="F10" s="529">
        <v>250</v>
      </c>
      <c r="G10" s="530">
        <f>+E10+F10</f>
        <v>3075.1</v>
      </c>
      <c r="H10" s="531">
        <v>1</v>
      </c>
      <c r="I10" s="531">
        <v>0</v>
      </c>
      <c r="J10" s="531">
        <v>0</v>
      </c>
      <c r="K10" s="531">
        <f>SUM(H10:J10)</f>
        <v>1</v>
      </c>
      <c r="M10" s="527" t="s">
        <v>575</v>
      </c>
      <c r="N10" s="472" t="s">
        <v>414</v>
      </c>
      <c r="O10" s="528" t="s">
        <v>10</v>
      </c>
      <c r="P10" s="695">
        <v>2959.24</v>
      </c>
      <c r="Q10" s="695">
        <v>250</v>
      </c>
      <c r="R10" s="696">
        <f>+P10+Q10</f>
        <v>3209.24</v>
      </c>
      <c r="S10" s="531">
        <v>1</v>
      </c>
      <c r="T10" s="531">
        <v>0</v>
      </c>
      <c r="U10" s="531">
        <v>0</v>
      </c>
      <c r="V10" s="531">
        <f>SUM(S10:U10)</f>
        <v>1</v>
      </c>
    </row>
    <row r="11" spans="1:22" s="536" customFormat="1" ht="30" customHeight="1" outlineLevel="1">
      <c r="A11" s="526"/>
      <c r="B11" s="527" t="s">
        <v>673</v>
      </c>
      <c r="C11" s="528" t="s">
        <v>414</v>
      </c>
      <c r="D11" s="532" t="s">
        <v>10</v>
      </c>
      <c r="E11" s="533">
        <v>2825.1</v>
      </c>
      <c r="F11" s="533">
        <v>250</v>
      </c>
      <c r="G11" s="534">
        <f>+E11+F11</f>
        <v>3075.1</v>
      </c>
      <c r="H11" s="535">
        <v>1</v>
      </c>
      <c r="I11" s="535">
        <v>0</v>
      </c>
      <c r="J11" s="535">
        <v>0</v>
      </c>
      <c r="K11" s="535">
        <f>SUM(H11:J11)</f>
        <v>1</v>
      </c>
      <c r="M11" s="527" t="s">
        <v>673</v>
      </c>
      <c r="N11" s="472" t="s">
        <v>414</v>
      </c>
      <c r="O11" s="532" t="s">
        <v>10</v>
      </c>
      <c r="P11" s="695">
        <v>2959.24</v>
      </c>
      <c r="Q11" s="695">
        <v>250</v>
      </c>
      <c r="R11" s="696">
        <f>+P11+Q11</f>
        <v>3209.24</v>
      </c>
      <c r="S11" s="535">
        <v>1</v>
      </c>
      <c r="T11" s="535">
        <v>0</v>
      </c>
      <c r="U11" s="535">
        <v>0</v>
      </c>
      <c r="V11" s="535">
        <f>SUM(S11:U11)</f>
        <v>1</v>
      </c>
    </row>
    <row r="12" spans="1:22" s="545" customFormat="1" ht="30" customHeight="1" outlineLevel="1">
      <c r="A12" s="537">
        <v>5</v>
      </c>
      <c r="B12" s="538" t="s">
        <v>557</v>
      </c>
      <c r="C12" s="539" t="s">
        <v>58</v>
      </c>
      <c r="D12" s="540" t="s">
        <v>11</v>
      </c>
      <c r="E12" s="541">
        <v>2825.1</v>
      </c>
      <c r="F12" s="542">
        <v>250</v>
      </c>
      <c r="G12" s="543">
        <f>+E12+F12</f>
        <v>3075.1</v>
      </c>
      <c r="H12" s="544">
        <v>0</v>
      </c>
      <c r="I12" s="544">
        <v>1</v>
      </c>
      <c r="J12" s="544">
        <v>0</v>
      </c>
      <c r="K12" s="544">
        <f>SUM(H12:J12)</f>
        <v>1</v>
      </c>
      <c r="M12" s="538" t="s">
        <v>557</v>
      </c>
      <c r="N12" s="474" t="s">
        <v>58</v>
      </c>
      <c r="O12" s="540" t="s">
        <v>11</v>
      </c>
      <c r="P12" s="695">
        <v>2959.24</v>
      </c>
      <c r="Q12" s="697">
        <v>250</v>
      </c>
      <c r="R12" s="698">
        <f>+P12+Q12</f>
        <v>3209.24</v>
      </c>
      <c r="S12" s="544">
        <v>0</v>
      </c>
      <c r="T12" s="544">
        <v>1</v>
      </c>
      <c r="U12" s="544">
        <v>0</v>
      </c>
      <c r="V12" s="544">
        <f>SUM(S12:U12)</f>
        <v>1</v>
      </c>
    </row>
    <row r="13" spans="1:22" s="520" customFormat="1" ht="30" customHeight="1" outlineLevel="1" thickBot="1">
      <c r="A13" s="514"/>
      <c r="B13" s="546"/>
      <c r="C13" s="547" t="s">
        <v>61</v>
      </c>
      <c r="E13" s="548">
        <f>SUM(E10:E12)</f>
        <v>8475.2999999999993</v>
      </c>
      <c r="F13" s="548">
        <f>SUM(F10:F12)</f>
        <v>750</v>
      </c>
      <c r="G13" s="548">
        <f>SUM(G10:G12)</f>
        <v>9225.2999999999993</v>
      </c>
      <c r="H13" s="549"/>
      <c r="J13" s="549"/>
      <c r="K13" s="549"/>
      <c r="M13" s="546"/>
      <c r="N13" s="475" t="s">
        <v>61</v>
      </c>
      <c r="P13" s="699">
        <f>SUM(P10:P12)</f>
        <v>8877.7199999999993</v>
      </c>
      <c r="Q13" s="699">
        <f>SUM(Q10:Q12)</f>
        <v>750</v>
      </c>
      <c r="R13" s="699">
        <f>SUM(R10:R12)</f>
        <v>9627.7199999999993</v>
      </c>
      <c r="S13" s="549"/>
      <c r="U13" s="549"/>
      <c r="V13" s="549"/>
    </row>
    <row r="14" spans="1:22" s="520" customFormat="1" ht="30" customHeight="1" outlineLevel="1" thickTop="1">
      <c r="A14" s="514"/>
      <c r="B14" s="546"/>
      <c r="C14" s="547"/>
      <c r="E14" s="550"/>
      <c r="F14" s="550"/>
      <c r="G14" s="550"/>
      <c r="H14" s="549"/>
      <c r="J14" s="549"/>
      <c r="K14" s="549"/>
      <c r="M14" s="546"/>
      <c r="N14" s="475"/>
      <c r="P14" s="700"/>
      <c r="Q14" s="700"/>
      <c r="R14" s="700"/>
      <c r="S14" s="549"/>
      <c r="U14" s="549"/>
      <c r="V14" s="549"/>
    </row>
    <row r="15" spans="1:22" s="520" customFormat="1" ht="30" customHeight="1" outlineLevel="1">
      <c r="A15" s="514"/>
      <c r="B15" s="546"/>
      <c r="C15" s="547"/>
      <c r="E15" s="550"/>
      <c r="F15" s="550"/>
      <c r="G15" s="550"/>
      <c r="H15" s="549"/>
      <c r="J15" s="549"/>
      <c r="K15" s="549"/>
      <c r="M15" s="546"/>
      <c r="N15" s="475"/>
      <c r="P15" s="700"/>
      <c r="Q15" s="700"/>
      <c r="R15" s="700"/>
      <c r="S15" s="549"/>
      <c r="U15" s="549"/>
      <c r="V15" s="549"/>
    </row>
    <row r="16" spans="1:22" s="553" customFormat="1" ht="30" customHeight="1" outlineLevel="1">
      <c r="A16" s="551"/>
      <c r="B16" s="546"/>
      <c r="C16" s="514"/>
      <c r="D16" s="520"/>
      <c r="E16" s="552"/>
      <c r="G16" s="554"/>
      <c r="H16" s="549"/>
      <c r="I16" s="520"/>
      <c r="J16" s="549"/>
      <c r="K16" s="549"/>
      <c r="L16" s="520"/>
      <c r="M16" s="546"/>
      <c r="N16" s="469"/>
      <c r="O16" s="520"/>
      <c r="P16" s="700"/>
      <c r="Q16" s="701"/>
      <c r="R16" s="702"/>
      <c r="S16" s="549"/>
      <c r="T16" s="520"/>
      <c r="U16" s="549"/>
      <c r="V16" s="549"/>
    </row>
    <row r="17" spans="1:22" s="520" customFormat="1" ht="30" customHeight="1" outlineLevel="1">
      <c r="A17" s="514"/>
      <c r="B17" s="521" t="s">
        <v>62</v>
      </c>
      <c r="C17" s="514"/>
      <c r="D17" s="514"/>
      <c r="E17" s="552"/>
      <c r="F17" s="553"/>
      <c r="G17" s="553"/>
      <c r="M17" s="521" t="s">
        <v>62</v>
      </c>
      <c r="N17" s="469"/>
      <c r="O17" s="514"/>
      <c r="P17" s="700"/>
      <c r="Q17" s="701"/>
      <c r="R17" s="701"/>
    </row>
    <row r="18" spans="1:22" s="562" customFormat="1" ht="30" customHeight="1" outlineLevel="1">
      <c r="A18" s="555">
        <v>8</v>
      </c>
      <c r="B18" s="556" t="s">
        <v>641</v>
      </c>
      <c r="C18" s="557" t="s">
        <v>578</v>
      </c>
      <c r="D18" s="558" t="s">
        <v>10</v>
      </c>
      <c r="E18" s="533">
        <v>2825.1</v>
      </c>
      <c r="F18" s="559">
        <v>725</v>
      </c>
      <c r="G18" s="560">
        <f>+E18+F18</f>
        <v>3550.1</v>
      </c>
      <c r="H18" s="561">
        <v>0.5</v>
      </c>
      <c r="I18" s="561">
        <v>0.5</v>
      </c>
      <c r="J18" s="561">
        <v>0</v>
      </c>
      <c r="K18" s="561">
        <f>SUM(H18:J18)</f>
        <v>1</v>
      </c>
      <c r="M18" s="556" t="s">
        <v>641</v>
      </c>
      <c r="N18" s="476" t="s">
        <v>578</v>
      </c>
      <c r="O18" s="558" t="s">
        <v>10</v>
      </c>
      <c r="P18" s="695">
        <v>2959.24</v>
      </c>
      <c r="Q18" s="697">
        <v>725</v>
      </c>
      <c r="R18" s="698">
        <f>+P18+Q18</f>
        <v>3684.24</v>
      </c>
      <c r="S18" s="561">
        <v>0.5</v>
      </c>
      <c r="T18" s="561">
        <v>0.5</v>
      </c>
      <c r="U18" s="561">
        <v>0</v>
      </c>
      <c r="V18" s="561">
        <f>SUM(S18:U18)</f>
        <v>1</v>
      </c>
    </row>
    <row r="19" spans="1:22" s="566" customFormat="1" ht="30" customHeight="1" outlineLevel="1">
      <c r="A19" s="555">
        <v>9</v>
      </c>
      <c r="B19" s="556" t="s">
        <v>514</v>
      </c>
      <c r="C19" s="557" t="s">
        <v>64</v>
      </c>
      <c r="D19" s="557" t="s">
        <v>10</v>
      </c>
      <c r="E19" s="529">
        <v>2825.1</v>
      </c>
      <c r="F19" s="563">
        <v>250</v>
      </c>
      <c r="G19" s="564">
        <f>+E19+F19</f>
        <v>3075.1</v>
      </c>
      <c r="H19" s="565">
        <v>0.5</v>
      </c>
      <c r="I19" s="565">
        <v>0.5</v>
      </c>
      <c r="J19" s="565">
        <v>0</v>
      </c>
      <c r="K19" s="565">
        <f>SUM(H19:J19)</f>
        <v>1</v>
      </c>
      <c r="M19" s="556" t="s">
        <v>514</v>
      </c>
      <c r="N19" s="476" t="s">
        <v>64</v>
      </c>
      <c r="O19" s="557" t="s">
        <v>10</v>
      </c>
      <c r="P19" s="695">
        <v>2959.24</v>
      </c>
      <c r="Q19" s="697">
        <v>250</v>
      </c>
      <c r="R19" s="698">
        <f>+P19+Q19</f>
        <v>3209.24</v>
      </c>
      <c r="S19" s="565">
        <v>0.5</v>
      </c>
      <c r="T19" s="565">
        <v>0.5</v>
      </c>
      <c r="U19" s="565">
        <v>0</v>
      </c>
      <c r="V19" s="565">
        <f>SUM(S19:U19)</f>
        <v>1</v>
      </c>
    </row>
    <row r="20" spans="1:22" s="536" customFormat="1" ht="30" customHeight="1" outlineLevel="1">
      <c r="A20" s="555">
        <v>10</v>
      </c>
      <c r="B20" s="527" t="s">
        <v>542</v>
      </c>
      <c r="C20" s="528" t="s">
        <v>65</v>
      </c>
      <c r="D20" s="532" t="s">
        <v>11</v>
      </c>
      <c r="E20" s="533">
        <v>2825.1</v>
      </c>
      <c r="F20" s="533">
        <v>250</v>
      </c>
      <c r="G20" s="534">
        <f>+E20+F20</f>
        <v>3075.1</v>
      </c>
      <c r="H20" s="535">
        <v>0</v>
      </c>
      <c r="I20" s="535">
        <v>1</v>
      </c>
      <c r="J20" s="535">
        <v>0</v>
      </c>
      <c r="K20" s="535">
        <f>SUM(H20:J20)</f>
        <v>1</v>
      </c>
      <c r="M20" s="527" t="s">
        <v>542</v>
      </c>
      <c r="N20" s="472" t="s">
        <v>65</v>
      </c>
      <c r="O20" s="532" t="s">
        <v>11</v>
      </c>
      <c r="P20" s="695">
        <v>2959.24</v>
      </c>
      <c r="Q20" s="695">
        <v>250</v>
      </c>
      <c r="R20" s="696">
        <f>+P20+Q20</f>
        <v>3209.24</v>
      </c>
      <c r="S20" s="535">
        <v>0</v>
      </c>
      <c r="T20" s="535">
        <v>1</v>
      </c>
      <c r="U20" s="535">
        <v>0</v>
      </c>
      <c r="V20" s="535">
        <f>SUM(S20:U20)</f>
        <v>1</v>
      </c>
    </row>
    <row r="21" spans="1:22" s="536" customFormat="1" ht="30" customHeight="1" outlineLevel="1">
      <c r="A21" s="555">
        <v>11</v>
      </c>
      <c r="B21" s="527" t="s">
        <v>520</v>
      </c>
      <c r="C21" s="528" t="s">
        <v>66</v>
      </c>
      <c r="D21" s="532" t="s">
        <v>10</v>
      </c>
      <c r="E21" s="533">
        <v>2825.1</v>
      </c>
      <c r="F21" s="533">
        <f>250+120</f>
        <v>370</v>
      </c>
      <c r="G21" s="534">
        <f>+E21+F21</f>
        <v>3195.1</v>
      </c>
      <c r="H21" s="535">
        <v>1</v>
      </c>
      <c r="I21" s="535">
        <v>0</v>
      </c>
      <c r="J21" s="535">
        <v>0</v>
      </c>
      <c r="K21" s="535">
        <f>SUM(H21:J21)</f>
        <v>1</v>
      </c>
      <c r="M21" s="527" t="s">
        <v>520</v>
      </c>
      <c r="N21" s="472" t="s">
        <v>66</v>
      </c>
      <c r="O21" s="532" t="s">
        <v>10</v>
      </c>
      <c r="P21" s="695">
        <v>2959.24</v>
      </c>
      <c r="Q21" s="695">
        <f>250+120</f>
        <v>370</v>
      </c>
      <c r="R21" s="696">
        <f>+P21+Q21</f>
        <v>3329.24</v>
      </c>
      <c r="S21" s="535">
        <v>1</v>
      </c>
      <c r="T21" s="535">
        <v>0</v>
      </c>
      <c r="U21" s="535">
        <v>0</v>
      </c>
      <c r="V21" s="535">
        <f>SUM(S21:U21)</f>
        <v>1</v>
      </c>
    </row>
    <row r="22" spans="1:22" s="545" customFormat="1" ht="30" customHeight="1" outlineLevel="1">
      <c r="A22" s="555">
        <v>12</v>
      </c>
      <c r="B22" s="556" t="s">
        <v>515</v>
      </c>
      <c r="C22" s="557" t="s">
        <v>66</v>
      </c>
      <c r="D22" s="540" t="s">
        <v>10</v>
      </c>
      <c r="E22" s="541">
        <v>2825.1</v>
      </c>
      <c r="F22" s="542">
        <v>370</v>
      </c>
      <c r="G22" s="543">
        <f>+E22+F22</f>
        <v>3195.1</v>
      </c>
      <c r="H22" s="544">
        <v>1</v>
      </c>
      <c r="I22" s="544">
        <v>0</v>
      </c>
      <c r="J22" s="544">
        <v>0</v>
      </c>
      <c r="K22" s="544">
        <f>SUM(H22:J22)</f>
        <v>1</v>
      </c>
      <c r="M22" s="556" t="s">
        <v>515</v>
      </c>
      <c r="N22" s="476" t="s">
        <v>66</v>
      </c>
      <c r="O22" s="540" t="s">
        <v>10</v>
      </c>
      <c r="P22" s="695">
        <v>2959.24</v>
      </c>
      <c r="Q22" s="697">
        <v>370</v>
      </c>
      <c r="R22" s="698">
        <f>+P22+Q22</f>
        <v>3329.24</v>
      </c>
      <c r="S22" s="544">
        <v>1</v>
      </c>
      <c r="T22" s="544">
        <v>0</v>
      </c>
      <c r="U22" s="544">
        <v>0</v>
      </c>
      <c r="V22" s="544">
        <f>SUM(S22:U22)</f>
        <v>1</v>
      </c>
    </row>
    <row r="23" spans="1:22" s="545" customFormat="1" ht="30" customHeight="1" outlineLevel="1" thickBot="1">
      <c r="A23" s="537"/>
      <c r="B23" s="567"/>
      <c r="C23" s="568" t="s">
        <v>67</v>
      </c>
      <c r="D23" s="520"/>
      <c r="E23" s="548">
        <f>SUM(E18:E22)</f>
        <v>14125.5</v>
      </c>
      <c r="F23" s="569">
        <f>SUM(F18:F22)</f>
        <v>1965</v>
      </c>
      <c r="G23" s="569">
        <f>SUM(G18:G22)</f>
        <v>16090.5</v>
      </c>
      <c r="H23" s="549"/>
      <c r="I23" s="520"/>
      <c r="J23" s="520"/>
      <c r="K23" s="520"/>
      <c r="M23" s="567"/>
      <c r="N23" s="477" t="s">
        <v>67</v>
      </c>
      <c r="O23" s="520"/>
      <c r="P23" s="699">
        <f>SUM(P18:P22)</f>
        <v>14796.199999999999</v>
      </c>
      <c r="Q23" s="703">
        <f>SUM(Q18:Q22)</f>
        <v>1965</v>
      </c>
      <c r="R23" s="703">
        <f>SUM(R18:R22)</f>
        <v>16761.199999999997</v>
      </c>
      <c r="S23" s="549"/>
      <c r="T23" s="520"/>
      <c r="U23" s="520"/>
      <c r="V23" s="520"/>
    </row>
    <row r="24" spans="1:22" s="553" customFormat="1" ht="30" customHeight="1" outlineLevel="1" thickTop="1">
      <c r="A24" s="551"/>
      <c r="B24" s="567"/>
      <c r="C24" s="570"/>
      <c r="D24" s="520"/>
      <c r="E24" s="552"/>
      <c r="G24" s="554"/>
      <c r="H24" s="549"/>
      <c r="I24" s="520"/>
      <c r="J24" s="520"/>
      <c r="K24" s="520"/>
      <c r="L24" s="520"/>
      <c r="M24" s="567"/>
      <c r="N24" s="478"/>
      <c r="O24" s="520"/>
      <c r="P24" s="700"/>
      <c r="Q24" s="701"/>
      <c r="R24" s="702"/>
      <c r="S24" s="549"/>
      <c r="T24" s="520"/>
      <c r="U24" s="520"/>
      <c r="V24" s="520"/>
    </row>
    <row r="25" spans="1:22" s="520" customFormat="1" ht="30" customHeight="1" outlineLevel="1">
      <c r="A25" s="514"/>
      <c r="B25" s="521" t="s">
        <v>68</v>
      </c>
      <c r="C25" s="570"/>
      <c r="E25" s="552"/>
      <c r="F25" s="553"/>
      <c r="G25" s="553"/>
      <c r="M25" s="521" t="s">
        <v>68</v>
      </c>
      <c r="N25" s="478"/>
      <c r="P25" s="700"/>
      <c r="Q25" s="701"/>
      <c r="R25" s="701"/>
    </row>
    <row r="26" spans="1:22" s="545" customFormat="1" ht="30" customHeight="1" outlineLevel="1">
      <c r="A26" s="537">
        <f>A22+1</f>
        <v>13</v>
      </c>
      <c r="B26" s="556" t="s">
        <v>545</v>
      </c>
      <c r="C26" s="557" t="s">
        <v>69</v>
      </c>
      <c r="D26" s="540" t="s">
        <v>11</v>
      </c>
      <c r="E26" s="541">
        <v>2825.1</v>
      </c>
      <c r="F26" s="542">
        <v>250</v>
      </c>
      <c r="G26" s="543">
        <f>+E26+F26</f>
        <v>3075.1</v>
      </c>
      <c r="H26" s="544">
        <v>0.65</v>
      </c>
      <c r="I26" s="544">
        <v>0.35</v>
      </c>
      <c r="J26" s="544">
        <v>0</v>
      </c>
      <c r="K26" s="544">
        <f>SUM(H26:J26)</f>
        <v>1</v>
      </c>
      <c r="M26" s="556" t="s">
        <v>545</v>
      </c>
      <c r="N26" s="476" t="s">
        <v>69</v>
      </c>
      <c r="O26" s="540" t="s">
        <v>11</v>
      </c>
      <c r="P26" s="695">
        <v>2959.24</v>
      </c>
      <c r="Q26" s="697">
        <v>250</v>
      </c>
      <c r="R26" s="698">
        <f>+P26+Q26</f>
        <v>3209.24</v>
      </c>
      <c r="S26" s="544">
        <v>0.65</v>
      </c>
      <c r="T26" s="544">
        <v>0.35</v>
      </c>
      <c r="U26" s="544">
        <v>0</v>
      </c>
      <c r="V26" s="544">
        <f>SUM(S26:U26)</f>
        <v>1</v>
      </c>
    </row>
    <row r="27" spans="1:22" s="545" customFormat="1" ht="30" customHeight="1" outlineLevel="1">
      <c r="A27" s="537" t="e">
        <f>#REF!+1</f>
        <v>#REF!</v>
      </c>
      <c r="B27" s="556" t="s">
        <v>558</v>
      </c>
      <c r="C27" s="557" t="s">
        <v>70</v>
      </c>
      <c r="D27" s="540" t="s">
        <v>11</v>
      </c>
      <c r="E27" s="541">
        <v>2825.1</v>
      </c>
      <c r="F27" s="542">
        <v>250</v>
      </c>
      <c r="G27" s="543">
        <f>+E27+F27</f>
        <v>3075.1</v>
      </c>
      <c r="H27" s="544">
        <v>0.5</v>
      </c>
      <c r="I27" s="544">
        <v>0.5</v>
      </c>
      <c r="J27" s="544">
        <v>0</v>
      </c>
      <c r="K27" s="544">
        <f>SUM(H27:J27)</f>
        <v>1</v>
      </c>
      <c r="M27" s="556" t="s">
        <v>558</v>
      </c>
      <c r="N27" s="476" t="s">
        <v>70</v>
      </c>
      <c r="O27" s="540" t="s">
        <v>11</v>
      </c>
      <c r="P27" s="695">
        <v>2959.24</v>
      </c>
      <c r="Q27" s="697">
        <v>250</v>
      </c>
      <c r="R27" s="698">
        <f>+P27+Q27</f>
        <v>3209.24</v>
      </c>
      <c r="S27" s="544">
        <v>0.5</v>
      </c>
      <c r="T27" s="544">
        <v>0.5</v>
      </c>
      <c r="U27" s="544">
        <v>0</v>
      </c>
      <c r="V27" s="544">
        <f>SUM(S27:U27)</f>
        <v>1</v>
      </c>
    </row>
    <row r="28" spans="1:22" s="545" customFormat="1" ht="30" customHeight="1" outlineLevel="1" thickBot="1">
      <c r="A28" s="537"/>
      <c r="B28" s="508"/>
      <c r="C28" s="568" t="s">
        <v>72</v>
      </c>
      <c r="D28" s="520"/>
      <c r="E28" s="548">
        <f>SUM(E26:E27)</f>
        <v>5650.2</v>
      </c>
      <c r="F28" s="548">
        <f>SUM(F26:F27)</f>
        <v>500</v>
      </c>
      <c r="G28" s="548">
        <f>SUM(G26:G27)</f>
        <v>6150.2</v>
      </c>
      <c r="H28" s="549"/>
      <c r="I28" s="549"/>
      <c r="J28" s="549"/>
      <c r="K28" s="549"/>
      <c r="M28" s="508"/>
      <c r="N28" s="477" t="s">
        <v>72</v>
      </c>
      <c r="O28" s="520"/>
      <c r="P28" s="699">
        <f>SUM(P26:P27)</f>
        <v>5918.48</v>
      </c>
      <c r="Q28" s="699">
        <f>SUM(Q26:Q27)</f>
        <v>500</v>
      </c>
      <c r="R28" s="699">
        <f>SUM(R26:R27)</f>
        <v>6418.48</v>
      </c>
      <c r="S28" s="549"/>
      <c r="T28" s="549"/>
      <c r="U28" s="549"/>
      <c r="V28" s="549"/>
    </row>
    <row r="29" spans="1:22" s="545" customFormat="1" ht="30" customHeight="1" outlineLevel="1" thickTop="1">
      <c r="A29" s="537"/>
      <c r="B29" s="508"/>
      <c r="C29" s="570"/>
      <c r="D29" s="520"/>
      <c r="E29" s="571"/>
      <c r="F29" s="572"/>
      <c r="G29" s="572"/>
      <c r="H29" s="549"/>
      <c r="I29" s="549"/>
      <c r="J29" s="549"/>
      <c r="K29" s="549"/>
      <c r="M29" s="508"/>
      <c r="N29" s="478"/>
      <c r="O29" s="520"/>
      <c r="P29" s="700"/>
      <c r="Q29" s="701"/>
      <c r="R29" s="701"/>
      <c r="S29" s="549"/>
      <c r="T29" s="549"/>
      <c r="U29" s="549"/>
      <c r="V29" s="549"/>
    </row>
    <row r="30" spans="1:22" s="575" customFormat="1" ht="30" customHeight="1" outlineLevel="1">
      <c r="A30" s="573"/>
      <c r="B30" s="521" t="s">
        <v>73</v>
      </c>
      <c r="C30" s="514"/>
      <c r="D30" s="520"/>
      <c r="E30" s="574"/>
      <c r="H30" s="576"/>
      <c r="I30" s="576"/>
      <c r="J30" s="576"/>
      <c r="K30" s="576"/>
      <c r="L30" s="545"/>
      <c r="M30" s="521" t="s">
        <v>73</v>
      </c>
      <c r="N30" s="469"/>
      <c r="O30" s="520"/>
      <c r="P30" s="704"/>
      <c r="Q30" s="702"/>
      <c r="R30" s="702"/>
      <c r="S30" s="576"/>
      <c r="T30" s="576"/>
      <c r="U30" s="576"/>
      <c r="V30" s="576"/>
    </row>
    <row r="31" spans="1:22" s="584" customFormat="1" ht="30" customHeight="1" outlineLevel="1">
      <c r="A31" s="577" t="e">
        <f>+#REF!+1</f>
        <v>#REF!</v>
      </c>
      <c r="B31" s="578" t="s">
        <v>654</v>
      </c>
      <c r="C31" s="579" t="s">
        <v>659</v>
      </c>
      <c r="D31" s="580" t="s">
        <v>10</v>
      </c>
      <c r="E31" s="581">
        <v>2825.1</v>
      </c>
      <c r="F31" s="534">
        <v>250</v>
      </c>
      <c r="G31" s="534">
        <f>+E31+F31</f>
        <v>3075.1</v>
      </c>
      <c r="H31" s="582">
        <v>1</v>
      </c>
      <c r="I31" s="583">
        <v>0</v>
      </c>
      <c r="J31" s="583">
        <v>0</v>
      </c>
      <c r="K31" s="583">
        <f>SUM(H31:J31)</f>
        <v>1</v>
      </c>
      <c r="M31" s="578" t="s">
        <v>654</v>
      </c>
      <c r="N31" s="479" t="s">
        <v>659</v>
      </c>
      <c r="O31" s="580" t="s">
        <v>10</v>
      </c>
      <c r="P31" s="695">
        <v>2959.24</v>
      </c>
      <c r="Q31" s="696">
        <v>250</v>
      </c>
      <c r="R31" s="696">
        <f>+P31+Q31</f>
        <v>3209.24</v>
      </c>
      <c r="S31" s="582">
        <v>1</v>
      </c>
      <c r="T31" s="583">
        <v>0</v>
      </c>
      <c r="U31" s="583">
        <v>0</v>
      </c>
      <c r="V31" s="583">
        <f>SUM(S31:U31)</f>
        <v>1</v>
      </c>
    </row>
    <row r="32" spans="1:22" s="545" customFormat="1" ht="30" customHeight="1" outlineLevel="1" thickBot="1">
      <c r="A32" s="537"/>
      <c r="B32" s="508"/>
      <c r="C32" s="568" t="s">
        <v>75</v>
      </c>
      <c r="D32" s="520"/>
      <c r="E32" s="585">
        <f>SUM(E31:E31)</f>
        <v>2825.1</v>
      </c>
      <c r="F32" s="586">
        <f>SUM(F31:F31)</f>
        <v>250</v>
      </c>
      <c r="G32" s="586">
        <f>SUM(G31:G31)</f>
        <v>3075.1</v>
      </c>
      <c r="H32" s="575"/>
      <c r="I32" s="575"/>
      <c r="J32" s="575"/>
      <c r="K32" s="575"/>
      <c r="M32" s="508"/>
      <c r="N32" s="477" t="s">
        <v>75</v>
      </c>
      <c r="O32" s="520"/>
      <c r="P32" s="705">
        <f>SUM(P31:P31)</f>
        <v>2959.24</v>
      </c>
      <c r="Q32" s="706">
        <f>SUM(Q31:Q31)</f>
        <v>250</v>
      </c>
      <c r="R32" s="706">
        <f>SUM(R31:R31)</f>
        <v>3209.24</v>
      </c>
      <c r="S32" s="575"/>
      <c r="T32" s="575"/>
      <c r="U32" s="575"/>
      <c r="V32" s="575"/>
    </row>
    <row r="33" spans="1:102" s="520" customFormat="1" ht="30" customHeight="1" outlineLevel="1" thickTop="1">
      <c r="A33" s="514"/>
      <c r="B33" s="508"/>
      <c r="C33" s="568"/>
      <c r="E33" s="574"/>
      <c r="F33" s="575"/>
      <c r="G33" s="587"/>
      <c r="H33" s="588"/>
      <c r="I33" s="588"/>
      <c r="J33" s="588"/>
      <c r="K33" s="588"/>
      <c r="M33" s="508"/>
      <c r="N33" s="477"/>
      <c r="P33" s="704"/>
      <c r="Q33" s="702"/>
      <c r="R33" s="701"/>
      <c r="S33" s="588"/>
      <c r="T33" s="588"/>
      <c r="U33" s="588"/>
      <c r="V33" s="588"/>
    </row>
    <row r="34" spans="1:102" s="575" customFormat="1" ht="30" customHeight="1" outlineLevel="1">
      <c r="A34" s="573"/>
      <c r="B34" s="521" t="s">
        <v>76</v>
      </c>
      <c r="C34" s="514"/>
      <c r="D34" s="520"/>
      <c r="E34" s="574"/>
      <c r="H34" s="576"/>
      <c r="I34" s="576"/>
      <c r="J34" s="576"/>
      <c r="K34" s="576"/>
      <c r="L34" s="520"/>
      <c r="M34" s="521" t="s">
        <v>76</v>
      </c>
      <c r="N34" s="469"/>
      <c r="O34" s="520"/>
      <c r="P34" s="704"/>
      <c r="Q34" s="702"/>
      <c r="R34" s="702"/>
      <c r="S34" s="576"/>
      <c r="T34" s="576"/>
      <c r="U34" s="576"/>
      <c r="V34" s="576"/>
    </row>
    <row r="35" spans="1:102" s="536" customFormat="1" ht="30" customHeight="1" outlineLevel="1">
      <c r="A35" s="526" t="e">
        <f>+#REF!+1</f>
        <v>#REF!</v>
      </c>
      <c r="B35" s="527" t="s">
        <v>507</v>
      </c>
      <c r="C35" s="528" t="s">
        <v>593</v>
      </c>
      <c r="D35" s="532" t="s">
        <v>10</v>
      </c>
      <c r="E35" s="534">
        <v>2825.1</v>
      </c>
      <c r="F35" s="534">
        <v>400</v>
      </c>
      <c r="G35" s="534">
        <f>+E35+F35</f>
        <v>3225.1</v>
      </c>
      <c r="H35" s="589">
        <v>0.6</v>
      </c>
      <c r="I35" s="535">
        <v>0.4</v>
      </c>
      <c r="J35" s="535">
        <v>0</v>
      </c>
      <c r="K35" s="535">
        <f>SUM(H35:J35)</f>
        <v>1</v>
      </c>
      <c r="M35" s="527" t="s">
        <v>507</v>
      </c>
      <c r="N35" s="472" t="s">
        <v>593</v>
      </c>
      <c r="O35" s="532" t="s">
        <v>10</v>
      </c>
      <c r="P35" s="695">
        <v>2959.24</v>
      </c>
      <c r="Q35" s="696">
        <v>400</v>
      </c>
      <c r="R35" s="696">
        <f>+P35+Q35</f>
        <v>3359.24</v>
      </c>
      <c r="S35" s="589">
        <v>0.6</v>
      </c>
      <c r="T35" s="535">
        <v>0.4</v>
      </c>
      <c r="U35" s="535">
        <v>0</v>
      </c>
      <c r="V35" s="535">
        <f>SUM(S35:U35)</f>
        <v>1</v>
      </c>
    </row>
    <row r="36" spans="1:102" s="526" customFormat="1" ht="30" customHeight="1" outlineLevel="1">
      <c r="A36" s="526" t="e">
        <f>+A35+1</f>
        <v>#REF!</v>
      </c>
      <c r="B36" s="527" t="s">
        <v>619</v>
      </c>
      <c r="C36" s="528" t="s">
        <v>593</v>
      </c>
      <c r="D36" s="528" t="s">
        <v>10</v>
      </c>
      <c r="E36" s="530">
        <v>2825.1</v>
      </c>
      <c r="F36" s="530">
        <v>250</v>
      </c>
      <c r="G36" s="530">
        <f>+E36+F36</f>
        <v>3075.1</v>
      </c>
      <c r="H36" s="590">
        <v>0.6</v>
      </c>
      <c r="I36" s="531">
        <v>0.4</v>
      </c>
      <c r="J36" s="531">
        <v>0</v>
      </c>
      <c r="K36" s="531">
        <f>SUM(H36:J36)</f>
        <v>1</v>
      </c>
      <c r="M36" s="527" t="s">
        <v>619</v>
      </c>
      <c r="N36" s="472" t="s">
        <v>593</v>
      </c>
      <c r="O36" s="528" t="s">
        <v>10</v>
      </c>
      <c r="P36" s="695">
        <v>2959.24</v>
      </c>
      <c r="Q36" s="696">
        <v>250</v>
      </c>
      <c r="R36" s="696">
        <f>+P36+Q36</f>
        <v>3209.24</v>
      </c>
      <c r="S36" s="590">
        <v>0.6</v>
      </c>
      <c r="T36" s="531">
        <v>0.4</v>
      </c>
      <c r="U36" s="531">
        <v>0</v>
      </c>
      <c r="V36" s="531">
        <f>SUM(S36:U36)</f>
        <v>1</v>
      </c>
    </row>
    <row r="37" spans="1:102" s="545" customFormat="1" ht="30" customHeight="1" outlineLevel="1" thickBot="1">
      <c r="A37" s="537"/>
      <c r="B37" s="508"/>
      <c r="C37" s="568" t="s">
        <v>78</v>
      </c>
      <c r="D37" s="520"/>
      <c r="E37" s="591">
        <f>SUM(E35:E36)</f>
        <v>5650.2</v>
      </c>
      <c r="F37" s="591">
        <f>SUM(F35:F36)</f>
        <v>650</v>
      </c>
      <c r="G37" s="591">
        <f>SUM(G35:G36)</f>
        <v>6300.2</v>
      </c>
      <c r="H37" s="588"/>
      <c r="I37" s="588"/>
      <c r="J37" s="588"/>
      <c r="K37" s="588"/>
      <c r="M37" s="508"/>
      <c r="N37" s="477" t="s">
        <v>78</v>
      </c>
      <c r="O37" s="520"/>
      <c r="P37" s="705">
        <f>SUM(P35:P36)</f>
        <v>5918.48</v>
      </c>
      <c r="Q37" s="705">
        <f>SUM(Q35:Q36)</f>
        <v>650</v>
      </c>
      <c r="R37" s="705">
        <f>SUM(R35:R36)</f>
        <v>6568.48</v>
      </c>
      <c r="S37" s="588"/>
      <c r="T37" s="588"/>
      <c r="U37" s="588"/>
      <c r="V37" s="588"/>
    </row>
    <row r="38" spans="1:102" s="575" customFormat="1" ht="30" customHeight="1" outlineLevel="1" thickTop="1">
      <c r="A38" s="573"/>
      <c r="B38" s="508"/>
      <c r="C38" s="568"/>
      <c r="D38" s="520"/>
      <c r="E38" s="574"/>
      <c r="H38" s="588"/>
      <c r="I38" s="588"/>
      <c r="J38" s="588"/>
      <c r="K38" s="588"/>
      <c r="L38" s="545"/>
      <c r="M38" s="508"/>
      <c r="N38" s="477"/>
      <c r="O38" s="520"/>
      <c r="P38" s="704"/>
      <c r="Q38" s="702"/>
      <c r="R38" s="702"/>
      <c r="S38" s="588"/>
      <c r="T38" s="588"/>
      <c r="U38" s="588"/>
      <c r="V38" s="588"/>
      <c r="W38" s="545"/>
      <c r="X38" s="545"/>
      <c r="Y38" s="545"/>
      <c r="Z38" s="545"/>
      <c r="AA38" s="545"/>
      <c r="AB38" s="545"/>
      <c r="AC38" s="545"/>
      <c r="AD38" s="545"/>
      <c r="AE38" s="545"/>
      <c r="AF38" s="545"/>
      <c r="AG38" s="545"/>
      <c r="AH38" s="545"/>
      <c r="AI38" s="545"/>
      <c r="AJ38" s="545"/>
      <c r="AK38" s="545"/>
      <c r="AL38" s="545"/>
      <c r="AM38" s="545"/>
      <c r="AN38" s="545"/>
      <c r="AO38" s="545"/>
      <c r="AP38" s="545"/>
      <c r="AQ38" s="545"/>
      <c r="AR38" s="545"/>
      <c r="AS38" s="545"/>
      <c r="AT38" s="545"/>
      <c r="AU38" s="545"/>
      <c r="AV38" s="545"/>
      <c r="AW38" s="545"/>
      <c r="AX38" s="545"/>
      <c r="AY38" s="545"/>
      <c r="AZ38" s="545"/>
      <c r="BA38" s="545"/>
      <c r="BB38" s="545"/>
      <c r="BC38" s="545"/>
      <c r="BD38" s="545"/>
      <c r="BE38" s="545"/>
      <c r="BF38" s="545"/>
      <c r="BG38" s="545"/>
      <c r="BH38" s="545"/>
      <c r="BI38" s="545"/>
      <c r="BJ38" s="545"/>
      <c r="BK38" s="545"/>
      <c r="BL38" s="545"/>
      <c r="BM38" s="545"/>
      <c r="BN38" s="545"/>
      <c r="BO38" s="545"/>
      <c r="BP38" s="545"/>
      <c r="BQ38" s="545"/>
      <c r="BR38" s="545"/>
      <c r="BS38" s="545"/>
      <c r="BT38" s="545"/>
      <c r="BU38" s="545"/>
      <c r="BV38" s="545"/>
      <c r="BW38" s="545"/>
      <c r="BX38" s="545"/>
      <c r="BY38" s="545"/>
      <c r="BZ38" s="545"/>
      <c r="CA38" s="545"/>
      <c r="CB38" s="545"/>
      <c r="CC38" s="545"/>
      <c r="CD38" s="545"/>
      <c r="CE38" s="545"/>
      <c r="CF38" s="545"/>
      <c r="CG38" s="545"/>
      <c r="CH38" s="545"/>
      <c r="CI38" s="545"/>
      <c r="CJ38" s="545"/>
      <c r="CK38" s="545"/>
      <c r="CL38" s="545"/>
      <c r="CM38" s="545"/>
      <c r="CN38" s="545"/>
      <c r="CO38" s="545"/>
      <c r="CP38" s="545"/>
      <c r="CQ38" s="545"/>
      <c r="CR38" s="545"/>
      <c r="CS38" s="545"/>
      <c r="CT38" s="545"/>
      <c r="CU38" s="545"/>
      <c r="CV38" s="545"/>
      <c r="CW38" s="545"/>
      <c r="CX38" s="545"/>
    </row>
    <row r="39" spans="1:102" s="575" customFormat="1" ht="30" customHeight="1" outlineLevel="1">
      <c r="A39" s="573"/>
      <c r="B39" s="521" t="s">
        <v>79</v>
      </c>
      <c r="C39" s="547"/>
      <c r="D39" s="592"/>
      <c r="E39" s="574"/>
      <c r="H39" s="576"/>
      <c r="I39" s="576"/>
      <c r="J39" s="576"/>
      <c r="K39" s="576"/>
      <c r="L39" s="592"/>
      <c r="M39" s="521" t="s">
        <v>79</v>
      </c>
      <c r="N39" s="475"/>
      <c r="O39" s="592"/>
      <c r="P39" s="704"/>
      <c r="Q39" s="702"/>
      <c r="R39" s="702"/>
      <c r="S39" s="576"/>
      <c r="T39" s="576"/>
      <c r="U39" s="576"/>
      <c r="V39" s="576"/>
    </row>
    <row r="40" spans="1:102" s="592" customFormat="1" ht="30" customHeight="1" outlineLevel="1">
      <c r="A40" s="514" t="e">
        <f>+#REF!+1</f>
        <v>#REF!</v>
      </c>
      <c r="B40" s="538" t="s">
        <v>655</v>
      </c>
      <c r="C40" s="539" t="s">
        <v>435</v>
      </c>
      <c r="D40" s="540" t="s">
        <v>11</v>
      </c>
      <c r="E40" s="593">
        <v>2825.1</v>
      </c>
      <c r="F40" s="593">
        <v>250</v>
      </c>
      <c r="G40" s="593">
        <f>+E40+F40</f>
        <v>3075.1</v>
      </c>
      <c r="H40" s="594">
        <v>0.5</v>
      </c>
      <c r="I40" s="594">
        <v>0.5</v>
      </c>
      <c r="J40" s="594">
        <v>0</v>
      </c>
      <c r="K40" s="544">
        <f>SUM(H40:J40)</f>
        <v>1</v>
      </c>
      <c r="M40" s="538" t="s">
        <v>655</v>
      </c>
      <c r="N40" s="474" t="s">
        <v>435</v>
      </c>
      <c r="O40" s="540" t="s">
        <v>11</v>
      </c>
      <c r="P40" s="695">
        <v>2959.24</v>
      </c>
      <c r="Q40" s="696">
        <v>250</v>
      </c>
      <c r="R40" s="696">
        <f>+P40+Q40</f>
        <v>3209.24</v>
      </c>
      <c r="S40" s="594">
        <v>0.5</v>
      </c>
      <c r="T40" s="594">
        <v>0.5</v>
      </c>
      <c r="U40" s="594">
        <v>0</v>
      </c>
      <c r="V40" s="544">
        <f>SUM(S40:U40)</f>
        <v>1</v>
      </c>
    </row>
    <row r="41" spans="1:102" s="592" customFormat="1" ht="30" customHeight="1" outlineLevel="1">
      <c r="A41" s="514" t="e">
        <f>+A40+1</f>
        <v>#REF!</v>
      </c>
      <c r="B41" s="538" t="s">
        <v>657</v>
      </c>
      <c r="C41" s="539" t="s">
        <v>435</v>
      </c>
      <c r="D41" s="540" t="s">
        <v>11</v>
      </c>
      <c r="E41" s="593">
        <v>2825.1</v>
      </c>
      <c r="F41" s="593">
        <v>250</v>
      </c>
      <c r="G41" s="593">
        <f>+E41+F41</f>
        <v>3075.1</v>
      </c>
      <c r="H41" s="594">
        <v>0.5</v>
      </c>
      <c r="I41" s="594">
        <v>0.5</v>
      </c>
      <c r="J41" s="594">
        <v>0</v>
      </c>
      <c r="K41" s="544">
        <f>SUM(H41:J41)</f>
        <v>1</v>
      </c>
      <c r="M41" s="538" t="s">
        <v>657</v>
      </c>
      <c r="N41" s="474" t="s">
        <v>435</v>
      </c>
      <c r="O41" s="540" t="s">
        <v>11</v>
      </c>
      <c r="P41" s="695">
        <v>2959.24</v>
      </c>
      <c r="Q41" s="696">
        <v>250</v>
      </c>
      <c r="R41" s="696">
        <f>+P41+Q41</f>
        <v>3209.24</v>
      </c>
      <c r="S41" s="594">
        <v>0.5</v>
      </c>
      <c r="T41" s="594">
        <v>0.5</v>
      </c>
      <c r="U41" s="594">
        <v>0</v>
      </c>
      <c r="V41" s="544">
        <f>SUM(S41:U41)</f>
        <v>1</v>
      </c>
    </row>
    <row r="42" spans="1:102" s="592" customFormat="1" ht="30" customHeight="1" outlineLevel="1">
      <c r="A42" s="514" t="e">
        <f>+A41+1</f>
        <v>#REF!</v>
      </c>
      <c r="B42" s="538" t="s">
        <v>658</v>
      </c>
      <c r="C42" s="539" t="s">
        <v>435</v>
      </c>
      <c r="D42" s="540" t="s">
        <v>11</v>
      </c>
      <c r="E42" s="593">
        <v>2825.1</v>
      </c>
      <c r="F42" s="593">
        <v>250</v>
      </c>
      <c r="G42" s="593">
        <f>+E42+F42</f>
        <v>3075.1</v>
      </c>
      <c r="H42" s="594">
        <v>0.5</v>
      </c>
      <c r="I42" s="594">
        <v>0.5</v>
      </c>
      <c r="J42" s="594">
        <v>0</v>
      </c>
      <c r="K42" s="544">
        <f>SUM(H42:J42)</f>
        <v>1</v>
      </c>
      <c r="M42" s="538" t="s">
        <v>658</v>
      </c>
      <c r="N42" s="474" t="s">
        <v>435</v>
      </c>
      <c r="O42" s="540" t="s">
        <v>11</v>
      </c>
      <c r="P42" s="695">
        <v>2959.24</v>
      </c>
      <c r="Q42" s="696">
        <v>250</v>
      </c>
      <c r="R42" s="696">
        <f>+P42+Q42</f>
        <v>3209.24</v>
      </c>
      <c r="S42" s="594">
        <v>0.5</v>
      </c>
      <c r="T42" s="594">
        <v>0.5</v>
      </c>
      <c r="U42" s="594">
        <v>0</v>
      </c>
      <c r="V42" s="544">
        <f>SUM(S42:U42)</f>
        <v>1</v>
      </c>
    </row>
    <row r="43" spans="1:102" s="597" customFormat="1" ht="30" customHeight="1" outlineLevel="1">
      <c r="A43" s="514" t="e">
        <f>+A42+1</f>
        <v>#REF!</v>
      </c>
      <c r="B43" s="556" t="s">
        <v>535</v>
      </c>
      <c r="C43" s="557" t="s">
        <v>435</v>
      </c>
      <c r="D43" s="557" t="s">
        <v>10</v>
      </c>
      <c r="E43" s="530">
        <v>2825.1</v>
      </c>
      <c r="F43" s="530">
        <v>250</v>
      </c>
      <c r="G43" s="530">
        <f>+E43+F43</f>
        <v>3075.1</v>
      </c>
      <c r="H43" s="595">
        <v>0.5</v>
      </c>
      <c r="I43" s="595">
        <v>0.5</v>
      </c>
      <c r="J43" s="595">
        <v>0</v>
      </c>
      <c r="K43" s="596">
        <f>SUM(H43:J43)</f>
        <v>1</v>
      </c>
      <c r="M43" s="556" t="s">
        <v>535</v>
      </c>
      <c r="N43" s="476" t="s">
        <v>435</v>
      </c>
      <c r="O43" s="557" t="s">
        <v>10</v>
      </c>
      <c r="P43" s="695">
        <v>2959.24</v>
      </c>
      <c r="Q43" s="696">
        <v>250</v>
      </c>
      <c r="R43" s="696">
        <f>+P43+Q43</f>
        <v>3209.24</v>
      </c>
      <c r="S43" s="595">
        <v>0.5</v>
      </c>
      <c r="T43" s="595">
        <v>0.5</v>
      </c>
      <c r="U43" s="595">
        <v>0</v>
      </c>
      <c r="V43" s="596">
        <f>SUM(S43:U43)</f>
        <v>1</v>
      </c>
    </row>
    <row r="44" spans="1:102" s="592" customFormat="1" ht="30" customHeight="1" outlineLevel="1" thickBot="1">
      <c r="A44" s="514"/>
      <c r="B44" s="546"/>
      <c r="C44" s="547" t="s">
        <v>431</v>
      </c>
      <c r="D44" s="520"/>
      <c r="E44" s="598">
        <f>+SUM(E40:E43)</f>
        <v>11300.4</v>
      </c>
      <c r="F44" s="599">
        <f>+SUM(F40:F43)</f>
        <v>1000</v>
      </c>
      <c r="G44" s="599">
        <f>+SUM(G40:G43)</f>
        <v>12300.4</v>
      </c>
      <c r="H44" s="600"/>
      <c r="I44" s="600"/>
      <c r="J44" s="600"/>
      <c r="K44" s="549"/>
      <c r="M44" s="546"/>
      <c r="N44" s="475" t="s">
        <v>431</v>
      </c>
      <c r="O44" s="520"/>
      <c r="P44" s="707">
        <f>+SUM(P40:P43)</f>
        <v>11836.96</v>
      </c>
      <c r="Q44" s="708">
        <f>+SUM(Q40:Q43)</f>
        <v>1000</v>
      </c>
      <c r="R44" s="708">
        <f>+SUM(R40:R43)</f>
        <v>12836.96</v>
      </c>
      <c r="S44" s="600"/>
      <c r="T44" s="600"/>
      <c r="U44" s="600"/>
      <c r="V44" s="549"/>
    </row>
    <row r="45" spans="1:102" s="604" customFormat="1" ht="30" customHeight="1" outlineLevel="1" thickTop="1">
      <c r="A45" s="537"/>
      <c r="B45" s="508" t="s">
        <v>85</v>
      </c>
      <c r="C45" s="568"/>
      <c r="D45" s="547"/>
      <c r="E45" s="601"/>
      <c r="F45" s="602"/>
      <c r="G45" s="602"/>
      <c r="H45" s="603"/>
      <c r="I45" s="603"/>
      <c r="J45" s="603"/>
      <c r="K45" s="603"/>
      <c r="M45" s="508" t="s">
        <v>85</v>
      </c>
      <c r="N45" s="477"/>
      <c r="O45" s="547"/>
      <c r="P45" s="704"/>
      <c r="Q45" s="702"/>
      <c r="R45" s="702"/>
      <c r="S45" s="603"/>
      <c r="T45" s="603"/>
      <c r="U45" s="603"/>
      <c r="V45" s="603"/>
    </row>
    <row r="46" spans="1:102" s="554" customFormat="1" ht="30" customHeight="1" outlineLevel="1">
      <c r="A46" s="573"/>
      <c r="B46" s="521" t="s">
        <v>89</v>
      </c>
      <c r="C46" s="514"/>
      <c r="D46" s="520"/>
      <c r="E46" s="605"/>
      <c r="H46" s="600"/>
      <c r="I46" s="600"/>
      <c r="J46" s="600"/>
      <c r="K46" s="600"/>
      <c r="L46" s="520"/>
      <c r="M46" s="521" t="s">
        <v>89</v>
      </c>
      <c r="N46" s="469"/>
      <c r="O46" s="520"/>
      <c r="P46" s="704"/>
      <c r="Q46" s="702"/>
      <c r="R46" s="702"/>
      <c r="S46" s="600"/>
      <c r="T46" s="600"/>
      <c r="U46" s="600"/>
      <c r="V46" s="600"/>
    </row>
    <row r="47" spans="1:102" s="554" customFormat="1" ht="30" customHeight="1" outlineLevel="1">
      <c r="A47" s="573"/>
      <c r="B47" s="493" t="s">
        <v>90</v>
      </c>
      <c r="C47" s="514"/>
      <c r="D47" s="520"/>
      <c r="E47" s="605"/>
      <c r="H47" s="600"/>
      <c r="I47" s="600"/>
      <c r="J47" s="600"/>
      <c r="K47" s="600"/>
      <c r="L47" s="520"/>
      <c r="M47" s="493" t="s">
        <v>90</v>
      </c>
      <c r="N47" s="469"/>
      <c r="O47" s="520"/>
      <c r="P47" s="704"/>
      <c r="Q47" s="702"/>
      <c r="R47" s="702"/>
      <c r="S47" s="600"/>
      <c r="T47" s="600"/>
      <c r="U47" s="600"/>
      <c r="V47" s="600"/>
    </row>
    <row r="48" spans="1:102" s="536" customFormat="1" ht="30" customHeight="1" outlineLevel="1">
      <c r="A48" s="577" t="e">
        <f>+#REF!+1</f>
        <v>#REF!</v>
      </c>
      <c r="B48" s="606" t="s">
        <v>524</v>
      </c>
      <c r="C48" s="579" t="s">
        <v>665</v>
      </c>
      <c r="D48" s="532" t="s">
        <v>10</v>
      </c>
      <c r="E48" s="534">
        <v>2825.1</v>
      </c>
      <c r="F48" s="534">
        <v>250</v>
      </c>
      <c r="G48" s="534">
        <f>+E48+F48</f>
        <v>3075.1</v>
      </c>
      <c r="H48" s="589">
        <v>1</v>
      </c>
      <c r="I48" s="535">
        <v>0</v>
      </c>
      <c r="J48" s="535">
        <v>0</v>
      </c>
      <c r="K48" s="535">
        <f>SUM(H48:J48)</f>
        <v>1</v>
      </c>
      <c r="M48" s="606" t="s">
        <v>524</v>
      </c>
      <c r="N48" s="479" t="s">
        <v>665</v>
      </c>
      <c r="O48" s="532" t="s">
        <v>10</v>
      </c>
      <c r="P48" s="695">
        <v>2959.24</v>
      </c>
      <c r="Q48" s="696">
        <v>250</v>
      </c>
      <c r="R48" s="696">
        <f>+P48+Q48</f>
        <v>3209.24</v>
      </c>
      <c r="S48" s="589">
        <v>1</v>
      </c>
      <c r="T48" s="535">
        <v>0</v>
      </c>
      <c r="U48" s="535">
        <v>0</v>
      </c>
      <c r="V48" s="535">
        <f>SUM(S48:U48)</f>
        <v>1</v>
      </c>
    </row>
    <row r="49" spans="1:22" s="611" customFormat="1" ht="30" customHeight="1" outlineLevel="1" thickBot="1">
      <c r="A49" s="607"/>
      <c r="B49" s="508"/>
      <c r="C49" s="608"/>
      <c r="D49" s="608"/>
      <c r="E49" s="609">
        <f>SUM(E48:E48)</f>
        <v>2825.1</v>
      </c>
      <c r="F49" s="609">
        <f>SUM(F48:F48)</f>
        <v>250</v>
      </c>
      <c r="G49" s="609">
        <f>SUM(G48:G48)</f>
        <v>3075.1</v>
      </c>
      <c r="H49" s="610"/>
      <c r="I49" s="610"/>
      <c r="J49" s="610"/>
      <c r="K49" s="610"/>
      <c r="M49" s="508"/>
      <c r="N49" s="481"/>
      <c r="O49" s="608"/>
      <c r="P49" s="709">
        <f>SUM(P48:P48)</f>
        <v>2959.24</v>
      </c>
      <c r="Q49" s="709">
        <f>SUM(Q48:Q48)</f>
        <v>250</v>
      </c>
      <c r="R49" s="709">
        <f>SUM(R48:R48)</f>
        <v>3209.24</v>
      </c>
      <c r="S49" s="610"/>
      <c r="T49" s="610"/>
      <c r="U49" s="610"/>
      <c r="V49" s="610"/>
    </row>
    <row r="50" spans="1:22" s="613" customFormat="1" ht="30" customHeight="1" outlineLevel="1" thickTop="1">
      <c r="A50" s="607"/>
      <c r="B50" s="612" t="s">
        <v>11</v>
      </c>
      <c r="C50" s="607"/>
      <c r="E50" s="614"/>
      <c r="F50" s="614"/>
      <c r="G50" s="614"/>
      <c r="H50" s="615"/>
      <c r="I50" s="615"/>
      <c r="J50" s="615"/>
      <c r="K50" s="615"/>
      <c r="M50" s="612" t="s">
        <v>11</v>
      </c>
      <c r="N50" s="480"/>
      <c r="P50" s="710"/>
      <c r="Q50" s="710"/>
      <c r="R50" s="710"/>
      <c r="S50" s="615"/>
      <c r="T50" s="615"/>
      <c r="U50" s="615"/>
      <c r="V50" s="615"/>
    </row>
    <row r="51" spans="1:22" s="613" customFormat="1" ht="30" customHeight="1" outlineLevel="1">
      <c r="A51" s="607" t="e">
        <f>+#REF!+1</f>
        <v>#REF!</v>
      </c>
      <c r="B51" s="527" t="s">
        <v>555</v>
      </c>
      <c r="C51" s="616" t="s">
        <v>596</v>
      </c>
      <c r="D51" s="616" t="s">
        <v>11</v>
      </c>
      <c r="E51" s="541">
        <v>2825.1</v>
      </c>
      <c r="F51" s="593">
        <v>250</v>
      </c>
      <c r="G51" s="617">
        <f t="shared" ref="G51:G57" si="0">+E51+F51</f>
        <v>3075.1</v>
      </c>
      <c r="H51" s="618">
        <v>0</v>
      </c>
      <c r="I51" s="619">
        <v>1</v>
      </c>
      <c r="J51" s="618">
        <v>0</v>
      </c>
      <c r="K51" s="618">
        <f t="shared" ref="K51:K67" si="1">SUM(H51:J51)</f>
        <v>1</v>
      </c>
      <c r="M51" s="527" t="s">
        <v>555</v>
      </c>
      <c r="N51" s="482" t="s">
        <v>596</v>
      </c>
      <c r="O51" s="616" t="s">
        <v>11</v>
      </c>
      <c r="P51" s="695">
        <v>2959.24</v>
      </c>
      <c r="Q51" s="696">
        <v>250</v>
      </c>
      <c r="R51" s="696">
        <f t="shared" ref="R51:R57" si="2">+P51+Q51</f>
        <v>3209.24</v>
      </c>
      <c r="S51" s="618">
        <v>0</v>
      </c>
      <c r="T51" s="619">
        <v>1</v>
      </c>
      <c r="U51" s="618">
        <v>0</v>
      </c>
      <c r="V51" s="618">
        <f t="shared" ref="V51:V67" si="3">SUM(S51:U51)</f>
        <v>1</v>
      </c>
    </row>
    <row r="52" spans="1:22" s="536" customFormat="1" ht="30" customHeight="1" outlineLevel="1">
      <c r="A52" s="526" t="e">
        <f>+A51+1</f>
        <v>#REF!</v>
      </c>
      <c r="B52" s="527" t="s">
        <v>556</v>
      </c>
      <c r="C52" s="528" t="s">
        <v>596</v>
      </c>
      <c r="D52" s="528" t="s">
        <v>11</v>
      </c>
      <c r="E52" s="533">
        <v>2825.1</v>
      </c>
      <c r="F52" s="534">
        <v>250</v>
      </c>
      <c r="G52" s="620">
        <f t="shared" si="0"/>
        <v>3075.1</v>
      </c>
      <c r="H52" s="535">
        <v>0</v>
      </c>
      <c r="I52" s="621">
        <v>1</v>
      </c>
      <c r="J52" s="535">
        <v>0</v>
      </c>
      <c r="K52" s="535">
        <f t="shared" si="1"/>
        <v>1</v>
      </c>
      <c r="M52" s="527" t="s">
        <v>556</v>
      </c>
      <c r="N52" s="472" t="s">
        <v>596</v>
      </c>
      <c r="O52" s="528" t="s">
        <v>11</v>
      </c>
      <c r="P52" s="695">
        <v>2959.24</v>
      </c>
      <c r="Q52" s="696">
        <v>250</v>
      </c>
      <c r="R52" s="696">
        <f t="shared" si="2"/>
        <v>3209.24</v>
      </c>
      <c r="S52" s="535">
        <v>0</v>
      </c>
      <c r="T52" s="621">
        <v>1</v>
      </c>
      <c r="U52" s="535">
        <v>0</v>
      </c>
      <c r="V52" s="535">
        <f t="shared" si="3"/>
        <v>1</v>
      </c>
    </row>
    <row r="53" spans="1:22" s="613" customFormat="1" ht="30" customHeight="1" outlineLevel="1">
      <c r="A53" s="526" t="e">
        <f t="shared" ref="A53:A67" si="4">+A52+1</f>
        <v>#REF!</v>
      </c>
      <c r="B53" s="527" t="s">
        <v>548</v>
      </c>
      <c r="C53" s="616" t="s">
        <v>598</v>
      </c>
      <c r="D53" s="616" t="s">
        <v>11</v>
      </c>
      <c r="E53" s="541">
        <v>2825.1</v>
      </c>
      <c r="F53" s="593">
        <v>250</v>
      </c>
      <c r="G53" s="617">
        <f t="shared" si="0"/>
        <v>3075.1</v>
      </c>
      <c r="H53" s="618">
        <v>0</v>
      </c>
      <c r="I53" s="619">
        <v>1</v>
      </c>
      <c r="J53" s="618">
        <v>0</v>
      </c>
      <c r="K53" s="618">
        <f t="shared" si="1"/>
        <v>1</v>
      </c>
      <c r="M53" s="527" t="s">
        <v>548</v>
      </c>
      <c r="N53" s="482" t="s">
        <v>598</v>
      </c>
      <c r="O53" s="616" t="s">
        <v>11</v>
      </c>
      <c r="P53" s="695">
        <v>2959.24</v>
      </c>
      <c r="Q53" s="696">
        <v>250</v>
      </c>
      <c r="R53" s="696">
        <f t="shared" si="2"/>
        <v>3209.24</v>
      </c>
      <c r="S53" s="618">
        <v>0</v>
      </c>
      <c r="T53" s="619">
        <v>1</v>
      </c>
      <c r="U53" s="618">
        <v>0</v>
      </c>
      <c r="V53" s="618">
        <f t="shared" si="3"/>
        <v>1</v>
      </c>
    </row>
    <row r="54" spans="1:22" s="536" customFormat="1" ht="30" customHeight="1" outlineLevel="1">
      <c r="A54" s="526" t="e">
        <f t="shared" si="4"/>
        <v>#REF!</v>
      </c>
      <c r="B54" s="527" t="s">
        <v>582</v>
      </c>
      <c r="C54" s="616" t="s">
        <v>598</v>
      </c>
      <c r="D54" s="528" t="s">
        <v>11</v>
      </c>
      <c r="E54" s="533">
        <v>2825.1</v>
      </c>
      <c r="F54" s="534">
        <f>250</f>
        <v>250</v>
      </c>
      <c r="G54" s="620">
        <f t="shared" si="0"/>
        <v>3075.1</v>
      </c>
      <c r="H54" s="535">
        <v>0</v>
      </c>
      <c r="I54" s="621">
        <v>1</v>
      </c>
      <c r="J54" s="535">
        <v>0</v>
      </c>
      <c r="K54" s="535">
        <f t="shared" si="1"/>
        <v>1</v>
      </c>
      <c r="L54" s="536">
        <v>450</v>
      </c>
      <c r="M54" s="527" t="s">
        <v>582</v>
      </c>
      <c r="N54" s="482" t="s">
        <v>598</v>
      </c>
      <c r="O54" s="528" t="s">
        <v>11</v>
      </c>
      <c r="P54" s="695">
        <v>2959.24</v>
      </c>
      <c r="Q54" s="696">
        <f>250</f>
        <v>250</v>
      </c>
      <c r="R54" s="696">
        <f t="shared" si="2"/>
        <v>3209.24</v>
      </c>
      <c r="S54" s="535">
        <v>0</v>
      </c>
      <c r="T54" s="621">
        <v>1</v>
      </c>
      <c r="U54" s="535">
        <v>0</v>
      </c>
      <c r="V54" s="535">
        <f t="shared" si="3"/>
        <v>1</v>
      </c>
    </row>
    <row r="55" spans="1:22" s="536" customFormat="1" ht="30" customHeight="1" outlineLevel="1">
      <c r="A55" s="526" t="e">
        <f t="shared" si="4"/>
        <v>#REF!</v>
      </c>
      <c r="B55" s="527" t="s">
        <v>513</v>
      </c>
      <c r="C55" s="528" t="s">
        <v>599</v>
      </c>
      <c r="D55" s="528" t="s">
        <v>11</v>
      </c>
      <c r="E55" s="533">
        <v>2825.1</v>
      </c>
      <c r="F55" s="534">
        <f>250</f>
        <v>250</v>
      </c>
      <c r="G55" s="620">
        <f t="shared" si="0"/>
        <v>3075.1</v>
      </c>
      <c r="H55" s="622">
        <v>0</v>
      </c>
      <c r="I55" s="531">
        <v>1</v>
      </c>
      <c r="J55" s="535">
        <v>0</v>
      </c>
      <c r="K55" s="535">
        <f t="shared" si="1"/>
        <v>1</v>
      </c>
      <c r="M55" s="527" t="s">
        <v>513</v>
      </c>
      <c r="N55" s="472" t="s">
        <v>599</v>
      </c>
      <c r="O55" s="528" t="s">
        <v>11</v>
      </c>
      <c r="P55" s="695">
        <v>2959.24</v>
      </c>
      <c r="Q55" s="696">
        <f>250</f>
        <v>250</v>
      </c>
      <c r="R55" s="696">
        <f t="shared" si="2"/>
        <v>3209.24</v>
      </c>
      <c r="S55" s="622">
        <v>0</v>
      </c>
      <c r="T55" s="531">
        <v>1</v>
      </c>
      <c r="U55" s="535">
        <v>0</v>
      </c>
      <c r="V55" s="535">
        <f t="shared" si="3"/>
        <v>1</v>
      </c>
    </row>
    <row r="56" spans="1:22" s="536" customFormat="1" ht="30" customHeight="1" outlineLevel="1">
      <c r="A56" s="526" t="e">
        <f t="shared" si="4"/>
        <v>#REF!</v>
      </c>
      <c r="B56" s="527" t="s">
        <v>588</v>
      </c>
      <c r="C56" s="528" t="s">
        <v>599</v>
      </c>
      <c r="D56" s="528" t="s">
        <v>11</v>
      </c>
      <c r="E56" s="533">
        <v>2825.1</v>
      </c>
      <c r="F56" s="534">
        <v>250</v>
      </c>
      <c r="G56" s="620">
        <f t="shared" si="0"/>
        <v>3075.1</v>
      </c>
      <c r="H56" s="622">
        <v>0</v>
      </c>
      <c r="I56" s="531">
        <v>1</v>
      </c>
      <c r="J56" s="535">
        <v>0</v>
      </c>
      <c r="K56" s="535">
        <f t="shared" si="1"/>
        <v>1</v>
      </c>
      <c r="M56" s="527" t="s">
        <v>588</v>
      </c>
      <c r="N56" s="472" t="s">
        <v>599</v>
      </c>
      <c r="O56" s="528" t="s">
        <v>11</v>
      </c>
      <c r="P56" s="695">
        <v>2959.24</v>
      </c>
      <c r="Q56" s="696">
        <v>250</v>
      </c>
      <c r="R56" s="696">
        <f t="shared" si="2"/>
        <v>3209.24</v>
      </c>
      <c r="S56" s="622">
        <v>0</v>
      </c>
      <c r="T56" s="531">
        <v>1</v>
      </c>
      <c r="U56" s="535">
        <v>0</v>
      </c>
      <c r="V56" s="535">
        <f t="shared" si="3"/>
        <v>1</v>
      </c>
    </row>
    <row r="57" spans="1:22" s="536" customFormat="1" ht="30" customHeight="1" outlineLevel="1">
      <c r="A57" s="526" t="e">
        <f t="shared" si="4"/>
        <v>#REF!</v>
      </c>
      <c r="B57" s="527" t="s">
        <v>590</v>
      </c>
      <c r="C57" s="528" t="s">
        <v>599</v>
      </c>
      <c r="D57" s="528" t="s">
        <v>11</v>
      </c>
      <c r="E57" s="529">
        <v>2825.1</v>
      </c>
      <c r="F57" s="530">
        <v>250</v>
      </c>
      <c r="G57" s="623">
        <f t="shared" si="0"/>
        <v>3075.1</v>
      </c>
      <c r="H57" s="621">
        <v>0</v>
      </c>
      <c r="I57" s="531">
        <v>1</v>
      </c>
      <c r="J57" s="531">
        <v>0</v>
      </c>
      <c r="K57" s="535">
        <f t="shared" si="1"/>
        <v>1</v>
      </c>
      <c r="M57" s="527" t="s">
        <v>590</v>
      </c>
      <c r="N57" s="472" t="s">
        <v>599</v>
      </c>
      <c r="O57" s="528" t="s">
        <v>11</v>
      </c>
      <c r="P57" s="695">
        <v>2959.24</v>
      </c>
      <c r="Q57" s="696">
        <v>250</v>
      </c>
      <c r="R57" s="696">
        <f t="shared" si="2"/>
        <v>3209.24</v>
      </c>
      <c r="S57" s="621">
        <v>0</v>
      </c>
      <c r="T57" s="531">
        <v>1</v>
      </c>
      <c r="U57" s="531">
        <v>0</v>
      </c>
      <c r="V57" s="535">
        <f t="shared" si="3"/>
        <v>1</v>
      </c>
    </row>
    <row r="58" spans="1:22" s="536" customFormat="1" ht="30" customHeight="1" outlineLevel="1">
      <c r="A58" s="526" t="e">
        <f t="shared" si="4"/>
        <v>#REF!</v>
      </c>
      <c r="B58" s="527" t="s">
        <v>589</v>
      </c>
      <c r="C58" s="528" t="s">
        <v>568</v>
      </c>
      <c r="D58" s="528" t="s">
        <v>11</v>
      </c>
      <c r="E58" s="533">
        <v>2825.1</v>
      </c>
      <c r="F58" s="534">
        <v>250</v>
      </c>
      <c r="G58" s="620">
        <v>3075.1</v>
      </c>
      <c r="H58" s="622">
        <v>0</v>
      </c>
      <c r="I58" s="531">
        <v>1</v>
      </c>
      <c r="J58" s="535">
        <v>0</v>
      </c>
      <c r="K58" s="535">
        <f t="shared" si="1"/>
        <v>1</v>
      </c>
      <c r="M58" s="527" t="s">
        <v>589</v>
      </c>
      <c r="N58" s="472" t="s">
        <v>568</v>
      </c>
      <c r="O58" s="528" t="s">
        <v>11</v>
      </c>
      <c r="P58" s="695">
        <v>2959.24</v>
      </c>
      <c r="Q58" s="696">
        <v>250</v>
      </c>
      <c r="R58" s="696">
        <v>3075.1</v>
      </c>
      <c r="S58" s="622">
        <v>0</v>
      </c>
      <c r="T58" s="531">
        <v>1</v>
      </c>
      <c r="U58" s="535">
        <v>0</v>
      </c>
      <c r="V58" s="535">
        <f t="shared" si="3"/>
        <v>1</v>
      </c>
    </row>
    <row r="59" spans="1:22" s="536" customFormat="1" ht="30" customHeight="1" outlineLevel="1">
      <c r="A59" s="526" t="e">
        <f t="shared" si="4"/>
        <v>#REF!</v>
      </c>
      <c r="B59" s="527" t="s">
        <v>623</v>
      </c>
      <c r="C59" s="528" t="s">
        <v>624</v>
      </c>
      <c r="D59" s="528" t="s">
        <v>11</v>
      </c>
      <c r="E59" s="533">
        <v>2825.1</v>
      </c>
      <c r="F59" s="534">
        <v>250</v>
      </c>
      <c r="G59" s="620">
        <f t="shared" ref="G59:G66" si="5">+E59+F59</f>
        <v>3075.1</v>
      </c>
      <c r="H59" s="535">
        <v>0</v>
      </c>
      <c r="I59" s="621">
        <v>1</v>
      </c>
      <c r="J59" s="535">
        <v>0</v>
      </c>
      <c r="K59" s="535">
        <f t="shared" si="1"/>
        <v>1</v>
      </c>
      <c r="M59" s="527" t="s">
        <v>623</v>
      </c>
      <c r="N59" s="472" t="s">
        <v>624</v>
      </c>
      <c r="O59" s="528" t="s">
        <v>11</v>
      </c>
      <c r="P59" s="695">
        <v>2959.24</v>
      </c>
      <c r="Q59" s="696">
        <v>250</v>
      </c>
      <c r="R59" s="696">
        <f t="shared" ref="R59:R66" si="6">+P59+Q59</f>
        <v>3209.24</v>
      </c>
      <c r="S59" s="535">
        <v>0</v>
      </c>
      <c r="T59" s="621">
        <v>1</v>
      </c>
      <c r="U59" s="535">
        <v>0</v>
      </c>
      <c r="V59" s="535">
        <f t="shared" si="3"/>
        <v>1</v>
      </c>
    </row>
    <row r="60" spans="1:22" s="536" customFormat="1" ht="30" customHeight="1" outlineLevel="1">
      <c r="A60" s="526" t="e">
        <f t="shared" si="4"/>
        <v>#REF!</v>
      </c>
      <c r="B60" s="527" t="s">
        <v>625</v>
      </c>
      <c r="C60" s="528" t="s">
        <v>94</v>
      </c>
      <c r="D60" s="528" t="s">
        <v>11</v>
      </c>
      <c r="E60" s="533">
        <v>2825.1</v>
      </c>
      <c r="F60" s="534">
        <v>250</v>
      </c>
      <c r="G60" s="620">
        <f t="shared" si="5"/>
        <v>3075.1</v>
      </c>
      <c r="H60" s="535">
        <v>0</v>
      </c>
      <c r="I60" s="621">
        <v>1</v>
      </c>
      <c r="J60" s="535">
        <v>0</v>
      </c>
      <c r="K60" s="535">
        <f t="shared" si="1"/>
        <v>1</v>
      </c>
      <c r="M60" s="527" t="s">
        <v>625</v>
      </c>
      <c r="N60" s="472" t="s">
        <v>94</v>
      </c>
      <c r="O60" s="528" t="s">
        <v>11</v>
      </c>
      <c r="P60" s="695">
        <v>2959.24</v>
      </c>
      <c r="Q60" s="696">
        <v>250</v>
      </c>
      <c r="R60" s="696">
        <f t="shared" si="6"/>
        <v>3209.24</v>
      </c>
      <c r="S60" s="535">
        <v>0</v>
      </c>
      <c r="T60" s="621">
        <v>1</v>
      </c>
      <c r="U60" s="535">
        <v>0</v>
      </c>
      <c r="V60" s="535">
        <f t="shared" si="3"/>
        <v>1</v>
      </c>
    </row>
    <row r="61" spans="1:22" s="526" customFormat="1" ht="30" customHeight="1" outlineLevel="1">
      <c r="A61" s="526" t="e">
        <f t="shared" si="4"/>
        <v>#REF!</v>
      </c>
      <c r="B61" s="527" t="s">
        <v>635</v>
      </c>
      <c r="C61" s="528" t="s">
        <v>93</v>
      </c>
      <c r="D61" s="528" t="s">
        <v>11</v>
      </c>
      <c r="E61" s="529">
        <v>2825.1</v>
      </c>
      <c r="F61" s="530">
        <v>250</v>
      </c>
      <c r="G61" s="623">
        <f t="shared" si="5"/>
        <v>3075.1</v>
      </c>
      <c r="H61" s="531">
        <v>0</v>
      </c>
      <c r="I61" s="621">
        <v>1</v>
      </c>
      <c r="J61" s="531">
        <v>0</v>
      </c>
      <c r="K61" s="531">
        <f t="shared" si="1"/>
        <v>1</v>
      </c>
      <c r="M61" s="527" t="s">
        <v>635</v>
      </c>
      <c r="N61" s="472" t="s">
        <v>93</v>
      </c>
      <c r="O61" s="528" t="s">
        <v>11</v>
      </c>
      <c r="P61" s="695">
        <v>2959.24</v>
      </c>
      <c r="Q61" s="696">
        <v>250</v>
      </c>
      <c r="R61" s="696">
        <f t="shared" si="6"/>
        <v>3209.24</v>
      </c>
      <c r="S61" s="531">
        <v>0</v>
      </c>
      <c r="T61" s="621">
        <v>1</v>
      </c>
      <c r="U61" s="531">
        <v>0</v>
      </c>
      <c r="V61" s="531">
        <f t="shared" si="3"/>
        <v>1</v>
      </c>
    </row>
    <row r="62" spans="1:22" s="526" customFormat="1" ht="30" customHeight="1" outlineLevel="1">
      <c r="A62" s="526" t="e">
        <f t="shared" si="4"/>
        <v>#REF!</v>
      </c>
      <c r="B62" s="527" t="s">
        <v>639</v>
      </c>
      <c r="C62" s="528" t="s">
        <v>93</v>
      </c>
      <c r="D62" s="528" t="s">
        <v>11</v>
      </c>
      <c r="E62" s="529">
        <v>2825.1</v>
      </c>
      <c r="F62" s="530">
        <v>250</v>
      </c>
      <c r="G62" s="623">
        <f t="shared" si="5"/>
        <v>3075.1</v>
      </c>
      <c r="H62" s="531">
        <v>0</v>
      </c>
      <c r="I62" s="621">
        <v>1</v>
      </c>
      <c r="J62" s="531">
        <v>0</v>
      </c>
      <c r="K62" s="531">
        <f t="shared" si="1"/>
        <v>1</v>
      </c>
      <c r="M62" s="527" t="s">
        <v>639</v>
      </c>
      <c r="N62" s="472" t="s">
        <v>93</v>
      </c>
      <c r="O62" s="528" t="s">
        <v>11</v>
      </c>
      <c r="P62" s="695">
        <v>2959.24</v>
      </c>
      <c r="Q62" s="696">
        <v>250</v>
      </c>
      <c r="R62" s="696">
        <f t="shared" si="6"/>
        <v>3209.24</v>
      </c>
      <c r="S62" s="531">
        <v>0</v>
      </c>
      <c r="T62" s="621">
        <v>1</v>
      </c>
      <c r="U62" s="531">
        <v>0</v>
      </c>
      <c r="V62" s="531">
        <f t="shared" si="3"/>
        <v>1</v>
      </c>
    </row>
    <row r="63" spans="1:22" s="526" customFormat="1" ht="30" customHeight="1" outlineLevel="1">
      <c r="A63" s="526" t="e">
        <f t="shared" si="4"/>
        <v>#REF!</v>
      </c>
      <c r="B63" s="527" t="s">
        <v>640</v>
      </c>
      <c r="C63" s="528" t="s">
        <v>93</v>
      </c>
      <c r="D63" s="528" t="s">
        <v>11</v>
      </c>
      <c r="E63" s="529">
        <v>2825.1</v>
      </c>
      <c r="F63" s="530">
        <v>250</v>
      </c>
      <c r="G63" s="623">
        <f t="shared" si="5"/>
        <v>3075.1</v>
      </c>
      <c r="H63" s="531">
        <v>0</v>
      </c>
      <c r="I63" s="621">
        <v>1</v>
      </c>
      <c r="J63" s="531">
        <v>0</v>
      </c>
      <c r="K63" s="531">
        <f t="shared" si="1"/>
        <v>1</v>
      </c>
      <c r="M63" s="527" t="s">
        <v>640</v>
      </c>
      <c r="N63" s="472" t="s">
        <v>93</v>
      </c>
      <c r="O63" s="528" t="s">
        <v>11</v>
      </c>
      <c r="P63" s="695">
        <v>2959.24</v>
      </c>
      <c r="Q63" s="696">
        <v>250</v>
      </c>
      <c r="R63" s="696">
        <f t="shared" si="6"/>
        <v>3209.24</v>
      </c>
      <c r="S63" s="531">
        <v>0</v>
      </c>
      <c r="T63" s="621">
        <v>1</v>
      </c>
      <c r="U63" s="531">
        <v>0</v>
      </c>
      <c r="V63" s="531">
        <f t="shared" si="3"/>
        <v>1</v>
      </c>
    </row>
    <row r="64" spans="1:22" s="526" customFormat="1" ht="30" customHeight="1" outlineLevel="1">
      <c r="A64" s="526" t="e">
        <f t="shared" si="4"/>
        <v>#REF!</v>
      </c>
      <c r="B64" s="527" t="s">
        <v>646</v>
      </c>
      <c r="C64" s="528" t="s">
        <v>93</v>
      </c>
      <c r="D64" s="528" t="s">
        <v>11</v>
      </c>
      <c r="E64" s="529">
        <v>2825.1</v>
      </c>
      <c r="F64" s="530">
        <v>250</v>
      </c>
      <c r="G64" s="623">
        <f t="shared" si="5"/>
        <v>3075.1</v>
      </c>
      <c r="H64" s="531">
        <v>0</v>
      </c>
      <c r="I64" s="621">
        <v>1</v>
      </c>
      <c r="J64" s="531">
        <v>0</v>
      </c>
      <c r="K64" s="531">
        <f t="shared" si="1"/>
        <v>1</v>
      </c>
      <c r="M64" s="527" t="s">
        <v>646</v>
      </c>
      <c r="N64" s="472" t="s">
        <v>93</v>
      </c>
      <c r="O64" s="528" t="s">
        <v>11</v>
      </c>
      <c r="P64" s="695">
        <v>2959.24</v>
      </c>
      <c r="Q64" s="696">
        <v>250</v>
      </c>
      <c r="R64" s="696">
        <f t="shared" si="6"/>
        <v>3209.24</v>
      </c>
      <c r="S64" s="531">
        <v>0</v>
      </c>
      <c r="T64" s="621">
        <v>1</v>
      </c>
      <c r="U64" s="531">
        <v>0</v>
      </c>
      <c r="V64" s="531">
        <f t="shared" si="3"/>
        <v>1</v>
      </c>
    </row>
    <row r="65" spans="1:22" s="526" customFormat="1" ht="30" customHeight="1" outlineLevel="1">
      <c r="A65" s="526" t="e">
        <f t="shared" si="4"/>
        <v>#REF!</v>
      </c>
      <c r="B65" s="527" t="s">
        <v>647</v>
      </c>
      <c r="C65" s="528" t="s">
        <v>93</v>
      </c>
      <c r="D65" s="528" t="s">
        <v>11</v>
      </c>
      <c r="E65" s="529">
        <v>2825.1</v>
      </c>
      <c r="F65" s="530">
        <v>250</v>
      </c>
      <c r="G65" s="623">
        <f t="shared" si="5"/>
        <v>3075.1</v>
      </c>
      <c r="H65" s="531">
        <v>0</v>
      </c>
      <c r="I65" s="621">
        <v>1</v>
      </c>
      <c r="J65" s="531">
        <v>0</v>
      </c>
      <c r="K65" s="531">
        <f t="shared" si="1"/>
        <v>1</v>
      </c>
      <c r="M65" s="527" t="s">
        <v>647</v>
      </c>
      <c r="N65" s="472" t="s">
        <v>93</v>
      </c>
      <c r="O65" s="528" t="s">
        <v>11</v>
      </c>
      <c r="P65" s="695">
        <v>2959.24</v>
      </c>
      <c r="Q65" s="696">
        <v>250</v>
      </c>
      <c r="R65" s="696">
        <f t="shared" si="6"/>
        <v>3209.24</v>
      </c>
      <c r="S65" s="531">
        <v>0</v>
      </c>
      <c r="T65" s="621">
        <v>1</v>
      </c>
      <c r="U65" s="531">
        <v>0</v>
      </c>
      <c r="V65" s="531">
        <f t="shared" si="3"/>
        <v>1</v>
      </c>
    </row>
    <row r="66" spans="1:22" s="526" customFormat="1" ht="30" customHeight="1" outlineLevel="1">
      <c r="A66" s="526" t="e">
        <f t="shared" si="4"/>
        <v>#REF!</v>
      </c>
      <c r="B66" s="527" t="s">
        <v>648</v>
      </c>
      <c r="C66" s="528" t="s">
        <v>93</v>
      </c>
      <c r="D66" s="528" t="s">
        <v>11</v>
      </c>
      <c r="E66" s="529">
        <v>2825.1</v>
      </c>
      <c r="F66" s="530">
        <v>250</v>
      </c>
      <c r="G66" s="623">
        <f t="shared" si="5"/>
        <v>3075.1</v>
      </c>
      <c r="H66" s="531">
        <v>0</v>
      </c>
      <c r="I66" s="621">
        <v>1</v>
      </c>
      <c r="J66" s="531">
        <v>0</v>
      </c>
      <c r="K66" s="531">
        <f t="shared" si="1"/>
        <v>1</v>
      </c>
      <c r="M66" s="527" t="s">
        <v>648</v>
      </c>
      <c r="N66" s="472" t="s">
        <v>93</v>
      </c>
      <c r="O66" s="528" t="s">
        <v>11</v>
      </c>
      <c r="P66" s="695">
        <v>2959.24</v>
      </c>
      <c r="Q66" s="696">
        <v>250</v>
      </c>
      <c r="R66" s="696">
        <f t="shared" si="6"/>
        <v>3209.24</v>
      </c>
      <c r="S66" s="531">
        <v>0</v>
      </c>
      <c r="T66" s="621">
        <v>1</v>
      </c>
      <c r="U66" s="531">
        <v>0</v>
      </c>
      <c r="V66" s="531">
        <f t="shared" si="3"/>
        <v>1</v>
      </c>
    </row>
    <row r="67" spans="1:22" s="526" customFormat="1" ht="30" customHeight="1" outlineLevel="1">
      <c r="A67" s="526" t="e">
        <f t="shared" si="4"/>
        <v>#REF!</v>
      </c>
      <c r="B67" s="527" t="s">
        <v>636</v>
      </c>
      <c r="C67" s="528" t="s">
        <v>606</v>
      </c>
      <c r="D67" s="528" t="s">
        <v>11</v>
      </c>
      <c r="E67" s="529">
        <v>2825.1</v>
      </c>
      <c r="F67" s="530">
        <v>250</v>
      </c>
      <c r="G67" s="623">
        <v>3075.1</v>
      </c>
      <c r="H67" s="531">
        <v>0</v>
      </c>
      <c r="I67" s="621">
        <v>1</v>
      </c>
      <c r="J67" s="531">
        <v>0</v>
      </c>
      <c r="K67" s="531">
        <f t="shared" si="1"/>
        <v>1</v>
      </c>
      <c r="M67" s="527" t="s">
        <v>636</v>
      </c>
      <c r="N67" s="472" t="s">
        <v>606</v>
      </c>
      <c r="O67" s="528" t="s">
        <v>11</v>
      </c>
      <c r="P67" s="695">
        <v>2959.24</v>
      </c>
      <c r="Q67" s="696">
        <v>250</v>
      </c>
      <c r="R67" s="696">
        <v>3075.1</v>
      </c>
      <c r="S67" s="531">
        <v>0</v>
      </c>
      <c r="T67" s="621">
        <v>1</v>
      </c>
      <c r="U67" s="531">
        <v>0</v>
      </c>
      <c r="V67" s="531">
        <f t="shared" si="3"/>
        <v>1</v>
      </c>
    </row>
    <row r="68" spans="1:22" s="628" customFormat="1" ht="30" customHeight="1" outlineLevel="1" thickBot="1">
      <c r="A68" s="624"/>
      <c r="B68" s="625"/>
      <c r="C68" s="608" t="s">
        <v>96</v>
      </c>
      <c r="D68" s="626"/>
      <c r="E68" s="609">
        <f>SUM(E51:E67)</f>
        <v>48026.699999999983</v>
      </c>
      <c r="F68" s="609">
        <f>SUM(F51:F67)</f>
        <v>4250</v>
      </c>
      <c r="G68" s="609">
        <f>SUM(G51:G67)</f>
        <v>52276.699999999983</v>
      </c>
      <c r="H68" s="610"/>
      <c r="I68" s="610"/>
      <c r="J68" s="610"/>
      <c r="K68" s="627"/>
      <c r="M68" s="625"/>
      <c r="N68" s="481" t="s">
        <v>96</v>
      </c>
      <c r="O68" s="626"/>
      <c r="P68" s="709">
        <f>SUM(P51:P67)</f>
        <v>50307.07999999998</v>
      </c>
      <c r="Q68" s="709">
        <f>SUM(Q51:Q67)</f>
        <v>4250</v>
      </c>
      <c r="R68" s="709">
        <f>SUM(R51:R67)</f>
        <v>54288.799999999981</v>
      </c>
      <c r="S68" s="610"/>
      <c r="T68" s="610"/>
      <c r="U68" s="610"/>
      <c r="V68" s="627"/>
    </row>
    <row r="69" spans="1:22" s="520" customFormat="1" ht="30" customHeight="1" outlineLevel="1" thickTop="1">
      <c r="A69" s="514"/>
      <c r="B69" s="546"/>
      <c r="C69" s="547"/>
      <c r="D69" s="570"/>
      <c r="E69" s="552"/>
      <c r="F69" s="553"/>
      <c r="G69" s="553"/>
      <c r="H69" s="603"/>
      <c r="I69" s="603"/>
      <c r="J69" s="603"/>
      <c r="K69" s="600"/>
      <c r="M69" s="546"/>
      <c r="N69" s="475"/>
      <c r="O69" s="570"/>
      <c r="P69" s="700"/>
      <c r="Q69" s="701"/>
      <c r="R69" s="701"/>
      <c r="S69" s="603"/>
      <c r="T69" s="603"/>
      <c r="U69" s="603"/>
      <c r="V69" s="600"/>
    </row>
    <row r="70" spans="1:22" s="520" customFormat="1" ht="30" customHeight="1" outlineLevel="1">
      <c r="A70" s="514"/>
      <c r="B70" s="521" t="s">
        <v>383</v>
      </c>
      <c r="C70" s="514"/>
      <c r="D70" s="570"/>
      <c r="E70" s="605"/>
      <c r="F70" s="554"/>
      <c r="G70" s="554"/>
      <c r="H70" s="603"/>
      <c r="I70" s="603"/>
      <c r="J70" s="603"/>
      <c r="K70" s="600"/>
      <c r="M70" s="521" t="s">
        <v>383</v>
      </c>
      <c r="N70" s="469"/>
      <c r="O70" s="570"/>
      <c r="P70" s="704"/>
      <c r="Q70" s="702"/>
      <c r="R70" s="702"/>
      <c r="S70" s="603"/>
      <c r="T70" s="603"/>
      <c r="U70" s="603"/>
      <c r="V70" s="600"/>
    </row>
    <row r="71" spans="1:22" s="613" customFormat="1" ht="30" customHeight="1" outlineLevel="1">
      <c r="A71" s="607" t="e">
        <f>A67+1</f>
        <v>#REF!</v>
      </c>
      <c r="B71" s="527" t="s">
        <v>531</v>
      </c>
      <c r="C71" s="616" t="s">
        <v>94</v>
      </c>
      <c r="D71" s="629" t="s">
        <v>10</v>
      </c>
      <c r="E71" s="541">
        <v>2825.1</v>
      </c>
      <c r="F71" s="593">
        <v>250</v>
      </c>
      <c r="G71" s="617">
        <f t="shared" ref="G71:G78" si="7">+E71+F71</f>
        <v>3075.1</v>
      </c>
      <c r="H71" s="630">
        <v>1</v>
      </c>
      <c r="I71" s="618">
        <v>0</v>
      </c>
      <c r="J71" s="618">
        <v>0</v>
      </c>
      <c r="K71" s="618">
        <f t="shared" ref="K71:K82" si="8">SUM(H71:J71)</f>
        <v>1</v>
      </c>
      <c r="M71" s="527" t="s">
        <v>531</v>
      </c>
      <c r="N71" s="482" t="s">
        <v>94</v>
      </c>
      <c r="O71" s="629" t="s">
        <v>10</v>
      </c>
      <c r="P71" s="695">
        <v>2959.24</v>
      </c>
      <c r="Q71" s="696">
        <v>250</v>
      </c>
      <c r="R71" s="696">
        <f t="shared" ref="R71:R78" si="9">+P71+Q71</f>
        <v>3209.24</v>
      </c>
      <c r="S71" s="630">
        <v>1</v>
      </c>
      <c r="T71" s="618">
        <v>0</v>
      </c>
      <c r="U71" s="618">
        <v>0</v>
      </c>
      <c r="V71" s="618">
        <f t="shared" ref="V71:V82" si="10">SUM(S71:U71)</f>
        <v>1</v>
      </c>
    </row>
    <row r="72" spans="1:22" s="613" customFormat="1" ht="30" customHeight="1" outlineLevel="1">
      <c r="A72" s="607" t="e">
        <f t="shared" ref="A72:A82" si="11">A71+1</f>
        <v>#REF!</v>
      </c>
      <c r="B72" s="527" t="s">
        <v>532</v>
      </c>
      <c r="C72" s="616" t="s">
        <v>94</v>
      </c>
      <c r="D72" s="629" t="s">
        <v>10</v>
      </c>
      <c r="E72" s="541">
        <v>2825.1</v>
      </c>
      <c r="F72" s="593">
        <v>250</v>
      </c>
      <c r="G72" s="617">
        <f t="shared" si="7"/>
        <v>3075.1</v>
      </c>
      <c r="H72" s="630">
        <v>1</v>
      </c>
      <c r="I72" s="618">
        <v>0</v>
      </c>
      <c r="J72" s="618">
        <v>0</v>
      </c>
      <c r="K72" s="618">
        <f t="shared" si="8"/>
        <v>1</v>
      </c>
      <c r="M72" s="527" t="s">
        <v>532</v>
      </c>
      <c r="N72" s="482" t="s">
        <v>94</v>
      </c>
      <c r="O72" s="629" t="s">
        <v>10</v>
      </c>
      <c r="P72" s="695">
        <v>2959.24</v>
      </c>
      <c r="Q72" s="696">
        <v>250</v>
      </c>
      <c r="R72" s="696">
        <f t="shared" si="9"/>
        <v>3209.24</v>
      </c>
      <c r="S72" s="630">
        <v>1</v>
      </c>
      <c r="T72" s="618">
        <v>0</v>
      </c>
      <c r="U72" s="618">
        <v>0</v>
      </c>
      <c r="V72" s="618">
        <f t="shared" si="10"/>
        <v>1</v>
      </c>
    </row>
    <row r="73" spans="1:22" s="613" customFormat="1" ht="30" customHeight="1" outlineLevel="1">
      <c r="A73" s="607" t="e">
        <f t="shared" si="11"/>
        <v>#REF!</v>
      </c>
      <c r="B73" s="527" t="s">
        <v>533</v>
      </c>
      <c r="C73" s="616" t="s">
        <v>94</v>
      </c>
      <c r="D73" s="629" t="s">
        <v>10</v>
      </c>
      <c r="E73" s="541">
        <v>2825.1</v>
      </c>
      <c r="F73" s="593">
        <v>250</v>
      </c>
      <c r="G73" s="617">
        <f t="shared" si="7"/>
        <v>3075.1</v>
      </c>
      <c r="H73" s="630">
        <v>1</v>
      </c>
      <c r="I73" s="618">
        <v>0</v>
      </c>
      <c r="J73" s="618">
        <v>0</v>
      </c>
      <c r="K73" s="618">
        <f t="shared" si="8"/>
        <v>1</v>
      </c>
      <c r="M73" s="527" t="s">
        <v>533</v>
      </c>
      <c r="N73" s="482" t="s">
        <v>94</v>
      </c>
      <c r="O73" s="629" t="s">
        <v>10</v>
      </c>
      <c r="P73" s="695">
        <v>2959.24</v>
      </c>
      <c r="Q73" s="696">
        <v>250</v>
      </c>
      <c r="R73" s="696">
        <f t="shared" si="9"/>
        <v>3209.24</v>
      </c>
      <c r="S73" s="630">
        <v>1</v>
      </c>
      <c r="T73" s="618">
        <v>0</v>
      </c>
      <c r="U73" s="618">
        <v>0</v>
      </c>
      <c r="V73" s="618">
        <f t="shared" si="10"/>
        <v>1</v>
      </c>
    </row>
    <row r="74" spans="1:22" s="613" customFormat="1" ht="30" customHeight="1" outlineLevel="1">
      <c r="A74" s="607" t="e">
        <f t="shared" si="11"/>
        <v>#REF!</v>
      </c>
      <c r="B74" s="527" t="s">
        <v>534</v>
      </c>
      <c r="C74" s="616" t="s">
        <v>94</v>
      </c>
      <c r="D74" s="629" t="s">
        <v>10</v>
      </c>
      <c r="E74" s="541">
        <v>2825.1</v>
      </c>
      <c r="F74" s="593">
        <v>250</v>
      </c>
      <c r="G74" s="617">
        <f t="shared" si="7"/>
        <v>3075.1</v>
      </c>
      <c r="H74" s="630">
        <v>1</v>
      </c>
      <c r="I74" s="618">
        <v>0</v>
      </c>
      <c r="J74" s="618">
        <v>0</v>
      </c>
      <c r="K74" s="618">
        <f t="shared" si="8"/>
        <v>1</v>
      </c>
      <c r="M74" s="527" t="s">
        <v>534</v>
      </c>
      <c r="N74" s="482" t="s">
        <v>94</v>
      </c>
      <c r="O74" s="629" t="s">
        <v>10</v>
      </c>
      <c r="P74" s="695">
        <v>2959.24</v>
      </c>
      <c r="Q74" s="696">
        <v>250</v>
      </c>
      <c r="R74" s="696">
        <f t="shared" si="9"/>
        <v>3209.24</v>
      </c>
      <c r="S74" s="630">
        <v>1</v>
      </c>
      <c r="T74" s="618">
        <v>0</v>
      </c>
      <c r="U74" s="618">
        <v>0</v>
      </c>
      <c r="V74" s="618">
        <f t="shared" si="10"/>
        <v>1</v>
      </c>
    </row>
    <row r="75" spans="1:22" s="613" customFormat="1" ht="30" customHeight="1" outlineLevel="1">
      <c r="A75" s="607" t="e">
        <f t="shared" si="11"/>
        <v>#REF!</v>
      </c>
      <c r="B75" s="527" t="s">
        <v>554</v>
      </c>
      <c r="C75" s="616" t="s">
        <v>93</v>
      </c>
      <c r="D75" s="616" t="s">
        <v>10</v>
      </c>
      <c r="E75" s="541">
        <v>2825.1</v>
      </c>
      <c r="F75" s="593">
        <v>250</v>
      </c>
      <c r="G75" s="617">
        <f t="shared" si="7"/>
        <v>3075.1</v>
      </c>
      <c r="H75" s="631">
        <v>1</v>
      </c>
      <c r="I75" s="630">
        <v>0</v>
      </c>
      <c r="J75" s="618">
        <v>0</v>
      </c>
      <c r="K75" s="618">
        <f t="shared" si="8"/>
        <v>1</v>
      </c>
      <c r="M75" s="527" t="s">
        <v>554</v>
      </c>
      <c r="N75" s="482" t="s">
        <v>93</v>
      </c>
      <c r="O75" s="616" t="s">
        <v>10</v>
      </c>
      <c r="P75" s="695">
        <v>2959.24</v>
      </c>
      <c r="Q75" s="696">
        <v>250</v>
      </c>
      <c r="R75" s="696">
        <f t="shared" si="9"/>
        <v>3209.24</v>
      </c>
      <c r="S75" s="631">
        <v>1</v>
      </c>
      <c r="T75" s="630">
        <v>0</v>
      </c>
      <c r="U75" s="618">
        <v>0</v>
      </c>
      <c r="V75" s="618">
        <f t="shared" si="10"/>
        <v>1</v>
      </c>
    </row>
    <row r="76" spans="1:22" s="613" customFormat="1" ht="30" customHeight="1" outlineLevel="1">
      <c r="A76" s="607" t="e">
        <f t="shared" si="11"/>
        <v>#REF!</v>
      </c>
      <c r="B76" s="527" t="s">
        <v>601</v>
      </c>
      <c r="C76" s="616" t="s">
        <v>93</v>
      </c>
      <c r="D76" s="616" t="s">
        <v>10</v>
      </c>
      <c r="E76" s="541">
        <v>2825.1</v>
      </c>
      <c r="F76" s="593">
        <v>250</v>
      </c>
      <c r="G76" s="617">
        <f t="shared" si="7"/>
        <v>3075.1</v>
      </c>
      <c r="H76" s="631">
        <v>1</v>
      </c>
      <c r="I76" s="618">
        <v>0</v>
      </c>
      <c r="J76" s="618">
        <v>0</v>
      </c>
      <c r="K76" s="618">
        <f t="shared" si="8"/>
        <v>1</v>
      </c>
      <c r="M76" s="527" t="s">
        <v>601</v>
      </c>
      <c r="N76" s="482" t="s">
        <v>93</v>
      </c>
      <c r="O76" s="616" t="s">
        <v>10</v>
      </c>
      <c r="P76" s="695">
        <v>2959.24</v>
      </c>
      <c r="Q76" s="696">
        <v>250</v>
      </c>
      <c r="R76" s="696">
        <f t="shared" si="9"/>
        <v>3209.24</v>
      </c>
      <c r="S76" s="631">
        <v>1</v>
      </c>
      <c r="T76" s="618">
        <v>0</v>
      </c>
      <c r="U76" s="618">
        <v>0</v>
      </c>
      <c r="V76" s="618">
        <f t="shared" si="10"/>
        <v>1</v>
      </c>
    </row>
    <row r="77" spans="1:22" s="632" customFormat="1" ht="30" customHeight="1" outlineLevel="1">
      <c r="A77" s="607" t="e">
        <f t="shared" si="11"/>
        <v>#REF!</v>
      </c>
      <c r="B77" s="606" t="s">
        <v>525</v>
      </c>
      <c r="C77" s="616" t="s">
        <v>94</v>
      </c>
      <c r="D77" s="629" t="s">
        <v>10</v>
      </c>
      <c r="E77" s="541">
        <v>2825.1</v>
      </c>
      <c r="F77" s="593">
        <f>250</f>
        <v>250</v>
      </c>
      <c r="G77" s="617">
        <f t="shared" si="7"/>
        <v>3075.1</v>
      </c>
      <c r="H77" s="630">
        <v>1</v>
      </c>
      <c r="I77" s="618">
        <v>0</v>
      </c>
      <c r="J77" s="618">
        <v>0</v>
      </c>
      <c r="K77" s="618">
        <f t="shared" si="8"/>
        <v>1</v>
      </c>
      <c r="M77" s="606" t="s">
        <v>525</v>
      </c>
      <c r="N77" s="482" t="s">
        <v>94</v>
      </c>
      <c r="O77" s="629" t="s">
        <v>10</v>
      </c>
      <c r="P77" s="695">
        <v>2959.24</v>
      </c>
      <c r="Q77" s="696">
        <f>250</f>
        <v>250</v>
      </c>
      <c r="R77" s="696">
        <f t="shared" si="9"/>
        <v>3209.24</v>
      </c>
      <c r="S77" s="630">
        <v>1</v>
      </c>
      <c r="T77" s="618">
        <v>0</v>
      </c>
      <c r="U77" s="618">
        <v>0</v>
      </c>
      <c r="V77" s="618">
        <f t="shared" si="10"/>
        <v>1</v>
      </c>
    </row>
    <row r="78" spans="1:22" s="632" customFormat="1" ht="30" customHeight="1" outlineLevel="1">
      <c r="A78" s="607">
        <v>73</v>
      </c>
      <c r="B78" s="606" t="s">
        <v>526</v>
      </c>
      <c r="C78" s="616" t="s">
        <v>94</v>
      </c>
      <c r="D78" s="629" t="s">
        <v>10</v>
      </c>
      <c r="E78" s="541">
        <v>2825.1</v>
      </c>
      <c r="F78" s="593">
        <f>250</f>
        <v>250</v>
      </c>
      <c r="G78" s="617">
        <f t="shared" si="7"/>
        <v>3075.1</v>
      </c>
      <c r="H78" s="630">
        <v>1</v>
      </c>
      <c r="I78" s="618">
        <v>0</v>
      </c>
      <c r="J78" s="618">
        <v>0</v>
      </c>
      <c r="K78" s="618">
        <f t="shared" si="8"/>
        <v>1</v>
      </c>
      <c r="M78" s="606" t="s">
        <v>526</v>
      </c>
      <c r="N78" s="482" t="s">
        <v>94</v>
      </c>
      <c r="O78" s="629" t="s">
        <v>10</v>
      </c>
      <c r="P78" s="695">
        <v>2959.24</v>
      </c>
      <c r="Q78" s="696">
        <f>250</f>
        <v>250</v>
      </c>
      <c r="R78" s="696">
        <f t="shared" si="9"/>
        <v>3209.24</v>
      </c>
      <c r="S78" s="630">
        <v>1</v>
      </c>
      <c r="T78" s="618">
        <v>0</v>
      </c>
      <c r="U78" s="618">
        <v>0</v>
      </c>
      <c r="V78" s="618">
        <f t="shared" si="10"/>
        <v>1</v>
      </c>
    </row>
    <row r="79" spans="1:22" s="638" customFormat="1" ht="30" customHeight="1" outlineLevel="1">
      <c r="A79" s="607">
        <f t="shared" si="11"/>
        <v>74</v>
      </c>
      <c r="B79" s="527" t="s">
        <v>617</v>
      </c>
      <c r="C79" s="528" t="s">
        <v>94</v>
      </c>
      <c r="D79" s="528" t="s">
        <v>10</v>
      </c>
      <c r="E79" s="633">
        <v>2825.1</v>
      </c>
      <c r="F79" s="634">
        <f>250</f>
        <v>250</v>
      </c>
      <c r="G79" s="635">
        <f>+E79+F79</f>
        <v>3075.1</v>
      </c>
      <c r="H79" s="636">
        <v>1</v>
      </c>
      <c r="I79" s="637">
        <v>0</v>
      </c>
      <c r="J79" s="637">
        <v>0</v>
      </c>
      <c r="K79" s="637">
        <f t="shared" si="8"/>
        <v>1</v>
      </c>
      <c r="M79" s="527" t="s">
        <v>617</v>
      </c>
      <c r="N79" s="472" t="s">
        <v>94</v>
      </c>
      <c r="O79" s="528" t="s">
        <v>10</v>
      </c>
      <c r="P79" s="695">
        <v>2959.24</v>
      </c>
      <c r="Q79" s="696">
        <f>250</f>
        <v>250</v>
      </c>
      <c r="R79" s="696">
        <f>+P79+Q79</f>
        <v>3209.24</v>
      </c>
      <c r="S79" s="636">
        <v>1</v>
      </c>
      <c r="T79" s="637">
        <v>0</v>
      </c>
      <c r="U79" s="637">
        <v>0</v>
      </c>
      <c r="V79" s="637">
        <f t="shared" si="10"/>
        <v>1</v>
      </c>
    </row>
    <row r="80" spans="1:22" s="638" customFormat="1" ht="30" customHeight="1" outlineLevel="1">
      <c r="A80" s="607">
        <f t="shared" si="11"/>
        <v>75</v>
      </c>
      <c r="B80" s="527" t="s">
        <v>620</v>
      </c>
      <c r="C80" s="528" t="s">
        <v>94</v>
      </c>
      <c r="D80" s="528" t="s">
        <v>10</v>
      </c>
      <c r="E80" s="633">
        <v>2825.1</v>
      </c>
      <c r="F80" s="634">
        <f>250</f>
        <v>250</v>
      </c>
      <c r="G80" s="635">
        <f>+E80+F80</f>
        <v>3075.1</v>
      </c>
      <c r="H80" s="636">
        <v>1</v>
      </c>
      <c r="I80" s="637">
        <v>0</v>
      </c>
      <c r="J80" s="637">
        <v>0</v>
      </c>
      <c r="K80" s="637">
        <f t="shared" si="8"/>
        <v>1</v>
      </c>
      <c r="M80" s="527" t="s">
        <v>620</v>
      </c>
      <c r="N80" s="472" t="s">
        <v>94</v>
      </c>
      <c r="O80" s="528" t="s">
        <v>10</v>
      </c>
      <c r="P80" s="695">
        <v>2959.24</v>
      </c>
      <c r="Q80" s="696">
        <f>250</f>
        <v>250</v>
      </c>
      <c r="R80" s="696">
        <f>+P80+Q80</f>
        <v>3209.24</v>
      </c>
      <c r="S80" s="636">
        <v>1</v>
      </c>
      <c r="T80" s="637">
        <v>0</v>
      </c>
      <c r="U80" s="637">
        <v>0</v>
      </c>
      <c r="V80" s="637">
        <f t="shared" si="10"/>
        <v>1</v>
      </c>
    </row>
    <row r="81" spans="1:22" s="638" customFormat="1" ht="30" customHeight="1" outlineLevel="1">
      <c r="A81" s="607">
        <f t="shared" si="11"/>
        <v>76</v>
      </c>
      <c r="B81" s="527" t="s">
        <v>621</v>
      </c>
      <c r="C81" s="528" t="s">
        <v>94</v>
      </c>
      <c r="D81" s="528" t="s">
        <v>10</v>
      </c>
      <c r="E81" s="633">
        <v>2825.1</v>
      </c>
      <c r="F81" s="634">
        <f>250</f>
        <v>250</v>
      </c>
      <c r="G81" s="635">
        <f>+E81+F81</f>
        <v>3075.1</v>
      </c>
      <c r="H81" s="636">
        <v>1</v>
      </c>
      <c r="I81" s="637">
        <v>0</v>
      </c>
      <c r="J81" s="637">
        <v>0</v>
      </c>
      <c r="K81" s="637">
        <f t="shared" si="8"/>
        <v>1</v>
      </c>
      <c r="M81" s="527" t="s">
        <v>621</v>
      </c>
      <c r="N81" s="472" t="s">
        <v>94</v>
      </c>
      <c r="O81" s="528" t="s">
        <v>10</v>
      </c>
      <c r="P81" s="695">
        <v>2959.24</v>
      </c>
      <c r="Q81" s="696">
        <f>250</f>
        <v>250</v>
      </c>
      <c r="R81" s="696">
        <f>+P81+Q81</f>
        <v>3209.24</v>
      </c>
      <c r="S81" s="636">
        <v>1</v>
      </c>
      <c r="T81" s="637">
        <v>0</v>
      </c>
      <c r="U81" s="637">
        <v>0</v>
      </c>
      <c r="V81" s="637">
        <f t="shared" si="10"/>
        <v>1</v>
      </c>
    </row>
    <row r="82" spans="1:22" s="638" customFormat="1" ht="30" customHeight="1" outlineLevel="1">
      <c r="A82" s="607">
        <f t="shared" si="11"/>
        <v>77</v>
      </c>
      <c r="B82" s="527" t="s">
        <v>622</v>
      </c>
      <c r="C82" s="528" t="s">
        <v>94</v>
      </c>
      <c r="D82" s="528" t="s">
        <v>10</v>
      </c>
      <c r="E82" s="633">
        <v>2825.1</v>
      </c>
      <c r="F82" s="634">
        <f>250</f>
        <v>250</v>
      </c>
      <c r="G82" s="635">
        <f>+E82+F82</f>
        <v>3075.1</v>
      </c>
      <c r="H82" s="636">
        <v>1</v>
      </c>
      <c r="I82" s="637">
        <v>0</v>
      </c>
      <c r="J82" s="637">
        <v>0</v>
      </c>
      <c r="K82" s="637">
        <f t="shared" si="8"/>
        <v>1</v>
      </c>
      <c r="M82" s="527" t="s">
        <v>622</v>
      </c>
      <c r="N82" s="472" t="s">
        <v>94</v>
      </c>
      <c r="O82" s="528" t="s">
        <v>10</v>
      </c>
      <c r="P82" s="695">
        <v>2959.24</v>
      </c>
      <c r="Q82" s="696">
        <f>250</f>
        <v>250</v>
      </c>
      <c r="R82" s="696">
        <f>+P82+Q82</f>
        <v>3209.24</v>
      </c>
      <c r="S82" s="636">
        <v>1</v>
      </c>
      <c r="T82" s="637">
        <v>0</v>
      </c>
      <c r="U82" s="637">
        <v>0</v>
      </c>
      <c r="V82" s="637">
        <f t="shared" si="10"/>
        <v>1</v>
      </c>
    </row>
    <row r="83" spans="1:22" s="611" customFormat="1" ht="30" customHeight="1" outlineLevel="1" thickBot="1">
      <c r="A83" s="607"/>
      <c r="B83" s="625"/>
      <c r="C83" s="608" t="s">
        <v>97</v>
      </c>
      <c r="D83" s="608"/>
      <c r="E83" s="609">
        <f>SUM(E71:E82)</f>
        <v>33901.19999999999</v>
      </c>
      <c r="F83" s="609">
        <f>SUM(F71:F82)</f>
        <v>3000</v>
      </c>
      <c r="G83" s="609">
        <f>SUM(G71:G82)</f>
        <v>36901.19999999999</v>
      </c>
      <c r="H83" s="610"/>
      <c r="I83" s="610"/>
      <c r="J83" s="610"/>
      <c r="K83" s="610"/>
      <c r="M83" s="625"/>
      <c r="N83" s="481" t="s">
        <v>97</v>
      </c>
      <c r="O83" s="608"/>
      <c r="P83" s="709">
        <f>SUM(P71:P82)</f>
        <v>35510.87999999999</v>
      </c>
      <c r="Q83" s="709">
        <f>SUM(Q71:Q82)</f>
        <v>3000</v>
      </c>
      <c r="R83" s="709">
        <f>SUM(R71:R82)</f>
        <v>38510.87999999999</v>
      </c>
      <c r="S83" s="610"/>
      <c r="T83" s="610"/>
      <c r="U83" s="610"/>
      <c r="V83" s="610"/>
    </row>
    <row r="84" spans="1:22" s="613" customFormat="1" ht="30" customHeight="1" outlineLevel="1" thickTop="1">
      <c r="A84" s="607"/>
      <c r="B84" s="546"/>
      <c r="C84" s="626"/>
      <c r="D84" s="632"/>
      <c r="E84" s="601"/>
      <c r="F84" s="601"/>
      <c r="G84" s="601"/>
      <c r="H84" s="615"/>
      <c r="I84" s="615"/>
      <c r="J84" s="615"/>
      <c r="K84" s="615"/>
      <c r="M84" s="546"/>
      <c r="N84" s="484"/>
      <c r="O84" s="632"/>
      <c r="P84" s="704"/>
      <c r="Q84" s="704"/>
      <c r="R84" s="704"/>
      <c r="S84" s="615"/>
      <c r="T84" s="615"/>
      <c r="U84" s="615"/>
      <c r="V84" s="615"/>
    </row>
    <row r="85" spans="1:22" s="613" customFormat="1" ht="30" customHeight="1" outlineLevel="1">
      <c r="A85" s="607"/>
      <c r="B85" s="521" t="s">
        <v>418</v>
      </c>
      <c r="C85" s="626"/>
      <c r="D85" s="632"/>
      <c r="E85" s="601"/>
      <c r="F85" s="601"/>
      <c r="G85" s="601"/>
      <c r="H85" s="615"/>
      <c r="I85" s="615"/>
      <c r="J85" s="615"/>
      <c r="K85" s="615"/>
      <c r="M85" s="521" t="s">
        <v>418</v>
      </c>
      <c r="N85" s="484"/>
      <c r="O85" s="632"/>
      <c r="P85" s="704"/>
      <c r="Q85" s="704"/>
      <c r="R85" s="704"/>
      <c r="S85" s="615"/>
      <c r="T85" s="615"/>
      <c r="U85" s="615"/>
      <c r="V85" s="615"/>
    </row>
    <row r="86" spans="1:22" s="613" customFormat="1" ht="30" customHeight="1" outlineLevel="1">
      <c r="A86" s="624">
        <f>A82+1</f>
        <v>78</v>
      </c>
      <c r="B86" s="556" t="s">
        <v>549</v>
      </c>
      <c r="C86" s="616" t="s">
        <v>419</v>
      </c>
      <c r="D86" s="629" t="s">
        <v>11</v>
      </c>
      <c r="E86" s="541">
        <v>2825.1</v>
      </c>
      <c r="F86" s="593">
        <v>250</v>
      </c>
      <c r="G86" s="617">
        <f>+E86+F86</f>
        <v>3075.1</v>
      </c>
      <c r="H86" s="618">
        <v>0</v>
      </c>
      <c r="I86" s="630">
        <v>1</v>
      </c>
      <c r="J86" s="618">
        <v>0</v>
      </c>
      <c r="K86" s="618">
        <f>SUM(H86:J86)</f>
        <v>1</v>
      </c>
      <c r="M86" s="556" t="s">
        <v>549</v>
      </c>
      <c r="N86" s="482" t="s">
        <v>419</v>
      </c>
      <c r="O86" s="629" t="s">
        <v>11</v>
      </c>
      <c r="P86" s="695">
        <v>2959.24</v>
      </c>
      <c r="Q86" s="696">
        <v>250</v>
      </c>
      <c r="R86" s="696">
        <f>+P86+Q86</f>
        <v>3209.24</v>
      </c>
      <c r="S86" s="618">
        <v>0</v>
      </c>
      <c r="T86" s="630">
        <v>1</v>
      </c>
      <c r="U86" s="618">
        <v>0</v>
      </c>
      <c r="V86" s="618">
        <f>SUM(S86:U86)</f>
        <v>1</v>
      </c>
    </row>
    <row r="87" spans="1:22" s="536" customFormat="1" ht="30" customHeight="1" outlineLevel="1">
      <c r="A87" s="526">
        <f>A86+1</f>
        <v>79</v>
      </c>
      <c r="B87" s="527" t="s">
        <v>629</v>
      </c>
      <c r="C87" s="527" t="s">
        <v>419</v>
      </c>
      <c r="D87" s="528" t="s">
        <v>10</v>
      </c>
      <c r="E87" s="533">
        <v>2825.1</v>
      </c>
      <c r="F87" s="534">
        <f>250</f>
        <v>250</v>
      </c>
      <c r="G87" s="620">
        <f>+E87+F87</f>
        <v>3075.1</v>
      </c>
      <c r="H87" s="531">
        <v>1</v>
      </c>
      <c r="I87" s="622">
        <v>0</v>
      </c>
      <c r="J87" s="535">
        <v>0</v>
      </c>
      <c r="K87" s="535">
        <f>SUM(H87:J87)</f>
        <v>1</v>
      </c>
      <c r="M87" s="527" t="s">
        <v>629</v>
      </c>
      <c r="N87" s="471" t="s">
        <v>419</v>
      </c>
      <c r="O87" s="528" t="s">
        <v>10</v>
      </c>
      <c r="P87" s="695">
        <v>2959.24</v>
      </c>
      <c r="Q87" s="696">
        <f>250</f>
        <v>250</v>
      </c>
      <c r="R87" s="696">
        <f>+P87+Q87</f>
        <v>3209.24</v>
      </c>
      <c r="S87" s="531">
        <v>1</v>
      </c>
      <c r="T87" s="622">
        <v>0</v>
      </c>
      <c r="U87" s="535">
        <v>0</v>
      </c>
      <c r="V87" s="535">
        <f>SUM(S87:U87)</f>
        <v>1</v>
      </c>
    </row>
    <row r="88" spans="1:22" s="611" customFormat="1" ht="30" customHeight="1" outlineLevel="1">
      <c r="A88" s="607"/>
      <c r="B88" s="508"/>
      <c r="C88" s="608" t="s">
        <v>420</v>
      </c>
      <c r="D88" s="608"/>
      <c r="E88" s="550">
        <f>SUM(E86:E87)</f>
        <v>5650.2</v>
      </c>
      <c r="F88" s="550">
        <f>SUM(F86:F87)</f>
        <v>500</v>
      </c>
      <c r="G88" s="550">
        <f>SUM(G86:G87)</f>
        <v>6150.2</v>
      </c>
      <c r="H88" s="610"/>
      <c r="I88" s="610"/>
      <c r="J88" s="610"/>
      <c r="K88" s="610"/>
      <c r="M88" s="508"/>
      <c r="N88" s="481" t="s">
        <v>420</v>
      </c>
      <c r="O88" s="608"/>
      <c r="P88" s="700">
        <f>SUM(P86:P87)</f>
        <v>5918.48</v>
      </c>
      <c r="Q88" s="700">
        <f>SUM(Q86:Q87)</f>
        <v>500</v>
      </c>
      <c r="R88" s="700">
        <f>SUM(R86:R87)</f>
        <v>6418.48</v>
      </c>
      <c r="S88" s="610"/>
      <c r="T88" s="610"/>
      <c r="U88" s="610"/>
      <c r="V88" s="610"/>
    </row>
    <row r="89" spans="1:22" s="605" customFormat="1" ht="30" customHeight="1" outlineLevel="1">
      <c r="A89" s="639"/>
      <c r="B89" s="521" t="s">
        <v>104</v>
      </c>
      <c r="C89" s="624"/>
      <c r="D89" s="632"/>
      <c r="H89" s="615"/>
      <c r="I89" s="615"/>
      <c r="J89" s="615"/>
      <c r="K89" s="615"/>
      <c r="L89" s="632"/>
      <c r="M89" s="521" t="s">
        <v>104</v>
      </c>
      <c r="N89" s="483"/>
      <c r="O89" s="632"/>
      <c r="P89" s="704"/>
      <c r="Q89" s="704"/>
      <c r="R89" s="704"/>
      <c r="S89" s="615"/>
      <c r="T89" s="615"/>
      <c r="U89" s="615"/>
      <c r="V89" s="615"/>
    </row>
    <row r="90" spans="1:22" s="605" customFormat="1" ht="30" customHeight="1" outlineLevel="1">
      <c r="A90" s="639"/>
      <c r="B90" s="640" t="s">
        <v>105</v>
      </c>
      <c r="C90" s="624"/>
      <c r="D90" s="632"/>
      <c r="H90" s="615"/>
      <c r="I90" s="615"/>
      <c r="J90" s="615"/>
      <c r="K90" s="615"/>
      <c r="L90" s="632"/>
      <c r="M90" s="640" t="s">
        <v>105</v>
      </c>
      <c r="N90" s="483"/>
      <c r="O90" s="632"/>
      <c r="P90" s="704"/>
      <c r="Q90" s="704"/>
      <c r="R90" s="704"/>
      <c r="S90" s="615"/>
      <c r="T90" s="615"/>
      <c r="U90" s="615"/>
      <c r="V90" s="615"/>
    </row>
    <row r="91" spans="1:22" s="613" customFormat="1" ht="30" customHeight="1" outlineLevel="1">
      <c r="A91" s="641" t="e">
        <f>#REF!+1</f>
        <v>#REF!</v>
      </c>
      <c r="B91" s="527" t="s">
        <v>511</v>
      </c>
      <c r="C91" s="616" t="s">
        <v>112</v>
      </c>
      <c r="D91" s="629" t="s">
        <v>10</v>
      </c>
      <c r="E91" s="593">
        <v>2831.25</v>
      </c>
      <c r="F91" s="593">
        <v>450</v>
      </c>
      <c r="G91" s="593">
        <f t="shared" ref="G91:G96" si="12">+E91+F91</f>
        <v>3281.25</v>
      </c>
      <c r="H91" s="618">
        <v>0.6</v>
      </c>
      <c r="I91" s="618">
        <v>0.2</v>
      </c>
      <c r="J91" s="618">
        <v>0.2</v>
      </c>
      <c r="K91" s="618">
        <f t="shared" ref="K91:K96" si="13">SUM(H91:J91)</f>
        <v>1</v>
      </c>
      <c r="M91" s="527" t="s">
        <v>511</v>
      </c>
      <c r="N91" s="482" t="s">
        <v>112</v>
      </c>
      <c r="O91" s="629" t="s">
        <v>10</v>
      </c>
      <c r="P91" s="695">
        <v>2959.24</v>
      </c>
      <c r="Q91" s="696">
        <v>450</v>
      </c>
      <c r="R91" s="696">
        <f t="shared" ref="R91:R96" si="14">+P91+Q91</f>
        <v>3409.24</v>
      </c>
      <c r="S91" s="618">
        <v>0.6</v>
      </c>
      <c r="T91" s="618">
        <v>0.2</v>
      </c>
      <c r="U91" s="618">
        <v>0.2</v>
      </c>
      <c r="V91" s="618">
        <f t="shared" ref="V91:V96" si="15">SUM(S91:U91)</f>
        <v>1</v>
      </c>
    </row>
    <row r="92" spans="1:22" s="613" customFormat="1" ht="30" customHeight="1" outlineLevel="1">
      <c r="A92" s="641" t="e">
        <f>A91+1</f>
        <v>#REF!</v>
      </c>
      <c r="B92" s="606" t="s">
        <v>521</v>
      </c>
      <c r="C92" s="616" t="s">
        <v>58</v>
      </c>
      <c r="D92" s="629" t="s">
        <v>10</v>
      </c>
      <c r="E92" s="541">
        <v>2825.1</v>
      </c>
      <c r="F92" s="593">
        <v>1400</v>
      </c>
      <c r="G92" s="617">
        <f t="shared" si="12"/>
        <v>4225.1000000000004</v>
      </c>
      <c r="H92" s="618">
        <v>1</v>
      </c>
      <c r="I92" s="630">
        <v>0</v>
      </c>
      <c r="J92" s="618">
        <v>0</v>
      </c>
      <c r="K92" s="618">
        <f t="shared" si="13"/>
        <v>1</v>
      </c>
      <c r="M92" s="606" t="s">
        <v>521</v>
      </c>
      <c r="N92" s="482" t="s">
        <v>58</v>
      </c>
      <c r="O92" s="629" t="s">
        <v>10</v>
      </c>
      <c r="P92" s="695">
        <v>2959.24</v>
      </c>
      <c r="Q92" s="696">
        <v>1400</v>
      </c>
      <c r="R92" s="696">
        <f t="shared" si="14"/>
        <v>4359.24</v>
      </c>
      <c r="S92" s="618">
        <v>1</v>
      </c>
      <c r="T92" s="630">
        <v>0</v>
      </c>
      <c r="U92" s="618">
        <v>0</v>
      </c>
      <c r="V92" s="618">
        <f t="shared" si="15"/>
        <v>1</v>
      </c>
    </row>
    <row r="93" spans="1:22" s="613" customFormat="1" ht="30" customHeight="1" outlineLevel="1">
      <c r="A93" s="641" t="e">
        <f>A92+1</f>
        <v>#REF!</v>
      </c>
      <c r="B93" s="527" t="s">
        <v>522</v>
      </c>
      <c r="C93" s="616" t="s">
        <v>380</v>
      </c>
      <c r="D93" s="629" t="s">
        <v>10</v>
      </c>
      <c r="E93" s="541">
        <v>2825.1</v>
      </c>
      <c r="F93" s="593">
        <v>750</v>
      </c>
      <c r="G93" s="617">
        <f t="shared" si="12"/>
        <v>3575.1</v>
      </c>
      <c r="H93" s="618">
        <v>1</v>
      </c>
      <c r="I93" s="630">
        <v>0</v>
      </c>
      <c r="J93" s="618">
        <v>0</v>
      </c>
      <c r="K93" s="618">
        <f t="shared" si="13"/>
        <v>1</v>
      </c>
      <c r="M93" s="527" t="s">
        <v>522</v>
      </c>
      <c r="N93" s="482" t="s">
        <v>380</v>
      </c>
      <c r="O93" s="629" t="s">
        <v>10</v>
      </c>
      <c r="P93" s="695">
        <v>2959.24</v>
      </c>
      <c r="Q93" s="696">
        <v>750</v>
      </c>
      <c r="R93" s="696">
        <f t="shared" si="14"/>
        <v>3709.24</v>
      </c>
      <c r="S93" s="618">
        <v>1</v>
      </c>
      <c r="T93" s="630">
        <v>0</v>
      </c>
      <c r="U93" s="618">
        <v>0</v>
      </c>
      <c r="V93" s="618">
        <f t="shared" si="15"/>
        <v>1</v>
      </c>
    </row>
    <row r="94" spans="1:22" s="613" customFormat="1" ht="30" customHeight="1" outlineLevel="1">
      <c r="A94" s="641" t="e">
        <f>A93+1</f>
        <v>#REF!</v>
      </c>
      <c r="B94" s="527" t="s">
        <v>512</v>
      </c>
      <c r="C94" s="616" t="s">
        <v>380</v>
      </c>
      <c r="D94" s="629" t="s">
        <v>10</v>
      </c>
      <c r="E94" s="541">
        <v>2825.1</v>
      </c>
      <c r="F94" s="593">
        <v>750</v>
      </c>
      <c r="G94" s="617">
        <f t="shared" si="12"/>
        <v>3575.1</v>
      </c>
      <c r="H94" s="618">
        <v>1</v>
      </c>
      <c r="I94" s="630">
        <v>0</v>
      </c>
      <c r="J94" s="618">
        <v>0</v>
      </c>
      <c r="K94" s="618">
        <f t="shared" si="13"/>
        <v>1</v>
      </c>
      <c r="M94" s="527" t="s">
        <v>512</v>
      </c>
      <c r="N94" s="482" t="s">
        <v>380</v>
      </c>
      <c r="O94" s="629" t="s">
        <v>10</v>
      </c>
      <c r="P94" s="695">
        <v>2959.24</v>
      </c>
      <c r="Q94" s="696">
        <v>750</v>
      </c>
      <c r="R94" s="696">
        <f t="shared" si="14"/>
        <v>3709.24</v>
      </c>
      <c r="S94" s="618">
        <v>1</v>
      </c>
      <c r="T94" s="630">
        <v>0</v>
      </c>
      <c r="U94" s="618">
        <v>0</v>
      </c>
      <c r="V94" s="618">
        <f t="shared" si="15"/>
        <v>1</v>
      </c>
    </row>
    <row r="95" spans="1:22" s="526" customFormat="1" ht="30" customHeight="1" outlineLevel="1">
      <c r="A95" s="641" t="e">
        <f>#REF!+1</f>
        <v>#REF!</v>
      </c>
      <c r="B95" s="527" t="s">
        <v>592</v>
      </c>
      <c r="C95" s="528" t="s">
        <v>58</v>
      </c>
      <c r="D95" s="528" t="s">
        <v>10</v>
      </c>
      <c r="E95" s="529">
        <v>2825.1</v>
      </c>
      <c r="F95" s="530">
        <f>1150+250</f>
        <v>1400</v>
      </c>
      <c r="G95" s="623">
        <f t="shared" si="12"/>
        <v>4225.1000000000004</v>
      </c>
      <c r="H95" s="531">
        <v>1</v>
      </c>
      <c r="I95" s="531">
        <v>0</v>
      </c>
      <c r="J95" s="531">
        <v>0</v>
      </c>
      <c r="K95" s="531">
        <f t="shared" si="13"/>
        <v>1</v>
      </c>
      <c r="M95" s="527" t="s">
        <v>592</v>
      </c>
      <c r="N95" s="472" t="s">
        <v>58</v>
      </c>
      <c r="O95" s="528" t="s">
        <v>10</v>
      </c>
      <c r="P95" s="695">
        <v>2959.24</v>
      </c>
      <c r="Q95" s="696">
        <f>1150+250</f>
        <v>1400</v>
      </c>
      <c r="R95" s="696">
        <f t="shared" si="14"/>
        <v>4359.24</v>
      </c>
      <c r="S95" s="531">
        <v>1</v>
      </c>
      <c r="T95" s="531">
        <v>0</v>
      </c>
      <c r="U95" s="531">
        <v>0</v>
      </c>
      <c r="V95" s="531">
        <f t="shared" si="15"/>
        <v>1</v>
      </c>
    </row>
    <row r="96" spans="1:22" s="536" customFormat="1" ht="30" customHeight="1" outlineLevel="1">
      <c r="A96" s="641" t="e">
        <f>A95+1</f>
        <v>#REF!</v>
      </c>
      <c r="B96" s="527" t="s">
        <v>613</v>
      </c>
      <c r="C96" s="528" t="s">
        <v>112</v>
      </c>
      <c r="D96" s="528" t="s">
        <v>10</v>
      </c>
      <c r="E96" s="533">
        <v>2825.1</v>
      </c>
      <c r="F96" s="534">
        <f>250+150</f>
        <v>400</v>
      </c>
      <c r="G96" s="620">
        <f t="shared" si="12"/>
        <v>3225.1</v>
      </c>
      <c r="H96" s="535">
        <v>1</v>
      </c>
      <c r="I96" s="535">
        <v>0</v>
      </c>
      <c r="J96" s="535">
        <v>0</v>
      </c>
      <c r="K96" s="535">
        <f t="shared" si="13"/>
        <v>1</v>
      </c>
      <c r="M96" s="527" t="s">
        <v>613</v>
      </c>
      <c r="N96" s="472" t="s">
        <v>112</v>
      </c>
      <c r="O96" s="528" t="s">
        <v>10</v>
      </c>
      <c r="P96" s="695">
        <v>2959.24</v>
      </c>
      <c r="Q96" s="696">
        <f>250+150</f>
        <v>400</v>
      </c>
      <c r="R96" s="696">
        <f t="shared" si="14"/>
        <v>3359.24</v>
      </c>
      <c r="S96" s="535">
        <v>1</v>
      </c>
      <c r="T96" s="535">
        <v>0</v>
      </c>
      <c r="U96" s="535">
        <v>0</v>
      </c>
      <c r="V96" s="535">
        <f t="shared" si="15"/>
        <v>1</v>
      </c>
    </row>
    <row r="97" spans="1:22" s="642" customFormat="1" ht="30" customHeight="1" outlineLevel="1" thickBot="1">
      <c r="A97" s="624"/>
      <c r="B97" s="625"/>
      <c r="C97" s="608" t="s">
        <v>110</v>
      </c>
      <c r="D97" s="628"/>
      <c r="E97" s="609">
        <f>SUM(E91:E96)</f>
        <v>16956.75</v>
      </c>
      <c r="F97" s="609">
        <f>SUM(F91:F96)</f>
        <v>5150</v>
      </c>
      <c r="G97" s="609">
        <f>SUM(G91:G96)</f>
        <v>22106.75</v>
      </c>
      <c r="H97" s="571"/>
      <c r="I97" s="571"/>
      <c r="J97" s="571"/>
      <c r="K97" s="571"/>
      <c r="M97" s="625"/>
      <c r="N97" s="481" t="s">
        <v>110</v>
      </c>
      <c r="O97" s="628"/>
      <c r="P97" s="709">
        <f>SUM(P91:P96)</f>
        <v>17755.439999999999</v>
      </c>
      <c r="Q97" s="709">
        <f>SUM(Q91:Q96)</f>
        <v>5150</v>
      </c>
      <c r="R97" s="709">
        <f>SUM(R91:R96)</f>
        <v>22905.439999999995</v>
      </c>
      <c r="S97" s="571"/>
      <c r="T97" s="571"/>
      <c r="U97" s="571"/>
      <c r="V97" s="571"/>
    </row>
    <row r="98" spans="1:22" s="613" customFormat="1" ht="30" customHeight="1" outlineLevel="1" thickTop="1">
      <c r="A98" s="624"/>
      <c r="B98" s="640" t="s">
        <v>319</v>
      </c>
      <c r="C98" s="624"/>
      <c r="D98" s="632"/>
      <c r="E98" s="605"/>
      <c r="F98" s="605"/>
      <c r="G98" s="605"/>
      <c r="H98" s="615"/>
      <c r="I98" s="615"/>
      <c r="J98" s="615"/>
      <c r="K98" s="615"/>
      <c r="M98" s="640" t="s">
        <v>319</v>
      </c>
      <c r="N98" s="483"/>
      <c r="O98" s="632"/>
      <c r="P98" s="704"/>
      <c r="Q98" s="704"/>
      <c r="R98" s="704"/>
      <c r="S98" s="615"/>
      <c r="T98" s="615"/>
      <c r="U98" s="615"/>
      <c r="V98" s="615"/>
    </row>
    <row r="99" spans="1:22" s="611" customFormat="1" ht="30" customHeight="1" outlineLevel="1">
      <c r="A99" s="641" t="e">
        <f>A96+1</f>
        <v>#REF!</v>
      </c>
      <c r="B99" s="606" t="s">
        <v>508</v>
      </c>
      <c r="C99" s="616" t="s">
        <v>108</v>
      </c>
      <c r="D99" s="616" t="s">
        <v>10</v>
      </c>
      <c r="E99" s="643">
        <v>2856.35</v>
      </c>
      <c r="F99" s="643">
        <f>500</f>
        <v>500</v>
      </c>
      <c r="G99" s="643">
        <f>+E99+F99</f>
        <v>3356.35</v>
      </c>
      <c r="H99" s="618">
        <v>0.4</v>
      </c>
      <c r="I99" s="618">
        <v>0.4</v>
      </c>
      <c r="J99" s="618">
        <v>0.2</v>
      </c>
      <c r="K99" s="618">
        <f>SUM(H99:J99)</f>
        <v>1</v>
      </c>
      <c r="M99" s="606" t="s">
        <v>508</v>
      </c>
      <c r="N99" s="482" t="s">
        <v>108</v>
      </c>
      <c r="O99" s="616" t="s">
        <v>10</v>
      </c>
      <c r="P99" s="695">
        <v>2959.24</v>
      </c>
      <c r="Q99" s="696">
        <f>500</f>
        <v>500</v>
      </c>
      <c r="R99" s="696">
        <f>+P99+Q99</f>
        <v>3459.24</v>
      </c>
      <c r="S99" s="618">
        <v>0.4</v>
      </c>
      <c r="T99" s="618">
        <v>0.4</v>
      </c>
      <c r="U99" s="618">
        <v>0.2</v>
      </c>
      <c r="V99" s="618">
        <f>SUM(S99:U99)</f>
        <v>1</v>
      </c>
    </row>
    <row r="100" spans="1:22" s="526" customFormat="1" ht="30" customHeight="1" outlineLevel="1">
      <c r="A100" s="641" t="e">
        <f>+#REF!+1</f>
        <v>#REF!</v>
      </c>
      <c r="B100" s="527" t="s">
        <v>614</v>
      </c>
      <c r="C100" s="528" t="s">
        <v>112</v>
      </c>
      <c r="D100" s="528" t="s">
        <v>11</v>
      </c>
      <c r="E100" s="530">
        <v>2825.1</v>
      </c>
      <c r="F100" s="530">
        <f>250+150</f>
        <v>400</v>
      </c>
      <c r="G100" s="530">
        <f>+E100+F100</f>
        <v>3225.1</v>
      </c>
      <c r="H100" s="535">
        <v>0</v>
      </c>
      <c r="I100" s="535">
        <v>1</v>
      </c>
      <c r="J100" s="535">
        <v>0</v>
      </c>
      <c r="K100" s="535">
        <f>SUM(H100:J100)</f>
        <v>1</v>
      </c>
      <c r="M100" s="527" t="s">
        <v>614</v>
      </c>
      <c r="N100" s="472" t="s">
        <v>112</v>
      </c>
      <c r="O100" s="528" t="s">
        <v>11</v>
      </c>
      <c r="P100" s="695">
        <v>2959.24</v>
      </c>
      <c r="Q100" s="696">
        <f>250+150</f>
        <v>400</v>
      </c>
      <c r="R100" s="696">
        <f>+P100+Q100</f>
        <v>3359.24</v>
      </c>
      <c r="S100" s="535">
        <v>0</v>
      </c>
      <c r="T100" s="535">
        <v>1</v>
      </c>
      <c r="U100" s="535">
        <v>0</v>
      </c>
      <c r="V100" s="535">
        <f>SUM(S100:U100)</f>
        <v>1</v>
      </c>
    </row>
    <row r="101" spans="1:22" s="526" customFormat="1" ht="30" customHeight="1" outlineLevel="1">
      <c r="A101" s="641" t="e">
        <f>+A100+1</f>
        <v>#REF!</v>
      </c>
      <c r="B101" s="527" t="s">
        <v>669</v>
      </c>
      <c r="C101" s="528" t="s">
        <v>112</v>
      </c>
      <c r="D101" s="528" t="s">
        <v>10</v>
      </c>
      <c r="E101" s="530">
        <v>2825.1</v>
      </c>
      <c r="F101" s="530">
        <v>250</v>
      </c>
      <c r="G101" s="530">
        <f>+E101+F101</f>
        <v>3075.1</v>
      </c>
      <c r="H101" s="535">
        <v>0.6</v>
      </c>
      <c r="I101" s="535">
        <v>0.4</v>
      </c>
      <c r="J101" s="535">
        <v>0</v>
      </c>
      <c r="K101" s="535">
        <f>SUM(H101:J101)</f>
        <v>1</v>
      </c>
      <c r="M101" s="527" t="s">
        <v>669</v>
      </c>
      <c r="N101" s="472" t="s">
        <v>112</v>
      </c>
      <c r="O101" s="528" t="s">
        <v>10</v>
      </c>
      <c r="P101" s="695">
        <v>2959.24</v>
      </c>
      <c r="Q101" s="696">
        <v>250</v>
      </c>
      <c r="R101" s="696">
        <f>+P101+Q101</f>
        <v>3209.24</v>
      </c>
      <c r="S101" s="535">
        <v>0.6</v>
      </c>
      <c r="T101" s="535">
        <v>0.4</v>
      </c>
      <c r="U101" s="535">
        <v>0</v>
      </c>
      <c r="V101" s="535">
        <f>SUM(S101:U101)</f>
        <v>1</v>
      </c>
    </row>
    <row r="102" spans="1:22" s="644" customFormat="1" ht="30" customHeight="1" outlineLevel="1">
      <c r="A102" s="641" t="e">
        <f>+A101+1</f>
        <v>#REF!</v>
      </c>
      <c r="B102" s="527" t="s">
        <v>634</v>
      </c>
      <c r="C102" s="528" t="s">
        <v>108</v>
      </c>
      <c r="D102" s="528" t="s">
        <v>10</v>
      </c>
      <c r="E102" s="530">
        <v>2856.35</v>
      </c>
      <c r="F102" s="530">
        <f>500</f>
        <v>500</v>
      </c>
      <c r="G102" s="530">
        <f>+E102+F102</f>
        <v>3356.35</v>
      </c>
      <c r="H102" s="531">
        <v>1</v>
      </c>
      <c r="I102" s="531">
        <v>0</v>
      </c>
      <c r="J102" s="531">
        <v>0</v>
      </c>
      <c r="K102" s="531">
        <f>SUM(H102:J102)</f>
        <v>1</v>
      </c>
      <c r="M102" s="527" t="s">
        <v>634</v>
      </c>
      <c r="N102" s="472" t="s">
        <v>108</v>
      </c>
      <c r="O102" s="528" t="s">
        <v>10</v>
      </c>
      <c r="P102" s="695">
        <v>2959.24</v>
      </c>
      <c r="Q102" s="696">
        <f>500</f>
        <v>500</v>
      </c>
      <c r="R102" s="696">
        <f>+P102+Q102</f>
        <v>3459.24</v>
      </c>
      <c r="S102" s="531">
        <v>1</v>
      </c>
      <c r="T102" s="531">
        <v>0</v>
      </c>
      <c r="U102" s="531">
        <v>0</v>
      </c>
      <c r="V102" s="531">
        <f>SUM(S102:U102)</f>
        <v>1</v>
      </c>
    </row>
    <row r="103" spans="1:22" s="577" customFormat="1" ht="30" customHeight="1" outlineLevel="1">
      <c r="A103" s="641" t="e">
        <f>+A102+1</f>
        <v>#REF!</v>
      </c>
      <c r="B103" s="645" t="s">
        <v>637</v>
      </c>
      <c r="C103" s="579" t="s">
        <v>591</v>
      </c>
      <c r="D103" s="579" t="s">
        <v>10</v>
      </c>
      <c r="E103" s="646">
        <v>2825.1</v>
      </c>
      <c r="F103" s="646">
        <v>250</v>
      </c>
      <c r="G103" s="646">
        <f>+E103+F103</f>
        <v>3075.1</v>
      </c>
      <c r="H103" s="583">
        <v>1</v>
      </c>
      <c r="I103" s="583">
        <v>0</v>
      </c>
      <c r="J103" s="583">
        <v>0</v>
      </c>
      <c r="K103" s="583">
        <f>SUM(H103:J103)</f>
        <v>1</v>
      </c>
      <c r="M103" s="645" t="s">
        <v>637</v>
      </c>
      <c r="N103" s="479" t="s">
        <v>591</v>
      </c>
      <c r="O103" s="579" t="s">
        <v>10</v>
      </c>
      <c r="P103" s="695">
        <v>2959.24</v>
      </c>
      <c r="Q103" s="696">
        <v>250</v>
      </c>
      <c r="R103" s="696">
        <f>+P103+Q103</f>
        <v>3209.24</v>
      </c>
      <c r="S103" s="583">
        <v>1</v>
      </c>
      <c r="T103" s="583">
        <v>0</v>
      </c>
      <c r="U103" s="583">
        <v>0</v>
      </c>
      <c r="V103" s="583">
        <f>SUM(S103:U103)</f>
        <v>1</v>
      </c>
    </row>
    <row r="104" spans="1:22" s="608" customFormat="1" ht="30" customHeight="1" outlineLevel="1">
      <c r="A104" s="624"/>
      <c r="B104" s="625"/>
      <c r="C104" s="626" t="s">
        <v>113</v>
      </c>
      <c r="E104" s="647">
        <f>SUM(E99:E103)</f>
        <v>14188</v>
      </c>
      <c r="F104" s="647">
        <f>SUM(F99:F103)</f>
        <v>1900</v>
      </c>
      <c r="G104" s="647">
        <f>SUM(G99:G103)</f>
        <v>16088</v>
      </c>
      <c r="H104" s="610"/>
      <c r="I104" s="610"/>
      <c r="J104" s="610"/>
      <c r="K104" s="610" t="s">
        <v>54</v>
      </c>
      <c r="M104" s="625"/>
      <c r="N104" s="484" t="s">
        <v>113</v>
      </c>
      <c r="P104" s="700">
        <f>SUM(P99:P103)</f>
        <v>14796.199999999999</v>
      </c>
      <c r="Q104" s="700">
        <f>SUM(Q99:Q103)</f>
        <v>1900</v>
      </c>
      <c r="R104" s="700">
        <f>SUM(R99:R103)</f>
        <v>16696.199999999997</v>
      </c>
      <c r="S104" s="610"/>
      <c r="T104" s="610"/>
      <c r="U104" s="610"/>
      <c r="V104" s="610" t="s">
        <v>54</v>
      </c>
    </row>
    <row r="105" spans="1:22" s="608" customFormat="1" ht="30" customHeight="1" outlineLevel="1" thickBot="1">
      <c r="A105" s="624"/>
      <c r="B105" s="508"/>
      <c r="C105" s="626" t="s">
        <v>114</v>
      </c>
      <c r="E105" s="648">
        <f>SUM(E97+E104)</f>
        <v>31144.75</v>
      </c>
      <c r="F105" s="648">
        <f>SUM(F97+F104)</f>
        <v>7050</v>
      </c>
      <c r="G105" s="648">
        <f>SUM(G97+G104)</f>
        <v>38194.75</v>
      </c>
      <c r="H105" s="610"/>
      <c r="I105" s="610"/>
      <c r="J105" s="610"/>
      <c r="K105" s="610" t="s">
        <v>54</v>
      </c>
      <c r="M105" s="508"/>
      <c r="N105" s="484" t="s">
        <v>114</v>
      </c>
      <c r="P105" s="699">
        <f>SUM(P97+P104)</f>
        <v>32551.64</v>
      </c>
      <c r="Q105" s="699">
        <f>SUM(Q97+Q104)</f>
        <v>7050</v>
      </c>
      <c r="R105" s="699">
        <f>SUM(R97+R104)</f>
        <v>39601.639999999992</v>
      </c>
      <c r="S105" s="610"/>
      <c r="T105" s="610"/>
      <c r="U105" s="610"/>
      <c r="V105" s="610" t="s">
        <v>54</v>
      </c>
    </row>
    <row r="106" spans="1:22" s="632" customFormat="1" ht="30" customHeight="1" outlineLevel="1" thickTop="1">
      <c r="A106" s="624"/>
      <c r="B106" s="521" t="s">
        <v>115</v>
      </c>
      <c r="C106" s="624"/>
      <c r="E106" s="605"/>
      <c r="F106" s="605"/>
      <c r="G106" s="605"/>
      <c r="H106" s="615"/>
      <c r="I106" s="615"/>
      <c r="J106" s="615"/>
      <c r="K106" s="615">
        <f>SUM(H106:J106)</f>
        <v>0</v>
      </c>
      <c r="M106" s="521" t="s">
        <v>115</v>
      </c>
      <c r="N106" s="483"/>
      <c r="P106" s="704"/>
      <c r="Q106" s="704"/>
      <c r="R106" s="704"/>
      <c r="S106" s="615"/>
      <c r="T106" s="615"/>
      <c r="U106" s="615"/>
      <c r="V106" s="615">
        <f>SUM(S106:U106)</f>
        <v>0</v>
      </c>
    </row>
    <row r="107" spans="1:22" s="632" customFormat="1" ht="30" customHeight="1" outlineLevel="1">
      <c r="A107" s="624" t="e">
        <f>+#REF!+1</f>
        <v>#REF!</v>
      </c>
      <c r="B107" s="606" t="s">
        <v>552</v>
      </c>
      <c r="C107" s="616" t="s">
        <v>572</v>
      </c>
      <c r="D107" s="629" t="s">
        <v>11</v>
      </c>
      <c r="E107" s="541">
        <v>2825.1</v>
      </c>
      <c r="F107" s="593">
        <v>250</v>
      </c>
      <c r="G107" s="617">
        <f>+E107+F107</f>
        <v>3075.1</v>
      </c>
      <c r="H107" s="630">
        <v>0.5</v>
      </c>
      <c r="I107" s="630">
        <v>0.25</v>
      </c>
      <c r="J107" s="630">
        <v>0.25</v>
      </c>
      <c r="K107" s="618">
        <f>SUM(H107:J107)</f>
        <v>1</v>
      </c>
      <c r="M107" s="606" t="s">
        <v>552</v>
      </c>
      <c r="N107" s="482" t="s">
        <v>572</v>
      </c>
      <c r="O107" s="629" t="s">
        <v>11</v>
      </c>
      <c r="P107" s="695">
        <v>2959.24</v>
      </c>
      <c r="Q107" s="696">
        <v>250</v>
      </c>
      <c r="R107" s="696">
        <f>+P107+Q107</f>
        <v>3209.24</v>
      </c>
      <c r="S107" s="630">
        <v>0.5</v>
      </c>
      <c r="T107" s="630">
        <v>0.25</v>
      </c>
      <c r="U107" s="630">
        <v>0.25</v>
      </c>
      <c r="V107" s="618">
        <f>SUM(S107:U107)</f>
        <v>1</v>
      </c>
    </row>
    <row r="108" spans="1:22" s="592" customFormat="1" ht="30" customHeight="1" outlineLevel="1" thickBot="1">
      <c r="A108" s="514"/>
      <c r="B108" s="508"/>
      <c r="C108" s="568" t="s">
        <v>118</v>
      </c>
      <c r="E108" s="585">
        <f>SUM(E107:E107)</f>
        <v>2825.1</v>
      </c>
      <c r="F108" s="586">
        <f>SUM(F107:F107)</f>
        <v>250</v>
      </c>
      <c r="G108" s="586">
        <f>SUM(G107:G107)</f>
        <v>3075.1</v>
      </c>
      <c r="H108" s="576"/>
      <c r="I108" s="576"/>
      <c r="J108" s="576"/>
      <c r="K108" s="576"/>
      <c r="M108" s="508"/>
      <c r="N108" s="477" t="s">
        <v>118</v>
      </c>
      <c r="P108" s="705">
        <f>SUM(P107:P107)</f>
        <v>2959.24</v>
      </c>
      <c r="Q108" s="706">
        <f>SUM(Q107:Q107)</f>
        <v>250</v>
      </c>
      <c r="R108" s="706">
        <f>SUM(R107:R107)</f>
        <v>3209.24</v>
      </c>
      <c r="S108" s="576"/>
      <c r="T108" s="576"/>
      <c r="U108" s="576"/>
      <c r="V108" s="576"/>
    </row>
    <row r="109" spans="1:22" s="575" customFormat="1" ht="30" customHeight="1" outlineLevel="1" thickTop="1">
      <c r="A109" s="573"/>
      <c r="B109" s="508"/>
      <c r="C109" s="568" t="s">
        <v>119</v>
      </c>
      <c r="D109" s="592"/>
      <c r="E109" s="601"/>
      <c r="F109" s="601"/>
      <c r="G109" s="601"/>
      <c r="H109" s="576"/>
      <c r="I109" s="576"/>
      <c r="J109" s="576"/>
      <c r="K109" s="576"/>
      <c r="L109" s="592"/>
      <c r="M109" s="508"/>
      <c r="N109" s="477" t="s">
        <v>119</v>
      </c>
      <c r="O109" s="592"/>
      <c r="P109" s="704">
        <f>SUM(+P49+P68+P83+P88+P97+P104+P108)</f>
        <v>130206.55999999997</v>
      </c>
      <c r="Q109" s="704">
        <f>SUM(+Q49+Q68+Q83+Q88+Q97+Q104+Q108)</f>
        <v>15300</v>
      </c>
      <c r="R109" s="704">
        <f>SUM(+R49+R68+R83+R88+R97+R104+R108)</f>
        <v>145238.27999999997</v>
      </c>
      <c r="S109" s="576"/>
      <c r="T109" s="576"/>
      <c r="U109" s="576"/>
      <c r="V109" s="576"/>
    </row>
    <row r="110" spans="1:22" s="575" customFormat="1" ht="30" customHeight="1" outlineLevel="1">
      <c r="A110" s="573"/>
      <c r="B110" s="508"/>
      <c r="C110" s="568"/>
      <c r="D110" s="592"/>
      <c r="E110" s="574"/>
      <c r="H110" s="576"/>
      <c r="I110" s="576"/>
      <c r="J110" s="576"/>
      <c r="K110" s="576"/>
      <c r="L110" s="592"/>
      <c r="M110" s="508"/>
      <c r="N110" s="477"/>
      <c r="O110" s="592"/>
      <c r="P110" s="704"/>
      <c r="Q110" s="702"/>
      <c r="R110" s="702"/>
      <c r="S110" s="576"/>
      <c r="T110" s="576"/>
      <c r="U110" s="576"/>
      <c r="V110" s="576"/>
    </row>
    <row r="111" spans="1:22" s="575" customFormat="1" ht="30" customHeight="1" outlineLevel="1">
      <c r="A111" s="573"/>
      <c r="B111" s="508" t="s">
        <v>120</v>
      </c>
      <c r="C111" s="568"/>
      <c r="D111" s="592"/>
      <c r="E111" s="574"/>
      <c r="H111" s="576"/>
      <c r="I111" s="576"/>
      <c r="J111" s="576"/>
      <c r="K111" s="576"/>
      <c r="L111" s="592"/>
      <c r="M111" s="508" t="s">
        <v>120</v>
      </c>
      <c r="N111" s="477"/>
      <c r="O111" s="592"/>
      <c r="P111" s="704"/>
      <c r="Q111" s="702"/>
      <c r="R111" s="702"/>
      <c r="S111" s="576"/>
      <c r="T111" s="576"/>
      <c r="U111" s="576"/>
      <c r="V111" s="576"/>
    </row>
    <row r="112" spans="1:22" s="575" customFormat="1" ht="30" customHeight="1" outlineLevel="1">
      <c r="A112" s="573"/>
      <c r="B112" s="521" t="s">
        <v>121</v>
      </c>
      <c r="C112" s="547"/>
      <c r="D112" s="592"/>
      <c r="E112" s="574"/>
      <c r="H112" s="576"/>
      <c r="I112" s="576"/>
      <c r="J112" s="576"/>
      <c r="K112" s="576"/>
      <c r="L112" s="592"/>
      <c r="M112" s="521" t="s">
        <v>121</v>
      </c>
      <c r="N112" s="475"/>
      <c r="O112" s="592"/>
      <c r="P112" s="704"/>
      <c r="Q112" s="702"/>
      <c r="R112" s="702"/>
      <c r="S112" s="576"/>
      <c r="T112" s="576"/>
      <c r="U112" s="576"/>
      <c r="V112" s="576"/>
    </row>
    <row r="113" spans="1:102" s="575" customFormat="1" ht="30" customHeight="1" outlineLevel="1">
      <c r="A113" s="573"/>
      <c r="B113" s="521" t="s">
        <v>237</v>
      </c>
      <c r="C113" s="547"/>
      <c r="D113" s="592"/>
      <c r="E113" s="574"/>
      <c r="H113" s="576"/>
      <c r="I113" s="576"/>
      <c r="J113" s="576"/>
      <c r="K113" s="576"/>
      <c r="L113" s="592"/>
      <c r="M113" s="521" t="s">
        <v>237</v>
      </c>
      <c r="N113" s="475"/>
      <c r="O113" s="592"/>
      <c r="P113" s="704"/>
      <c r="Q113" s="702"/>
      <c r="R113" s="702"/>
      <c r="S113" s="576"/>
      <c r="T113" s="576"/>
      <c r="U113" s="576"/>
      <c r="V113" s="576"/>
    </row>
    <row r="114" spans="1:102" s="638" customFormat="1" ht="30" customHeight="1" outlineLevel="1">
      <c r="A114" s="570" t="e">
        <f>#REF!+1</f>
        <v>#REF!</v>
      </c>
      <c r="B114" s="527" t="s">
        <v>643</v>
      </c>
      <c r="C114" s="528" t="s">
        <v>644</v>
      </c>
      <c r="D114" s="528" t="s">
        <v>11</v>
      </c>
      <c r="E114" s="530">
        <v>2825.1</v>
      </c>
      <c r="F114" s="534">
        <v>250</v>
      </c>
      <c r="G114" s="534">
        <f>+E114+F114</f>
        <v>3075.1</v>
      </c>
      <c r="H114" s="622"/>
      <c r="I114" s="622">
        <v>1</v>
      </c>
      <c r="J114" s="622"/>
      <c r="K114" s="535">
        <f>SUM(H114:J114)</f>
        <v>1</v>
      </c>
      <c r="M114" s="527" t="s">
        <v>643</v>
      </c>
      <c r="N114" s="472" t="s">
        <v>644</v>
      </c>
      <c r="O114" s="528" t="s">
        <v>11</v>
      </c>
      <c r="P114" s="695">
        <v>2959.24</v>
      </c>
      <c r="Q114" s="696">
        <v>250</v>
      </c>
      <c r="R114" s="696">
        <f>+P114+Q114</f>
        <v>3209.24</v>
      </c>
      <c r="S114" s="622"/>
      <c r="T114" s="622">
        <v>1</v>
      </c>
      <c r="U114" s="622"/>
      <c r="V114" s="535">
        <f>SUM(S114:U114)</f>
        <v>1</v>
      </c>
    </row>
    <row r="115" spans="1:102" s="604" customFormat="1" ht="30" customHeight="1" outlineLevel="1">
      <c r="A115" s="514"/>
      <c r="B115" s="508"/>
      <c r="C115" s="547" t="s">
        <v>122</v>
      </c>
      <c r="D115" s="547"/>
      <c r="E115" s="550">
        <f>+SUM(E114:E114)</f>
        <v>2825.1</v>
      </c>
      <c r="F115" s="649">
        <f>+SUM(F114:F114)</f>
        <v>250</v>
      </c>
      <c r="G115" s="649">
        <f>+SUM(G114:G114)</f>
        <v>3075.1</v>
      </c>
      <c r="H115" s="650"/>
      <c r="I115" s="547"/>
      <c r="J115" s="650"/>
      <c r="K115" s="603"/>
      <c r="M115" s="508"/>
      <c r="N115" s="475" t="s">
        <v>122</v>
      </c>
      <c r="O115" s="547"/>
      <c r="P115" s="700">
        <f>+SUM(P114:P114)</f>
        <v>2959.24</v>
      </c>
      <c r="Q115" s="701">
        <f>+SUM(Q114:Q114)</f>
        <v>250</v>
      </c>
      <c r="R115" s="701">
        <f>+SUM(R114:R114)</f>
        <v>3209.24</v>
      </c>
      <c r="S115" s="650"/>
      <c r="T115" s="547"/>
      <c r="U115" s="650"/>
      <c r="V115" s="603"/>
    </row>
    <row r="116" spans="1:102" s="553" customFormat="1" ht="30" customHeight="1" outlineLevel="1">
      <c r="A116" s="514"/>
      <c r="B116" s="546"/>
      <c r="C116" s="514"/>
      <c r="D116" s="520"/>
      <c r="E116" s="552"/>
      <c r="H116" s="549"/>
      <c r="I116" s="520"/>
      <c r="J116" s="549"/>
      <c r="K116" s="600"/>
      <c r="L116" s="520"/>
      <c r="M116" s="546"/>
      <c r="N116" s="469"/>
      <c r="O116" s="520"/>
      <c r="P116" s="700"/>
      <c r="Q116" s="701"/>
      <c r="R116" s="701"/>
      <c r="S116" s="549"/>
      <c r="T116" s="520"/>
      <c r="U116" s="549"/>
      <c r="V116" s="600"/>
      <c r="W116" s="520"/>
      <c r="X116" s="520"/>
      <c r="Y116" s="520"/>
      <c r="Z116" s="520"/>
      <c r="AA116" s="520"/>
      <c r="AB116" s="520"/>
      <c r="AC116" s="520"/>
      <c r="AD116" s="520"/>
      <c r="AE116" s="520"/>
      <c r="AF116" s="520"/>
      <c r="AG116" s="520"/>
      <c r="AH116" s="520"/>
      <c r="AI116" s="520"/>
      <c r="AJ116" s="520"/>
      <c r="AK116" s="520"/>
      <c r="AL116" s="520"/>
      <c r="AM116" s="520"/>
      <c r="AN116" s="520"/>
      <c r="AO116" s="520"/>
      <c r="AP116" s="520"/>
      <c r="AQ116" s="520"/>
      <c r="AR116" s="520"/>
      <c r="AS116" s="520"/>
      <c r="AT116" s="520"/>
      <c r="AU116" s="520"/>
      <c r="AV116" s="520"/>
      <c r="AW116" s="520"/>
      <c r="AX116" s="520"/>
      <c r="AY116" s="520"/>
      <c r="AZ116" s="520"/>
      <c r="BA116" s="520"/>
      <c r="BB116" s="520"/>
      <c r="BC116" s="520"/>
      <c r="BD116" s="520"/>
      <c r="BE116" s="520"/>
      <c r="BF116" s="520"/>
      <c r="BG116" s="520"/>
      <c r="BH116" s="520"/>
      <c r="BI116" s="520"/>
      <c r="BJ116" s="520"/>
      <c r="BK116" s="520"/>
      <c r="BL116" s="520"/>
      <c r="BM116" s="520"/>
      <c r="BN116" s="520"/>
      <c r="BO116" s="520"/>
      <c r="BP116" s="520"/>
      <c r="BQ116" s="520"/>
      <c r="BR116" s="520"/>
      <c r="BS116" s="520"/>
      <c r="BT116" s="520"/>
      <c r="BU116" s="520"/>
      <c r="BV116" s="520"/>
      <c r="BW116" s="520"/>
      <c r="BX116" s="520"/>
      <c r="BY116" s="520"/>
      <c r="BZ116" s="520"/>
      <c r="CA116" s="520"/>
      <c r="CB116" s="520"/>
      <c r="CC116" s="520"/>
      <c r="CD116" s="520"/>
      <c r="CE116" s="520"/>
      <c r="CF116" s="520"/>
      <c r="CG116" s="520"/>
      <c r="CH116" s="520"/>
      <c r="CI116" s="520"/>
      <c r="CJ116" s="520"/>
      <c r="CK116" s="520"/>
      <c r="CL116" s="520"/>
      <c r="CM116" s="520"/>
      <c r="CN116" s="520"/>
      <c r="CO116" s="520"/>
      <c r="CP116" s="520"/>
      <c r="CQ116" s="520"/>
      <c r="CR116" s="520"/>
      <c r="CS116" s="520"/>
      <c r="CT116" s="520"/>
      <c r="CU116" s="520"/>
      <c r="CV116" s="520"/>
      <c r="CW116" s="520"/>
      <c r="CX116" s="520"/>
    </row>
    <row r="117" spans="1:102" s="575" customFormat="1" ht="30" customHeight="1" outlineLevel="1">
      <c r="A117" s="573"/>
      <c r="B117" s="508"/>
      <c r="C117" s="568"/>
      <c r="D117" s="592"/>
      <c r="E117" s="574"/>
      <c r="H117" s="576"/>
      <c r="I117" s="576"/>
      <c r="J117" s="576"/>
      <c r="K117" s="576"/>
      <c r="L117" s="592"/>
      <c r="M117" s="508"/>
      <c r="N117" s="477"/>
      <c r="O117" s="592"/>
      <c r="P117" s="704"/>
      <c r="Q117" s="702"/>
      <c r="R117" s="702"/>
      <c r="S117" s="576"/>
      <c r="T117" s="576"/>
      <c r="U117" s="576"/>
      <c r="V117" s="576"/>
      <c r="W117" s="592"/>
      <c r="X117" s="592"/>
      <c r="Y117" s="592"/>
      <c r="Z117" s="592"/>
      <c r="AA117" s="592"/>
      <c r="AB117" s="592"/>
      <c r="AC117" s="592"/>
      <c r="AD117" s="592"/>
      <c r="AE117" s="592"/>
      <c r="AF117" s="592"/>
      <c r="AG117" s="592"/>
      <c r="AH117" s="592"/>
      <c r="AI117" s="592"/>
      <c r="AJ117" s="592"/>
      <c r="AK117" s="592"/>
      <c r="AL117" s="592"/>
      <c r="AM117" s="592"/>
      <c r="AN117" s="592"/>
      <c r="AO117" s="592"/>
      <c r="AP117" s="592"/>
      <c r="AQ117" s="592"/>
      <c r="AR117" s="592"/>
      <c r="AS117" s="592"/>
      <c r="AT117" s="592"/>
      <c r="AU117" s="592"/>
      <c r="AV117" s="592"/>
      <c r="AW117" s="592"/>
      <c r="AX117" s="592"/>
      <c r="AY117" s="592"/>
      <c r="AZ117" s="592"/>
      <c r="BA117" s="592"/>
      <c r="BB117" s="592"/>
      <c r="BC117" s="592"/>
      <c r="BD117" s="592"/>
      <c r="BE117" s="592"/>
      <c r="BF117" s="592"/>
      <c r="BG117" s="592"/>
      <c r="BH117" s="592"/>
      <c r="BI117" s="592"/>
      <c r="BJ117" s="592"/>
      <c r="BK117" s="592"/>
      <c r="BL117" s="592"/>
      <c r="BM117" s="592"/>
      <c r="BN117" s="592"/>
      <c r="BO117" s="592"/>
      <c r="BP117" s="592"/>
      <c r="BQ117" s="592"/>
      <c r="BR117" s="592"/>
      <c r="BS117" s="592"/>
      <c r="BT117" s="592"/>
      <c r="BU117" s="592"/>
      <c r="BV117" s="592"/>
      <c r="BW117" s="592"/>
      <c r="BX117" s="592"/>
      <c r="BY117" s="592"/>
      <c r="BZ117" s="592"/>
      <c r="CA117" s="592"/>
      <c r="CB117" s="592"/>
      <c r="CC117" s="592"/>
      <c r="CD117" s="592"/>
      <c r="CE117" s="592"/>
      <c r="CF117" s="592"/>
      <c r="CG117" s="592"/>
      <c r="CH117" s="592"/>
      <c r="CI117" s="592"/>
      <c r="CJ117" s="592"/>
      <c r="CK117" s="592"/>
      <c r="CL117" s="592"/>
      <c r="CM117" s="592"/>
      <c r="CN117" s="592"/>
      <c r="CO117" s="592"/>
      <c r="CP117" s="592"/>
      <c r="CQ117" s="592"/>
      <c r="CR117" s="592"/>
      <c r="CS117" s="592"/>
      <c r="CT117" s="592"/>
      <c r="CU117" s="592"/>
      <c r="CV117" s="592"/>
      <c r="CW117" s="592"/>
      <c r="CX117" s="592"/>
    </row>
    <row r="118" spans="1:102" s="575" customFormat="1" ht="30" customHeight="1" outlineLevel="1">
      <c r="A118" s="573"/>
      <c r="B118" s="521" t="s">
        <v>399</v>
      </c>
      <c r="C118" s="568"/>
      <c r="D118" s="592"/>
      <c r="E118" s="574"/>
      <c r="H118" s="576"/>
      <c r="I118" s="576"/>
      <c r="J118" s="576"/>
      <c r="K118" s="576"/>
      <c r="L118" s="592"/>
      <c r="M118" s="521" t="s">
        <v>399</v>
      </c>
      <c r="N118" s="477"/>
      <c r="O118" s="592"/>
      <c r="P118" s="704"/>
      <c r="Q118" s="702"/>
      <c r="R118" s="702"/>
      <c r="S118" s="576"/>
      <c r="T118" s="576"/>
      <c r="U118" s="576"/>
      <c r="V118" s="576"/>
      <c r="W118" s="592"/>
      <c r="X118" s="592"/>
      <c r="Y118" s="592"/>
      <c r="Z118" s="592"/>
      <c r="AA118" s="592"/>
      <c r="AB118" s="592"/>
      <c r="AC118" s="592"/>
      <c r="AD118" s="592"/>
      <c r="AE118" s="592"/>
      <c r="AF118" s="592"/>
      <c r="AG118" s="592"/>
      <c r="AH118" s="592"/>
      <c r="AI118" s="592"/>
      <c r="AJ118" s="592"/>
      <c r="AK118" s="592"/>
      <c r="AL118" s="592"/>
      <c r="AM118" s="592"/>
      <c r="AN118" s="592"/>
      <c r="AO118" s="592"/>
      <c r="AP118" s="592"/>
      <c r="AQ118" s="592"/>
      <c r="AR118" s="592"/>
      <c r="AS118" s="592"/>
      <c r="AT118" s="592"/>
      <c r="AU118" s="592"/>
      <c r="AV118" s="592"/>
      <c r="AW118" s="592"/>
      <c r="AX118" s="592"/>
      <c r="AY118" s="592"/>
      <c r="AZ118" s="592"/>
      <c r="BA118" s="592"/>
      <c r="BB118" s="592"/>
      <c r="BC118" s="592"/>
      <c r="BD118" s="592"/>
      <c r="BE118" s="592"/>
      <c r="BF118" s="592"/>
      <c r="BG118" s="592"/>
      <c r="BH118" s="592"/>
      <c r="BI118" s="592"/>
      <c r="BJ118" s="592"/>
      <c r="BK118" s="592"/>
      <c r="BL118" s="592"/>
      <c r="BM118" s="592"/>
      <c r="BN118" s="592"/>
      <c r="BO118" s="592"/>
      <c r="BP118" s="592"/>
      <c r="BQ118" s="592"/>
      <c r="BR118" s="592"/>
      <c r="BS118" s="592"/>
      <c r="BT118" s="592"/>
      <c r="BU118" s="592"/>
      <c r="BV118" s="592"/>
      <c r="BW118" s="592"/>
      <c r="BX118" s="592"/>
      <c r="BY118" s="592"/>
      <c r="BZ118" s="592"/>
      <c r="CA118" s="592"/>
      <c r="CB118" s="592"/>
      <c r="CC118" s="592"/>
      <c r="CD118" s="592"/>
      <c r="CE118" s="592"/>
      <c r="CF118" s="592"/>
      <c r="CG118" s="592"/>
      <c r="CH118" s="592"/>
      <c r="CI118" s="592"/>
      <c r="CJ118" s="592"/>
      <c r="CK118" s="592"/>
      <c r="CL118" s="592"/>
      <c r="CM118" s="592"/>
      <c r="CN118" s="592"/>
      <c r="CO118" s="592"/>
      <c r="CP118" s="592"/>
      <c r="CQ118" s="592"/>
      <c r="CR118" s="592"/>
      <c r="CS118" s="592"/>
      <c r="CT118" s="592"/>
      <c r="CU118" s="592"/>
      <c r="CV118" s="592"/>
      <c r="CW118" s="592"/>
      <c r="CX118" s="592"/>
    </row>
    <row r="119" spans="1:102" s="520" customFormat="1" ht="30" customHeight="1" outlineLevel="1">
      <c r="A119" s="514"/>
      <c r="B119" s="651" t="s">
        <v>400</v>
      </c>
      <c r="C119" s="514"/>
      <c r="D119" s="570"/>
      <c r="E119" s="605"/>
      <c r="F119" s="554"/>
      <c r="G119" s="554"/>
      <c r="H119" s="603"/>
      <c r="I119" s="603"/>
      <c r="J119" s="603"/>
      <c r="K119" s="600"/>
      <c r="M119" s="651" t="s">
        <v>400</v>
      </c>
      <c r="N119" s="469"/>
      <c r="O119" s="570"/>
      <c r="P119" s="704"/>
      <c r="Q119" s="702"/>
      <c r="R119" s="702"/>
      <c r="S119" s="603"/>
      <c r="T119" s="603"/>
      <c r="U119" s="603"/>
      <c r="V119" s="600"/>
    </row>
    <row r="120" spans="1:102" s="613" customFormat="1" ht="30" customHeight="1" outlineLevel="1">
      <c r="A120" s="607" t="e">
        <f>#REF!+1</f>
        <v>#REF!</v>
      </c>
      <c r="B120" s="527" t="s">
        <v>541</v>
      </c>
      <c r="C120" s="616" t="s">
        <v>597</v>
      </c>
      <c r="D120" s="616" t="s">
        <v>11</v>
      </c>
      <c r="E120" s="541">
        <v>2825.1</v>
      </c>
      <c r="F120" s="593">
        <v>250</v>
      </c>
      <c r="G120" s="617">
        <f t="shared" ref="G120:G128" si="16">+E120+F120</f>
        <v>3075.1</v>
      </c>
      <c r="H120" s="618">
        <v>0</v>
      </c>
      <c r="I120" s="618">
        <v>0</v>
      </c>
      <c r="J120" s="618">
        <v>1</v>
      </c>
      <c r="K120" s="618">
        <f t="shared" ref="K120:K128" si="17">SUM(H120:J120)</f>
        <v>1</v>
      </c>
      <c r="M120" s="527" t="s">
        <v>541</v>
      </c>
      <c r="N120" s="482" t="s">
        <v>597</v>
      </c>
      <c r="O120" s="616" t="s">
        <v>11</v>
      </c>
      <c r="P120" s="695">
        <v>2959.24</v>
      </c>
      <c r="Q120" s="696">
        <v>250</v>
      </c>
      <c r="R120" s="696">
        <f t="shared" ref="R120:R128" si="18">+P120+Q120</f>
        <v>3209.24</v>
      </c>
      <c r="S120" s="618">
        <v>0</v>
      </c>
      <c r="T120" s="618">
        <v>0</v>
      </c>
      <c r="U120" s="618">
        <v>1</v>
      </c>
      <c r="V120" s="618">
        <f t="shared" ref="V120:V128" si="19">SUM(S120:U120)</f>
        <v>1</v>
      </c>
    </row>
    <row r="121" spans="1:102" s="613" customFormat="1" ht="30" customHeight="1" outlineLevel="1">
      <c r="A121" s="607" t="e">
        <f t="shared" ref="A121:A128" si="20">A120+1</f>
        <v>#REF!</v>
      </c>
      <c r="B121" s="606" t="s">
        <v>537</v>
      </c>
      <c r="C121" s="616" t="s">
        <v>597</v>
      </c>
      <c r="D121" s="616" t="s">
        <v>11</v>
      </c>
      <c r="E121" s="541">
        <v>2865.97</v>
      </c>
      <c r="F121" s="593">
        <v>450</v>
      </c>
      <c r="G121" s="593">
        <f t="shared" si="16"/>
        <v>3315.97</v>
      </c>
      <c r="H121" s="618">
        <v>0</v>
      </c>
      <c r="I121" s="630">
        <v>0</v>
      </c>
      <c r="J121" s="631">
        <v>1</v>
      </c>
      <c r="K121" s="618">
        <f t="shared" si="17"/>
        <v>1</v>
      </c>
      <c r="M121" s="606" t="s">
        <v>537</v>
      </c>
      <c r="N121" s="482" t="s">
        <v>597</v>
      </c>
      <c r="O121" s="616" t="s">
        <v>11</v>
      </c>
      <c r="P121" s="695">
        <v>2959.24</v>
      </c>
      <c r="Q121" s="696">
        <v>450</v>
      </c>
      <c r="R121" s="696">
        <f t="shared" si="18"/>
        <v>3409.24</v>
      </c>
      <c r="S121" s="618">
        <v>0</v>
      </c>
      <c r="T121" s="630">
        <v>0</v>
      </c>
      <c r="U121" s="631">
        <v>1</v>
      </c>
      <c r="V121" s="618">
        <f t="shared" si="19"/>
        <v>1</v>
      </c>
    </row>
    <row r="122" spans="1:102" s="613" customFormat="1" ht="30" customHeight="1" outlineLevel="1">
      <c r="A122" s="607" t="e">
        <f t="shared" si="20"/>
        <v>#REF!</v>
      </c>
      <c r="B122" s="527" t="s">
        <v>378</v>
      </c>
      <c r="C122" s="616" t="s">
        <v>597</v>
      </c>
      <c r="D122" s="616" t="s">
        <v>11</v>
      </c>
      <c r="E122" s="541">
        <v>2825.1</v>
      </c>
      <c r="F122" s="593">
        <v>250</v>
      </c>
      <c r="G122" s="617">
        <f t="shared" si="16"/>
        <v>3075.1</v>
      </c>
      <c r="H122" s="618">
        <v>0</v>
      </c>
      <c r="I122" s="618">
        <v>0</v>
      </c>
      <c r="J122" s="631">
        <v>1</v>
      </c>
      <c r="K122" s="618">
        <f t="shared" si="17"/>
        <v>1</v>
      </c>
      <c r="M122" s="527" t="s">
        <v>378</v>
      </c>
      <c r="N122" s="482" t="s">
        <v>597</v>
      </c>
      <c r="O122" s="616" t="s">
        <v>11</v>
      </c>
      <c r="P122" s="695">
        <v>2959.24</v>
      </c>
      <c r="Q122" s="696">
        <v>250</v>
      </c>
      <c r="R122" s="696">
        <f t="shared" si="18"/>
        <v>3209.24</v>
      </c>
      <c r="S122" s="618">
        <v>0</v>
      </c>
      <c r="T122" s="618">
        <v>0</v>
      </c>
      <c r="U122" s="631">
        <v>1</v>
      </c>
      <c r="V122" s="618">
        <f t="shared" si="19"/>
        <v>1</v>
      </c>
    </row>
    <row r="123" spans="1:102" s="536" customFormat="1" ht="30" customHeight="1" outlineLevel="1">
      <c r="A123" s="607" t="e">
        <f t="shared" si="20"/>
        <v>#REF!</v>
      </c>
      <c r="B123" s="527" t="s">
        <v>574</v>
      </c>
      <c r="C123" s="616" t="s">
        <v>595</v>
      </c>
      <c r="D123" s="528" t="s">
        <v>11</v>
      </c>
      <c r="E123" s="533">
        <v>2825.1</v>
      </c>
      <c r="F123" s="534">
        <f>250</f>
        <v>250</v>
      </c>
      <c r="G123" s="620">
        <f t="shared" si="16"/>
        <v>3075.1</v>
      </c>
      <c r="H123" s="535">
        <v>0</v>
      </c>
      <c r="I123" s="622">
        <v>0</v>
      </c>
      <c r="J123" s="531">
        <v>1</v>
      </c>
      <c r="K123" s="535">
        <f t="shared" si="17"/>
        <v>1</v>
      </c>
      <c r="M123" s="527" t="s">
        <v>574</v>
      </c>
      <c r="N123" s="482" t="s">
        <v>595</v>
      </c>
      <c r="O123" s="528" t="s">
        <v>11</v>
      </c>
      <c r="P123" s="695">
        <v>2959.24</v>
      </c>
      <c r="Q123" s="696">
        <f>250</f>
        <v>250</v>
      </c>
      <c r="R123" s="696">
        <f t="shared" si="18"/>
        <v>3209.24</v>
      </c>
      <c r="S123" s="535">
        <v>0</v>
      </c>
      <c r="T123" s="622">
        <v>0</v>
      </c>
      <c r="U123" s="531">
        <v>1</v>
      </c>
      <c r="V123" s="535">
        <f t="shared" si="19"/>
        <v>1</v>
      </c>
    </row>
    <row r="124" spans="1:102" s="536" customFormat="1" ht="30" customHeight="1" outlineLevel="1">
      <c r="A124" s="607" t="e">
        <f t="shared" si="20"/>
        <v>#REF!</v>
      </c>
      <c r="B124" s="527" t="s">
        <v>633</v>
      </c>
      <c r="C124" s="616" t="s">
        <v>597</v>
      </c>
      <c r="D124" s="528" t="s">
        <v>11</v>
      </c>
      <c r="E124" s="533">
        <v>2825.1</v>
      </c>
      <c r="F124" s="534">
        <f>250</f>
        <v>250</v>
      </c>
      <c r="G124" s="620">
        <f t="shared" si="16"/>
        <v>3075.1</v>
      </c>
      <c r="H124" s="535">
        <v>0</v>
      </c>
      <c r="I124" s="622">
        <v>0</v>
      </c>
      <c r="J124" s="531">
        <v>1</v>
      </c>
      <c r="K124" s="535">
        <f t="shared" si="17"/>
        <v>1</v>
      </c>
      <c r="L124" s="652"/>
      <c r="M124" s="527" t="s">
        <v>633</v>
      </c>
      <c r="N124" s="482" t="s">
        <v>597</v>
      </c>
      <c r="O124" s="528" t="s">
        <v>11</v>
      </c>
      <c r="P124" s="695">
        <v>2959.24</v>
      </c>
      <c r="Q124" s="696">
        <f>250</f>
        <v>250</v>
      </c>
      <c r="R124" s="696">
        <f t="shared" si="18"/>
        <v>3209.24</v>
      </c>
      <c r="S124" s="535">
        <v>0</v>
      </c>
      <c r="T124" s="622">
        <v>0</v>
      </c>
      <c r="U124" s="531">
        <v>1</v>
      </c>
      <c r="V124" s="535">
        <f t="shared" si="19"/>
        <v>1</v>
      </c>
    </row>
    <row r="125" spans="1:102" s="536" customFormat="1" ht="30" customHeight="1" outlineLevel="1">
      <c r="A125" s="607" t="e">
        <f t="shared" si="20"/>
        <v>#REF!</v>
      </c>
      <c r="B125" s="527" t="s">
        <v>577</v>
      </c>
      <c r="C125" s="616" t="s">
        <v>595</v>
      </c>
      <c r="D125" s="528" t="s">
        <v>11</v>
      </c>
      <c r="E125" s="533">
        <v>2825.1</v>
      </c>
      <c r="F125" s="534">
        <f>250</f>
        <v>250</v>
      </c>
      <c r="G125" s="620">
        <f t="shared" si="16"/>
        <v>3075.1</v>
      </c>
      <c r="H125" s="535">
        <v>0</v>
      </c>
      <c r="I125" s="622">
        <v>0</v>
      </c>
      <c r="J125" s="531">
        <v>1</v>
      </c>
      <c r="K125" s="535">
        <f t="shared" si="17"/>
        <v>1</v>
      </c>
      <c r="M125" s="527" t="s">
        <v>577</v>
      </c>
      <c r="N125" s="482" t="s">
        <v>595</v>
      </c>
      <c r="O125" s="528" t="s">
        <v>11</v>
      </c>
      <c r="P125" s="695">
        <v>2959.24</v>
      </c>
      <c r="Q125" s="696">
        <f>250</f>
        <v>250</v>
      </c>
      <c r="R125" s="696">
        <f t="shared" si="18"/>
        <v>3209.24</v>
      </c>
      <c r="S125" s="535">
        <v>0</v>
      </c>
      <c r="T125" s="622">
        <v>0</v>
      </c>
      <c r="U125" s="531">
        <v>1</v>
      </c>
      <c r="V125" s="535">
        <f t="shared" si="19"/>
        <v>1</v>
      </c>
    </row>
    <row r="126" spans="1:102" s="536" customFormat="1" ht="30" customHeight="1" outlineLevel="1">
      <c r="A126" s="607" t="e">
        <f t="shared" si="20"/>
        <v>#REF!</v>
      </c>
      <c r="B126" s="527" t="s">
        <v>632</v>
      </c>
      <c r="C126" s="616" t="s">
        <v>595</v>
      </c>
      <c r="D126" s="528" t="s">
        <v>11</v>
      </c>
      <c r="E126" s="533">
        <v>2825.1</v>
      </c>
      <c r="F126" s="534">
        <f>250</f>
        <v>250</v>
      </c>
      <c r="G126" s="620">
        <f t="shared" si="16"/>
        <v>3075.1</v>
      </c>
      <c r="H126" s="535">
        <v>0</v>
      </c>
      <c r="I126" s="622">
        <v>0</v>
      </c>
      <c r="J126" s="531">
        <v>1</v>
      </c>
      <c r="K126" s="535">
        <f t="shared" si="17"/>
        <v>1</v>
      </c>
      <c r="M126" s="527" t="s">
        <v>632</v>
      </c>
      <c r="N126" s="482" t="s">
        <v>595</v>
      </c>
      <c r="O126" s="528" t="s">
        <v>11</v>
      </c>
      <c r="P126" s="695">
        <v>2959.24</v>
      </c>
      <c r="Q126" s="696">
        <f>250</f>
        <v>250</v>
      </c>
      <c r="R126" s="696">
        <f t="shared" si="18"/>
        <v>3209.24</v>
      </c>
      <c r="S126" s="535">
        <v>0</v>
      </c>
      <c r="T126" s="622">
        <v>0</v>
      </c>
      <c r="U126" s="531">
        <v>1</v>
      </c>
      <c r="V126" s="535">
        <f t="shared" si="19"/>
        <v>1</v>
      </c>
    </row>
    <row r="127" spans="1:102" s="632" customFormat="1" ht="30" customHeight="1" outlineLevel="1">
      <c r="A127" s="607" t="e">
        <f>+A126+1</f>
        <v>#REF!</v>
      </c>
      <c r="B127" s="606" t="s">
        <v>528</v>
      </c>
      <c r="C127" s="616" t="s">
        <v>595</v>
      </c>
      <c r="D127" s="616" t="s">
        <v>11</v>
      </c>
      <c r="E127" s="541">
        <v>2825.1</v>
      </c>
      <c r="F127" s="593">
        <v>250</v>
      </c>
      <c r="G127" s="617">
        <f t="shared" si="16"/>
        <v>3075.1</v>
      </c>
      <c r="H127" s="630">
        <v>0</v>
      </c>
      <c r="I127" s="618">
        <v>0</v>
      </c>
      <c r="J127" s="631">
        <v>1</v>
      </c>
      <c r="K127" s="618">
        <f t="shared" si="17"/>
        <v>1</v>
      </c>
      <c r="M127" s="606" t="s">
        <v>528</v>
      </c>
      <c r="N127" s="482" t="s">
        <v>595</v>
      </c>
      <c r="O127" s="616" t="s">
        <v>11</v>
      </c>
      <c r="P127" s="695">
        <v>2959.24</v>
      </c>
      <c r="Q127" s="696">
        <v>250</v>
      </c>
      <c r="R127" s="696">
        <f t="shared" si="18"/>
        <v>3209.24</v>
      </c>
      <c r="S127" s="630">
        <v>0</v>
      </c>
      <c r="T127" s="618">
        <v>0</v>
      </c>
      <c r="U127" s="631">
        <v>1</v>
      </c>
      <c r="V127" s="618">
        <f t="shared" si="19"/>
        <v>1</v>
      </c>
    </row>
    <row r="128" spans="1:102" s="613" customFormat="1" ht="30" customHeight="1" outlineLevel="1">
      <c r="A128" s="607" t="e">
        <f t="shared" si="20"/>
        <v>#REF!</v>
      </c>
      <c r="B128" s="527" t="s">
        <v>519</v>
      </c>
      <c r="C128" s="616" t="s">
        <v>600</v>
      </c>
      <c r="D128" s="616" t="s">
        <v>11</v>
      </c>
      <c r="E128" s="541">
        <v>2825.1</v>
      </c>
      <c r="F128" s="593">
        <f>250</f>
        <v>250</v>
      </c>
      <c r="G128" s="617">
        <f t="shared" si="16"/>
        <v>3075.1</v>
      </c>
      <c r="H128" s="618">
        <v>0</v>
      </c>
      <c r="I128" s="618">
        <v>0</v>
      </c>
      <c r="J128" s="631">
        <v>1</v>
      </c>
      <c r="K128" s="618">
        <f t="shared" si="17"/>
        <v>1</v>
      </c>
      <c r="M128" s="527" t="s">
        <v>519</v>
      </c>
      <c r="N128" s="482" t="s">
        <v>600</v>
      </c>
      <c r="O128" s="616" t="s">
        <v>11</v>
      </c>
      <c r="P128" s="695">
        <v>2959.24</v>
      </c>
      <c r="Q128" s="696">
        <f>250</f>
        <v>250</v>
      </c>
      <c r="R128" s="696">
        <f t="shared" si="18"/>
        <v>3209.24</v>
      </c>
      <c r="S128" s="618">
        <v>0</v>
      </c>
      <c r="T128" s="618">
        <v>0</v>
      </c>
      <c r="U128" s="631">
        <v>1</v>
      </c>
      <c r="V128" s="618">
        <f t="shared" si="19"/>
        <v>1</v>
      </c>
    </row>
    <row r="129" spans="1:102" s="608" customFormat="1" ht="30" customHeight="1" outlineLevel="1" thickBot="1">
      <c r="A129" s="624"/>
      <c r="B129" s="625"/>
      <c r="C129" s="608" t="s">
        <v>382</v>
      </c>
      <c r="D129" s="626"/>
      <c r="E129" s="609">
        <f>SUM(E120:E128)</f>
        <v>25466.769999999997</v>
      </c>
      <c r="F129" s="609">
        <f>SUM(F120:F128)</f>
        <v>2450</v>
      </c>
      <c r="G129" s="609">
        <f>SUM(G120:G128)</f>
        <v>27916.769999999997</v>
      </c>
      <c r="H129" s="610"/>
      <c r="I129" s="610"/>
      <c r="J129" s="610"/>
      <c r="K129" s="610"/>
      <c r="M129" s="625"/>
      <c r="N129" s="481" t="s">
        <v>382</v>
      </c>
      <c r="O129" s="626"/>
      <c r="P129" s="709">
        <f>SUM(P120:P128)</f>
        <v>26633.159999999996</v>
      </c>
      <c r="Q129" s="709">
        <f>SUM(Q120:Q128)</f>
        <v>2450</v>
      </c>
      <c r="R129" s="709">
        <f>SUM(R120:R128)</f>
        <v>29083.159999999996</v>
      </c>
      <c r="S129" s="610"/>
      <c r="T129" s="610"/>
      <c r="U129" s="610"/>
      <c r="V129" s="610"/>
    </row>
    <row r="130" spans="1:102" s="575" customFormat="1" ht="30" customHeight="1" thickTop="1">
      <c r="A130" s="573"/>
      <c r="B130" s="508"/>
      <c r="C130" s="568"/>
      <c r="D130" s="592"/>
      <c r="H130" s="576"/>
      <c r="I130" s="576"/>
      <c r="J130" s="576"/>
      <c r="K130" s="576"/>
      <c r="L130" s="592"/>
      <c r="M130" s="508"/>
      <c r="N130" s="477"/>
      <c r="O130" s="592"/>
      <c r="P130" s="702"/>
      <c r="Q130" s="702"/>
      <c r="R130" s="702"/>
      <c r="S130" s="576"/>
      <c r="T130" s="576"/>
      <c r="U130" s="576"/>
      <c r="V130" s="576"/>
      <c r="W130" s="592"/>
      <c r="X130" s="592"/>
      <c r="Y130" s="592"/>
      <c r="Z130" s="592"/>
      <c r="AA130" s="592"/>
      <c r="AB130" s="592"/>
      <c r="AC130" s="592"/>
      <c r="AD130" s="592"/>
      <c r="AE130" s="592"/>
      <c r="AF130" s="592"/>
      <c r="AG130" s="592"/>
      <c r="AH130" s="592"/>
      <c r="AI130" s="592"/>
      <c r="AJ130" s="592"/>
      <c r="AK130" s="592"/>
      <c r="AL130" s="592"/>
      <c r="AM130" s="592"/>
      <c r="AN130" s="592"/>
      <c r="AO130" s="592"/>
      <c r="AP130" s="592"/>
      <c r="AQ130" s="592"/>
      <c r="AR130" s="592"/>
      <c r="AS130" s="592"/>
      <c r="AT130" s="592"/>
      <c r="AU130" s="592"/>
      <c r="AV130" s="592"/>
      <c r="AW130" s="592"/>
      <c r="AX130" s="592"/>
      <c r="AY130" s="592"/>
      <c r="AZ130" s="592"/>
      <c r="BA130" s="592"/>
      <c r="BB130" s="592"/>
      <c r="BC130" s="592"/>
      <c r="BD130" s="592"/>
      <c r="BE130" s="592"/>
      <c r="BF130" s="592"/>
      <c r="BG130" s="592"/>
      <c r="BH130" s="592"/>
      <c r="BI130" s="592"/>
      <c r="BJ130" s="592"/>
      <c r="BK130" s="592"/>
      <c r="BL130" s="592"/>
      <c r="BM130" s="592"/>
      <c r="BN130" s="592"/>
      <c r="BO130" s="592"/>
      <c r="BP130" s="592"/>
      <c r="BQ130" s="592"/>
      <c r="BR130" s="592"/>
      <c r="BS130" s="592"/>
      <c r="BT130" s="592"/>
      <c r="BU130" s="592"/>
      <c r="BV130" s="592"/>
      <c r="BW130" s="592"/>
      <c r="BX130" s="592"/>
      <c r="BY130" s="592"/>
      <c r="BZ130" s="592"/>
      <c r="CA130" s="592"/>
      <c r="CB130" s="592"/>
      <c r="CC130" s="592"/>
      <c r="CD130" s="592"/>
      <c r="CE130" s="592"/>
      <c r="CF130" s="592"/>
      <c r="CG130" s="592"/>
      <c r="CH130" s="592"/>
      <c r="CI130" s="592"/>
      <c r="CJ130" s="592"/>
      <c r="CK130" s="592"/>
      <c r="CL130" s="592"/>
      <c r="CM130" s="592"/>
      <c r="CN130" s="592"/>
      <c r="CO130" s="592"/>
      <c r="CP130" s="592"/>
      <c r="CQ130" s="592"/>
      <c r="CR130" s="592"/>
      <c r="CS130" s="592"/>
      <c r="CT130" s="592"/>
      <c r="CU130" s="592"/>
      <c r="CV130" s="592"/>
      <c r="CW130" s="592"/>
      <c r="CX130" s="592"/>
    </row>
    <row r="131" spans="1:102" s="592" customFormat="1" ht="30" customHeight="1" thickBot="1">
      <c r="A131" s="514"/>
      <c r="B131" s="508"/>
      <c r="C131" s="570" t="s">
        <v>140</v>
      </c>
      <c r="E131" s="653">
        <f>+E13+E23+E28+E32+E37+E44+E49+E68+E83+E88+E105+E108+E115+E129</f>
        <v>200691.61999999997</v>
      </c>
      <c r="F131" s="653">
        <f>+F13+F23+F28+F32+F37+F44+F49+F68+F83+F88+F105+F108+F115+F129</f>
        <v>23115</v>
      </c>
      <c r="G131" s="653">
        <f>+G13+G23+G28+G32+G37+G44+G49+G68+G83+G88+G105+G108+G115+G129</f>
        <v>223806.61999999997</v>
      </c>
      <c r="H131" s="576"/>
      <c r="I131" s="576"/>
      <c r="J131" s="576"/>
      <c r="K131" s="576"/>
      <c r="M131" s="508"/>
      <c r="N131" s="478" t="s">
        <v>140</v>
      </c>
      <c r="P131" s="706">
        <f>+P13+P23+P28+P32+P37+P44+P49+P68+P83+P88+P105+P108+P115+P129</f>
        <v>210106.03999999995</v>
      </c>
      <c r="Q131" s="706">
        <f>+Q13+Q23+Q28+Q32+Q37+Q44+Q49+Q68+Q83+Q88+Q105+Q108+Q115+Q129</f>
        <v>23115</v>
      </c>
      <c r="R131" s="706">
        <f>+R13+R23+R28+R32+R37+R44+R49+R68+R83+R88+R105+R108+R115+R129</f>
        <v>232952.75999999992</v>
      </c>
      <c r="S131" s="576"/>
      <c r="T131" s="576"/>
      <c r="U131" s="576"/>
      <c r="V131" s="576"/>
    </row>
    <row r="132" spans="1:102" s="592" customFormat="1" ht="12" customHeight="1" thickTop="1">
      <c r="A132" s="514"/>
      <c r="B132" s="508"/>
      <c r="C132" s="570"/>
      <c r="E132" s="654"/>
      <c r="F132" s="654"/>
      <c r="G132" s="654"/>
      <c r="H132" s="576"/>
      <c r="I132" s="576"/>
      <c r="J132" s="576"/>
      <c r="K132" s="576"/>
      <c r="M132" s="508"/>
      <c r="N132" s="478"/>
      <c r="P132" s="702"/>
      <c r="Q132" s="702"/>
      <c r="R132" s="702"/>
      <c r="S132" s="576"/>
      <c r="T132" s="576"/>
      <c r="U132" s="576"/>
      <c r="V132" s="576"/>
    </row>
    <row r="133" spans="1:102" s="575" customFormat="1" ht="12" customHeight="1">
      <c r="A133" s="573"/>
      <c r="B133" s="508"/>
      <c r="C133" s="568"/>
      <c r="D133" s="592"/>
      <c r="H133" s="576"/>
      <c r="I133" s="576"/>
      <c r="J133" s="576"/>
      <c r="K133" s="576"/>
      <c r="L133" s="592"/>
      <c r="M133" s="508"/>
      <c r="N133" s="477"/>
      <c r="O133" s="592"/>
      <c r="P133" s="702"/>
      <c r="Q133" s="702"/>
      <c r="R133" s="702"/>
      <c r="S133" s="576"/>
      <c r="T133" s="576"/>
      <c r="U133" s="576"/>
      <c r="V133" s="576"/>
      <c r="W133" s="592"/>
      <c r="X133" s="592"/>
      <c r="Y133" s="592"/>
      <c r="Z133" s="592"/>
      <c r="AA133" s="592"/>
      <c r="AB133" s="592"/>
      <c r="AC133" s="592"/>
      <c r="AD133" s="592"/>
      <c r="AE133" s="592"/>
      <c r="AF133" s="592"/>
      <c r="AG133" s="592"/>
      <c r="AH133" s="592"/>
      <c r="AI133" s="592"/>
      <c r="AJ133" s="592"/>
      <c r="AK133" s="592"/>
      <c r="AL133" s="592"/>
      <c r="AM133" s="592"/>
      <c r="AN133" s="592"/>
      <c r="AO133" s="592"/>
      <c r="AP133" s="592"/>
      <c r="AQ133" s="592"/>
      <c r="AR133" s="592"/>
      <c r="AS133" s="592"/>
      <c r="AT133" s="592"/>
      <c r="AU133" s="592"/>
      <c r="AV133" s="592"/>
      <c r="AW133" s="592"/>
      <c r="AX133" s="592"/>
      <c r="AY133" s="592"/>
      <c r="AZ133" s="592"/>
      <c r="BA133" s="592"/>
      <c r="BB133" s="592"/>
      <c r="BC133" s="592"/>
      <c r="BD133" s="592"/>
      <c r="BE133" s="592"/>
      <c r="BF133" s="592"/>
      <c r="BG133" s="592"/>
      <c r="BH133" s="592"/>
      <c r="BI133" s="592"/>
      <c r="BJ133" s="592"/>
      <c r="BK133" s="592"/>
      <c r="BL133" s="592"/>
      <c r="BM133" s="592"/>
      <c r="BN133" s="592"/>
      <c r="BO133" s="592"/>
      <c r="BP133" s="592"/>
      <c r="BQ133" s="592"/>
      <c r="BR133" s="592"/>
      <c r="BS133" s="592"/>
      <c r="BT133" s="592"/>
      <c r="BU133" s="592"/>
      <c r="BV133" s="592"/>
      <c r="BW133" s="592"/>
      <c r="BX133" s="592"/>
      <c r="BY133" s="592"/>
      <c r="BZ133" s="592"/>
      <c r="CA133" s="592"/>
      <c r="CB133" s="592"/>
      <c r="CC133" s="592"/>
      <c r="CD133" s="592"/>
      <c r="CE133" s="592"/>
      <c r="CF133" s="592"/>
      <c r="CG133" s="592"/>
      <c r="CH133" s="592"/>
      <c r="CI133" s="592"/>
      <c r="CJ133" s="592"/>
      <c r="CK133" s="592"/>
      <c r="CL133" s="592"/>
      <c r="CM133" s="592"/>
      <c r="CN133" s="592"/>
      <c r="CO133" s="592"/>
      <c r="CP133" s="592"/>
      <c r="CQ133" s="592"/>
      <c r="CR133" s="592"/>
      <c r="CS133" s="592"/>
      <c r="CT133" s="592"/>
      <c r="CU133" s="592"/>
      <c r="CV133" s="592"/>
      <c r="CW133" s="592"/>
      <c r="CX133" s="592"/>
    </row>
    <row r="134" spans="1:102" s="575" customFormat="1" ht="11.25" customHeight="1">
      <c r="A134" s="573"/>
      <c r="B134" s="508"/>
      <c r="C134" s="568"/>
      <c r="D134" s="592"/>
      <c r="H134" s="576"/>
      <c r="I134" s="576"/>
      <c r="J134" s="576"/>
      <c r="K134" s="576"/>
      <c r="L134" s="592"/>
      <c r="M134" s="508"/>
      <c r="N134" s="477"/>
      <c r="O134" s="592"/>
      <c r="P134" s="702"/>
      <c r="Q134" s="702"/>
      <c r="R134" s="702"/>
      <c r="S134" s="576"/>
      <c r="T134" s="576"/>
      <c r="U134" s="576"/>
      <c r="V134" s="576"/>
      <c r="W134" s="592"/>
      <c r="X134" s="592"/>
      <c r="Y134" s="592"/>
      <c r="Z134" s="592"/>
      <c r="AA134" s="592"/>
      <c r="AB134" s="592"/>
      <c r="AC134" s="592"/>
      <c r="AD134" s="592"/>
      <c r="AE134" s="592"/>
      <c r="AF134" s="592"/>
      <c r="AG134" s="592"/>
      <c r="AH134" s="592"/>
      <c r="AI134" s="592"/>
      <c r="AJ134" s="592"/>
      <c r="AK134" s="592"/>
      <c r="AL134" s="592"/>
      <c r="AM134" s="592"/>
      <c r="AN134" s="592"/>
      <c r="AO134" s="592"/>
      <c r="AP134" s="592"/>
      <c r="AQ134" s="592"/>
      <c r="AR134" s="592"/>
      <c r="AS134" s="592"/>
      <c r="AT134" s="592"/>
      <c r="AU134" s="592"/>
      <c r="AV134" s="592"/>
      <c r="AW134" s="592"/>
      <c r="AX134" s="592"/>
      <c r="AY134" s="592"/>
      <c r="AZ134" s="592"/>
      <c r="BA134" s="592"/>
      <c r="BB134" s="592"/>
      <c r="BC134" s="592"/>
      <c r="BD134" s="592"/>
      <c r="BE134" s="592"/>
      <c r="BF134" s="592"/>
      <c r="BG134" s="592"/>
      <c r="BH134" s="592"/>
      <c r="BI134" s="592"/>
      <c r="BJ134" s="592"/>
      <c r="BK134" s="592"/>
      <c r="BL134" s="592"/>
      <c r="BM134" s="592"/>
      <c r="BN134" s="592"/>
      <c r="BO134" s="592"/>
      <c r="BP134" s="592"/>
      <c r="BQ134" s="592"/>
      <c r="BR134" s="592"/>
      <c r="BS134" s="592"/>
      <c r="BT134" s="592"/>
      <c r="BU134" s="592"/>
      <c r="BV134" s="592"/>
      <c r="BW134" s="592"/>
      <c r="BX134" s="592"/>
      <c r="BY134" s="592"/>
      <c r="BZ134" s="592"/>
      <c r="CA134" s="592"/>
      <c r="CB134" s="592"/>
      <c r="CC134" s="592"/>
      <c r="CD134" s="592"/>
      <c r="CE134" s="592"/>
      <c r="CF134" s="592"/>
      <c r="CG134" s="592"/>
      <c r="CH134" s="592"/>
      <c r="CI134" s="592"/>
      <c r="CJ134" s="592"/>
      <c r="CK134" s="592"/>
      <c r="CL134" s="592"/>
      <c r="CM134" s="592"/>
      <c r="CN134" s="592"/>
      <c r="CO134" s="592"/>
      <c r="CP134" s="592"/>
      <c r="CQ134" s="592"/>
      <c r="CR134" s="592"/>
      <c r="CS134" s="592"/>
      <c r="CT134" s="592"/>
      <c r="CU134" s="592"/>
      <c r="CV134" s="592"/>
      <c r="CW134" s="592"/>
      <c r="CX134" s="592"/>
    </row>
    <row r="135" spans="1:102" s="658" customFormat="1" hidden="1">
      <c r="A135" s="655"/>
      <c r="B135" s="656"/>
      <c r="C135" s="537"/>
      <c r="D135" s="545"/>
      <c r="E135" s="554"/>
      <c r="F135" s="573" t="s">
        <v>186</v>
      </c>
      <c r="G135" s="655"/>
      <c r="H135" s="657" t="e">
        <f>#REF!</f>
        <v>#REF!</v>
      </c>
      <c r="I135" s="657" t="e">
        <f>#REF!</f>
        <v>#REF!</v>
      </c>
      <c r="J135" s="657" t="e">
        <f>#REF!</f>
        <v>#REF!</v>
      </c>
      <c r="K135" s="657" t="e">
        <f t="shared" ref="K135:K141" si="21">SUM(H135:J135)</f>
        <v>#REF!</v>
      </c>
      <c r="M135" s="656"/>
      <c r="N135" s="473"/>
      <c r="O135" s="545"/>
      <c r="P135" s="702"/>
      <c r="Q135" s="702" t="s">
        <v>186</v>
      </c>
      <c r="R135" s="711"/>
      <c r="S135" s="657" t="e">
        <f>#REF!</f>
        <v>#REF!</v>
      </c>
      <c r="T135" s="657" t="e">
        <f>#REF!</f>
        <v>#REF!</v>
      </c>
      <c r="U135" s="657" t="e">
        <f>#REF!</f>
        <v>#REF!</v>
      </c>
      <c r="V135" s="657" t="e">
        <f t="shared" ref="V135:V141" si="22">SUM(S135:U135)</f>
        <v>#REF!</v>
      </c>
    </row>
    <row r="136" spans="1:102" s="658" customFormat="1" hidden="1">
      <c r="A136" s="655"/>
      <c r="B136" s="656"/>
      <c r="C136" s="537"/>
      <c r="D136" s="545"/>
      <c r="E136" s="554"/>
      <c r="F136" s="573" t="s">
        <v>187</v>
      </c>
      <c r="G136" s="655"/>
      <c r="H136" s="657" t="e">
        <f>#REF!</f>
        <v>#REF!</v>
      </c>
      <c r="I136" s="657" t="e">
        <f>#REF!</f>
        <v>#REF!</v>
      </c>
      <c r="J136" s="657" t="e">
        <f>#REF!</f>
        <v>#REF!</v>
      </c>
      <c r="K136" s="657" t="e">
        <f t="shared" si="21"/>
        <v>#REF!</v>
      </c>
      <c r="M136" s="656"/>
      <c r="N136" s="473"/>
      <c r="O136" s="545"/>
      <c r="P136" s="702"/>
      <c r="Q136" s="702" t="s">
        <v>187</v>
      </c>
      <c r="R136" s="711"/>
      <c r="S136" s="657" t="e">
        <f>#REF!</f>
        <v>#REF!</v>
      </c>
      <c r="T136" s="657" t="e">
        <f>#REF!</f>
        <v>#REF!</v>
      </c>
      <c r="U136" s="657" t="e">
        <f>#REF!</f>
        <v>#REF!</v>
      </c>
      <c r="V136" s="657" t="e">
        <f t="shared" si="22"/>
        <v>#REF!</v>
      </c>
    </row>
    <row r="137" spans="1:102" s="658" customFormat="1" hidden="1">
      <c r="A137" s="655"/>
      <c r="B137" s="656"/>
      <c r="C137" s="537"/>
      <c r="D137" s="545"/>
      <c r="E137" s="554"/>
      <c r="F137" s="573" t="s">
        <v>188</v>
      </c>
      <c r="G137" s="655"/>
      <c r="H137" s="657" t="e">
        <f>#REF!</f>
        <v>#REF!</v>
      </c>
      <c r="I137" s="657" t="e">
        <f>#REF!</f>
        <v>#REF!</v>
      </c>
      <c r="J137" s="657" t="e">
        <f>#REF!</f>
        <v>#REF!</v>
      </c>
      <c r="K137" s="657" t="e">
        <f t="shared" si="21"/>
        <v>#REF!</v>
      </c>
      <c r="M137" s="656"/>
      <c r="N137" s="473"/>
      <c r="O137" s="545"/>
      <c r="P137" s="702"/>
      <c r="Q137" s="702" t="s">
        <v>188</v>
      </c>
      <c r="R137" s="711"/>
      <c r="S137" s="657" t="e">
        <f>#REF!</f>
        <v>#REF!</v>
      </c>
      <c r="T137" s="657" t="e">
        <f>#REF!</f>
        <v>#REF!</v>
      </c>
      <c r="U137" s="657" t="e">
        <f>#REF!</f>
        <v>#REF!</v>
      </c>
      <c r="V137" s="657" t="e">
        <f t="shared" si="22"/>
        <v>#REF!</v>
      </c>
    </row>
    <row r="138" spans="1:102" s="658" customFormat="1" hidden="1">
      <c r="A138" s="655"/>
      <c r="B138" s="656"/>
      <c r="C138" s="537"/>
      <c r="D138" s="545"/>
      <c r="E138" s="554"/>
      <c r="F138" s="573" t="s">
        <v>189</v>
      </c>
      <c r="G138" s="655"/>
      <c r="H138" s="657" t="e">
        <f>#REF!</f>
        <v>#REF!</v>
      </c>
      <c r="I138" s="657" t="e">
        <f>#REF!</f>
        <v>#REF!</v>
      </c>
      <c r="J138" s="657" t="e">
        <f>#REF!</f>
        <v>#REF!</v>
      </c>
      <c r="K138" s="657" t="e">
        <f t="shared" si="21"/>
        <v>#REF!</v>
      </c>
      <c r="M138" s="656"/>
      <c r="N138" s="473"/>
      <c r="O138" s="545"/>
      <c r="P138" s="702"/>
      <c r="Q138" s="702" t="s">
        <v>189</v>
      </c>
      <c r="R138" s="711"/>
      <c r="S138" s="657" t="e">
        <f>#REF!</f>
        <v>#REF!</v>
      </c>
      <c r="T138" s="657" t="e">
        <f>#REF!</f>
        <v>#REF!</v>
      </c>
      <c r="U138" s="657" t="e">
        <f>#REF!</f>
        <v>#REF!</v>
      </c>
      <c r="V138" s="657" t="e">
        <f t="shared" si="22"/>
        <v>#REF!</v>
      </c>
    </row>
    <row r="139" spans="1:102" s="658" customFormat="1" hidden="1">
      <c r="A139" s="655"/>
      <c r="B139" s="656"/>
      <c r="C139" s="537"/>
      <c r="D139" s="545"/>
      <c r="E139" s="554"/>
      <c r="F139" s="573" t="s">
        <v>190</v>
      </c>
      <c r="G139" s="655"/>
      <c r="H139" s="657" t="e">
        <f>#REF!</f>
        <v>#REF!</v>
      </c>
      <c r="I139" s="657" t="e">
        <f>#REF!</f>
        <v>#REF!</v>
      </c>
      <c r="J139" s="657" t="e">
        <f>#REF!</f>
        <v>#REF!</v>
      </c>
      <c r="K139" s="657" t="e">
        <f t="shared" si="21"/>
        <v>#REF!</v>
      </c>
      <c r="M139" s="656"/>
      <c r="N139" s="473"/>
      <c r="O139" s="545"/>
      <c r="P139" s="702"/>
      <c r="Q139" s="702" t="s">
        <v>190</v>
      </c>
      <c r="R139" s="711"/>
      <c r="S139" s="657" t="e">
        <f>#REF!</f>
        <v>#REF!</v>
      </c>
      <c r="T139" s="657" t="e">
        <f>#REF!</f>
        <v>#REF!</v>
      </c>
      <c r="U139" s="657" t="e">
        <f>#REF!</f>
        <v>#REF!</v>
      </c>
      <c r="V139" s="657" t="e">
        <f t="shared" si="22"/>
        <v>#REF!</v>
      </c>
    </row>
    <row r="140" spans="1:102" s="658" customFormat="1" hidden="1">
      <c r="A140" s="655"/>
      <c r="B140" s="656"/>
      <c r="C140" s="537"/>
      <c r="D140" s="545"/>
      <c r="E140" s="554"/>
      <c r="F140" s="573" t="s">
        <v>191</v>
      </c>
      <c r="G140" s="655"/>
      <c r="H140" s="657" t="e">
        <f>#REF!</f>
        <v>#REF!</v>
      </c>
      <c r="I140" s="657" t="e">
        <f>#REF!</f>
        <v>#REF!</v>
      </c>
      <c r="J140" s="657" t="e">
        <f>#REF!</f>
        <v>#REF!</v>
      </c>
      <c r="K140" s="657" t="e">
        <f t="shared" si="21"/>
        <v>#REF!</v>
      </c>
      <c r="M140" s="656"/>
      <c r="N140" s="473"/>
      <c r="O140" s="545"/>
      <c r="P140" s="702"/>
      <c r="Q140" s="702" t="s">
        <v>191</v>
      </c>
      <c r="R140" s="711"/>
      <c r="S140" s="657" t="e">
        <f>#REF!</f>
        <v>#REF!</v>
      </c>
      <c r="T140" s="657" t="e">
        <f>#REF!</f>
        <v>#REF!</v>
      </c>
      <c r="U140" s="657" t="e">
        <f>#REF!</f>
        <v>#REF!</v>
      </c>
      <c r="V140" s="657" t="e">
        <f t="shared" si="22"/>
        <v>#REF!</v>
      </c>
    </row>
    <row r="141" spans="1:102" s="658" customFormat="1" hidden="1">
      <c r="A141" s="655"/>
      <c r="B141" s="656"/>
      <c r="C141" s="537"/>
      <c r="D141" s="545"/>
      <c r="E141" s="554"/>
      <c r="F141" s="573" t="s">
        <v>192</v>
      </c>
      <c r="G141" s="655"/>
      <c r="H141" s="657" t="e">
        <f>#REF!</f>
        <v>#REF!</v>
      </c>
      <c r="I141" s="657" t="e">
        <f>#REF!</f>
        <v>#REF!</v>
      </c>
      <c r="J141" s="657" t="e">
        <f>#REF!</f>
        <v>#REF!</v>
      </c>
      <c r="K141" s="657" t="e">
        <f t="shared" si="21"/>
        <v>#REF!</v>
      </c>
      <c r="M141" s="656"/>
      <c r="N141" s="473"/>
      <c r="O141" s="545"/>
      <c r="P141" s="702"/>
      <c r="Q141" s="702" t="s">
        <v>192</v>
      </c>
      <c r="R141" s="711"/>
      <c r="S141" s="657" t="e">
        <f>#REF!</f>
        <v>#REF!</v>
      </c>
      <c r="T141" s="657" t="e">
        <f>#REF!</f>
        <v>#REF!</v>
      </c>
      <c r="U141" s="657" t="e">
        <f>#REF!</f>
        <v>#REF!</v>
      </c>
      <c r="V141" s="657" t="e">
        <f t="shared" si="22"/>
        <v>#REF!</v>
      </c>
    </row>
    <row r="142" spans="1:102" s="658" customFormat="1" ht="24" hidden="1" thickBot="1">
      <c r="A142" s="655"/>
      <c r="B142" s="656"/>
      <c r="C142" s="537"/>
      <c r="D142" s="545"/>
      <c r="E142" s="554"/>
      <c r="F142" s="573" t="s">
        <v>193</v>
      </c>
      <c r="G142" s="655"/>
      <c r="H142" s="659" t="e">
        <f>SUM(H135:H141)</f>
        <v>#REF!</v>
      </c>
      <c r="I142" s="659" t="e">
        <f>SUM(I135:I141)</f>
        <v>#REF!</v>
      </c>
      <c r="J142" s="659" t="e">
        <f>SUM(J135:J141)</f>
        <v>#REF!</v>
      </c>
      <c r="K142" s="659" t="e">
        <f>SUM(K135:K141)</f>
        <v>#REF!</v>
      </c>
      <c r="M142" s="656"/>
      <c r="N142" s="473"/>
      <c r="O142" s="545"/>
      <c r="P142" s="702"/>
      <c r="Q142" s="702" t="s">
        <v>193</v>
      </c>
      <c r="R142" s="711"/>
      <c r="S142" s="659" t="e">
        <f>SUM(S135:S141)</f>
        <v>#REF!</v>
      </c>
      <c r="T142" s="659" t="e">
        <f>SUM(T135:T141)</f>
        <v>#REF!</v>
      </c>
      <c r="U142" s="659" t="e">
        <f>SUM(U135:U141)</f>
        <v>#REF!</v>
      </c>
      <c r="V142" s="659" t="e">
        <f>SUM(V135:V141)</f>
        <v>#REF!</v>
      </c>
    </row>
    <row r="143" spans="1:102" s="658" customFormat="1" hidden="1">
      <c r="A143" s="655"/>
      <c r="B143" s="656"/>
      <c r="C143" s="537"/>
      <c r="D143" s="545"/>
      <c r="E143" s="554"/>
      <c r="F143" s="655" t="s">
        <v>194</v>
      </c>
      <c r="G143" s="655"/>
      <c r="H143" s="657" t="e">
        <f>+H142-#REF!</f>
        <v>#REF!</v>
      </c>
      <c r="I143" s="657" t="e">
        <f>+I142-#REF!</f>
        <v>#REF!</v>
      </c>
      <c r="J143" s="657" t="e">
        <f>+J142-#REF!</f>
        <v>#REF!</v>
      </c>
      <c r="K143" s="655" t="e">
        <f>+K142-(+#REF!+#REF!+#REF!+#REF!+#REF!)</f>
        <v>#REF!</v>
      </c>
      <c r="M143" s="656"/>
      <c r="N143" s="473"/>
      <c r="O143" s="545"/>
      <c r="P143" s="702"/>
      <c r="Q143" s="711" t="s">
        <v>194</v>
      </c>
      <c r="R143" s="711"/>
      <c r="S143" s="657" t="e">
        <f>+S142-#REF!</f>
        <v>#REF!</v>
      </c>
      <c r="T143" s="657" t="e">
        <f>+T142-#REF!</f>
        <v>#REF!</v>
      </c>
      <c r="U143" s="657" t="e">
        <f>+U142-#REF!</f>
        <v>#REF!</v>
      </c>
      <c r="V143" s="655" t="e">
        <f>+V142-(+#REF!+#REF!+#REF!+#REF!+#REF!)</f>
        <v>#REF!</v>
      </c>
    </row>
    <row r="144" spans="1:102" s="658" customFormat="1" hidden="1">
      <c r="A144" s="655"/>
      <c r="B144" s="656"/>
      <c r="C144" s="537"/>
      <c r="D144" s="545"/>
      <c r="E144" s="554"/>
      <c r="F144" s="573"/>
      <c r="G144" s="655"/>
      <c r="H144" s="657"/>
      <c r="I144" s="655"/>
      <c r="J144" s="657"/>
      <c r="K144" s="655"/>
      <c r="M144" s="656"/>
      <c r="N144" s="473"/>
      <c r="O144" s="545"/>
      <c r="P144" s="702"/>
      <c r="Q144" s="702"/>
      <c r="R144" s="711"/>
      <c r="S144" s="657"/>
      <c r="T144" s="655"/>
      <c r="U144" s="657"/>
      <c r="V144" s="655"/>
    </row>
    <row r="145" spans="1:22" s="545" customFormat="1" hidden="1">
      <c r="A145" s="537"/>
      <c r="B145" s="500"/>
      <c r="C145" s="537"/>
      <c r="E145" s="658"/>
      <c r="F145" s="655"/>
      <c r="G145" s="660"/>
      <c r="H145" s="660"/>
      <c r="I145" s="660"/>
      <c r="J145" s="660"/>
      <c r="K145" s="655"/>
      <c r="M145" s="500"/>
      <c r="N145" s="473"/>
      <c r="P145" s="711"/>
      <c r="Q145" s="711"/>
      <c r="R145" s="702"/>
      <c r="S145" s="660"/>
      <c r="T145" s="660"/>
      <c r="U145" s="660"/>
      <c r="V145" s="655"/>
    </row>
    <row r="146" spans="1:22" s="545" customFormat="1" hidden="1">
      <c r="A146" s="537"/>
      <c r="B146" s="500"/>
      <c r="C146" s="537"/>
      <c r="F146" s="661"/>
      <c r="G146" s="655"/>
      <c r="H146" s="657"/>
      <c r="I146" s="660"/>
      <c r="J146" s="657"/>
      <c r="K146" s="657"/>
      <c r="M146" s="500"/>
      <c r="N146" s="473"/>
      <c r="P146" s="711"/>
      <c r="Q146" s="702"/>
      <c r="R146" s="711"/>
      <c r="S146" s="657"/>
      <c r="T146" s="660"/>
      <c r="U146" s="657"/>
      <c r="V146" s="657"/>
    </row>
    <row r="147" spans="1:22" s="545" customFormat="1" ht="12" hidden="1" customHeight="1">
      <c r="A147" s="537"/>
      <c r="B147" s="500"/>
      <c r="C147" s="537"/>
      <c r="F147" s="661" t="s">
        <v>195</v>
      </c>
      <c r="G147" s="655"/>
      <c r="H147" s="2254" t="s">
        <v>10</v>
      </c>
      <c r="I147" s="2254"/>
      <c r="J147" s="662" t="s">
        <v>11</v>
      </c>
      <c r="K147" s="663" t="s">
        <v>167</v>
      </c>
      <c r="M147" s="500"/>
      <c r="N147" s="473"/>
      <c r="P147" s="711"/>
      <c r="Q147" s="702" t="s">
        <v>195</v>
      </c>
      <c r="R147" s="711"/>
      <c r="S147" s="2254" t="s">
        <v>10</v>
      </c>
      <c r="T147" s="2254"/>
      <c r="U147" s="662" t="s">
        <v>11</v>
      </c>
      <c r="V147" s="663" t="s">
        <v>167</v>
      </c>
    </row>
    <row r="148" spans="1:22" s="545" customFormat="1" hidden="1">
      <c r="A148" s="537"/>
      <c r="B148" s="500"/>
      <c r="C148" s="537"/>
      <c r="F148" s="573"/>
      <c r="G148" s="655"/>
      <c r="H148" s="664" t="s">
        <v>41</v>
      </c>
      <c r="I148" s="665" t="s">
        <v>159</v>
      </c>
      <c r="J148" s="666" t="s">
        <v>42</v>
      </c>
      <c r="K148" s="664"/>
      <c r="M148" s="500"/>
      <c r="N148" s="473"/>
      <c r="P148" s="711"/>
      <c r="Q148" s="702"/>
      <c r="R148" s="711"/>
      <c r="S148" s="664" t="s">
        <v>41</v>
      </c>
      <c r="T148" s="665" t="s">
        <v>159</v>
      </c>
      <c r="U148" s="666" t="s">
        <v>42</v>
      </c>
      <c r="V148" s="664"/>
    </row>
    <row r="149" spans="1:22" s="658" customFormat="1" hidden="1">
      <c r="A149" s="655"/>
      <c r="B149" s="656"/>
      <c r="C149" s="537"/>
      <c r="D149" s="545"/>
      <c r="E149" s="554"/>
      <c r="F149" s="573" t="s">
        <v>170</v>
      </c>
      <c r="G149" s="655"/>
      <c r="H149" s="657" t="e">
        <f>#REF!</f>
        <v>#REF!</v>
      </c>
      <c r="I149" s="657" t="e">
        <f>#REF!</f>
        <v>#REF!</v>
      </c>
      <c r="J149" s="657" t="e">
        <f>#REF!</f>
        <v>#REF!</v>
      </c>
      <c r="K149" s="657" t="e">
        <f t="shared" ref="K149:K172" si="23">SUM(H149:J149)</f>
        <v>#REF!</v>
      </c>
      <c r="M149" s="656"/>
      <c r="N149" s="473"/>
      <c r="O149" s="545"/>
      <c r="P149" s="702"/>
      <c r="Q149" s="702" t="s">
        <v>170</v>
      </c>
      <c r="R149" s="711"/>
      <c r="S149" s="657" t="e">
        <f>#REF!</f>
        <v>#REF!</v>
      </c>
      <c r="T149" s="657" t="e">
        <f>#REF!</f>
        <v>#REF!</v>
      </c>
      <c r="U149" s="657" t="e">
        <f>#REF!</f>
        <v>#REF!</v>
      </c>
      <c r="V149" s="657" t="e">
        <f t="shared" ref="V149:V172" si="24">SUM(S149:U149)</f>
        <v>#REF!</v>
      </c>
    </row>
    <row r="150" spans="1:22" s="658" customFormat="1" hidden="1">
      <c r="A150" s="655"/>
      <c r="B150" s="656"/>
      <c r="C150" s="537"/>
      <c r="D150" s="545"/>
      <c r="E150" s="554"/>
      <c r="F150" s="573" t="s">
        <v>171</v>
      </c>
      <c r="G150" s="655"/>
      <c r="H150" s="657" t="e">
        <f>#REF!</f>
        <v>#REF!</v>
      </c>
      <c r="I150" s="657" t="e">
        <f>#REF!</f>
        <v>#REF!</v>
      </c>
      <c r="J150" s="657" t="e">
        <f>#REF!</f>
        <v>#REF!</v>
      </c>
      <c r="K150" s="657" t="e">
        <f t="shared" si="23"/>
        <v>#REF!</v>
      </c>
      <c r="M150" s="656"/>
      <c r="N150" s="473"/>
      <c r="O150" s="545"/>
      <c r="P150" s="702"/>
      <c r="Q150" s="702" t="s">
        <v>171</v>
      </c>
      <c r="R150" s="711"/>
      <c r="S150" s="657" t="e">
        <f>#REF!</f>
        <v>#REF!</v>
      </c>
      <c r="T150" s="657" t="e">
        <f>#REF!</f>
        <v>#REF!</v>
      </c>
      <c r="U150" s="657" t="e">
        <f>#REF!</f>
        <v>#REF!</v>
      </c>
      <c r="V150" s="657" t="e">
        <f t="shared" si="24"/>
        <v>#REF!</v>
      </c>
    </row>
    <row r="151" spans="1:22" s="658" customFormat="1" hidden="1">
      <c r="A151" s="655"/>
      <c r="B151" s="667"/>
      <c r="C151" s="655"/>
      <c r="E151" s="554"/>
      <c r="F151" s="573" t="s">
        <v>172</v>
      </c>
      <c r="G151" s="655"/>
      <c r="H151" s="657" t="e">
        <f>#REF!</f>
        <v>#REF!</v>
      </c>
      <c r="I151" s="657" t="e">
        <f>#REF!</f>
        <v>#REF!</v>
      </c>
      <c r="J151" s="657" t="e">
        <f>#REF!</f>
        <v>#REF!</v>
      </c>
      <c r="K151" s="657" t="e">
        <f t="shared" si="23"/>
        <v>#REF!</v>
      </c>
      <c r="M151" s="667"/>
      <c r="N151" s="485"/>
      <c r="P151" s="702"/>
      <c r="Q151" s="702" t="s">
        <v>172</v>
      </c>
      <c r="R151" s="711"/>
      <c r="S151" s="657" t="e">
        <f>#REF!</f>
        <v>#REF!</v>
      </c>
      <c r="T151" s="657" t="e">
        <f>#REF!</f>
        <v>#REF!</v>
      </c>
      <c r="U151" s="657" t="e">
        <f>#REF!</f>
        <v>#REF!</v>
      </c>
      <c r="V151" s="657" t="e">
        <f t="shared" si="24"/>
        <v>#REF!</v>
      </c>
    </row>
    <row r="152" spans="1:22" s="658" customFormat="1" hidden="1">
      <c r="A152" s="655"/>
      <c r="B152" s="667"/>
      <c r="C152" s="655"/>
      <c r="E152" s="554"/>
      <c r="F152" s="573" t="s">
        <v>173</v>
      </c>
      <c r="G152" s="655"/>
      <c r="H152" s="657" t="e">
        <f>#REF!</f>
        <v>#REF!</v>
      </c>
      <c r="I152" s="657" t="e">
        <f>#REF!</f>
        <v>#REF!</v>
      </c>
      <c r="J152" s="657" t="e">
        <f>#REF!</f>
        <v>#REF!</v>
      </c>
      <c r="K152" s="657" t="e">
        <f t="shared" si="23"/>
        <v>#REF!</v>
      </c>
      <c r="M152" s="667"/>
      <c r="N152" s="485"/>
      <c r="P152" s="702"/>
      <c r="Q152" s="702" t="s">
        <v>173</v>
      </c>
      <c r="R152" s="711"/>
      <c r="S152" s="657" t="e">
        <f>#REF!</f>
        <v>#REF!</v>
      </c>
      <c r="T152" s="657" t="e">
        <f>#REF!</f>
        <v>#REF!</v>
      </c>
      <c r="U152" s="657" t="e">
        <f>#REF!</f>
        <v>#REF!</v>
      </c>
      <c r="V152" s="657" t="e">
        <f t="shared" si="24"/>
        <v>#REF!</v>
      </c>
    </row>
    <row r="153" spans="1:22" s="658" customFormat="1" hidden="1">
      <c r="A153" s="655"/>
      <c r="B153" s="667"/>
      <c r="C153" s="655"/>
      <c r="E153" s="554"/>
      <c r="F153" s="573" t="s">
        <v>174</v>
      </c>
      <c r="G153" s="655"/>
      <c r="H153" s="657" t="e">
        <f>#REF!</f>
        <v>#REF!</v>
      </c>
      <c r="I153" s="657" t="e">
        <f>#REF!</f>
        <v>#REF!</v>
      </c>
      <c r="J153" s="657" t="e">
        <f>#REF!</f>
        <v>#REF!</v>
      </c>
      <c r="K153" s="657" t="e">
        <f t="shared" si="23"/>
        <v>#REF!</v>
      </c>
      <c r="M153" s="667"/>
      <c r="N153" s="485"/>
      <c r="P153" s="702"/>
      <c r="Q153" s="702" t="s">
        <v>174</v>
      </c>
      <c r="R153" s="711"/>
      <c r="S153" s="657" t="e">
        <f>#REF!</f>
        <v>#REF!</v>
      </c>
      <c r="T153" s="657" t="e">
        <f>#REF!</f>
        <v>#REF!</v>
      </c>
      <c r="U153" s="657" t="e">
        <f>#REF!</f>
        <v>#REF!</v>
      </c>
      <c r="V153" s="657" t="e">
        <f t="shared" si="24"/>
        <v>#REF!</v>
      </c>
    </row>
    <row r="154" spans="1:22" s="658" customFormat="1" hidden="1">
      <c r="A154" s="655"/>
      <c r="B154" s="656"/>
      <c r="C154" s="537"/>
      <c r="D154" s="545"/>
      <c r="E154" s="554"/>
      <c r="F154" s="573" t="s">
        <v>175</v>
      </c>
      <c r="G154" s="655"/>
      <c r="H154" s="657" t="e">
        <f>#REF!</f>
        <v>#REF!</v>
      </c>
      <c r="I154" s="657" t="e">
        <f>#REF!</f>
        <v>#REF!</v>
      </c>
      <c r="J154" s="657" t="e">
        <f>#REF!</f>
        <v>#REF!</v>
      </c>
      <c r="K154" s="657" t="e">
        <f t="shared" si="23"/>
        <v>#REF!</v>
      </c>
      <c r="M154" s="656"/>
      <c r="N154" s="473"/>
      <c r="O154" s="545"/>
      <c r="P154" s="702"/>
      <c r="Q154" s="702" t="s">
        <v>175</v>
      </c>
      <c r="R154" s="711"/>
      <c r="S154" s="657" t="e">
        <f>#REF!</f>
        <v>#REF!</v>
      </c>
      <c r="T154" s="657" t="e">
        <f>#REF!</f>
        <v>#REF!</v>
      </c>
      <c r="U154" s="657" t="e">
        <f>#REF!</f>
        <v>#REF!</v>
      </c>
      <c r="V154" s="657" t="e">
        <f t="shared" si="24"/>
        <v>#REF!</v>
      </c>
    </row>
    <row r="155" spans="1:22" s="658" customFormat="1" hidden="1">
      <c r="A155" s="655"/>
      <c r="B155" s="656"/>
      <c r="C155" s="537"/>
      <c r="D155" s="545"/>
      <c r="F155" s="573" t="s">
        <v>176</v>
      </c>
      <c r="G155" s="655"/>
      <c r="H155" s="657" t="e">
        <f>#REF!</f>
        <v>#REF!</v>
      </c>
      <c r="I155" s="657" t="e">
        <f>#REF!</f>
        <v>#REF!</v>
      </c>
      <c r="J155" s="657" t="e">
        <f>#REF!</f>
        <v>#REF!</v>
      </c>
      <c r="K155" s="657" t="e">
        <f t="shared" si="23"/>
        <v>#REF!</v>
      </c>
      <c r="M155" s="656"/>
      <c r="N155" s="473"/>
      <c r="O155" s="545"/>
      <c r="P155" s="711"/>
      <c r="Q155" s="702" t="s">
        <v>176</v>
      </c>
      <c r="R155" s="711"/>
      <c r="S155" s="657" t="e">
        <f>#REF!</f>
        <v>#REF!</v>
      </c>
      <c r="T155" s="657" t="e">
        <f>#REF!</f>
        <v>#REF!</v>
      </c>
      <c r="U155" s="657" t="e">
        <f>#REF!</f>
        <v>#REF!</v>
      </c>
      <c r="V155" s="657" t="e">
        <f t="shared" si="24"/>
        <v>#REF!</v>
      </c>
    </row>
    <row r="156" spans="1:22" s="658" customFormat="1" hidden="1">
      <c r="A156" s="655"/>
      <c r="B156" s="667"/>
      <c r="C156" s="655"/>
      <c r="E156" s="554"/>
      <c r="F156" s="573" t="s">
        <v>177</v>
      </c>
      <c r="G156" s="655"/>
      <c r="H156" s="657" t="e">
        <f>#REF!</f>
        <v>#REF!</v>
      </c>
      <c r="I156" s="657" t="e">
        <f>#REF!</f>
        <v>#REF!</v>
      </c>
      <c r="J156" s="657" t="e">
        <f>#REF!</f>
        <v>#REF!</v>
      </c>
      <c r="K156" s="657" t="e">
        <f t="shared" si="23"/>
        <v>#REF!</v>
      </c>
      <c r="M156" s="667"/>
      <c r="N156" s="485"/>
      <c r="P156" s="702"/>
      <c r="Q156" s="702" t="s">
        <v>177</v>
      </c>
      <c r="R156" s="711"/>
      <c r="S156" s="657" t="e">
        <f>#REF!</f>
        <v>#REF!</v>
      </c>
      <c r="T156" s="657" t="e">
        <f>#REF!</f>
        <v>#REF!</v>
      </c>
      <c r="U156" s="657" t="e">
        <f>#REF!</f>
        <v>#REF!</v>
      </c>
      <c r="V156" s="657" t="e">
        <f t="shared" si="24"/>
        <v>#REF!</v>
      </c>
    </row>
    <row r="157" spans="1:22" s="658" customFormat="1" hidden="1">
      <c r="A157" s="655"/>
      <c r="B157" s="667"/>
      <c r="C157" s="655"/>
      <c r="F157" s="573" t="s">
        <v>178</v>
      </c>
      <c r="G157" s="655"/>
      <c r="H157" s="657" t="e">
        <f>#REF!</f>
        <v>#REF!</v>
      </c>
      <c r="I157" s="657" t="e">
        <f>#REF!</f>
        <v>#REF!</v>
      </c>
      <c r="J157" s="657" t="e">
        <f>#REF!</f>
        <v>#REF!</v>
      </c>
      <c r="K157" s="657" t="e">
        <f t="shared" si="23"/>
        <v>#REF!</v>
      </c>
      <c r="M157" s="667"/>
      <c r="N157" s="485"/>
      <c r="P157" s="711"/>
      <c r="Q157" s="702" t="s">
        <v>178</v>
      </c>
      <c r="R157" s="711"/>
      <c r="S157" s="657" t="e">
        <f>#REF!</f>
        <v>#REF!</v>
      </c>
      <c r="T157" s="657" t="e">
        <f>#REF!</f>
        <v>#REF!</v>
      </c>
      <c r="U157" s="657" t="e">
        <f>#REF!</f>
        <v>#REF!</v>
      </c>
      <c r="V157" s="657" t="e">
        <f t="shared" si="24"/>
        <v>#REF!</v>
      </c>
    </row>
    <row r="158" spans="1:22" s="658" customFormat="1" hidden="1">
      <c r="A158" s="655"/>
      <c r="B158" s="667"/>
      <c r="C158" s="655"/>
      <c r="F158" s="573" t="s">
        <v>179</v>
      </c>
      <c r="G158" s="655"/>
      <c r="H158" s="657" t="e">
        <f>#REF!</f>
        <v>#REF!</v>
      </c>
      <c r="I158" s="657" t="e">
        <f>#REF!</f>
        <v>#REF!</v>
      </c>
      <c r="J158" s="657" t="e">
        <f>#REF!</f>
        <v>#REF!</v>
      </c>
      <c r="K158" s="657" t="e">
        <f t="shared" si="23"/>
        <v>#REF!</v>
      </c>
      <c r="M158" s="667"/>
      <c r="N158" s="485"/>
      <c r="P158" s="711"/>
      <c r="Q158" s="702" t="s">
        <v>179</v>
      </c>
      <c r="R158" s="711"/>
      <c r="S158" s="657" t="e">
        <f>#REF!</f>
        <v>#REF!</v>
      </c>
      <c r="T158" s="657" t="e">
        <f>#REF!</f>
        <v>#REF!</v>
      </c>
      <c r="U158" s="657" t="e">
        <f>#REF!</f>
        <v>#REF!</v>
      </c>
      <c r="V158" s="657" t="e">
        <f t="shared" si="24"/>
        <v>#REF!</v>
      </c>
    </row>
    <row r="159" spans="1:22" s="658" customFormat="1" hidden="1">
      <c r="A159" s="655"/>
      <c r="B159" s="656"/>
      <c r="C159" s="537"/>
      <c r="D159" s="545"/>
      <c r="E159" s="554"/>
      <c r="F159" s="573" t="s">
        <v>180</v>
      </c>
      <c r="G159" s="655"/>
      <c r="H159" s="657" t="e">
        <f>#REF!</f>
        <v>#REF!</v>
      </c>
      <c r="I159" s="657" t="e">
        <f>#REF!</f>
        <v>#REF!</v>
      </c>
      <c r="J159" s="657" t="e">
        <f>#REF!</f>
        <v>#REF!</v>
      </c>
      <c r="K159" s="657" t="e">
        <f t="shared" si="23"/>
        <v>#REF!</v>
      </c>
      <c r="M159" s="656"/>
      <c r="N159" s="473"/>
      <c r="O159" s="545"/>
      <c r="P159" s="702"/>
      <c r="Q159" s="702" t="s">
        <v>180</v>
      </c>
      <c r="R159" s="711"/>
      <c r="S159" s="657" t="e">
        <f>#REF!</f>
        <v>#REF!</v>
      </c>
      <c r="T159" s="657" t="e">
        <f>#REF!</f>
        <v>#REF!</v>
      </c>
      <c r="U159" s="657" t="e">
        <f>#REF!</f>
        <v>#REF!</v>
      </c>
      <c r="V159" s="657" t="e">
        <f t="shared" si="24"/>
        <v>#REF!</v>
      </c>
    </row>
    <row r="160" spans="1:22" s="658" customFormat="1" hidden="1">
      <c r="A160" s="655"/>
      <c r="B160" s="656"/>
      <c r="C160" s="537"/>
      <c r="D160" s="545"/>
      <c r="E160" s="554"/>
      <c r="F160" s="573" t="s">
        <v>117</v>
      </c>
      <c r="G160" s="655"/>
      <c r="H160" s="657" t="e">
        <f>#REF!</f>
        <v>#REF!</v>
      </c>
      <c r="I160" s="657" t="e">
        <f>#REF!</f>
        <v>#REF!</v>
      </c>
      <c r="J160" s="657" t="e">
        <f>#REF!</f>
        <v>#REF!</v>
      </c>
      <c r="K160" s="657" t="e">
        <f t="shared" si="23"/>
        <v>#REF!</v>
      </c>
      <c r="M160" s="656"/>
      <c r="N160" s="473"/>
      <c r="O160" s="545"/>
      <c r="P160" s="702"/>
      <c r="Q160" s="702" t="s">
        <v>117</v>
      </c>
      <c r="R160" s="711"/>
      <c r="S160" s="657" t="e">
        <f>#REF!</f>
        <v>#REF!</v>
      </c>
      <c r="T160" s="657" t="e">
        <f>#REF!</f>
        <v>#REF!</v>
      </c>
      <c r="U160" s="657" t="e">
        <f>#REF!</f>
        <v>#REF!</v>
      </c>
      <c r="V160" s="657" t="e">
        <f t="shared" si="24"/>
        <v>#REF!</v>
      </c>
    </row>
    <row r="161" spans="1:22" s="658" customFormat="1" hidden="1">
      <c r="A161" s="655"/>
      <c r="B161" s="656"/>
      <c r="C161" s="537"/>
      <c r="D161" s="545"/>
      <c r="E161" s="554"/>
      <c r="F161" s="573" t="s">
        <v>181</v>
      </c>
      <c r="G161" s="655"/>
      <c r="H161" s="657" t="e">
        <f>#REF!</f>
        <v>#REF!</v>
      </c>
      <c r="I161" s="657" t="e">
        <f>#REF!</f>
        <v>#REF!</v>
      </c>
      <c r="J161" s="657" t="e">
        <f>#REF!</f>
        <v>#REF!</v>
      </c>
      <c r="K161" s="657" t="e">
        <f t="shared" si="23"/>
        <v>#REF!</v>
      </c>
      <c r="M161" s="656"/>
      <c r="N161" s="473"/>
      <c r="O161" s="545"/>
      <c r="P161" s="702"/>
      <c r="Q161" s="702" t="s">
        <v>181</v>
      </c>
      <c r="R161" s="711"/>
      <c r="S161" s="657" t="e">
        <f>#REF!</f>
        <v>#REF!</v>
      </c>
      <c r="T161" s="657" t="e">
        <f>#REF!</f>
        <v>#REF!</v>
      </c>
      <c r="U161" s="657" t="e">
        <f>#REF!</f>
        <v>#REF!</v>
      </c>
      <c r="V161" s="657" t="e">
        <f t="shared" si="24"/>
        <v>#REF!</v>
      </c>
    </row>
    <row r="162" spans="1:22" s="658" customFormat="1" hidden="1">
      <c r="A162" s="655"/>
      <c r="B162" s="656"/>
      <c r="C162" s="537"/>
      <c r="D162" s="545"/>
      <c r="E162" s="602"/>
      <c r="F162" s="573" t="s">
        <v>182</v>
      </c>
      <c r="G162" s="655"/>
      <c r="H162" s="657" t="e">
        <f>#REF!</f>
        <v>#REF!</v>
      </c>
      <c r="I162" s="657" t="e">
        <f>#REF!</f>
        <v>#REF!</v>
      </c>
      <c r="J162" s="657" t="e">
        <f>#REF!</f>
        <v>#REF!</v>
      </c>
      <c r="K162" s="657" t="e">
        <f t="shared" si="23"/>
        <v>#REF!</v>
      </c>
      <c r="M162" s="656"/>
      <c r="N162" s="473"/>
      <c r="O162" s="545"/>
      <c r="P162" s="702"/>
      <c r="Q162" s="702" t="s">
        <v>182</v>
      </c>
      <c r="R162" s="711"/>
      <c r="S162" s="657" t="e">
        <f>#REF!</f>
        <v>#REF!</v>
      </c>
      <c r="T162" s="657" t="e">
        <f>#REF!</f>
        <v>#REF!</v>
      </c>
      <c r="U162" s="657" t="e">
        <f>#REF!</f>
        <v>#REF!</v>
      </c>
      <c r="V162" s="657" t="e">
        <f t="shared" si="24"/>
        <v>#REF!</v>
      </c>
    </row>
    <row r="163" spans="1:22" s="658" customFormat="1" hidden="1">
      <c r="A163" s="655"/>
      <c r="B163" s="656"/>
      <c r="C163" s="537"/>
      <c r="D163" s="545"/>
      <c r="E163" s="554"/>
      <c r="F163" s="573" t="s">
        <v>183</v>
      </c>
      <c r="G163" s="655"/>
      <c r="H163" s="657" t="e">
        <f>#REF!</f>
        <v>#REF!</v>
      </c>
      <c r="I163" s="657" t="e">
        <f>#REF!</f>
        <v>#REF!</v>
      </c>
      <c r="J163" s="657" t="e">
        <f>#REF!</f>
        <v>#REF!</v>
      </c>
      <c r="K163" s="657" t="e">
        <f t="shared" si="23"/>
        <v>#REF!</v>
      </c>
      <c r="M163" s="656"/>
      <c r="N163" s="473"/>
      <c r="O163" s="545"/>
      <c r="P163" s="702"/>
      <c r="Q163" s="702" t="s">
        <v>183</v>
      </c>
      <c r="R163" s="711"/>
      <c r="S163" s="657" t="e">
        <f>#REF!</f>
        <v>#REF!</v>
      </c>
      <c r="T163" s="657" t="e">
        <f>#REF!</f>
        <v>#REF!</v>
      </c>
      <c r="U163" s="657" t="e">
        <f>#REF!</f>
        <v>#REF!</v>
      </c>
      <c r="V163" s="657" t="e">
        <f t="shared" si="24"/>
        <v>#REF!</v>
      </c>
    </row>
    <row r="164" spans="1:22" s="658" customFormat="1" hidden="1">
      <c r="A164" s="655"/>
      <c r="B164" s="656"/>
      <c r="C164" s="537"/>
      <c r="D164" s="545"/>
      <c r="E164" s="554"/>
      <c r="F164" s="573" t="s">
        <v>184</v>
      </c>
      <c r="G164" s="655"/>
      <c r="H164" s="657" t="e">
        <f>#REF!</f>
        <v>#REF!</v>
      </c>
      <c r="I164" s="657" t="e">
        <f>#REF!</f>
        <v>#REF!</v>
      </c>
      <c r="J164" s="657" t="e">
        <f>#REF!</f>
        <v>#REF!</v>
      </c>
      <c r="K164" s="657" t="e">
        <f t="shared" si="23"/>
        <v>#REF!</v>
      </c>
      <c r="M164" s="656"/>
      <c r="N164" s="473"/>
      <c r="O164" s="545"/>
      <c r="P164" s="702"/>
      <c r="Q164" s="702" t="s">
        <v>184</v>
      </c>
      <c r="R164" s="711"/>
      <c r="S164" s="657" t="e">
        <f>#REF!</f>
        <v>#REF!</v>
      </c>
      <c r="T164" s="657" t="e">
        <f>#REF!</f>
        <v>#REF!</v>
      </c>
      <c r="U164" s="657" t="e">
        <f>#REF!</f>
        <v>#REF!</v>
      </c>
      <c r="V164" s="657" t="e">
        <f t="shared" si="24"/>
        <v>#REF!</v>
      </c>
    </row>
    <row r="165" spans="1:22" s="658" customFormat="1" hidden="1">
      <c r="A165" s="655"/>
      <c r="B165" s="656"/>
      <c r="C165" s="537"/>
      <c r="D165" s="545"/>
      <c r="E165" s="554"/>
      <c r="F165" s="573" t="s">
        <v>185</v>
      </c>
      <c r="G165" s="655"/>
      <c r="H165" s="657" t="e">
        <f>#REF!</f>
        <v>#REF!</v>
      </c>
      <c r="I165" s="657" t="e">
        <f>#REF!</f>
        <v>#REF!</v>
      </c>
      <c r="J165" s="657" t="e">
        <f>#REF!</f>
        <v>#REF!</v>
      </c>
      <c r="K165" s="657" t="e">
        <f t="shared" si="23"/>
        <v>#REF!</v>
      </c>
      <c r="M165" s="656"/>
      <c r="N165" s="473"/>
      <c r="O165" s="545"/>
      <c r="P165" s="702"/>
      <c r="Q165" s="702" t="s">
        <v>185</v>
      </c>
      <c r="R165" s="711"/>
      <c r="S165" s="657" t="e">
        <f>#REF!</f>
        <v>#REF!</v>
      </c>
      <c r="T165" s="657" t="e">
        <f>#REF!</f>
        <v>#REF!</v>
      </c>
      <c r="U165" s="657" t="e">
        <f>#REF!</f>
        <v>#REF!</v>
      </c>
      <c r="V165" s="657" t="e">
        <f t="shared" si="24"/>
        <v>#REF!</v>
      </c>
    </row>
    <row r="166" spans="1:22" s="658" customFormat="1" hidden="1">
      <c r="A166" s="655"/>
      <c r="B166" s="656"/>
      <c r="C166" s="537"/>
      <c r="D166" s="545"/>
      <c r="E166" s="554"/>
      <c r="F166" s="573" t="s">
        <v>186</v>
      </c>
      <c r="G166" s="655"/>
      <c r="H166" s="657" t="e">
        <f>#REF!</f>
        <v>#REF!</v>
      </c>
      <c r="I166" s="657" t="e">
        <f>#REF!</f>
        <v>#REF!</v>
      </c>
      <c r="J166" s="657" t="e">
        <f>#REF!</f>
        <v>#REF!</v>
      </c>
      <c r="K166" s="657" t="e">
        <f t="shared" si="23"/>
        <v>#REF!</v>
      </c>
      <c r="M166" s="656"/>
      <c r="N166" s="473"/>
      <c r="O166" s="545"/>
      <c r="P166" s="702"/>
      <c r="Q166" s="702" t="s">
        <v>186</v>
      </c>
      <c r="R166" s="711"/>
      <c r="S166" s="657" t="e">
        <f>#REF!</f>
        <v>#REF!</v>
      </c>
      <c r="T166" s="657" t="e">
        <f>#REF!</f>
        <v>#REF!</v>
      </c>
      <c r="U166" s="657" t="e">
        <f>#REF!</f>
        <v>#REF!</v>
      </c>
      <c r="V166" s="657" t="e">
        <f t="shared" si="24"/>
        <v>#REF!</v>
      </c>
    </row>
    <row r="167" spans="1:22" s="658" customFormat="1" hidden="1">
      <c r="A167" s="655"/>
      <c r="B167" s="656"/>
      <c r="C167" s="537"/>
      <c r="D167" s="545"/>
      <c r="E167" s="554"/>
      <c r="F167" s="573" t="s">
        <v>187</v>
      </c>
      <c r="G167" s="655"/>
      <c r="H167" s="657" t="e">
        <f>#REF!</f>
        <v>#REF!</v>
      </c>
      <c r="I167" s="657" t="e">
        <f>#REF!</f>
        <v>#REF!</v>
      </c>
      <c r="J167" s="657" t="e">
        <f>#REF!</f>
        <v>#REF!</v>
      </c>
      <c r="K167" s="657" t="e">
        <f t="shared" si="23"/>
        <v>#REF!</v>
      </c>
      <c r="M167" s="656"/>
      <c r="N167" s="473"/>
      <c r="O167" s="545"/>
      <c r="P167" s="702"/>
      <c r="Q167" s="702" t="s">
        <v>187</v>
      </c>
      <c r="R167" s="711"/>
      <c r="S167" s="657" t="e">
        <f>#REF!</f>
        <v>#REF!</v>
      </c>
      <c r="T167" s="657" t="e">
        <f>#REF!</f>
        <v>#REF!</v>
      </c>
      <c r="U167" s="657" t="e">
        <f>#REF!</f>
        <v>#REF!</v>
      </c>
      <c r="V167" s="657" t="e">
        <f t="shared" si="24"/>
        <v>#REF!</v>
      </c>
    </row>
    <row r="168" spans="1:22" s="658" customFormat="1" hidden="1">
      <c r="A168" s="655"/>
      <c r="B168" s="656"/>
      <c r="C168" s="537"/>
      <c r="D168" s="545"/>
      <c r="E168" s="554"/>
      <c r="F168" s="573" t="s">
        <v>188</v>
      </c>
      <c r="G168" s="655"/>
      <c r="H168" s="657" t="e">
        <f>#REF!</f>
        <v>#REF!</v>
      </c>
      <c r="I168" s="657" t="e">
        <f>#REF!</f>
        <v>#REF!</v>
      </c>
      <c r="J168" s="657" t="e">
        <f>#REF!</f>
        <v>#REF!</v>
      </c>
      <c r="K168" s="657" t="e">
        <f t="shared" si="23"/>
        <v>#REF!</v>
      </c>
      <c r="M168" s="656"/>
      <c r="N168" s="473"/>
      <c r="O168" s="545"/>
      <c r="P168" s="702"/>
      <c r="Q168" s="702" t="s">
        <v>188</v>
      </c>
      <c r="R168" s="711"/>
      <c r="S168" s="657" t="e">
        <f>#REF!</f>
        <v>#REF!</v>
      </c>
      <c r="T168" s="657" t="e">
        <f>#REF!</f>
        <v>#REF!</v>
      </c>
      <c r="U168" s="657" t="e">
        <f>#REF!</f>
        <v>#REF!</v>
      </c>
      <c r="V168" s="657" t="e">
        <f t="shared" si="24"/>
        <v>#REF!</v>
      </c>
    </row>
    <row r="169" spans="1:22" s="658" customFormat="1" hidden="1">
      <c r="A169" s="655"/>
      <c r="B169" s="656"/>
      <c r="C169" s="537"/>
      <c r="D169" s="545"/>
      <c r="E169" s="554"/>
      <c r="F169" s="573" t="s">
        <v>189</v>
      </c>
      <c r="G169" s="655"/>
      <c r="H169" s="657" t="e">
        <f>#REF!</f>
        <v>#REF!</v>
      </c>
      <c r="I169" s="657" t="e">
        <f>#REF!</f>
        <v>#REF!</v>
      </c>
      <c r="J169" s="657" t="e">
        <f>#REF!</f>
        <v>#REF!</v>
      </c>
      <c r="K169" s="657" t="e">
        <f t="shared" si="23"/>
        <v>#REF!</v>
      </c>
      <c r="M169" s="656"/>
      <c r="N169" s="473"/>
      <c r="O169" s="545"/>
      <c r="P169" s="702"/>
      <c r="Q169" s="702" t="s">
        <v>189</v>
      </c>
      <c r="R169" s="711"/>
      <c r="S169" s="657" t="e">
        <f>#REF!</f>
        <v>#REF!</v>
      </c>
      <c r="T169" s="657" t="e">
        <f>#REF!</f>
        <v>#REF!</v>
      </c>
      <c r="U169" s="657" t="e">
        <f>#REF!</f>
        <v>#REF!</v>
      </c>
      <c r="V169" s="657" t="e">
        <f t="shared" si="24"/>
        <v>#REF!</v>
      </c>
    </row>
    <row r="170" spans="1:22" s="658" customFormat="1" hidden="1">
      <c r="A170" s="655"/>
      <c r="B170" s="656"/>
      <c r="C170" s="537"/>
      <c r="D170" s="545"/>
      <c r="E170" s="554"/>
      <c r="F170" s="573" t="s">
        <v>190</v>
      </c>
      <c r="G170" s="655"/>
      <c r="H170" s="657" t="e">
        <f>#REF!</f>
        <v>#REF!</v>
      </c>
      <c r="I170" s="657" t="e">
        <f>#REF!</f>
        <v>#REF!</v>
      </c>
      <c r="J170" s="657" t="e">
        <f>#REF!</f>
        <v>#REF!</v>
      </c>
      <c r="K170" s="657" t="e">
        <f t="shared" si="23"/>
        <v>#REF!</v>
      </c>
      <c r="M170" s="656"/>
      <c r="N170" s="473"/>
      <c r="O170" s="545"/>
      <c r="P170" s="702"/>
      <c r="Q170" s="702" t="s">
        <v>190</v>
      </c>
      <c r="R170" s="711"/>
      <c r="S170" s="657" t="e">
        <f>#REF!</f>
        <v>#REF!</v>
      </c>
      <c r="T170" s="657" t="e">
        <f>#REF!</f>
        <v>#REF!</v>
      </c>
      <c r="U170" s="657" t="e">
        <f>#REF!</f>
        <v>#REF!</v>
      </c>
      <c r="V170" s="657" t="e">
        <f t="shared" si="24"/>
        <v>#REF!</v>
      </c>
    </row>
    <row r="171" spans="1:22" s="658" customFormat="1" hidden="1">
      <c r="A171" s="655"/>
      <c r="B171" s="656"/>
      <c r="C171" s="537"/>
      <c r="D171" s="545"/>
      <c r="E171" s="554"/>
      <c r="F171" s="573" t="s">
        <v>191</v>
      </c>
      <c r="G171" s="655"/>
      <c r="H171" s="657" t="e">
        <f>#REF!</f>
        <v>#REF!</v>
      </c>
      <c r="I171" s="657" t="e">
        <f>#REF!</f>
        <v>#REF!</v>
      </c>
      <c r="J171" s="657" t="e">
        <f>#REF!</f>
        <v>#REF!</v>
      </c>
      <c r="K171" s="657" t="e">
        <f t="shared" si="23"/>
        <v>#REF!</v>
      </c>
      <c r="M171" s="656"/>
      <c r="N171" s="473"/>
      <c r="O171" s="545"/>
      <c r="P171" s="702"/>
      <c r="Q171" s="702" t="s">
        <v>191</v>
      </c>
      <c r="R171" s="711"/>
      <c r="S171" s="657" t="e">
        <f>#REF!</f>
        <v>#REF!</v>
      </c>
      <c r="T171" s="657" t="e">
        <f>#REF!</f>
        <v>#REF!</v>
      </c>
      <c r="U171" s="657" t="e">
        <f>#REF!</f>
        <v>#REF!</v>
      </c>
      <c r="V171" s="657" t="e">
        <f t="shared" si="24"/>
        <v>#REF!</v>
      </c>
    </row>
    <row r="172" spans="1:22" s="545" customFormat="1" hidden="1">
      <c r="A172" s="537"/>
      <c r="B172" s="500"/>
      <c r="C172" s="537"/>
      <c r="E172" s="658"/>
      <c r="F172" s="573" t="s">
        <v>192</v>
      </c>
      <c r="G172" s="655"/>
      <c r="H172" s="657" t="e">
        <f>#REF!</f>
        <v>#REF!</v>
      </c>
      <c r="I172" s="657" t="e">
        <f>#REF!</f>
        <v>#REF!</v>
      </c>
      <c r="J172" s="657" t="e">
        <f>#REF!</f>
        <v>#REF!</v>
      </c>
      <c r="K172" s="657" t="e">
        <f t="shared" si="23"/>
        <v>#REF!</v>
      </c>
      <c r="M172" s="500"/>
      <c r="N172" s="473"/>
      <c r="P172" s="711"/>
      <c r="Q172" s="702" t="s">
        <v>192</v>
      </c>
      <c r="R172" s="711"/>
      <c r="S172" s="657" t="e">
        <f>#REF!</f>
        <v>#REF!</v>
      </c>
      <c r="T172" s="657" t="e">
        <f>#REF!</f>
        <v>#REF!</v>
      </c>
      <c r="U172" s="657" t="e">
        <f>#REF!</f>
        <v>#REF!</v>
      </c>
      <c r="V172" s="657" t="e">
        <f t="shared" si="24"/>
        <v>#REF!</v>
      </c>
    </row>
    <row r="173" spans="1:22" s="658" customFormat="1" hidden="1">
      <c r="A173" s="655"/>
      <c r="B173" s="656"/>
      <c r="C173" s="537"/>
      <c r="D173" s="545"/>
      <c r="E173" s="554"/>
      <c r="F173" s="573" t="s">
        <v>193</v>
      </c>
      <c r="G173" s="655"/>
      <c r="H173" s="668" t="e">
        <f>SUM(H149:H172)</f>
        <v>#REF!</v>
      </c>
      <c r="I173" s="668" t="e">
        <f>SUM(I149:I172)</f>
        <v>#REF!</v>
      </c>
      <c r="J173" s="669" t="e">
        <f>SUM(J149:J172)</f>
        <v>#REF!</v>
      </c>
      <c r="K173" s="668" t="e">
        <f>SUM(K149:K172)</f>
        <v>#REF!</v>
      </c>
      <c r="M173" s="656"/>
      <c r="N173" s="473"/>
      <c r="O173" s="545"/>
      <c r="P173" s="702"/>
      <c r="Q173" s="702" t="s">
        <v>193</v>
      </c>
      <c r="R173" s="711"/>
      <c r="S173" s="668" t="e">
        <f>SUM(S149:S172)</f>
        <v>#REF!</v>
      </c>
      <c r="T173" s="668" t="e">
        <f>SUM(T149:T172)</f>
        <v>#REF!</v>
      </c>
      <c r="U173" s="669" t="e">
        <f>SUM(U149:U172)</f>
        <v>#REF!</v>
      </c>
      <c r="V173" s="668" t="e">
        <f>SUM(V149:V172)</f>
        <v>#REF!</v>
      </c>
    </row>
    <row r="174" spans="1:22" s="658" customFormat="1" hidden="1">
      <c r="A174" s="655"/>
      <c r="B174" s="656"/>
      <c r="C174" s="537"/>
      <c r="D174" s="545"/>
      <c r="E174" s="554"/>
      <c r="F174" s="655" t="s">
        <v>194</v>
      </c>
      <c r="G174" s="655"/>
      <c r="H174" s="670" t="e">
        <f>+H173-#REF!</f>
        <v>#REF!</v>
      </c>
      <c r="I174" s="669" t="e">
        <f>+I173-#REF!</f>
        <v>#REF!</v>
      </c>
      <c r="J174" s="669" t="e">
        <f>+J173-#REF!</f>
        <v>#REF!</v>
      </c>
      <c r="K174" s="669" t="e">
        <f>+K173-(+#REF!+#REF!+#REF!+#REF!+#REF!)</f>
        <v>#REF!</v>
      </c>
      <c r="M174" s="656"/>
      <c r="N174" s="473"/>
      <c r="O174" s="545"/>
      <c r="P174" s="702"/>
      <c r="Q174" s="711" t="s">
        <v>194</v>
      </c>
      <c r="R174" s="711"/>
      <c r="S174" s="670" t="e">
        <f>+S173-#REF!</f>
        <v>#REF!</v>
      </c>
      <c r="T174" s="669" t="e">
        <f>+T173-#REF!</f>
        <v>#REF!</v>
      </c>
      <c r="U174" s="669" t="e">
        <f>+U173-#REF!</f>
        <v>#REF!</v>
      </c>
      <c r="V174" s="669" t="e">
        <f>+V173-(+#REF!+#REF!+#REF!+#REF!+#REF!)</f>
        <v>#REF!</v>
      </c>
    </row>
    <row r="175" spans="1:22" s="658" customFormat="1" hidden="1">
      <c r="A175" s="655"/>
      <c r="B175" s="656"/>
      <c r="C175" s="537"/>
      <c r="D175" s="545"/>
      <c r="E175" s="554"/>
      <c r="F175" s="573"/>
      <c r="G175" s="655"/>
      <c r="H175" s="657"/>
      <c r="I175" s="655"/>
      <c r="J175" s="671"/>
      <c r="K175" s="657"/>
      <c r="M175" s="656"/>
      <c r="N175" s="473"/>
      <c r="O175" s="545"/>
      <c r="P175" s="702"/>
      <c r="Q175" s="702"/>
      <c r="R175" s="711"/>
      <c r="S175" s="657"/>
      <c r="T175" s="655"/>
      <c r="U175" s="671"/>
      <c r="V175" s="657"/>
    </row>
    <row r="176" spans="1:22" s="545" customFormat="1" hidden="1">
      <c r="A176" s="537"/>
      <c r="B176" s="500"/>
      <c r="C176" s="655"/>
      <c r="D176" s="658"/>
      <c r="E176" s="658"/>
      <c r="F176" s="573"/>
      <c r="G176" s="655"/>
      <c r="H176" s="551"/>
      <c r="I176" s="660"/>
      <c r="J176" s="551"/>
      <c r="K176" s="551"/>
      <c r="M176" s="500"/>
      <c r="N176" s="485"/>
      <c r="O176" s="658"/>
      <c r="P176" s="711"/>
      <c r="Q176" s="702"/>
      <c r="R176" s="711"/>
      <c r="S176" s="551"/>
      <c r="T176" s="660"/>
      <c r="U176" s="551"/>
      <c r="V176" s="551"/>
    </row>
    <row r="177" spans="1:22" s="545" customFormat="1" hidden="1">
      <c r="A177" s="537"/>
      <c r="B177" s="500"/>
      <c r="C177" s="655"/>
      <c r="D177" s="658"/>
      <c r="E177" s="658"/>
      <c r="F177" s="573"/>
      <c r="G177" s="655"/>
      <c r="H177" s="551"/>
      <c r="I177" s="660"/>
      <c r="J177" s="551"/>
      <c r="K177" s="551"/>
      <c r="M177" s="500"/>
      <c r="N177" s="485"/>
      <c r="O177" s="658"/>
      <c r="P177" s="711"/>
      <c r="Q177" s="702"/>
      <c r="R177" s="711"/>
      <c r="S177" s="551"/>
      <c r="T177" s="660"/>
      <c r="U177" s="551"/>
      <c r="V177" s="551"/>
    </row>
    <row r="178" spans="1:22" s="545" customFormat="1" hidden="1">
      <c r="A178" s="537"/>
      <c r="B178" s="500"/>
      <c r="C178" s="537"/>
      <c r="E178" s="658"/>
      <c r="F178" s="672" t="s">
        <v>196</v>
      </c>
      <c r="G178" s="660"/>
      <c r="H178" s="660"/>
      <c r="I178" s="660"/>
      <c r="J178" s="660"/>
      <c r="K178" s="660"/>
      <c r="M178" s="500"/>
      <c r="N178" s="473"/>
      <c r="P178" s="711"/>
      <c r="Q178" s="702" t="s">
        <v>196</v>
      </c>
      <c r="R178" s="702"/>
      <c r="S178" s="660"/>
      <c r="T178" s="660"/>
      <c r="U178" s="660"/>
      <c r="V178" s="660"/>
    </row>
    <row r="179" spans="1:22" s="545" customFormat="1" hidden="1">
      <c r="A179" s="537"/>
      <c r="B179" s="500"/>
      <c r="C179" s="537"/>
      <c r="E179" s="658"/>
      <c r="F179" s="672"/>
      <c r="G179" s="660"/>
      <c r="H179" s="660"/>
      <c r="I179" s="660"/>
      <c r="J179" s="660"/>
      <c r="K179" s="660"/>
      <c r="M179" s="500"/>
      <c r="N179" s="473"/>
      <c r="P179" s="711"/>
      <c r="Q179" s="702"/>
      <c r="R179" s="702"/>
      <c r="S179" s="660"/>
      <c r="T179" s="660"/>
      <c r="U179" s="660"/>
      <c r="V179" s="660"/>
    </row>
    <row r="180" spans="1:22" s="545" customFormat="1" ht="12" hidden="1" customHeight="1">
      <c r="A180" s="537"/>
      <c r="B180" s="500"/>
      <c r="C180" s="537"/>
      <c r="E180" s="658"/>
      <c r="F180" s="672"/>
      <c r="G180" s="660"/>
      <c r="H180" s="2254" t="s">
        <v>10</v>
      </c>
      <c r="I180" s="2254"/>
      <c r="J180" s="662" t="s">
        <v>11</v>
      </c>
      <c r="K180" s="663" t="s">
        <v>167</v>
      </c>
      <c r="M180" s="500"/>
      <c r="N180" s="473"/>
      <c r="P180" s="711"/>
      <c r="Q180" s="702"/>
      <c r="R180" s="702"/>
      <c r="S180" s="2254" t="s">
        <v>10</v>
      </c>
      <c r="T180" s="2254"/>
      <c r="U180" s="662" t="s">
        <v>11</v>
      </c>
      <c r="V180" s="663" t="s">
        <v>167</v>
      </c>
    </row>
    <row r="181" spans="1:22" s="545" customFormat="1" hidden="1">
      <c r="A181" s="537"/>
      <c r="B181" s="500"/>
      <c r="C181" s="537"/>
      <c r="E181" s="658"/>
      <c r="F181" s="672"/>
      <c r="G181" s="660"/>
      <c r="H181" s="664" t="s">
        <v>41</v>
      </c>
      <c r="I181" s="665" t="s">
        <v>159</v>
      </c>
      <c r="J181" s="666" t="s">
        <v>42</v>
      </c>
      <c r="K181" s="664"/>
      <c r="M181" s="500"/>
      <c r="N181" s="473"/>
      <c r="P181" s="711"/>
      <c r="Q181" s="702"/>
      <c r="R181" s="702"/>
      <c r="S181" s="664" t="s">
        <v>41</v>
      </c>
      <c r="T181" s="665" t="s">
        <v>159</v>
      </c>
      <c r="U181" s="666" t="s">
        <v>42</v>
      </c>
      <c r="V181" s="664"/>
    </row>
    <row r="182" spans="1:22" s="545" customFormat="1" hidden="1">
      <c r="A182" s="537"/>
      <c r="B182" s="500"/>
      <c r="C182" s="655"/>
      <c r="E182" s="658"/>
      <c r="F182" s="573" t="s">
        <v>170</v>
      </c>
      <c r="G182" s="655"/>
      <c r="H182" s="657" t="e">
        <f>+H149-#REF!</f>
        <v>#REF!</v>
      </c>
      <c r="I182" s="657" t="e">
        <f>+I149-#REF!</f>
        <v>#REF!</v>
      </c>
      <c r="J182" s="657" t="e">
        <f>+J149-#REF!</f>
        <v>#REF!</v>
      </c>
      <c r="K182" s="657" t="e">
        <f t="shared" ref="K182:K205" si="25">SUM(H182:J182)</f>
        <v>#REF!</v>
      </c>
      <c r="M182" s="500"/>
      <c r="N182" s="485"/>
      <c r="P182" s="711"/>
      <c r="Q182" s="702" t="s">
        <v>170</v>
      </c>
      <c r="R182" s="711"/>
      <c r="S182" s="657" t="e">
        <f>+S149-#REF!</f>
        <v>#REF!</v>
      </c>
      <c r="T182" s="657" t="e">
        <f>+T149-#REF!</f>
        <v>#REF!</v>
      </c>
      <c r="U182" s="657" t="e">
        <f>+U149-#REF!</f>
        <v>#REF!</v>
      </c>
      <c r="V182" s="657" t="e">
        <f t="shared" ref="V182:V205" si="26">SUM(S182:U182)</f>
        <v>#REF!</v>
      </c>
    </row>
    <row r="183" spans="1:22" s="545" customFormat="1" hidden="1">
      <c r="A183" s="537"/>
      <c r="B183" s="500"/>
      <c r="C183" s="537"/>
      <c r="E183" s="658"/>
      <c r="F183" s="573" t="s">
        <v>171</v>
      </c>
      <c r="G183" s="655"/>
      <c r="H183" s="657" t="e">
        <f>+H150-#REF!</f>
        <v>#REF!</v>
      </c>
      <c r="I183" s="657" t="e">
        <f>+I150-#REF!</f>
        <v>#REF!</v>
      </c>
      <c r="J183" s="657" t="e">
        <f>+J150-#REF!</f>
        <v>#REF!</v>
      </c>
      <c r="K183" s="657" t="e">
        <f t="shared" si="25"/>
        <v>#REF!</v>
      </c>
      <c r="M183" s="500"/>
      <c r="N183" s="473"/>
      <c r="P183" s="711"/>
      <c r="Q183" s="702" t="s">
        <v>171</v>
      </c>
      <c r="R183" s="711"/>
      <c r="S183" s="657" t="e">
        <f>+S150-#REF!</f>
        <v>#REF!</v>
      </c>
      <c r="T183" s="657" t="e">
        <f>+T150-#REF!</f>
        <v>#REF!</v>
      </c>
      <c r="U183" s="657" t="e">
        <f>+U150-#REF!</f>
        <v>#REF!</v>
      </c>
      <c r="V183" s="657" t="e">
        <f t="shared" si="26"/>
        <v>#REF!</v>
      </c>
    </row>
    <row r="184" spans="1:22" s="545" customFormat="1" hidden="1">
      <c r="A184" s="537"/>
      <c r="B184" s="500"/>
      <c r="C184" s="537"/>
      <c r="E184" s="658"/>
      <c r="F184" s="573" t="s">
        <v>172</v>
      </c>
      <c r="G184" s="655"/>
      <c r="H184" s="657" t="e">
        <f>+H151-#REF!</f>
        <v>#REF!</v>
      </c>
      <c r="I184" s="657" t="e">
        <f>+I151-#REF!</f>
        <v>#REF!</v>
      </c>
      <c r="J184" s="657" t="e">
        <f>+J151-#REF!</f>
        <v>#REF!</v>
      </c>
      <c r="K184" s="657" t="e">
        <f t="shared" si="25"/>
        <v>#REF!</v>
      </c>
      <c r="M184" s="500"/>
      <c r="N184" s="473"/>
      <c r="P184" s="711"/>
      <c r="Q184" s="702" t="s">
        <v>172</v>
      </c>
      <c r="R184" s="711"/>
      <c r="S184" s="657" t="e">
        <f>+S151-#REF!</f>
        <v>#REF!</v>
      </c>
      <c r="T184" s="657" t="e">
        <f>+T151-#REF!</f>
        <v>#REF!</v>
      </c>
      <c r="U184" s="657" t="e">
        <f>+U151-#REF!</f>
        <v>#REF!</v>
      </c>
      <c r="V184" s="657" t="e">
        <f t="shared" si="26"/>
        <v>#REF!</v>
      </c>
    </row>
    <row r="185" spans="1:22" s="545" customFormat="1" hidden="1">
      <c r="A185" s="537"/>
      <c r="B185" s="500"/>
      <c r="C185" s="537"/>
      <c r="E185" s="658"/>
      <c r="F185" s="573" t="s">
        <v>173</v>
      </c>
      <c r="G185" s="655"/>
      <c r="H185" s="657" t="e">
        <f>+H152-#REF!</f>
        <v>#REF!</v>
      </c>
      <c r="I185" s="657" t="e">
        <f>+I152-#REF!</f>
        <v>#REF!</v>
      </c>
      <c r="J185" s="657" t="e">
        <f>+J152-#REF!</f>
        <v>#REF!</v>
      </c>
      <c r="K185" s="657" t="e">
        <f t="shared" si="25"/>
        <v>#REF!</v>
      </c>
      <c r="M185" s="500"/>
      <c r="N185" s="473"/>
      <c r="P185" s="711"/>
      <c r="Q185" s="702" t="s">
        <v>173</v>
      </c>
      <c r="R185" s="711"/>
      <c r="S185" s="657" t="e">
        <f>+S152-#REF!</f>
        <v>#REF!</v>
      </c>
      <c r="T185" s="657" t="e">
        <f>+T152-#REF!</f>
        <v>#REF!</v>
      </c>
      <c r="U185" s="657" t="e">
        <f>+U152-#REF!</f>
        <v>#REF!</v>
      </c>
      <c r="V185" s="657" t="e">
        <f t="shared" si="26"/>
        <v>#REF!</v>
      </c>
    </row>
    <row r="186" spans="1:22" s="545" customFormat="1" hidden="1">
      <c r="A186" s="537"/>
      <c r="B186" s="500"/>
      <c r="C186" s="537"/>
      <c r="E186" s="658"/>
      <c r="F186" s="573" t="s">
        <v>174</v>
      </c>
      <c r="G186" s="655"/>
      <c r="H186" s="657" t="e">
        <f>+H153-#REF!</f>
        <v>#REF!</v>
      </c>
      <c r="I186" s="657" t="e">
        <f>+I153-#REF!</f>
        <v>#REF!</v>
      </c>
      <c r="J186" s="657" t="e">
        <f>+J153-#REF!</f>
        <v>#REF!</v>
      </c>
      <c r="K186" s="657" t="e">
        <f t="shared" si="25"/>
        <v>#REF!</v>
      </c>
      <c r="M186" s="500"/>
      <c r="N186" s="473"/>
      <c r="P186" s="711"/>
      <c r="Q186" s="702" t="s">
        <v>174</v>
      </c>
      <c r="R186" s="711"/>
      <c r="S186" s="657" t="e">
        <f>+S153-#REF!</f>
        <v>#REF!</v>
      </c>
      <c r="T186" s="657" t="e">
        <f>+T153-#REF!</f>
        <v>#REF!</v>
      </c>
      <c r="U186" s="657" t="e">
        <f>+U153-#REF!</f>
        <v>#REF!</v>
      </c>
      <c r="V186" s="657" t="e">
        <f t="shared" si="26"/>
        <v>#REF!</v>
      </c>
    </row>
    <row r="187" spans="1:22" s="545" customFormat="1" hidden="1">
      <c r="A187" s="537"/>
      <c r="B187" s="500"/>
      <c r="C187" s="655"/>
      <c r="E187" s="658"/>
      <c r="F187" s="573" t="s">
        <v>175</v>
      </c>
      <c r="G187" s="655"/>
      <c r="H187" s="657" t="e">
        <f>+H154-#REF!</f>
        <v>#REF!</v>
      </c>
      <c r="I187" s="657" t="e">
        <f>+I154-#REF!</f>
        <v>#REF!</v>
      </c>
      <c r="J187" s="657" t="e">
        <f>+J154-#REF!</f>
        <v>#REF!</v>
      </c>
      <c r="K187" s="657" t="e">
        <f t="shared" si="25"/>
        <v>#REF!</v>
      </c>
      <c r="M187" s="500"/>
      <c r="N187" s="485"/>
      <c r="P187" s="711"/>
      <c r="Q187" s="702" t="s">
        <v>175</v>
      </c>
      <c r="R187" s="711"/>
      <c r="S187" s="657" t="e">
        <f>+S154-#REF!</f>
        <v>#REF!</v>
      </c>
      <c r="T187" s="657" t="e">
        <f>+T154-#REF!</f>
        <v>#REF!</v>
      </c>
      <c r="U187" s="657" t="e">
        <f>+U154-#REF!</f>
        <v>#REF!</v>
      </c>
      <c r="V187" s="657" t="e">
        <f t="shared" si="26"/>
        <v>#REF!</v>
      </c>
    </row>
    <row r="188" spans="1:22" s="545" customFormat="1" hidden="1">
      <c r="A188" s="537"/>
      <c r="B188" s="500"/>
      <c r="C188" s="537"/>
      <c r="E188" s="658"/>
      <c r="F188" s="573" t="s">
        <v>176</v>
      </c>
      <c r="G188" s="655"/>
      <c r="H188" s="657" t="e">
        <f>+H155-#REF!</f>
        <v>#REF!</v>
      </c>
      <c r="I188" s="657" t="e">
        <f>+I155-#REF!</f>
        <v>#REF!</v>
      </c>
      <c r="J188" s="657" t="e">
        <f>+J155-#REF!</f>
        <v>#REF!</v>
      </c>
      <c r="K188" s="657" t="e">
        <f t="shared" si="25"/>
        <v>#REF!</v>
      </c>
      <c r="M188" s="500"/>
      <c r="N188" s="473"/>
      <c r="P188" s="711"/>
      <c r="Q188" s="702" t="s">
        <v>176</v>
      </c>
      <c r="R188" s="711"/>
      <c r="S188" s="657" t="e">
        <f>+S155-#REF!</f>
        <v>#REF!</v>
      </c>
      <c r="T188" s="657" t="e">
        <f>+T155-#REF!</f>
        <v>#REF!</v>
      </c>
      <c r="U188" s="657" t="e">
        <f>+U155-#REF!</f>
        <v>#REF!</v>
      </c>
      <c r="V188" s="657" t="e">
        <f t="shared" si="26"/>
        <v>#REF!</v>
      </c>
    </row>
    <row r="189" spans="1:22" s="545" customFormat="1" hidden="1">
      <c r="A189" s="537"/>
      <c r="B189" s="500"/>
      <c r="C189" s="537"/>
      <c r="E189" s="658"/>
      <c r="F189" s="573" t="s">
        <v>177</v>
      </c>
      <c r="G189" s="655"/>
      <c r="H189" s="657" t="e">
        <f>+H156-#REF!</f>
        <v>#REF!</v>
      </c>
      <c r="I189" s="657" t="e">
        <f>+I156-#REF!</f>
        <v>#REF!</v>
      </c>
      <c r="J189" s="657" t="e">
        <f>+J156-#REF!</f>
        <v>#REF!</v>
      </c>
      <c r="K189" s="657" t="e">
        <f t="shared" si="25"/>
        <v>#REF!</v>
      </c>
      <c r="M189" s="500"/>
      <c r="N189" s="473"/>
      <c r="P189" s="711"/>
      <c r="Q189" s="702" t="s">
        <v>177</v>
      </c>
      <c r="R189" s="711"/>
      <c r="S189" s="657" t="e">
        <f>+S156-#REF!</f>
        <v>#REF!</v>
      </c>
      <c r="T189" s="657" t="e">
        <f>+T156-#REF!</f>
        <v>#REF!</v>
      </c>
      <c r="U189" s="657" t="e">
        <f>+U156-#REF!</f>
        <v>#REF!</v>
      </c>
      <c r="V189" s="657" t="e">
        <f t="shared" si="26"/>
        <v>#REF!</v>
      </c>
    </row>
    <row r="190" spans="1:22" s="545" customFormat="1" hidden="1">
      <c r="A190" s="537"/>
      <c r="B190" s="500"/>
      <c r="C190" s="537"/>
      <c r="E190" s="658"/>
      <c r="F190" s="573" t="s">
        <v>178</v>
      </c>
      <c r="G190" s="655"/>
      <c r="H190" s="657" t="e">
        <f>+H157-#REF!</f>
        <v>#REF!</v>
      </c>
      <c r="I190" s="657" t="e">
        <f>+I157-#REF!</f>
        <v>#REF!</v>
      </c>
      <c r="J190" s="657" t="e">
        <f>+J157-#REF!</f>
        <v>#REF!</v>
      </c>
      <c r="K190" s="657" t="e">
        <f t="shared" si="25"/>
        <v>#REF!</v>
      </c>
      <c r="M190" s="500"/>
      <c r="N190" s="473"/>
      <c r="P190" s="711"/>
      <c r="Q190" s="702" t="s">
        <v>178</v>
      </c>
      <c r="R190" s="711"/>
      <c r="S190" s="657" t="e">
        <f>+S157-#REF!</f>
        <v>#REF!</v>
      </c>
      <c r="T190" s="657" t="e">
        <f>+T157-#REF!</f>
        <v>#REF!</v>
      </c>
      <c r="U190" s="657" t="e">
        <f>+U157-#REF!</f>
        <v>#REF!</v>
      </c>
      <c r="V190" s="657" t="e">
        <f t="shared" si="26"/>
        <v>#REF!</v>
      </c>
    </row>
    <row r="191" spans="1:22" s="545" customFormat="1" hidden="1">
      <c r="A191" s="537"/>
      <c r="B191" s="500"/>
      <c r="C191" s="537"/>
      <c r="E191" s="658"/>
      <c r="F191" s="573" t="s">
        <v>179</v>
      </c>
      <c r="G191" s="655"/>
      <c r="H191" s="657" t="e">
        <f>+H158-#REF!</f>
        <v>#REF!</v>
      </c>
      <c r="I191" s="657" t="e">
        <f>+I158-#REF!</f>
        <v>#REF!</v>
      </c>
      <c r="J191" s="657" t="e">
        <f>+J158-#REF!</f>
        <v>#REF!</v>
      </c>
      <c r="K191" s="657" t="e">
        <f t="shared" si="25"/>
        <v>#REF!</v>
      </c>
      <c r="M191" s="500"/>
      <c r="N191" s="473"/>
      <c r="P191" s="711"/>
      <c r="Q191" s="702" t="s">
        <v>179</v>
      </c>
      <c r="R191" s="711"/>
      <c r="S191" s="657" t="e">
        <f>+S158-#REF!</f>
        <v>#REF!</v>
      </c>
      <c r="T191" s="657" t="e">
        <f>+T158-#REF!</f>
        <v>#REF!</v>
      </c>
      <c r="U191" s="657" t="e">
        <f>+U158-#REF!</f>
        <v>#REF!</v>
      </c>
      <c r="V191" s="657" t="e">
        <f t="shared" si="26"/>
        <v>#REF!</v>
      </c>
    </row>
    <row r="192" spans="1:22" s="545" customFormat="1" hidden="1">
      <c r="A192" s="537"/>
      <c r="B192" s="500"/>
      <c r="C192" s="537"/>
      <c r="E192" s="658"/>
      <c r="F192" s="573" t="s">
        <v>180</v>
      </c>
      <c r="G192" s="655"/>
      <c r="H192" s="657" t="e">
        <f>+H159-#REF!</f>
        <v>#REF!</v>
      </c>
      <c r="I192" s="657" t="e">
        <f>+I159-#REF!</f>
        <v>#REF!</v>
      </c>
      <c r="J192" s="657" t="e">
        <f>+J159-#REF!</f>
        <v>#REF!</v>
      </c>
      <c r="K192" s="657" t="e">
        <f t="shared" si="25"/>
        <v>#REF!</v>
      </c>
      <c r="M192" s="500"/>
      <c r="N192" s="473"/>
      <c r="P192" s="711"/>
      <c r="Q192" s="702" t="s">
        <v>180</v>
      </c>
      <c r="R192" s="711"/>
      <c r="S192" s="657" t="e">
        <f>+S159-#REF!</f>
        <v>#REF!</v>
      </c>
      <c r="T192" s="657" t="e">
        <f>+T159-#REF!</f>
        <v>#REF!</v>
      </c>
      <c r="U192" s="657" t="e">
        <f>+U159-#REF!</f>
        <v>#REF!</v>
      </c>
      <c r="V192" s="657" t="e">
        <f t="shared" si="26"/>
        <v>#REF!</v>
      </c>
    </row>
    <row r="193" spans="1:22" s="545" customFormat="1" hidden="1">
      <c r="A193" s="537"/>
      <c r="B193" s="500"/>
      <c r="C193" s="537"/>
      <c r="E193" s="658"/>
      <c r="F193" s="573" t="s">
        <v>117</v>
      </c>
      <c r="G193" s="655"/>
      <c r="H193" s="657" t="e">
        <f>+H160-#REF!</f>
        <v>#REF!</v>
      </c>
      <c r="I193" s="657" t="e">
        <f>+I160-#REF!</f>
        <v>#REF!</v>
      </c>
      <c r="J193" s="657" t="e">
        <f>+J160-#REF!</f>
        <v>#REF!</v>
      </c>
      <c r="K193" s="657" t="e">
        <f t="shared" si="25"/>
        <v>#REF!</v>
      </c>
      <c r="M193" s="500"/>
      <c r="N193" s="473"/>
      <c r="P193" s="711"/>
      <c r="Q193" s="702" t="s">
        <v>117</v>
      </c>
      <c r="R193" s="711"/>
      <c r="S193" s="657" t="e">
        <f>+S160-#REF!</f>
        <v>#REF!</v>
      </c>
      <c r="T193" s="657" t="e">
        <f>+T160-#REF!</f>
        <v>#REF!</v>
      </c>
      <c r="U193" s="657" t="e">
        <f>+U160-#REF!</f>
        <v>#REF!</v>
      </c>
      <c r="V193" s="657" t="e">
        <f t="shared" si="26"/>
        <v>#REF!</v>
      </c>
    </row>
    <row r="194" spans="1:22" s="545" customFormat="1" hidden="1">
      <c r="A194" s="537"/>
      <c r="B194" s="500"/>
      <c r="C194" s="537"/>
      <c r="E194" s="658"/>
      <c r="F194" s="573" t="s">
        <v>181</v>
      </c>
      <c r="G194" s="655"/>
      <c r="H194" s="657" t="e">
        <f>+H161-#REF!</f>
        <v>#REF!</v>
      </c>
      <c r="I194" s="657" t="e">
        <f>+I161-#REF!</f>
        <v>#REF!</v>
      </c>
      <c r="J194" s="657" t="e">
        <f>+J161-#REF!</f>
        <v>#REF!</v>
      </c>
      <c r="K194" s="657" t="e">
        <f t="shared" si="25"/>
        <v>#REF!</v>
      </c>
      <c r="M194" s="500"/>
      <c r="N194" s="473"/>
      <c r="P194" s="711"/>
      <c r="Q194" s="702" t="s">
        <v>181</v>
      </c>
      <c r="R194" s="711"/>
      <c r="S194" s="657" t="e">
        <f>+S161-#REF!</f>
        <v>#REF!</v>
      </c>
      <c r="T194" s="657" t="e">
        <f>+T161-#REF!</f>
        <v>#REF!</v>
      </c>
      <c r="U194" s="657" t="e">
        <f>+U161-#REF!</f>
        <v>#REF!</v>
      </c>
      <c r="V194" s="657" t="e">
        <f t="shared" si="26"/>
        <v>#REF!</v>
      </c>
    </row>
    <row r="195" spans="1:22" s="545" customFormat="1" hidden="1">
      <c r="A195" s="537"/>
      <c r="B195" s="500"/>
      <c r="C195" s="537"/>
      <c r="E195" s="658"/>
      <c r="F195" s="573" t="s">
        <v>182</v>
      </c>
      <c r="G195" s="655"/>
      <c r="H195" s="657" t="e">
        <f>+H162-#REF!</f>
        <v>#REF!</v>
      </c>
      <c r="I195" s="657" t="e">
        <f>+I162-#REF!</f>
        <v>#REF!</v>
      </c>
      <c r="J195" s="657" t="e">
        <f>+J162-#REF!</f>
        <v>#REF!</v>
      </c>
      <c r="K195" s="657" t="e">
        <f t="shared" si="25"/>
        <v>#REF!</v>
      </c>
      <c r="M195" s="500"/>
      <c r="N195" s="473"/>
      <c r="P195" s="711"/>
      <c r="Q195" s="702" t="s">
        <v>182</v>
      </c>
      <c r="R195" s="711"/>
      <c r="S195" s="657" t="e">
        <f>+S162-#REF!</f>
        <v>#REF!</v>
      </c>
      <c r="T195" s="657" t="e">
        <f>+T162-#REF!</f>
        <v>#REF!</v>
      </c>
      <c r="U195" s="657" t="e">
        <f>+U162-#REF!</f>
        <v>#REF!</v>
      </c>
      <c r="V195" s="657" t="e">
        <f t="shared" si="26"/>
        <v>#REF!</v>
      </c>
    </row>
    <row r="196" spans="1:22" s="545" customFormat="1" hidden="1">
      <c r="A196" s="537"/>
      <c r="B196" s="500"/>
      <c r="C196" s="537"/>
      <c r="E196" s="658"/>
      <c r="F196" s="573" t="s">
        <v>183</v>
      </c>
      <c r="G196" s="655"/>
      <c r="H196" s="657" t="e">
        <f>+H163-#REF!</f>
        <v>#REF!</v>
      </c>
      <c r="I196" s="657" t="e">
        <f>+I163-#REF!</f>
        <v>#REF!</v>
      </c>
      <c r="J196" s="657" t="e">
        <f>+J163-#REF!</f>
        <v>#REF!</v>
      </c>
      <c r="K196" s="657" t="e">
        <f t="shared" si="25"/>
        <v>#REF!</v>
      </c>
      <c r="M196" s="500"/>
      <c r="N196" s="473"/>
      <c r="P196" s="711"/>
      <c r="Q196" s="702" t="s">
        <v>183</v>
      </c>
      <c r="R196" s="711"/>
      <c r="S196" s="657" t="e">
        <f>+S163-#REF!</f>
        <v>#REF!</v>
      </c>
      <c r="T196" s="657" t="e">
        <f>+T163-#REF!</f>
        <v>#REF!</v>
      </c>
      <c r="U196" s="657" t="e">
        <f>+U163-#REF!</f>
        <v>#REF!</v>
      </c>
      <c r="V196" s="657" t="e">
        <f t="shared" si="26"/>
        <v>#REF!</v>
      </c>
    </row>
    <row r="197" spans="1:22" s="545" customFormat="1" hidden="1">
      <c r="A197" s="537"/>
      <c r="B197" s="500"/>
      <c r="C197" s="537"/>
      <c r="E197" s="658"/>
      <c r="F197" s="573" t="s">
        <v>184</v>
      </c>
      <c r="G197" s="655"/>
      <c r="H197" s="657" t="e">
        <f>+H164-#REF!</f>
        <v>#REF!</v>
      </c>
      <c r="I197" s="657" t="e">
        <f>+I164-#REF!</f>
        <v>#REF!</v>
      </c>
      <c r="J197" s="657" t="e">
        <f>+J164-#REF!</f>
        <v>#REF!</v>
      </c>
      <c r="K197" s="657" t="e">
        <f t="shared" si="25"/>
        <v>#REF!</v>
      </c>
      <c r="M197" s="500"/>
      <c r="N197" s="473"/>
      <c r="P197" s="711"/>
      <c r="Q197" s="702" t="s">
        <v>184</v>
      </c>
      <c r="R197" s="711"/>
      <c r="S197" s="657" t="e">
        <f>+S164-#REF!</f>
        <v>#REF!</v>
      </c>
      <c r="T197" s="657" t="e">
        <f>+T164-#REF!</f>
        <v>#REF!</v>
      </c>
      <c r="U197" s="657" t="e">
        <f>+U164-#REF!</f>
        <v>#REF!</v>
      </c>
      <c r="V197" s="657" t="e">
        <f t="shared" si="26"/>
        <v>#REF!</v>
      </c>
    </row>
    <row r="198" spans="1:22" s="545" customFormat="1" hidden="1">
      <c r="A198" s="537"/>
      <c r="B198" s="500"/>
      <c r="C198" s="537"/>
      <c r="E198" s="658"/>
      <c r="F198" s="573" t="s">
        <v>185</v>
      </c>
      <c r="G198" s="655"/>
      <c r="H198" s="657" t="e">
        <f>+H165-#REF!</f>
        <v>#REF!</v>
      </c>
      <c r="I198" s="657" t="e">
        <f>+I165-#REF!</f>
        <v>#REF!</v>
      </c>
      <c r="J198" s="657" t="e">
        <f>+J165-#REF!</f>
        <v>#REF!</v>
      </c>
      <c r="K198" s="657" t="e">
        <f t="shared" si="25"/>
        <v>#REF!</v>
      </c>
      <c r="M198" s="500"/>
      <c r="N198" s="473"/>
      <c r="P198" s="711"/>
      <c r="Q198" s="702" t="s">
        <v>185</v>
      </c>
      <c r="R198" s="711"/>
      <c r="S198" s="657" t="e">
        <f>+S165-#REF!</f>
        <v>#REF!</v>
      </c>
      <c r="T198" s="657" t="e">
        <f>+T165-#REF!</f>
        <v>#REF!</v>
      </c>
      <c r="U198" s="657" t="e">
        <f>+U165-#REF!</f>
        <v>#REF!</v>
      </c>
      <c r="V198" s="657" t="e">
        <f t="shared" si="26"/>
        <v>#REF!</v>
      </c>
    </row>
    <row r="199" spans="1:22" s="545" customFormat="1" hidden="1">
      <c r="A199" s="537"/>
      <c r="B199" s="500"/>
      <c r="C199" s="537"/>
      <c r="E199" s="658"/>
      <c r="F199" s="573" t="s">
        <v>186</v>
      </c>
      <c r="G199" s="655"/>
      <c r="H199" s="657" t="e">
        <f t="shared" ref="H199:J205" si="27">+H166-H135</f>
        <v>#REF!</v>
      </c>
      <c r="I199" s="657" t="e">
        <f t="shared" si="27"/>
        <v>#REF!</v>
      </c>
      <c r="J199" s="657" t="e">
        <f t="shared" si="27"/>
        <v>#REF!</v>
      </c>
      <c r="K199" s="657" t="e">
        <f t="shared" si="25"/>
        <v>#REF!</v>
      </c>
      <c r="M199" s="500"/>
      <c r="N199" s="473"/>
      <c r="P199" s="711"/>
      <c r="Q199" s="702" t="s">
        <v>186</v>
      </c>
      <c r="R199" s="711"/>
      <c r="S199" s="657" t="e">
        <f t="shared" ref="S199:U205" si="28">+S166-S135</f>
        <v>#REF!</v>
      </c>
      <c r="T199" s="657" t="e">
        <f t="shared" si="28"/>
        <v>#REF!</v>
      </c>
      <c r="U199" s="657" t="e">
        <f t="shared" si="28"/>
        <v>#REF!</v>
      </c>
      <c r="V199" s="657" t="e">
        <f t="shared" si="26"/>
        <v>#REF!</v>
      </c>
    </row>
    <row r="200" spans="1:22" s="545" customFormat="1" hidden="1">
      <c r="A200" s="537"/>
      <c r="B200" s="500"/>
      <c r="C200" s="537"/>
      <c r="E200" s="658"/>
      <c r="F200" s="573" t="s">
        <v>187</v>
      </c>
      <c r="G200" s="655"/>
      <c r="H200" s="657" t="e">
        <f t="shared" si="27"/>
        <v>#REF!</v>
      </c>
      <c r="I200" s="657" t="e">
        <f t="shared" si="27"/>
        <v>#REF!</v>
      </c>
      <c r="J200" s="657" t="e">
        <f t="shared" si="27"/>
        <v>#REF!</v>
      </c>
      <c r="K200" s="657" t="e">
        <f t="shared" si="25"/>
        <v>#REF!</v>
      </c>
      <c r="M200" s="500"/>
      <c r="N200" s="473"/>
      <c r="P200" s="711"/>
      <c r="Q200" s="702" t="s">
        <v>187</v>
      </c>
      <c r="R200" s="711"/>
      <c r="S200" s="657" t="e">
        <f t="shared" si="28"/>
        <v>#REF!</v>
      </c>
      <c r="T200" s="657" t="e">
        <f t="shared" si="28"/>
        <v>#REF!</v>
      </c>
      <c r="U200" s="657" t="e">
        <f t="shared" si="28"/>
        <v>#REF!</v>
      </c>
      <c r="V200" s="657" t="e">
        <f t="shared" si="26"/>
        <v>#REF!</v>
      </c>
    </row>
    <row r="201" spans="1:22" s="545" customFormat="1" hidden="1">
      <c r="A201" s="537"/>
      <c r="B201" s="500"/>
      <c r="C201" s="537"/>
      <c r="E201" s="658"/>
      <c r="F201" s="573" t="s">
        <v>188</v>
      </c>
      <c r="G201" s="655"/>
      <c r="H201" s="657" t="e">
        <f t="shared" si="27"/>
        <v>#REF!</v>
      </c>
      <c r="I201" s="657" t="e">
        <f t="shared" si="27"/>
        <v>#REF!</v>
      </c>
      <c r="J201" s="657" t="e">
        <f t="shared" si="27"/>
        <v>#REF!</v>
      </c>
      <c r="K201" s="657" t="e">
        <f t="shared" si="25"/>
        <v>#REF!</v>
      </c>
      <c r="M201" s="500"/>
      <c r="N201" s="473"/>
      <c r="P201" s="711"/>
      <c r="Q201" s="702" t="s">
        <v>188</v>
      </c>
      <c r="R201" s="711"/>
      <c r="S201" s="657" t="e">
        <f t="shared" si="28"/>
        <v>#REF!</v>
      </c>
      <c r="T201" s="657" t="e">
        <f t="shared" si="28"/>
        <v>#REF!</v>
      </c>
      <c r="U201" s="657" t="e">
        <f t="shared" si="28"/>
        <v>#REF!</v>
      </c>
      <c r="V201" s="657" t="e">
        <f t="shared" si="26"/>
        <v>#REF!</v>
      </c>
    </row>
    <row r="202" spans="1:22" s="545" customFormat="1" hidden="1">
      <c r="A202" s="537"/>
      <c r="B202" s="500"/>
      <c r="C202" s="537"/>
      <c r="E202" s="658"/>
      <c r="F202" s="573" t="s">
        <v>189</v>
      </c>
      <c r="G202" s="655"/>
      <c r="H202" s="657" t="e">
        <f t="shared" si="27"/>
        <v>#REF!</v>
      </c>
      <c r="I202" s="657" t="e">
        <f t="shared" si="27"/>
        <v>#REF!</v>
      </c>
      <c r="J202" s="657" t="e">
        <f t="shared" si="27"/>
        <v>#REF!</v>
      </c>
      <c r="K202" s="657" t="e">
        <f t="shared" si="25"/>
        <v>#REF!</v>
      </c>
      <c r="M202" s="500"/>
      <c r="N202" s="473"/>
      <c r="P202" s="711"/>
      <c r="Q202" s="702" t="s">
        <v>189</v>
      </c>
      <c r="R202" s="711"/>
      <c r="S202" s="657" t="e">
        <f t="shared" si="28"/>
        <v>#REF!</v>
      </c>
      <c r="T202" s="657" t="e">
        <f t="shared" si="28"/>
        <v>#REF!</v>
      </c>
      <c r="U202" s="657" t="e">
        <f t="shared" si="28"/>
        <v>#REF!</v>
      </c>
      <c r="V202" s="657" t="e">
        <f t="shared" si="26"/>
        <v>#REF!</v>
      </c>
    </row>
    <row r="203" spans="1:22" s="545" customFormat="1" hidden="1">
      <c r="A203" s="537"/>
      <c r="B203" s="500"/>
      <c r="C203" s="537"/>
      <c r="E203" s="658"/>
      <c r="F203" s="573" t="s">
        <v>190</v>
      </c>
      <c r="G203" s="655"/>
      <c r="H203" s="657" t="e">
        <f t="shared" si="27"/>
        <v>#REF!</v>
      </c>
      <c r="I203" s="657" t="e">
        <f t="shared" si="27"/>
        <v>#REF!</v>
      </c>
      <c r="J203" s="657" t="e">
        <f t="shared" si="27"/>
        <v>#REF!</v>
      </c>
      <c r="K203" s="657" t="e">
        <f t="shared" si="25"/>
        <v>#REF!</v>
      </c>
      <c r="M203" s="500"/>
      <c r="N203" s="473"/>
      <c r="P203" s="711"/>
      <c r="Q203" s="702" t="s">
        <v>190</v>
      </c>
      <c r="R203" s="711"/>
      <c r="S203" s="657" t="e">
        <f t="shared" si="28"/>
        <v>#REF!</v>
      </c>
      <c r="T203" s="657" t="e">
        <f t="shared" si="28"/>
        <v>#REF!</v>
      </c>
      <c r="U203" s="657" t="e">
        <f t="shared" si="28"/>
        <v>#REF!</v>
      </c>
      <c r="V203" s="657" t="e">
        <f t="shared" si="26"/>
        <v>#REF!</v>
      </c>
    </row>
    <row r="204" spans="1:22" s="545" customFormat="1" hidden="1">
      <c r="A204" s="537"/>
      <c r="B204" s="500"/>
      <c r="C204" s="537"/>
      <c r="E204" s="658"/>
      <c r="F204" s="573" t="s">
        <v>191</v>
      </c>
      <c r="G204" s="655"/>
      <c r="H204" s="657" t="e">
        <f t="shared" si="27"/>
        <v>#REF!</v>
      </c>
      <c r="I204" s="657" t="e">
        <f t="shared" si="27"/>
        <v>#REF!</v>
      </c>
      <c r="J204" s="657" t="e">
        <f t="shared" si="27"/>
        <v>#REF!</v>
      </c>
      <c r="K204" s="657" t="e">
        <f t="shared" si="25"/>
        <v>#REF!</v>
      </c>
      <c r="M204" s="500"/>
      <c r="N204" s="473"/>
      <c r="P204" s="711"/>
      <c r="Q204" s="702" t="s">
        <v>191</v>
      </c>
      <c r="R204" s="711"/>
      <c r="S204" s="657" t="e">
        <f t="shared" si="28"/>
        <v>#REF!</v>
      </c>
      <c r="T204" s="657" t="e">
        <f t="shared" si="28"/>
        <v>#REF!</v>
      </c>
      <c r="U204" s="657" t="e">
        <f t="shared" si="28"/>
        <v>#REF!</v>
      </c>
      <c r="V204" s="657" t="e">
        <f t="shared" si="26"/>
        <v>#REF!</v>
      </c>
    </row>
    <row r="205" spans="1:22" s="545" customFormat="1" hidden="1">
      <c r="A205" s="537"/>
      <c r="B205" s="500"/>
      <c r="C205" s="537"/>
      <c r="E205" s="658"/>
      <c r="F205" s="573" t="s">
        <v>192</v>
      </c>
      <c r="G205" s="655"/>
      <c r="H205" s="657" t="e">
        <f t="shared" si="27"/>
        <v>#REF!</v>
      </c>
      <c r="I205" s="657" t="e">
        <f t="shared" si="27"/>
        <v>#REF!</v>
      </c>
      <c r="J205" s="657" t="e">
        <f t="shared" si="27"/>
        <v>#REF!</v>
      </c>
      <c r="K205" s="657" t="e">
        <f t="shared" si="25"/>
        <v>#REF!</v>
      </c>
      <c r="M205" s="500"/>
      <c r="N205" s="473"/>
      <c r="P205" s="711"/>
      <c r="Q205" s="702" t="s">
        <v>192</v>
      </c>
      <c r="R205" s="711"/>
      <c r="S205" s="657" t="e">
        <f t="shared" si="28"/>
        <v>#REF!</v>
      </c>
      <c r="T205" s="657" t="e">
        <f t="shared" si="28"/>
        <v>#REF!</v>
      </c>
      <c r="U205" s="657" t="e">
        <f t="shared" si="28"/>
        <v>#REF!</v>
      </c>
      <c r="V205" s="657" t="e">
        <f t="shared" si="26"/>
        <v>#REF!</v>
      </c>
    </row>
    <row r="206" spans="1:22" s="545" customFormat="1" hidden="1">
      <c r="A206" s="537"/>
      <c r="B206" s="500"/>
      <c r="C206" s="537"/>
      <c r="E206" s="658"/>
      <c r="F206" s="655" t="s">
        <v>152</v>
      </c>
      <c r="G206" s="655"/>
      <c r="H206" s="673" t="e">
        <f>SUM(H182:H205)</f>
        <v>#REF!</v>
      </c>
      <c r="I206" s="673" t="e">
        <f>SUM(I182:I205)</f>
        <v>#REF!</v>
      </c>
      <c r="J206" s="673" t="e">
        <f>SUM(J182:J205)</f>
        <v>#REF!</v>
      </c>
      <c r="K206" s="673" t="e">
        <f>SUM(K182:K205)</f>
        <v>#REF!</v>
      </c>
      <c r="M206" s="500"/>
      <c r="N206" s="473"/>
      <c r="P206" s="711"/>
      <c r="Q206" s="711" t="s">
        <v>152</v>
      </c>
      <c r="R206" s="711"/>
      <c r="S206" s="673" t="e">
        <f>SUM(S182:S205)</f>
        <v>#REF!</v>
      </c>
      <c r="T206" s="673" t="e">
        <f>SUM(T182:T205)</f>
        <v>#REF!</v>
      </c>
      <c r="U206" s="673" t="e">
        <f>SUM(U182:U205)</f>
        <v>#REF!</v>
      </c>
      <c r="V206" s="673" t="e">
        <f>SUM(V182:V205)</f>
        <v>#REF!</v>
      </c>
    </row>
    <row r="207" spans="1:22" s="545" customFormat="1" hidden="1">
      <c r="A207" s="537"/>
      <c r="B207" s="500"/>
      <c r="C207" s="537"/>
      <c r="E207" s="658"/>
      <c r="F207" s="655"/>
      <c r="G207" s="655"/>
      <c r="H207" s="673"/>
      <c r="I207" s="673"/>
      <c r="J207" s="673"/>
      <c r="K207" s="673"/>
      <c r="M207" s="500"/>
      <c r="N207" s="473"/>
      <c r="P207" s="711"/>
      <c r="Q207" s="711"/>
      <c r="R207" s="711"/>
      <c r="S207" s="673"/>
      <c r="T207" s="673"/>
      <c r="U207" s="673"/>
      <c r="V207" s="673"/>
    </row>
    <row r="208" spans="1:22" s="545" customFormat="1" ht="24" hidden="1" thickBot="1">
      <c r="A208" s="537"/>
      <c r="B208" s="500"/>
      <c r="C208" s="537"/>
      <c r="E208" s="658"/>
      <c r="F208" s="655" t="s">
        <v>197</v>
      </c>
      <c r="G208" s="655"/>
      <c r="H208" s="659" t="e">
        <f>+H206+I206</f>
        <v>#REF!</v>
      </c>
      <c r="I208" s="659"/>
      <c r="J208" s="659" t="e">
        <f>+J206+#REF!</f>
        <v>#REF!</v>
      </c>
      <c r="K208" s="659"/>
      <c r="M208" s="500"/>
      <c r="N208" s="473"/>
      <c r="P208" s="711"/>
      <c r="Q208" s="711" t="s">
        <v>197</v>
      </c>
      <c r="R208" s="711"/>
      <c r="S208" s="659" t="e">
        <f>+S206+T206</f>
        <v>#REF!</v>
      </c>
      <c r="T208" s="659"/>
      <c r="U208" s="659" t="e">
        <f>+U206+#REF!</f>
        <v>#REF!</v>
      </c>
      <c r="V208" s="659"/>
    </row>
    <row r="209" spans="1:22" s="545" customFormat="1" hidden="1">
      <c r="A209" s="537"/>
      <c r="B209" s="500"/>
      <c r="C209" s="537"/>
      <c r="E209" s="658"/>
      <c r="F209" s="655"/>
      <c r="G209" s="655"/>
      <c r="H209" s="551"/>
      <c r="I209" s="551"/>
      <c r="J209" s="551"/>
      <c r="K209" s="551"/>
      <c r="M209" s="500"/>
      <c r="N209" s="473"/>
      <c r="P209" s="711"/>
      <c r="Q209" s="711"/>
      <c r="R209" s="711"/>
      <c r="S209" s="551"/>
      <c r="T209" s="551"/>
      <c r="U209" s="551"/>
      <c r="V209" s="551"/>
    </row>
    <row r="210" spans="1:22" s="545" customFormat="1" hidden="1">
      <c r="A210" s="537"/>
      <c r="B210" s="500"/>
      <c r="C210" s="537"/>
      <c r="E210" s="658"/>
      <c r="F210" s="655"/>
      <c r="G210" s="655"/>
      <c r="H210" s="657"/>
      <c r="I210" s="657"/>
      <c r="J210" s="657"/>
      <c r="K210" s="657"/>
      <c r="M210" s="500"/>
      <c r="N210" s="473"/>
      <c r="P210" s="711"/>
      <c r="Q210" s="711"/>
      <c r="R210" s="711"/>
      <c r="S210" s="657"/>
      <c r="T210" s="657"/>
      <c r="U210" s="657"/>
      <c r="V210" s="657"/>
    </row>
    <row r="211" spans="1:22" s="545" customFormat="1" hidden="1">
      <c r="A211" s="537"/>
      <c r="B211" s="500"/>
      <c r="C211" s="537"/>
      <c r="E211" s="658"/>
      <c r="F211" s="674" t="s">
        <v>198</v>
      </c>
      <c r="G211" s="660"/>
      <c r="H211" s="660"/>
      <c r="I211" s="655"/>
      <c r="J211" s="660"/>
      <c r="K211" s="655"/>
      <c r="M211" s="500"/>
      <c r="N211" s="473"/>
      <c r="P211" s="711"/>
      <c r="Q211" s="711" t="s">
        <v>198</v>
      </c>
      <c r="R211" s="702"/>
      <c r="S211" s="660"/>
      <c r="T211" s="655"/>
      <c r="U211" s="660"/>
      <c r="V211" s="655"/>
    </row>
    <row r="212" spans="1:22" s="545" customFormat="1" hidden="1">
      <c r="A212" s="537"/>
      <c r="B212" s="500"/>
      <c r="C212" s="537"/>
      <c r="E212" s="658"/>
      <c r="F212" s="655"/>
      <c r="G212" s="660"/>
      <c r="H212" s="675"/>
      <c r="I212" s="655"/>
      <c r="J212" s="675"/>
      <c r="K212" s="655"/>
      <c r="M212" s="500"/>
      <c r="N212" s="473"/>
      <c r="P212" s="711"/>
      <c r="Q212" s="711"/>
      <c r="R212" s="702"/>
      <c r="S212" s="675"/>
      <c r="T212" s="655"/>
      <c r="U212" s="675"/>
      <c r="V212" s="655"/>
    </row>
    <row r="213" spans="1:22" s="545" customFormat="1" hidden="1">
      <c r="A213" s="537"/>
      <c r="B213" s="500"/>
      <c r="C213" s="537"/>
      <c r="F213" s="537"/>
      <c r="G213" s="537"/>
      <c r="H213" s="537"/>
      <c r="I213" s="537"/>
      <c r="J213" s="537"/>
      <c r="K213" s="537"/>
      <c r="M213" s="500"/>
      <c r="N213" s="473"/>
      <c r="P213" s="711"/>
      <c r="Q213" s="711"/>
      <c r="R213" s="711"/>
      <c r="S213" s="537"/>
      <c r="T213" s="537"/>
      <c r="U213" s="537"/>
      <c r="V213" s="537"/>
    </row>
    <row r="214" spans="1:22" s="545" customFormat="1" hidden="1">
      <c r="A214" s="537"/>
      <c r="B214" s="500"/>
      <c r="C214" s="537"/>
      <c r="F214" s="672" t="s">
        <v>199</v>
      </c>
      <c r="G214" s="537"/>
      <c r="H214" s="537"/>
      <c r="I214" s="537"/>
      <c r="J214" s="537"/>
      <c r="K214" s="537"/>
      <c r="M214" s="500"/>
      <c r="N214" s="473"/>
      <c r="P214" s="711"/>
      <c r="Q214" s="702" t="s">
        <v>199</v>
      </c>
      <c r="R214" s="711"/>
      <c r="S214" s="537"/>
      <c r="T214" s="537"/>
      <c r="U214" s="537"/>
      <c r="V214" s="537"/>
    </row>
    <row r="215" spans="1:22" s="545" customFormat="1" ht="12" hidden="1" customHeight="1">
      <c r="A215" s="537"/>
      <c r="B215" s="500"/>
      <c r="C215" s="537"/>
      <c r="F215" s="672"/>
      <c r="G215" s="537"/>
      <c r="H215" s="2254" t="s">
        <v>10</v>
      </c>
      <c r="I215" s="2254"/>
      <c r="J215" s="662" t="s">
        <v>11</v>
      </c>
      <c r="K215" s="663" t="s">
        <v>167</v>
      </c>
      <c r="M215" s="500"/>
      <c r="N215" s="473"/>
      <c r="P215" s="711"/>
      <c r="Q215" s="702"/>
      <c r="R215" s="711"/>
      <c r="S215" s="2254" t="s">
        <v>10</v>
      </c>
      <c r="T215" s="2254"/>
      <c r="U215" s="662" t="s">
        <v>11</v>
      </c>
      <c r="V215" s="663" t="s">
        <v>167</v>
      </c>
    </row>
    <row r="216" spans="1:22" s="545" customFormat="1" hidden="1">
      <c r="A216" s="537"/>
      <c r="B216" s="500"/>
      <c r="C216" s="537"/>
      <c r="F216" s="672"/>
      <c r="G216" s="537"/>
      <c r="H216" s="664" t="s">
        <v>41</v>
      </c>
      <c r="I216" s="665" t="s">
        <v>159</v>
      </c>
      <c r="J216" s="666" t="s">
        <v>42</v>
      </c>
      <c r="K216" s="664"/>
      <c r="M216" s="500"/>
      <c r="N216" s="473"/>
      <c r="P216" s="711"/>
      <c r="Q216" s="702"/>
      <c r="R216" s="711"/>
      <c r="S216" s="664" t="s">
        <v>41</v>
      </c>
      <c r="T216" s="665" t="s">
        <v>159</v>
      </c>
      <c r="U216" s="666" t="s">
        <v>42</v>
      </c>
      <c r="V216" s="664"/>
    </row>
    <row r="217" spans="1:22" s="545" customFormat="1" hidden="1">
      <c r="A217" s="537"/>
      <c r="B217" s="500"/>
      <c r="C217" s="537"/>
      <c r="F217" s="573" t="s">
        <v>200</v>
      </c>
      <c r="G217" s="537"/>
      <c r="H217" s="676" t="e">
        <f>#REF!</f>
        <v>#REF!</v>
      </c>
      <c r="I217" s="676" t="e">
        <f>#REF!</f>
        <v>#REF!</v>
      </c>
      <c r="J217" s="676" t="e">
        <f>#REF!</f>
        <v>#REF!</v>
      </c>
      <c r="K217" s="676" t="e">
        <f>SUM(H217:J217)</f>
        <v>#REF!</v>
      </c>
      <c r="M217" s="500"/>
      <c r="N217" s="473"/>
      <c r="P217" s="711"/>
      <c r="Q217" s="702" t="s">
        <v>200</v>
      </c>
      <c r="R217" s="711"/>
      <c r="S217" s="676" t="e">
        <f>#REF!</f>
        <v>#REF!</v>
      </c>
      <c r="T217" s="676" t="e">
        <f>#REF!</f>
        <v>#REF!</v>
      </c>
      <c r="U217" s="676" t="e">
        <f>#REF!</f>
        <v>#REF!</v>
      </c>
      <c r="V217" s="676" t="e">
        <f>SUM(S217:U217)</f>
        <v>#REF!</v>
      </c>
    </row>
    <row r="218" spans="1:22" s="545" customFormat="1" hidden="1">
      <c r="A218" s="537"/>
      <c r="B218" s="500"/>
      <c r="C218" s="537"/>
      <c r="F218" s="573" t="s">
        <v>201</v>
      </c>
      <c r="G218" s="537"/>
      <c r="H218" s="676" t="e">
        <f>#REF!</f>
        <v>#REF!</v>
      </c>
      <c r="I218" s="676" t="e">
        <f>#REF!</f>
        <v>#REF!</v>
      </c>
      <c r="J218" s="676" t="e">
        <f>#REF!</f>
        <v>#REF!</v>
      </c>
      <c r="K218" s="676" t="e">
        <f>SUM(H218:J218)</f>
        <v>#REF!</v>
      </c>
      <c r="M218" s="500"/>
      <c r="N218" s="473"/>
      <c r="P218" s="711"/>
      <c r="Q218" s="702" t="s">
        <v>201</v>
      </c>
      <c r="R218" s="711"/>
      <c r="S218" s="676" t="e">
        <f>#REF!</f>
        <v>#REF!</v>
      </c>
      <c r="T218" s="676" t="e">
        <f>#REF!</f>
        <v>#REF!</v>
      </c>
      <c r="U218" s="676" t="e">
        <f>#REF!</f>
        <v>#REF!</v>
      </c>
      <c r="V218" s="676" t="e">
        <f>SUM(S218:U218)</f>
        <v>#REF!</v>
      </c>
    </row>
    <row r="219" spans="1:22" s="545" customFormat="1" ht="24" hidden="1" thickBot="1">
      <c r="A219" s="537"/>
      <c r="B219" s="500"/>
      <c r="C219" s="537"/>
      <c r="F219" s="573" t="s">
        <v>152</v>
      </c>
      <c r="G219" s="537"/>
      <c r="H219" s="677" t="e">
        <f>+H218-H217</f>
        <v>#REF!</v>
      </c>
      <c r="I219" s="677" t="e">
        <f>+I218-I217</f>
        <v>#REF!</v>
      </c>
      <c r="J219" s="677" t="e">
        <f>+J218-J217</f>
        <v>#REF!</v>
      </c>
      <c r="K219" s="677" t="e">
        <f>+K218-K217</f>
        <v>#REF!</v>
      </c>
      <c r="M219" s="500"/>
      <c r="N219" s="473"/>
      <c r="P219" s="711"/>
      <c r="Q219" s="702" t="s">
        <v>152</v>
      </c>
      <c r="R219" s="711"/>
      <c r="S219" s="677" t="e">
        <f>+S218-S217</f>
        <v>#REF!</v>
      </c>
      <c r="T219" s="677" t="e">
        <f>+T218-T217</f>
        <v>#REF!</v>
      </c>
      <c r="U219" s="677" t="e">
        <f>+U218-U217</f>
        <v>#REF!</v>
      </c>
      <c r="V219" s="677" t="e">
        <f>+V218-V217</f>
        <v>#REF!</v>
      </c>
    </row>
    <row r="220" spans="1:22" s="545" customFormat="1" hidden="1">
      <c r="A220" s="537"/>
      <c r="B220" s="500"/>
      <c r="C220" s="537"/>
      <c r="F220" s="573"/>
      <c r="G220" s="537"/>
      <c r="H220" s="676"/>
      <c r="I220" s="676"/>
      <c r="J220" s="676"/>
      <c r="K220" s="676"/>
      <c r="M220" s="500"/>
      <c r="N220" s="473"/>
      <c r="P220" s="711"/>
      <c r="Q220" s="702"/>
      <c r="R220" s="711"/>
      <c r="S220" s="676"/>
      <c r="T220" s="676"/>
      <c r="U220" s="676"/>
      <c r="V220" s="676"/>
    </row>
    <row r="221" spans="1:22" s="545" customFormat="1" hidden="1">
      <c r="A221" s="537"/>
      <c r="B221" s="500"/>
      <c r="C221" s="537"/>
      <c r="E221" s="658"/>
      <c r="F221" s="573" t="s">
        <v>152</v>
      </c>
      <c r="G221" s="660"/>
      <c r="H221" s="678" t="e">
        <f>+H206-H219</f>
        <v>#REF!</v>
      </c>
      <c r="I221" s="678" t="e">
        <f>+I206-I219</f>
        <v>#REF!</v>
      </c>
      <c r="J221" s="678" t="e">
        <f>+J206-J219</f>
        <v>#REF!</v>
      </c>
      <c r="K221" s="678" t="e">
        <f>+K206-K219</f>
        <v>#REF!</v>
      </c>
      <c r="M221" s="500"/>
      <c r="N221" s="473"/>
      <c r="P221" s="711"/>
      <c r="Q221" s="702" t="s">
        <v>152</v>
      </c>
      <c r="R221" s="702"/>
      <c r="S221" s="678" t="e">
        <f>+S206-S219</f>
        <v>#REF!</v>
      </c>
      <c r="T221" s="678" t="e">
        <f>+T206-T219</f>
        <v>#REF!</v>
      </c>
      <c r="U221" s="678" t="e">
        <f>+U206-U219</f>
        <v>#REF!</v>
      </c>
      <c r="V221" s="678" t="e">
        <f>+V206-V219</f>
        <v>#REF!</v>
      </c>
    </row>
    <row r="222" spans="1:22" s="545" customFormat="1" hidden="1">
      <c r="A222" s="537"/>
      <c r="B222" s="500"/>
      <c r="C222" s="537"/>
      <c r="E222" s="658"/>
      <c r="F222" s="602"/>
      <c r="G222" s="660"/>
      <c r="H222" s="678"/>
      <c r="I222" s="678"/>
      <c r="J222" s="678"/>
      <c r="K222" s="671"/>
      <c r="M222" s="500"/>
      <c r="N222" s="473"/>
      <c r="P222" s="711"/>
      <c r="Q222" s="702"/>
      <c r="R222" s="702"/>
      <c r="S222" s="678"/>
      <c r="T222" s="678"/>
      <c r="U222" s="678"/>
      <c r="V222" s="671"/>
    </row>
    <row r="223" spans="1:22" s="545" customFormat="1" hidden="1">
      <c r="A223" s="537"/>
      <c r="B223" s="500"/>
      <c r="C223" s="537"/>
      <c r="E223" s="658"/>
      <c r="F223" s="602"/>
      <c r="G223" s="660"/>
      <c r="H223" s="678"/>
      <c r="I223" s="678"/>
      <c r="J223" s="678"/>
      <c r="K223" s="671"/>
      <c r="M223" s="500"/>
      <c r="N223" s="473"/>
      <c r="P223" s="711"/>
      <c r="Q223" s="702"/>
      <c r="R223" s="702"/>
      <c r="S223" s="678"/>
      <c r="T223" s="678"/>
      <c r="U223" s="678"/>
      <c r="V223" s="671"/>
    </row>
    <row r="224" spans="1:22" s="545" customFormat="1" hidden="1">
      <c r="A224" s="537"/>
      <c r="B224" s="500"/>
      <c r="C224" s="537"/>
      <c r="E224" s="658"/>
      <c r="F224" s="672"/>
      <c r="G224" s="660"/>
      <c r="H224" s="551"/>
      <c r="I224" s="551"/>
      <c r="J224" s="551"/>
      <c r="K224" s="655"/>
      <c r="M224" s="500"/>
      <c r="N224" s="473"/>
      <c r="P224" s="711"/>
      <c r="Q224" s="702"/>
      <c r="R224" s="702"/>
      <c r="S224" s="551"/>
      <c r="T224" s="551"/>
      <c r="U224" s="551"/>
      <c r="V224" s="655"/>
    </row>
    <row r="225" spans="1:22" s="545" customFormat="1" hidden="1">
      <c r="A225" s="537"/>
      <c r="B225" s="500"/>
      <c r="C225" s="537"/>
      <c r="E225" s="658"/>
      <c r="F225" s="602"/>
      <c r="G225" s="660"/>
      <c r="H225" s="679"/>
      <c r="I225" s="674"/>
      <c r="J225" s="674"/>
      <c r="K225" s="655"/>
      <c r="M225" s="500"/>
      <c r="N225" s="473"/>
      <c r="P225" s="711"/>
      <c r="Q225" s="702"/>
      <c r="R225" s="702"/>
      <c r="S225" s="679"/>
      <c r="T225" s="674"/>
      <c r="U225" s="674"/>
      <c r="V225" s="655"/>
    </row>
    <row r="226" spans="1:22" s="545" customFormat="1" hidden="1">
      <c r="A226" s="537"/>
      <c r="B226" s="500"/>
      <c r="C226" s="537"/>
      <c r="E226" s="658"/>
      <c r="F226" s="573" t="s">
        <v>498</v>
      </c>
      <c r="G226" s="660"/>
      <c r="H226" s="660"/>
      <c r="I226" s="655"/>
      <c r="J226" s="660"/>
      <c r="K226" s="655"/>
      <c r="M226" s="500"/>
      <c r="N226" s="473"/>
      <c r="P226" s="711"/>
      <c r="Q226" s="702" t="s">
        <v>498</v>
      </c>
      <c r="R226" s="702"/>
      <c r="S226" s="660"/>
      <c r="T226" s="655"/>
      <c r="U226" s="660"/>
      <c r="V226" s="655"/>
    </row>
    <row r="227" spans="1:22" s="545" customFormat="1" hidden="1">
      <c r="A227" s="537"/>
      <c r="B227" s="500"/>
      <c r="C227" s="537"/>
      <c r="F227" s="573"/>
      <c r="G227" s="537"/>
      <c r="H227" s="537"/>
      <c r="I227" s="537"/>
      <c r="J227" s="537"/>
      <c r="K227" s="537"/>
      <c r="M227" s="500"/>
      <c r="N227" s="473"/>
      <c r="P227" s="711"/>
      <c r="Q227" s="702"/>
      <c r="R227" s="711"/>
      <c r="S227" s="537"/>
      <c r="T227" s="537"/>
      <c r="U227" s="537"/>
      <c r="V227" s="537"/>
    </row>
    <row r="228" spans="1:22" s="545" customFormat="1" hidden="1">
      <c r="A228" s="537"/>
      <c r="B228" s="500"/>
      <c r="C228" s="537"/>
      <c r="F228" s="573"/>
      <c r="G228" s="537"/>
      <c r="H228" s="680" t="s">
        <v>202</v>
      </c>
      <c r="I228" s="680" t="s">
        <v>203</v>
      </c>
      <c r="J228" s="680" t="s">
        <v>204</v>
      </c>
      <c r="K228" s="537"/>
      <c r="M228" s="500"/>
      <c r="N228" s="473"/>
      <c r="P228" s="711"/>
      <c r="Q228" s="702"/>
      <c r="R228" s="711"/>
      <c r="S228" s="680" t="s">
        <v>202</v>
      </c>
      <c r="T228" s="680" t="s">
        <v>203</v>
      </c>
      <c r="U228" s="680" t="s">
        <v>204</v>
      </c>
      <c r="V228" s="537"/>
    </row>
    <row r="229" spans="1:22" s="545" customFormat="1" hidden="1">
      <c r="A229" s="537"/>
      <c r="B229" s="500"/>
      <c r="C229" s="537"/>
      <c r="E229" s="658"/>
      <c r="F229" s="655" t="s">
        <v>11</v>
      </c>
      <c r="G229" s="655"/>
      <c r="H229" s="676" t="e">
        <f>-J208</f>
        <v>#REF!</v>
      </c>
      <c r="I229" s="676" t="e">
        <f>+H229*0.12</f>
        <v>#REF!</v>
      </c>
      <c r="J229" s="676" t="e">
        <f>+H229+I229</f>
        <v>#REF!</v>
      </c>
      <c r="K229" s="660"/>
      <c r="M229" s="500"/>
      <c r="N229" s="473"/>
      <c r="P229" s="711"/>
      <c r="Q229" s="711" t="s">
        <v>11</v>
      </c>
      <c r="R229" s="711"/>
      <c r="S229" s="676" t="e">
        <f>-U208</f>
        <v>#REF!</v>
      </c>
      <c r="T229" s="676" t="e">
        <f>+S229*0.12</f>
        <v>#REF!</v>
      </c>
      <c r="U229" s="676" t="e">
        <f>+S229+T229</f>
        <v>#REF!</v>
      </c>
      <c r="V229" s="660"/>
    </row>
    <row r="230" spans="1:22" s="545" customFormat="1" hidden="1">
      <c r="A230" s="537"/>
      <c r="B230" s="500"/>
      <c r="C230" s="537"/>
      <c r="E230" s="658"/>
      <c r="F230" s="655" t="s">
        <v>13</v>
      </c>
      <c r="G230" s="655"/>
      <c r="H230" s="676" t="e">
        <f>-#REF!</f>
        <v>#REF!</v>
      </c>
      <c r="I230" s="676" t="e">
        <f>+H230*0.12</f>
        <v>#REF!</v>
      </c>
      <c r="J230" s="676" t="e">
        <f>+H230+I230</f>
        <v>#REF!</v>
      </c>
      <c r="K230" s="660"/>
      <c r="M230" s="500"/>
      <c r="N230" s="473"/>
      <c r="P230" s="711"/>
      <c r="Q230" s="711" t="s">
        <v>13</v>
      </c>
      <c r="R230" s="711"/>
      <c r="S230" s="676" t="e">
        <f>-#REF!</f>
        <v>#REF!</v>
      </c>
      <c r="T230" s="676" t="e">
        <f>+S230*0.12</f>
        <v>#REF!</v>
      </c>
      <c r="U230" s="676" t="e">
        <f>+S230+T230</f>
        <v>#REF!</v>
      </c>
      <c r="V230" s="660"/>
    </row>
    <row r="231" spans="1:22" s="545" customFormat="1" hidden="1">
      <c r="A231" s="537"/>
      <c r="B231" s="500"/>
      <c r="C231" s="537"/>
      <c r="E231" s="658"/>
      <c r="F231" s="658"/>
      <c r="G231" s="658"/>
      <c r="H231" s="676"/>
      <c r="I231" s="676"/>
      <c r="J231" s="676"/>
      <c r="K231" s="600"/>
      <c r="M231" s="500"/>
      <c r="N231" s="473"/>
      <c r="P231" s="711"/>
      <c r="Q231" s="711"/>
      <c r="R231" s="711"/>
      <c r="S231" s="676"/>
      <c r="T231" s="676"/>
      <c r="U231" s="676"/>
      <c r="V231" s="600"/>
    </row>
    <row r="232" spans="1:22" s="545" customFormat="1" hidden="1">
      <c r="A232" s="537"/>
      <c r="B232" s="500"/>
      <c r="C232" s="537"/>
      <c r="E232" s="658"/>
      <c r="F232" s="658"/>
      <c r="G232" s="658"/>
      <c r="H232" s="676"/>
      <c r="I232" s="676"/>
      <c r="J232" s="676"/>
      <c r="K232" s="600"/>
      <c r="M232" s="500"/>
      <c r="N232" s="473"/>
      <c r="P232" s="711"/>
      <c r="Q232" s="711"/>
      <c r="R232" s="711"/>
      <c r="S232" s="676"/>
      <c r="T232" s="676"/>
      <c r="U232" s="676"/>
      <c r="V232" s="600"/>
    </row>
    <row r="233" spans="1:22" ht="26.25">
      <c r="I233" s="2257" t="s">
        <v>699</v>
      </c>
      <c r="J233" s="2257"/>
      <c r="K233" s="2257"/>
      <c r="O233" s="502"/>
      <c r="P233" s="2260" t="s">
        <v>699</v>
      </c>
      <c r="Q233" s="2260"/>
      <c r="R233" s="2260"/>
      <c r="S233" s="491"/>
    </row>
    <row r="234" spans="1:22" ht="26.25">
      <c r="I234" s="681" t="s">
        <v>163</v>
      </c>
      <c r="J234" s="681" t="s">
        <v>697</v>
      </c>
      <c r="K234" s="681" t="s">
        <v>698</v>
      </c>
      <c r="O234" s="502"/>
      <c r="P234" s="718" t="s">
        <v>163</v>
      </c>
      <c r="Q234" s="718" t="s">
        <v>697</v>
      </c>
      <c r="R234" s="718" t="s">
        <v>698</v>
      </c>
      <c r="S234" s="491"/>
    </row>
    <row r="235" spans="1:22">
      <c r="E235" s="491"/>
      <c r="F235" s="491"/>
      <c r="G235" s="491"/>
      <c r="H235" s="491"/>
      <c r="I235" s="491"/>
      <c r="J235" s="491"/>
      <c r="R235" s="712"/>
      <c r="S235" s="491"/>
      <c r="T235" s="491"/>
      <c r="U235" s="491"/>
    </row>
    <row r="236" spans="1:22" ht="39.75" customHeight="1">
      <c r="E236" s="491"/>
      <c r="F236" s="491"/>
      <c r="G236" s="491"/>
      <c r="H236" s="682" t="s">
        <v>694</v>
      </c>
      <c r="I236" s="683">
        <f>+E131</f>
        <v>200691.61999999997</v>
      </c>
      <c r="J236" s="683">
        <f>+F131</f>
        <v>23115</v>
      </c>
      <c r="K236" s="684">
        <f>+G131</f>
        <v>223806.61999999997</v>
      </c>
      <c r="O236" s="682" t="s">
        <v>694</v>
      </c>
      <c r="P236" s="719">
        <f>+E131</f>
        <v>200691.61999999997</v>
      </c>
      <c r="Q236" s="719">
        <f>+F131</f>
        <v>23115</v>
      </c>
      <c r="R236" s="720">
        <f>+G131</f>
        <v>223806.61999999997</v>
      </c>
      <c r="S236" s="491"/>
      <c r="T236" s="491"/>
      <c r="U236" s="491"/>
    </row>
    <row r="237" spans="1:22" ht="48.75" customHeight="1">
      <c r="H237" s="685" t="s">
        <v>695</v>
      </c>
      <c r="I237" s="684">
        <f>+P131</f>
        <v>210106.03999999995</v>
      </c>
      <c r="J237" s="684">
        <v>23115</v>
      </c>
      <c r="K237" s="684">
        <f>+R131</f>
        <v>232952.75999999992</v>
      </c>
      <c r="O237" s="685" t="s">
        <v>695</v>
      </c>
      <c r="P237" s="720">
        <f>+P131</f>
        <v>210106.03999999995</v>
      </c>
      <c r="Q237" s="720">
        <v>23115</v>
      </c>
      <c r="R237" s="720">
        <f>+R131</f>
        <v>232952.75999999992</v>
      </c>
      <c r="S237" s="491"/>
    </row>
    <row r="238" spans="1:22" ht="63.75" customHeight="1" thickBot="1">
      <c r="H238" s="685" t="s">
        <v>696</v>
      </c>
      <c r="I238" s="686">
        <f>+I237-I236</f>
        <v>9414.4199999999837</v>
      </c>
      <c r="J238" s="686">
        <f>+J237-J236</f>
        <v>0</v>
      </c>
      <c r="K238" s="686">
        <f>+K237-K236</f>
        <v>9146.1399999999558</v>
      </c>
      <c r="O238" s="685" t="s">
        <v>696</v>
      </c>
      <c r="P238" s="721">
        <f>+P237-P236</f>
        <v>9414.4199999999837</v>
      </c>
      <c r="Q238" s="721">
        <f>+Q237-Q236</f>
        <v>0</v>
      </c>
      <c r="R238" s="721">
        <f>+R237-R236</f>
        <v>9146.1399999999558</v>
      </c>
      <c r="S238" s="491"/>
    </row>
    <row r="239" spans="1:22" ht="24" thickTop="1">
      <c r="O239" s="502"/>
      <c r="P239" s="712"/>
      <c r="Q239" s="712"/>
      <c r="R239" s="712"/>
      <c r="S239" s="491"/>
    </row>
    <row r="240" spans="1:22">
      <c r="O240" s="502"/>
      <c r="P240" s="712"/>
      <c r="Q240" s="712"/>
      <c r="R240" s="712"/>
      <c r="S240" s="491"/>
    </row>
    <row r="241" spans="8:23">
      <c r="O241" s="502"/>
      <c r="P241" s="712"/>
      <c r="Q241" s="712"/>
      <c r="R241" s="712"/>
      <c r="S241" s="491"/>
    </row>
    <row r="242" spans="8:23" ht="26.25">
      <c r="I242" s="2258" t="s">
        <v>700</v>
      </c>
      <c r="J242" s="2258"/>
      <c r="K242" s="2258"/>
      <c r="O242" s="502"/>
      <c r="P242" s="2251" t="s">
        <v>700</v>
      </c>
      <c r="Q242" s="2251"/>
      <c r="R242" s="2251"/>
      <c r="S242" s="491"/>
    </row>
    <row r="243" spans="8:23" ht="26.25">
      <c r="H243" s="501"/>
      <c r="I243" s="687" t="s">
        <v>10</v>
      </c>
      <c r="J243" s="2259">
        <v>100614.16</v>
      </c>
      <c r="K243" s="2259"/>
      <c r="O243" s="501"/>
      <c r="P243" s="716" t="s">
        <v>10</v>
      </c>
      <c r="Q243" s="2252">
        <v>100614.16</v>
      </c>
      <c r="R243" s="2252"/>
      <c r="S243" s="491"/>
    </row>
    <row r="244" spans="8:23" ht="26.25">
      <c r="H244" s="501"/>
      <c r="I244" s="688" t="s">
        <v>11</v>
      </c>
      <c r="J244" s="2259">
        <v>109491.88</v>
      </c>
      <c r="K244" s="2259"/>
      <c r="O244" s="501"/>
      <c r="P244" s="717" t="s">
        <v>11</v>
      </c>
      <c r="Q244" s="2252">
        <v>109491.88</v>
      </c>
      <c r="R244" s="2252"/>
      <c r="S244" s="491"/>
    </row>
    <row r="245" spans="8:23" ht="26.25">
      <c r="I245" s="688" t="s">
        <v>204</v>
      </c>
      <c r="J245" s="2256">
        <f>+J243+J244</f>
        <v>210106.04</v>
      </c>
      <c r="K245" s="2256"/>
      <c r="O245" s="502"/>
      <c r="P245" s="717" t="s">
        <v>204</v>
      </c>
      <c r="Q245" s="2253">
        <f>+Q243+Q244</f>
        <v>210106.04</v>
      </c>
      <c r="R245" s="2253"/>
      <c r="S245" s="491"/>
    </row>
    <row r="246" spans="8:23">
      <c r="O246" s="502"/>
      <c r="P246" s="712"/>
      <c r="Q246" s="712"/>
      <c r="R246" s="712"/>
      <c r="S246" s="491"/>
    </row>
    <row r="247" spans="8:23">
      <c r="M247" s="713" t="s">
        <v>704</v>
      </c>
      <c r="O247" s="502"/>
      <c r="P247" s="712"/>
      <c r="Q247" s="712"/>
      <c r="R247" s="712"/>
      <c r="S247" s="491"/>
      <c r="T247" s="715" t="s">
        <v>702</v>
      </c>
      <c r="U247" s="715"/>
      <c r="V247" s="715"/>
      <c r="W247" s="714"/>
    </row>
    <row r="248" spans="8:23">
      <c r="O248" s="502"/>
      <c r="P248" s="712"/>
      <c r="Q248" s="712"/>
      <c r="R248" s="712"/>
      <c r="S248" s="491"/>
    </row>
    <row r="250" spans="8:23">
      <c r="T250" s="715" t="s">
        <v>703</v>
      </c>
      <c r="U250" s="715"/>
      <c r="V250" s="715"/>
      <c r="W250" s="714"/>
    </row>
    <row r="251" spans="8:23">
      <c r="M251" s="714" t="s">
        <v>705</v>
      </c>
    </row>
  </sheetData>
  <sheetProtection selectLockedCells="1" selectUnlockedCells="1"/>
  <autoFilter ref="A7:CY134" xr:uid="{00000000-0009-0000-0000-000002000000}"/>
  <mergeCells count="18">
    <mergeCell ref="O6:V6"/>
    <mergeCell ref="S147:T147"/>
    <mergeCell ref="D6:K6"/>
    <mergeCell ref="J245:K245"/>
    <mergeCell ref="S180:T180"/>
    <mergeCell ref="S215:T215"/>
    <mergeCell ref="I233:K233"/>
    <mergeCell ref="I242:K242"/>
    <mergeCell ref="J243:K243"/>
    <mergeCell ref="J244:K244"/>
    <mergeCell ref="H180:I180"/>
    <mergeCell ref="H215:I215"/>
    <mergeCell ref="P233:R233"/>
    <mergeCell ref="P242:R242"/>
    <mergeCell ref="Q243:R243"/>
    <mergeCell ref="Q244:R244"/>
    <mergeCell ref="Q245:R245"/>
    <mergeCell ref="H147:I147"/>
  </mergeCells>
  <conditionalFormatting sqref="A115:A1048576 A1:A34 A37:A47 A49:A113">
    <cfRule type="duplicateValues" dxfId="797" priority="104"/>
  </conditionalFormatting>
  <conditionalFormatting sqref="B96">
    <cfRule type="duplicateValues" dxfId="796" priority="98"/>
  </conditionalFormatting>
  <conditionalFormatting sqref="B96">
    <cfRule type="duplicateValues" dxfId="795" priority="97"/>
  </conditionalFormatting>
  <conditionalFormatting sqref="B96">
    <cfRule type="duplicateValues" dxfId="794" priority="96"/>
  </conditionalFormatting>
  <conditionalFormatting sqref="B100:B101">
    <cfRule type="duplicateValues" dxfId="793" priority="95"/>
  </conditionalFormatting>
  <conditionalFormatting sqref="B100:B101">
    <cfRule type="duplicateValues" dxfId="792" priority="94"/>
  </conditionalFormatting>
  <conditionalFormatting sqref="B100:B101">
    <cfRule type="duplicateValues" dxfId="791" priority="93"/>
  </conditionalFormatting>
  <conditionalFormatting sqref="B58">
    <cfRule type="duplicateValues" dxfId="790" priority="92"/>
  </conditionalFormatting>
  <conditionalFormatting sqref="B58">
    <cfRule type="duplicateValues" dxfId="789" priority="91"/>
  </conditionalFormatting>
  <conditionalFormatting sqref="B58">
    <cfRule type="duplicateValues" dxfId="788" priority="90"/>
  </conditionalFormatting>
  <conditionalFormatting sqref="B97:B99 B68:B78 B83:B95 B1:B35 B104:B1048576 B49:B57 B37:B47">
    <cfRule type="duplicateValues" dxfId="787" priority="106"/>
  </conditionalFormatting>
  <conditionalFormatting sqref="B130:B1048576">
    <cfRule type="duplicateValues" dxfId="786" priority="107"/>
  </conditionalFormatting>
  <conditionalFormatting sqref="B104:B1048576 B68:B78 B1:B35 B83:B101 B49:B58 B37:B47">
    <cfRule type="duplicateValues" dxfId="785" priority="108"/>
  </conditionalFormatting>
  <conditionalFormatting sqref="B36">
    <cfRule type="duplicateValues" dxfId="784" priority="86"/>
  </conditionalFormatting>
  <conditionalFormatting sqref="B36">
    <cfRule type="duplicateValues" dxfId="783" priority="87"/>
  </conditionalFormatting>
  <conditionalFormatting sqref="B36">
    <cfRule type="duplicateValues" dxfId="782" priority="88"/>
  </conditionalFormatting>
  <conditionalFormatting sqref="B36">
    <cfRule type="duplicateValues" dxfId="781" priority="89"/>
  </conditionalFormatting>
  <conditionalFormatting sqref="B79">
    <cfRule type="duplicateValues" dxfId="780" priority="109"/>
  </conditionalFormatting>
  <conditionalFormatting sqref="B79">
    <cfRule type="duplicateValues" dxfId="779" priority="110"/>
  </conditionalFormatting>
  <conditionalFormatting sqref="B80:B82">
    <cfRule type="duplicateValues" dxfId="778" priority="84"/>
  </conditionalFormatting>
  <conditionalFormatting sqref="B80:B82">
    <cfRule type="duplicateValues" dxfId="777" priority="85"/>
  </conditionalFormatting>
  <conditionalFormatting sqref="B59:B60">
    <cfRule type="duplicateValues" dxfId="776" priority="82"/>
  </conditionalFormatting>
  <conditionalFormatting sqref="B59:B60">
    <cfRule type="duplicateValues" dxfId="775" priority="81"/>
  </conditionalFormatting>
  <conditionalFormatting sqref="B59:B60">
    <cfRule type="duplicateValues" dxfId="774" priority="80"/>
  </conditionalFormatting>
  <conditionalFormatting sqref="B59:B60">
    <cfRule type="duplicateValues" dxfId="773" priority="83"/>
  </conditionalFormatting>
  <conditionalFormatting sqref="B104:B1048576 B68:B101 B49:B60 B1:B47">
    <cfRule type="duplicateValues" dxfId="772" priority="69"/>
  </conditionalFormatting>
  <conditionalFormatting sqref="B104:B1048576">
    <cfRule type="duplicateValues" dxfId="771" priority="68"/>
  </conditionalFormatting>
  <conditionalFormatting sqref="B102">
    <cfRule type="duplicateValues" dxfId="770" priority="111"/>
  </conditionalFormatting>
  <conditionalFormatting sqref="B102">
    <cfRule type="duplicateValues" dxfId="769" priority="112"/>
  </conditionalFormatting>
  <conditionalFormatting sqref="B67">
    <cfRule type="duplicateValues" dxfId="768" priority="60"/>
  </conditionalFormatting>
  <conditionalFormatting sqref="B67">
    <cfRule type="duplicateValues" dxfId="767" priority="59"/>
  </conditionalFormatting>
  <conditionalFormatting sqref="B67">
    <cfRule type="duplicateValues" dxfId="766" priority="58"/>
  </conditionalFormatting>
  <conditionalFormatting sqref="B67">
    <cfRule type="duplicateValues" dxfId="765" priority="61"/>
  </conditionalFormatting>
  <conditionalFormatting sqref="B67">
    <cfRule type="duplicateValues" dxfId="764" priority="57"/>
  </conditionalFormatting>
  <conditionalFormatting sqref="B67">
    <cfRule type="duplicateValues" dxfId="763" priority="56"/>
  </conditionalFormatting>
  <conditionalFormatting sqref="A97:B99 A68:B73 A83:B91 B74:B78 B92:B95 A92:A96 B114 A115:B1048576 A104:B113 A1:B34 A49:B52 B53:B57 A53:A67 A74:A82 A37:B47 A100:A103">
    <cfRule type="duplicateValues" dxfId="762" priority="113"/>
  </conditionalFormatting>
  <conditionalFormatting sqref="B61:B66">
    <cfRule type="duplicateValues" dxfId="761" priority="114"/>
  </conditionalFormatting>
  <conditionalFormatting sqref="B103">
    <cfRule type="duplicateValues" dxfId="760" priority="115"/>
  </conditionalFormatting>
  <conditionalFormatting sqref="B35">
    <cfRule type="duplicateValues" dxfId="759" priority="116"/>
  </conditionalFormatting>
  <conditionalFormatting sqref="B48">
    <cfRule type="duplicateValues" dxfId="758" priority="52"/>
  </conditionalFormatting>
  <conditionalFormatting sqref="B48">
    <cfRule type="duplicateValues" dxfId="757" priority="53"/>
  </conditionalFormatting>
  <conditionalFormatting sqref="B48">
    <cfRule type="duplicateValues" dxfId="756" priority="54"/>
  </conditionalFormatting>
  <conditionalFormatting sqref="B48">
    <cfRule type="duplicateValues" dxfId="755" priority="50"/>
  </conditionalFormatting>
  <conditionalFormatting sqref="A35:A36">
    <cfRule type="duplicateValues" dxfId="754" priority="2231"/>
  </conditionalFormatting>
  <conditionalFormatting sqref="A48">
    <cfRule type="duplicateValues" dxfId="753" priority="2320"/>
  </conditionalFormatting>
  <conditionalFormatting sqref="A48:B48">
    <cfRule type="duplicateValues" dxfId="752" priority="2321"/>
  </conditionalFormatting>
  <conditionalFormatting sqref="A114">
    <cfRule type="duplicateValues" dxfId="751" priority="2375"/>
  </conditionalFormatting>
  <conditionalFormatting sqref="M96">
    <cfRule type="duplicateValues" dxfId="750" priority="31"/>
  </conditionalFormatting>
  <conditionalFormatting sqref="M96">
    <cfRule type="duplicateValues" dxfId="749" priority="30"/>
  </conditionalFormatting>
  <conditionalFormatting sqref="M96">
    <cfRule type="duplicateValues" dxfId="748" priority="29"/>
  </conditionalFormatting>
  <conditionalFormatting sqref="M100:M101">
    <cfRule type="duplicateValues" dxfId="747" priority="28"/>
  </conditionalFormatting>
  <conditionalFormatting sqref="M100:M101">
    <cfRule type="duplicateValues" dxfId="746" priority="27"/>
  </conditionalFormatting>
  <conditionalFormatting sqref="M100:M101">
    <cfRule type="duplicateValues" dxfId="745" priority="26"/>
  </conditionalFormatting>
  <conditionalFormatting sqref="M58">
    <cfRule type="duplicateValues" dxfId="744" priority="25"/>
  </conditionalFormatting>
  <conditionalFormatting sqref="M58">
    <cfRule type="duplicateValues" dxfId="743" priority="24"/>
  </conditionalFormatting>
  <conditionalFormatting sqref="M58">
    <cfRule type="duplicateValues" dxfId="742" priority="23"/>
  </conditionalFormatting>
  <conditionalFormatting sqref="M252:M1048576 M97:M99 M68:M78 M83:M95 M1:M35 M104:M250 M49:M57 M37:M47">
    <cfRule type="duplicateValues" dxfId="741" priority="32"/>
  </conditionalFormatting>
  <conditionalFormatting sqref="M252:M1048576 M130:M250">
    <cfRule type="duplicateValues" dxfId="740" priority="33"/>
  </conditionalFormatting>
  <conditionalFormatting sqref="M252:M1048576 M104:M250 M68:M78 M1:M35 M83:M101 M49:M58 M37:M47">
    <cfRule type="duplicateValues" dxfId="739" priority="34"/>
  </conditionalFormatting>
  <conditionalFormatting sqref="M36">
    <cfRule type="duplicateValues" dxfId="738" priority="19"/>
  </conditionalFormatting>
  <conditionalFormatting sqref="M36">
    <cfRule type="duplicateValues" dxfId="737" priority="20"/>
  </conditionalFormatting>
  <conditionalFormatting sqref="M36">
    <cfRule type="duplicateValues" dxfId="736" priority="21"/>
  </conditionalFormatting>
  <conditionalFormatting sqref="M36">
    <cfRule type="duplicateValues" dxfId="735" priority="22"/>
  </conditionalFormatting>
  <conditionalFormatting sqref="M79">
    <cfRule type="duplicateValues" dxfId="734" priority="35"/>
  </conditionalFormatting>
  <conditionalFormatting sqref="M79">
    <cfRule type="duplicateValues" dxfId="733" priority="36"/>
  </conditionalFormatting>
  <conditionalFormatting sqref="M80:M82">
    <cfRule type="duplicateValues" dxfId="732" priority="17"/>
  </conditionalFormatting>
  <conditionalFormatting sqref="M80:M82">
    <cfRule type="duplicateValues" dxfId="731" priority="18"/>
  </conditionalFormatting>
  <conditionalFormatting sqref="M59:M60">
    <cfRule type="duplicateValues" dxfId="730" priority="15"/>
  </conditionalFormatting>
  <conditionalFormatting sqref="M59:M60">
    <cfRule type="duplicateValues" dxfId="729" priority="14"/>
  </conditionalFormatting>
  <conditionalFormatting sqref="M59:M60">
    <cfRule type="duplicateValues" dxfId="728" priority="13"/>
  </conditionalFormatting>
  <conditionalFormatting sqref="M59:M60">
    <cfRule type="duplicateValues" dxfId="727" priority="16"/>
  </conditionalFormatting>
  <conditionalFormatting sqref="M252:M1048576 M104:M250 M68:M101 M49:M60 M1:M47">
    <cfRule type="duplicateValues" dxfId="726" priority="12"/>
  </conditionalFormatting>
  <conditionalFormatting sqref="M252:M1048576 M104:M250">
    <cfRule type="duplicateValues" dxfId="725" priority="11"/>
  </conditionalFormatting>
  <conditionalFormatting sqref="M102">
    <cfRule type="duplicateValues" dxfId="724" priority="37"/>
  </conditionalFormatting>
  <conditionalFormatting sqref="M102">
    <cfRule type="duplicateValues" dxfId="723" priority="38"/>
  </conditionalFormatting>
  <conditionalFormatting sqref="M67">
    <cfRule type="duplicateValues" dxfId="722" priority="9"/>
  </conditionalFormatting>
  <conditionalFormatting sqref="M67">
    <cfRule type="duplicateValues" dxfId="721" priority="8"/>
  </conditionalFormatting>
  <conditionalFormatting sqref="M67">
    <cfRule type="duplicateValues" dxfId="720" priority="7"/>
  </conditionalFormatting>
  <conditionalFormatting sqref="M67">
    <cfRule type="duplicateValues" dxfId="719" priority="10"/>
  </conditionalFormatting>
  <conditionalFormatting sqref="M67">
    <cfRule type="duplicateValues" dxfId="718" priority="6"/>
  </conditionalFormatting>
  <conditionalFormatting sqref="M67">
    <cfRule type="duplicateValues" dxfId="717" priority="5"/>
  </conditionalFormatting>
  <conditionalFormatting sqref="M252:M1048576 M97:M99 M68:M78 M83:M95 M104:M250 M1:M34 M49:M57 M37:M47">
    <cfRule type="duplicateValues" dxfId="716" priority="39"/>
  </conditionalFormatting>
  <conditionalFormatting sqref="M61:M66">
    <cfRule type="duplicateValues" dxfId="715" priority="40"/>
  </conditionalFormatting>
  <conditionalFormatting sqref="M103">
    <cfRule type="duplicateValues" dxfId="714" priority="41"/>
  </conditionalFormatting>
  <conditionalFormatting sqref="M35">
    <cfRule type="duplicateValues" dxfId="713" priority="42"/>
  </conditionalFormatting>
  <conditionalFormatting sqref="M48">
    <cfRule type="duplicateValues" dxfId="712" priority="2"/>
  </conditionalFormatting>
  <conditionalFormatting sqref="M48">
    <cfRule type="duplicateValues" dxfId="711" priority="3"/>
  </conditionalFormatting>
  <conditionalFormatting sqref="M48">
    <cfRule type="duplicateValues" dxfId="710" priority="4"/>
  </conditionalFormatting>
  <conditionalFormatting sqref="M48">
    <cfRule type="duplicateValues" dxfId="709" priority="1"/>
  </conditionalFormatting>
  <conditionalFormatting sqref="M48">
    <cfRule type="duplicateValues" dxfId="708" priority="43"/>
  </conditionalFormatting>
  <pageMargins left="0.7" right="0.7" top="0.75" bottom="0.75" header="0.51180555555555551" footer="0.51180555555555551"/>
  <pageSetup scale="28" firstPageNumber="0" orientation="portrait" horizontalDpi="4294967293" verticalDpi="300" r:id="rId1"/>
  <headerFooter alignWithMargins="0"/>
  <rowBreaks count="2" manualBreakCount="2">
    <brk id="68" max="16383" man="1"/>
    <brk id="252" max="101" man="1"/>
  </rowBreaks>
  <colBreaks count="2" manualBreakCount="2">
    <brk id="11" max="1048575" man="1"/>
    <brk id="24" max="1048575"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J39"/>
  <sheetViews>
    <sheetView workbookViewId="0">
      <selection activeCell="E7" sqref="E7"/>
    </sheetView>
  </sheetViews>
  <sheetFormatPr baseColWidth="10" defaultRowHeight="15"/>
  <cols>
    <col min="1" max="1" width="29.7109375" bestFit="1" customWidth="1"/>
    <col min="5" max="5" width="28" bestFit="1" customWidth="1"/>
    <col min="6" max="6" width="22.85546875" bestFit="1" customWidth="1"/>
  </cols>
  <sheetData>
    <row r="2" spans="1:9" ht="45">
      <c r="A2" t="s">
        <v>674</v>
      </c>
      <c r="E2" s="450" t="s">
        <v>37</v>
      </c>
      <c r="F2" s="451" t="s">
        <v>38</v>
      </c>
      <c r="G2" s="452" t="s">
        <v>444</v>
      </c>
      <c r="H2" s="452" t="s">
        <v>686</v>
      </c>
      <c r="I2" s="452" t="s">
        <v>687</v>
      </c>
    </row>
    <row r="3" spans="1:9">
      <c r="A3" t="s">
        <v>675</v>
      </c>
      <c r="B3">
        <v>120</v>
      </c>
      <c r="E3" s="311" t="s">
        <v>605</v>
      </c>
      <c r="F3" s="312" t="s">
        <v>379</v>
      </c>
      <c r="G3" s="313" t="s">
        <v>11</v>
      </c>
      <c r="H3" s="453"/>
      <c r="I3" s="453">
        <v>175</v>
      </c>
    </row>
    <row r="4" spans="1:9">
      <c r="A4" t="s">
        <v>676</v>
      </c>
      <c r="B4">
        <v>240</v>
      </c>
      <c r="E4" s="311" t="s">
        <v>668</v>
      </c>
      <c r="F4" s="312" t="s">
        <v>379</v>
      </c>
      <c r="G4" s="313" t="s">
        <v>11</v>
      </c>
      <c r="H4" s="453"/>
      <c r="I4" s="454">
        <v>87.5</v>
      </c>
    </row>
    <row r="5" spans="1:9">
      <c r="A5" t="s">
        <v>677</v>
      </c>
      <c r="B5">
        <v>240</v>
      </c>
      <c r="E5" s="311" t="s">
        <v>555</v>
      </c>
      <c r="F5" s="312" t="s">
        <v>596</v>
      </c>
      <c r="G5" s="312" t="s">
        <v>11</v>
      </c>
      <c r="H5" s="455">
        <v>150</v>
      </c>
      <c r="I5" s="453"/>
    </row>
    <row r="6" spans="1:9">
      <c r="B6" s="449">
        <f>SUM(B3:B5)</f>
        <v>600</v>
      </c>
      <c r="E6" s="311" t="s">
        <v>556</v>
      </c>
      <c r="F6" s="312" t="s">
        <v>596</v>
      </c>
      <c r="G6" s="312" t="s">
        <v>11</v>
      </c>
      <c r="H6" s="455">
        <v>150</v>
      </c>
      <c r="I6" s="453"/>
    </row>
    <row r="7" spans="1:9">
      <c r="E7" s="311" t="s">
        <v>548</v>
      </c>
      <c r="F7" s="312" t="s">
        <v>598</v>
      </c>
      <c r="G7" s="312" t="s">
        <v>11</v>
      </c>
      <c r="H7" s="455">
        <v>150</v>
      </c>
      <c r="I7" s="453"/>
    </row>
    <row r="8" spans="1:9">
      <c r="E8" s="311" t="s">
        <v>582</v>
      </c>
      <c r="F8" s="312" t="s">
        <v>598</v>
      </c>
      <c r="G8" s="312" t="s">
        <v>11</v>
      </c>
      <c r="H8" s="453"/>
      <c r="I8" s="453">
        <v>175</v>
      </c>
    </row>
    <row r="9" spans="1:9">
      <c r="A9" t="s">
        <v>678</v>
      </c>
      <c r="E9" s="311" t="s">
        <v>513</v>
      </c>
      <c r="F9" s="312" t="s">
        <v>599</v>
      </c>
      <c r="G9" s="312" t="s">
        <v>11</v>
      </c>
      <c r="H9" s="453">
        <v>150</v>
      </c>
      <c r="I9" s="453"/>
    </row>
    <row r="10" spans="1:9">
      <c r="A10" t="s">
        <v>690</v>
      </c>
      <c r="B10">
        <v>60</v>
      </c>
      <c r="E10" s="311" t="s">
        <v>588</v>
      </c>
      <c r="F10" s="312" t="s">
        <v>599</v>
      </c>
      <c r="G10" s="312" t="s">
        <v>11</v>
      </c>
      <c r="H10" s="453"/>
      <c r="I10" s="453">
        <v>175</v>
      </c>
    </row>
    <row r="11" spans="1:9">
      <c r="A11" t="s">
        <v>680</v>
      </c>
      <c r="B11">
        <v>125</v>
      </c>
      <c r="E11" s="311" t="s">
        <v>590</v>
      </c>
      <c r="F11" s="312" t="s">
        <v>599</v>
      </c>
      <c r="G11" s="312" t="s">
        <v>11</v>
      </c>
      <c r="H11" s="453"/>
      <c r="I11" s="453">
        <v>175</v>
      </c>
    </row>
    <row r="12" spans="1:9">
      <c r="A12" t="s">
        <v>691</v>
      </c>
      <c r="B12">
        <v>120</v>
      </c>
      <c r="E12" s="311" t="s">
        <v>589</v>
      </c>
      <c r="F12" s="312" t="s">
        <v>568</v>
      </c>
      <c r="G12" s="312" t="s">
        <v>11</v>
      </c>
      <c r="H12" s="453"/>
      <c r="I12" s="453">
        <v>175</v>
      </c>
    </row>
    <row r="13" spans="1:9">
      <c r="A13" t="s">
        <v>679</v>
      </c>
      <c r="B13">
        <v>55</v>
      </c>
      <c r="E13" s="311" t="s">
        <v>623</v>
      </c>
      <c r="F13" s="312" t="s">
        <v>624</v>
      </c>
      <c r="G13" s="312" t="s">
        <v>11</v>
      </c>
      <c r="H13" s="453"/>
      <c r="I13" s="453">
        <v>175</v>
      </c>
    </row>
    <row r="14" spans="1:9">
      <c r="B14" s="449">
        <f>+B10+B11+B12+B13</f>
        <v>360</v>
      </c>
      <c r="E14" s="311" t="s">
        <v>625</v>
      </c>
      <c r="F14" s="312" t="s">
        <v>94</v>
      </c>
      <c r="G14" s="312" t="s">
        <v>11</v>
      </c>
      <c r="H14" s="453"/>
      <c r="I14" s="453">
        <v>175</v>
      </c>
    </row>
    <row r="15" spans="1:9">
      <c r="E15" s="311" t="s">
        <v>635</v>
      </c>
      <c r="F15" s="312" t="s">
        <v>93</v>
      </c>
      <c r="G15" s="312" t="s">
        <v>11</v>
      </c>
      <c r="H15" s="455"/>
      <c r="I15" s="453">
        <v>175</v>
      </c>
    </row>
    <row r="16" spans="1:9">
      <c r="E16" s="311" t="s">
        <v>639</v>
      </c>
      <c r="F16" s="312" t="s">
        <v>93</v>
      </c>
      <c r="G16" s="312" t="s">
        <v>11</v>
      </c>
      <c r="H16" s="455"/>
      <c r="I16" s="453">
        <v>175</v>
      </c>
    </row>
    <row r="17" spans="1:9">
      <c r="A17" t="s">
        <v>683</v>
      </c>
      <c r="B17" s="449">
        <v>39.29</v>
      </c>
      <c r="E17" s="311" t="s">
        <v>640</v>
      </c>
      <c r="F17" s="312" t="s">
        <v>93</v>
      </c>
      <c r="G17" s="312" t="s">
        <v>11</v>
      </c>
      <c r="H17" s="455"/>
      <c r="I17" s="453">
        <v>175</v>
      </c>
    </row>
    <row r="18" spans="1:9">
      <c r="E18" s="311" t="s">
        <v>636</v>
      </c>
      <c r="F18" s="312" t="s">
        <v>606</v>
      </c>
      <c r="G18" s="312" t="s">
        <v>11</v>
      </c>
      <c r="H18" s="455"/>
      <c r="I18" s="453">
        <v>175</v>
      </c>
    </row>
    <row r="19" spans="1:9">
      <c r="E19" s="311" t="s">
        <v>549</v>
      </c>
      <c r="F19" s="312" t="s">
        <v>419</v>
      </c>
      <c r="G19" s="313" t="s">
        <v>11</v>
      </c>
      <c r="H19" s="453">
        <v>150</v>
      </c>
      <c r="I19" s="453"/>
    </row>
    <row r="20" spans="1:9">
      <c r="E20" s="311" t="s">
        <v>106</v>
      </c>
      <c r="F20" s="312" t="s">
        <v>107</v>
      </c>
      <c r="G20" s="312" t="s">
        <v>11</v>
      </c>
      <c r="H20" s="453">
        <v>150</v>
      </c>
      <c r="I20" s="453"/>
    </row>
    <row r="21" spans="1:9">
      <c r="A21" t="s">
        <v>681</v>
      </c>
      <c r="B21" s="449">
        <v>500</v>
      </c>
      <c r="E21" s="311" t="s">
        <v>553</v>
      </c>
      <c r="F21" s="312" t="s">
        <v>479</v>
      </c>
      <c r="G21" s="312" t="s">
        <v>11</v>
      </c>
      <c r="H21" s="453">
        <v>150</v>
      </c>
      <c r="I21" s="453"/>
    </row>
    <row r="22" spans="1:9">
      <c r="E22" s="311" t="s">
        <v>579</v>
      </c>
      <c r="F22" s="312" t="s">
        <v>573</v>
      </c>
      <c r="G22" s="312" t="s">
        <v>11</v>
      </c>
      <c r="H22" s="456"/>
      <c r="I22" s="455">
        <v>175</v>
      </c>
    </row>
    <row r="23" spans="1:9">
      <c r="A23" t="s">
        <v>682</v>
      </c>
      <c r="E23" s="311" t="s">
        <v>614</v>
      </c>
      <c r="F23" s="312" t="s">
        <v>112</v>
      </c>
      <c r="G23" s="312" t="s">
        <v>11</v>
      </c>
      <c r="H23" s="453">
        <v>150</v>
      </c>
      <c r="I23" s="453"/>
    </row>
    <row r="24" spans="1:9">
      <c r="A24" t="s">
        <v>684</v>
      </c>
      <c r="B24">
        <v>1076.28</v>
      </c>
      <c r="E24" s="311" t="s">
        <v>552</v>
      </c>
      <c r="F24" s="312" t="s">
        <v>572</v>
      </c>
      <c r="G24" s="313" t="s">
        <v>11</v>
      </c>
      <c r="H24" s="453">
        <v>150</v>
      </c>
      <c r="I24" s="453"/>
    </row>
    <row r="25" spans="1:9">
      <c r="A25" t="s">
        <v>685</v>
      </c>
      <c r="B25">
        <v>1076.29</v>
      </c>
      <c r="E25" s="311" t="s">
        <v>541</v>
      </c>
      <c r="F25" s="312" t="s">
        <v>597</v>
      </c>
      <c r="G25" s="312" t="s">
        <v>11</v>
      </c>
      <c r="H25" s="453">
        <v>150</v>
      </c>
      <c r="I25" s="453"/>
    </row>
    <row r="26" spans="1:9">
      <c r="B26" s="449">
        <f>SUM(B24:B25)</f>
        <v>2152.5699999999997</v>
      </c>
      <c r="E26" s="311" t="s">
        <v>537</v>
      </c>
      <c r="F26" s="312" t="s">
        <v>597</v>
      </c>
      <c r="G26" s="312" t="s">
        <v>11</v>
      </c>
      <c r="H26" s="453">
        <v>150</v>
      </c>
      <c r="I26" s="453"/>
    </row>
    <row r="27" spans="1:9">
      <c r="E27" s="311" t="s">
        <v>378</v>
      </c>
      <c r="F27" s="312" t="s">
        <v>597</v>
      </c>
      <c r="G27" s="312" t="s">
        <v>11</v>
      </c>
      <c r="H27" s="453">
        <v>150</v>
      </c>
      <c r="I27" s="453"/>
    </row>
    <row r="28" spans="1:9">
      <c r="E28" s="311" t="s">
        <v>574</v>
      </c>
      <c r="F28" s="312" t="s">
        <v>595</v>
      </c>
      <c r="G28" s="312" t="s">
        <v>11</v>
      </c>
      <c r="H28" s="453"/>
      <c r="I28" s="455">
        <v>175</v>
      </c>
    </row>
    <row r="29" spans="1:9">
      <c r="A29" t="s">
        <v>688</v>
      </c>
      <c r="B29" s="460">
        <f>+J33</f>
        <v>4812.5</v>
      </c>
      <c r="E29" s="311" t="s">
        <v>577</v>
      </c>
      <c r="F29" s="312" t="s">
        <v>595</v>
      </c>
      <c r="G29" s="312" t="s">
        <v>11</v>
      </c>
      <c r="H29" s="453"/>
      <c r="I29" s="455">
        <v>175</v>
      </c>
    </row>
    <row r="30" spans="1:9">
      <c r="E30" s="311" t="s">
        <v>632</v>
      </c>
      <c r="F30" s="312" t="s">
        <v>595</v>
      </c>
      <c r="G30" s="312" t="s">
        <v>11</v>
      </c>
      <c r="H30" s="453"/>
      <c r="I30" s="455">
        <v>175</v>
      </c>
    </row>
    <row r="31" spans="1:9">
      <c r="E31" s="311" t="s">
        <v>528</v>
      </c>
      <c r="F31" s="312" t="s">
        <v>595</v>
      </c>
      <c r="G31" s="312" t="s">
        <v>11</v>
      </c>
      <c r="H31" s="453">
        <v>150</v>
      </c>
      <c r="I31" s="453"/>
    </row>
    <row r="32" spans="1:9">
      <c r="A32" t="s">
        <v>692</v>
      </c>
      <c r="B32" s="449">
        <v>82.5</v>
      </c>
      <c r="E32" s="311" t="s">
        <v>519</v>
      </c>
      <c r="F32" s="312" t="s">
        <v>600</v>
      </c>
      <c r="G32" s="312" t="s">
        <v>11</v>
      </c>
      <c r="H32" s="453">
        <v>150</v>
      </c>
      <c r="I32" s="453"/>
    </row>
    <row r="33" spans="1:10" ht="15.75" thickBot="1">
      <c r="E33" s="457"/>
      <c r="F33" s="457"/>
      <c r="G33" s="457"/>
      <c r="H33" s="458">
        <f>SUM(H3:H32)</f>
        <v>2100</v>
      </c>
      <c r="I33" s="458">
        <f>SUM(I3:I32)</f>
        <v>2712.5</v>
      </c>
      <c r="J33" s="459">
        <f>+H33+I33</f>
        <v>4812.5</v>
      </c>
    </row>
    <row r="34" spans="1:10" ht="15.75" thickTop="1">
      <c r="A34" t="s">
        <v>689</v>
      </c>
      <c r="B34" s="461">
        <f>+B6+B14+B17+B21+B26+B29+J39+B32</f>
        <v>8546.86</v>
      </c>
    </row>
    <row r="37" spans="1:10">
      <c r="B37">
        <v>8546.86</v>
      </c>
      <c r="C37" s="459">
        <f>+B37-B34</f>
        <v>0</v>
      </c>
    </row>
    <row r="39" spans="1:10">
      <c r="J39" s="459"/>
    </row>
  </sheetData>
  <conditionalFormatting sqref="E3:E4">
    <cfRule type="duplicateValues" dxfId="707" priority="19"/>
  </conditionalFormatting>
  <conditionalFormatting sqref="E12">
    <cfRule type="duplicateValues" dxfId="706" priority="17"/>
  </conditionalFormatting>
  <conditionalFormatting sqref="E12">
    <cfRule type="duplicateValues" dxfId="705" priority="16"/>
  </conditionalFormatting>
  <conditionalFormatting sqref="E12">
    <cfRule type="duplicateValues" dxfId="704" priority="15"/>
  </conditionalFormatting>
  <conditionalFormatting sqref="E18">
    <cfRule type="duplicateValues" dxfId="703" priority="9"/>
  </conditionalFormatting>
  <conditionalFormatting sqref="E18">
    <cfRule type="duplicateValues" dxfId="702" priority="8"/>
  </conditionalFormatting>
  <conditionalFormatting sqref="E18">
    <cfRule type="duplicateValues" dxfId="701" priority="7"/>
  </conditionalFormatting>
  <conditionalFormatting sqref="E18">
    <cfRule type="duplicateValues" dxfId="700" priority="10"/>
  </conditionalFormatting>
  <conditionalFormatting sqref="E18">
    <cfRule type="duplicateValues" dxfId="699" priority="6"/>
  </conditionalFormatting>
  <conditionalFormatting sqref="E18">
    <cfRule type="duplicateValues" dxfId="698" priority="5"/>
  </conditionalFormatting>
  <conditionalFormatting sqref="E23">
    <cfRule type="duplicateValues" dxfId="697" priority="4"/>
  </conditionalFormatting>
  <conditionalFormatting sqref="E23">
    <cfRule type="duplicateValues" dxfId="696" priority="3"/>
  </conditionalFormatting>
  <conditionalFormatting sqref="E23">
    <cfRule type="duplicateValues" dxfId="695" priority="2"/>
  </conditionalFormatting>
  <conditionalFormatting sqref="E13:E14">
    <cfRule type="duplicateValues" dxfId="694" priority="2022"/>
  </conditionalFormatting>
  <conditionalFormatting sqref="E15:E17">
    <cfRule type="duplicateValues" dxfId="693" priority="2030"/>
  </conditionalFormatting>
  <conditionalFormatting sqref="E24:E32 E19:E22 E5:E11 E2">
    <cfRule type="duplicateValues" dxfId="692" priority="2031"/>
  </conditionalFormatting>
  <conditionalFormatting sqref="E24:E32 E19:E22 E2:E11">
    <cfRule type="duplicateValues" dxfId="691" priority="2036"/>
  </conditionalFormatting>
  <conditionalFormatting sqref="E19:E32 E2:E12">
    <cfRule type="duplicateValues" dxfId="690" priority="2040"/>
  </conditionalFormatting>
  <conditionalFormatting sqref="E19:E32 E2:E14">
    <cfRule type="duplicateValues" dxfId="689" priority="2043"/>
  </conditionalFormatting>
  <conditionalFormatting sqref="E24:E32">
    <cfRule type="duplicateValues" dxfId="688" priority="204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F0150-3DC2-45D6-8F12-BA970E6BCF7E}">
  <dimension ref="A3:Y153"/>
  <sheetViews>
    <sheetView view="pageBreakPreview" topLeftCell="A64" zoomScale="60" zoomScaleNormal="100" workbookViewId="0">
      <selection activeCell="C140" sqref="C140"/>
    </sheetView>
  </sheetViews>
  <sheetFormatPr baseColWidth="10" defaultRowHeight="18.75"/>
  <cols>
    <col min="1" max="1" width="11" style="2032" customWidth="1"/>
    <col min="2" max="2" width="80.42578125" style="2032" customWidth="1"/>
    <col min="3" max="3" width="52.28515625" style="2032" customWidth="1"/>
    <col min="4" max="4" width="29.5703125" style="2032" customWidth="1"/>
    <col min="5" max="5" width="24.7109375" style="2032" bestFit="1" customWidth="1"/>
    <col min="6" max="6" width="20.42578125" style="2032" bestFit="1" customWidth="1"/>
    <col min="7" max="7" width="23" style="2032" bestFit="1" customWidth="1"/>
    <col min="8" max="10" width="14" style="2032" bestFit="1" customWidth="1"/>
    <col min="11" max="11" width="12" style="2032" bestFit="1" customWidth="1"/>
    <col min="12" max="12" width="50.28515625" style="2032" customWidth="1"/>
    <col min="13" max="13" width="27.5703125" style="2032" bestFit="1" customWidth="1"/>
    <col min="14" max="14" width="33" style="2032" bestFit="1" customWidth="1"/>
    <col min="15" max="15" width="68.42578125" style="2032" customWidth="1"/>
    <col min="16" max="16" width="54.7109375" style="2032" customWidth="1"/>
    <col min="17" max="17" width="29.42578125" style="2032" customWidth="1"/>
    <col min="18" max="18" width="24.7109375" style="2032" bestFit="1" customWidth="1"/>
    <col min="19" max="19" width="20.42578125" style="2032" customWidth="1"/>
    <col min="20" max="20" width="23" style="2032" bestFit="1" customWidth="1"/>
    <col min="21" max="23" width="14" style="2032" bestFit="1" customWidth="1"/>
    <col min="24" max="24" width="12" style="2032" bestFit="1" customWidth="1"/>
    <col min="25" max="25" width="14" style="2032" bestFit="1" customWidth="1"/>
    <col min="26" max="16384" width="11.42578125" style="2032"/>
  </cols>
  <sheetData>
    <row r="3" spans="1:25" ht="75.75" customHeight="1">
      <c r="I3" s="2263" t="s">
        <v>856</v>
      </c>
      <c r="J3" s="2263"/>
      <c r="K3" s="2263"/>
      <c r="L3" s="2263"/>
      <c r="M3" s="2263"/>
      <c r="N3" s="2263"/>
      <c r="O3" s="2263"/>
      <c r="P3" s="2263"/>
    </row>
    <row r="5" spans="1:25" ht="19.5" thickBot="1"/>
    <row r="6" spans="1:25" ht="126.75" thickBot="1">
      <c r="A6" s="2035"/>
      <c r="B6" s="2035" t="s">
        <v>37</v>
      </c>
      <c r="C6" s="2036" t="s">
        <v>38</v>
      </c>
      <c r="D6" s="2037" t="s">
        <v>444</v>
      </c>
      <c r="E6" s="2037" t="s">
        <v>443</v>
      </c>
      <c r="F6" s="2037" t="s">
        <v>445</v>
      </c>
      <c r="G6" s="2037" t="s">
        <v>19</v>
      </c>
      <c r="H6" s="2037" t="s">
        <v>447</v>
      </c>
      <c r="I6" s="2037" t="s">
        <v>21</v>
      </c>
      <c r="J6" s="2037" t="s">
        <v>448</v>
      </c>
      <c r="K6" s="2037" t="s">
        <v>449</v>
      </c>
      <c r="L6" s="2037" t="s">
        <v>451</v>
      </c>
      <c r="M6" s="2034"/>
      <c r="N6" s="2034"/>
      <c r="O6" s="2035" t="s">
        <v>37</v>
      </c>
      <c r="P6" s="2036" t="s">
        <v>38</v>
      </c>
      <c r="Q6" s="2037" t="s">
        <v>444</v>
      </c>
      <c r="R6" s="2037" t="s">
        <v>443</v>
      </c>
      <c r="S6" s="2037" t="s">
        <v>445</v>
      </c>
      <c r="T6" s="2037" t="s">
        <v>19</v>
      </c>
      <c r="U6" s="2037" t="s">
        <v>447</v>
      </c>
      <c r="V6" s="2037" t="s">
        <v>21</v>
      </c>
      <c r="W6" s="2037" t="s">
        <v>448</v>
      </c>
      <c r="X6" s="2037" t="s">
        <v>449</v>
      </c>
      <c r="Y6" s="2037" t="s">
        <v>451</v>
      </c>
    </row>
    <row r="7" spans="1:25" ht="31.5">
      <c r="A7" s="2038"/>
      <c r="B7" s="2038" t="s">
        <v>53</v>
      </c>
      <c r="C7" s="2039"/>
      <c r="D7" s="2040"/>
      <c r="E7" s="2041"/>
      <c r="F7" s="2041"/>
      <c r="G7" s="2042"/>
      <c r="H7" s="2043"/>
      <c r="I7" s="2043"/>
      <c r="J7" s="2043"/>
      <c r="K7" s="2043" t="s">
        <v>54</v>
      </c>
      <c r="L7" s="2043"/>
      <c r="M7" s="2034"/>
      <c r="N7" s="2034"/>
      <c r="O7" s="2038" t="s">
        <v>53</v>
      </c>
      <c r="P7" s="2039"/>
      <c r="Q7" s="2040"/>
      <c r="R7" s="2041"/>
      <c r="S7" s="2041"/>
      <c r="T7" s="2042"/>
      <c r="U7" s="2043"/>
      <c r="V7" s="2043"/>
      <c r="W7" s="2043"/>
      <c r="X7" s="2043" t="s">
        <v>54</v>
      </c>
      <c r="Y7" s="2043"/>
    </row>
    <row r="8" spans="1:25" ht="31.5">
      <c r="A8" s="2038"/>
      <c r="B8" s="2038" t="s">
        <v>56</v>
      </c>
      <c r="C8" s="2039"/>
      <c r="D8" s="2044"/>
      <c r="E8" s="2044"/>
      <c r="F8" s="2045"/>
      <c r="G8" s="2046" t="s">
        <v>405</v>
      </c>
      <c r="H8" s="2045"/>
      <c r="I8" s="2047"/>
      <c r="J8" s="2047"/>
      <c r="K8" s="2047"/>
      <c r="L8" s="2047"/>
      <c r="M8" s="2034"/>
      <c r="N8" s="2034"/>
      <c r="O8" s="2038" t="s">
        <v>56</v>
      </c>
      <c r="P8" s="2039"/>
      <c r="Q8" s="2044"/>
      <c r="R8" s="2044"/>
      <c r="S8" s="2045"/>
      <c r="T8" s="2046" t="s">
        <v>405</v>
      </c>
      <c r="U8" s="2045"/>
      <c r="V8" s="2047"/>
      <c r="W8" s="2047"/>
      <c r="X8" s="2047"/>
      <c r="Y8" s="2047"/>
    </row>
    <row r="9" spans="1:25" ht="31.5">
      <c r="A9" s="2048">
        <v>1</v>
      </c>
      <c r="B9" s="2048" t="s">
        <v>753</v>
      </c>
      <c r="C9" s="2049" t="s">
        <v>64</v>
      </c>
      <c r="D9" s="2050" t="s">
        <v>11</v>
      </c>
      <c r="E9" s="2051">
        <v>2959.24</v>
      </c>
      <c r="F9" s="2052">
        <v>250</v>
      </c>
      <c r="G9" s="2053">
        <f t="shared" ref="G9:G10" si="0">+E9+F9</f>
        <v>3209.24</v>
      </c>
      <c r="H9" s="2054">
        <v>0</v>
      </c>
      <c r="I9" s="2054">
        <v>1</v>
      </c>
      <c r="J9" s="2054">
        <v>0</v>
      </c>
      <c r="K9" s="2055">
        <v>0</v>
      </c>
      <c r="L9" s="2054">
        <f>SUM(H9:K9)</f>
        <v>1</v>
      </c>
      <c r="M9" s="2034"/>
      <c r="N9" s="2034"/>
      <c r="O9" s="2048" t="s">
        <v>753</v>
      </c>
      <c r="P9" s="2049" t="s">
        <v>64</v>
      </c>
      <c r="Q9" s="2050" t="s">
        <v>11</v>
      </c>
      <c r="R9" s="2051">
        <v>3166.38</v>
      </c>
      <c r="S9" s="2052">
        <v>250</v>
      </c>
      <c r="T9" s="2053">
        <f t="shared" ref="T9:T12" si="1">+R9+S9</f>
        <v>3416.38</v>
      </c>
      <c r="U9" s="2054">
        <v>0</v>
      </c>
      <c r="V9" s="2054">
        <v>1</v>
      </c>
      <c r="W9" s="2054">
        <v>0</v>
      </c>
      <c r="X9" s="2055">
        <v>0</v>
      </c>
      <c r="Y9" s="2054">
        <f>SUM(U9:X9)</f>
        <v>1</v>
      </c>
    </row>
    <row r="10" spans="1:25" ht="31.5">
      <c r="A10" s="2048">
        <f>+A9+1</f>
        <v>2</v>
      </c>
      <c r="B10" s="2048" t="s">
        <v>757</v>
      </c>
      <c r="C10" s="2049" t="s">
        <v>64</v>
      </c>
      <c r="D10" s="2050" t="s">
        <v>11</v>
      </c>
      <c r="E10" s="2051">
        <v>2959.24</v>
      </c>
      <c r="F10" s="2052">
        <v>250</v>
      </c>
      <c r="G10" s="2053">
        <f t="shared" si="0"/>
        <v>3209.24</v>
      </c>
      <c r="H10" s="2054">
        <v>0</v>
      </c>
      <c r="I10" s="2054">
        <v>1</v>
      </c>
      <c r="J10" s="2054">
        <v>0</v>
      </c>
      <c r="K10" s="2054">
        <v>0</v>
      </c>
      <c r="L10" s="2054">
        <f>SUM(H10:K10)</f>
        <v>1</v>
      </c>
      <c r="M10" s="2034"/>
      <c r="N10" s="2034"/>
      <c r="O10" s="2048" t="s">
        <v>757</v>
      </c>
      <c r="P10" s="2049" t="s">
        <v>64</v>
      </c>
      <c r="Q10" s="2050" t="s">
        <v>11</v>
      </c>
      <c r="R10" s="2051">
        <v>3166.38</v>
      </c>
      <c r="S10" s="2052">
        <v>250</v>
      </c>
      <c r="T10" s="2053">
        <f t="shared" si="1"/>
        <v>3416.38</v>
      </c>
      <c r="U10" s="2054">
        <v>0</v>
      </c>
      <c r="V10" s="2054">
        <v>1</v>
      </c>
      <c r="W10" s="2054">
        <v>0</v>
      </c>
      <c r="X10" s="2054">
        <v>0</v>
      </c>
      <c r="Y10" s="2054">
        <f>SUM(U10:X10)</f>
        <v>1</v>
      </c>
    </row>
    <row r="11" spans="1:25" ht="31.5">
      <c r="A11" s="2048">
        <f t="shared" ref="A11:A12" si="2">+A10+1</f>
        <v>3</v>
      </c>
      <c r="B11" s="2056" t="s">
        <v>557</v>
      </c>
      <c r="C11" s="2057" t="s">
        <v>58</v>
      </c>
      <c r="D11" s="2058" t="s">
        <v>11</v>
      </c>
      <c r="E11" s="2051">
        <v>2959.24</v>
      </c>
      <c r="F11" s="2052">
        <v>250</v>
      </c>
      <c r="G11" s="2053">
        <f t="shared" ref="G11:G12" si="3">+E11+F11</f>
        <v>3209.24</v>
      </c>
      <c r="H11" s="2054">
        <v>0</v>
      </c>
      <c r="I11" s="2054">
        <v>1</v>
      </c>
      <c r="J11" s="2054">
        <v>0</v>
      </c>
      <c r="K11" s="2054">
        <v>0</v>
      </c>
      <c r="L11" s="2054">
        <f>SUM(H11:K11)</f>
        <v>1</v>
      </c>
      <c r="M11" s="2034"/>
      <c r="N11" s="2034"/>
      <c r="O11" s="2056" t="s">
        <v>557</v>
      </c>
      <c r="P11" s="2057" t="s">
        <v>58</v>
      </c>
      <c r="Q11" s="2058" t="s">
        <v>11</v>
      </c>
      <c r="R11" s="2051">
        <v>3166.38</v>
      </c>
      <c r="S11" s="2052">
        <v>250</v>
      </c>
      <c r="T11" s="2053">
        <f t="shared" si="1"/>
        <v>3416.38</v>
      </c>
      <c r="U11" s="2054">
        <v>0</v>
      </c>
      <c r="V11" s="2054">
        <v>1</v>
      </c>
      <c r="W11" s="2054">
        <v>0</v>
      </c>
      <c r="X11" s="2054">
        <v>0</v>
      </c>
      <c r="Y11" s="2054">
        <f>SUM(U11:X11)</f>
        <v>1</v>
      </c>
    </row>
    <row r="12" spans="1:25" ht="31.5">
      <c r="A12" s="2048">
        <f t="shared" si="2"/>
        <v>4</v>
      </c>
      <c r="B12" s="2048" t="s">
        <v>758</v>
      </c>
      <c r="C12" s="2049" t="s">
        <v>58</v>
      </c>
      <c r="D12" s="2050" t="s">
        <v>10</v>
      </c>
      <c r="E12" s="2051">
        <v>2959.24</v>
      </c>
      <c r="F12" s="2051">
        <v>1540.76</v>
      </c>
      <c r="G12" s="2059">
        <f t="shared" si="3"/>
        <v>4500</v>
      </c>
      <c r="H12" s="2055">
        <v>1</v>
      </c>
      <c r="I12" s="2055">
        <v>0</v>
      </c>
      <c r="J12" s="2055">
        <v>0</v>
      </c>
      <c r="K12" s="2055">
        <v>0</v>
      </c>
      <c r="L12" s="2055">
        <f>SUM(H12:K12)</f>
        <v>1</v>
      </c>
      <c r="M12" s="2034"/>
      <c r="N12" s="2034"/>
      <c r="O12" s="2048" t="s">
        <v>758</v>
      </c>
      <c r="P12" s="2049" t="s">
        <v>58</v>
      </c>
      <c r="Q12" s="2050" t="s">
        <v>10</v>
      </c>
      <c r="R12" s="2051">
        <v>3166.38</v>
      </c>
      <c r="S12" s="2051">
        <v>1540.76</v>
      </c>
      <c r="T12" s="2059">
        <f t="shared" si="1"/>
        <v>4707.1400000000003</v>
      </c>
      <c r="U12" s="2055">
        <v>1</v>
      </c>
      <c r="V12" s="2055">
        <v>0</v>
      </c>
      <c r="W12" s="2055">
        <v>0</v>
      </c>
      <c r="X12" s="2055">
        <v>0</v>
      </c>
      <c r="Y12" s="2055">
        <f>SUM(U12:X12)</f>
        <v>1</v>
      </c>
    </row>
    <row r="13" spans="1:25" ht="32.25" thickBot="1">
      <c r="A13" s="2060"/>
      <c r="B13" s="2060"/>
      <c r="C13" s="2061" t="s">
        <v>61</v>
      </c>
      <c r="D13" s="2062"/>
      <c r="E13" s="2063">
        <f>SUM(E9:E12)</f>
        <v>11836.96</v>
      </c>
      <c r="F13" s="2063">
        <f>SUM(F9:F12)</f>
        <v>2290.7600000000002</v>
      </c>
      <c r="G13" s="2063">
        <f>SUM(G9:G12)</f>
        <v>14127.72</v>
      </c>
      <c r="H13" s="2064"/>
      <c r="I13" s="2062"/>
      <c r="J13" s="2064"/>
      <c r="K13" s="2064"/>
      <c r="L13" s="2064"/>
      <c r="M13" s="2034"/>
      <c r="N13" s="2034"/>
      <c r="O13" s="2060"/>
      <c r="P13" s="2061" t="s">
        <v>61</v>
      </c>
      <c r="Q13" s="2062"/>
      <c r="R13" s="2063">
        <f>SUM(R9:R12)</f>
        <v>12665.52</v>
      </c>
      <c r="S13" s="2063">
        <f>SUM(S9:S12)</f>
        <v>2290.7600000000002</v>
      </c>
      <c r="T13" s="2063">
        <f>SUM(T9:T12)</f>
        <v>14956.279999999999</v>
      </c>
      <c r="U13" s="2064"/>
      <c r="V13" s="2062"/>
      <c r="W13" s="2064"/>
      <c r="X13" s="2064"/>
      <c r="Y13" s="2064"/>
    </row>
    <row r="14" spans="1:25" ht="32.25" thickTop="1">
      <c r="A14" s="2060"/>
      <c r="B14" s="2060"/>
      <c r="C14" s="2065"/>
      <c r="D14" s="2062"/>
      <c r="E14" s="2066"/>
      <c r="F14" s="2067"/>
      <c r="G14" s="2068"/>
      <c r="H14" s="2064"/>
      <c r="I14" s="2062"/>
      <c r="J14" s="2064"/>
      <c r="K14" s="2064"/>
      <c r="L14" s="2064"/>
      <c r="M14" s="2034"/>
      <c r="N14" s="2034"/>
      <c r="O14" s="2060"/>
      <c r="P14" s="2065"/>
      <c r="Q14" s="2062"/>
      <c r="R14" s="2066"/>
      <c r="S14" s="2067"/>
      <c r="T14" s="2068"/>
      <c r="U14" s="2064"/>
      <c r="V14" s="2062"/>
      <c r="W14" s="2064"/>
      <c r="X14" s="2064"/>
      <c r="Y14" s="2064"/>
    </row>
    <row r="15" spans="1:25" ht="31.5">
      <c r="A15" s="2038"/>
      <c r="B15" s="2038" t="s">
        <v>62</v>
      </c>
      <c r="C15" s="2065"/>
      <c r="D15" s="2065"/>
      <c r="E15" s="2066"/>
      <c r="F15" s="2067"/>
      <c r="G15" s="2067"/>
      <c r="H15" s="2062"/>
      <c r="I15" s="2062"/>
      <c r="J15" s="2062"/>
      <c r="K15" s="2062"/>
      <c r="L15" s="2062"/>
      <c r="M15" s="2034"/>
      <c r="N15" s="2034"/>
      <c r="O15" s="2038" t="s">
        <v>62</v>
      </c>
      <c r="P15" s="2065"/>
      <c r="Q15" s="2065"/>
      <c r="R15" s="2066"/>
      <c r="S15" s="2067"/>
      <c r="T15" s="2067"/>
      <c r="U15" s="2062"/>
      <c r="V15" s="2062"/>
      <c r="W15" s="2062"/>
      <c r="X15" s="2062"/>
      <c r="Y15" s="2062"/>
    </row>
    <row r="16" spans="1:25" ht="31.5">
      <c r="A16" s="2056">
        <v>5</v>
      </c>
      <c r="B16" s="2056" t="s">
        <v>814</v>
      </c>
      <c r="C16" s="2057" t="s">
        <v>578</v>
      </c>
      <c r="D16" s="2058" t="s">
        <v>10</v>
      </c>
      <c r="E16" s="2051">
        <v>2959.24</v>
      </c>
      <c r="F16" s="2052">
        <v>250</v>
      </c>
      <c r="G16" s="2053">
        <f>+E16+F16</f>
        <v>3209.24</v>
      </c>
      <c r="H16" s="2054">
        <v>0.5</v>
      </c>
      <c r="I16" s="2054">
        <v>0.5</v>
      </c>
      <c r="J16" s="2054">
        <v>0</v>
      </c>
      <c r="K16" s="2054">
        <v>0</v>
      </c>
      <c r="L16" s="2054">
        <f>SUM(H16:K16)</f>
        <v>1</v>
      </c>
      <c r="M16" s="2034"/>
      <c r="N16" s="2034"/>
      <c r="O16" s="2056" t="s">
        <v>814</v>
      </c>
      <c r="P16" s="2057" t="s">
        <v>578</v>
      </c>
      <c r="Q16" s="2058" t="s">
        <v>10</v>
      </c>
      <c r="R16" s="2051">
        <v>3166.38</v>
      </c>
      <c r="S16" s="2052">
        <v>250</v>
      </c>
      <c r="T16" s="2053">
        <f>+R16+S16</f>
        <v>3416.38</v>
      </c>
      <c r="U16" s="2054">
        <v>0.5</v>
      </c>
      <c r="V16" s="2054">
        <v>0.5</v>
      </c>
      <c r="W16" s="2054">
        <v>0</v>
      </c>
      <c r="X16" s="2054">
        <v>0</v>
      </c>
      <c r="Y16" s="2054">
        <f>SUM(U16:X16)</f>
        <v>1</v>
      </c>
    </row>
    <row r="17" spans="1:25" ht="31.5">
      <c r="A17" s="2056">
        <f>+A16+1</f>
        <v>6</v>
      </c>
      <c r="B17" s="2056" t="s">
        <v>514</v>
      </c>
      <c r="C17" s="2057" t="s">
        <v>64</v>
      </c>
      <c r="D17" s="2057" t="s">
        <v>10</v>
      </c>
      <c r="E17" s="2051">
        <v>2959.24</v>
      </c>
      <c r="F17" s="2069">
        <v>250</v>
      </c>
      <c r="G17" s="2070">
        <f t="shared" ref="G17:G20" si="4">+E17+F17</f>
        <v>3209.24</v>
      </c>
      <c r="H17" s="2071">
        <v>0.5</v>
      </c>
      <c r="I17" s="2071">
        <v>0.5</v>
      </c>
      <c r="J17" s="2071">
        <v>0</v>
      </c>
      <c r="K17" s="2071">
        <v>0</v>
      </c>
      <c r="L17" s="2071">
        <f>SUM(H17:K17)</f>
        <v>1</v>
      </c>
      <c r="M17" s="2034"/>
      <c r="N17" s="2034"/>
      <c r="O17" s="2056" t="s">
        <v>514</v>
      </c>
      <c r="P17" s="2057" t="s">
        <v>64</v>
      </c>
      <c r="Q17" s="2057" t="s">
        <v>10</v>
      </c>
      <c r="R17" s="2051">
        <v>3166.38</v>
      </c>
      <c r="S17" s="2069">
        <v>250</v>
      </c>
      <c r="T17" s="2070">
        <f t="shared" ref="T17:T20" si="5">+R17+S17</f>
        <v>3416.38</v>
      </c>
      <c r="U17" s="2071">
        <v>0.5</v>
      </c>
      <c r="V17" s="2071">
        <v>0.5</v>
      </c>
      <c r="W17" s="2071">
        <v>0</v>
      </c>
      <c r="X17" s="2071">
        <v>0</v>
      </c>
      <c r="Y17" s="2071">
        <f>SUM(U17:X17)</f>
        <v>1</v>
      </c>
    </row>
    <row r="18" spans="1:25" ht="31.5">
      <c r="A18" s="2056">
        <f t="shared" ref="A18:A20" si="6">+A17+1</f>
        <v>7</v>
      </c>
      <c r="B18" s="2048" t="s">
        <v>542</v>
      </c>
      <c r="C18" s="2049" t="s">
        <v>65</v>
      </c>
      <c r="D18" s="2050" t="s">
        <v>11</v>
      </c>
      <c r="E18" s="2051">
        <v>2959.24</v>
      </c>
      <c r="F18" s="2051">
        <v>250</v>
      </c>
      <c r="G18" s="2059">
        <f t="shared" si="4"/>
        <v>3209.24</v>
      </c>
      <c r="H18" s="2055">
        <v>0.5</v>
      </c>
      <c r="I18" s="2055">
        <v>0.5</v>
      </c>
      <c r="J18" s="2055">
        <v>0</v>
      </c>
      <c r="K18" s="2055">
        <v>0</v>
      </c>
      <c r="L18" s="2055">
        <f>SUM(H18:K18)</f>
        <v>1</v>
      </c>
      <c r="M18" s="2034"/>
      <c r="N18" s="2034"/>
      <c r="O18" s="2048" t="s">
        <v>542</v>
      </c>
      <c r="P18" s="2049" t="s">
        <v>65</v>
      </c>
      <c r="Q18" s="2050" t="s">
        <v>11</v>
      </c>
      <c r="R18" s="2051">
        <v>3166.38</v>
      </c>
      <c r="S18" s="2051">
        <v>250</v>
      </c>
      <c r="T18" s="2059">
        <f t="shared" si="5"/>
        <v>3416.38</v>
      </c>
      <c r="U18" s="2055">
        <v>0.5</v>
      </c>
      <c r="V18" s="2055">
        <v>0.5</v>
      </c>
      <c r="W18" s="2055">
        <v>0</v>
      </c>
      <c r="X18" s="2055">
        <v>0</v>
      </c>
      <c r="Y18" s="2055">
        <f>SUM(U18:X18)</f>
        <v>1</v>
      </c>
    </row>
    <row r="19" spans="1:25" ht="31.5">
      <c r="A19" s="2056">
        <f t="shared" si="6"/>
        <v>8</v>
      </c>
      <c r="B19" s="2048" t="s">
        <v>520</v>
      </c>
      <c r="C19" s="2049" t="s">
        <v>66</v>
      </c>
      <c r="D19" s="2050" t="s">
        <v>10</v>
      </c>
      <c r="E19" s="2051">
        <v>2959.24</v>
      </c>
      <c r="F19" s="2051">
        <f>250+120</f>
        <v>370</v>
      </c>
      <c r="G19" s="2059">
        <f t="shared" si="4"/>
        <v>3329.24</v>
      </c>
      <c r="H19" s="2055">
        <v>1</v>
      </c>
      <c r="I19" s="2055">
        <v>0</v>
      </c>
      <c r="J19" s="2055">
        <v>0</v>
      </c>
      <c r="K19" s="2072">
        <v>0</v>
      </c>
      <c r="L19" s="2055">
        <f>SUM(H19:K19)</f>
        <v>1</v>
      </c>
      <c r="M19" s="2034"/>
      <c r="N19" s="2034"/>
      <c r="O19" s="2048" t="s">
        <v>520</v>
      </c>
      <c r="P19" s="2049" t="s">
        <v>66</v>
      </c>
      <c r="Q19" s="2050" t="s">
        <v>10</v>
      </c>
      <c r="R19" s="2051">
        <v>3166.38</v>
      </c>
      <c r="S19" s="2051">
        <f>250+120</f>
        <v>370</v>
      </c>
      <c r="T19" s="2059">
        <f t="shared" si="5"/>
        <v>3536.38</v>
      </c>
      <c r="U19" s="2055">
        <v>1</v>
      </c>
      <c r="V19" s="2055">
        <v>0</v>
      </c>
      <c r="W19" s="2055">
        <v>0</v>
      </c>
      <c r="X19" s="2072">
        <v>0</v>
      </c>
      <c r="Y19" s="2055">
        <f>SUM(U19:X19)</f>
        <v>1</v>
      </c>
    </row>
    <row r="20" spans="1:25" ht="31.5">
      <c r="A20" s="2056">
        <f t="shared" si="6"/>
        <v>9</v>
      </c>
      <c r="B20" s="2056" t="s">
        <v>515</v>
      </c>
      <c r="C20" s="2057" t="s">
        <v>66</v>
      </c>
      <c r="D20" s="2058" t="s">
        <v>10</v>
      </c>
      <c r="E20" s="2051">
        <v>2959.24</v>
      </c>
      <c r="F20" s="2052">
        <v>370</v>
      </c>
      <c r="G20" s="2053">
        <f t="shared" si="4"/>
        <v>3329.24</v>
      </c>
      <c r="H20" s="2054">
        <v>1</v>
      </c>
      <c r="I20" s="2054">
        <v>0</v>
      </c>
      <c r="J20" s="2054">
        <v>0</v>
      </c>
      <c r="K20" s="2054">
        <v>0</v>
      </c>
      <c r="L20" s="2054">
        <f>SUM(H20:K20)</f>
        <v>1</v>
      </c>
      <c r="M20" s="2034"/>
      <c r="N20" s="2034"/>
      <c r="O20" s="2056" t="s">
        <v>515</v>
      </c>
      <c r="P20" s="2057" t="s">
        <v>66</v>
      </c>
      <c r="Q20" s="2058" t="s">
        <v>10</v>
      </c>
      <c r="R20" s="2051">
        <v>3166.38</v>
      </c>
      <c r="S20" s="2052">
        <v>370</v>
      </c>
      <c r="T20" s="2053">
        <f t="shared" si="5"/>
        <v>3536.38</v>
      </c>
      <c r="U20" s="2054">
        <v>1</v>
      </c>
      <c r="V20" s="2054">
        <v>0</v>
      </c>
      <c r="W20" s="2054">
        <v>0</v>
      </c>
      <c r="X20" s="2054">
        <v>0</v>
      </c>
      <c r="Y20" s="2054">
        <f>SUM(U20:X20)</f>
        <v>1</v>
      </c>
    </row>
    <row r="21" spans="1:25" ht="32.25" thickBot="1">
      <c r="A21" s="2060"/>
      <c r="B21" s="2060"/>
      <c r="C21" s="2061" t="s">
        <v>67</v>
      </c>
      <c r="D21" s="2062"/>
      <c r="E21" s="2063">
        <f>SUM(E16:E20)</f>
        <v>14796.199999999999</v>
      </c>
      <c r="F21" s="2073">
        <f>SUM(F16:F20)</f>
        <v>1490</v>
      </c>
      <c r="G21" s="2073">
        <f>SUM(G16:G20)</f>
        <v>16286.199999999999</v>
      </c>
      <c r="H21" s="2064"/>
      <c r="I21" s="2062"/>
      <c r="J21" s="2062"/>
      <c r="K21" s="2062"/>
      <c r="L21" s="2062"/>
      <c r="M21" s="2034"/>
      <c r="N21" s="2034"/>
      <c r="O21" s="2060"/>
      <c r="P21" s="2061" t="s">
        <v>67</v>
      </c>
      <c r="Q21" s="2062"/>
      <c r="R21" s="2063">
        <f>SUM(R16:R20)</f>
        <v>15831.900000000001</v>
      </c>
      <c r="S21" s="2073">
        <f>SUM(S16:S20)</f>
        <v>1490</v>
      </c>
      <c r="T21" s="2073">
        <f>SUM(T16:T20)</f>
        <v>17321.900000000001</v>
      </c>
      <c r="U21" s="2064"/>
      <c r="V21" s="2062"/>
      <c r="W21" s="2062"/>
      <c r="X21" s="2062"/>
      <c r="Y21" s="2062"/>
    </row>
    <row r="22" spans="1:25" ht="32.25" thickTop="1">
      <c r="A22" s="2060"/>
      <c r="B22" s="2060"/>
      <c r="C22" s="2065"/>
      <c r="D22" s="2062"/>
      <c r="E22" s="2066"/>
      <c r="F22" s="2067"/>
      <c r="G22" s="2068"/>
      <c r="H22" s="2064"/>
      <c r="I22" s="2062"/>
      <c r="J22" s="2062"/>
      <c r="K22" s="2062"/>
      <c r="L22" s="2062"/>
      <c r="M22" s="2034"/>
      <c r="N22" s="2034"/>
      <c r="O22" s="2060"/>
      <c r="P22" s="2065"/>
      <c r="Q22" s="2062"/>
      <c r="R22" s="2066"/>
      <c r="S22" s="2067"/>
      <c r="T22" s="2068"/>
      <c r="U22" s="2064"/>
      <c r="V22" s="2062"/>
      <c r="W22" s="2062"/>
      <c r="X22" s="2062"/>
      <c r="Y22" s="2062"/>
    </row>
    <row r="23" spans="1:25" ht="31.5">
      <c r="A23" s="2038"/>
      <c r="B23" s="2038" t="s">
        <v>68</v>
      </c>
      <c r="C23" s="2065"/>
      <c r="D23" s="2062"/>
      <c r="E23" s="2066"/>
      <c r="F23" s="2067"/>
      <c r="G23" s="2067"/>
      <c r="H23" s="2062"/>
      <c r="I23" s="2062"/>
      <c r="J23" s="2062"/>
      <c r="K23" s="2062"/>
      <c r="L23" s="2062"/>
      <c r="M23" s="2034"/>
      <c r="N23" s="2034"/>
      <c r="O23" s="2038" t="s">
        <v>68</v>
      </c>
      <c r="P23" s="2065"/>
      <c r="Q23" s="2062"/>
      <c r="R23" s="2066"/>
      <c r="S23" s="2067"/>
      <c r="T23" s="2067"/>
      <c r="U23" s="2062"/>
      <c r="V23" s="2062"/>
      <c r="W23" s="2062"/>
      <c r="X23" s="2062"/>
      <c r="Y23" s="2062"/>
    </row>
    <row r="24" spans="1:25" ht="31.5">
      <c r="A24" s="2048">
        <v>10</v>
      </c>
      <c r="B24" s="2048" t="s">
        <v>738</v>
      </c>
      <c r="C24" s="2049" t="s">
        <v>70</v>
      </c>
      <c r="D24" s="2050" t="s">
        <v>10</v>
      </c>
      <c r="E24" s="2051">
        <v>2959.24</v>
      </c>
      <c r="F24" s="2051">
        <f>1040.76+400</f>
        <v>1440.76</v>
      </c>
      <c r="G24" s="2059">
        <f t="shared" ref="G24:G26" si="7">+E24+F24</f>
        <v>4400</v>
      </c>
      <c r="H24" s="2055">
        <v>1</v>
      </c>
      <c r="I24" s="2055">
        <v>0</v>
      </c>
      <c r="J24" s="2055">
        <v>0</v>
      </c>
      <c r="K24" s="2055">
        <v>0</v>
      </c>
      <c r="L24" s="2055">
        <f>SUM(H24:K24)</f>
        <v>1</v>
      </c>
      <c r="M24" s="2034"/>
      <c r="N24" s="2034"/>
      <c r="O24" s="2048" t="s">
        <v>738</v>
      </c>
      <c r="P24" s="2049" t="s">
        <v>70</v>
      </c>
      <c r="Q24" s="2050" t="s">
        <v>10</v>
      </c>
      <c r="R24" s="2051">
        <v>3166.38</v>
      </c>
      <c r="S24" s="2051">
        <f>1040.76+400</f>
        <v>1440.76</v>
      </c>
      <c r="T24" s="2059">
        <f t="shared" ref="T24:T26" si="8">+R24+S24</f>
        <v>4607.1400000000003</v>
      </c>
      <c r="U24" s="2055">
        <v>1</v>
      </c>
      <c r="V24" s="2055">
        <v>0</v>
      </c>
      <c r="W24" s="2055">
        <v>0</v>
      </c>
      <c r="X24" s="2055">
        <v>0</v>
      </c>
      <c r="Y24" s="2055">
        <f>SUM(U24:X24)</f>
        <v>1</v>
      </c>
    </row>
    <row r="25" spans="1:25" ht="31.5">
      <c r="A25" s="2048">
        <f>+A24+1</f>
        <v>11</v>
      </c>
      <c r="B25" s="2048" t="s">
        <v>823</v>
      </c>
      <c r="C25" s="2049" t="s">
        <v>70</v>
      </c>
      <c r="D25" s="2050" t="s">
        <v>11</v>
      </c>
      <c r="E25" s="2051">
        <v>2959.24</v>
      </c>
      <c r="F25" s="2051">
        <v>1040.76</v>
      </c>
      <c r="G25" s="2059">
        <f t="shared" si="7"/>
        <v>4000</v>
      </c>
      <c r="H25" s="2055">
        <v>0</v>
      </c>
      <c r="I25" s="2055">
        <v>1</v>
      </c>
      <c r="J25" s="2055">
        <v>0</v>
      </c>
      <c r="K25" s="2055">
        <v>0</v>
      </c>
      <c r="L25" s="2055">
        <f>SUM(H25:K25)</f>
        <v>1</v>
      </c>
      <c r="M25" s="2034"/>
      <c r="N25" s="2034"/>
      <c r="O25" s="2048" t="s">
        <v>823</v>
      </c>
      <c r="P25" s="2049" t="s">
        <v>70</v>
      </c>
      <c r="Q25" s="2050" t="s">
        <v>11</v>
      </c>
      <c r="R25" s="2051">
        <v>3166.38</v>
      </c>
      <c r="S25" s="2051">
        <v>1040.76</v>
      </c>
      <c r="T25" s="2074">
        <f t="shared" si="8"/>
        <v>4207.1400000000003</v>
      </c>
      <c r="U25" s="2055">
        <v>0</v>
      </c>
      <c r="V25" s="2055">
        <v>1</v>
      </c>
      <c r="W25" s="2055">
        <v>0</v>
      </c>
      <c r="X25" s="2055">
        <v>0</v>
      </c>
      <c r="Y25" s="2055">
        <f>SUM(U25:X25)</f>
        <v>1</v>
      </c>
    </row>
    <row r="26" spans="1:25" ht="31.5">
      <c r="A26" s="2048">
        <f>+A25+1</f>
        <v>12</v>
      </c>
      <c r="B26" s="2056" t="s">
        <v>558</v>
      </c>
      <c r="C26" s="2057" t="s">
        <v>70</v>
      </c>
      <c r="D26" s="2058" t="s">
        <v>11</v>
      </c>
      <c r="E26" s="2051">
        <v>2959.24</v>
      </c>
      <c r="F26" s="2052">
        <v>740.76</v>
      </c>
      <c r="G26" s="2053">
        <f t="shared" si="7"/>
        <v>3700</v>
      </c>
      <c r="H26" s="2054">
        <v>0.5</v>
      </c>
      <c r="I26" s="2054">
        <v>0.5</v>
      </c>
      <c r="J26" s="2054">
        <v>0</v>
      </c>
      <c r="K26" s="2054">
        <v>0</v>
      </c>
      <c r="L26" s="2054">
        <f>SUM(H26:K26)</f>
        <v>1</v>
      </c>
      <c r="M26" s="2034"/>
      <c r="N26" s="2034"/>
      <c r="O26" s="2056" t="s">
        <v>558</v>
      </c>
      <c r="P26" s="2057" t="s">
        <v>70</v>
      </c>
      <c r="Q26" s="2058" t="s">
        <v>11</v>
      </c>
      <c r="R26" s="2051">
        <v>3166.38</v>
      </c>
      <c r="S26" s="2052">
        <v>740.76</v>
      </c>
      <c r="T26" s="2053">
        <f t="shared" si="8"/>
        <v>3907.1400000000003</v>
      </c>
      <c r="U26" s="2054">
        <v>0.5</v>
      </c>
      <c r="V26" s="2054">
        <v>0.5</v>
      </c>
      <c r="W26" s="2054">
        <v>0</v>
      </c>
      <c r="X26" s="2054">
        <v>0</v>
      </c>
      <c r="Y26" s="2054">
        <f>SUM(U26:X26)</f>
        <v>1</v>
      </c>
    </row>
    <row r="27" spans="1:25" ht="32.25" thickBot="1">
      <c r="A27" s="2038"/>
      <c r="B27" s="2038"/>
      <c r="C27" s="2061" t="s">
        <v>72</v>
      </c>
      <c r="D27" s="2062"/>
      <c r="E27" s="2063">
        <f>SUM(E24:E26)</f>
        <v>8877.7199999999993</v>
      </c>
      <c r="F27" s="2063">
        <f>SUM(F24:F26)</f>
        <v>3222.2799999999997</v>
      </c>
      <c r="G27" s="2063">
        <f>SUM(G24:G26)</f>
        <v>12100</v>
      </c>
      <c r="H27" s="2064"/>
      <c r="I27" s="2064"/>
      <c r="J27" s="2064"/>
      <c r="K27" s="2064"/>
      <c r="L27" s="2064"/>
      <c r="M27" s="2034"/>
      <c r="N27" s="2034"/>
      <c r="O27" s="2038"/>
      <c r="P27" s="2061" t="s">
        <v>72</v>
      </c>
      <c r="Q27" s="2062"/>
      <c r="R27" s="2063">
        <f>SUM(R24:R26)</f>
        <v>9499.14</v>
      </c>
      <c r="S27" s="2063">
        <f>SUM(S24:S26)</f>
        <v>3222.2799999999997</v>
      </c>
      <c r="T27" s="2063">
        <f>SUM(T24:T26)</f>
        <v>12721.420000000002</v>
      </c>
      <c r="U27" s="2064"/>
      <c r="V27" s="2064"/>
      <c r="W27" s="2064"/>
      <c r="X27" s="2064"/>
      <c r="Y27" s="2064"/>
    </row>
    <row r="28" spans="1:25" ht="32.25" thickTop="1">
      <c r="A28" s="2038"/>
      <c r="B28" s="2038"/>
      <c r="C28" s="2065"/>
      <c r="D28" s="2062"/>
      <c r="E28" s="2075"/>
      <c r="F28" s="2076"/>
      <c r="G28" s="2076"/>
      <c r="H28" s="2064"/>
      <c r="I28" s="2064"/>
      <c r="J28" s="2064"/>
      <c r="K28" s="2064"/>
      <c r="L28" s="2064"/>
      <c r="M28" s="2034"/>
      <c r="N28" s="2034"/>
      <c r="O28" s="2038"/>
      <c r="P28" s="2065"/>
      <c r="Q28" s="2062"/>
      <c r="R28" s="2075"/>
      <c r="S28" s="2076"/>
      <c r="T28" s="2076"/>
      <c r="U28" s="2064"/>
      <c r="V28" s="2064"/>
      <c r="W28" s="2064"/>
      <c r="X28" s="2064"/>
      <c r="Y28" s="2064"/>
    </row>
    <row r="29" spans="1:25" ht="31.5">
      <c r="A29" s="2038"/>
      <c r="B29" s="2038"/>
      <c r="C29" s="2061"/>
      <c r="D29" s="2062"/>
      <c r="E29" s="2077"/>
      <c r="F29" s="2078"/>
      <c r="G29" s="2079"/>
      <c r="H29" s="2080"/>
      <c r="I29" s="2080"/>
      <c r="J29" s="2080"/>
      <c r="K29" s="2080"/>
      <c r="L29" s="2080"/>
      <c r="M29" s="2034"/>
      <c r="N29" s="2034"/>
      <c r="O29" s="2038"/>
      <c r="P29" s="2061"/>
      <c r="Q29" s="2062"/>
      <c r="R29" s="2077"/>
      <c r="S29" s="2078"/>
      <c r="T29" s="2079"/>
      <c r="U29" s="2080"/>
      <c r="V29" s="2080"/>
      <c r="W29" s="2080"/>
      <c r="X29" s="2080"/>
      <c r="Y29" s="2080"/>
    </row>
    <row r="30" spans="1:25" ht="31.5">
      <c r="A30" s="2038"/>
      <c r="B30" s="2038" t="s">
        <v>76</v>
      </c>
      <c r="C30" s="2065"/>
      <c r="D30" s="2062"/>
      <c r="E30" s="2077"/>
      <c r="F30" s="2078"/>
      <c r="G30" s="2078"/>
      <c r="H30" s="2081"/>
      <c r="I30" s="2081"/>
      <c r="J30" s="2081"/>
      <c r="K30" s="2081"/>
      <c r="L30" s="2081"/>
      <c r="M30" s="2034"/>
      <c r="N30" s="2034"/>
      <c r="O30" s="2038" t="s">
        <v>76</v>
      </c>
      <c r="P30" s="2065"/>
      <c r="Q30" s="2062"/>
      <c r="R30" s="2077"/>
      <c r="S30" s="2078"/>
      <c r="T30" s="2078"/>
      <c r="U30" s="2081"/>
      <c r="V30" s="2081"/>
      <c r="W30" s="2081"/>
      <c r="X30" s="2081"/>
      <c r="Y30" s="2081"/>
    </row>
    <row r="31" spans="1:25" ht="31.5">
      <c r="A31" s="2048">
        <v>13</v>
      </c>
      <c r="B31" s="2048" t="s">
        <v>809</v>
      </c>
      <c r="C31" s="2049" t="s">
        <v>812</v>
      </c>
      <c r="D31" s="2050" t="s">
        <v>11</v>
      </c>
      <c r="E31" s="2059">
        <v>2959.24</v>
      </c>
      <c r="F31" s="2059">
        <v>1040.76</v>
      </c>
      <c r="G31" s="2059">
        <f t="shared" ref="G31:G33" si="9">+E31+F31</f>
        <v>4000</v>
      </c>
      <c r="H31" s="2082">
        <v>0.4</v>
      </c>
      <c r="I31" s="2055">
        <v>0.6</v>
      </c>
      <c r="J31" s="2055">
        <v>0</v>
      </c>
      <c r="K31" s="2055">
        <v>0</v>
      </c>
      <c r="L31" s="2055">
        <f>SUM(H31:K31)</f>
        <v>1</v>
      </c>
      <c r="M31" s="2034"/>
      <c r="N31" s="2034"/>
      <c r="O31" s="2048" t="s">
        <v>809</v>
      </c>
      <c r="P31" s="2049" t="s">
        <v>812</v>
      </c>
      <c r="Q31" s="2050" t="s">
        <v>11</v>
      </c>
      <c r="R31" s="2051">
        <v>3166.38</v>
      </c>
      <c r="S31" s="2059">
        <v>1040.76</v>
      </c>
      <c r="T31" s="2059">
        <f t="shared" ref="T31:T33" si="10">+R31+S31</f>
        <v>4207.1400000000003</v>
      </c>
      <c r="U31" s="2082">
        <v>0.4</v>
      </c>
      <c r="V31" s="2055">
        <v>0.6</v>
      </c>
      <c r="W31" s="2055">
        <v>0</v>
      </c>
      <c r="X31" s="2055">
        <v>0</v>
      </c>
      <c r="Y31" s="2055">
        <f>SUM(U31:X31)</f>
        <v>1</v>
      </c>
    </row>
    <row r="32" spans="1:25" ht="31.5">
      <c r="A32" s="2048">
        <f>+A31+1</f>
        <v>14</v>
      </c>
      <c r="B32" s="2048" t="s">
        <v>507</v>
      </c>
      <c r="C32" s="2049" t="s">
        <v>593</v>
      </c>
      <c r="D32" s="2050" t="s">
        <v>10</v>
      </c>
      <c r="E32" s="2051">
        <v>2959.24</v>
      </c>
      <c r="F32" s="2059">
        <v>600</v>
      </c>
      <c r="G32" s="2059">
        <f t="shared" si="9"/>
        <v>3559.24</v>
      </c>
      <c r="H32" s="2082">
        <v>0.6</v>
      </c>
      <c r="I32" s="2055">
        <v>0.4</v>
      </c>
      <c r="J32" s="2055">
        <v>0</v>
      </c>
      <c r="K32" s="2055">
        <v>0</v>
      </c>
      <c r="L32" s="2055">
        <f>SUM(H32:K32)</f>
        <v>1</v>
      </c>
      <c r="M32" s="2034"/>
      <c r="N32" s="2034"/>
      <c r="O32" s="2048" t="s">
        <v>507</v>
      </c>
      <c r="P32" s="2049" t="s">
        <v>593</v>
      </c>
      <c r="Q32" s="2050" t="s">
        <v>10</v>
      </c>
      <c r="R32" s="2051">
        <v>3166.38</v>
      </c>
      <c r="S32" s="2059">
        <v>600</v>
      </c>
      <c r="T32" s="2059">
        <f t="shared" si="10"/>
        <v>3766.38</v>
      </c>
      <c r="U32" s="2082">
        <v>0.6</v>
      </c>
      <c r="V32" s="2055">
        <v>0.4</v>
      </c>
      <c r="W32" s="2055">
        <v>0</v>
      </c>
      <c r="X32" s="2055">
        <v>0</v>
      </c>
      <c r="Y32" s="2055">
        <f>SUM(U32:X32)</f>
        <v>1</v>
      </c>
    </row>
    <row r="33" spans="1:25" ht="31.5">
      <c r="A33" s="2048">
        <f>+A32+1</f>
        <v>15</v>
      </c>
      <c r="B33" s="2048" t="s">
        <v>619</v>
      </c>
      <c r="C33" s="2049" t="s">
        <v>593</v>
      </c>
      <c r="D33" s="2049" t="s">
        <v>10</v>
      </c>
      <c r="E33" s="2051">
        <v>2959.24</v>
      </c>
      <c r="F33" s="2083">
        <v>750</v>
      </c>
      <c r="G33" s="2083">
        <f t="shared" si="9"/>
        <v>3709.24</v>
      </c>
      <c r="H33" s="2084">
        <v>0.6</v>
      </c>
      <c r="I33" s="2085">
        <v>0.4</v>
      </c>
      <c r="J33" s="2085">
        <v>0</v>
      </c>
      <c r="K33" s="2055">
        <v>0</v>
      </c>
      <c r="L33" s="2085">
        <f>SUM(H33:K33)</f>
        <v>1</v>
      </c>
      <c r="M33" s="2034"/>
      <c r="N33" s="2034"/>
      <c r="O33" s="2048" t="s">
        <v>619</v>
      </c>
      <c r="P33" s="2049" t="s">
        <v>593</v>
      </c>
      <c r="Q33" s="2049" t="s">
        <v>10</v>
      </c>
      <c r="R33" s="2051">
        <v>3166.38</v>
      </c>
      <c r="S33" s="2083">
        <v>750</v>
      </c>
      <c r="T33" s="2083">
        <f t="shared" si="10"/>
        <v>3916.38</v>
      </c>
      <c r="U33" s="2084">
        <v>0.6</v>
      </c>
      <c r="V33" s="2085">
        <v>0.4</v>
      </c>
      <c r="W33" s="2085">
        <v>0</v>
      </c>
      <c r="X33" s="2055">
        <v>0</v>
      </c>
      <c r="Y33" s="2085">
        <f>SUM(U33:X33)</f>
        <v>1</v>
      </c>
    </row>
    <row r="34" spans="1:25" ht="32.25" thickBot="1">
      <c r="A34" s="2038"/>
      <c r="B34" s="2038"/>
      <c r="C34" s="2061" t="s">
        <v>78</v>
      </c>
      <c r="D34" s="2062"/>
      <c r="E34" s="2086">
        <f>SUM(E31:E33)</f>
        <v>8877.7199999999993</v>
      </c>
      <c r="F34" s="2086">
        <f>SUM(F31:F33)</f>
        <v>2390.7600000000002</v>
      </c>
      <c r="G34" s="2086">
        <f>SUM(G31:G33)</f>
        <v>11268.48</v>
      </c>
      <c r="H34" s="2080"/>
      <c r="I34" s="2080"/>
      <c r="J34" s="2080"/>
      <c r="K34" s="2080"/>
      <c r="L34" s="2080"/>
      <c r="M34" s="2034"/>
      <c r="N34" s="2034"/>
      <c r="O34" s="2038"/>
      <c r="P34" s="2061" t="s">
        <v>78</v>
      </c>
      <c r="Q34" s="2062"/>
      <c r="R34" s="2086">
        <f>SUM(R31:R33)</f>
        <v>9499.14</v>
      </c>
      <c r="S34" s="2086">
        <f>SUM(S31:S33)</f>
        <v>2390.7600000000002</v>
      </c>
      <c r="T34" s="2086">
        <f>SUM(T31:T33)</f>
        <v>11889.900000000001</v>
      </c>
      <c r="U34" s="2080"/>
      <c r="V34" s="2080"/>
      <c r="W34" s="2080"/>
      <c r="X34" s="2080"/>
      <c r="Y34" s="2080"/>
    </row>
    <row r="35" spans="1:25" ht="32.25" thickTop="1">
      <c r="A35" s="2038"/>
      <c r="B35" s="2038"/>
      <c r="C35" s="2061"/>
      <c r="D35" s="2062"/>
      <c r="E35" s="2077"/>
      <c r="F35" s="2078"/>
      <c r="G35" s="2078"/>
      <c r="H35" s="2080"/>
      <c r="I35" s="2080"/>
      <c r="J35" s="2080"/>
      <c r="K35" s="2080"/>
      <c r="L35" s="2080"/>
      <c r="M35" s="2034"/>
      <c r="N35" s="2034"/>
      <c r="O35" s="2038"/>
      <c r="P35" s="2061"/>
      <c r="Q35" s="2062"/>
      <c r="R35" s="2077"/>
      <c r="S35" s="2078"/>
      <c r="T35" s="2078"/>
      <c r="U35" s="2080"/>
      <c r="V35" s="2080"/>
      <c r="W35" s="2080"/>
      <c r="X35" s="2080"/>
      <c r="Y35" s="2080"/>
    </row>
    <row r="36" spans="1:25" ht="31.5">
      <c r="A36" s="2038"/>
      <c r="B36" s="2038" t="s">
        <v>79</v>
      </c>
      <c r="C36" s="2061"/>
      <c r="D36" s="2087"/>
      <c r="E36" s="2077"/>
      <c r="F36" s="2078"/>
      <c r="G36" s="2078"/>
      <c r="H36" s="2081"/>
      <c r="I36" s="2081"/>
      <c r="J36" s="2081"/>
      <c r="K36" s="2081"/>
      <c r="L36" s="2081"/>
      <c r="M36" s="2034"/>
      <c r="N36" s="2034"/>
      <c r="O36" s="2038" t="s">
        <v>79</v>
      </c>
      <c r="P36" s="2061"/>
      <c r="Q36" s="2087"/>
      <c r="R36" s="2077"/>
      <c r="S36" s="2078"/>
      <c r="T36" s="2078"/>
      <c r="U36" s="2081"/>
      <c r="V36" s="2081"/>
      <c r="W36" s="2081"/>
      <c r="X36" s="2081"/>
      <c r="Y36" s="2081"/>
    </row>
    <row r="37" spans="1:25" ht="31.5">
      <c r="A37" s="2056">
        <v>16</v>
      </c>
      <c r="B37" s="2056" t="s">
        <v>657</v>
      </c>
      <c r="C37" s="2057" t="s">
        <v>435</v>
      </c>
      <c r="D37" s="2058" t="s">
        <v>10</v>
      </c>
      <c r="E37" s="2059">
        <v>2959.24</v>
      </c>
      <c r="F37" s="2053">
        <v>1250</v>
      </c>
      <c r="G37" s="2053">
        <f t="shared" ref="G37" si="11">+E37+F37</f>
        <v>4209.24</v>
      </c>
      <c r="H37" s="2088">
        <v>0.5</v>
      </c>
      <c r="I37" s="2088">
        <v>0.5</v>
      </c>
      <c r="J37" s="2088">
        <v>0</v>
      </c>
      <c r="K37" s="2054">
        <v>0</v>
      </c>
      <c r="L37" s="2054">
        <f>SUM(H37:K37)</f>
        <v>1</v>
      </c>
      <c r="M37" s="2034"/>
      <c r="N37" s="2034"/>
      <c r="O37" s="2056" t="s">
        <v>657</v>
      </c>
      <c r="P37" s="2057" t="s">
        <v>435</v>
      </c>
      <c r="Q37" s="2058" t="s">
        <v>10</v>
      </c>
      <c r="R37" s="2051">
        <v>3166.38</v>
      </c>
      <c r="S37" s="2053">
        <v>1250</v>
      </c>
      <c r="T37" s="2053">
        <f t="shared" ref="T37" si="12">+R37+S37</f>
        <v>4416.38</v>
      </c>
      <c r="U37" s="2088">
        <v>0.5</v>
      </c>
      <c r="V37" s="2088">
        <v>0.5</v>
      </c>
      <c r="W37" s="2088">
        <v>0</v>
      </c>
      <c r="X37" s="2054">
        <v>0</v>
      </c>
      <c r="Y37" s="2054">
        <f>SUM(U37:X37)</f>
        <v>1</v>
      </c>
    </row>
    <row r="38" spans="1:25" ht="32.25" thickBot="1">
      <c r="A38" s="2060"/>
      <c r="B38" s="2060"/>
      <c r="C38" s="2061" t="s">
        <v>431</v>
      </c>
      <c r="D38" s="2062"/>
      <c r="E38" s="2089">
        <f>+SUM(E37:E37)</f>
        <v>2959.24</v>
      </c>
      <c r="F38" s="2090">
        <f>+SUM(F37:F37)</f>
        <v>1250</v>
      </c>
      <c r="G38" s="2090">
        <f>+SUM(G37:G37)</f>
        <v>4209.24</v>
      </c>
      <c r="H38" s="2091"/>
      <c r="I38" s="2091"/>
      <c r="J38" s="2091"/>
      <c r="K38" s="2064"/>
      <c r="L38" s="2064"/>
      <c r="M38" s="2034"/>
      <c r="N38" s="2034"/>
      <c r="O38" s="2060"/>
      <c r="P38" s="2061" t="s">
        <v>431</v>
      </c>
      <c r="Q38" s="2062"/>
      <c r="R38" s="2089">
        <f>+SUM(R37:R37)</f>
        <v>3166.38</v>
      </c>
      <c r="S38" s="2090">
        <f>+SUM(S37:S37)</f>
        <v>1250</v>
      </c>
      <c r="T38" s="2090">
        <f>+SUM(T37:T37)</f>
        <v>4416.38</v>
      </c>
      <c r="U38" s="2091"/>
      <c r="V38" s="2091"/>
      <c r="W38" s="2091"/>
      <c r="X38" s="2064"/>
      <c r="Y38" s="2064"/>
    </row>
    <row r="39" spans="1:25" ht="32.25" thickTop="1">
      <c r="A39" s="2038"/>
      <c r="B39" s="2038"/>
      <c r="C39" s="2065"/>
      <c r="D39" s="2062"/>
      <c r="E39" s="2092"/>
      <c r="F39" s="2079"/>
      <c r="G39" s="2079"/>
      <c r="H39" s="2091"/>
      <c r="I39" s="2091"/>
      <c r="J39" s="2091"/>
      <c r="K39" s="2091"/>
      <c r="L39" s="2091"/>
      <c r="M39" s="2034"/>
      <c r="N39" s="2034"/>
      <c r="O39" s="2038"/>
      <c r="P39" s="2065"/>
      <c r="Q39" s="2062"/>
      <c r="R39" s="2092"/>
      <c r="S39" s="2079"/>
      <c r="T39" s="2079"/>
      <c r="U39" s="2091"/>
      <c r="V39" s="2091"/>
      <c r="W39" s="2091"/>
      <c r="X39" s="2091"/>
      <c r="Y39" s="2091"/>
    </row>
    <row r="40" spans="1:25" ht="31.5">
      <c r="A40" s="2038"/>
      <c r="B40" s="2038" t="s">
        <v>85</v>
      </c>
      <c r="C40" s="2061"/>
      <c r="D40" s="2061"/>
      <c r="E40" s="2093"/>
      <c r="F40" s="2094"/>
      <c r="G40" s="2094"/>
      <c r="H40" s="2095"/>
      <c r="I40" s="2095"/>
      <c r="J40" s="2095"/>
      <c r="K40" s="2095"/>
      <c r="L40" s="2095"/>
      <c r="M40" s="2034"/>
      <c r="N40" s="2034"/>
      <c r="O40" s="2038" t="s">
        <v>85</v>
      </c>
      <c r="P40" s="2061"/>
      <c r="Q40" s="2061"/>
      <c r="R40" s="2093"/>
      <c r="S40" s="2094"/>
      <c r="T40" s="2094"/>
      <c r="U40" s="2095"/>
      <c r="V40" s="2095"/>
      <c r="W40" s="2095"/>
      <c r="X40" s="2095"/>
      <c r="Y40" s="2095"/>
    </row>
    <row r="41" spans="1:25" ht="31.5">
      <c r="A41" s="2038"/>
      <c r="B41" s="2038" t="s">
        <v>89</v>
      </c>
      <c r="C41" s="2065"/>
      <c r="D41" s="2062"/>
      <c r="E41" s="2096"/>
      <c r="F41" s="2068"/>
      <c r="G41" s="2068"/>
      <c r="H41" s="2091"/>
      <c r="I41" s="2091"/>
      <c r="J41" s="2091"/>
      <c r="K41" s="2091"/>
      <c r="L41" s="2091"/>
      <c r="M41" s="2034"/>
      <c r="N41" s="2034"/>
      <c r="O41" s="2038" t="s">
        <v>89</v>
      </c>
      <c r="P41" s="2065"/>
      <c r="Q41" s="2062"/>
      <c r="R41" s="2096"/>
      <c r="S41" s="2068"/>
      <c r="T41" s="2068"/>
      <c r="U41" s="2091"/>
      <c r="V41" s="2091"/>
      <c r="W41" s="2091"/>
      <c r="X41" s="2091"/>
      <c r="Y41" s="2091"/>
    </row>
    <row r="42" spans="1:25" ht="31.5">
      <c r="A42" s="2097"/>
      <c r="B42" s="2097" t="s">
        <v>11</v>
      </c>
      <c r="C42" s="2098"/>
      <c r="D42" s="2099"/>
      <c r="E42" s="2100"/>
      <c r="F42" s="2100"/>
      <c r="G42" s="2100"/>
      <c r="H42" s="2101"/>
      <c r="I42" s="2101"/>
      <c r="J42" s="2101"/>
      <c r="K42" s="2101"/>
      <c r="L42" s="2101"/>
      <c r="M42" s="2034"/>
      <c r="N42" s="2034"/>
      <c r="O42" s="2097" t="s">
        <v>11</v>
      </c>
      <c r="P42" s="2098"/>
      <c r="Q42" s="2099"/>
      <c r="R42" s="2100"/>
      <c r="S42" s="2100"/>
      <c r="T42" s="2100"/>
      <c r="U42" s="2101"/>
      <c r="V42" s="2101"/>
      <c r="W42" s="2101"/>
      <c r="X42" s="2101"/>
      <c r="Y42" s="2101"/>
    </row>
    <row r="43" spans="1:25" ht="31.5">
      <c r="A43" s="2048">
        <v>17</v>
      </c>
      <c r="B43" s="2048" t="s">
        <v>556</v>
      </c>
      <c r="C43" s="2049" t="s">
        <v>596</v>
      </c>
      <c r="D43" s="2049" t="s">
        <v>11</v>
      </c>
      <c r="E43" s="2051">
        <v>2959.24</v>
      </c>
      <c r="F43" s="2059">
        <v>250</v>
      </c>
      <c r="G43" s="2102">
        <f t="shared" ref="G43:G49" si="13">+E43+F43</f>
        <v>3209.24</v>
      </c>
      <c r="H43" s="2055">
        <v>0</v>
      </c>
      <c r="I43" s="2103">
        <v>1</v>
      </c>
      <c r="J43" s="2055">
        <v>0</v>
      </c>
      <c r="K43" s="2104">
        <v>0</v>
      </c>
      <c r="L43" s="2055">
        <f>SUM(H43:K43)</f>
        <v>1</v>
      </c>
      <c r="M43" s="2034"/>
      <c r="N43" s="2034"/>
      <c r="O43" s="2048" t="s">
        <v>556</v>
      </c>
      <c r="P43" s="2049" t="s">
        <v>596</v>
      </c>
      <c r="Q43" s="2049" t="s">
        <v>11</v>
      </c>
      <c r="R43" s="2051">
        <v>3166.38</v>
      </c>
      <c r="S43" s="2059">
        <v>250</v>
      </c>
      <c r="T43" s="2102">
        <f t="shared" ref="T43:T44" si="14">+R43+S43</f>
        <v>3416.38</v>
      </c>
      <c r="U43" s="2055">
        <v>0</v>
      </c>
      <c r="V43" s="2103">
        <v>1</v>
      </c>
      <c r="W43" s="2055">
        <v>0</v>
      </c>
      <c r="X43" s="2104">
        <v>0</v>
      </c>
      <c r="Y43" s="2055">
        <f>SUM(U43:X43)</f>
        <v>1</v>
      </c>
    </row>
    <row r="44" spans="1:25" ht="31.5">
      <c r="A44" s="2048">
        <f>+A43+1</f>
        <v>18</v>
      </c>
      <c r="B44" s="2048" t="s">
        <v>790</v>
      </c>
      <c r="C44" s="2049" t="s">
        <v>94</v>
      </c>
      <c r="D44" s="2049" t="s">
        <v>11</v>
      </c>
      <c r="E44" s="2051">
        <v>2959.24</v>
      </c>
      <c r="F44" s="2059">
        <v>250</v>
      </c>
      <c r="G44" s="2102">
        <f t="shared" si="13"/>
        <v>3209.24</v>
      </c>
      <c r="H44" s="2055">
        <v>0</v>
      </c>
      <c r="I44" s="2103">
        <v>1</v>
      </c>
      <c r="J44" s="2055">
        <v>0</v>
      </c>
      <c r="K44" s="2104">
        <v>0</v>
      </c>
      <c r="L44" s="2055">
        <f>SUM(H44:K44)</f>
        <v>1</v>
      </c>
      <c r="M44" s="2034"/>
      <c r="N44" s="2034"/>
      <c r="O44" s="2048" t="s">
        <v>790</v>
      </c>
      <c r="P44" s="2049" t="s">
        <v>94</v>
      </c>
      <c r="Q44" s="2049" t="s">
        <v>11</v>
      </c>
      <c r="R44" s="2051">
        <v>3166.38</v>
      </c>
      <c r="S44" s="2059">
        <v>250</v>
      </c>
      <c r="T44" s="2102">
        <f t="shared" si="14"/>
        <v>3416.38</v>
      </c>
      <c r="U44" s="2055">
        <v>0</v>
      </c>
      <c r="V44" s="2103">
        <v>1</v>
      </c>
      <c r="W44" s="2055">
        <v>0</v>
      </c>
      <c r="X44" s="2104">
        <v>0</v>
      </c>
      <c r="Y44" s="2055">
        <f>SUM(U44:X44)</f>
        <v>1</v>
      </c>
    </row>
    <row r="45" spans="1:25" ht="31.5">
      <c r="A45" s="2048">
        <f t="shared" ref="A45:A49" si="15">+A44+1</f>
        <v>19</v>
      </c>
      <c r="B45" s="2048" t="s">
        <v>620</v>
      </c>
      <c r="C45" s="2049" t="s">
        <v>94</v>
      </c>
      <c r="D45" s="2049" t="s">
        <v>11</v>
      </c>
      <c r="E45" s="2051">
        <v>2959.24</v>
      </c>
      <c r="F45" s="2059">
        <v>250</v>
      </c>
      <c r="G45" s="2102">
        <v>3209.24</v>
      </c>
      <c r="H45" s="2055">
        <v>0</v>
      </c>
      <c r="I45" s="2103">
        <v>1</v>
      </c>
      <c r="J45" s="2055">
        <v>0</v>
      </c>
      <c r="K45" s="2104">
        <v>0</v>
      </c>
      <c r="L45" s="2055">
        <v>1</v>
      </c>
      <c r="M45" s="2034"/>
      <c r="N45" s="2034"/>
      <c r="O45" s="2048" t="s">
        <v>620</v>
      </c>
      <c r="P45" s="2049" t="s">
        <v>94</v>
      </c>
      <c r="Q45" s="2049" t="s">
        <v>11</v>
      </c>
      <c r="R45" s="2051">
        <v>3166.38</v>
      </c>
      <c r="S45" s="2059">
        <v>250</v>
      </c>
      <c r="T45" s="2102">
        <v>3209.24</v>
      </c>
      <c r="U45" s="2055">
        <v>0</v>
      </c>
      <c r="V45" s="2103">
        <v>1</v>
      </c>
      <c r="W45" s="2055">
        <v>0</v>
      </c>
      <c r="X45" s="2104">
        <v>0</v>
      </c>
      <c r="Y45" s="2055">
        <v>1</v>
      </c>
    </row>
    <row r="46" spans="1:25" ht="31.5">
      <c r="A46" s="2048">
        <f t="shared" si="15"/>
        <v>20</v>
      </c>
      <c r="B46" s="2048" t="s">
        <v>722</v>
      </c>
      <c r="C46" s="2049" t="s">
        <v>718</v>
      </c>
      <c r="D46" s="2049" t="s">
        <v>11</v>
      </c>
      <c r="E46" s="2051">
        <v>3025</v>
      </c>
      <c r="F46" s="2059">
        <v>350</v>
      </c>
      <c r="G46" s="2102">
        <f t="shared" si="13"/>
        <v>3375</v>
      </c>
      <c r="H46" s="2055">
        <v>0</v>
      </c>
      <c r="I46" s="2103">
        <v>1</v>
      </c>
      <c r="J46" s="2055">
        <v>0</v>
      </c>
      <c r="K46" s="2104">
        <v>0</v>
      </c>
      <c r="L46" s="2055">
        <f>SUM(H46:K46)</f>
        <v>1</v>
      </c>
      <c r="M46" s="2034"/>
      <c r="N46" s="2034"/>
      <c r="O46" s="2048" t="s">
        <v>722</v>
      </c>
      <c r="P46" s="2049" t="s">
        <v>718</v>
      </c>
      <c r="Q46" s="2049" t="s">
        <v>11</v>
      </c>
      <c r="R46" s="2051">
        <v>3166.38</v>
      </c>
      <c r="S46" s="2059">
        <v>350</v>
      </c>
      <c r="T46" s="2102">
        <f t="shared" ref="T46:T49" si="16">+R46+S46</f>
        <v>3516.38</v>
      </c>
      <c r="U46" s="2055">
        <v>0</v>
      </c>
      <c r="V46" s="2103">
        <v>1</v>
      </c>
      <c r="W46" s="2055">
        <v>0</v>
      </c>
      <c r="X46" s="2104">
        <v>0</v>
      </c>
      <c r="Y46" s="2055">
        <f>SUM(U46:X46)</f>
        <v>1</v>
      </c>
    </row>
    <row r="47" spans="1:25" ht="31.5">
      <c r="A47" s="2048">
        <f t="shared" si="15"/>
        <v>21</v>
      </c>
      <c r="B47" s="2048" t="s">
        <v>574</v>
      </c>
      <c r="C47" s="2049" t="s">
        <v>595</v>
      </c>
      <c r="D47" s="2049" t="s">
        <v>11</v>
      </c>
      <c r="E47" s="2051">
        <v>2959.24</v>
      </c>
      <c r="F47" s="2059">
        <f>250</f>
        <v>250</v>
      </c>
      <c r="G47" s="2102">
        <f t="shared" si="13"/>
        <v>3209.24</v>
      </c>
      <c r="H47" s="2055">
        <v>0</v>
      </c>
      <c r="I47" s="2105">
        <v>1</v>
      </c>
      <c r="J47" s="2085">
        <v>0</v>
      </c>
      <c r="K47" s="2055">
        <v>0</v>
      </c>
      <c r="L47" s="2055">
        <f>SUM(H47:K47)</f>
        <v>1</v>
      </c>
      <c r="M47" s="2034"/>
      <c r="N47" s="2034"/>
      <c r="O47" s="2048" t="s">
        <v>574</v>
      </c>
      <c r="P47" s="2049" t="s">
        <v>595</v>
      </c>
      <c r="Q47" s="2049" t="s">
        <v>11</v>
      </c>
      <c r="R47" s="2051">
        <v>3166.38</v>
      </c>
      <c r="S47" s="2059">
        <f>250</f>
        <v>250</v>
      </c>
      <c r="T47" s="2102">
        <f t="shared" si="16"/>
        <v>3416.38</v>
      </c>
      <c r="U47" s="2055">
        <v>0</v>
      </c>
      <c r="V47" s="2105">
        <v>1</v>
      </c>
      <c r="W47" s="2085">
        <v>0</v>
      </c>
      <c r="X47" s="2055">
        <v>0</v>
      </c>
      <c r="Y47" s="2055">
        <f>SUM(U47:X47)</f>
        <v>1</v>
      </c>
    </row>
    <row r="48" spans="1:25" ht="31.5">
      <c r="A48" s="2048">
        <f t="shared" si="15"/>
        <v>22</v>
      </c>
      <c r="B48" s="2048" t="s">
        <v>590</v>
      </c>
      <c r="C48" s="2049" t="s">
        <v>599</v>
      </c>
      <c r="D48" s="2049" t="s">
        <v>11</v>
      </c>
      <c r="E48" s="2051">
        <v>2959.24</v>
      </c>
      <c r="F48" s="2083">
        <v>250</v>
      </c>
      <c r="G48" s="2106">
        <f t="shared" si="13"/>
        <v>3209.24</v>
      </c>
      <c r="H48" s="2103">
        <v>0</v>
      </c>
      <c r="I48" s="2085">
        <v>1</v>
      </c>
      <c r="J48" s="2085">
        <v>0</v>
      </c>
      <c r="K48" s="2055">
        <v>0</v>
      </c>
      <c r="L48" s="2055">
        <f>SUM(H48:K48)</f>
        <v>1</v>
      </c>
      <c r="M48" s="2034"/>
      <c r="N48" s="2034"/>
      <c r="O48" s="2048" t="s">
        <v>590</v>
      </c>
      <c r="P48" s="2049" t="s">
        <v>599</v>
      </c>
      <c r="Q48" s="2049" t="s">
        <v>11</v>
      </c>
      <c r="R48" s="2051">
        <v>3166.38</v>
      </c>
      <c r="S48" s="2083">
        <v>250</v>
      </c>
      <c r="T48" s="2106">
        <f t="shared" si="16"/>
        <v>3416.38</v>
      </c>
      <c r="U48" s="2103">
        <v>0</v>
      </c>
      <c r="V48" s="2085">
        <v>1</v>
      </c>
      <c r="W48" s="2085">
        <v>0</v>
      </c>
      <c r="X48" s="2055">
        <v>0</v>
      </c>
      <c r="Y48" s="2055">
        <f>SUM(U48:X48)</f>
        <v>1</v>
      </c>
    </row>
    <row r="49" spans="1:25" ht="31.5">
      <c r="A49" s="2048">
        <f t="shared" si="15"/>
        <v>23</v>
      </c>
      <c r="B49" s="2048" t="s">
        <v>639</v>
      </c>
      <c r="C49" s="2049" t="s">
        <v>93</v>
      </c>
      <c r="D49" s="2049" t="s">
        <v>11</v>
      </c>
      <c r="E49" s="2051">
        <v>2959.24</v>
      </c>
      <c r="F49" s="2083">
        <v>250</v>
      </c>
      <c r="G49" s="2106">
        <f t="shared" si="13"/>
        <v>3209.24</v>
      </c>
      <c r="H49" s="2085">
        <v>0</v>
      </c>
      <c r="I49" s="2103">
        <v>1</v>
      </c>
      <c r="J49" s="2085">
        <v>0</v>
      </c>
      <c r="K49" s="2055">
        <v>0</v>
      </c>
      <c r="L49" s="2055">
        <f>SUM(H49:K49)</f>
        <v>1</v>
      </c>
      <c r="M49" s="2034"/>
      <c r="N49" s="2034"/>
      <c r="O49" s="2048" t="s">
        <v>639</v>
      </c>
      <c r="P49" s="2049" t="s">
        <v>93</v>
      </c>
      <c r="Q49" s="2049" t="s">
        <v>11</v>
      </c>
      <c r="R49" s="2051">
        <v>3166.38</v>
      </c>
      <c r="S49" s="2083">
        <v>250</v>
      </c>
      <c r="T49" s="2106">
        <f t="shared" si="16"/>
        <v>3416.38</v>
      </c>
      <c r="U49" s="2085">
        <v>0</v>
      </c>
      <c r="V49" s="2103">
        <v>1</v>
      </c>
      <c r="W49" s="2085">
        <v>0</v>
      </c>
      <c r="X49" s="2055">
        <v>0</v>
      </c>
      <c r="Y49" s="2055">
        <f>SUM(U49:X49)</f>
        <v>1</v>
      </c>
    </row>
    <row r="50" spans="1:25" ht="32.25" thickBot="1">
      <c r="A50" s="2107"/>
      <c r="B50" s="2107"/>
      <c r="C50" s="2108" t="s">
        <v>96</v>
      </c>
      <c r="D50" s="2108"/>
      <c r="E50" s="2109">
        <f>SUM(E43:E49)</f>
        <v>20780.439999999995</v>
      </c>
      <c r="F50" s="2109">
        <f>SUM(F43:F49)</f>
        <v>1850</v>
      </c>
      <c r="G50" s="2109">
        <f>SUM(G43:G49)</f>
        <v>22630.439999999995</v>
      </c>
      <c r="H50" s="2110"/>
      <c r="I50" s="2110"/>
      <c r="J50" s="2110"/>
      <c r="K50" s="2110"/>
      <c r="L50" s="2111"/>
      <c r="M50" s="2034"/>
      <c r="N50" s="2034"/>
      <c r="O50" s="2107"/>
      <c r="P50" s="2108" t="s">
        <v>96</v>
      </c>
      <c r="Q50" s="2108"/>
      <c r="R50" s="2109">
        <f>SUM(R43:R49)</f>
        <v>22164.660000000003</v>
      </c>
      <c r="S50" s="2109">
        <f>SUM(S43:S49)</f>
        <v>1850</v>
      </c>
      <c r="T50" s="2109">
        <f>SUM(T43:T49)</f>
        <v>23807.520000000004</v>
      </c>
      <c r="U50" s="2110"/>
      <c r="V50" s="2110"/>
      <c r="W50" s="2110"/>
      <c r="X50" s="2110"/>
      <c r="Y50" s="2111"/>
    </row>
    <row r="51" spans="1:25" ht="32.25" thickTop="1">
      <c r="A51" s="2060"/>
      <c r="B51" s="2060"/>
      <c r="C51" s="2061"/>
      <c r="D51" s="2065"/>
      <c r="E51" s="2066"/>
      <c r="F51" s="2067"/>
      <c r="G51" s="2067"/>
      <c r="H51" s="2095"/>
      <c r="I51" s="2095"/>
      <c r="J51" s="2095"/>
      <c r="K51" s="2095"/>
      <c r="L51" s="2091"/>
      <c r="M51" s="2034"/>
      <c r="N51" s="2034"/>
      <c r="O51" s="2060"/>
      <c r="P51" s="2061"/>
      <c r="Q51" s="2065"/>
      <c r="R51" s="2066"/>
      <c r="S51" s="2067"/>
      <c r="T51" s="2067"/>
      <c r="U51" s="2095"/>
      <c r="V51" s="2095"/>
      <c r="W51" s="2095"/>
      <c r="X51" s="2095"/>
      <c r="Y51" s="2091"/>
    </row>
    <row r="52" spans="1:25" ht="31.5">
      <c r="A52" s="2038"/>
      <c r="B52" s="2038" t="s">
        <v>383</v>
      </c>
      <c r="C52" s="2065"/>
      <c r="D52" s="2065"/>
      <c r="E52" s="2096"/>
      <c r="F52" s="2068"/>
      <c r="G52" s="2068"/>
      <c r="H52" s="2095"/>
      <c r="I52" s="2095"/>
      <c r="J52" s="2095"/>
      <c r="K52" s="2095"/>
      <c r="L52" s="2091"/>
      <c r="M52" s="2034"/>
      <c r="N52" s="2034"/>
      <c r="O52" s="2038" t="s">
        <v>383</v>
      </c>
      <c r="P52" s="2065"/>
      <c r="Q52" s="2065"/>
      <c r="R52" s="2096"/>
      <c r="S52" s="2068"/>
      <c r="T52" s="2068"/>
      <c r="U52" s="2095"/>
      <c r="V52" s="2095"/>
      <c r="W52" s="2095"/>
      <c r="X52" s="2095"/>
      <c r="Y52" s="2091"/>
    </row>
    <row r="53" spans="1:25" ht="31.5">
      <c r="A53" s="2048">
        <v>24</v>
      </c>
      <c r="B53" s="2048" t="s">
        <v>531</v>
      </c>
      <c r="C53" s="2049" t="s">
        <v>94</v>
      </c>
      <c r="D53" s="2050" t="s">
        <v>10</v>
      </c>
      <c r="E53" s="2051">
        <v>2959.24</v>
      </c>
      <c r="F53" s="2059">
        <v>250</v>
      </c>
      <c r="G53" s="2102">
        <f t="shared" ref="G53:G66" si="17">+E53+F53</f>
        <v>3209.24</v>
      </c>
      <c r="H53" s="2105">
        <v>1</v>
      </c>
      <c r="I53" s="2055">
        <v>0</v>
      </c>
      <c r="J53" s="2055">
        <v>0</v>
      </c>
      <c r="K53" s="2055">
        <v>0</v>
      </c>
      <c r="L53" s="2055">
        <f>SUM(H53:K53)</f>
        <v>1</v>
      </c>
      <c r="M53" s="2034"/>
      <c r="N53" s="2034"/>
      <c r="O53" s="2048" t="s">
        <v>531</v>
      </c>
      <c r="P53" s="2049" t="s">
        <v>94</v>
      </c>
      <c r="Q53" s="2050" t="s">
        <v>10</v>
      </c>
      <c r="R53" s="2051">
        <v>3166.38</v>
      </c>
      <c r="S53" s="2059">
        <v>250</v>
      </c>
      <c r="T53" s="2102">
        <f t="shared" ref="T53:T54" si="18">+R53+S53</f>
        <v>3416.38</v>
      </c>
      <c r="U53" s="2105">
        <v>1</v>
      </c>
      <c r="V53" s="2055">
        <v>0</v>
      </c>
      <c r="W53" s="2055">
        <v>0</v>
      </c>
      <c r="X53" s="2055">
        <v>0</v>
      </c>
      <c r="Y53" s="2055">
        <f>SUM(U53:X53)</f>
        <v>1</v>
      </c>
    </row>
    <row r="54" spans="1:25" ht="31.5">
      <c r="A54" s="2048">
        <f>+A53+1</f>
        <v>25</v>
      </c>
      <c r="B54" s="2048" t="s">
        <v>816</v>
      </c>
      <c r="C54" s="2049" t="s">
        <v>93</v>
      </c>
      <c r="D54" s="2050" t="s">
        <v>10</v>
      </c>
      <c r="E54" s="2051">
        <v>2959.24</v>
      </c>
      <c r="F54" s="2059">
        <v>250</v>
      </c>
      <c r="G54" s="2102">
        <f t="shared" si="17"/>
        <v>3209.24</v>
      </c>
      <c r="H54" s="2105">
        <v>1</v>
      </c>
      <c r="I54" s="2055">
        <v>0</v>
      </c>
      <c r="J54" s="2055">
        <v>0</v>
      </c>
      <c r="K54" s="2104">
        <v>0</v>
      </c>
      <c r="L54" s="2055">
        <f>SUM(H54:K54)</f>
        <v>1</v>
      </c>
      <c r="M54" s="2034"/>
      <c r="N54" s="2034"/>
      <c r="O54" s="2048" t="s">
        <v>816</v>
      </c>
      <c r="P54" s="2049" t="s">
        <v>93</v>
      </c>
      <c r="Q54" s="2050" t="s">
        <v>10</v>
      </c>
      <c r="R54" s="2051">
        <v>3166.38</v>
      </c>
      <c r="S54" s="2059">
        <v>250</v>
      </c>
      <c r="T54" s="2102">
        <f t="shared" si="18"/>
        <v>3416.38</v>
      </c>
      <c r="U54" s="2105">
        <v>1</v>
      </c>
      <c r="V54" s="2055">
        <v>0</v>
      </c>
      <c r="W54" s="2055">
        <v>0</v>
      </c>
      <c r="X54" s="2104">
        <v>0</v>
      </c>
      <c r="Y54" s="2055">
        <f>SUM(U54:X54)</f>
        <v>1</v>
      </c>
    </row>
    <row r="55" spans="1:25" ht="31.5">
      <c r="A55" s="2048">
        <f t="shared" ref="A55:A66" si="19">+A54+1</f>
        <v>26</v>
      </c>
      <c r="B55" s="2048" t="s">
        <v>817</v>
      </c>
      <c r="C55" s="2049" t="s">
        <v>624</v>
      </c>
      <c r="D55" s="2050" t="s">
        <v>10</v>
      </c>
      <c r="E55" s="2051">
        <v>2959.24</v>
      </c>
      <c r="F55" s="2059">
        <v>250</v>
      </c>
      <c r="G55" s="2102">
        <v>3209.24</v>
      </c>
      <c r="H55" s="2105">
        <v>1</v>
      </c>
      <c r="I55" s="2055">
        <v>0</v>
      </c>
      <c r="J55" s="2055">
        <v>0</v>
      </c>
      <c r="K55" s="2104">
        <v>0</v>
      </c>
      <c r="L55" s="2055">
        <v>1</v>
      </c>
      <c r="M55" s="2034"/>
      <c r="N55" s="2034"/>
      <c r="O55" s="2048" t="s">
        <v>817</v>
      </c>
      <c r="P55" s="2049" t="s">
        <v>624</v>
      </c>
      <c r="Q55" s="2050" t="s">
        <v>10</v>
      </c>
      <c r="R55" s="2051">
        <v>3166.38</v>
      </c>
      <c r="S55" s="2059">
        <v>250</v>
      </c>
      <c r="T55" s="2102">
        <v>3209.24</v>
      </c>
      <c r="U55" s="2105">
        <v>1</v>
      </c>
      <c r="V55" s="2055">
        <v>0</v>
      </c>
      <c r="W55" s="2055">
        <v>0</v>
      </c>
      <c r="X55" s="2104">
        <v>0</v>
      </c>
      <c r="Y55" s="2055">
        <v>1</v>
      </c>
    </row>
    <row r="56" spans="1:25" ht="31.5">
      <c r="A56" s="2048">
        <f t="shared" si="19"/>
        <v>27</v>
      </c>
      <c r="B56" s="2048" t="s">
        <v>588</v>
      </c>
      <c r="C56" s="2049" t="s">
        <v>599</v>
      </c>
      <c r="D56" s="2050" t="s">
        <v>10</v>
      </c>
      <c r="E56" s="2051">
        <v>2959.24</v>
      </c>
      <c r="F56" s="2059">
        <v>250</v>
      </c>
      <c r="G56" s="2102">
        <f t="shared" si="17"/>
        <v>3209.24</v>
      </c>
      <c r="H56" s="2105">
        <v>1</v>
      </c>
      <c r="I56" s="2055">
        <v>0</v>
      </c>
      <c r="J56" s="2055">
        <v>0</v>
      </c>
      <c r="K56" s="2104">
        <v>0</v>
      </c>
      <c r="L56" s="2055">
        <f t="shared" ref="L56:L66" si="20">SUM(H56:K56)</f>
        <v>1</v>
      </c>
      <c r="M56" s="2034"/>
      <c r="N56" s="2034"/>
      <c r="O56" s="2048" t="s">
        <v>588</v>
      </c>
      <c r="P56" s="2049" t="s">
        <v>599</v>
      </c>
      <c r="Q56" s="2050" t="s">
        <v>10</v>
      </c>
      <c r="R56" s="2051">
        <v>3166.38</v>
      </c>
      <c r="S56" s="2059">
        <v>250</v>
      </c>
      <c r="T56" s="2102">
        <f t="shared" ref="T56:T66" si="21">+R56+S56</f>
        <v>3416.38</v>
      </c>
      <c r="U56" s="2105">
        <v>1</v>
      </c>
      <c r="V56" s="2055">
        <v>0</v>
      </c>
      <c r="W56" s="2055">
        <v>0</v>
      </c>
      <c r="X56" s="2104">
        <v>0</v>
      </c>
      <c r="Y56" s="2055">
        <f t="shared" ref="Y56:Y66" si="22">SUM(U56:X56)</f>
        <v>1</v>
      </c>
    </row>
    <row r="57" spans="1:25" ht="31.5">
      <c r="A57" s="2048">
        <f t="shared" si="19"/>
        <v>28</v>
      </c>
      <c r="B57" s="2048" t="s">
        <v>763</v>
      </c>
      <c r="C57" s="2049" t="s">
        <v>624</v>
      </c>
      <c r="D57" s="2050" t="s">
        <v>10</v>
      </c>
      <c r="E57" s="2051">
        <v>2959.24</v>
      </c>
      <c r="F57" s="2059">
        <v>250</v>
      </c>
      <c r="G57" s="2102">
        <f t="shared" si="17"/>
        <v>3209.24</v>
      </c>
      <c r="H57" s="2105">
        <v>1</v>
      </c>
      <c r="I57" s="2055">
        <v>0</v>
      </c>
      <c r="J57" s="2055">
        <v>0</v>
      </c>
      <c r="K57" s="2104">
        <v>0</v>
      </c>
      <c r="L57" s="2055">
        <f t="shared" si="20"/>
        <v>1</v>
      </c>
      <c r="M57" s="2034"/>
      <c r="N57" s="2034"/>
      <c r="O57" s="2048" t="s">
        <v>763</v>
      </c>
      <c r="P57" s="2049" t="s">
        <v>624</v>
      </c>
      <c r="Q57" s="2050" t="s">
        <v>10</v>
      </c>
      <c r="R57" s="2051">
        <v>3166.38</v>
      </c>
      <c r="S57" s="2059">
        <v>250</v>
      </c>
      <c r="T57" s="2102">
        <f t="shared" si="21"/>
        <v>3416.38</v>
      </c>
      <c r="U57" s="2105">
        <v>1</v>
      </c>
      <c r="V57" s="2055">
        <v>0</v>
      </c>
      <c r="W57" s="2055">
        <v>0</v>
      </c>
      <c r="X57" s="2104">
        <v>0</v>
      </c>
      <c r="Y57" s="2055">
        <f t="shared" si="22"/>
        <v>1</v>
      </c>
    </row>
    <row r="58" spans="1:25" ht="31.5">
      <c r="A58" s="2048">
        <f t="shared" si="19"/>
        <v>29</v>
      </c>
      <c r="B58" s="2048" t="s">
        <v>719</v>
      </c>
      <c r="C58" s="2049" t="s">
        <v>720</v>
      </c>
      <c r="D58" s="2050" t="s">
        <v>10</v>
      </c>
      <c r="E58" s="2051">
        <v>2959.24</v>
      </c>
      <c r="F58" s="2059">
        <v>250</v>
      </c>
      <c r="G58" s="2102">
        <f t="shared" si="17"/>
        <v>3209.24</v>
      </c>
      <c r="H58" s="2105">
        <v>1</v>
      </c>
      <c r="I58" s="2055">
        <v>0</v>
      </c>
      <c r="J58" s="2055">
        <v>0</v>
      </c>
      <c r="K58" s="2104">
        <v>0</v>
      </c>
      <c r="L58" s="2055">
        <f t="shared" si="20"/>
        <v>1</v>
      </c>
      <c r="M58" s="2034"/>
      <c r="N58" s="2034"/>
      <c r="O58" s="2048" t="s">
        <v>719</v>
      </c>
      <c r="P58" s="2049" t="s">
        <v>720</v>
      </c>
      <c r="Q58" s="2050" t="s">
        <v>10</v>
      </c>
      <c r="R58" s="2051">
        <v>3166.38</v>
      </c>
      <c r="S58" s="2059">
        <v>250</v>
      </c>
      <c r="T58" s="2102">
        <f t="shared" si="21"/>
        <v>3416.38</v>
      </c>
      <c r="U58" s="2105">
        <v>1</v>
      </c>
      <c r="V58" s="2055">
        <v>0</v>
      </c>
      <c r="W58" s="2055">
        <v>0</v>
      </c>
      <c r="X58" s="2104">
        <v>0</v>
      </c>
      <c r="Y58" s="2055">
        <f t="shared" si="22"/>
        <v>1</v>
      </c>
    </row>
    <row r="59" spans="1:25" ht="31.5">
      <c r="A59" s="2048">
        <f t="shared" si="19"/>
        <v>30</v>
      </c>
      <c r="B59" s="2048" t="s">
        <v>721</v>
      </c>
      <c r="C59" s="2049" t="s">
        <v>720</v>
      </c>
      <c r="D59" s="2050" t="s">
        <v>10</v>
      </c>
      <c r="E59" s="2051">
        <v>2959.24</v>
      </c>
      <c r="F59" s="2059">
        <v>250</v>
      </c>
      <c r="G59" s="2102">
        <f t="shared" si="17"/>
        <v>3209.24</v>
      </c>
      <c r="H59" s="2105">
        <v>1</v>
      </c>
      <c r="I59" s="2055">
        <v>0</v>
      </c>
      <c r="J59" s="2055">
        <v>0</v>
      </c>
      <c r="K59" s="2104">
        <v>0</v>
      </c>
      <c r="L59" s="2055">
        <f t="shared" si="20"/>
        <v>1</v>
      </c>
      <c r="M59" s="2034"/>
      <c r="N59" s="2034"/>
      <c r="O59" s="2048" t="s">
        <v>721</v>
      </c>
      <c r="P59" s="2049" t="s">
        <v>720</v>
      </c>
      <c r="Q59" s="2050" t="s">
        <v>10</v>
      </c>
      <c r="R59" s="2051">
        <v>3166.38</v>
      </c>
      <c r="S59" s="2059">
        <v>250</v>
      </c>
      <c r="T59" s="2102">
        <f t="shared" si="21"/>
        <v>3416.38</v>
      </c>
      <c r="U59" s="2105">
        <v>1</v>
      </c>
      <c r="V59" s="2055">
        <v>0</v>
      </c>
      <c r="W59" s="2055">
        <v>0</v>
      </c>
      <c r="X59" s="2104">
        <v>0</v>
      </c>
      <c r="Y59" s="2055">
        <f t="shared" si="22"/>
        <v>1</v>
      </c>
    </row>
    <row r="60" spans="1:25" ht="31.5">
      <c r="A60" s="2048">
        <f t="shared" si="19"/>
        <v>31</v>
      </c>
      <c r="B60" s="2048" t="s">
        <v>533</v>
      </c>
      <c r="C60" s="2049" t="s">
        <v>94</v>
      </c>
      <c r="D60" s="2050" t="s">
        <v>10</v>
      </c>
      <c r="E60" s="2051">
        <v>2959.24</v>
      </c>
      <c r="F60" s="2059">
        <v>250</v>
      </c>
      <c r="G60" s="2102">
        <f t="shared" si="17"/>
        <v>3209.24</v>
      </c>
      <c r="H60" s="2105">
        <v>1</v>
      </c>
      <c r="I60" s="2055">
        <v>0</v>
      </c>
      <c r="J60" s="2055">
        <v>0</v>
      </c>
      <c r="K60" s="2055">
        <v>0</v>
      </c>
      <c r="L60" s="2055">
        <f t="shared" si="20"/>
        <v>1</v>
      </c>
      <c r="M60" s="2034"/>
      <c r="N60" s="2034"/>
      <c r="O60" s="2048" t="s">
        <v>533</v>
      </c>
      <c r="P60" s="2049" t="s">
        <v>94</v>
      </c>
      <c r="Q60" s="2050" t="s">
        <v>10</v>
      </c>
      <c r="R60" s="2051">
        <v>3166.38</v>
      </c>
      <c r="S60" s="2059">
        <v>250</v>
      </c>
      <c r="T60" s="2102">
        <f t="shared" si="21"/>
        <v>3416.38</v>
      </c>
      <c r="U60" s="2105">
        <v>1</v>
      </c>
      <c r="V60" s="2055">
        <v>0</v>
      </c>
      <c r="W60" s="2055">
        <v>0</v>
      </c>
      <c r="X60" s="2055">
        <v>0</v>
      </c>
      <c r="Y60" s="2055">
        <f t="shared" si="22"/>
        <v>1</v>
      </c>
    </row>
    <row r="61" spans="1:25" ht="31.5">
      <c r="A61" s="2048">
        <f t="shared" si="19"/>
        <v>32</v>
      </c>
      <c r="B61" s="2048" t="s">
        <v>534</v>
      </c>
      <c r="C61" s="2049" t="s">
        <v>94</v>
      </c>
      <c r="D61" s="2050" t="s">
        <v>10</v>
      </c>
      <c r="E61" s="2051">
        <v>2959.24</v>
      </c>
      <c r="F61" s="2059">
        <v>250</v>
      </c>
      <c r="G61" s="2102">
        <f t="shared" si="17"/>
        <v>3209.24</v>
      </c>
      <c r="H61" s="2105">
        <v>1</v>
      </c>
      <c r="I61" s="2055">
        <v>0</v>
      </c>
      <c r="J61" s="2055">
        <v>0</v>
      </c>
      <c r="K61" s="2055">
        <v>0</v>
      </c>
      <c r="L61" s="2055">
        <f t="shared" si="20"/>
        <v>1</v>
      </c>
      <c r="M61" s="2034"/>
      <c r="N61" s="2034"/>
      <c r="O61" s="2048" t="s">
        <v>534</v>
      </c>
      <c r="P61" s="2049" t="s">
        <v>94</v>
      </c>
      <c r="Q61" s="2050" t="s">
        <v>10</v>
      </c>
      <c r="R61" s="2051">
        <v>3166.38</v>
      </c>
      <c r="S61" s="2059">
        <v>250</v>
      </c>
      <c r="T61" s="2102">
        <f t="shared" si="21"/>
        <v>3416.38</v>
      </c>
      <c r="U61" s="2105">
        <v>1</v>
      </c>
      <c r="V61" s="2055">
        <v>0</v>
      </c>
      <c r="W61" s="2055">
        <v>0</v>
      </c>
      <c r="X61" s="2055">
        <v>0</v>
      </c>
      <c r="Y61" s="2055">
        <f t="shared" si="22"/>
        <v>1</v>
      </c>
    </row>
    <row r="62" spans="1:25" ht="31.5">
      <c r="A62" s="2048">
        <f t="shared" si="19"/>
        <v>33</v>
      </c>
      <c r="B62" s="2048" t="s">
        <v>554</v>
      </c>
      <c r="C62" s="2049" t="s">
        <v>93</v>
      </c>
      <c r="D62" s="2049" t="s">
        <v>10</v>
      </c>
      <c r="E62" s="2051">
        <v>2959.24</v>
      </c>
      <c r="F62" s="2059">
        <v>250</v>
      </c>
      <c r="G62" s="2102">
        <f t="shared" si="17"/>
        <v>3209.24</v>
      </c>
      <c r="H62" s="2085">
        <v>1</v>
      </c>
      <c r="I62" s="2105">
        <v>0</v>
      </c>
      <c r="J62" s="2055">
        <v>0</v>
      </c>
      <c r="K62" s="2055">
        <v>0</v>
      </c>
      <c r="L62" s="2055">
        <f t="shared" si="20"/>
        <v>1</v>
      </c>
      <c r="M62" s="2034"/>
      <c r="N62" s="2034"/>
      <c r="O62" s="2048" t="s">
        <v>554</v>
      </c>
      <c r="P62" s="2049" t="s">
        <v>93</v>
      </c>
      <c r="Q62" s="2049" t="s">
        <v>10</v>
      </c>
      <c r="R62" s="2051">
        <v>3166.38</v>
      </c>
      <c r="S62" s="2059">
        <v>250</v>
      </c>
      <c r="T62" s="2102">
        <f t="shared" si="21"/>
        <v>3416.38</v>
      </c>
      <c r="U62" s="2085">
        <v>1</v>
      </c>
      <c r="V62" s="2105">
        <v>0</v>
      </c>
      <c r="W62" s="2055">
        <v>0</v>
      </c>
      <c r="X62" s="2055">
        <v>0</v>
      </c>
      <c r="Y62" s="2055">
        <f t="shared" si="22"/>
        <v>1</v>
      </c>
    </row>
    <row r="63" spans="1:25" ht="31.5">
      <c r="A63" s="2048">
        <f t="shared" si="19"/>
        <v>34</v>
      </c>
      <c r="B63" s="2048" t="s">
        <v>525</v>
      </c>
      <c r="C63" s="2049" t="s">
        <v>94</v>
      </c>
      <c r="D63" s="2050" t="s">
        <v>10</v>
      </c>
      <c r="E63" s="2051">
        <v>2959.24</v>
      </c>
      <c r="F63" s="2059">
        <f>250</f>
        <v>250</v>
      </c>
      <c r="G63" s="2102">
        <f t="shared" si="17"/>
        <v>3209.24</v>
      </c>
      <c r="H63" s="2105">
        <v>1</v>
      </c>
      <c r="I63" s="2055">
        <v>0</v>
      </c>
      <c r="J63" s="2055">
        <v>0</v>
      </c>
      <c r="K63" s="2105">
        <v>0</v>
      </c>
      <c r="L63" s="2055">
        <f t="shared" si="20"/>
        <v>1</v>
      </c>
      <c r="M63" s="2034"/>
      <c r="N63" s="2034"/>
      <c r="O63" s="2048" t="s">
        <v>525</v>
      </c>
      <c r="P63" s="2049" t="s">
        <v>94</v>
      </c>
      <c r="Q63" s="2050" t="s">
        <v>10</v>
      </c>
      <c r="R63" s="2051">
        <v>3166.38</v>
      </c>
      <c r="S63" s="2059">
        <f>250</f>
        <v>250</v>
      </c>
      <c r="T63" s="2102">
        <f t="shared" si="21"/>
        <v>3416.38</v>
      </c>
      <c r="U63" s="2105">
        <v>1</v>
      </c>
      <c r="V63" s="2055">
        <v>0</v>
      </c>
      <c r="W63" s="2055">
        <v>0</v>
      </c>
      <c r="X63" s="2105">
        <v>0</v>
      </c>
      <c r="Y63" s="2055">
        <f t="shared" si="22"/>
        <v>1</v>
      </c>
    </row>
    <row r="64" spans="1:25" ht="31.5">
      <c r="A64" s="2048">
        <f t="shared" si="19"/>
        <v>35</v>
      </c>
      <c r="B64" s="2048" t="s">
        <v>526</v>
      </c>
      <c r="C64" s="2049" t="s">
        <v>94</v>
      </c>
      <c r="D64" s="2050" t="s">
        <v>10</v>
      </c>
      <c r="E64" s="2051">
        <v>2959.24</v>
      </c>
      <c r="F64" s="2059">
        <f>250</f>
        <v>250</v>
      </c>
      <c r="G64" s="2102">
        <f t="shared" si="17"/>
        <v>3209.24</v>
      </c>
      <c r="H64" s="2105">
        <v>1</v>
      </c>
      <c r="I64" s="2055">
        <v>0</v>
      </c>
      <c r="J64" s="2055">
        <v>0</v>
      </c>
      <c r="K64" s="2105">
        <v>0</v>
      </c>
      <c r="L64" s="2055">
        <f t="shared" si="20"/>
        <v>1</v>
      </c>
      <c r="M64" s="2034"/>
      <c r="N64" s="2034"/>
      <c r="O64" s="2048" t="s">
        <v>526</v>
      </c>
      <c r="P64" s="2049" t="s">
        <v>94</v>
      </c>
      <c r="Q64" s="2050" t="s">
        <v>10</v>
      </c>
      <c r="R64" s="2051">
        <v>3166.38</v>
      </c>
      <c r="S64" s="2059">
        <f>250</f>
        <v>250</v>
      </c>
      <c r="T64" s="2102">
        <f t="shared" si="21"/>
        <v>3416.38</v>
      </c>
      <c r="U64" s="2105">
        <v>1</v>
      </c>
      <c r="V64" s="2055">
        <v>0</v>
      </c>
      <c r="W64" s="2055">
        <v>0</v>
      </c>
      <c r="X64" s="2105">
        <v>0</v>
      </c>
      <c r="Y64" s="2055">
        <f t="shared" si="22"/>
        <v>1</v>
      </c>
    </row>
    <row r="65" spans="1:25" ht="31.5">
      <c r="A65" s="2048">
        <f t="shared" si="19"/>
        <v>36</v>
      </c>
      <c r="B65" s="2048" t="s">
        <v>617</v>
      </c>
      <c r="C65" s="2049" t="s">
        <v>94</v>
      </c>
      <c r="D65" s="2049" t="s">
        <v>10</v>
      </c>
      <c r="E65" s="2051">
        <v>2959.24</v>
      </c>
      <c r="F65" s="2112">
        <f>250</f>
        <v>250</v>
      </c>
      <c r="G65" s="2113">
        <f t="shared" si="17"/>
        <v>3209.24</v>
      </c>
      <c r="H65" s="2114">
        <v>1</v>
      </c>
      <c r="I65" s="2104">
        <v>0</v>
      </c>
      <c r="J65" s="2104">
        <v>0</v>
      </c>
      <c r="K65" s="2114">
        <v>0</v>
      </c>
      <c r="L65" s="2104">
        <f t="shared" si="20"/>
        <v>1</v>
      </c>
      <c r="M65" s="2034"/>
      <c r="N65" s="2034"/>
      <c r="O65" s="2048" t="s">
        <v>617</v>
      </c>
      <c r="P65" s="2049" t="s">
        <v>94</v>
      </c>
      <c r="Q65" s="2049" t="s">
        <v>10</v>
      </c>
      <c r="R65" s="2051">
        <v>3166.38</v>
      </c>
      <c r="S65" s="2112">
        <f>250</f>
        <v>250</v>
      </c>
      <c r="T65" s="2113">
        <f t="shared" si="21"/>
        <v>3416.38</v>
      </c>
      <c r="U65" s="2114">
        <v>1</v>
      </c>
      <c r="V65" s="2104">
        <v>0</v>
      </c>
      <c r="W65" s="2104">
        <v>0</v>
      </c>
      <c r="X65" s="2114">
        <v>0</v>
      </c>
      <c r="Y65" s="2104">
        <f t="shared" si="22"/>
        <v>1</v>
      </c>
    </row>
    <row r="66" spans="1:25" ht="31.5">
      <c r="A66" s="2048">
        <f t="shared" si="19"/>
        <v>37</v>
      </c>
      <c r="B66" s="2048" t="s">
        <v>621</v>
      </c>
      <c r="C66" s="2049" t="s">
        <v>94</v>
      </c>
      <c r="D66" s="2049" t="s">
        <v>10</v>
      </c>
      <c r="E66" s="2051">
        <v>2959.24</v>
      </c>
      <c r="F66" s="2112">
        <f>250</f>
        <v>250</v>
      </c>
      <c r="G66" s="2113">
        <f t="shared" si="17"/>
        <v>3209.24</v>
      </c>
      <c r="H66" s="2114">
        <v>1</v>
      </c>
      <c r="I66" s="2104">
        <v>0</v>
      </c>
      <c r="J66" s="2104">
        <v>0</v>
      </c>
      <c r="K66" s="2114">
        <v>0</v>
      </c>
      <c r="L66" s="2104">
        <f t="shared" si="20"/>
        <v>1</v>
      </c>
      <c r="M66" s="2034"/>
      <c r="N66" s="2034"/>
      <c r="O66" s="2048" t="s">
        <v>621</v>
      </c>
      <c r="P66" s="2049" t="s">
        <v>94</v>
      </c>
      <c r="Q66" s="2049" t="s">
        <v>10</v>
      </c>
      <c r="R66" s="2051">
        <v>3166.38</v>
      </c>
      <c r="S66" s="2112">
        <f>250</f>
        <v>250</v>
      </c>
      <c r="T66" s="2113">
        <f t="shared" si="21"/>
        <v>3416.38</v>
      </c>
      <c r="U66" s="2114">
        <v>1</v>
      </c>
      <c r="V66" s="2104">
        <v>0</v>
      </c>
      <c r="W66" s="2104">
        <v>0</v>
      </c>
      <c r="X66" s="2114">
        <v>0</v>
      </c>
      <c r="Y66" s="2104">
        <f t="shared" si="22"/>
        <v>1</v>
      </c>
    </row>
    <row r="67" spans="1:25" ht="32.25" thickBot="1">
      <c r="A67" s="2107"/>
      <c r="B67" s="2107"/>
      <c r="C67" s="2108" t="s">
        <v>97</v>
      </c>
      <c r="D67" s="2108"/>
      <c r="E67" s="2109">
        <f>SUM(E53:E66)</f>
        <v>41429.359999999986</v>
      </c>
      <c r="F67" s="2109">
        <f>SUM(F53:F66)</f>
        <v>3500</v>
      </c>
      <c r="G67" s="2109">
        <f>SUM(G53:G66)</f>
        <v>44929.359999999986</v>
      </c>
      <c r="H67" s="2110"/>
      <c r="I67" s="2110"/>
      <c r="J67" s="2110"/>
      <c r="K67" s="2110"/>
      <c r="L67" s="2110"/>
      <c r="M67" s="2034"/>
      <c r="N67" s="2034"/>
      <c r="O67" s="2107"/>
      <c r="P67" s="2108" t="s">
        <v>97</v>
      </c>
      <c r="Q67" s="2108"/>
      <c r="R67" s="2109">
        <f>SUM(R53:R66)</f>
        <v>44329.32</v>
      </c>
      <c r="S67" s="2109">
        <f>SUM(S53:S66)</f>
        <v>3500</v>
      </c>
      <c r="T67" s="2109">
        <f>SUM(T53:T66)</f>
        <v>47622.179999999993</v>
      </c>
      <c r="U67" s="2110"/>
      <c r="V67" s="2110"/>
      <c r="W67" s="2110"/>
      <c r="X67" s="2110"/>
      <c r="Y67" s="2110"/>
    </row>
    <row r="68" spans="1:25" ht="32.25" thickTop="1">
      <c r="A68" s="2060"/>
      <c r="B68" s="2060"/>
      <c r="C68" s="2108"/>
      <c r="D68" s="2115"/>
      <c r="E68" s="2093"/>
      <c r="F68" s="2093"/>
      <c r="G68" s="2093"/>
      <c r="H68" s="2101"/>
      <c r="I68" s="2101"/>
      <c r="J68" s="2101"/>
      <c r="K68" s="2101"/>
      <c r="L68" s="2101"/>
      <c r="M68" s="2034"/>
      <c r="N68" s="2034"/>
      <c r="O68" s="2060"/>
      <c r="P68" s="2108"/>
      <c r="Q68" s="2115"/>
      <c r="R68" s="2093"/>
      <c r="S68" s="2093"/>
      <c r="T68" s="2093"/>
      <c r="U68" s="2101"/>
      <c r="V68" s="2101"/>
      <c r="W68" s="2101"/>
      <c r="X68" s="2101"/>
      <c r="Y68" s="2101"/>
    </row>
    <row r="69" spans="1:25" ht="31.5">
      <c r="A69" s="2038"/>
      <c r="B69" s="2038" t="s">
        <v>418</v>
      </c>
      <c r="C69" s="2108"/>
      <c r="D69" s="2115"/>
      <c r="E69" s="2093"/>
      <c r="F69" s="2093"/>
      <c r="G69" s="2093"/>
      <c r="H69" s="2101"/>
      <c r="I69" s="2101"/>
      <c r="J69" s="2101"/>
      <c r="K69" s="2101"/>
      <c r="L69" s="2101"/>
      <c r="M69" s="2034"/>
      <c r="N69" s="2034"/>
      <c r="O69" s="2038" t="s">
        <v>418</v>
      </c>
      <c r="P69" s="2108"/>
      <c r="Q69" s="2115"/>
      <c r="R69" s="2093"/>
      <c r="S69" s="2093"/>
      <c r="T69" s="2093"/>
      <c r="U69" s="2101"/>
      <c r="V69" s="2101"/>
      <c r="W69" s="2101"/>
      <c r="X69" s="2101"/>
      <c r="Y69" s="2101"/>
    </row>
    <row r="70" spans="1:25" ht="31.5">
      <c r="A70" s="2056">
        <v>38</v>
      </c>
      <c r="B70" s="2056" t="s">
        <v>549</v>
      </c>
      <c r="C70" s="2049" t="s">
        <v>419</v>
      </c>
      <c r="D70" s="2050" t="s">
        <v>11</v>
      </c>
      <c r="E70" s="2051">
        <v>2959.24</v>
      </c>
      <c r="F70" s="2059">
        <v>250</v>
      </c>
      <c r="G70" s="2102">
        <f>+E70+F70</f>
        <v>3209.24</v>
      </c>
      <c r="H70" s="2055">
        <v>0</v>
      </c>
      <c r="I70" s="2105">
        <v>1</v>
      </c>
      <c r="J70" s="2055">
        <v>0</v>
      </c>
      <c r="K70" s="2055">
        <v>0</v>
      </c>
      <c r="L70" s="2055">
        <f>SUM(H70:K70)</f>
        <v>1</v>
      </c>
      <c r="M70" s="2034"/>
      <c r="N70" s="2034"/>
      <c r="O70" s="2056" t="s">
        <v>549</v>
      </c>
      <c r="P70" s="2049" t="s">
        <v>419</v>
      </c>
      <c r="Q70" s="2050" t="s">
        <v>11</v>
      </c>
      <c r="R70" s="2051">
        <v>3166.38</v>
      </c>
      <c r="S70" s="2059">
        <v>250</v>
      </c>
      <c r="T70" s="2102">
        <f>+R70+S70</f>
        <v>3416.38</v>
      </c>
      <c r="U70" s="2055">
        <v>0</v>
      </c>
      <c r="V70" s="2105">
        <v>1</v>
      </c>
      <c r="W70" s="2055">
        <v>0</v>
      </c>
      <c r="X70" s="2055">
        <v>0</v>
      </c>
      <c r="Y70" s="2055">
        <f>SUM(U70:X70)</f>
        <v>1</v>
      </c>
    </row>
    <row r="71" spans="1:25" ht="31.5">
      <c r="A71" s="2048">
        <v>39</v>
      </c>
      <c r="B71" s="2048" t="s">
        <v>629</v>
      </c>
      <c r="C71" s="2048" t="s">
        <v>419</v>
      </c>
      <c r="D71" s="2049" t="s">
        <v>10</v>
      </c>
      <c r="E71" s="2051">
        <v>2959.24</v>
      </c>
      <c r="F71" s="2059">
        <f>250</f>
        <v>250</v>
      </c>
      <c r="G71" s="2102">
        <f>+E71+F71</f>
        <v>3209.24</v>
      </c>
      <c r="H71" s="2085">
        <v>1</v>
      </c>
      <c r="I71" s="2105">
        <v>0</v>
      </c>
      <c r="J71" s="2055">
        <v>0</v>
      </c>
      <c r="K71" s="2055">
        <v>0</v>
      </c>
      <c r="L71" s="2055">
        <f>SUM(H71:K71)</f>
        <v>1</v>
      </c>
      <c r="M71" s="2034"/>
      <c r="N71" s="2034"/>
      <c r="O71" s="2048" t="s">
        <v>629</v>
      </c>
      <c r="P71" s="2048" t="s">
        <v>419</v>
      </c>
      <c r="Q71" s="2049" t="s">
        <v>10</v>
      </c>
      <c r="R71" s="2051">
        <v>3166.38</v>
      </c>
      <c r="S71" s="2059">
        <f>250</f>
        <v>250</v>
      </c>
      <c r="T71" s="2102">
        <f>+R71+S71</f>
        <v>3416.38</v>
      </c>
      <c r="U71" s="2085">
        <v>1</v>
      </c>
      <c r="V71" s="2105">
        <v>0</v>
      </c>
      <c r="W71" s="2055">
        <v>0</v>
      </c>
      <c r="X71" s="2055">
        <v>0</v>
      </c>
      <c r="Y71" s="2055">
        <f>SUM(U71:X71)</f>
        <v>1</v>
      </c>
    </row>
    <row r="72" spans="1:25" ht="31.5">
      <c r="A72" s="2038"/>
      <c r="B72" s="2038"/>
      <c r="C72" s="2108" t="s">
        <v>420</v>
      </c>
      <c r="D72" s="2108"/>
      <c r="E72" s="2116">
        <f>SUM(E70:E71)</f>
        <v>5918.48</v>
      </c>
      <c r="F72" s="2116">
        <f>SUM(F70:F71)</f>
        <v>500</v>
      </c>
      <c r="G72" s="2116">
        <f>SUM(G70:G71)</f>
        <v>6418.48</v>
      </c>
      <c r="H72" s="2110"/>
      <c r="I72" s="2110"/>
      <c r="J72" s="2110"/>
      <c r="K72" s="2110"/>
      <c r="L72" s="2110"/>
      <c r="M72" s="2034"/>
      <c r="N72" s="2034"/>
      <c r="O72" s="2038"/>
      <c r="P72" s="2108" t="s">
        <v>420</v>
      </c>
      <c r="Q72" s="2108"/>
      <c r="R72" s="2116">
        <f>SUM(R70:R71)</f>
        <v>6332.76</v>
      </c>
      <c r="S72" s="2116">
        <f>SUM(S70:S71)</f>
        <v>500</v>
      </c>
      <c r="T72" s="2116">
        <f>SUM(T70:T71)</f>
        <v>6832.76</v>
      </c>
      <c r="U72" s="2110"/>
      <c r="V72" s="2110"/>
      <c r="W72" s="2110"/>
      <c r="X72" s="2110"/>
      <c r="Y72" s="2110"/>
    </row>
    <row r="73" spans="1:25" ht="32.25" thickBot="1">
      <c r="A73" s="2060"/>
      <c r="B73" s="2060"/>
      <c r="C73" s="2108" t="s">
        <v>421</v>
      </c>
      <c r="D73" s="2115"/>
      <c r="E73" s="2117">
        <f>SUM(E50+E67+E72)</f>
        <v>68128.279999999984</v>
      </c>
      <c r="F73" s="2117">
        <f>SUM(F50+F67+F72)</f>
        <v>5850</v>
      </c>
      <c r="G73" s="2117">
        <f>SUM(G50+G67+G72)</f>
        <v>73978.279999999984</v>
      </c>
      <c r="H73" s="2101"/>
      <c r="I73" s="2101"/>
      <c r="J73" s="2101"/>
      <c r="K73" s="2101"/>
      <c r="L73" s="2101"/>
      <c r="M73" s="2034"/>
      <c r="N73" s="2034"/>
      <c r="O73" s="2060"/>
      <c r="P73" s="2108" t="s">
        <v>421</v>
      </c>
      <c r="Q73" s="2115"/>
      <c r="R73" s="2117">
        <f>SUM(R50+R67+R72)</f>
        <v>72826.740000000005</v>
      </c>
      <c r="S73" s="2117">
        <f>SUM(S50+S67+S72)</f>
        <v>5850</v>
      </c>
      <c r="T73" s="2117">
        <f>SUM(T50+T67+T72)</f>
        <v>78262.459999999992</v>
      </c>
      <c r="U73" s="2101"/>
      <c r="V73" s="2101"/>
      <c r="W73" s="2101"/>
      <c r="X73" s="2101"/>
      <c r="Y73" s="2101"/>
    </row>
    <row r="74" spans="1:25" ht="32.25" thickTop="1">
      <c r="A74" s="2038"/>
      <c r="B74" s="2038" t="s">
        <v>104</v>
      </c>
      <c r="C74" s="2118"/>
      <c r="D74" s="2115"/>
      <c r="E74" s="2096"/>
      <c r="F74" s="2096"/>
      <c r="G74" s="2096"/>
      <c r="H74" s="2101"/>
      <c r="I74" s="2101"/>
      <c r="J74" s="2101"/>
      <c r="K74" s="2101"/>
      <c r="L74" s="2101"/>
      <c r="M74" s="2034"/>
      <c r="N74" s="2034"/>
      <c r="O74" s="2038" t="s">
        <v>104</v>
      </c>
      <c r="P74" s="2118"/>
      <c r="Q74" s="2115"/>
      <c r="R74" s="2096"/>
      <c r="S74" s="2096"/>
      <c r="T74" s="2096"/>
      <c r="U74" s="2101"/>
      <c r="V74" s="2101"/>
      <c r="W74" s="2101"/>
      <c r="X74" s="2101"/>
      <c r="Y74" s="2101"/>
    </row>
    <row r="75" spans="1:25" ht="31.5">
      <c r="A75" s="2119"/>
      <c r="B75" s="2119" t="s">
        <v>105</v>
      </c>
      <c r="C75" s="2118"/>
      <c r="D75" s="2115"/>
      <c r="E75" s="2096"/>
      <c r="F75" s="2096"/>
      <c r="G75" s="2096"/>
      <c r="H75" s="2101"/>
      <c r="I75" s="2101"/>
      <c r="J75" s="2101"/>
      <c r="K75" s="2101"/>
      <c r="L75" s="2101"/>
      <c r="M75" s="2034"/>
      <c r="N75" s="2034"/>
      <c r="O75" s="2119" t="s">
        <v>105</v>
      </c>
      <c r="P75" s="2118"/>
      <c r="Q75" s="2115"/>
      <c r="R75" s="2096"/>
      <c r="S75" s="2096"/>
      <c r="T75" s="2096"/>
      <c r="U75" s="2101"/>
      <c r="V75" s="2101"/>
      <c r="W75" s="2101"/>
      <c r="X75" s="2101"/>
      <c r="Y75" s="2101"/>
    </row>
    <row r="76" spans="1:25" ht="31.5">
      <c r="A76" s="2048">
        <v>40</v>
      </c>
      <c r="B76" s="2048" t="s">
        <v>731</v>
      </c>
      <c r="C76" s="2049" t="s">
        <v>732</v>
      </c>
      <c r="D76" s="2049" t="s">
        <v>11</v>
      </c>
      <c r="E76" s="2083">
        <v>2959.24</v>
      </c>
      <c r="F76" s="2083">
        <v>250</v>
      </c>
      <c r="G76" s="2083">
        <f t="shared" ref="G76:G84" si="23">+E76+F76</f>
        <v>3209.24</v>
      </c>
      <c r="H76" s="2103">
        <v>0</v>
      </c>
      <c r="I76" s="2103">
        <v>1</v>
      </c>
      <c r="J76" s="2103">
        <v>0</v>
      </c>
      <c r="K76" s="2055">
        <v>0</v>
      </c>
      <c r="L76" s="2055">
        <f t="shared" ref="L76:L84" si="24">SUM(H76:K76)</f>
        <v>1</v>
      </c>
      <c r="M76" s="2034"/>
      <c r="N76" s="2034"/>
      <c r="O76" s="2048" t="s">
        <v>731</v>
      </c>
      <c r="P76" s="2049" t="s">
        <v>732</v>
      </c>
      <c r="Q76" s="2049" t="s">
        <v>11</v>
      </c>
      <c r="R76" s="2051">
        <v>3166.38</v>
      </c>
      <c r="S76" s="2083">
        <v>250</v>
      </c>
      <c r="T76" s="2083">
        <f t="shared" ref="T76:T84" si="25">+R76+S76</f>
        <v>3416.38</v>
      </c>
      <c r="U76" s="2103">
        <v>0</v>
      </c>
      <c r="V76" s="2103">
        <v>1</v>
      </c>
      <c r="W76" s="2103">
        <v>0</v>
      </c>
      <c r="X76" s="2055">
        <v>0</v>
      </c>
      <c r="Y76" s="2055">
        <f t="shared" ref="Y76:Y84" si="26">SUM(U76:X76)</f>
        <v>1</v>
      </c>
    </row>
    <row r="77" spans="1:25" ht="31.5">
      <c r="A77" s="2048">
        <f>+A76+1</f>
        <v>41</v>
      </c>
      <c r="B77" s="2048" t="s">
        <v>744</v>
      </c>
      <c r="C77" s="2049" t="s">
        <v>380</v>
      </c>
      <c r="D77" s="2049" t="s">
        <v>10</v>
      </c>
      <c r="E77" s="2083">
        <v>2959.24</v>
      </c>
      <c r="F77" s="2083">
        <v>750</v>
      </c>
      <c r="G77" s="2083">
        <f t="shared" si="23"/>
        <v>3709.24</v>
      </c>
      <c r="H77" s="2103">
        <v>1</v>
      </c>
      <c r="I77" s="2103">
        <v>0</v>
      </c>
      <c r="J77" s="2103">
        <v>0</v>
      </c>
      <c r="K77" s="2055">
        <v>0</v>
      </c>
      <c r="L77" s="2055">
        <f t="shared" si="24"/>
        <v>1</v>
      </c>
      <c r="M77" s="2034"/>
      <c r="N77" s="2034"/>
      <c r="O77" s="2048" t="s">
        <v>744</v>
      </c>
      <c r="P77" s="2049" t="s">
        <v>380</v>
      </c>
      <c r="Q77" s="2049" t="s">
        <v>10</v>
      </c>
      <c r="R77" s="2051">
        <v>3166.38</v>
      </c>
      <c r="S77" s="2083">
        <v>750</v>
      </c>
      <c r="T77" s="2083">
        <f t="shared" si="25"/>
        <v>3916.38</v>
      </c>
      <c r="U77" s="2103">
        <v>1</v>
      </c>
      <c r="V77" s="2103">
        <v>0</v>
      </c>
      <c r="W77" s="2103">
        <v>0</v>
      </c>
      <c r="X77" s="2055">
        <v>0</v>
      </c>
      <c r="Y77" s="2055">
        <f t="shared" si="26"/>
        <v>1</v>
      </c>
    </row>
    <row r="78" spans="1:25" ht="31.5">
      <c r="A78" s="2048">
        <f t="shared" ref="A78:A84" si="27">+A77+1</f>
        <v>42</v>
      </c>
      <c r="B78" s="2048" t="s">
        <v>511</v>
      </c>
      <c r="C78" s="2049" t="s">
        <v>112</v>
      </c>
      <c r="D78" s="2050" t="s">
        <v>10</v>
      </c>
      <c r="E78" s="2051">
        <v>2959.24</v>
      </c>
      <c r="F78" s="2059">
        <v>450</v>
      </c>
      <c r="G78" s="2059">
        <f t="shared" si="23"/>
        <v>3409.24</v>
      </c>
      <c r="H78" s="2055">
        <v>0.7</v>
      </c>
      <c r="I78" s="2055">
        <v>0.3</v>
      </c>
      <c r="J78" s="2055">
        <v>0</v>
      </c>
      <c r="K78" s="2105">
        <v>0</v>
      </c>
      <c r="L78" s="2055">
        <f t="shared" si="24"/>
        <v>1</v>
      </c>
      <c r="M78" s="2034"/>
      <c r="N78" s="2034"/>
      <c r="O78" s="2048" t="s">
        <v>511</v>
      </c>
      <c r="P78" s="2049" t="s">
        <v>112</v>
      </c>
      <c r="Q78" s="2050" t="s">
        <v>10</v>
      </c>
      <c r="R78" s="2051">
        <v>3166.38</v>
      </c>
      <c r="S78" s="2059">
        <v>450</v>
      </c>
      <c r="T78" s="2059">
        <f t="shared" si="25"/>
        <v>3616.38</v>
      </c>
      <c r="U78" s="2055">
        <v>0.7</v>
      </c>
      <c r="V78" s="2055">
        <v>0.3</v>
      </c>
      <c r="W78" s="2055">
        <v>0</v>
      </c>
      <c r="X78" s="2105">
        <v>0</v>
      </c>
      <c r="Y78" s="2055">
        <f t="shared" si="26"/>
        <v>1</v>
      </c>
    </row>
    <row r="79" spans="1:25" ht="31.5">
      <c r="A79" s="2048">
        <f t="shared" si="27"/>
        <v>43</v>
      </c>
      <c r="B79" s="2048" t="s">
        <v>521</v>
      </c>
      <c r="C79" s="2049" t="s">
        <v>58</v>
      </c>
      <c r="D79" s="2050" t="s">
        <v>10</v>
      </c>
      <c r="E79" s="2051">
        <v>2959.24</v>
      </c>
      <c r="F79" s="2059">
        <v>1400</v>
      </c>
      <c r="G79" s="2059">
        <f t="shared" si="23"/>
        <v>4359.24</v>
      </c>
      <c r="H79" s="2055">
        <v>1</v>
      </c>
      <c r="I79" s="2105">
        <v>0</v>
      </c>
      <c r="J79" s="2055">
        <v>0</v>
      </c>
      <c r="K79" s="2055">
        <v>0</v>
      </c>
      <c r="L79" s="2055">
        <f t="shared" si="24"/>
        <v>1</v>
      </c>
      <c r="M79" s="2034"/>
      <c r="N79" s="2034"/>
      <c r="O79" s="2048" t="s">
        <v>521</v>
      </c>
      <c r="P79" s="2049" t="s">
        <v>58</v>
      </c>
      <c r="Q79" s="2050" t="s">
        <v>10</v>
      </c>
      <c r="R79" s="2051">
        <v>3166.38</v>
      </c>
      <c r="S79" s="2059">
        <v>1400</v>
      </c>
      <c r="T79" s="2059">
        <f t="shared" si="25"/>
        <v>4566.38</v>
      </c>
      <c r="U79" s="2055">
        <v>1</v>
      </c>
      <c r="V79" s="2105">
        <v>0</v>
      </c>
      <c r="W79" s="2055">
        <v>0</v>
      </c>
      <c r="X79" s="2055">
        <v>0</v>
      </c>
      <c r="Y79" s="2055">
        <f t="shared" si="26"/>
        <v>1</v>
      </c>
    </row>
    <row r="80" spans="1:25" ht="31.5">
      <c r="A80" s="2048">
        <f t="shared" si="27"/>
        <v>44</v>
      </c>
      <c r="B80" s="2048" t="s">
        <v>820</v>
      </c>
      <c r="C80" s="2049" t="s">
        <v>58</v>
      </c>
      <c r="D80" s="2050" t="s">
        <v>10</v>
      </c>
      <c r="E80" s="2051">
        <v>2959.24</v>
      </c>
      <c r="F80" s="2059">
        <v>1040.76</v>
      </c>
      <c r="G80" s="2059">
        <f t="shared" si="23"/>
        <v>4000</v>
      </c>
      <c r="H80" s="2055">
        <v>1</v>
      </c>
      <c r="I80" s="2105">
        <v>0</v>
      </c>
      <c r="J80" s="2055">
        <v>0</v>
      </c>
      <c r="K80" s="2055">
        <v>0</v>
      </c>
      <c r="L80" s="2055">
        <f t="shared" si="24"/>
        <v>1</v>
      </c>
      <c r="M80" s="2034"/>
      <c r="N80" s="2034"/>
      <c r="O80" s="2048" t="s">
        <v>820</v>
      </c>
      <c r="P80" s="2049" t="s">
        <v>58</v>
      </c>
      <c r="Q80" s="2050" t="s">
        <v>10</v>
      </c>
      <c r="R80" s="2051">
        <v>3166.38</v>
      </c>
      <c r="S80" s="2059">
        <v>1040.76</v>
      </c>
      <c r="T80" s="2059">
        <f t="shared" si="25"/>
        <v>4207.1400000000003</v>
      </c>
      <c r="U80" s="2055">
        <v>1</v>
      </c>
      <c r="V80" s="2105">
        <v>0</v>
      </c>
      <c r="W80" s="2055">
        <v>0</v>
      </c>
      <c r="X80" s="2055">
        <v>0</v>
      </c>
      <c r="Y80" s="2055">
        <f t="shared" si="26"/>
        <v>1</v>
      </c>
    </row>
    <row r="81" spans="1:25" ht="31.5">
      <c r="A81" s="2048">
        <f t="shared" si="27"/>
        <v>45</v>
      </c>
      <c r="B81" s="2048" t="s">
        <v>512</v>
      </c>
      <c r="C81" s="2049" t="s">
        <v>380</v>
      </c>
      <c r="D81" s="2050" t="s">
        <v>10</v>
      </c>
      <c r="E81" s="2051">
        <v>2959.24</v>
      </c>
      <c r="F81" s="2059">
        <v>750</v>
      </c>
      <c r="G81" s="2102">
        <f t="shared" si="23"/>
        <v>3709.24</v>
      </c>
      <c r="H81" s="2055">
        <v>1</v>
      </c>
      <c r="I81" s="2105">
        <v>0</v>
      </c>
      <c r="J81" s="2055">
        <v>0</v>
      </c>
      <c r="K81" s="2055">
        <v>0</v>
      </c>
      <c r="L81" s="2055">
        <f t="shared" si="24"/>
        <v>1</v>
      </c>
      <c r="M81" s="2034"/>
      <c r="N81" s="2034"/>
      <c r="O81" s="2048" t="s">
        <v>512</v>
      </c>
      <c r="P81" s="2049" t="s">
        <v>380</v>
      </c>
      <c r="Q81" s="2050" t="s">
        <v>10</v>
      </c>
      <c r="R81" s="2051">
        <v>3166.38</v>
      </c>
      <c r="S81" s="2059">
        <v>750</v>
      </c>
      <c r="T81" s="2102">
        <f t="shared" si="25"/>
        <v>3916.38</v>
      </c>
      <c r="U81" s="2055">
        <v>1</v>
      </c>
      <c r="V81" s="2105">
        <v>0</v>
      </c>
      <c r="W81" s="2055">
        <v>0</v>
      </c>
      <c r="X81" s="2055">
        <v>0</v>
      </c>
      <c r="Y81" s="2055">
        <f t="shared" si="26"/>
        <v>1</v>
      </c>
    </row>
    <row r="82" spans="1:25" ht="31.5">
      <c r="A82" s="2048">
        <f t="shared" si="27"/>
        <v>46</v>
      </c>
      <c r="B82" s="2048" t="s">
        <v>579</v>
      </c>
      <c r="C82" s="2049" t="s">
        <v>818</v>
      </c>
      <c r="D82" s="2049" t="s">
        <v>11</v>
      </c>
      <c r="E82" s="2120">
        <v>3000</v>
      </c>
      <c r="F82" s="2112">
        <v>1000</v>
      </c>
      <c r="G82" s="2112">
        <f t="shared" si="23"/>
        <v>4000</v>
      </c>
      <c r="H82" s="2104">
        <v>0.4</v>
      </c>
      <c r="I82" s="2104">
        <v>0.6</v>
      </c>
      <c r="J82" s="2104">
        <v>0</v>
      </c>
      <c r="K82" s="2103">
        <v>0</v>
      </c>
      <c r="L82" s="2104">
        <f t="shared" si="24"/>
        <v>1</v>
      </c>
      <c r="M82" s="2034"/>
      <c r="N82" s="2034"/>
      <c r="O82" s="2048" t="s">
        <v>579</v>
      </c>
      <c r="P82" s="2049" t="s">
        <v>818</v>
      </c>
      <c r="Q82" s="2049" t="s">
        <v>11</v>
      </c>
      <c r="R82" s="2051">
        <v>3166.38</v>
      </c>
      <c r="S82" s="2112">
        <v>1000</v>
      </c>
      <c r="T82" s="2112">
        <f t="shared" si="25"/>
        <v>4166.38</v>
      </c>
      <c r="U82" s="2104">
        <v>0.4</v>
      </c>
      <c r="V82" s="2104">
        <v>0.6</v>
      </c>
      <c r="W82" s="2104">
        <v>0</v>
      </c>
      <c r="X82" s="2103">
        <v>0</v>
      </c>
      <c r="Y82" s="2104">
        <f t="shared" si="26"/>
        <v>1</v>
      </c>
    </row>
    <row r="83" spans="1:25" ht="31.5">
      <c r="A83" s="2048">
        <f t="shared" si="27"/>
        <v>47</v>
      </c>
      <c r="B83" s="2056" t="s">
        <v>728</v>
      </c>
      <c r="C83" s="2057" t="s">
        <v>573</v>
      </c>
      <c r="D83" s="2057" t="s">
        <v>11</v>
      </c>
      <c r="E83" s="2112">
        <v>3000</v>
      </c>
      <c r="F83" s="2070">
        <v>250</v>
      </c>
      <c r="G83" s="2053">
        <f t="shared" si="23"/>
        <v>3250</v>
      </c>
      <c r="H83" s="2121">
        <v>0.4</v>
      </c>
      <c r="I83" s="2121">
        <v>0.6</v>
      </c>
      <c r="J83" s="2121">
        <v>0</v>
      </c>
      <c r="K83" s="2071">
        <v>0</v>
      </c>
      <c r="L83" s="2071">
        <f t="shared" si="24"/>
        <v>1</v>
      </c>
      <c r="M83" s="2034"/>
      <c r="N83" s="2034"/>
      <c r="O83" s="2056" t="s">
        <v>728</v>
      </c>
      <c r="P83" s="2057" t="s">
        <v>573</v>
      </c>
      <c r="Q83" s="2057" t="s">
        <v>11</v>
      </c>
      <c r="R83" s="2051">
        <v>3166.38</v>
      </c>
      <c r="S83" s="2070">
        <v>250</v>
      </c>
      <c r="T83" s="2053">
        <f t="shared" si="25"/>
        <v>3416.38</v>
      </c>
      <c r="U83" s="2121">
        <v>0.4</v>
      </c>
      <c r="V83" s="2121">
        <v>0.6</v>
      </c>
      <c r="W83" s="2121">
        <v>0</v>
      </c>
      <c r="X83" s="2071">
        <v>0</v>
      </c>
      <c r="Y83" s="2071">
        <f t="shared" si="26"/>
        <v>1</v>
      </c>
    </row>
    <row r="84" spans="1:25" ht="31.5">
      <c r="A84" s="2048">
        <f t="shared" si="27"/>
        <v>48</v>
      </c>
      <c r="B84" s="2048" t="s">
        <v>613</v>
      </c>
      <c r="C84" s="2049" t="s">
        <v>112</v>
      </c>
      <c r="D84" s="2049" t="s">
        <v>10</v>
      </c>
      <c r="E84" s="2051">
        <v>2959.24</v>
      </c>
      <c r="F84" s="2059">
        <f>250+150</f>
        <v>400</v>
      </c>
      <c r="G84" s="2102">
        <f t="shared" si="23"/>
        <v>3359.24</v>
      </c>
      <c r="H84" s="2055">
        <v>0.3</v>
      </c>
      <c r="I84" s="2055">
        <v>0.7</v>
      </c>
      <c r="J84" s="2055">
        <v>0</v>
      </c>
      <c r="K84" s="2103">
        <v>0</v>
      </c>
      <c r="L84" s="2055">
        <f t="shared" si="24"/>
        <v>1</v>
      </c>
      <c r="M84" s="2034"/>
      <c r="N84" s="2034"/>
      <c r="O84" s="2048" t="s">
        <v>613</v>
      </c>
      <c r="P84" s="2049" t="s">
        <v>112</v>
      </c>
      <c r="Q84" s="2049" t="s">
        <v>10</v>
      </c>
      <c r="R84" s="2051">
        <v>3166.38</v>
      </c>
      <c r="S84" s="2059">
        <f>250+150</f>
        <v>400</v>
      </c>
      <c r="T84" s="2102">
        <f t="shared" si="25"/>
        <v>3566.38</v>
      </c>
      <c r="U84" s="2055">
        <v>0.3</v>
      </c>
      <c r="V84" s="2055">
        <v>0.7</v>
      </c>
      <c r="W84" s="2055">
        <v>0</v>
      </c>
      <c r="X84" s="2103">
        <v>0</v>
      </c>
      <c r="Y84" s="2055">
        <f t="shared" si="26"/>
        <v>1</v>
      </c>
    </row>
    <row r="85" spans="1:25" ht="32.25" thickBot="1">
      <c r="A85" s="2107"/>
      <c r="B85" s="2107"/>
      <c r="C85" s="2108" t="s">
        <v>110</v>
      </c>
      <c r="D85" s="2122"/>
      <c r="E85" s="2109">
        <f>SUM(E76:E84)</f>
        <v>26714.68</v>
      </c>
      <c r="F85" s="2109">
        <f>SUM(F76:F84)</f>
        <v>6290.76</v>
      </c>
      <c r="G85" s="2109">
        <f>SUM(G76:G84)</f>
        <v>33005.439999999995</v>
      </c>
      <c r="H85" s="2075"/>
      <c r="I85" s="2075"/>
      <c r="J85" s="2075"/>
      <c r="K85" s="2075"/>
      <c r="L85" s="2075"/>
      <c r="M85" s="2034"/>
      <c r="N85" s="2034"/>
      <c r="O85" s="2107"/>
      <c r="P85" s="2108" t="s">
        <v>110</v>
      </c>
      <c r="Q85" s="2122"/>
      <c r="R85" s="2109">
        <f>SUM(R76:R84)</f>
        <v>28497.420000000006</v>
      </c>
      <c r="S85" s="2109">
        <f>SUM(S76:S84)</f>
        <v>6290.76</v>
      </c>
      <c r="T85" s="2109">
        <f>SUM(T76:T84)</f>
        <v>34788.18</v>
      </c>
      <c r="U85" s="2075"/>
      <c r="V85" s="2075"/>
      <c r="W85" s="2075"/>
      <c r="X85" s="2075"/>
      <c r="Y85" s="2075"/>
    </row>
    <row r="86" spans="1:25" ht="32.25" thickTop="1">
      <c r="A86" s="2119"/>
      <c r="B86" s="2119" t="s">
        <v>319</v>
      </c>
      <c r="C86" s="2118"/>
      <c r="D86" s="2115"/>
      <c r="E86" s="2096"/>
      <c r="F86" s="2096"/>
      <c r="G86" s="2096"/>
      <c r="H86" s="2101"/>
      <c r="I86" s="2101"/>
      <c r="J86" s="2101"/>
      <c r="K86" s="2101"/>
      <c r="L86" s="2101"/>
      <c r="M86" s="2034"/>
      <c r="N86" s="2034"/>
      <c r="O86" s="2119" t="s">
        <v>319</v>
      </c>
      <c r="P86" s="2118"/>
      <c r="Q86" s="2115"/>
      <c r="R86" s="2096"/>
      <c r="S86" s="2096"/>
      <c r="T86" s="2096"/>
      <c r="U86" s="2101"/>
      <c r="V86" s="2101"/>
      <c r="W86" s="2101"/>
      <c r="X86" s="2101"/>
      <c r="Y86" s="2101"/>
    </row>
    <row r="87" spans="1:25" ht="31.5">
      <c r="A87" s="2048">
        <v>49</v>
      </c>
      <c r="B87" s="2048" t="s">
        <v>508</v>
      </c>
      <c r="C87" s="2049" t="s">
        <v>108</v>
      </c>
      <c r="D87" s="2049" t="s">
        <v>10</v>
      </c>
      <c r="E87" s="2051">
        <v>2959.24</v>
      </c>
      <c r="F87" s="2083">
        <f>500</f>
        <v>500</v>
      </c>
      <c r="G87" s="2083">
        <f t="shared" ref="G87:G92" si="28">+E87+F87</f>
        <v>3459.24</v>
      </c>
      <c r="H87" s="2055">
        <v>0.7</v>
      </c>
      <c r="I87" s="2055">
        <v>0.3</v>
      </c>
      <c r="J87" s="2055">
        <v>0</v>
      </c>
      <c r="K87" s="2103">
        <v>0</v>
      </c>
      <c r="L87" s="2055">
        <f t="shared" ref="L87:L92" si="29">SUM(H87:K87)</f>
        <v>1</v>
      </c>
      <c r="M87" s="2034"/>
      <c r="N87" s="2034"/>
      <c r="O87" s="2048" t="s">
        <v>508</v>
      </c>
      <c r="P87" s="2049" t="s">
        <v>108</v>
      </c>
      <c r="Q87" s="2049" t="s">
        <v>10</v>
      </c>
      <c r="R87" s="2051">
        <v>3166.38</v>
      </c>
      <c r="S87" s="2083">
        <f>500</f>
        <v>500</v>
      </c>
      <c r="T87" s="2083">
        <f t="shared" ref="T87:T92" si="30">+R87+S87</f>
        <v>3666.38</v>
      </c>
      <c r="U87" s="2055">
        <v>0.7</v>
      </c>
      <c r="V87" s="2055">
        <v>0.3</v>
      </c>
      <c r="W87" s="2055">
        <v>0</v>
      </c>
      <c r="X87" s="2103">
        <v>0</v>
      </c>
      <c r="Y87" s="2055">
        <f t="shared" ref="Y87:Y92" si="31">SUM(U87:X87)</f>
        <v>1</v>
      </c>
    </row>
    <row r="88" spans="1:25" ht="31.5">
      <c r="A88" s="2048">
        <v>50</v>
      </c>
      <c r="B88" s="2048" t="s">
        <v>726</v>
      </c>
      <c r="C88" s="2049" t="s">
        <v>662</v>
      </c>
      <c r="D88" s="2049" t="s">
        <v>10</v>
      </c>
      <c r="E88" s="2051">
        <v>3000</v>
      </c>
      <c r="F88" s="2083">
        <v>1000</v>
      </c>
      <c r="G88" s="2083">
        <f t="shared" si="28"/>
        <v>4000</v>
      </c>
      <c r="H88" s="2055">
        <v>0.6</v>
      </c>
      <c r="I88" s="2055">
        <v>0.4</v>
      </c>
      <c r="J88" s="2055">
        <v>0</v>
      </c>
      <c r="K88" s="2103">
        <v>0</v>
      </c>
      <c r="L88" s="2055">
        <f t="shared" si="29"/>
        <v>1</v>
      </c>
      <c r="M88" s="2034"/>
      <c r="N88" s="2034"/>
      <c r="O88" s="2048" t="s">
        <v>726</v>
      </c>
      <c r="P88" s="2049" t="s">
        <v>662</v>
      </c>
      <c r="Q88" s="2049" t="s">
        <v>10</v>
      </c>
      <c r="R88" s="2051">
        <v>3166.38</v>
      </c>
      <c r="S88" s="2083">
        <v>1000</v>
      </c>
      <c r="T88" s="2083">
        <f t="shared" si="30"/>
        <v>4166.38</v>
      </c>
      <c r="U88" s="2055">
        <v>0.6</v>
      </c>
      <c r="V88" s="2055">
        <v>0.4</v>
      </c>
      <c r="W88" s="2055">
        <v>0</v>
      </c>
      <c r="X88" s="2103">
        <v>0</v>
      </c>
      <c r="Y88" s="2055">
        <f t="shared" si="31"/>
        <v>1</v>
      </c>
    </row>
    <row r="89" spans="1:25" ht="31.5">
      <c r="A89" s="2048">
        <f>+A88+1</f>
        <v>51</v>
      </c>
      <c r="B89" s="2048" t="s">
        <v>614</v>
      </c>
      <c r="C89" s="2049" t="s">
        <v>112</v>
      </c>
      <c r="D89" s="2049" t="s">
        <v>11</v>
      </c>
      <c r="E89" s="2051">
        <v>2959.24</v>
      </c>
      <c r="F89" s="2083">
        <f>250+150</f>
        <v>400</v>
      </c>
      <c r="G89" s="2083">
        <f t="shared" si="28"/>
        <v>3359.24</v>
      </c>
      <c r="H89" s="2055">
        <v>0.3</v>
      </c>
      <c r="I89" s="2055">
        <v>0.7</v>
      </c>
      <c r="J89" s="2055">
        <v>0</v>
      </c>
      <c r="K89" s="2103">
        <v>0</v>
      </c>
      <c r="L89" s="2055">
        <f t="shared" si="29"/>
        <v>1</v>
      </c>
      <c r="M89" s="2034"/>
      <c r="N89" s="2034"/>
      <c r="O89" s="2048" t="s">
        <v>614</v>
      </c>
      <c r="P89" s="2049" t="s">
        <v>112</v>
      </c>
      <c r="Q89" s="2049" t="s">
        <v>11</v>
      </c>
      <c r="R89" s="2051">
        <v>3166.38</v>
      </c>
      <c r="S89" s="2083">
        <f>250+150</f>
        <v>400</v>
      </c>
      <c r="T89" s="2083">
        <f t="shared" si="30"/>
        <v>3566.38</v>
      </c>
      <c r="U89" s="2055">
        <v>0.3</v>
      </c>
      <c r="V89" s="2055">
        <v>0.7</v>
      </c>
      <c r="W89" s="2055">
        <v>0</v>
      </c>
      <c r="X89" s="2103">
        <v>0</v>
      </c>
      <c r="Y89" s="2055">
        <f t="shared" si="31"/>
        <v>1</v>
      </c>
    </row>
    <row r="90" spans="1:25" ht="31.5">
      <c r="A90" s="2048">
        <f t="shared" ref="A90:A92" si="32">+A89+1</f>
        <v>52</v>
      </c>
      <c r="B90" s="2048" t="s">
        <v>815</v>
      </c>
      <c r="C90" s="2049" t="s">
        <v>112</v>
      </c>
      <c r="D90" s="2049" t="s">
        <v>11</v>
      </c>
      <c r="E90" s="2051">
        <v>2959.24</v>
      </c>
      <c r="F90" s="2083">
        <v>250</v>
      </c>
      <c r="G90" s="2083">
        <f t="shared" si="28"/>
        <v>3209.24</v>
      </c>
      <c r="H90" s="2055">
        <v>0.6</v>
      </c>
      <c r="I90" s="2055">
        <v>0.4</v>
      </c>
      <c r="J90" s="2055">
        <v>0</v>
      </c>
      <c r="K90" s="2103">
        <v>0</v>
      </c>
      <c r="L90" s="2055">
        <f t="shared" si="29"/>
        <v>1</v>
      </c>
      <c r="M90" s="2034"/>
      <c r="N90" s="2034"/>
      <c r="O90" s="2048" t="s">
        <v>815</v>
      </c>
      <c r="P90" s="2049" t="s">
        <v>112</v>
      </c>
      <c r="Q90" s="2049" t="s">
        <v>11</v>
      </c>
      <c r="R90" s="2051">
        <v>3166.38</v>
      </c>
      <c r="S90" s="2083">
        <v>250</v>
      </c>
      <c r="T90" s="2083">
        <f t="shared" si="30"/>
        <v>3416.38</v>
      </c>
      <c r="U90" s="2055">
        <v>0.6</v>
      </c>
      <c r="V90" s="2055">
        <v>0.4</v>
      </c>
      <c r="W90" s="2055">
        <v>0</v>
      </c>
      <c r="X90" s="2103">
        <v>0</v>
      </c>
      <c r="Y90" s="2055">
        <f t="shared" si="31"/>
        <v>1</v>
      </c>
    </row>
    <row r="91" spans="1:25" ht="31.5">
      <c r="A91" s="2048">
        <f t="shared" si="32"/>
        <v>53</v>
      </c>
      <c r="B91" s="2048" t="s">
        <v>762</v>
      </c>
      <c r="C91" s="2049" t="s">
        <v>112</v>
      </c>
      <c r="D91" s="2049" t="s">
        <v>10</v>
      </c>
      <c r="E91" s="2051">
        <v>2959.24</v>
      </c>
      <c r="F91" s="2083">
        <v>250</v>
      </c>
      <c r="G91" s="2083">
        <f t="shared" si="28"/>
        <v>3209.24</v>
      </c>
      <c r="H91" s="2055">
        <v>0.6</v>
      </c>
      <c r="I91" s="2055">
        <v>0.4</v>
      </c>
      <c r="J91" s="2055">
        <v>0</v>
      </c>
      <c r="K91" s="2103">
        <v>0</v>
      </c>
      <c r="L91" s="2055">
        <f t="shared" si="29"/>
        <v>1</v>
      </c>
      <c r="M91" s="2034"/>
      <c r="N91" s="2034"/>
      <c r="O91" s="2048" t="s">
        <v>762</v>
      </c>
      <c r="P91" s="2049" t="s">
        <v>112</v>
      </c>
      <c r="Q91" s="2049" t="s">
        <v>10</v>
      </c>
      <c r="R91" s="2051">
        <v>3166.38</v>
      </c>
      <c r="S91" s="2083">
        <v>250</v>
      </c>
      <c r="T91" s="2083">
        <f t="shared" si="30"/>
        <v>3416.38</v>
      </c>
      <c r="U91" s="2055">
        <v>0.6</v>
      </c>
      <c r="V91" s="2055">
        <v>0.4</v>
      </c>
      <c r="W91" s="2055">
        <v>0</v>
      </c>
      <c r="X91" s="2103">
        <v>0</v>
      </c>
      <c r="Y91" s="2055">
        <f t="shared" si="31"/>
        <v>1</v>
      </c>
    </row>
    <row r="92" spans="1:25" ht="31.5">
      <c r="A92" s="2048">
        <f t="shared" si="32"/>
        <v>54</v>
      </c>
      <c r="B92" s="2048" t="s">
        <v>727</v>
      </c>
      <c r="C92" s="2049" t="s">
        <v>108</v>
      </c>
      <c r="D92" s="2049" t="s">
        <v>10</v>
      </c>
      <c r="E92" s="2051">
        <v>2959.24</v>
      </c>
      <c r="F92" s="2083">
        <f>500</f>
        <v>500</v>
      </c>
      <c r="G92" s="2083">
        <f t="shared" si="28"/>
        <v>3459.24</v>
      </c>
      <c r="H92" s="2085">
        <v>1</v>
      </c>
      <c r="I92" s="2085">
        <v>0</v>
      </c>
      <c r="J92" s="2085">
        <v>0</v>
      </c>
      <c r="K92" s="2103">
        <v>0</v>
      </c>
      <c r="L92" s="2085">
        <f t="shared" si="29"/>
        <v>1</v>
      </c>
      <c r="M92" s="2034"/>
      <c r="N92" s="2034"/>
      <c r="O92" s="2048" t="s">
        <v>727</v>
      </c>
      <c r="P92" s="2049" t="s">
        <v>108</v>
      </c>
      <c r="Q92" s="2049" t="s">
        <v>10</v>
      </c>
      <c r="R92" s="2051">
        <v>3166.38</v>
      </c>
      <c r="S92" s="2083">
        <f>500</f>
        <v>500</v>
      </c>
      <c r="T92" s="2083">
        <f t="shared" si="30"/>
        <v>3666.38</v>
      </c>
      <c r="U92" s="2085">
        <v>1</v>
      </c>
      <c r="V92" s="2085">
        <v>0</v>
      </c>
      <c r="W92" s="2085">
        <v>0</v>
      </c>
      <c r="X92" s="2103">
        <v>0</v>
      </c>
      <c r="Y92" s="2085">
        <f t="shared" si="31"/>
        <v>1</v>
      </c>
    </row>
    <row r="93" spans="1:25" ht="31.5">
      <c r="A93" s="2107"/>
      <c r="B93" s="2107"/>
      <c r="C93" s="2108" t="s">
        <v>113</v>
      </c>
      <c r="D93" s="2108"/>
      <c r="E93" s="2123">
        <f>SUM(E87:E92)</f>
        <v>17796.199999999997</v>
      </c>
      <c r="F93" s="2123">
        <f>SUM(F87:F92)</f>
        <v>2900</v>
      </c>
      <c r="G93" s="2123">
        <f>SUM(G87:G92)</f>
        <v>20696.199999999997</v>
      </c>
      <c r="H93" s="2110"/>
      <c r="I93" s="2110"/>
      <c r="J93" s="2110"/>
      <c r="K93" s="2110"/>
      <c r="L93" s="2110" t="s">
        <v>54</v>
      </c>
      <c r="M93" s="2034"/>
      <c r="N93" s="2034"/>
      <c r="O93" s="2107"/>
      <c r="P93" s="2108" t="s">
        <v>113</v>
      </c>
      <c r="Q93" s="2108"/>
      <c r="R93" s="2123">
        <f>SUM(R87:R92)</f>
        <v>18998.280000000002</v>
      </c>
      <c r="S93" s="2123">
        <f>SUM(S87:S92)</f>
        <v>2900</v>
      </c>
      <c r="T93" s="2123">
        <f>SUM(T87:T92)</f>
        <v>21898.280000000002</v>
      </c>
      <c r="U93" s="2110"/>
      <c r="V93" s="2110"/>
      <c r="W93" s="2110"/>
      <c r="X93" s="2110"/>
      <c r="Y93" s="2110" t="s">
        <v>54</v>
      </c>
    </row>
    <row r="94" spans="1:25" ht="31.5">
      <c r="A94" s="2038"/>
      <c r="B94" s="2038" t="s">
        <v>115</v>
      </c>
      <c r="C94" s="2118"/>
      <c r="D94" s="2115"/>
      <c r="E94" s="2096"/>
      <c r="F94" s="2096"/>
      <c r="G94" s="2096"/>
      <c r="H94" s="2101"/>
      <c r="I94" s="2101"/>
      <c r="J94" s="2101"/>
      <c r="K94" s="2101"/>
      <c r="L94" s="2101">
        <f>SUM(H94:K94)</f>
        <v>0</v>
      </c>
      <c r="M94" s="2034"/>
      <c r="N94" s="2034"/>
      <c r="O94" s="2038" t="s">
        <v>115</v>
      </c>
      <c r="P94" s="2118"/>
      <c r="Q94" s="2115"/>
      <c r="R94" s="2096"/>
      <c r="S94" s="2096"/>
      <c r="T94" s="2096"/>
      <c r="U94" s="2101"/>
      <c r="V94" s="2101"/>
      <c r="W94" s="2101"/>
      <c r="X94" s="2101"/>
      <c r="Y94" s="2101">
        <f>SUM(U94:X94)</f>
        <v>0</v>
      </c>
    </row>
    <row r="95" spans="1:25" ht="31.5">
      <c r="A95" s="2048">
        <v>55</v>
      </c>
      <c r="B95" s="2048" t="s">
        <v>541</v>
      </c>
      <c r="C95" s="2049" t="s">
        <v>735</v>
      </c>
      <c r="D95" s="2050" t="s">
        <v>10</v>
      </c>
      <c r="E95" s="2051">
        <v>2959.24</v>
      </c>
      <c r="F95" s="2059">
        <v>250</v>
      </c>
      <c r="G95" s="2102">
        <f>+E95+F95</f>
        <v>3209.24</v>
      </c>
      <c r="H95" s="2055">
        <v>0.5</v>
      </c>
      <c r="I95" s="2055">
        <v>0.25</v>
      </c>
      <c r="J95" s="2055">
        <v>0.25</v>
      </c>
      <c r="K95" s="2055">
        <v>0</v>
      </c>
      <c r="L95" s="2055">
        <f>SUM(H95:K95)</f>
        <v>1</v>
      </c>
      <c r="M95" s="2034"/>
      <c r="N95" s="2034"/>
      <c r="O95" s="2048" t="s">
        <v>541</v>
      </c>
      <c r="P95" s="2049" t="s">
        <v>735</v>
      </c>
      <c r="Q95" s="2050" t="s">
        <v>10</v>
      </c>
      <c r="R95" s="2051">
        <v>3166.38</v>
      </c>
      <c r="S95" s="2059">
        <v>250</v>
      </c>
      <c r="T95" s="2102">
        <f>+R95+S95</f>
        <v>3416.38</v>
      </c>
      <c r="U95" s="2055">
        <v>0.5</v>
      </c>
      <c r="V95" s="2055">
        <v>0.25</v>
      </c>
      <c r="W95" s="2055">
        <v>0.25</v>
      </c>
      <c r="X95" s="2055">
        <v>0</v>
      </c>
      <c r="Y95" s="2055">
        <f>SUM(U95:X95)</f>
        <v>1</v>
      </c>
    </row>
    <row r="96" spans="1:25" ht="31.5">
      <c r="A96" s="2048">
        <v>56</v>
      </c>
      <c r="B96" s="2048" t="s">
        <v>505</v>
      </c>
      <c r="C96" s="2049" t="s">
        <v>117</v>
      </c>
      <c r="D96" s="2050" t="s">
        <v>10</v>
      </c>
      <c r="E96" s="2051">
        <v>2975</v>
      </c>
      <c r="F96" s="2059">
        <f>700</f>
        <v>700</v>
      </c>
      <c r="G96" s="2059">
        <f>+E96+F96</f>
        <v>3675</v>
      </c>
      <c r="H96" s="2105">
        <v>0.4</v>
      </c>
      <c r="I96" s="2105">
        <v>0.6</v>
      </c>
      <c r="J96" s="2105">
        <v>0</v>
      </c>
      <c r="K96" s="2055">
        <v>0</v>
      </c>
      <c r="L96" s="2055">
        <f>SUM(H96:K96)</f>
        <v>1</v>
      </c>
      <c r="M96" s="2034"/>
      <c r="N96" s="2034"/>
      <c r="O96" s="2048" t="s">
        <v>505</v>
      </c>
      <c r="P96" s="2049" t="s">
        <v>117</v>
      </c>
      <c r="Q96" s="2050" t="s">
        <v>10</v>
      </c>
      <c r="R96" s="2051">
        <v>3166.38</v>
      </c>
      <c r="S96" s="2059">
        <f>700</f>
        <v>700</v>
      </c>
      <c r="T96" s="2059">
        <f>+R96+S96</f>
        <v>3866.38</v>
      </c>
      <c r="U96" s="2105">
        <v>0.4</v>
      </c>
      <c r="V96" s="2105">
        <v>0.6</v>
      </c>
      <c r="W96" s="2105">
        <v>0</v>
      </c>
      <c r="X96" s="2055">
        <v>0</v>
      </c>
      <c r="Y96" s="2055">
        <f>SUM(U96:X96)</f>
        <v>1</v>
      </c>
    </row>
    <row r="97" spans="1:25" ht="31.5">
      <c r="A97" s="2048">
        <v>57</v>
      </c>
      <c r="B97" s="2048" t="s">
        <v>552</v>
      </c>
      <c r="C97" s="2049" t="s">
        <v>572</v>
      </c>
      <c r="D97" s="2050" t="s">
        <v>11</v>
      </c>
      <c r="E97" s="2051">
        <v>2959.24</v>
      </c>
      <c r="F97" s="2059">
        <v>250</v>
      </c>
      <c r="G97" s="2102">
        <f>+E97+F97</f>
        <v>3209.24</v>
      </c>
      <c r="H97" s="2105">
        <v>0.5</v>
      </c>
      <c r="I97" s="2105">
        <v>0.5</v>
      </c>
      <c r="J97" s="2105">
        <v>0</v>
      </c>
      <c r="K97" s="2055">
        <v>0</v>
      </c>
      <c r="L97" s="2055">
        <f>SUM(H97:K97)</f>
        <v>1</v>
      </c>
      <c r="M97" s="2034"/>
      <c r="N97" s="2034"/>
      <c r="O97" s="2048" t="s">
        <v>552</v>
      </c>
      <c r="P97" s="2049" t="s">
        <v>572</v>
      </c>
      <c r="Q97" s="2050" t="s">
        <v>11</v>
      </c>
      <c r="R97" s="2051">
        <v>3166.38</v>
      </c>
      <c r="S97" s="2059">
        <v>250</v>
      </c>
      <c r="T97" s="2102">
        <f>+R97+S97</f>
        <v>3416.38</v>
      </c>
      <c r="U97" s="2105">
        <v>0.5</v>
      </c>
      <c r="V97" s="2105">
        <v>0.5</v>
      </c>
      <c r="W97" s="2105">
        <v>0</v>
      </c>
      <c r="X97" s="2055">
        <v>0</v>
      </c>
      <c r="Y97" s="2055">
        <f>SUM(U97:X97)</f>
        <v>1</v>
      </c>
    </row>
    <row r="98" spans="1:25" ht="32.25" thickBot="1">
      <c r="A98" s="2038"/>
      <c r="B98" s="2038"/>
      <c r="C98" s="2061" t="s">
        <v>118</v>
      </c>
      <c r="D98" s="2087"/>
      <c r="E98" s="2124">
        <f>SUM(E95:E97)</f>
        <v>8893.48</v>
      </c>
      <c r="F98" s="2125">
        <f>SUM(F95:F97)</f>
        <v>1200</v>
      </c>
      <c r="G98" s="2125">
        <f>SUM(G95:G97)</f>
        <v>10093.48</v>
      </c>
      <c r="H98" s="2081"/>
      <c r="I98" s="2081"/>
      <c r="J98" s="2081"/>
      <c r="K98" s="2081"/>
      <c r="L98" s="2081"/>
      <c r="M98" s="2034"/>
      <c r="N98" s="2034"/>
      <c r="O98" s="2038"/>
      <c r="P98" s="2061" t="s">
        <v>118</v>
      </c>
      <c r="Q98" s="2087"/>
      <c r="R98" s="2124">
        <f>SUM(R95:R97)</f>
        <v>9499.14</v>
      </c>
      <c r="S98" s="2125">
        <f>SUM(S95:S97)</f>
        <v>1200</v>
      </c>
      <c r="T98" s="2125">
        <f>SUM(T95:T97)</f>
        <v>10699.14</v>
      </c>
      <c r="U98" s="2081"/>
      <c r="V98" s="2081"/>
      <c r="W98" s="2081"/>
      <c r="X98" s="2081"/>
      <c r="Y98" s="2081"/>
    </row>
    <row r="99" spans="1:25" ht="32.25" thickTop="1">
      <c r="A99" s="2038"/>
      <c r="B99" s="2038"/>
      <c r="C99" s="2061" t="s">
        <v>119</v>
      </c>
      <c r="D99" s="2087"/>
      <c r="E99" s="2093"/>
      <c r="F99" s="2093"/>
      <c r="G99" s="2093"/>
      <c r="H99" s="2081"/>
      <c r="I99" s="2081"/>
      <c r="J99" s="2081"/>
      <c r="K99" s="2081"/>
      <c r="L99" s="2081"/>
      <c r="M99" s="2034"/>
      <c r="N99" s="2034"/>
      <c r="O99" s="2038"/>
      <c r="P99" s="2061" t="s">
        <v>119</v>
      </c>
      <c r="Q99" s="2087"/>
      <c r="R99" s="2093"/>
      <c r="S99" s="2093"/>
      <c r="T99" s="2093"/>
      <c r="U99" s="2081"/>
      <c r="V99" s="2081"/>
      <c r="W99" s="2081"/>
      <c r="X99" s="2081"/>
      <c r="Y99" s="2081"/>
    </row>
    <row r="100" spans="1:25" ht="31.5">
      <c r="A100" s="2038"/>
      <c r="B100" s="2038"/>
      <c r="C100" s="2061"/>
      <c r="D100" s="2087"/>
      <c r="E100" s="2077"/>
      <c r="F100" s="2078"/>
      <c r="G100" s="2078"/>
      <c r="H100" s="2081"/>
      <c r="I100" s="2081"/>
      <c r="J100" s="2081"/>
      <c r="K100" s="2081"/>
      <c r="L100" s="2081"/>
      <c r="M100" s="2034"/>
      <c r="N100" s="2034"/>
      <c r="O100" s="2038"/>
      <c r="P100" s="2061"/>
      <c r="Q100" s="2087"/>
      <c r="R100" s="2077"/>
      <c r="S100" s="2078"/>
      <c r="T100" s="2078"/>
      <c r="U100" s="2081"/>
      <c r="V100" s="2081"/>
      <c r="W100" s="2081"/>
      <c r="X100" s="2081"/>
      <c r="Y100" s="2081"/>
    </row>
    <row r="101" spans="1:25" ht="31.5">
      <c r="A101" s="2038"/>
      <c r="B101" s="2038" t="s">
        <v>120</v>
      </c>
      <c r="C101" s="2061"/>
      <c r="D101" s="2087"/>
      <c r="E101" s="2077"/>
      <c r="F101" s="2078"/>
      <c r="G101" s="2078"/>
      <c r="H101" s="2081"/>
      <c r="I101" s="2081"/>
      <c r="J101" s="2081"/>
      <c r="K101" s="2081"/>
      <c r="L101" s="2081"/>
      <c r="M101" s="2034"/>
      <c r="N101" s="2034"/>
      <c r="O101" s="2038" t="s">
        <v>120</v>
      </c>
      <c r="P101" s="2061"/>
      <c r="Q101" s="2087"/>
      <c r="R101" s="2077"/>
      <c r="S101" s="2078"/>
      <c r="T101" s="2078"/>
      <c r="U101" s="2081"/>
      <c r="V101" s="2081"/>
      <c r="W101" s="2081"/>
      <c r="X101" s="2081"/>
      <c r="Y101" s="2081"/>
    </row>
    <row r="102" spans="1:25" ht="31.5">
      <c r="A102" s="2038"/>
      <c r="B102" s="2038" t="s">
        <v>121</v>
      </c>
      <c r="C102" s="2061"/>
      <c r="D102" s="2087"/>
      <c r="E102" s="2077"/>
      <c r="F102" s="2078"/>
      <c r="G102" s="2078"/>
      <c r="H102" s="2081"/>
      <c r="I102" s="2081"/>
      <c r="J102" s="2081"/>
      <c r="K102" s="2081"/>
      <c r="L102" s="2081"/>
      <c r="M102" s="2034"/>
      <c r="N102" s="2034"/>
      <c r="O102" s="2038" t="s">
        <v>121</v>
      </c>
      <c r="P102" s="2061"/>
      <c r="Q102" s="2087"/>
      <c r="R102" s="2077"/>
      <c r="S102" s="2078"/>
      <c r="T102" s="2078"/>
      <c r="U102" s="2081"/>
      <c r="V102" s="2081"/>
      <c r="W102" s="2081"/>
      <c r="X102" s="2081"/>
      <c r="Y102" s="2081"/>
    </row>
    <row r="103" spans="1:25" ht="31.5">
      <c r="A103" s="2038"/>
      <c r="B103" s="2038" t="s">
        <v>237</v>
      </c>
      <c r="C103" s="2061"/>
      <c r="D103" s="2087"/>
      <c r="E103" s="2077"/>
      <c r="F103" s="2078"/>
      <c r="G103" s="2078"/>
      <c r="H103" s="2081"/>
      <c r="I103" s="2081"/>
      <c r="J103" s="2081"/>
      <c r="K103" s="2081"/>
      <c r="L103" s="2081"/>
      <c r="M103" s="2034"/>
      <c r="N103" s="2034"/>
      <c r="O103" s="2038" t="s">
        <v>237</v>
      </c>
      <c r="P103" s="2061"/>
      <c r="Q103" s="2087"/>
      <c r="R103" s="2077"/>
      <c r="S103" s="2078"/>
      <c r="T103" s="2078"/>
      <c r="U103" s="2081"/>
      <c r="V103" s="2081"/>
      <c r="W103" s="2081"/>
      <c r="X103" s="2081"/>
      <c r="Y103" s="2081"/>
    </row>
    <row r="104" spans="1:25" ht="31.5">
      <c r="A104" s="2048">
        <v>58</v>
      </c>
      <c r="B104" s="2048" t="s">
        <v>643</v>
      </c>
      <c r="C104" s="2049" t="s">
        <v>644</v>
      </c>
      <c r="D104" s="2049" t="s">
        <v>11</v>
      </c>
      <c r="E104" s="2051">
        <v>2959.24</v>
      </c>
      <c r="F104" s="2059">
        <v>250</v>
      </c>
      <c r="G104" s="2059">
        <f t="shared" ref="G104" si="33">+E104+F104</f>
        <v>3209.24</v>
      </c>
      <c r="H104" s="2105"/>
      <c r="I104" s="2105">
        <v>1</v>
      </c>
      <c r="J104" s="2105"/>
      <c r="K104" s="2055"/>
      <c r="L104" s="2055">
        <f>SUM(H104:K104)</f>
        <v>1</v>
      </c>
      <c r="M104" s="2034"/>
      <c r="N104" s="2034"/>
      <c r="O104" s="2048" t="s">
        <v>643</v>
      </c>
      <c r="P104" s="2049" t="s">
        <v>644</v>
      </c>
      <c r="Q104" s="2049" t="s">
        <v>11</v>
      </c>
      <c r="R104" s="2051">
        <v>3166.38</v>
      </c>
      <c r="S104" s="2059">
        <v>250</v>
      </c>
      <c r="T104" s="2059">
        <f t="shared" ref="T104" si="34">+R104+S104</f>
        <v>3416.38</v>
      </c>
      <c r="U104" s="2105"/>
      <c r="V104" s="2105">
        <v>1</v>
      </c>
      <c r="W104" s="2105"/>
      <c r="X104" s="2055"/>
      <c r="Y104" s="2055">
        <f>SUM(U104:X104)</f>
        <v>1</v>
      </c>
    </row>
    <row r="105" spans="1:25" ht="31.5">
      <c r="A105" s="2038"/>
      <c r="B105" s="2038"/>
      <c r="C105" s="2061" t="s">
        <v>122</v>
      </c>
      <c r="D105" s="2061"/>
      <c r="E105" s="2116">
        <f>+SUM(E104:E104)</f>
        <v>2959.24</v>
      </c>
      <c r="F105" s="2126">
        <f>+SUM(F104:F104)</f>
        <v>250</v>
      </c>
      <c r="G105" s="2126">
        <f>+SUM(G104:G104)</f>
        <v>3209.24</v>
      </c>
      <c r="H105" s="2127"/>
      <c r="I105" s="2061"/>
      <c r="J105" s="2127"/>
      <c r="K105" s="2127"/>
      <c r="L105" s="2095"/>
      <c r="M105" s="2034"/>
      <c r="N105" s="2034"/>
      <c r="O105" s="2038"/>
      <c r="P105" s="2061" t="s">
        <v>122</v>
      </c>
      <c r="Q105" s="2061"/>
      <c r="R105" s="2116">
        <f>+SUM(R104:R104)</f>
        <v>3166.38</v>
      </c>
      <c r="S105" s="2126">
        <f>+SUM(S104:S104)</f>
        <v>250</v>
      </c>
      <c r="T105" s="2126">
        <f>+SUM(T104:T104)</f>
        <v>3416.38</v>
      </c>
      <c r="U105" s="2127"/>
      <c r="V105" s="2061"/>
      <c r="W105" s="2127"/>
      <c r="X105" s="2127"/>
      <c r="Y105" s="2095"/>
    </row>
    <row r="106" spans="1:25" ht="31.5">
      <c r="A106" s="2060"/>
      <c r="B106" s="2060"/>
      <c r="C106" s="2065" t="s">
        <v>709</v>
      </c>
      <c r="D106" s="2062"/>
      <c r="E106" s="2066"/>
      <c r="F106" s="2067"/>
      <c r="G106" s="2067"/>
      <c r="H106" s="2064"/>
      <c r="I106" s="2062"/>
      <c r="J106" s="2064"/>
      <c r="K106" s="2064"/>
      <c r="L106" s="2091"/>
      <c r="M106" s="2034"/>
      <c r="N106" s="2034"/>
      <c r="O106" s="2060"/>
      <c r="P106" s="2065" t="s">
        <v>709</v>
      </c>
      <c r="Q106" s="2062"/>
      <c r="R106" s="2066"/>
      <c r="S106" s="2067"/>
      <c r="T106" s="2067"/>
      <c r="U106" s="2064"/>
      <c r="V106" s="2062"/>
      <c r="W106" s="2064"/>
      <c r="X106" s="2064"/>
      <c r="Y106" s="2091"/>
    </row>
    <row r="107" spans="1:25" ht="31.5">
      <c r="A107" s="2038"/>
      <c r="B107" s="2038" t="s">
        <v>126</v>
      </c>
      <c r="C107" s="2065"/>
      <c r="D107" s="2062"/>
      <c r="E107" s="2096"/>
      <c r="F107" s="2068"/>
      <c r="G107" s="2068"/>
      <c r="H107" s="2091"/>
      <c r="I107" s="2091"/>
      <c r="J107" s="2091"/>
      <c r="K107" s="2091"/>
      <c r="L107" s="2091"/>
      <c r="M107" s="2034"/>
      <c r="N107" s="2034"/>
      <c r="O107" s="2038" t="s">
        <v>126</v>
      </c>
      <c r="P107" s="2065"/>
      <c r="Q107" s="2062"/>
      <c r="R107" s="2096"/>
      <c r="S107" s="2068"/>
      <c r="T107" s="2068"/>
      <c r="U107" s="2091"/>
      <c r="V107" s="2091"/>
      <c r="W107" s="2091"/>
      <c r="X107" s="2091"/>
      <c r="Y107" s="2091"/>
    </row>
    <row r="108" spans="1:25" ht="31.5">
      <c r="A108" s="2038"/>
      <c r="B108" s="2038" t="s">
        <v>485</v>
      </c>
      <c r="C108" s="2065"/>
      <c r="D108" s="2062"/>
      <c r="E108" s="2066"/>
      <c r="F108" s="2068"/>
      <c r="G108" s="2068"/>
      <c r="H108" s="2064"/>
      <c r="I108" s="2091"/>
      <c r="J108" s="2064"/>
      <c r="K108" s="2064"/>
      <c r="L108" s="2064"/>
      <c r="M108" s="2034"/>
      <c r="N108" s="2034"/>
      <c r="O108" s="2038" t="s">
        <v>485</v>
      </c>
      <c r="P108" s="2065"/>
      <c r="Q108" s="2062"/>
      <c r="R108" s="2066"/>
      <c r="S108" s="2068"/>
      <c r="T108" s="2068"/>
      <c r="U108" s="2064"/>
      <c r="V108" s="2091"/>
      <c r="W108" s="2064"/>
      <c r="X108" s="2064"/>
      <c r="Y108" s="2064"/>
    </row>
    <row r="109" spans="1:25" ht="31.5">
      <c r="A109" s="2056">
        <v>59</v>
      </c>
      <c r="B109" s="2056" t="s">
        <v>750</v>
      </c>
      <c r="C109" s="2057" t="s">
        <v>480</v>
      </c>
      <c r="D109" s="2058" t="s">
        <v>11</v>
      </c>
      <c r="E109" s="2051">
        <v>2959.24</v>
      </c>
      <c r="F109" s="2053">
        <v>250</v>
      </c>
      <c r="G109" s="2053">
        <f>+E109+F109</f>
        <v>3209.24</v>
      </c>
      <c r="H109" s="2054">
        <v>0</v>
      </c>
      <c r="I109" s="2088">
        <v>1</v>
      </c>
      <c r="J109" s="2054">
        <v>0</v>
      </c>
      <c r="K109" s="2054">
        <v>0</v>
      </c>
      <c r="L109" s="2054">
        <f>SUM(H109:K109)</f>
        <v>1</v>
      </c>
      <c r="M109" s="2034"/>
      <c r="N109" s="2034"/>
      <c r="O109" s="2056" t="s">
        <v>750</v>
      </c>
      <c r="P109" s="2057" t="s">
        <v>480</v>
      </c>
      <c r="Q109" s="2058" t="s">
        <v>11</v>
      </c>
      <c r="R109" s="2051">
        <v>3166.38</v>
      </c>
      <c r="S109" s="2053">
        <v>250</v>
      </c>
      <c r="T109" s="2053">
        <f>+R109+S109</f>
        <v>3416.38</v>
      </c>
      <c r="U109" s="2054">
        <v>0</v>
      </c>
      <c r="V109" s="2088">
        <v>1</v>
      </c>
      <c r="W109" s="2054">
        <v>0</v>
      </c>
      <c r="X109" s="2054">
        <v>0</v>
      </c>
      <c r="Y109" s="2054">
        <f>SUM(U109:X109)</f>
        <v>1</v>
      </c>
    </row>
    <row r="110" spans="1:25" ht="32.25" thickBot="1">
      <c r="A110" s="2060"/>
      <c r="B110" s="2060"/>
      <c r="C110" s="2038"/>
      <c r="D110" s="2062"/>
      <c r="E110" s="2128">
        <f>SUM(E109:E109)</f>
        <v>2959.24</v>
      </c>
      <c r="F110" s="2129">
        <f>SUM(F109:F109)</f>
        <v>250</v>
      </c>
      <c r="G110" s="2129">
        <f>SUM(G109:G109)</f>
        <v>3209.24</v>
      </c>
      <c r="H110" s="2094"/>
      <c r="I110" s="2094"/>
      <c r="J110" s="2094"/>
      <c r="K110" s="2094"/>
      <c r="L110" s="2094"/>
      <c r="M110" s="2034"/>
      <c r="N110" s="2034"/>
      <c r="O110" s="2060"/>
      <c r="P110" s="2038"/>
      <c r="Q110" s="2062"/>
      <c r="R110" s="2128">
        <f>SUM(R109:R109)</f>
        <v>3166.38</v>
      </c>
      <c r="S110" s="2129">
        <f>SUM(S109:S109)</f>
        <v>250</v>
      </c>
      <c r="T110" s="2129">
        <f>SUM(T109:T109)</f>
        <v>3416.38</v>
      </c>
      <c r="U110" s="2094"/>
      <c r="V110" s="2094"/>
      <c r="W110" s="2094"/>
      <c r="X110" s="2094"/>
      <c r="Y110" s="2094"/>
    </row>
    <row r="111" spans="1:25" ht="32.25" thickTop="1">
      <c r="A111" s="2038"/>
      <c r="B111" s="2038" t="s">
        <v>436</v>
      </c>
      <c r="C111" s="2065"/>
      <c r="D111" s="2062"/>
      <c r="E111" s="2093"/>
      <c r="F111" s="2094"/>
      <c r="G111" s="2094"/>
      <c r="H111" s="2091"/>
      <c r="I111" s="2091"/>
      <c r="J111" s="2091"/>
      <c r="K111" s="2091"/>
      <c r="L111" s="2091"/>
      <c r="M111" s="2034"/>
      <c r="N111" s="2034"/>
      <c r="O111" s="2038" t="s">
        <v>436</v>
      </c>
      <c r="P111" s="2065"/>
      <c r="Q111" s="2062"/>
      <c r="R111" s="2093"/>
      <c r="S111" s="2094"/>
      <c r="T111" s="2094"/>
      <c r="U111" s="2091"/>
      <c r="V111" s="2091"/>
      <c r="W111" s="2091"/>
      <c r="X111" s="2091"/>
      <c r="Y111" s="2091"/>
    </row>
    <row r="112" spans="1:25" ht="31.5">
      <c r="A112" s="2048">
        <v>60</v>
      </c>
      <c r="B112" s="2048" t="s">
        <v>538</v>
      </c>
      <c r="C112" s="2049" t="s">
        <v>133</v>
      </c>
      <c r="D112" s="2050" t="s">
        <v>11</v>
      </c>
      <c r="E112" s="2059">
        <v>3000</v>
      </c>
      <c r="F112" s="2059">
        <f>250</f>
        <v>250</v>
      </c>
      <c r="G112" s="2059">
        <f>+E112+F112</f>
        <v>3250</v>
      </c>
      <c r="H112" s="2055">
        <v>0</v>
      </c>
      <c r="I112" s="2105">
        <v>1</v>
      </c>
      <c r="J112" s="2055">
        <v>0</v>
      </c>
      <c r="K112" s="2055">
        <v>0</v>
      </c>
      <c r="L112" s="2055">
        <f>SUM(H112:K112)</f>
        <v>1</v>
      </c>
      <c r="M112" s="2034"/>
      <c r="N112" s="2034"/>
      <c r="O112" s="2048" t="s">
        <v>538</v>
      </c>
      <c r="P112" s="2049" t="s">
        <v>133</v>
      </c>
      <c r="Q112" s="2050" t="s">
        <v>11</v>
      </c>
      <c r="R112" s="2051">
        <v>3166.38</v>
      </c>
      <c r="S112" s="2059">
        <f>250</f>
        <v>250</v>
      </c>
      <c r="T112" s="2059">
        <f>+R112+S112</f>
        <v>3416.38</v>
      </c>
      <c r="U112" s="2055">
        <v>0</v>
      </c>
      <c r="V112" s="2105">
        <v>1</v>
      </c>
      <c r="W112" s="2055">
        <v>0</v>
      </c>
      <c r="X112" s="2055">
        <v>0</v>
      </c>
      <c r="Y112" s="2055">
        <f>SUM(U112:X112)</f>
        <v>1</v>
      </c>
    </row>
    <row r="113" spans="1:25" ht="31.5">
      <c r="A113" s="2048">
        <v>61</v>
      </c>
      <c r="B113" s="2048" t="s">
        <v>740</v>
      </c>
      <c r="C113" s="2049" t="s">
        <v>741</v>
      </c>
      <c r="D113" s="2050" t="s">
        <v>11</v>
      </c>
      <c r="E113" s="2059">
        <v>2959.24</v>
      </c>
      <c r="F113" s="2059">
        <f>250</f>
        <v>250</v>
      </c>
      <c r="G113" s="2059">
        <f>+E113+F113</f>
        <v>3209.24</v>
      </c>
      <c r="H113" s="2055">
        <v>0</v>
      </c>
      <c r="I113" s="2105">
        <v>1</v>
      </c>
      <c r="J113" s="2055">
        <v>0</v>
      </c>
      <c r="K113" s="2055">
        <v>0</v>
      </c>
      <c r="L113" s="2055">
        <f>SUM(H113:K113)</f>
        <v>1</v>
      </c>
      <c r="M113" s="2034"/>
      <c r="N113" s="2034"/>
      <c r="O113" s="2048" t="s">
        <v>740</v>
      </c>
      <c r="P113" s="2049" t="s">
        <v>741</v>
      </c>
      <c r="Q113" s="2050" t="s">
        <v>11</v>
      </c>
      <c r="R113" s="2051">
        <v>3166.38</v>
      </c>
      <c r="S113" s="2059">
        <f>250</f>
        <v>250</v>
      </c>
      <c r="T113" s="2059">
        <f>+R113+S113</f>
        <v>3416.38</v>
      </c>
      <c r="U113" s="2055">
        <v>0</v>
      </c>
      <c r="V113" s="2105">
        <v>1</v>
      </c>
      <c r="W113" s="2055">
        <v>0</v>
      </c>
      <c r="X113" s="2055">
        <v>0</v>
      </c>
      <c r="Y113" s="2055">
        <f>SUM(U113:X113)</f>
        <v>1</v>
      </c>
    </row>
    <row r="114" spans="1:25" ht="32.25" thickBot="1">
      <c r="A114" s="2038"/>
      <c r="B114" s="2038"/>
      <c r="C114" s="2038" t="s">
        <v>384</v>
      </c>
      <c r="D114" s="2087"/>
      <c r="E114" s="2130">
        <f>+E112+E113</f>
        <v>5959.24</v>
      </c>
      <c r="F114" s="2130">
        <f t="shared" ref="F114:G114" si="35">+F112+F113</f>
        <v>500</v>
      </c>
      <c r="G114" s="2130">
        <f t="shared" si="35"/>
        <v>6459.24</v>
      </c>
      <c r="H114" s="2131"/>
      <c r="I114" s="2081"/>
      <c r="J114" s="2131"/>
      <c r="K114" s="2131"/>
      <c r="L114" s="2131"/>
      <c r="M114" s="2034"/>
      <c r="N114" s="2034"/>
      <c r="O114" s="2038"/>
      <c r="P114" s="2038" t="s">
        <v>384</v>
      </c>
      <c r="Q114" s="2087"/>
      <c r="R114" s="2130">
        <f>+R112+R113</f>
        <v>6332.76</v>
      </c>
      <c r="S114" s="2130">
        <f t="shared" ref="S114:T114" si="36">+S112+S113</f>
        <v>500</v>
      </c>
      <c r="T114" s="2130">
        <f t="shared" si="36"/>
        <v>6832.76</v>
      </c>
      <c r="U114" s="2131"/>
      <c r="V114" s="2081"/>
      <c r="W114" s="2131"/>
      <c r="X114" s="2131"/>
      <c r="Y114" s="2131"/>
    </row>
    <row r="115" spans="1:25" ht="32.25" thickTop="1">
      <c r="A115" s="2038"/>
      <c r="B115" s="2038" t="s">
        <v>438</v>
      </c>
      <c r="C115" s="2040"/>
      <c r="D115" s="2062"/>
      <c r="E115" s="2116"/>
      <c r="F115" s="2126"/>
      <c r="G115" s="2126"/>
      <c r="H115" s="2091"/>
      <c r="I115" s="2091"/>
      <c r="J115" s="2091"/>
      <c r="K115" s="2091"/>
      <c r="L115" s="2091"/>
      <c r="M115" s="2034"/>
      <c r="N115" s="2034"/>
      <c r="O115" s="2038" t="s">
        <v>438</v>
      </c>
      <c r="P115" s="2040"/>
      <c r="Q115" s="2062"/>
      <c r="R115" s="2116"/>
      <c r="S115" s="2126"/>
      <c r="T115" s="2126"/>
      <c r="U115" s="2091"/>
      <c r="V115" s="2091"/>
      <c r="W115" s="2091"/>
      <c r="X115" s="2091"/>
      <c r="Y115" s="2091"/>
    </row>
    <row r="116" spans="1:25" ht="31.5">
      <c r="A116" s="2056">
        <v>62</v>
      </c>
      <c r="B116" s="2056" t="s">
        <v>761</v>
      </c>
      <c r="C116" s="2049" t="s">
        <v>133</v>
      </c>
      <c r="D116" s="2050" t="s">
        <v>11</v>
      </c>
      <c r="E116" s="2059">
        <v>3000</v>
      </c>
      <c r="F116" s="2059">
        <v>250</v>
      </c>
      <c r="G116" s="2059">
        <f>+E116+F116</f>
        <v>3250</v>
      </c>
      <c r="H116" s="2055"/>
      <c r="I116" s="2105">
        <v>1</v>
      </c>
      <c r="J116" s="2055"/>
      <c r="K116" s="2055"/>
      <c r="L116" s="2055">
        <f>SUM(H116:K116)</f>
        <v>1</v>
      </c>
      <c r="M116" s="2034"/>
      <c r="N116" s="2034"/>
      <c r="O116" s="2056" t="s">
        <v>761</v>
      </c>
      <c r="P116" s="2049" t="s">
        <v>133</v>
      </c>
      <c r="Q116" s="2050" t="s">
        <v>11</v>
      </c>
      <c r="R116" s="2051">
        <v>3166.38</v>
      </c>
      <c r="S116" s="2059">
        <v>250</v>
      </c>
      <c r="T116" s="2059">
        <f>+R116+S116</f>
        <v>3416.38</v>
      </c>
      <c r="U116" s="2055"/>
      <c r="V116" s="2105">
        <v>1</v>
      </c>
      <c r="W116" s="2055"/>
      <c r="X116" s="2055"/>
      <c r="Y116" s="2055">
        <f>SUM(U116:X116)</f>
        <v>1</v>
      </c>
    </row>
    <row r="117" spans="1:25" ht="31.5">
      <c r="A117" s="2060"/>
      <c r="B117" s="2060"/>
      <c r="C117" s="2038" t="s">
        <v>131</v>
      </c>
      <c r="D117" s="2062"/>
      <c r="E117" s="2132">
        <f>+E116</f>
        <v>3000</v>
      </c>
      <c r="F117" s="2133">
        <f>+F116</f>
        <v>250</v>
      </c>
      <c r="G117" s="2133">
        <f>+G116</f>
        <v>3250</v>
      </c>
      <c r="H117" s="2091"/>
      <c r="I117" s="2091"/>
      <c r="J117" s="2091"/>
      <c r="K117" s="2091"/>
      <c r="L117" s="2091"/>
      <c r="M117" s="2034"/>
      <c r="N117" s="2034"/>
      <c r="O117" s="2060"/>
      <c r="P117" s="2038" t="s">
        <v>131</v>
      </c>
      <c r="Q117" s="2062"/>
      <c r="R117" s="2132">
        <f>+R116</f>
        <v>3166.38</v>
      </c>
      <c r="S117" s="2133">
        <f>+S116</f>
        <v>250</v>
      </c>
      <c r="T117" s="2133">
        <f>+T116</f>
        <v>3416.38</v>
      </c>
      <c r="U117" s="2091"/>
      <c r="V117" s="2091"/>
      <c r="W117" s="2091"/>
      <c r="X117" s="2091"/>
      <c r="Y117" s="2091"/>
    </row>
    <row r="118" spans="1:25" ht="31.5">
      <c r="A118" s="2038"/>
      <c r="B118" s="2038" t="s">
        <v>399</v>
      </c>
      <c r="C118" s="2061"/>
      <c r="D118" s="2087"/>
      <c r="E118" s="2077"/>
      <c r="F118" s="2078"/>
      <c r="G118" s="2078"/>
      <c r="H118" s="2081"/>
      <c r="I118" s="2081"/>
      <c r="J118" s="2081"/>
      <c r="K118" s="2081"/>
      <c r="L118" s="2081"/>
      <c r="M118" s="2034"/>
      <c r="N118" s="2034"/>
      <c r="O118" s="2038" t="s">
        <v>399</v>
      </c>
      <c r="P118" s="2061"/>
      <c r="Q118" s="2087"/>
      <c r="R118" s="2077"/>
      <c r="S118" s="2078"/>
      <c r="T118" s="2078"/>
      <c r="U118" s="2081"/>
      <c r="V118" s="2081"/>
      <c r="W118" s="2081"/>
      <c r="X118" s="2081"/>
      <c r="Y118" s="2081"/>
    </row>
    <row r="119" spans="1:25" ht="31.5">
      <c r="A119" s="2134"/>
      <c r="B119" s="2134" t="s">
        <v>400</v>
      </c>
      <c r="C119" s="2065"/>
      <c r="D119" s="2065"/>
      <c r="E119" s="2096"/>
      <c r="F119" s="2068"/>
      <c r="G119" s="2068"/>
      <c r="H119" s="2095"/>
      <c r="I119" s="2095"/>
      <c r="J119" s="2095"/>
      <c r="K119" s="2095"/>
      <c r="L119" s="2091"/>
      <c r="M119" s="2034"/>
      <c r="N119" s="2034"/>
      <c r="O119" s="2134" t="s">
        <v>400</v>
      </c>
      <c r="P119" s="2065"/>
      <c r="Q119" s="2065"/>
      <c r="R119" s="2096"/>
      <c r="S119" s="2068"/>
      <c r="T119" s="2068"/>
      <c r="U119" s="2095"/>
      <c r="V119" s="2095"/>
      <c r="W119" s="2095"/>
      <c r="X119" s="2095"/>
      <c r="Y119" s="2091"/>
    </row>
    <row r="120" spans="1:25" ht="31.5">
      <c r="A120" s="2048">
        <v>63</v>
      </c>
      <c r="B120" s="2048" t="s">
        <v>601</v>
      </c>
      <c r="C120" s="2049" t="s">
        <v>93</v>
      </c>
      <c r="D120" s="2049" t="s">
        <v>11</v>
      </c>
      <c r="E120" s="2051">
        <v>2959.24</v>
      </c>
      <c r="F120" s="2059">
        <v>250</v>
      </c>
      <c r="G120" s="2102">
        <f t="shared" ref="G120:G130" si="37">+E120+F120</f>
        <v>3209.24</v>
      </c>
      <c r="H120" s="2085">
        <v>0</v>
      </c>
      <c r="I120" s="2055">
        <v>0</v>
      </c>
      <c r="J120" s="2055">
        <v>1</v>
      </c>
      <c r="K120" s="2055">
        <v>0</v>
      </c>
      <c r="L120" s="2055">
        <f t="shared" ref="L120:L130" si="38">SUM(H120:K120)</f>
        <v>1</v>
      </c>
      <c r="M120" s="2034"/>
      <c r="N120" s="2034"/>
      <c r="O120" s="2048" t="s">
        <v>601</v>
      </c>
      <c r="P120" s="2049" t="s">
        <v>93</v>
      </c>
      <c r="Q120" s="2049" t="s">
        <v>11</v>
      </c>
      <c r="R120" s="2051">
        <v>3166.38</v>
      </c>
      <c r="S120" s="2059">
        <v>250</v>
      </c>
      <c r="T120" s="2102">
        <f t="shared" ref="T120:T130" si="39">+R120+S120</f>
        <v>3416.38</v>
      </c>
      <c r="U120" s="2085">
        <v>0</v>
      </c>
      <c r="V120" s="2055">
        <v>0</v>
      </c>
      <c r="W120" s="2055">
        <v>1</v>
      </c>
      <c r="X120" s="2055">
        <v>0</v>
      </c>
      <c r="Y120" s="2055">
        <f t="shared" ref="Y120:Y130" si="40">SUM(U120:X120)</f>
        <v>1</v>
      </c>
    </row>
    <row r="121" spans="1:25" ht="31.5">
      <c r="A121" s="2048">
        <f>+A120+1</f>
        <v>64</v>
      </c>
      <c r="B121" s="2048" t="s">
        <v>555</v>
      </c>
      <c r="C121" s="2049" t="s">
        <v>596</v>
      </c>
      <c r="D121" s="2049" t="s">
        <v>11</v>
      </c>
      <c r="E121" s="2051">
        <v>2959.24</v>
      </c>
      <c r="F121" s="2059">
        <v>250</v>
      </c>
      <c r="G121" s="2102">
        <f t="shared" si="37"/>
        <v>3209.24</v>
      </c>
      <c r="H121" s="2055">
        <v>0</v>
      </c>
      <c r="I121" s="2103">
        <v>0</v>
      </c>
      <c r="J121" s="2103">
        <v>1</v>
      </c>
      <c r="K121" s="2055">
        <v>0</v>
      </c>
      <c r="L121" s="2055">
        <f t="shared" si="38"/>
        <v>1</v>
      </c>
      <c r="M121" s="2034"/>
      <c r="N121" s="2034"/>
      <c r="O121" s="2048" t="s">
        <v>555</v>
      </c>
      <c r="P121" s="2049" t="s">
        <v>596</v>
      </c>
      <c r="Q121" s="2049" t="s">
        <v>11</v>
      </c>
      <c r="R121" s="2051">
        <v>3166.38</v>
      </c>
      <c r="S121" s="2059">
        <v>250</v>
      </c>
      <c r="T121" s="2102">
        <f t="shared" si="39"/>
        <v>3416.38</v>
      </c>
      <c r="U121" s="2055">
        <v>0</v>
      </c>
      <c r="V121" s="2103">
        <v>0</v>
      </c>
      <c r="W121" s="2103">
        <v>1</v>
      </c>
      <c r="X121" s="2055">
        <v>0</v>
      </c>
      <c r="Y121" s="2055">
        <f t="shared" si="40"/>
        <v>1</v>
      </c>
    </row>
    <row r="122" spans="1:25" s="2033" customFormat="1" ht="31.5">
      <c r="A122" s="2048">
        <f t="shared" ref="A122:A130" si="41">+A121+1</f>
        <v>65</v>
      </c>
      <c r="B122" s="2048" t="s">
        <v>635</v>
      </c>
      <c r="C122" s="2049" t="s">
        <v>93</v>
      </c>
      <c r="D122" s="2049" t="s">
        <v>11</v>
      </c>
      <c r="E122" s="2051">
        <v>2959.24</v>
      </c>
      <c r="F122" s="2083">
        <v>250</v>
      </c>
      <c r="G122" s="2106">
        <f t="shared" si="37"/>
        <v>3209.24</v>
      </c>
      <c r="H122" s="2085">
        <v>0</v>
      </c>
      <c r="I122" s="2103">
        <v>0</v>
      </c>
      <c r="J122" s="2103">
        <v>1</v>
      </c>
      <c r="K122" s="2055">
        <v>0</v>
      </c>
      <c r="L122" s="2085">
        <f t="shared" si="38"/>
        <v>1</v>
      </c>
      <c r="M122" s="2135"/>
      <c r="N122" s="2135"/>
      <c r="O122" s="2048" t="s">
        <v>635</v>
      </c>
      <c r="P122" s="2049" t="s">
        <v>93</v>
      </c>
      <c r="Q122" s="2049" t="s">
        <v>11</v>
      </c>
      <c r="R122" s="2051">
        <v>3166.38</v>
      </c>
      <c r="S122" s="2083">
        <v>250</v>
      </c>
      <c r="T122" s="2106">
        <f t="shared" si="39"/>
        <v>3416.38</v>
      </c>
      <c r="U122" s="2085">
        <v>0</v>
      </c>
      <c r="V122" s="2103">
        <v>0</v>
      </c>
      <c r="W122" s="2103">
        <v>1</v>
      </c>
      <c r="X122" s="2055">
        <v>0</v>
      </c>
      <c r="Y122" s="2085">
        <f t="shared" si="40"/>
        <v>1</v>
      </c>
    </row>
    <row r="123" spans="1:25" ht="31.5">
      <c r="A123" s="2048">
        <f t="shared" si="41"/>
        <v>66</v>
      </c>
      <c r="B123" s="2048" t="s">
        <v>589</v>
      </c>
      <c r="C123" s="2049" t="s">
        <v>568</v>
      </c>
      <c r="D123" s="2049" t="s">
        <v>11</v>
      </c>
      <c r="E123" s="2051">
        <v>2959.24</v>
      </c>
      <c r="F123" s="2059">
        <v>250</v>
      </c>
      <c r="G123" s="2106">
        <f t="shared" si="37"/>
        <v>3209.24</v>
      </c>
      <c r="H123" s="2105">
        <v>0</v>
      </c>
      <c r="I123" s="2085">
        <v>0</v>
      </c>
      <c r="J123" s="2085">
        <v>1</v>
      </c>
      <c r="K123" s="2104">
        <v>0</v>
      </c>
      <c r="L123" s="2055">
        <f t="shared" si="38"/>
        <v>1</v>
      </c>
      <c r="M123" s="2034"/>
      <c r="N123" s="2034"/>
      <c r="O123" s="2048" t="s">
        <v>589</v>
      </c>
      <c r="P123" s="2049" t="s">
        <v>568</v>
      </c>
      <c r="Q123" s="2049" t="s">
        <v>11</v>
      </c>
      <c r="R123" s="2051">
        <v>3166.38</v>
      </c>
      <c r="S123" s="2059">
        <v>250</v>
      </c>
      <c r="T123" s="2106">
        <f t="shared" si="39"/>
        <v>3416.38</v>
      </c>
      <c r="U123" s="2105">
        <v>0</v>
      </c>
      <c r="V123" s="2085">
        <v>0</v>
      </c>
      <c r="W123" s="2085">
        <v>1</v>
      </c>
      <c r="X123" s="2104">
        <v>0</v>
      </c>
      <c r="Y123" s="2055">
        <f t="shared" si="40"/>
        <v>1</v>
      </c>
    </row>
    <row r="124" spans="1:25" ht="31.5">
      <c r="A124" s="2048">
        <f t="shared" si="41"/>
        <v>67</v>
      </c>
      <c r="B124" s="2048" t="s">
        <v>513</v>
      </c>
      <c r="C124" s="2049" t="s">
        <v>599</v>
      </c>
      <c r="D124" s="2049" t="s">
        <v>11</v>
      </c>
      <c r="E124" s="2051">
        <v>2959.24</v>
      </c>
      <c r="F124" s="2059">
        <f>250</f>
        <v>250</v>
      </c>
      <c r="G124" s="2102">
        <f t="shared" si="37"/>
        <v>3209.24</v>
      </c>
      <c r="H124" s="2105">
        <v>0</v>
      </c>
      <c r="I124" s="2085">
        <v>0</v>
      </c>
      <c r="J124" s="2103">
        <v>1</v>
      </c>
      <c r="K124" s="2055">
        <v>0</v>
      </c>
      <c r="L124" s="2055">
        <f t="shared" si="38"/>
        <v>1</v>
      </c>
      <c r="M124" s="2034"/>
      <c r="N124" s="2034"/>
      <c r="O124" s="2048" t="s">
        <v>513</v>
      </c>
      <c r="P124" s="2049" t="s">
        <v>599</v>
      </c>
      <c r="Q124" s="2049" t="s">
        <v>11</v>
      </c>
      <c r="R124" s="2051">
        <v>3166.38</v>
      </c>
      <c r="S124" s="2059">
        <f>250</f>
        <v>250</v>
      </c>
      <c r="T124" s="2102">
        <f t="shared" si="39"/>
        <v>3416.38</v>
      </c>
      <c r="U124" s="2105">
        <v>0</v>
      </c>
      <c r="V124" s="2085">
        <v>0</v>
      </c>
      <c r="W124" s="2103">
        <v>1</v>
      </c>
      <c r="X124" s="2055">
        <v>0</v>
      </c>
      <c r="Y124" s="2055">
        <f t="shared" si="40"/>
        <v>1</v>
      </c>
    </row>
    <row r="125" spans="1:25" ht="31.5">
      <c r="A125" s="2048">
        <f t="shared" si="41"/>
        <v>68</v>
      </c>
      <c r="B125" s="2048" t="s">
        <v>537</v>
      </c>
      <c r="C125" s="2049" t="s">
        <v>597</v>
      </c>
      <c r="D125" s="2049" t="s">
        <v>11</v>
      </c>
      <c r="E125" s="2051">
        <f>2959.24+40.37</f>
        <v>2999.6099999999997</v>
      </c>
      <c r="F125" s="2059">
        <v>450</v>
      </c>
      <c r="G125" s="2059">
        <f t="shared" si="37"/>
        <v>3449.6099999999997</v>
      </c>
      <c r="H125" s="2055">
        <v>0</v>
      </c>
      <c r="I125" s="2105">
        <v>0</v>
      </c>
      <c r="J125" s="2085">
        <v>1</v>
      </c>
      <c r="K125" s="2055">
        <v>0</v>
      </c>
      <c r="L125" s="2055">
        <f t="shared" si="38"/>
        <v>1</v>
      </c>
      <c r="M125" s="2034"/>
      <c r="N125" s="2034"/>
      <c r="O125" s="2048" t="s">
        <v>537</v>
      </c>
      <c r="P125" s="2049" t="s">
        <v>597</v>
      </c>
      <c r="Q125" s="2049" t="s">
        <v>11</v>
      </c>
      <c r="R125" s="2051">
        <v>3166.38</v>
      </c>
      <c r="S125" s="2059">
        <v>450</v>
      </c>
      <c r="T125" s="2059">
        <f t="shared" si="39"/>
        <v>3616.38</v>
      </c>
      <c r="U125" s="2055">
        <v>0</v>
      </c>
      <c r="V125" s="2105">
        <v>0</v>
      </c>
      <c r="W125" s="2085">
        <v>1</v>
      </c>
      <c r="X125" s="2055">
        <v>0</v>
      </c>
      <c r="Y125" s="2055">
        <f t="shared" si="40"/>
        <v>1</v>
      </c>
    </row>
    <row r="126" spans="1:25" ht="31.5">
      <c r="A126" s="2048">
        <f t="shared" si="41"/>
        <v>69</v>
      </c>
      <c r="B126" s="2048" t="s">
        <v>378</v>
      </c>
      <c r="C126" s="2049" t="s">
        <v>597</v>
      </c>
      <c r="D126" s="2049" t="s">
        <v>11</v>
      </c>
      <c r="E126" s="2051">
        <v>2959.24</v>
      </c>
      <c r="F126" s="2059">
        <v>250</v>
      </c>
      <c r="G126" s="2102">
        <f t="shared" si="37"/>
        <v>3209.24</v>
      </c>
      <c r="H126" s="2055">
        <v>0</v>
      </c>
      <c r="I126" s="2055">
        <v>0</v>
      </c>
      <c r="J126" s="2085">
        <v>1</v>
      </c>
      <c r="K126" s="2055">
        <v>0</v>
      </c>
      <c r="L126" s="2055">
        <f t="shared" si="38"/>
        <v>1</v>
      </c>
      <c r="M126" s="2034"/>
      <c r="N126" s="2034"/>
      <c r="O126" s="2048" t="s">
        <v>378</v>
      </c>
      <c r="P126" s="2049" t="s">
        <v>597</v>
      </c>
      <c r="Q126" s="2049" t="s">
        <v>11</v>
      </c>
      <c r="R126" s="2051">
        <v>3166.38</v>
      </c>
      <c r="S126" s="2059">
        <v>250</v>
      </c>
      <c r="T126" s="2102">
        <f t="shared" si="39"/>
        <v>3416.38</v>
      </c>
      <c r="U126" s="2055">
        <v>0</v>
      </c>
      <c r="V126" s="2055">
        <v>0</v>
      </c>
      <c r="W126" s="2085">
        <v>1</v>
      </c>
      <c r="X126" s="2055">
        <v>0</v>
      </c>
      <c r="Y126" s="2055">
        <f t="shared" si="40"/>
        <v>1</v>
      </c>
    </row>
    <row r="127" spans="1:25" ht="31.5">
      <c r="A127" s="2048">
        <f t="shared" si="41"/>
        <v>70</v>
      </c>
      <c r="B127" s="2048" t="s">
        <v>577</v>
      </c>
      <c r="C127" s="2049" t="s">
        <v>595</v>
      </c>
      <c r="D127" s="2049" t="s">
        <v>11</v>
      </c>
      <c r="E127" s="2051">
        <v>2959.24</v>
      </c>
      <c r="F127" s="2059">
        <f>250</f>
        <v>250</v>
      </c>
      <c r="G127" s="2102">
        <f t="shared" si="37"/>
        <v>3209.24</v>
      </c>
      <c r="H127" s="2055">
        <v>0</v>
      </c>
      <c r="I127" s="2105">
        <v>0</v>
      </c>
      <c r="J127" s="2085">
        <v>1</v>
      </c>
      <c r="K127" s="2055">
        <v>0</v>
      </c>
      <c r="L127" s="2055">
        <f t="shared" si="38"/>
        <v>1</v>
      </c>
      <c r="M127" s="2034"/>
      <c r="N127" s="2034"/>
      <c r="O127" s="2048" t="s">
        <v>577</v>
      </c>
      <c r="P127" s="2049" t="s">
        <v>595</v>
      </c>
      <c r="Q127" s="2049" t="s">
        <v>11</v>
      </c>
      <c r="R127" s="2051">
        <v>3166.38</v>
      </c>
      <c r="S127" s="2059">
        <f>250</f>
        <v>250</v>
      </c>
      <c r="T127" s="2102">
        <f t="shared" si="39"/>
        <v>3416.38</v>
      </c>
      <c r="U127" s="2055">
        <v>0</v>
      </c>
      <c r="V127" s="2105">
        <v>0</v>
      </c>
      <c r="W127" s="2085">
        <v>1</v>
      </c>
      <c r="X127" s="2055">
        <v>0</v>
      </c>
      <c r="Y127" s="2055">
        <f t="shared" si="40"/>
        <v>1</v>
      </c>
    </row>
    <row r="128" spans="1:25" ht="31.5">
      <c r="A128" s="2048">
        <f t="shared" si="41"/>
        <v>71</v>
      </c>
      <c r="B128" s="2048" t="s">
        <v>632</v>
      </c>
      <c r="C128" s="2049" t="s">
        <v>595</v>
      </c>
      <c r="D128" s="2049" t="s">
        <v>11</v>
      </c>
      <c r="E128" s="2051">
        <v>2959.24</v>
      </c>
      <c r="F128" s="2059">
        <f>250</f>
        <v>250</v>
      </c>
      <c r="G128" s="2102">
        <f t="shared" si="37"/>
        <v>3209.24</v>
      </c>
      <c r="H128" s="2055">
        <v>0</v>
      </c>
      <c r="I128" s="2105">
        <v>0</v>
      </c>
      <c r="J128" s="2085">
        <v>1</v>
      </c>
      <c r="K128" s="2055">
        <v>0</v>
      </c>
      <c r="L128" s="2055">
        <f t="shared" si="38"/>
        <v>1</v>
      </c>
      <c r="M128" s="2034"/>
      <c r="N128" s="2034"/>
      <c r="O128" s="2048" t="s">
        <v>632</v>
      </c>
      <c r="P128" s="2049" t="s">
        <v>595</v>
      </c>
      <c r="Q128" s="2049" t="s">
        <v>11</v>
      </c>
      <c r="R128" s="2051">
        <v>3166.38</v>
      </c>
      <c r="S128" s="2059">
        <f>250</f>
        <v>250</v>
      </c>
      <c r="T128" s="2102">
        <f t="shared" si="39"/>
        <v>3416.38</v>
      </c>
      <c r="U128" s="2055">
        <v>0</v>
      </c>
      <c r="V128" s="2105">
        <v>0</v>
      </c>
      <c r="W128" s="2085">
        <v>1</v>
      </c>
      <c r="X128" s="2055">
        <v>0</v>
      </c>
      <c r="Y128" s="2055">
        <f t="shared" si="40"/>
        <v>1</v>
      </c>
    </row>
    <row r="129" spans="1:25" ht="31.5">
      <c r="A129" s="2048">
        <f t="shared" si="41"/>
        <v>72</v>
      </c>
      <c r="B129" s="2048" t="s">
        <v>528</v>
      </c>
      <c r="C129" s="2049" t="s">
        <v>595</v>
      </c>
      <c r="D129" s="2049" t="s">
        <v>11</v>
      </c>
      <c r="E129" s="2051">
        <v>2959.24</v>
      </c>
      <c r="F129" s="2059">
        <v>250</v>
      </c>
      <c r="G129" s="2102">
        <f t="shared" si="37"/>
        <v>3209.24</v>
      </c>
      <c r="H129" s="2105">
        <v>0</v>
      </c>
      <c r="I129" s="2055">
        <v>0</v>
      </c>
      <c r="J129" s="2085">
        <v>1</v>
      </c>
      <c r="K129" s="2105">
        <v>0</v>
      </c>
      <c r="L129" s="2055">
        <f t="shared" si="38"/>
        <v>1</v>
      </c>
      <c r="M129" s="2034"/>
      <c r="N129" s="2034"/>
      <c r="O129" s="2048" t="s">
        <v>528</v>
      </c>
      <c r="P129" s="2049" t="s">
        <v>595</v>
      </c>
      <c r="Q129" s="2049" t="s">
        <v>11</v>
      </c>
      <c r="R129" s="2051">
        <v>3166.38</v>
      </c>
      <c r="S129" s="2059">
        <v>250</v>
      </c>
      <c r="T129" s="2102">
        <f t="shared" si="39"/>
        <v>3416.38</v>
      </c>
      <c r="U129" s="2105">
        <v>0</v>
      </c>
      <c r="V129" s="2055">
        <v>0</v>
      </c>
      <c r="W129" s="2085">
        <v>1</v>
      </c>
      <c r="X129" s="2105">
        <v>0</v>
      </c>
      <c r="Y129" s="2055">
        <f t="shared" si="40"/>
        <v>1</v>
      </c>
    </row>
    <row r="130" spans="1:25" ht="31.5">
      <c r="A130" s="2048">
        <f t="shared" si="41"/>
        <v>73</v>
      </c>
      <c r="B130" s="2048" t="s">
        <v>519</v>
      </c>
      <c r="C130" s="2049" t="s">
        <v>600</v>
      </c>
      <c r="D130" s="2049" t="s">
        <v>11</v>
      </c>
      <c r="E130" s="2051">
        <v>2959.24</v>
      </c>
      <c r="F130" s="2059">
        <f>250</f>
        <v>250</v>
      </c>
      <c r="G130" s="2102">
        <f t="shared" si="37"/>
        <v>3209.24</v>
      </c>
      <c r="H130" s="2055">
        <v>0</v>
      </c>
      <c r="I130" s="2055">
        <v>0</v>
      </c>
      <c r="J130" s="2085">
        <v>1</v>
      </c>
      <c r="K130" s="2055">
        <v>0</v>
      </c>
      <c r="L130" s="2055">
        <f t="shared" si="38"/>
        <v>1</v>
      </c>
      <c r="M130" s="2034"/>
      <c r="N130" s="2034"/>
      <c r="O130" s="2048" t="s">
        <v>519</v>
      </c>
      <c r="P130" s="2049" t="s">
        <v>600</v>
      </c>
      <c r="Q130" s="2049" t="s">
        <v>11</v>
      </c>
      <c r="R130" s="2051">
        <v>3166.38</v>
      </c>
      <c r="S130" s="2059">
        <f>250</f>
        <v>250</v>
      </c>
      <c r="T130" s="2102">
        <f t="shared" si="39"/>
        <v>3416.38</v>
      </c>
      <c r="U130" s="2055">
        <v>0</v>
      </c>
      <c r="V130" s="2055">
        <v>0</v>
      </c>
      <c r="W130" s="2085">
        <v>1</v>
      </c>
      <c r="X130" s="2055">
        <v>0</v>
      </c>
      <c r="Y130" s="2055">
        <f t="shared" si="40"/>
        <v>1</v>
      </c>
    </row>
    <row r="131" spans="1:25" ht="32.25" thickBot="1">
      <c r="A131" s="2107"/>
      <c r="B131" s="2107"/>
      <c r="C131" s="2108" t="s">
        <v>382</v>
      </c>
      <c r="D131" s="2108"/>
      <c r="E131" s="2109">
        <f>SUM(E120:E130)</f>
        <v>32592.009999999987</v>
      </c>
      <c r="F131" s="2109">
        <f>SUM(F120:F130)</f>
        <v>2950</v>
      </c>
      <c r="G131" s="2109">
        <f>SUM(G120:G130)</f>
        <v>35542.009999999987</v>
      </c>
      <c r="H131" s="2110"/>
      <c r="I131" s="2110"/>
      <c r="J131" s="2110"/>
      <c r="K131" s="2110"/>
      <c r="L131" s="2110"/>
      <c r="M131" s="2034"/>
      <c r="N131" s="2034"/>
      <c r="O131" s="2107"/>
      <c r="P131" s="2108" t="s">
        <v>382</v>
      </c>
      <c r="Q131" s="2108"/>
      <c r="R131" s="2109">
        <f>SUM(R120:R130)</f>
        <v>34830.180000000008</v>
      </c>
      <c r="S131" s="2109">
        <f>SUM(S120:S130)</f>
        <v>2950</v>
      </c>
      <c r="T131" s="2109">
        <f>SUM(T120:T130)</f>
        <v>37780.18</v>
      </c>
      <c r="U131" s="2110"/>
      <c r="V131" s="2110"/>
      <c r="W131" s="2110"/>
      <c r="X131" s="2110"/>
      <c r="Y131" s="2110"/>
    </row>
    <row r="132" spans="1:25" ht="32.25" thickTop="1">
      <c r="A132" s="2107"/>
      <c r="B132" s="2107"/>
      <c r="C132" s="2108"/>
      <c r="D132" s="2108"/>
      <c r="E132" s="2116"/>
      <c r="F132" s="2116"/>
      <c r="G132" s="2116"/>
      <c r="H132" s="2110"/>
      <c r="I132" s="2110"/>
      <c r="J132" s="2110"/>
      <c r="K132" s="2110"/>
      <c r="L132" s="2110"/>
      <c r="M132" s="2034"/>
      <c r="N132" s="2034"/>
      <c r="O132" s="2107"/>
      <c r="P132" s="2108"/>
      <c r="Q132" s="2108"/>
      <c r="R132" s="2116"/>
      <c r="S132" s="2116"/>
      <c r="T132" s="2116"/>
      <c r="U132" s="2110"/>
      <c r="V132" s="2110"/>
      <c r="W132" s="2110"/>
      <c r="X132" s="2110"/>
      <c r="Y132" s="2110"/>
    </row>
    <row r="133" spans="1:25" ht="31.5">
      <c r="A133" s="2038"/>
      <c r="B133" s="2038" t="s">
        <v>429</v>
      </c>
      <c r="C133" s="2061"/>
      <c r="D133" s="2087"/>
      <c r="E133" s="2077"/>
      <c r="F133" s="2078"/>
      <c r="G133" s="2078"/>
      <c r="H133" s="2081"/>
      <c r="I133" s="2081"/>
      <c r="J133" s="2081"/>
      <c r="K133" s="2081"/>
      <c r="L133" s="2081"/>
      <c r="M133" s="2034"/>
      <c r="N133" s="2034"/>
      <c r="O133" s="2038" t="s">
        <v>429</v>
      </c>
      <c r="P133" s="2061"/>
      <c r="Q133" s="2087"/>
      <c r="R133" s="2077"/>
      <c r="S133" s="2078"/>
      <c r="T133" s="2078"/>
      <c r="U133" s="2081"/>
      <c r="V133" s="2081"/>
      <c r="W133" s="2081"/>
      <c r="X133" s="2081"/>
      <c r="Y133" s="2081"/>
    </row>
    <row r="134" spans="1:25" ht="31.5">
      <c r="A134" s="2048">
        <v>74</v>
      </c>
      <c r="B134" s="2048" t="s">
        <v>540</v>
      </c>
      <c r="C134" s="2049" t="s">
        <v>415</v>
      </c>
      <c r="D134" s="2050" t="s">
        <v>11</v>
      </c>
      <c r="E134" s="2059">
        <v>3000</v>
      </c>
      <c r="F134" s="2059">
        <f>500</f>
        <v>500</v>
      </c>
      <c r="G134" s="2059">
        <f>+E134+F134</f>
        <v>3500</v>
      </c>
      <c r="H134" s="2055">
        <v>0</v>
      </c>
      <c r="I134" s="2105">
        <v>1</v>
      </c>
      <c r="J134" s="2105">
        <v>0</v>
      </c>
      <c r="K134" s="2055">
        <v>0</v>
      </c>
      <c r="L134" s="2055">
        <f>SUM(H134:K134)</f>
        <v>1</v>
      </c>
      <c r="M134" s="2034"/>
      <c r="N134" s="2034"/>
      <c r="O134" s="2048" t="s">
        <v>540</v>
      </c>
      <c r="P134" s="2049" t="s">
        <v>415</v>
      </c>
      <c r="Q134" s="2050" t="s">
        <v>11</v>
      </c>
      <c r="R134" s="2051">
        <v>3166.38</v>
      </c>
      <c r="S134" s="2059">
        <f>500</f>
        <v>500</v>
      </c>
      <c r="T134" s="2059">
        <f>+R134+S134</f>
        <v>3666.38</v>
      </c>
      <c r="U134" s="2055">
        <v>0</v>
      </c>
      <c r="V134" s="2105">
        <v>1</v>
      </c>
      <c r="W134" s="2105">
        <v>0</v>
      </c>
      <c r="X134" s="2055">
        <v>0</v>
      </c>
      <c r="Y134" s="2055">
        <f>SUM(U134:X134)</f>
        <v>1</v>
      </c>
    </row>
    <row r="135" spans="1:25" ht="31.5">
      <c r="A135" s="2056">
        <v>75</v>
      </c>
      <c r="B135" s="2056" t="s">
        <v>544</v>
      </c>
      <c r="C135" s="2057" t="s">
        <v>415</v>
      </c>
      <c r="D135" s="2058" t="s">
        <v>11</v>
      </c>
      <c r="E135" s="2051">
        <v>3000</v>
      </c>
      <c r="F135" s="2053">
        <v>250</v>
      </c>
      <c r="G135" s="2053">
        <f>+E135+F135</f>
        <v>3250</v>
      </c>
      <c r="H135" s="2054">
        <v>0</v>
      </c>
      <c r="I135" s="2054">
        <v>1</v>
      </c>
      <c r="J135" s="2088">
        <v>0</v>
      </c>
      <c r="K135" s="2054">
        <v>0</v>
      </c>
      <c r="L135" s="2054">
        <f>SUM(H135:K135)</f>
        <v>1</v>
      </c>
      <c r="M135" s="2034"/>
      <c r="N135" s="2034"/>
      <c r="O135" s="2056" t="s">
        <v>544</v>
      </c>
      <c r="P135" s="2057" t="s">
        <v>415</v>
      </c>
      <c r="Q135" s="2058" t="s">
        <v>11</v>
      </c>
      <c r="R135" s="2051">
        <v>3166.38</v>
      </c>
      <c r="S135" s="2053">
        <v>250</v>
      </c>
      <c r="T135" s="2053">
        <f>+R135+S135</f>
        <v>3416.38</v>
      </c>
      <c r="U135" s="2054">
        <v>0</v>
      </c>
      <c r="V135" s="2054">
        <v>1</v>
      </c>
      <c r="W135" s="2088">
        <v>0</v>
      </c>
      <c r="X135" s="2054">
        <v>0</v>
      </c>
      <c r="Y135" s="2054">
        <f>SUM(U135:X135)</f>
        <v>1</v>
      </c>
    </row>
    <row r="136" spans="1:25" ht="32.25" thickBot="1">
      <c r="A136" s="2038"/>
      <c r="B136" s="2038"/>
      <c r="C136" s="2065" t="s">
        <v>434</v>
      </c>
      <c r="D136" s="2061"/>
      <c r="E136" s="2090">
        <f>SUM(E134:E135)</f>
        <v>6000</v>
      </c>
      <c r="F136" s="2090">
        <f>SUM(F134:F135)</f>
        <v>750</v>
      </c>
      <c r="G136" s="2090">
        <f>SUM(G134:G135)</f>
        <v>6750</v>
      </c>
      <c r="H136" s="2095"/>
      <c r="I136" s="2095"/>
      <c r="J136" s="2095"/>
      <c r="K136" s="2095"/>
      <c r="L136" s="2095"/>
      <c r="M136" s="2034"/>
      <c r="N136" s="2034"/>
      <c r="O136" s="2038"/>
      <c r="P136" s="2065" t="s">
        <v>434</v>
      </c>
      <c r="Q136" s="2061"/>
      <c r="R136" s="2090">
        <f>SUM(R134:R135)</f>
        <v>6332.76</v>
      </c>
      <c r="S136" s="2090">
        <f>SUM(S134:S135)</f>
        <v>750</v>
      </c>
      <c r="T136" s="2090">
        <f>SUM(T134:T135)</f>
        <v>7082.76</v>
      </c>
      <c r="U136" s="2095"/>
      <c r="V136" s="2095"/>
      <c r="W136" s="2095"/>
      <c r="X136" s="2095"/>
      <c r="Y136" s="2095"/>
    </row>
    <row r="137" spans="1:25" ht="32.25" thickTop="1">
      <c r="A137" s="2034"/>
      <c r="B137" s="2034"/>
      <c r="C137" s="2034"/>
      <c r="D137" s="2034"/>
      <c r="E137" s="2034"/>
      <c r="F137" s="2034"/>
      <c r="G137" s="2034"/>
      <c r="H137" s="2034"/>
      <c r="I137" s="2034"/>
      <c r="J137" s="2034"/>
      <c r="K137" s="2034"/>
      <c r="L137" s="2034"/>
      <c r="M137" s="2034"/>
      <c r="N137" s="2034"/>
      <c r="O137" s="2034"/>
      <c r="P137" s="2034"/>
      <c r="Q137" s="2034"/>
      <c r="R137" s="2034"/>
      <c r="S137" s="2034"/>
      <c r="T137" s="2034"/>
      <c r="U137" s="2034"/>
      <c r="V137" s="2034"/>
      <c r="W137" s="2034"/>
      <c r="X137" s="2034"/>
      <c r="Y137" s="2034"/>
    </row>
    <row r="138" spans="1:25" ht="31.5">
      <c r="A138" s="2034"/>
      <c r="B138" s="2034"/>
      <c r="C138" s="2034"/>
      <c r="D138" s="2034"/>
      <c r="E138" s="2034"/>
      <c r="F138" s="2034"/>
      <c r="G138" s="2034"/>
      <c r="H138" s="2034"/>
      <c r="I138" s="2034"/>
      <c r="J138" s="2034"/>
      <c r="K138" s="2034"/>
      <c r="L138" s="2034"/>
      <c r="M138" s="2034"/>
      <c r="N138" s="2034"/>
      <c r="O138" s="2034"/>
      <c r="P138" s="2034"/>
      <c r="Q138" s="2034"/>
      <c r="R138" s="2034"/>
      <c r="S138" s="2034"/>
      <c r="T138" s="2034"/>
      <c r="U138" s="2034"/>
      <c r="V138" s="2034"/>
      <c r="W138" s="2034"/>
      <c r="X138" s="2034"/>
      <c r="Y138" s="2034"/>
    </row>
    <row r="139" spans="1:25" ht="31.5">
      <c r="A139" s="2034"/>
      <c r="B139" s="2034"/>
      <c r="C139" s="2034"/>
      <c r="D139" s="2034" t="s">
        <v>167</v>
      </c>
      <c r="E139" s="2136">
        <f>+E13+E21+E27+E34+E38+E50+E67+E72+E85+E93+E98+E105+E110+E114+E117+E131+E136</f>
        <v>222350.20999999996</v>
      </c>
      <c r="F139" s="2034"/>
      <c r="G139" s="2034"/>
      <c r="H139" s="2034"/>
      <c r="I139" s="2034"/>
      <c r="J139" s="2034"/>
      <c r="K139" s="2034"/>
      <c r="L139" s="2034"/>
      <c r="M139" s="2034"/>
      <c r="N139" s="2034"/>
      <c r="O139" s="2034"/>
      <c r="P139" s="2034"/>
      <c r="Q139" s="2034" t="s">
        <v>167</v>
      </c>
      <c r="R139" s="2136">
        <f>+R13+R21+R27+R34+R38+R50+R67+R72+R85+R93+R98+R105+R110+R114+R117+R131+R136</f>
        <v>237478.5</v>
      </c>
      <c r="S139" s="2034"/>
      <c r="T139" s="2137"/>
      <c r="U139" s="2034"/>
      <c r="V139" s="2034"/>
      <c r="W139" s="2034"/>
      <c r="X139" s="2034"/>
      <c r="Y139" s="2034"/>
    </row>
    <row r="140" spans="1:25" ht="31.5">
      <c r="A140" s="2034"/>
      <c r="B140" s="2034"/>
      <c r="C140" s="2034"/>
      <c r="D140" s="2034"/>
      <c r="E140" s="2034"/>
      <c r="F140" s="2034"/>
      <c r="G140" s="2034"/>
      <c r="H140" s="2034"/>
      <c r="I140" s="2034"/>
      <c r="J140" s="2034"/>
      <c r="K140" s="2034"/>
      <c r="L140" s="2034"/>
      <c r="M140" s="2034"/>
      <c r="N140" s="2034"/>
      <c r="O140" s="2034"/>
      <c r="P140" s="2034"/>
      <c r="Q140" s="2034"/>
      <c r="R140" s="2034"/>
      <c r="S140" s="2034"/>
      <c r="T140" s="2034"/>
      <c r="U140" s="2034"/>
      <c r="V140" s="2034"/>
      <c r="W140" s="2034"/>
      <c r="X140" s="2034"/>
      <c r="Y140" s="2034"/>
    </row>
    <row r="141" spans="1:25" ht="31.5">
      <c r="A141" s="2034"/>
      <c r="B141" s="2034"/>
      <c r="C141" s="2034"/>
      <c r="D141" s="2034"/>
      <c r="E141" s="2034"/>
      <c r="F141" s="2034"/>
      <c r="G141" s="2034"/>
      <c r="H141" s="2034"/>
      <c r="I141" s="2034"/>
      <c r="J141" s="2034"/>
      <c r="K141" s="2034"/>
      <c r="L141" s="2034"/>
      <c r="M141" s="2034"/>
      <c r="N141" s="2034"/>
      <c r="O141" s="2034"/>
      <c r="P141" s="2034"/>
      <c r="Q141" s="2034"/>
      <c r="R141" s="2034"/>
      <c r="S141" s="2034"/>
      <c r="T141" s="2034"/>
      <c r="U141" s="2034"/>
      <c r="V141" s="2034"/>
      <c r="W141" s="2034"/>
      <c r="X141" s="2034"/>
      <c r="Y141" s="2034"/>
    </row>
    <row r="142" spans="1:25" ht="31.5">
      <c r="A142" s="2034"/>
      <c r="B142" s="2034"/>
      <c r="C142" s="2034"/>
      <c r="D142" s="2034"/>
      <c r="E142" s="2034"/>
      <c r="F142" s="2034"/>
      <c r="G142" s="2034"/>
      <c r="H142" s="2034"/>
      <c r="I142" s="2034"/>
      <c r="J142" s="2034"/>
      <c r="K142" s="2034"/>
      <c r="L142" s="2034"/>
      <c r="M142" s="2034"/>
      <c r="N142" s="2034"/>
      <c r="O142" s="2034"/>
      <c r="P142" s="2034"/>
      <c r="Q142" s="2034"/>
      <c r="R142" s="2034"/>
      <c r="S142" s="2034"/>
      <c r="T142" s="2034"/>
      <c r="U142" s="2034"/>
      <c r="V142" s="2034"/>
      <c r="W142" s="2034"/>
      <c r="X142" s="2034"/>
      <c r="Y142" s="2034"/>
    </row>
    <row r="143" spans="1:25" ht="31.5">
      <c r="A143" s="2034"/>
      <c r="B143" s="2138" t="s">
        <v>848</v>
      </c>
      <c r="C143" s="2139" t="s">
        <v>852</v>
      </c>
      <c r="D143" s="2139"/>
      <c r="E143" s="2034"/>
      <c r="F143" s="2034"/>
      <c r="G143" s="2034"/>
      <c r="H143" s="2034"/>
      <c r="I143" s="2034"/>
      <c r="J143" s="2034"/>
      <c r="K143" s="2034"/>
      <c r="L143" s="2034"/>
      <c r="M143" s="2034"/>
      <c r="N143" s="2034"/>
      <c r="O143" s="2034"/>
      <c r="P143" s="2034"/>
      <c r="Q143" s="2034"/>
      <c r="R143" s="2138" t="s">
        <v>850</v>
      </c>
      <c r="S143" s="2034"/>
      <c r="T143" s="2139" t="s">
        <v>854</v>
      </c>
      <c r="U143" s="2139"/>
      <c r="V143" s="2139"/>
      <c r="W143" s="2139"/>
      <c r="X143" s="2139"/>
      <c r="Y143" s="2034"/>
    </row>
    <row r="144" spans="1:25" ht="33.75">
      <c r="A144" s="2034"/>
      <c r="B144" s="2034"/>
      <c r="C144" s="2034"/>
      <c r="D144" s="2034"/>
      <c r="E144" s="2034"/>
      <c r="F144" s="2034"/>
      <c r="G144" s="2034"/>
      <c r="H144" s="2034"/>
      <c r="I144" s="2034"/>
      <c r="J144" s="2034"/>
      <c r="K144" s="2034"/>
      <c r="L144" s="2261" t="s">
        <v>844</v>
      </c>
      <c r="M144" s="2261"/>
      <c r="N144" s="2261"/>
      <c r="O144" s="2261"/>
      <c r="P144" s="2034"/>
      <c r="Q144" s="2034"/>
      <c r="R144" s="2034"/>
      <c r="S144" s="2034"/>
      <c r="T144" s="2034"/>
      <c r="U144" s="2034"/>
      <c r="V144" s="2034"/>
      <c r="W144" s="2034"/>
      <c r="X144" s="2034"/>
      <c r="Y144" s="2034"/>
    </row>
    <row r="145" spans="1:25" ht="33.75">
      <c r="A145" s="2034"/>
      <c r="B145" s="2034"/>
      <c r="C145" s="2034"/>
      <c r="D145" s="2034"/>
      <c r="E145" s="2034"/>
      <c r="F145" s="2034"/>
      <c r="G145" s="2034"/>
      <c r="H145" s="2034"/>
      <c r="I145" s="2034"/>
      <c r="J145" s="2034"/>
      <c r="K145" s="2034"/>
      <c r="L145" s="2141"/>
      <c r="M145" s="2141"/>
      <c r="N145" s="2141"/>
      <c r="O145" s="2141"/>
      <c r="P145" s="2034"/>
      <c r="Q145" s="2034"/>
      <c r="R145" s="2034"/>
      <c r="S145" s="2034"/>
      <c r="T145" s="2034"/>
      <c r="U145" s="2034"/>
      <c r="V145" s="2034"/>
      <c r="W145" s="2034"/>
      <c r="X145" s="2034"/>
      <c r="Y145" s="2034"/>
    </row>
    <row r="146" spans="1:25" ht="33.75">
      <c r="A146" s="2034"/>
      <c r="B146" s="2034"/>
      <c r="C146" s="2034"/>
      <c r="D146" s="2034"/>
      <c r="E146" s="2034"/>
      <c r="F146" s="2034"/>
      <c r="G146" s="2034"/>
      <c r="H146" s="2034"/>
      <c r="I146" s="2034"/>
      <c r="J146" s="2034"/>
      <c r="K146" s="2034"/>
      <c r="L146" s="2142" t="s">
        <v>845</v>
      </c>
      <c r="M146" s="2143">
        <v>2959.24</v>
      </c>
      <c r="N146" s="2143">
        <f>+E139</f>
        <v>222350.20999999996</v>
      </c>
      <c r="O146" s="2262" t="s">
        <v>847</v>
      </c>
      <c r="P146" s="2034"/>
      <c r="Q146" s="2034"/>
      <c r="R146" s="2034"/>
      <c r="S146" s="2034"/>
      <c r="T146" s="2034"/>
      <c r="U146" s="2034"/>
      <c r="V146" s="2034"/>
      <c r="W146" s="2034"/>
      <c r="X146" s="2034"/>
      <c r="Y146" s="2034"/>
    </row>
    <row r="147" spans="1:25" ht="33.75">
      <c r="A147" s="2034"/>
      <c r="B147" s="2034"/>
      <c r="C147" s="2034"/>
      <c r="D147" s="2034"/>
      <c r="E147" s="2034"/>
      <c r="F147" s="2034"/>
      <c r="G147" s="2034"/>
      <c r="H147" s="2034"/>
      <c r="I147" s="2034"/>
      <c r="J147" s="2034"/>
      <c r="K147" s="2034"/>
      <c r="L147" s="2142" t="s">
        <v>830</v>
      </c>
      <c r="M147" s="2143">
        <v>3166.38</v>
      </c>
      <c r="N147" s="2143">
        <f>+R139</f>
        <v>237478.5</v>
      </c>
      <c r="O147" s="2262"/>
      <c r="P147" s="2034"/>
      <c r="Q147" s="2034"/>
      <c r="R147" s="2034"/>
      <c r="S147" s="2034"/>
      <c r="T147" s="2034"/>
      <c r="U147" s="2034"/>
      <c r="V147" s="2034"/>
      <c r="W147" s="2034"/>
      <c r="X147" s="2034"/>
      <c r="Y147" s="2034"/>
    </row>
    <row r="148" spans="1:25" ht="38.25">
      <c r="A148" s="2034"/>
      <c r="B148" s="2140"/>
      <c r="C148" s="2140"/>
      <c r="D148" s="2140"/>
      <c r="E148" s="2034"/>
      <c r="F148" s="2034"/>
      <c r="G148" s="2034"/>
      <c r="H148" s="2034"/>
      <c r="I148" s="2034"/>
      <c r="J148" s="2034"/>
      <c r="K148" s="2034"/>
      <c r="L148" s="2144" t="s">
        <v>846</v>
      </c>
      <c r="M148" s="2145">
        <f>+M147-M146</f>
        <v>207.14000000000033</v>
      </c>
      <c r="N148" s="2145">
        <f>+N147-N146</f>
        <v>15128.290000000037</v>
      </c>
      <c r="O148" s="2262"/>
      <c r="P148" s="2034"/>
      <c r="Q148" s="2034"/>
      <c r="R148" s="2140"/>
      <c r="S148" s="2140"/>
      <c r="T148" s="2140"/>
      <c r="U148" s="2140"/>
      <c r="V148" s="2140"/>
      <c r="W148" s="2140"/>
      <c r="X148" s="2140"/>
      <c r="Y148" s="2034"/>
    </row>
    <row r="149" spans="1:25" ht="33.75">
      <c r="A149" s="2034"/>
      <c r="B149" s="2138"/>
      <c r="C149" s="2140"/>
      <c r="D149" s="2140"/>
      <c r="E149" s="2034"/>
      <c r="F149" s="2034"/>
      <c r="G149" s="2034"/>
      <c r="H149" s="2034"/>
      <c r="I149" s="2034"/>
      <c r="J149" s="2034"/>
      <c r="K149" s="2034"/>
      <c r="L149" s="2141"/>
      <c r="M149" s="2141"/>
      <c r="N149" s="2141"/>
      <c r="O149" s="2141"/>
      <c r="P149" s="2034"/>
      <c r="Q149" s="2034"/>
      <c r="R149" s="2138"/>
      <c r="S149" s="2034"/>
      <c r="T149" s="2140"/>
      <c r="U149" s="2140"/>
      <c r="V149" s="2140"/>
      <c r="W149" s="2140"/>
      <c r="X149" s="2140"/>
      <c r="Y149" s="2034"/>
    </row>
    <row r="150" spans="1:25" ht="31.5">
      <c r="A150" s="2034"/>
      <c r="B150" s="2034"/>
      <c r="C150" s="2034"/>
      <c r="D150" s="2034"/>
      <c r="E150" s="2034"/>
      <c r="F150" s="2034"/>
      <c r="G150" s="2034"/>
      <c r="H150" s="2034"/>
      <c r="I150" s="2034"/>
      <c r="J150" s="2034"/>
      <c r="K150" s="2034"/>
      <c r="L150" s="2034"/>
      <c r="M150" s="2034"/>
      <c r="N150" s="2034"/>
      <c r="O150" s="2034"/>
      <c r="P150" s="2034"/>
      <c r="Q150" s="2034"/>
      <c r="R150" s="2034"/>
      <c r="S150" s="2034"/>
      <c r="T150" s="2034"/>
      <c r="U150" s="2034"/>
      <c r="V150" s="2034"/>
      <c r="W150" s="2034"/>
      <c r="X150" s="2034"/>
      <c r="Y150" s="2034"/>
    </row>
    <row r="151" spans="1:25" ht="31.5">
      <c r="A151" s="2034"/>
      <c r="B151" s="2034"/>
      <c r="C151" s="2034"/>
      <c r="D151" s="2034"/>
      <c r="E151" s="2034"/>
      <c r="F151" s="2034"/>
      <c r="G151" s="2034"/>
      <c r="H151" s="2034"/>
      <c r="I151" s="2034"/>
      <c r="J151" s="2034"/>
      <c r="K151" s="2034"/>
      <c r="L151" s="2034"/>
      <c r="M151" s="2034"/>
      <c r="N151" s="2034"/>
      <c r="O151" s="2034"/>
      <c r="P151" s="2034"/>
      <c r="Q151" s="2034"/>
      <c r="R151" s="2034"/>
      <c r="S151" s="2034"/>
      <c r="T151" s="2034"/>
      <c r="U151" s="2034"/>
      <c r="V151" s="2034"/>
      <c r="W151" s="2034"/>
      <c r="X151" s="2034"/>
      <c r="Y151" s="2034"/>
    </row>
    <row r="152" spans="1:25" ht="31.5">
      <c r="A152" s="2034"/>
      <c r="B152" s="2138" t="s">
        <v>849</v>
      </c>
      <c r="C152" s="2139" t="s">
        <v>853</v>
      </c>
      <c r="D152" s="2139"/>
      <c r="E152" s="2034"/>
      <c r="F152" s="2034"/>
      <c r="G152" s="2034"/>
      <c r="H152" s="2034"/>
      <c r="I152" s="2034"/>
      <c r="J152" s="2034"/>
      <c r="K152" s="2034"/>
      <c r="L152" s="2034"/>
      <c r="M152" s="2034"/>
      <c r="N152" s="2034"/>
      <c r="O152" s="2034"/>
      <c r="P152" s="2034"/>
      <c r="Q152" s="2034"/>
      <c r="R152" s="2138" t="s">
        <v>851</v>
      </c>
      <c r="S152" s="2034"/>
      <c r="T152" s="2139" t="s">
        <v>855</v>
      </c>
      <c r="U152" s="2139"/>
      <c r="V152" s="2139"/>
      <c r="W152" s="2139"/>
      <c r="X152" s="2139"/>
      <c r="Y152" s="2034"/>
    </row>
    <row r="153" spans="1:25" ht="31.5">
      <c r="A153" s="2034"/>
      <c r="B153" s="2034"/>
      <c r="C153" s="2034"/>
      <c r="D153" s="2034"/>
      <c r="E153" s="2034"/>
      <c r="F153" s="2034"/>
      <c r="G153" s="2034"/>
      <c r="H153" s="2034"/>
      <c r="I153" s="2034"/>
      <c r="J153" s="2034"/>
      <c r="K153" s="2034"/>
      <c r="L153" s="2034"/>
      <c r="M153" s="2034"/>
      <c r="N153" s="2034"/>
      <c r="O153" s="2034"/>
      <c r="P153" s="2034"/>
      <c r="Q153" s="2034"/>
      <c r="R153" s="2034"/>
      <c r="S153" s="2034"/>
      <c r="T153" s="2034"/>
      <c r="U153" s="2034"/>
      <c r="V153" s="2034"/>
      <c r="W153" s="2034"/>
      <c r="X153" s="2034"/>
      <c r="Y153" s="2034"/>
    </row>
  </sheetData>
  <mergeCells count="3">
    <mergeCell ref="L144:O144"/>
    <mergeCell ref="O146:O148"/>
    <mergeCell ref="I3:P3"/>
  </mergeCells>
  <conditionalFormatting sqref="B84">
    <cfRule type="duplicateValues" dxfId="687" priority="230"/>
  </conditionalFormatting>
  <conditionalFormatting sqref="B84">
    <cfRule type="duplicateValues" dxfId="686" priority="229"/>
  </conditionalFormatting>
  <conditionalFormatting sqref="B84">
    <cfRule type="duplicateValues" dxfId="685" priority="228"/>
  </conditionalFormatting>
  <conditionalFormatting sqref="B33">
    <cfRule type="duplicateValues" dxfId="684" priority="224"/>
  </conditionalFormatting>
  <conditionalFormatting sqref="B33">
    <cfRule type="duplicateValues" dxfId="683" priority="225"/>
  </conditionalFormatting>
  <conditionalFormatting sqref="B33">
    <cfRule type="duplicateValues" dxfId="682" priority="226"/>
  </conditionalFormatting>
  <conditionalFormatting sqref="B33">
    <cfRule type="duplicateValues" dxfId="681" priority="227"/>
  </conditionalFormatting>
  <conditionalFormatting sqref="B65">
    <cfRule type="duplicateValues" dxfId="680" priority="236"/>
  </conditionalFormatting>
  <conditionalFormatting sqref="B65">
    <cfRule type="duplicateValues" dxfId="679" priority="237"/>
  </conditionalFormatting>
  <conditionalFormatting sqref="B32">
    <cfRule type="duplicateValues" dxfId="678" priority="239"/>
  </conditionalFormatting>
  <conditionalFormatting sqref="B47">
    <cfRule type="duplicateValues" dxfId="677" priority="208"/>
  </conditionalFormatting>
  <conditionalFormatting sqref="B47">
    <cfRule type="duplicateValues" dxfId="676" priority="209"/>
  </conditionalFormatting>
  <conditionalFormatting sqref="B47">
    <cfRule type="duplicateValues" dxfId="675" priority="210"/>
  </conditionalFormatting>
  <conditionalFormatting sqref="B47">
    <cfRule type="duplicateValues" dxfId="674" priority="207"/>
  </conditionalFormatting>
  <conditionalFormatting sqref="B47">
    <cfRule type="duplicateValues" dxfId="673" priority="206"/>
  </conditionalFormatting>
  <conditionalFormatting sqref="B47">
    <cfRule type="duplicateValues" dxfId="672" priority="211"/>
  </conditionalFormatting>
  <conditionalFormatting sqref="B124">
    <cfRule type="duplicateValues" dxfId="671" priority="202"/>
  </conditionalFormatting>
  <conditionalFormatting sqref="B124">
    <cfRule type="duplicateValues" dxfId="670" priority="203"/>
  </conditionalFormatting>
  <conditionalFormatting sqref="B124">
    <cfRule type="duplicateValues" dxfId="669" priority="204"/>
  </conditionalFormatting>
  <conditionalFormatting sqref="B124">
    <cfRule type="duplicateValues" dxfId="668" priority="201"/>
  </conditionalFormatting>
  <conditionalFormatting sqref="B124">
    <cfRule type="duplicateValues" dxfId="667" priority="205"/>
  </conditionalFormatting>
  <conditionalFormatting sqref="B121">
    <cfRule type="duplicateValues" dxfId="666" priority="197"/>
  </conditionalFormatting>
  <conditionalFormatting sqref="B121">
    <cfRule type="duplicateValues" dxfId="665" priority="198"/>
  </conditionalFormatting>
  <conditionalFormatting sqref="B121">
    <cfRule type="duplicateValues" dxfId="664" priority="199"/>
  </conditionalFormatting>
  <conditionalFormatting sqref="B121">
    <cfRule type="duplicateValues" dxfId="663" priority="196"/>
  </conditionalFormatting>
  <conditionalFormatting sqref="B121">
    <cfRule type="duplicateValues" dxfId="662" priority="200"/>
  </conditionalFormatting>
  <conditionalFormatting sqref="B123">
    <cfRule type="duplicateValues" dxfId="661" priority="194"/>
  </conditionalFormatting>
  <conditionalFormatting sqref="B123">
    <cfRule type="duplicateValues" dxfId="660" priority="193"/>
  </conditionalFormatting>
  <conditionalFormatting sqref="B123">
    <cfRule type="duplicateValues" dxfId="659" priority="192"/>
  </conditionalFormatting>
  <conditionalFormatting sqref="B123">
    <cfRule type="duplicateValues" dxfId="658" priority="195"/>
  </conditionalFormatting>
  <conditionalFormatting sqref="B123">
    <cfRule type="duplicateValues" dxfId="657" priority="191"/>
  </conditionalFormatting>
  <conditionalFormatting sqref="B120">
    <cfRule type="duplicateValues" dxfId="656" priority="187"/>
  </conditionalFormatting>
  <conditionalFormatting sqref="B120">
    <cfRule type="duplicateValues" dxfId="655" priority="188"/>
  </conditionalFormatting>
  <conditionalFormatting sqref="B120">
    <cfRule type="duplicateValues" dxfId="654" priority="189"/>
  </conditionalFormatting>
  <conditionalFormatting sqref="B120">
    <cfRule type="duplicateValues" dxfId="653" priority="186"/>
  </conditionalFormatting>
  <conditionalFormatting sqref="B120">
    <cfRule type="duplicateValues" dxfId="652" priority="190"/>
  </conditionalFormatting>
  <conditionalFormatting sqref="B122">
    <cfRule type="duplicateValues" dxfId="651" priority="185"/>
  </conditionalFormatting>
  <conditionalFormatting sqref="B92">
    <cfRule type="duplicateValues" dxfId="650" priority="240"/>
  </conditionalFormatting>
  <conditionalFormatting sqref="B95">
    <cfRule type="duplicateValues" dxfId="649" priority="181"/>
  </conditionalFormatting>
  <conditionalFormatting sqref="B95">
    <cfRule type="duplicateValues" dxfId="648" priority="182"/>
  </conditionalFormatting>
  <conditionalFormatting sqref="B95">
    <cfRule type="duplicateValues" dxfId="647" priority="183"/>
  </conditionalFormatting>
  <conditionalFormatting sqref="B95">
    <cfRule type="duplicateValues" dxfId="646" priority="180"/>
  </conditionalFormatting>
  <conditionalFormatting sqref="B95">
    <cfRule type="duplicateValues" dxfId="645" priority="179"/>
  </conditionalFormatting>
  <conditionalFormatting sqref="B95">
    <cfRule type="duplicateValues" dxfId="644" priority="184"/>
  </conditionalFormatting>
  <conditionalFormatting sqref="B113">
    <cfRule type="duplicateValues" dxfId="643" priority="175"/>
  </conditionalFormatting>
  <conditionalFormatting sqref="B113">
    <cfRule type="duplicateValues" dxfId="642" priority="176"/>
  </conditionalFormatting>
  <conditionalFormatting sqref="B113">
    <cfRule type="duplicateValues" dxfId="641" priority="177"/>
  </conditionalFormatting>
  <conditionalFormatting sqref="B113">
    <cfRule type="duplicateValues" dxfId="640" priority="174"/>
  </conditionalFormatting>
  <conditionalFormatting sqref="B113">
    <cfRule type="duplicateValues" dxfId="639" priority="173"/>
  </conditionalFormatting>
  <conditionalFormatting sqref="B113">
    <cfRule type="duplicateValues" dxfId="638" priority="178"/>
  </conditionalFormatting>
  <conditionalFormatting sqref="B49">
    <cfRule type="duplicateValues" dxfId="637" priority="242"/>
  </conditionalFormatting>
  <conditionalFormatting sqref="B83">
    <cfRule type="duplicateValues" dxfId="636" priority="169"/>
  </conditionalFormatting>
  <conditionalFormatting sqref="B83">
    <cfRule type="duplicateValues" dxfId="635" priority="170"/>
  </conditionalFormatting>
  <conditionalFormatting sqref="B83">
    <cfRule type="duplicateValues" dxfId="634" priority="171"/>
  </conditionalFormatting>
  <conditionalFormatting sqref="B83">
    <cfRule type="duplicateValues" dxfId="633" priority="168"/>
  </conditionalFormatting>
  <conditionalFormatting sqref="B83">
    <cfRule type="duplicateValues" dxfId="632" priority="172"/>
  </conditionalFormatting>
  <conditionalFormatting sqref="B56:B59">
    <cfRule type="duplicateValues" dxfId="631" priority="243"/>
  </conditionalFormatting>
  <conditionalFormatting sqref="B56:B59">
    <cfRule type="duplicateValues" dxfId="630" priority="244"/>
  </conditionalFormatting>
  <conditionalFormatting sqref="B66">
    <cfRule type="duplicateValues" dxfId="629" priority="245"/>
  </conditionalFormatting>
  <conditionalFormatting sqref="B89:B91">
    <cfRule type="duplicateValues" dxfId="628" priority="246"/>
  </conditionalFormatting>
  <conditionalFormatting sqref="B54:B55">
    <cfRule type="duplicateValues" dxfId="627" priority="165"/>
  </conditionalFormatting>
  <conditionalFormatting sqref="B54:B55">
    <cfRule type="duplicateValues" dxfId="626" priority="166"/>
  </conditionalFormatting>
  <conditionalFormatting sqref="B54:B55">
    <cfRule type="duplicateValues" dxfId="625" priority="164"/>
  </conditionalFormatting>
  <conditionalFormatting sqref="B54:B55">
    <cfRule type="duplicateValues" dxfId="624" priority="167"/>
  </conditionalFormatting>
  <conditionalFormatting sqref="B125:B136 B85:B88 B50:B53 B93:B94 B48 B6:B32 B96:B112 B114:B119 B60:B64 B67:B82 B34:B46">
    <cfRule type="duplicateValues" dxfId="623" priority="7425"/>
  </conditionalFormatting>
  <conditionalFormatting sqref="B125:B136">
    <cfRule type="duplicateValues" dxfId="622" priority="7437"/>
  </conditionalFormatting>
  <conditionalFormatting sqref="B125:B136 B93:B94 B50:B53 B48 B6:B32 B96:B112 B114:B119 B60:B64 B84:B91 B67:B82 B34:B46">
    <cfRule type="duplicateValues" dxfId="621" priority="7439"/>
  </conditionalFormatting>
  <conditionalFormatting sqref="B125:B136 B93:B94 B50:B53 B48 B96:B112 B114:B119 B84:B91 B60:B82 B6:B46">
    <cfRule type="duplicateValues" dxfId="620" priority="7451"/>
  </conditionalFormatting>
  <conditionalFormatting sqref="B125:B136 B93:B94 B96:B112 B114:B119">
    <cfRule type="duplicateValues" dxfId="619" priority="7461"/>
  </conditionalFormatting>
  <conditionalFormatting sqref="B125:B136 B85:B88 B50:B53 B93:B94 B48 B60:B64 B67:B82 B96:B112 B114:B119 B34:B46 B6:B31">
    <cfRule type="duplicateValues" dxfId="618" priority="7466"/>
  </conditionalFormatting>
  <conditionalFormatting sqref="O84">
    <cfRule type="duplicateValues" dxfId="617" priority="148"/>
  </conditionalFormatting>
  <conditionalFormatting sqref="O84">
    <cfRule type="duplicateValues" dxfId="616" priority="147"/>
  </conditionalFormatting>
  <conditionalFormatting sqref="O84">
    <cfRule type="duplicateValues" dxfId="615" priority="146"/>
  </conditionalFormatting>
  <conditionalFormatting sqref="O33">
    <cfRule type="duplicateValues" dxfId="614" priority="142"/>
  </conditionalFormatting>
  <conditionalFormatting sqref="O33">
    <cfRule type="duplicateValues" dxfId="613" priority="143"/>
  </conditionalFormatting>
  <conditionalFormatting sqref="O33">
    <cfRule type="duplicateValues" dxfId="612" priority="144"/>
  </conditionalFormatting>
  <conditionalFormatting sqref="O33">
    <cfRule type="duplicateValues" dxfId="611" priority="145"/>
  </conditionalFormatting>
  <conditionalFormatting sqref="O65">
    <cfRule type="duplicateValues" dxfId="610" priority="149"/>
  </conditionalFormatting>
  <conditionalFormatting sqref="O65">
    <cfRule type="duplicateValues" dxfId="609" priority="150"/>
  </conditionalFormatting>
  <conditionalFormatting sqref="O32">
    <cfRule type="duplicateValues" dxfId="608" priority="151"/>
  </conditionalFormatting>
  <conditionalFormatting sqref="O47">
    <cfRule type="duplicateValues" dxfId="607" priority="138"/>
  </conditionalFormatting>
  <conditionalFormatting sqref="O47">
    <cfRule type="duplicateValues" dxfId="606" priority="139"/>
  </conditionalFormatting>
  <conditionalFormatting sqref="O47">
    <cfRule type="duplicateValues" dxfId="605" priority="140"/>
  </conditionalFormatting>
  <conditionalFormatting sqref="O47">
    <cfRule type="duplicateValues" dxfId="604" priority="137"/>
  </conditionalFormatting>
  <conditionalFormatting sqref="O47">
    <cfRule type="duplicateValues" dxfId="603" priority="136"/>
  </conditionalFormatting>
  <conditionalFormatting sqref="O47">
    <cfRule type="duplicateValues" dxfId="602" priority="141"/>
  </conditionalFormatting>
  <conditionalFormatting sqref="O124">
    <cfRule type="duplicateValues" dxfId="601" priority="132"/>
  </conditionalFormatting>
  <conditionalFormatting sqref="O124">
    <cfRule type="duplicateValues" dxfId="600" priority="133"/>
  </conditionalFormatting>
  <conditionalFormatting sqref="O124">
    <cfRule type="duplicateValues" dxfId="599" priority="134"/>
  </conditionalFormatting>
  <conditionalFormatting sqref="O124">
    <cfRule type="duplicateValues" dxfId="598" priority="131"/>
  </conditionalFormatting>
  <conditionalFormatting sqref="O124">
    <cfRule type="duplicateValues" dxfId="597" priority="135"/>
  </conditionalFormatting>
  <conditionalFormatting sqref="O121">
    <cfRule type="duplicateValues" dxfId="596" priority="127"/>
  </conditionalFormatting>
  <conditionalFormatting sqref="O121">
    <cfRule type="duplicateValues" dxfId="595" priority="128"/>
  </conditionalFormatting>
  <conditionalFormatting sqref="O121">
    <cfRule type="duplicateValues" dxfId="594" priority="129"/>
  </conditionalFormatting>
  <conditionalFormatting sqref="O121">
    <cfRule type="duplicateValues" dxfId="593" priority="126"/>
  </conditionalFormatting>
  <conditionalFormatting sqref="O121">
    <cfRule type="duplicateValues" dxfId="592" priority="130"/>
  </conditionalFormatting>
  <conditionalFormatting sqref="O123">
    <cfRule type="duplicateValues" dxfId="591" priority="124"/>
  </conditionalFormatting>
  <conditionalFormatting sqref="O123">
    <cfRule type="duplicateValues" dxfId="590" priority="123"/>
  </conditionalFormatting>
  <conditionalFormatting sqref="O123">
    <cfRule type="duplicateValues" dxfId="589" priority="122"/>
  </conditionalFormatting>
  <conditionalFormatting sqref="O123">
    <cfRule type="duplicateValues" dxfId="588" priority="125"/>
  </conditionalFormatting>
  <conditionalFormatting sqref="O123">
    <cfRule type="duplicateValues" dxfId="587" priority="121"/>
  </conditionalFormatting>
  <conditionalFormatting sqref="O120">
    <cfRule type="duplicateValues" dxfId="586" priority="117"/>
  </conditionalFormatting>
  <conditionalFormatting sqref="O120">
    <cfRule type="duplicateValues" dxfId="585" priority="118"/>
  </conditionalFormatting>
  <conditionalFormatting sqref="O120">
    <cfRule type="duplicateValues" dxfId="584" priority="119"/>
  </conditionalFormatting>
  <conditionalFormatting sqref="O120">
    <cfRule type="duplicateValues" dxfId="583" priority="116"/>
  </conditionalFormatting>
  <conditionalFormatting sqref="O120">
    <cfRule type="duplicateValues" dxfId="582" priority="120"/>
  </conditionalFormatting>
  <conditionalFormatting sqref="O122">
    <cfRule type="duplicateValues" dxfId="581" priority="115"/>
  </conditionalFormatting>
  <conditionalFormatting sqref="O92">
    <cfRule type="duplicateValues" dxfId="580" priority="152"/>
  </conditionalFormatting>
  <conditionalFormatting sqref="O95">
    <cfRule type="duplicateValues" dxfId="579" priority="111"/>
  </conditionalFormatting>
  <conditionalFormatting sqref="O95">
    <cfRule type="duplicateValues" dxfId="578" priority="112"/>
  </conditionalFormatting>
  <conditionalFormatting sqref="O95">
    <cfRule type="duplicateValues" dxfId="577" priority="113"/>
  </conditionalFormatting>
  <conditionalFormatting sqref="O95">
    <cfRule type="duplicateValues" dxfId="576" priority="110"/>
  </conditionalFormatting>
  <conditionalFormatting sqref="O95">
    <cfRule type="duplicateValues" dxfId="575" priority="109"/>
  </conditionalFormatting>
  <conditionalFormatting sqref="O95">
    <cfRule type="duplicateValues" dxfId="574" priority="114"/>
  </conditionalFormatting>
  <conditionalFormatting sqref="O113">
    <cfRule type="duplicateValues" dxfId="573" priority="105"/>
  </conditionalFormatting>
  <conditionalFormatting sqref="O113">
    <cfRule type="duplicateValues" dxfId="572" priority="106"/>
  </conditionalFormatting>
  <conditionalFormatting sqref="O113">
    <cfRule type="duplicateValues" dxfId="571" priority="107"/>
  </conditionalFormatting>
  <conditionalFormatting sqref="O113">
    <cfRule type="duplicateValues" dxfId="570" priority="104"/>
  </conditionalFormatting>
  <conditionalFormatting sqref="O113">
    <cfRule type="duplicateValues" dxfId="569" priority="103"/>
  </conditionalFormatting>
  <conditionalFormatting sqref="O113">
    <cfRule type="duplicateValues" dxfId="568" priority="108"/>
  </conditionalFormatting>
  <conditionalFormatting sqref="O49">
    <cfRule type="duplicateValues" dxfId="567" priority="153"/>
  </conditionalFormatting>
  <conditionalFormatting sqref="O83">
    <cfRule type="duplicateValues" dxfId="566" priority="99"/>
  </conditionalFormatting>
  <conditionalFormatting sqref="O83">
    <cfRule type="duplicateValues" dxfId="565" priority="100"/>
  </conditionalFormatting>
  <conditionalFormatting sqref="O83">
    <cfRule type="duplicateValues" dxfId="564" priority="101"/>
  </conditionalFormatting>
  <conditionalFormatting sqref="O83">
    <cfRule type="duplicateValues" dxfId="563" priority="98"/>
  </conditionalFormatting>
  <conditionalFormatting sqref="O83">
    <cfRule type="duplicateValues" dxfId="562" priority="102"/>
  </conditionalFormatting>
  <conditionalFormatting sqref="O56:O59">
    <cfRule type="duplicateValues" dxfId="561" priority="154"/>
  </conditionalFormatting>
  <conditionalFormatting sqref="O56:O59">
    <cfRule type="duplicateValues" dxfId="560" priority="155"/>
  </conditionalFormatting>
  <conditionalFormatting sqref="O66">
    <cfRule type="duplicateValues" dxfId="559" priority="156"/>
  </conditionalFormatting>
  <conditionalFormatting sqref="O89:O91">
    <cfRule type="duplicateValues" dxfId="558" priority="157"/>
  </conditionalFormatting>
  <conditionalFormatting sqref="O54:O55">
    <cfRule type="duplicateValues" dxfId="557" priority="95"/>
  </conditionalFormatting>
  <conditionalFormatting sqref="O54:O55">
    <cfRule type="duplicateValues" dxfId="556" priority="96"/>
  </conditionalFormatting>
  <conditionalFormatting sqref="O54:O55">
    <cfRule type="duplicateValues" dxfId="555" priority="94"/>
  </conditionalFormatting>
  <conditionalFormatting sqref="O54:O55">
    <cfRule type="duplicateValues" dxfId="554" priority="97"/>
  </conditionalFormatting>
  <conditionalFormatting sqref="O125:O136 O85:O88 O50:O53 O93:O94 O48 O6:O32 O96:O112 O114:O119 O60:O64 O67:O82 O34:O46">
    <cfRule type="duplicateValues" dxfId="553" priority="158"/>
  </conditionalFormatting>
  <conditionalFormatting sqref="O125:O136">
    <cfRule type="duplicateValues" dxfId="552" priority="159"/>
  </conditionalFormatting>
  <conditionalFormatting sqref="O125:O136 O93:O94 O50:O53 O48 O6:O32 O96:O112 O114:O119 O60:O64 O84:O91 O67:O82 O34:O46">
    <cfRule type="duplicateValues" dxfId="551" priority="160"/>
  </conditionalFormatting>
  <conditionalFormatting sqref="O125:O136 O93:O94 O50:O53 O48 O96:O112 O114:O119 O84:O91 O60:O82 O6:O46">
    <cfRule type="duplicateValues" dxfId="550" priority="161"/>
  </conditionalFormatting>
  <conditionalFormatting sqref="O125:O136 O93:O94 O96:O112 O114:O119">
    <cfRule type="duplicateValues" dxfId="549" priority="162"/>
  </conditionalFormatting>
  <conditionalFormatting sqref="O125:O136 O85:O88 O50:O53 O93:O94 O48 O60:O64 O67:O82 O96:O112 O114:O119 O34:O46 O6:O31">
    <cfRule type="duplicateValues" dxfId="548" priority="163"/>
  </conditionalFormatting>
  <conditionalFormatting sqref="A33">
    <cfRule type="duplicateValues" dxfId="547" priority="72"/>
  </conditionalFormatting>
  <conditionalFormatting sqref="A33">
    <cfRule type="duplicateValues" dxfId="546" priority="73"/>
  </conditionalFormatting>
  <conditionalFormatting sqref="A33">
    <cfRule type="duplicateValues" dxfId="545" priority="74"/>
  </conditionalFormatting>
  <conditionalFormatting sqref="A33">
    <cfRule type="duplicateValues" dxfId="544" priority="75"/>
  </conditionalFormatting>
  <conditionalFormatting sqref="A32">
    <cfRule type="duplicateValues" dxfId="543" priority="81"/>
  </conditionalFormatting>
  <conditionalFormatting sqref="A121">
    <cfRule type="duplicateValues" dxfId="542" priority="57"/>
  </conditionalFormatting>
  <conditionalFormatting sqref="A121">
    <cfRule type="duplicateValues" dxfId="541" priority="58"/>
  </conditionalFormatting>
  <conditionalFormatting sqref="A121">
    <cfRule type="duplicateValues" dxfId="540" priority="59"/>
  </conditionalFormatting>
  <conditionalFormatting sqref="A121">
    <cfRule type="duplicateValues" dxfId="539" priority="56"/>
  </conditionalFormatting>
  <conditionalFormatting sqref="A121">
    <cfRule type="duplicateValues" dxfId="538" priority="60"/>
  </conditionalFormatting>
  <conditionalFormatting sqref="A120">
    <cfRule type="duplicateValues" dxfId="537" priority="47"/>
  </conditionalFormatting>
  <conditionalFormatting sqref="A120">
    <cfRule type="duplicateValues" dxfId="536" priority="48"/>
  </conditionalFormatting>
  <conditionalFormatting sqref="A120">
    <cfRule type="duplicateValues" dxfId="535" priority="49"/>
  </conditionalFormatting>
  <conditionalFormatting sqref="A120">
    <cfRule type="duplicateValues" dxfId="534" priority="46"/>
  </conditionalFormatting>
  <conditionalFormatting sqref="A120">
    <cfRule type="duplicateValues" dxfId="533" priority="50"/>
  </conditionalFormatting>
  <conditionalFormatting sqref="A95">
    <cfRule type="duplicateValues" dxfId="532" priority="41"/>
  </conditionalFormatting>
  <conditionalFormatting sqref="A95">
    <cfRule type="duplicateValues" dxfId="531" priority="42"/>
  </conditionalFormatting>
  <conditionalFormatting sqref="A95">
    <cfRule type="duplicateValues" dxfId="530" priority="43"/>
  </conditionalFormatting>
  <conditionalFormatting sqref="A95">
    <cfRule type="duplicateValues" dxfId="529" priority="40"/>
  </conditionalFormatting>
  <conditionalFormatting sqref="A95">
    <cfRule type="duplicateValues" dxfId="528" priority="39"/>
  </conditionalFormatting>
  <conditionalFormatting sqref="A95">
    <cfRule type="duplicateValues" dxfId="527" priority="44"/>
  </conditionalFormatting>
  <conditionalFormatting sqref="A113">
    <cfRule type="duplicateValues" dxfId="526" priority="35"/>
  </conditionalFormatting>
  <conditionalFormatting sqref="A113">
    <cfRule type="duplicateValues" dxfId="525" priority="36"/>
  </conditionalFormatting>
  <conditionalFormatting sqref="A113">
    <cfRule type="duplicateValues" dxfId="524" priority="37"/>
  </conditionalFormatting>
  <conditionalFormatting sqref="A113">
    <cfRule type="duplicateValues" dxfId="523" priority="34"/>
  </conditionalFormatting>
  <conditionalFormatting sqref="A113">
    <cfRule type="duplicateValues" dxfId="522" priority="33"/>
  </conditionalFormatting>
  <conditionalFormatting sqref="A113">
    <cfRule type="duplicateValues" dxfId="521" priority="38"/>
  </conditionalFormatting>
  <conditionalFormatting sqref="A89">
    <cfRule type="duplicateValues" dxfId="520" priority="87"/>
  </conditionalFormatting>
  <conditionalFormatting sqref="A54">
    <cfRule type="duplicateValues" dxfId="519" priority="25"/>
  </conditionalFormatting>
  <conditionalFormatting sqref="A54">
    <cfRule type="duplicateValues" dxfId="518" priority="26"/>
  </conditionalFormatting>
  <conditionalFormatting sqref="A54">
    <cfRule type="duplicateValues" dxfId="517" priority="24"/>
  </conditionalFormatting>
  <conditionalFormatting sqref="A54">
    <cfRule type="duplicateValues" dxfId="516" priority="27"/>
  </conditionalFormatting>
  <conditionalFormatting sqref="A131:A136 A85:A88 A50:A53 A93:A94 A96:A112 A114:A119 A67:A77 A34:A44 A6:A32">
    <cfRule type="duplicateValues" dxfId="515" priority="88"/>
  </conditionalFormatting>
  <conditionalFormatting sqref="A131:A136">
    <cfRule type="duplicateValues" dxfId="514" priority="89"/>
  </conditionalFormatting>
  <conditionalFormatting sqref="A131:A136 A93:A94 A50:A53 A96:A112 A114:A119 A85:A89 A67:A77 A34:A44 A6:A32">
    <cfRule type="duplicateValues" dxfId="513" priority="90"/>
  </conditionalFormatting>
  <conditionalFormatting sqref="A131:A136 A93:A94 A50:A53 A96:A112 A114:A119 A85:A89 A67:A77 A6:A44">
    <cfRule type="duplicateValues" dxfId="512" priority="91"/>
  </conditionalFormatting>
  <conditionalFormatting sqref="A131:A136 A93:A94 A96:A112 A114:A119">
    <cfRule type="duplicateValues" dxfId="511" priority="92"/>
  </conditionalFormatting>
  <conditionalFormatting sqref="A131:A136 A85:A88 A50:A53 A93:A94 A67:A77 A96:A112 A114:A119 A34:A44 A6:A31">
    <cfRule type="duplicateValues" dxfId="510" priority="93"/>
  </conditionalFormatting>
  <conditionalFormatting sqref="A33">
    <cfRule type="duplicateValues" dxfId="509" priority="21"/>
  </conditionalFormatting>
  <conditionalFormatting sqref="A33">
    <cfRule type="duplicateValues" dxfId="508" priority="22"/>
  </conditionalFormatting>
  <conditionalFormatting sqref="A33">
    <cfRule type="duplicateValues" dxfId="507" priority="23"/>
  </conditionalFormatting>
  <conditionalFormatting sqref="A45:A49">
    <cfRule type="duplicateValues" dxfId="506" priority="17"/>
  </conditionalFormatting>
  <conditionalFormatting sqref="A45:A49">
    <cfRule type="duplicateValues" dxfId="505" priority="18"/>
  </conditionalFormatting>
  <conditionalFormatting sqref="A45:A49">
    <cfRule type="duplicateValues" dxfId="504" priority="19"/>
  </conditionalFormatting>
  <conditionalFormatting sqref="A45:A49">
    <cfRule type="duplicateValues" dxfId="503" priority="20"/>
  </conditionalFormatting>
  <conditionalFormatting sqref="A55:A66">
    <cfRule type="duplicateValues" dxfId="502" priority="14"/>
  </conditionalFormatting>
  <conditionalFormatting sqref="A55:A66">
    <cfRule type="duplicateValues" dxfId="501" priority="15"/>
  </conditionalFormatting>
  <conditionalFormatting sqref="A55:A66">
    <cfRule type="duplicateValues" dxfId="500" priority="13"/>
  </conditionalFormatting>
  <conditionalFormatting sqref="A55:A66">
    <cfRule type="duplicateValues" dxfId="499" priority="16"/>
  </conditionalFormatting>
  <conditionalFormatting sqref="A78:A84">
    <cfRule type="duplicateValues" dxfId="498" priority="9"/>
  </conditionalFormatting>
  <conditionalFormatting sqref="A78:A84">
    <cfRule type="duplicateValues" dxfId="497" priority="10"/>
  </conditionalFormatting>
  <conditionalFormatting sqref="A78:A84">
    <cfRule type="duplicateValues" dxfId="496" priority="11"/>
  </conditionalFormatting>
  <conditionalFormatting sqref="A78:A84">
    <cfRule type="duplicateValues" dxfId="495" priority="12"/>
  </conditionalFormatting>
  <conditionalFormatting sqref="A90:A92">
    <cfRule type="duplicateValues" dxfId="494" priority="6"/>
  </conditionalFormatting>
  <conditionalFormatting sqref="A90:A92">
    <cfRule type="duplicateValues" dxfId="493" priority="7"/>
  </conditionalFormatting>
  <conditionalFormatting sqref="A90:A92">
    <cfRule type="duplicateValues" dxfId="492" priority="8"/>
  </conditionalFormatting>
  <conditionalFormatting sqref="A122:A130">
    <cfRule type="duplicateValues" dxfId="491" priority="2"/>
  </conditionalFormatting>
  <conditionalFormatting sqref="A122:A130">
    <cfRule type="duplicateValues" dxfId="490" priority="3"/>
  </conditionalFormatting>
  <conditionalFormatting sqref="A122:A130">
    <cfRule type="duplicateValues" dxfId="489" priority="4"/>
  </conditionalFormatting>
  <conditionalFormatting sqref="A122:A130">
    <cfRule type="duplicateValues" dxfId="488" priority="1"/>
  </conditionalFormatting>
  <conditionalFormatting sqref="A122:A130">
    <cfRule type="duplicateValues" dxfId="487" priority="5"/>
  </conditionalFormatting>
  <pageMargins left="0.70866141732283472" right="0.70866141732283472" top="0.74803149606299213" bottom="0.74803149606299213" header="0.31496062992125984" footer="0.31496062992125984"/>
  <pageSetup paperSize="5" scale="19" orientation="landscape" horizontalDpi="4294967293" verticalDpi="0" r:id="rId1"/>
  <rowBreaks count="1" manualBreakCount="1">
    <brk id="68" max="24"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35BEA-7F0B-4EFC-9360-12ABF384718E}">
  <dimension ref="B3:I76"/>
  <sheetViews>
    <sheetView topLeftCell="A18" workbookViewId="0">
      <selection activeCell="E29" sqref="E29"/>
    </sheetView>
  </sheetViews>
  <sheetFormatPr baseColWidth="10" defaultRowHeight="15"/>
  <cols>
    <col min="3" max="3" width="43.85546875" customWidth="1"/>
    <col min="4" max="4" width="27" bestFit="1" customWidth="1"/>
    <col min="5" max="5" width="27.28515625" bestFit="1" customWidth="1"/>
    <col min="6" max="6" width="15.42578125" bestFit="1" customWidth="1"/>
    <col min="7" max="7" width="23" bestFit="1" customWidth="1"/>
    <col min="8" max="8" width="29.7109375" bestFit="1" customWidth="1"/>
  </cols>
  <sheetData>
    <row r="3" spans="2:8" ht="18.75">
      <c r="B3" s="2021"/>
      <c r="C3" s="2021"/>
      <c r="D3" s="2021"/>
      <c r="E3" s="2021"/>
      <c r="F3" s="2021"/>
      <c r="G3" s="2021"/>
      <c r="H3" s="2021"/>
    </row>
    <row r="4" spans="2:8" ht="18.75">
      <c r="B4" s="2021"/>
      <c r="C4" s="2264" t="s">
        <v>830</v>
      </c>
      <c r="D4" s="2264"/>
      <c r="E4" s="2264"/>
      <c r="F4" s="2264"/>
      <c r="G4" s="2021"/>
      <c r="H4" s="2021"/>
    </row>
    <row r="5" spans="2:8" ht="18.75">
      <c r="B5" s="2021"/>
      <c r="C5" s="2021"/>
      <c r="D5" s="2021"/>
      <c r="E5" s="2021"/>
      <c r="F5" s="2021"/>
      <c r="G5" s="2021"/>
      <c r="H5" s="2021"/>
    </row>
    <row r="6" spans="2:8" ht="18.75">
      <c r="B6" s="2021"/>
      <c r="C6" s="2021"/>
      <c r="D6" s="2021"/>
      <c r="E6" s="2021"/>
      <c r="F6" s="2021"/>
      <c r="G6" s="2021"/>
      <c r="H6" s="2021"/>
    </row>
    <row r="7" spans="2:8" ht="18.75">
      <c r="B7" s="2021"/>
      <c r="C7" s="2265" t="s">
        <v>831</v>
      </c>
      <c r="D7" s="2265"/>
      <c r="E7" s="2021"/>
      <c r="F7" s="2021"/>
      <c r="G7" s="2021"/>
      <c r="H7" s="2021"/>
    </row>
    <row r="8" spans="2:8" ht="18.75">
      <c r="B8" s="2021"/>
      <c r="C8" s="2021"/>
      <c r="D8" s="2021"/>
      <c r="E8" s="2021"/>
      <c r="F8" s="2021"/>
      <c r="G8" s="2021"/>
      <c r="H8" s="2021"/>
    </row>
    <row r="9" spans="2:8" ht="18.75">
      <c r="B9" s="2021"/>
      <c r="C9" s="2021"/>
      <c r="D9" s="2021"/>
      <c r="E9" s="2021"/>
      <c r="F9" s="2021"/>
      <c r="G9" s="2021"/>
      <c r="H9" s="2021"/>
    </row>
    <row r="10" spans="2:8" ht="18.75">
      <c r="B10" s="2021"/>
      <c r="C10" s="2022" t="s">
        <v>832</v>
      </c>
      <c r="D10" s="2023" t="s">
        <v>833</v>
      </c>
      <c r="E10" s="2021"/>
      <c r="F10" s="2021"/>
      <c r="G10" s="2021"/>
      <c r="H10" s="2021"/>
    </row>
    <row r="11" spans="2:8" ht="18.75">
      <c r="B11" s="2021"/>
      <c r="C11" s="2021"/>
      <c r="D11" s="2021"/>
      <c r="E11" s="2021"/>
      <c r="F11" s="2021"/>
      <c r="G11" s="2021"/>
      <c r="H11" s="2021"/>
    </row>
    <row r="12" spans="2:8" ht="18.75">
      <c r="B12" s="2021"/>
      <c r="C12" s="2024" t="s">
        <v>834</v>
      </c>
      <c r="D12" s="2024" t="s">
        <v>835</v>
      </c>
      <c r="E12" s="2024" t="s">
        <v>836</v>
      </c>
      <c r="F12" s="2024" t="s">
        <v>837</v>
      </c>
      <c r="G12" s="2024" t="s">
        <v>838</v>
      </c>
      <c r="H12" s="2021"/>
    </row>
    <row r="13" spans="2:8" ht="18.75">
      <c r="B13" s="2021"/>
      <c r="C13" s="2021"/>
      <c r="D13" s="2021"/>
      <c r="E13" s="2021"/>
      <c r="F13" s="2021"/>
      <c r="G13" s="2021"/>
      <c r="H13" s="2021"/>
    </row>
    <row r="14" spans="2:8" ht="18.75">
      <c r="B14" s="2021"/>
      <c r="C14" s="2025" t="s">
        <v>839</v>
      </c>
      <c r="D14" s="2026">
        <v>98.22</v>
      </c>
      <c r="E14" s="2026">
        <v>2987.53</v>
      </c>
      <c r="F14" s="2026">
        <v>250</v>
      </c>
      <c r="G14" s="2026">
        <f>+E14+F14</f>
        <v>3237.53</v>
      </c>
      <c r="H14" s="2021"/>
    </row>
    <row r="15" spans="2:8" ht="18.75">
      <c r="B15" s="2021"/>
      <c r="C15" s="2027" t="s">
        <v>840</v>
      </c>
      <c r="D15" s="2028">
        <v>101.18</v>
      </c>
      <c r="E15" s="2028">
        <v>3077.56</v>
      </c>
      <c r="F15" s="2028">
        <v>250</v>
      </c>
      <c r="G15" s="2028">
        <f>+E15+F15</f>
        <v>3327.56</v>
      </c>
      <c r="H15" s="2021"/>
    </row>
    <row r="16" spans="2:8" ht="18.75">
      <c r="B16" s="2021"/>
      <c r="C16" s="2025" t="s">
        <v>841</v>
      </c>
      <c r="D16" s="2026">
        <v>92.47</v>
      </c>
      <c r="E16" s="2026">
        <v>2812.63</v>
      </c>
      <c r="F16" s="2026">
        <v>250</v>
      </c>
      <c r="G16" s="2026">
        <f>+E16+F16</f>
        <v>3062.63</v>
      </c>
      <c r="H16" s="2021"/>
    </row>
    <row r="17" spans="2:8" ht="18.75">
      <c r="B17" s="2021"/>
      <c r="C17" s="2021"/>
      <c r="D17" s="2021"/>
      <c r="E17" s="2021"/>
      <c r="F17" s="2021"/>
      <c r="G17" s="2021"/>
      <c r="H17" s="2021"/>
    </row>
    <row r="18" spans="2:8" ht="18.75">
      <c r="B18" s="2021"/>
      <c r="C18" s="2021"/>
      <c r="D18" s="2021"/>
      <c r="E18" s="2021"/>
      <c r="F18" s="2021"/>
      <c r="G18" s="2021"/>
      <c r="H18" s="2021"/>
    </row>
    <row r="19" spans="2:8" ht="18.75">
      <c r="B19" s="2021"/>
      <c r="C19" s="2021"/>
      <c r="D19" s="2021"/>
      <c r="E19" s="2021"/>
      <c r="F19" s="2021"/>
      <c r="G19" s="2021"/>
      <c r="H19" s="2021"/>
    </row>
    <row r="20" spans="2:8" ht="18.75">
      <c r="B20" s="2021"/>
      <c r="C20" s="2021"/>
      <c r="D20" s="2021"/>
      <c r="E20" s="2021"/>
      <c r="F20" s="2021"/>
      <c r="G20" s="2021"/>
      <c r="H20" s="2021"/>
    </row>
    <row r="21" spans="2:8" ht="18.75">
      <c r="B21" s="2021"/>
      <c r="C21" s="2266" t="s">
        <v>842</v>
      </c>
      <c r="D21" s="2266"/>
      <c r="E21" s="2021"/>
      <c r="F21" s="2021"/>
      <c r="G21" s="2021"/>
      <c r="H21" s="2021"/>
    </row>
    <row r="22" spans="2:8" ht="18.75">
      <c r="B22" s="2021"/>
      <c r="C22" s="2021"/>
      <c r="D22" s="2021"/>
      <c r="E22" s="2021"/>
      <c r="F22" s="2021"/>
      <c r="G22" s="2021"/>
      <c r="H22" s="2021"/>
    </row>
    <row r="23" spans="2:8" ht="18.75">
      <c r="B23" s="2021"/>
      <c r="C23" s="2021"/>
      <c r="D23" s="2021"/>
      <c r="E23" s="2021"/>
      <c r="F23" s="2021"/>
      <c r="G23" s="2021"/>
      <c r="H23" s="2021"/>
    </row>
    <row r="24" spans="2:8" ht="18.75">
      <c r="B24" s="2021"/>
      <c r="C24" s="2022" t="s">
        <v>843</v>
      </c>
      <c r="D24" s="2023" t="s">
        <v>833</v>
      </c>
      <c r="E24" s="2021"/>
      <c r="F24" s="2021"/>
      <c r="G24" s="2021"/>
      <c r="H24" s="2021"/>
    </row>
    <row r="25" spans="2:8" ht="18.75">
      <c r="B25" s="2021"/>
      <c r="C25" s="2021"/>
      <c r="D25" s="2021"/>
      <c r="E25" s="2021"/>
      <c r="F25" s="2021"/>
      <c r="G25" s="2021"/>
      <c r="H25" s="2021"/>
    </row>
    <row r="26" spans="2:8" ht="18.75">
      <c r="B26" s="2021"/>
      <c r="C26" s="2029" t="s">
        <v>834</v>
      </c>
      <c r="D26" s="2029" t="s">
        <v>835</v>
      </c>
      <c r="E26" s="2029" t="s">
        <v>836</v>
      </c>
      <c r="F26" s="2029" t="s">
        <v>837</v>
      </c>
      <c r="G26" s="2029" t="s">
        <v>838</v>
      </c>
      <c r="H26" s="2021"/>
    </row>
    <row r="27" spans="2:8" ht="18.75">
      <c r="B27" s="2021"/>
      <c r="C27" s="2021"/>
      <c r="D27" s="2021"/>
      <c r="E27" s="2021"/>
      <c r="F27" s="2021"/>
      <c r="G27" s="2021"/>
      <c r="H27" s="2021"/>
    </row>
    <row r="28" spans="2:8" ht="18.75">
      <c r="B28" s="2021"/>
      <c r="C28" s="2025" t="s">
        <v>839</v>
      </c>
      <c r="D28" s="2030">
        <v>101.05</v>
      </c>
      <c r="E28" s="2030">
        <v>3073.6</v>
      </c>
      <c r="F28" s="2030">
        <v>250</v>
      </c>
      <c r="G28" s="2030">
        <f>+E28+F28</f>
        <v>3323.6</v>
      </c>
      <c r="H28" s="2021"/>
    </row>
    <row r="29" spans="2:8" ht="18.75">
      <c r="B29" s="2021"/>
      <c r="C29" s="2027" t="s">
        <v>840</v>
      </c>
      <c r="D29" s="2031">
        <v>104.1</v>
      </c>
      <c r="E29" s="2031">
        <v>3166.38</v>
      </c>
      <c r="F29" s="2031">
        <v>250</v>
      </c>
      <c r="G29" s="2031">
        <f>+E29+F29</f>
        <v>3416.38</v>
      </c>
      <c r="H29" s="2021"/>
    </row>
    <row r="30" spans="2:8" ht="18.75">
      <c r="B30" s="2021"/>
      <c r="C30" s="2025" t="s">
        <v>841</v>
      </c>
      <c r="D30" s="2030">
        <v>95.13</v>
      </c>
      <c r="E30" s="2030">
        <v>2893.54</v>
      </c>
      <c r="F30" s="2030">
        <v>250</v>
      </c>
      <c r="G30" s="2030">
        <f>+E30+F30</f>
        <v>3143.54</v>
      </c>
      <c r="H30" s="2021"/>
    </row>
    <row r="31" spans="2:8" ht="18.75">
      <c r="B31" s="2021"/>
      <c r="C31" s="2021"/>
      <c r="D31" s="2021"/>
      <c r="E31" s="2021"/>
      <c r="F31" s="2021"/>
      <c r="G31" s="2021"/>
      <c r="H31" s="2021"/>
    </row>
    <row r="32" spans="2:8" ht="18.75">
      <c r="B32" s="2021"/>
      <c r="C32" s="2021"/>
      <c r="D32" s="2021"/>
      <c r="E32" s="2021"/>
      <c r="F32" s="2021"/>
      <c r="G32" s="2021"/>
      <c r="H32" s="2021"/>
    </row>
    <row r="36" spans="3:9" ht="18.75">
      <c r="C36" s="2021"/>
      <c r="D36" s="2267" t="s">
        <v>858</v>
      </c>
      <c r="E36" s="2267"/>
      <c r="F36" s="2267"/>
      <c r="G36" s="2021"/>
      <c r="H36" s="2021"/>
      <c r="I36" s="2021"/>
    </row>
    <row r="37" spans="3:9" ht="18.75">
      <c r="C37" s="2021"/>
      <c r="D37" s="2267"/>
      <c r="E37" s="2267"/>
      <c r="F37" s="2267"/>
      <c r="G37" s="2021"/>
      <c r="H37" s="2021"/>
      <c r="I37" s="2021"/>
    </row>
    <row r="38" spans="3:9" ht="18.75">
      <c r="C38" s="2021"/>
      <c r="D38" s="2021"/>
      <c r="E38" s="2021"/>
      <c r="F38" s="2021"/>
      <c r="G38" s="2021"/>
      <c r="H38" s="2021"/>
      <c r="I38" s="2021"/>
    </row>
    <row r="39" spans="3:9" ht="23.25">
      <c r="C39" s="2146" t="s">
        <v>68</v>
      </c>
      <c r="D39" s="2147" t="s">
        <v>312</v>
      </c>
      <c r="E39" s="2147" t="s">
        <v>779</v>
      </c>
      <c r="F39" s="2148" t="s">
        <v>859</v>
      </c>
      <c r="G39" s="2149" t="s">
        <v>860</v>
      </c>
      <c r="H39" s="2149" t="s">
        <v>838</v>
      </c>
      <c r="I39" s="2021"/>
    </row>
    <row r="40" spans="3:9" ht="23.25">
      <c r="C40" s="2150"/>
      <c r="D40" s="2151"/>
      <c r="E40" s="2151"/>
      <c r="F40" s="2152"/>
      <c r="G40" s="2153"/>
      <c r="H40" s="2153"/>
      <c r="I40" s="2021"/>
    </row>
    <row r="41" spans="3:9" ht="23.25">
      <c r="C41" s="2154" t="s">
        <v>738</v>
      </c>
      <c r="D41" s="2155" t="s">
        <v>70</v>
      </c>
      <c r="E41" s="2156" t="s">
        <v>10</v>
      </c>
      <c r="F41" s="2157">
        <v>2959.24</v>
      </c>
      <c r="G41" s="2157">
        <f>1040.76+400</f>
        <v>1440.76</v>
      </c>
      <c r="H41" s="2158">
        <f t="shared" ref="H41:H43" si="0">+F41+G41</f>
        <v>4400</v>
      </c>
      <c r="I41" s="2021"/>
    </row>
    <row r="42" spans="3:9" ht="23.25">
      <c r="C42" s="645" t="s">
        <v>823</v>
      </c>
      <c r="D42" s="579" t="s">
        <v>70</v>
      </c>
      <c r="E42" s="580" t="s">
        <v>11</v>
      </c>
      <c r="F42" s="2159">
        <v>2959.24</v>
      </c>
      <c r="G42" s="2159">
        <v>1040.76</v>
      </c>
      <c r="H42" s="2160">
        <f t="shared" si="0"/>
        <v>4000</v>
      </c>
      <c r="I42" s="2021"/>
    </row>
    <row r="43" spans="3:9" ht="23.25">
      <c r="C43" s="2161" t="s">
        <v>558</v>
      </c>
      <c r="D43" s="2162" t="s">
        <v>70</v>
      </c>
      <c r="E43" s="2163" t="s">
        <v>11</v>
      </c>
      <c r="F43" s="2159">
        <v>2959.24</v>
      </c>
      <c r="G43" s="2164">
        <v>740.76</v>
      </c>
      <c r="H43" s="2165">
        <f t="shared" si="0"/>
        <v>3700</v>
      </c>
      <c r="I43" s="2021"/>
    </row>
    <row r="44" spans="3:9" ht="23.25">
      <c r="C44" s="2166"/>
      <c r="D44" s="2166"/>
      <c r="E44" s="2166"/>
      <c r="F44" s="2166"/>
      <c r="G44" s="2166"/>
      <c r="H44" s="2166"/>
      <c r="I44" s="2021"/>
    </row>
    <row r="45" spans="3:9" ht="23.25">
      <c r="C45" s="2166"/>
      <c r="D45" s="2166"/>
      <c r="E45" s="2166"/>
      <c r="F45" s="2166"/>
      <c r="G45" s="2166"/>
      <c r="H45" s="2166"/>
      <c r="I45" s="2021"/>
    </row>
    <row r="46" spans="3:9" ht="23.25">
      <c r="C46" s="2150" t="s">
        <v>76</v>
      </c>
      <c r="D46" s="2167"/>
      <c r="E46" s="2168"/>
      <c r="F46" s="2169"/>
      <c r="G46" s="2170"/>
      <c r="H46" s="2170"/>
      <c r="I46" s="2021"/>
    </row>
    <row r="47" spans="3:9" ht="23.25">
      <c r="C47" s="645" t="s">
        <v>809</v>
      </c>
      <c r="D47" s="579" t="s">
        <v>812</v>
      </c>
      <c r="E47" s="580" t="s">
        <v>11</v>
      </c>
      <c r="F47" s="2160">
        <v>2959.24</v>
      </c>
      <c r="G47" s="2160">
        <v>1040.76</v>
      </c>
      <c r="H47" s="2160">
        <f t="shared" ref="H47:H49" si="1">+F47+G47</f>
        <v>4000</v>
      </c>
      <c r="I47" s="2021"/>
    </row>
    <row r="48" spans="3:9" ht="23.25">
      <c r="C48" s="645" t="s">
        <v>507</v>
      </c>
      <c r="D48" s="579" t="s">
        <v>593</v>
      </c>
      <c r="E48" s="580" t="s">
        <v>10</v>
      </c>
      <c r="F48" s="2159">
        <v>2959.24</v>
      </c>
      <c r="G48" s="2160">
        <v>600</v>
      </c>
      <c r="H48" s="2160">
        <f t="shared" si="1"/>
        <v>3559.24</v>
      </c>
      <c r="I48" s="2021"/>
    </row>
    <row r="49" spans="3:9" ht="23.25">
      <c r="C49" s="645" t="s">
        <v>619</v>
      </c>
      <c r="D49" s="579" t="s">
        <v>593</v>
      </c>
      <c r="E49" s="579" t="s">
        <v>10</v>
      </c>
      <c r="F49" s="2159">
        <v>2959.24</v>
      </c>
      <c r="G49" s="2171">
        <v>750</v>
      </c>
      <c r="H49" s="2171">
        <f t="shared" si="1"/>
        <v>3709.24</v>
      </c>
      <c r="I49" s="2021"/>
    </row>
    <row r="50" spans="3:9" ht="23.25">
      <c r="C50" s="2166"/>
      <c r="D50" s="2166"/>
      <c r="E50" s="2166"/>
      <c r="F50" s="2166"/>
      <c r="G50" s="2166"/>
      <c r="H50" s="2166"/>
      <c r="I50" s="2021"/>
    </row>
    <row r="51" spans="3:9" ht="23.25">
      <c r="C51" s="2166"/>
      <c r="D51" s="2166"/>
      <c r="E51" s="2166"/>
      <c r="F51" s="2166"/>
      <c r="G51" s="2166"/>
      <c r="H51" s="2166"/>
      <c r="I51" s="2021"/>
    </row>
    <row r="52" spans="3:9" ht="23.25">
      <c r="C52" s="2150" t="s">
        <v>79</v>
      </c>
      <c r="D52" s="2151"/>
      <c r="E52" s="2172"/>
      <c r="F52" s="2169"/>
      <c r="G52" s="2170"/>
      <c r="H52" s="2170"/>
      <c r="I52" s="2021"/>
    </row>
    <row r="53" spans="3:9" ht="23.25">
      <c r="C53" s="2161" t="s">
        <v>657</v>
      </c>
      <c r="D53" s="2162" t="s">
        <v>435</v>
      </c>
      <c r="E53" s="2163" t="s">
        <v>10</v>
      </c>
      <c r="F53" s="2160">
        <v>2959.24</v>
      </c>
      <c r="G53" s="2165">
        <v>1250</v>
      </c>
      <c r="H53" s="2165">
        <f t="shared" ref="H53" si="2">+F53+G53</f>
        <v>4209.24</v>
      </c>
      <c r="I53" s="2021"/>
    </row>
    <row r="54" spans="3:9" ht="23.25">
      <c r="C54" s="2166"/>
      <c r="D54" s="2166"/>
      <c r="E54" s="2166"/>
      <c r="F54" s="2166"/>
      <c r="G54" s="2166"/>
      <c r="H54" s="2166"/>
      <c r="I54" s="2021"/>
    </row>
    <row r="55" spans="3:9" ht="23.25">
      <c r="C55" s="2173" t="s">
        <v>105</v>
      </c>
      <c r="D55" s="2166"/>
      <c r="E55" s="2166"/>
      <c r="F55" s="2166"/>
      <c r="G55" s="2166"/>
      <c r="H55" s="2166"/>
      <c r="I55" s="2021"/>
    </row>
    <row r="56" spans="3:9" ht="23.25">
      <c r="C56" s="2166"/>
      <c r="D56" s="2166"/>
      <c r="E56" s="2166"/>
      <c r="F56" s="2166"/>
      <c r="G56" s="2166"/>
      <c r="H56" s="2166"/>
      <c r="I56" s="2021"/>
    </row>
    <row r="57" spans="3:9" ht="23.25">
      <c r="C57" s="645" t="s">
        <v>521</v>
      </c>
      <c r="D57" s="579" t="s">
        <v>58</v>
      </c>
      <c r="E57" s="580" t="s">
        <v>10</v>
      </c>
      <c r="F57" s="2159">
        <v>2959.24</v>
      </c>
      <c r="G57" s="2160">
        <v>1400</v>
      </c>
      <c r="H57" s="2160">
        <f t="shared" ref="H57:H58" si="3">+F57+G57</f>
        <v>4359.24</v>
      </c>
      <c r="I57" s="2021"/>
    </row>
    <row r="58" spans="3:9" ht="23.25">
      <c r="C58" s="645" t="s">
        <v>820</v>
      </c>
      <c r="D58" s="579" t="s">
        <v>58</v>
      </c>
      <c r="E58" s="580" t="s">
        <v>10</v>
      </c>
      <c r="F58" s="2159">
        <v>2959.24</v>
      </c>
      <c r="G58" s="2160">
        <v>1040.76</v>
      </c>
      <c r="H58" s="2160">
        <f t="shared" si="3"/>
        <v>4000</v>
      </c>
      <c r="I58" s="2021"/>
    </row>
    <row r="59" spans="3:9" ht="23.25">
      <c r="C59" s="645" t="s">
        <v>579</v>
      </c>
      <c r="D59" s="579" t="s">
        <v>818</v>
      </c>
      <c r="E59" s="579" t="s">
        <v>11</v>
      </c>
      <c r="F59" s="2174">
        <v>3000</v>
      </c>
      <c r="G59" s="2175">
        <v>1000</v>
      </c>
      <c r="H59" s="2166"/>
      <c r="I59" s="2021"/>
    </row>
    <row r="60" spans="3:9" ht="23.25">
      <c r="C60" s="645" t="s">
        <v>726</v>
      </c>
      <c r="D60" s="579" t="s">
        <v>662</v>
      </c>
      <c r="E60" s="579" t="s">
        <v>10</v>
      </c>
      <c r="F60" s="2159">
        <v>3000</v>
      </c>
      <c r="G60" s="2171">
        <v>1000</v>
      </c>
      <c r="H60" s="2171">
        <f t="shared" ref="H60:H62" si="4">+F60+G60</f>
        <v>4000</v>
      </c>
      <c r="I60" s="2021"/>
    </row>
    <row r="61" spans="3:9" ht="23.25">
      <c r="C61" s="645" t="s">
        <v>614</v>
      </c>
      <c r="D61" s="579" t="s">
        <v>112</v>
      </c>
      <c r="E61" s="579" t="s">
        <v>11</v>
      </c>
      <c r="F61" s="2159">
        <v>2959.24</v>
      </c>
      <c r="G61" s="2171">
        <f>250+150</f>
        <v>400</v>
      </c>
      <c r="H61" s="2171">
        <f t="shared" si="4"/>
        <v>3359.24</v>
      </c>
      <c r="I61" s="2021"/>
    </row>
    <row r="62" spans="3:9" ht="23.25">
      <c r="C62" s="645" t="s">
        <v>727</v>
      </c>
      <c r="D62" s="579" t="s">
        <v>108</v>
      </c>
      <c r="E62" s="579" t="s">
        <v>10</v>
      </c>
      <c r="F62" s="2159">
        <v>2959.24</v>
      </c>
      <c r="G62" s="2171">
        <f>500</f>
        <v>500</v>
      </c>
      <c r="H62" s="2171">
        <f t="shared" si="4"/>
        <v>3459.24</v>
      </c>
      <c r="I62" s="2021"/>
    </row>
    <row r="63" spans="3:9" ht="23.25">
      <c r="C63" s="645" t="s">
        <v>505</v>
      </c>
      <c r="D63" s="579" t="s">
        <v>117</v>
      </c>
      <c r="E63" s="580" t="s">
        <v>10</v>
      </c>
      <c r="F63" s="2159">
        <v>2975</v>
      </c>
      <c r="G63" s="2160">
        <f>700</f>
        <v>700</v>
      </c>
      <c r="H63" s="2171">
        <f>+F63+G63</f>
        <v>3675</v>
      </c>
      <c r="I63" s="2021"/>
    </row>
    <row r="64" spans="3:9" ht="23.25">
      <c r="C64" s="645"/>
      <c r="D64" s="579"/>
      <c r="E64" s="580"/>
      <c r="F64" s="2159"/>
      <c r="G64" s="2160"/>
      <c r="H64" s="2166"/>
      <c r="I64" s="2021"/>
    </row>
    <row r="65" spans="3:9" ht="23.25">
      <c r="C65" s="645" t="s">
        <v>537</v>
      </c>
      <c r="D65" s="579" t="s">
        <v>597</v>
      </c>
      <c r="E65" s="579" t="s">
        <v>11</v>
      </c>
      <c r="F65" s="2159">
        <f>2959.24+40.37</f>
        <v>2999.6099999999997</v>
      </c>
      <c r="G65" s="2160">
        <v>450</v>
      </c>
      <c r="H65" s="2160">
        <f t="shared" ref="H65" si="5">+F65+G65</f>
        <v>3449.6099999999997</v>
      </c>
      <c r="I65" s="2021"/>
    </row>
    <row r="66" spans="3:9" ht="23.25">
      <c r="C66" s="2166"/>
      <c r="D66" s="2166"/>
      <c r="E66" s="2166"/>
      <c r="F66" s="2166"/>
      <c r="G66" s="2166"/>
      <c r="H66" s="2166"/>
      <c r="I66" s="2021"/>
    </row>
    <row r="67" spans="3:9" ht="23.25">
      <c r="C67" s="2166"/>
      <c r="D67" s="2166"/>
      <c r="E67" s="2166"/>
      <c r="F67" s="2166"/>
      <c r="G67" s="2166"/>
      <c r="H67" s="2166"/>
      <c r="I67" s="2021"/>
    </row>
    <row r="68" spans="3:9" ht="23.25">
      <c r="C68" s="2166"/>
      <c r="D68" s="2166"/>
      <c r="E68" s="2166"/>
      <c r="F68" s="2166"/>
      <c r="G68" s="2166"/>
      <c r="H68" s="2166"/>
      <c r="I68" s="2021"/>
    </row>
    <row r="69" spans="3:9" ht="23.25">
      <c r="C69" s="2150" t="s">
        <v>429</v>
      </c>
      <c r="D69" s="2151"/>
      <c r="E69" s="2172"/>
      <c r="F69" s="2169"/>
      <c r="G69" s="2170"/>
      <c r="H69" s="2170"/>
      <c r="I69" s="2021"/>
    </row>
    <row r="70" spans="3:9" ht="23.25">
      <c r="C70" s="645" t="s">
        <v>540</v>
      </c>
      <c r="D70" s="579" t="s">
        <v>415</v>
      </c>
      <c r="E70" s="580" t="s">
        <v>11</v>
      </c>
      <c r="F70" s="2160">
        <v>3000</v>
      </c>
      <c r="G70" s="2160">
        <f>500</f>
        <v>500</v>
      </c>
      <c r="H70" s="2160">
        <f>+F70+G70</f>
        <v>3500</v>
      </c>
      <c r="I70" s="2021"/>
    </row>
    <row r="71" spans="3:9" ht="23.25">
      <c r="C71" s="2166"/>
      <c r="D71" s="2166"/>
      <c r="E71" s="2166"/>
      <c r="F71" s="2166"/>
      <c r="G71" s="2166"/>
      <c r="H71" s="2166"/>
      <c r="I71" s="2021"/>
    </row>
    <row r="72" spans="3:9" ht="23.25">
      <c r="C72" s="2166"/>
      <c r="D72" s="2166"/>
      <c r="E72" s="2166"/>
      <c r="F72" s="2166"/>
      <c r="G72" s="2166"/>
      <c r="H72" s="2166"/>
      <c r="I72" s="2021"/>
    </row>
    <row r="73" spans="3:9" ht="23.25">
      <c r="C73" s="2166"/>
      <c r="D73" s="2166"/>
      <c r="E73" s="2166"/>
      <c r="F73" s="2166"/>
      <c r="G73" s="2166"/>
      <c r="H73" s="2166"/>
      <c r="I73" s="2021"/>
    </row>
    <row r="74" spans="3:9" ht="23.25">
      <c r="C74" s="2166"/>
      <c r="D74" s="2166"/>
      <c r="E74" s="2166"/>
      <c r="F74" s="2166"/>
      <c r="G74" s="2166"/>
      <c r="H74" s="2166"/>
      <c r="I74" s="2021"/>
    </row>
    <row r="75" spans="3:9" ht="23.25">
      <c r="C75" s="2166"/>
      <c r="D75" s="2166"/>
      <c r="E75" s="2166"/>
      <c r="F75" s="2166"/>
      <c r="G75" s="2166"/>
      <c r="H75" s="2166"/>
      <c r="I75" s="2021"/>
    </row>
    <row r="76" spans="3:9" ht="23.25">
      <c r="C76" s="2166"/>
      <c r="D76" s="2166"/>
      <c r="E76" s="2166"/>
      <c r="F76" s="2166"/>
      <c r="G76" s="2166"/>
      <c r="H76" s="2166"/>
      <c r="I76" s="2021"/>
    </row>
  </sheetData>
  <mergeCells count="4">
    <mergeCell ref="C4:F4"/>
    <mergeCell ref="C7:D7"/>
    <mergeCell ref="C21:D21"/>
    <mergeCell ref="D36:F37"/>
  </mergeCells>
  <conditionalFormatting sqref="C39:C43">
    <cfRule type="duplicateValues" dxfId="486" priority="51"/>
  </conditionalFormatting>
  <conditionalFormatting sqref="C39:C43">
    <cfRule type="duplicateValues" dxfId="485" priority="52"/>
  </conditionalFormatting>
  <conditionalFormatting sqref="C39:C43">
    <cfRule type="duplicateValues" dxfId="484" priority="53"/>
  </conditionalFormatting>
  <conditionalFormatting sqref="C39:C43">
    <cfRule type="duplicateValues" dxfId="483" priority="54"/>
  </conditionalFormatting>
  <conditionalFormatting sqref="C49">
    <cfRule type="duplicateValues" dxfId="482" priority="42"/>
  </conditionalFormatting>
  <conditionalFormatting sqref="C49">
    <cfRule type="duplicateValues" dxfId="481" priority="43"/>
  </conditionalFormatting>
  <conditionalFormatting sqref="C49">
    <cfRule type="duplicateValues" dxfId="480" priority="44"/>
  </conditionalFormatting>
  <conditionalFormatting sqref="C49">
    <cfRule type="duplicateValues" dxfId="479" priority="45"/>
  </conditionalFormatting>
  <conditionalFormatting sqref="C48">
    <cfRule type="duplicateValues" dxfId="478" priority="46"/>
  </conditionalFormatting>
  <conditionalFormatting sqref="C46:C48">
    <cfRule type="duplicateValues" dxfId="477" priority="47"/>
  </conditionalFormatting>
  <conditionalFormatting sqref="C46:C48">
    <cfRule type="duplicateValues" dxfId="476" priority="48"/>
  </conditionalFormatting>
  <conditionalFormatting sqref="C46:C49">
    <cfRule type="duplicateValues" dxfId="475" priority="49"/>
  </conditionalFormatting>
  <conditionalFormatting sqref="C46:C47">
    <cfRule type="duplicateValues" dxfId="474" priority="50"/>
  </conditionalFormatting>
  <conditionalFormatting sqref="C52:C53">
    <cfRule type="duplicateValues" dxfId="473" priority="38"/>
  </conditionalFormatting>
  <conditionalFormatting sqref="C52:C53">
    <cfRule type="duplicateValues" dxfId="472" priority="39"/>
  </conditionalFormatting>
  <conditionalFormatting sqref="C52:C53">
    <cfRule type="duplicateValues" dxfId="471" priority="40"/>
  </conditionalFormatting>
  <conditionalFormatting sqref="C52:C53">
    <cfRule type="duplicateValues" dxfId="470" priority="41"/>
  </conditionalFormatting>
  <conditionalFormatting sqref="C57:C58">
    <cfRule type="duplicateValues" dxfId="469" priority="34"/>
  </conditionalFormatting>
  <conditionalFormatting sqref="C57:C58">
    <cfRule type="duplicateValues" dxfId="468" priority="35"/>
  </conditionalFormatting>
  <conditionalFormatting sqref="C57:C58">
    <cfRule type="duplicateValues" dxfId="467" priority="36"/>
  </conditionalFormatting>
  <conditionalFormatting sqref="C57:C58">
    <cfRule type="duplicateValues" dxfId="466" priority="37"/>
  </conditionalFormatting>
  <conditionalFormatting sqref="C55">
    <cfRule type="duplicateValues" dxfId="465" priority="30"/>
  </conditionalFormatting>
  <conditionalFormatting sqref="C55">
    <cfRule type="duplicateValues" dxfId="464" priority="31"/>
  </conditionalFormatting>
  <conditionalFormatting sqref="C55">
    <cfRule type="duplicateValues" dxfId="463" priority="32"/>
  </conditionalFormatting>
  <conditionalFormatting sqref="C55">
    <cfRule type="duplicateValues" dxfId="462" priority="33"/>
  </conditionalFormatting>
  <conditionalFormatting sqref="C59">
    <cfRule type="duplicateValues" dxfId="461" priority="26"/>
  </conditionalFormatting>
  <conditionalFormatting sqref="C59">
    <cfRule type="duplicateValues" dxfId="460" priority="27"/>
  </conditionalFormatting>
  <conditionalFormatting sqref="C59">
    <cfRule type="duplicateValues" dxfId="459" priority="28"/>
  </conditionalFormatting>
  <conditionalFormatting sqref="C59">
    <cfRule type="duplicateValues" dxfId="458" priority="29"/>
  </conditionalFormatting>
  <conditionalFormatting sqref="C60">
    <cfRule type="duplicateValues" dxfId="457" priority="22"/>
  </conditionalFormatting>
  <conditionalFormatting sqref="C60">
    <cfRule type="duplicateValues" dxfId="456" priority="23"/>
  </conditionalFormatting>
  <conditionalFormatting sqref="C60">
    <cfRule type="duplicateValues" dxfId="455" priority="24"/>
  </conditionalFormatting>
  <conditionalFormatting sqref="C60">
    <cfRule type="duplicateValues" dxfId="454" priority="25"/>
  </conditionalFormatting>
  <conditionalFormatting sqref="C61">
    <cfRule type="duplicateValues" dxfId="453" priority="19"/>
  </conditionalFormatting>
  <conditionalFormatting sqref="C61">
    <cfRule type="duplicateValues" dxfId="452" priority="20"/>
  </conditionalFormatting>
  <conditionalFormatting sqref="C61">
    <cfRule type="duplicateValues" dxfId="451" priority="21"/>
  </conditionalFormatting>
  <conditionalFormatting sqref="C62">
    <cfRule type="duplicateValues" dxfId="450" priority="18"/>
  </conditionalFormatting>
  <conditionalFormatting sqref="C63:C64">
    <cfRule type="duplicateValues" dxfId="449" priority="13"/>
  </conditionalFormatting>
  <conditionalFormatting sqref="C63:C64">
    <cfRule type="duplicateValues" dxfId="448" priority="14"/>
  </conditionalFormatting>
  <conditionalFormatting sqref="C63:C64">
    <cfRule type="duplicateValues" dxfId="447" priority="15"/>
  </conditionalFormatting>
  <conditionalFormatting sqref="C63:C64">
    <cfRule type="duplicateValues" dxfId="446" priority="16"/>
  </conditionalFormatting>
  <conditionalFormatting sqref="C63:C64">
    <cfRule type="duplicateValues" dxfId="445" priority="17"/>
  </conditionalFormatting>
  <conditionalFormatting sqref="C65">
    <cfRule type="duplicateValues" dxfId="444" priority="7"/>
  </conditionalFormatting>
  <conditionalFormatting sqref="C65">
    <cfRule type="duplicateValues" dxfId="443" priority="8"/>
  </conditionalFormatting>
  <conditionalFormatting sqref="C65">
    <cfRule type="duplicateValues" dxfId="442" priority="9"/>
  </conditionalFormatting>
  <conditionalFormatting sqref="C65">
    <cfRule type="duplicateValues" dxfId="441" priority="10"/>
  </conditionalFormatting>
  <conditionalFormatting sqref="C65">
    <cfRule type="duplicateValues" dxfId="440" priority="11"/>
  </conditionalFormatting>
  <conditionalFormatting sqref="C65">
    <cfRule type="duplicateValues" dxfId="439" priority="12"/>
  </conditionalFormatting>
  <conditionalFormatting sqref="C69:C70">
    <cfRule type="duplicateValues" dxfId="438" priority="1"/>
  </conditionalFormatting>
  <conditionalFormatting sqref="C69:C70">
    <cfRule type="duplicateValues" dxfId="437" priority="2"/>
  </conditionalFormatting>
  <conditionalFormatting sqref="C69:C70">
    <cfRule type="duplicateValues" dxfId="436" priority="3"/>
  </conditionalFormatting>
  <conditionalFormatting sqref="C69:C70">
    <cfRule type="duplicateValues" dxfId="435" priority="4"/>
  </conditionalFormatting>
  <conditionalFormatting sqref="C69:C70">
    <cfRule type="duplicateValues" dxfId="434" priority="5"/>
  </conditionalFormatting>
  <conditionalFormatting sqref="C69:C70">
    <cfRule type="duplicateValues" dxfId="433" priority="6"/>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1:AL351"/>
  <sheetViews>
    <sheetView showGridLines="0" view="pageBreakPreview" zoomScale="86" zoomScaleNormal="100" zoomScaleSheetLayoutView="86" workbookViewId="0">
      <pane xSplit="5" ySplit="7" topLeftCell="X99" activePane="bottomRight" state="frozen"/>
      <selection activeCell="H25" sqref="H25"/>
      <selection pane="topRight" activeCell="H25" sqref="H25"/>
      <selection pane="bottomLeft" activeCell="H25" sqref="H25"/>
      <selection pane="bottomRight" activeCell="Y140" sqref="Y140"/>
    </sheetView>
  </sheetViews>
  <sheetFormatPr baseColWidth="10" defaultColWidth="11.42578125" defaultRowHeight="14.25"/>
  <cols>
    <col min="1" max="1" width="7.85546875" style="921" customWidth="1"/>
    <col min="2" max="2" width="42.85546875" style="921" customWidth="1"/>
    <col min="3" max="3" width="22.85546875" style="921" customWidth="1"/>
    <col min="4" max="4" width="11.42578125" style="1067" hidden="1" customWidth="1"/>
    <col min="5" max="5" width="8.5703125" style="921" customWidth="1"/>
    <col min="6" max="6" width="28.140625" style="921" hidden="1" customWidth="1"/>
    <col min="7" max="7" width="17.42578125" style="1109" customWidth="1"/>
    <col min="8" max="8" width="18.5703125" style="1067" customWidth="1"/>
    <col min="9" max="9" width="17" style="1067" customWidth="1"/>
    <col min="10" max="10" width="11.28515625" style="1068" customWidth="1"/>
    <col min="11" max="11" width="16.140625" style="1103" customWidth="1"/>
    <col min="12" max="13" width="9" style="1103" customWidth="1"/>
    <col min="14" max="14" width="10.5703125" style="1103" customWidth="1"/>
    <col min="15" max="15" width="17.5703125" style="1067" customWidth="1"/>
    <col min="16" max="16" width="14.85546875" style="1110" customWidth="1"/>
    <col min="17" max="17" width="16.140625" style="1110" customWidth="1"/>
    <col min="18" max="18" width="13.5703125" style="1103" customWidth="1"/>
    <col min="19" max="19" width="14" style="1103" bestFit="1" customWidth="1"/>
    <col min="20" max="20" width="13.42578125" style="1103" bestFit="1" customWidth="1"/>
    <col min="21" max="21" width="14.42578125" style="1103" customWidth="1"/>
    <col min="22" max="22" width="14.85546875" style="1103" customWidth="1"/>
    <col min="23" max="23" width="16.85546875" style="1103" customWidth="1"/>
    <col min="24" max="24" width="17.5703125" style="1067" customWidth="1"/>
    <col min="25" max="25" width="18" style="1068" customWidth="1"/>
    <col min="26" max="26" width="16.85546875" style="1103" customWidth="1"/>
    <col min="27" max="27" width="21.85546875" style="1068" customWidth="1"/>
    <col min="28" max="28" width="24" style="921" hidden="1" customWidth="1"/>
    <col min="29" max="29" width="10.28515625" style="921" hidden="1" customWidth="1"/>
    <col min="30" max="30" width="23.7109375" style="921" bestFit="1" customWidth="1"/>
    <col min="31" max="16384" width="11.42578125" style="921"/>
  </cols>
  <sheetData>
    <row r="1" spans="1:37" s="907" customFormat="1">
      <c r="B1" s="908">
        <v>1</v>
      </c>
      <c r="C1" s="907">
        <v>2</v>
      </c>
      <c r="D1" s="909">
        <v>3</v>
      </c>
      <c r="E1" s="907">
        <v>4</v>
      </c>
      <c r="F1" s="907">
        <v>5</v>
      </c>
      <c r="G1" s="910">
        <v>6</v>
      </c>
      <c r="H1" s="909">
        <v>7</v>
      </c>
      <c r="I1" s="909">
        <v>8</v>
      </c>
      <c r="J1" s="907">
        <v>9</v>
      </c>
      <c r="K1" s="907">
        <v>10</v>
      </c>
      <c r="L1" s="907">
        <v>11</v>
      </c>
      <c r="M1" s="907">
        <v>12</v>
      </c>
      <c r="N1" s="907">
        <v>13</v>
      </c>
      <c r="O1" s="909">
        <v>14</v>
      </c>
      <c r="P1" s="907">
        <v>15</v>
      </c>
      <c r="Q1" s="908">
        <v>16</v>
      </c>
      <c r="R1" s="907">
        <v>17</v>
      </c>
      <c r="S1" s="907">
        <v>18</v>
      </c>
      <c r="T1" s="907">
        <v>19</v>
      </c>
      <c r="U1" s="907">
        <v>20</v>
      </c>
      <c r="V1" s="907">
        <v>21</v>
      </c>
      <c r="W1" s="907">
        <v>22</v>
      </c>
      <c r="X1" s="909">
        <v>23</v>
      </c>
      <c r="Y1" s="907">
        <v>24</v>
      </c>
      <c r="Z1" s="907">
        <v>25</v>
      </c>
      <c r="AA1" s="907">
        <v>26</v>
      </c>
    </row>
    <row r="2" spans="1:37" ht="15">
      <c r="A2" s="911" t="s">
        <v>206</v>
      </c>
      <c r="B2" s="912"/>
      <c r="C2" s="913"/>
      <c r="D2" s="914"/>
      <c r="E2" s="912"/>
      <c r="F2" s="912"/>
      <c r="G2" s="915"/>
      <c r="H2" s="916"/>
      <c r="I2" s="916"/>
      <c r="J2" s="917"/>
      <c r="K2" s="918"/>
      <c r="L2" s="918"/>
      <c r="M2" s="918"/>
      <c r="N2" s="918"/>
      <c r="O2" s="916"/>
      <c r="P2" s="919"/>
      <c r="Q2" s="919"/>
      <c r="R2" s="918"/>
      <c r="S2" s="918"/>
      <c r="T2" s="918"/>
      <c r="U2" s="918"/>
      <c r="V2" s="918"/>
      <c r="W2" s="918"/>
      <c r="X2" s="916"/>
      <c r="Y2" s="917"/>
      <c r="Z2" s="918"/>
      <c r="AA2" s="920"/>
      <c r="AB2" s="912"/>
    </row>
    <row r="3" spans="1:37" ht="15">
      <c r="A3" s="922" t="str">
        <f>+distribucion!B3</f>
        <v>NOMINA MES DE: ENERO   2,023  2da Quincena)</v>
      </c>
      <c r="B3" s="923"/>
      <c r="C3" s="924"/>
      <c r="D3" s="914"/>
      <c r="E3" s="912"/>
      <c r="F3" s="912"/>
      <c r="G3" s="915"/>
      <c r="H3" s="916"/>
      <c r="I3" s="916"/>
      <c r="J3" s="917"/>
      <c r="K3" s="918"/>
      <c r="L3" s="918"/>
      <c r="M3" s="918"/>
      <c r="N3" s="918"/>
      <c r="O3" s="916"/>
      <c r="P3" s="919"/>
      <c r="Q3" s="919"/>
      <c r="R3" s="918"/>
      <c r="S3" s="918"/>
      <c r="T3" s="918"/>
      <c r="U3" s="918"/>
      <c r="V3" s="918"/>
      <c r="W3" s="918"/>
      <c r="X3" s="916"/>
      <c r="Y3" s="917"/>
      <c r="Z3" s="918"/>
      <c r="AA3" s="920"/>
      <c r="AB3" s="912"/>
    </row>
    <row r="4" spans="1:37" s="926" customFormat="1" ht="11.25" customHeight="1">
      <c r="A4" s="2273" t="s">
        <v>207</v>
      </c>
      <c r="B4" s="2273" t="s">
        <v>37</v>
      </c>
      <c r="C4" s="2273" t="s">
        <v>38</v>
      </c>
      <c r="D4" s="2274" t="s">
        <v>208</v>
      </c>
      <c r="E4" s="2270" t="s">
        <v>209</v>
      </c>
      <c r="F4" s="2268" t="s">
        <v>210</v>
      </c>
      <c r="G4" s="2276" t="s">
        <v>211</v>
      </c>
      <c r="H4" s="2274" t="s">
        <v>212</v>
      </c>
      <c r="I4" s="2274" t="s">
        <v>213</v>
      </c>
      <c r="J4" s="2269" t="s">
        <v>214</v>
      </c>
      <c r="K4" s="2270" t="s">
        <v>215</v>
      </c>
      <c r="L4" s="2270" t="s">
        <v>216</v>
      </c>
      <c r="M4" s="2270" t="s">
        <v>217</v>
      </c>
      <c r="N4" s="2270" t="s">
        <v>218</v>
      </c>
      <c r="O4" s="2271" t="s">
        <v>219</v>
      </c>
      <c r="P4" s="2272" t="s">
        <v>220</v>
      </c>
      <c r="Q4" s="2272" t="s">
        <v>31</v>
      </c>
      <c r="R4" s="2275" t="s">
        <v>453</v>
      </c>
      <c r="S4" s="2268" t="s">
        <v>221</v>
      </c>
      <c r="T4" s="2268" t="s">
        <v>35</v>
      </c>
      <c r="U4" s="2268" t="s">
        <v>34</v>
      </c>
      <c r="V4" s="2268" t="s">
        <v>33</v>
      </c>
      <c r="W4" s="2268" t="s">
        <v>222</v>
      </c>
      <c r="X4" s="2271" t="s">
        <v>223</v>
      </c>
      <c r="Y4" s="2269" t="s">
        <v>224</v>
      </c>
      <c r="Z4" s="2270" t="s">
        <v>225</v>
      </c>
      <c r="AA4" s="2269" t="s">
        <v>226</v>
      </c>
      <c r="AB4" s="925"/>
    </row>
    <row r="5" spans="1:37">
      <c r="A5" s="2273"/>
      <c r="B5" s="2273"/>
      <c r="C5" s="2273"/>
      <c r="D5" s="2274"/>
      <c r="E5" s="2270"/>
      <c r="F5" s="2268"/>
      <c r="G5" s="2276"/>
      <c r="H5" s="2274"/>
      <c r="I5" s="2274"/>
      <c r="J5" s="2269"/>
      <c r="K5" s="2270"/>
      <c r="L5" s="2270"/>
      <c r="M5" s="2270"/>
      <c r="N5" s="2270"/>
      <c r="O5" s="2271"/>
      <c r="P5" s="2272"/>
      <c r="Q5" s="2272"/>
      <c r="R5" s="2275"/>
      <c r="S5" s="2268"/>
      <c r="T5" s="2268"/>
      <c r="U5" s="2268"/>
      <c r="V5" s="2268"/>
      <c r="W5" s="2268"/>
      <c r="X5" s="2271"/>
      <c r="Y5" s="2269"/>
      <c r="Z5" s="2270"/>
      <c r="AA5" s="2269"/>
      <c r="AB5" s="913"/>
    </row>
    <row r="6" spans="1:37" ht="38.25" customHeight="1">
      <c r="A6" s="2273"/>
      <c r="B6" s="2273"/>
      <c r="C6" s="2273"/>
      <c r="D6" s="2274"/>
      <c r="E6" s="2270"/>
      <c r="F6" s="2268"/>
      <c r="G6" s="2276"/>
      <c r="H6" s="2274"/>
      <c r="I6" s="2274"/>
      <c r="J6" s="2269"/>
      <c r="K6" s="2270"/>
      <c r="L6" s="2270"/>
      <c r="M6" s="2270"/>
      <c r="N6" s="2270"/>
      <c r="O6" s="2271"/>
      <c r="P6" s="2272"/>
      <c r="Q6" s="2272"/>
      <c r="R6" s="2275"/>
      <c r="S6" s="2268"/>
      <c r="T6" s="2268"/>
      <c r="U6" s="2268"/>
      <c r="V6" s="2268"/>
      <c r="W6" s="2268"/>
      <c r="X6" s="2271"/>
      <c r="Y6" s="2269"/>
      <c r="Z6" s="2270"/>
      <c r="AA6" s="2269"/>
      <c r="AB6" s="913"/>
    </row>
    <row r="7" spans="1:37" ht="15">
      <c r="A7" s="927"/>
      <c r="B7" s="928" t="s">
        <v>53</v>
      </c>
      <c r="C7" s="927"/>
      <c r="D7" s="929"/>
      <c r="E7" s="927"/>
      <c r="F7" s="927"/>
      <c r="G7" s="930"/>
      <c r="H7" s="929"/>
      <c r="I7" s="929"/>
      <c r="J7" s="931"/>
      <c r="K7" s="932"/>
      <c r="L7" s="932"/>
      <c r="M7" s="932"/>
      <c r="N7" s="932"/>
      <c r="O7" s="929"/>
      <c r="P7" s="933"/>
      <c r="Q7" s="933"/>
      <c r="R7" s="932"/>
      <c r="S7" s="932"/>
      <c r="T7" s="932"/>
      <c r="U7" s="932"/>
      <c r="V7" s="932"/>
      <c r="W7" s="932"/>
      <c r="X7" s="929"/>
      <c r="Y7" s="931"/>
      <c r="Z7" s="932"/>
      <c r="AA7" s="934"/>
      <c r="AB7" s="913"/>
      <c r="AC7" s="913"/>
      <c r="AD7" s="913"/>
      <c r="AE7" s="913"/>
      <c r="AF7" s="913"/>
      <c r="AG7" s="913"/>
      <c r="AH7" s="913"/>
      <c r="AI7" s="913"/>
    </row>
    <row r="8" spans="1:37" ht="15">
      <c r="A8" s="927"/>
      <c r="B8" s="935" t="s">
        <v>170</v>
      </c>
      <c r="C8" s="927"/>
      <c r="D8" s="929"/>
      <c r="E8" s="927"/>
      <c r="F8" s="927"/>
      <c r="G8" s="930"/>
      <c r="H8" s="929"/>
      <c r="I8" s="929"/>
      <c r="J8" s="931"/>
      <c r="K8" s="932"/>
      <c r="L8" s="932"/>
      <c r="M8" s="932"/>
      <c r="N8" s="932"/>
      <c r="O8" s="929"/>
      <c r="P8" s="933"/>
      <c r="Q8" s="933"/>
      <c r="R8" s="932"/>
      <c r="S8" s="932"/>
      <c r="T8" s="932"/>
      <c r="U8" s="932"/>
      <c r="V8" s="932"/>
      <c r="W8" s="932"/>
      <c r="X8" s="929"/>
      <c r="Y8" s="931"/>
      <c r="Z8" s="932"/>
      <c r="AA8" s="936"/>
      <c r="AB8" s="937"/>
      <c r="AC8" s="937"/>
      <c r="AD8" s="937"/>
      <c r="AE8" s="937"/>
      <c r="AF8" s="937"/>
      <c r="AG8" s="937"/>
      <c r="AH8" s="937"/>
      <c r="AI8" s="937"/>
      <c r="AJ8" s="911"/>
      <c r="AK8" s="911"/>
    </row>
    <row r="9" spans="1:37" s="951" customFormat="1" ht="15">
      <c r="A9" s="942">
        <v>1</v>
      </c>
      <c r="B9" s="943" t="str">
        <f>+distribucion!B12</f>
        <v>Estrada Robles Juan Pablo</v>
      </c>
      <c r="C9" s="944" t="str">
        <f>VLOOKUP(B9,distribucion!B$9:FK$200,2,0)</f>
        <v xml:space="preserve">Asesor   </v>
      </c>
      <c r="D9" s="945">
        <f>G9+K9+M9</f>
        <v>15000</v>
      </c>
      <c r="E9" s="946">
        <f>VLOOKUP(B9,distribucion!B$9:FK$201,7,0)</f>
        <v>30</v>
      </c>
      <c r="F9" s="947">
        <f>+distribucion!O12</f>
        <v>0</v>
      </c>
      <c r="G9" s="945">
        <f>ROUND((VLOOKUP(B9,distribucion!B$9:EI$201,94,0)),2)</f>
        <v>15000</v>
      </c>
      <c r="H9" s="945">
        <f>ROUND((VLOOKUP(B9,distribucion!B$9:EI$201,95,0)),2)</f>
        <v>169568.87</v>
      </c>
      <c r="I9" s="945">
        <f>G9+H9</f>
        <v>184568.87</v>
      </c>
      <c r="J9" s="948">
        <f>VLOOKUP(B9,distribucion!B$9:EI$201,96,0)</f>
        <v>0</v>
      </c>
      <c r="K9" s="944">
        <f>ROUND((VLOOKUP(B9,distribucion!B$9:EI$201,97,0)),2)</f>
        <v>0</v>
      </c>
      <c r="L9" s="944">
        <f>VLOOKUP(B9,distribucion!B$9:EI$201,98,0)</f>
        <v>0</v>
      </c>
      <c r="M9" s="944">
        <f>ROUND((VLOOKUP(B9,distribucion!B$9:EI$201,99,0)),2)</f>
        <v>0</v>
      </c>
      <c r="N9" s="944">
        <f>ROUND((VLOOKUP(B9,distribucion!B$9:EI$201,100,0)),2)</f>
        <v>0</v>
      </c>
      <c r="O9" s="945">
        <f>SUM(I9:N9)-J9-L9</f>
        <v>184568.87</v>
      </c>
      <c r="P9" s="944">
        <f>ROUND(((G9+K9+M9+N9)*0.0483),2)</f>
        <v>724.5</v>
      </c>
      <c r="Q9" s="1039">
        <f>ROUND((VLOOKUP(B9,distribucion!B$8:FK$200,151,0)),2)</f>
        <v>15719.44</v>
      </c>
      <c r="R9" s="944">
        <f>ROUND((VLOOKUP(B9,distribucion!B$9:FK$200,152,0)),2)</f>
        <v>0</v>
      </c>
      <c r="S9" s="944">
        <f>ROUND((VLOOKUP(B9,distribucion!B$9:FK$200,153,0)),2)</f>
        <v>0</v>
      </c>
      <c r="T9" s="944">
        <f>ROUND((VLOOKUP(B9,distribucion!$B$4:$FE$231,159,0)),2)</f>
        <v>0</v>
      </c>
      <c r="U9" s="944">
        <f>ROUND((VLOOKUP(B9,distribucion!$B$5:$FE$232,158,0)),2)</f>
        <v>0</v>
      </c>
      <c r="V9" s="944">
        <f>ROUND((VLOOKUP(B9,distribucion!$B$7:$FE$237,154,0)),2)</f>
        <v>0</v>
      </c>
      <c r="W9" s="944">
        <f>ROUND((VLOOKUP(B9,distribucion!B$9:FK$200,160,0)),2)</f>
        <v>0</v>
      </c>
      <c r="X9" s="945">
        <f>SUM(P9:W9)</f>
        <v>16443.940000000002</v>
      </c>
      <c r="Y9" s="944">
        <f>O9-X9</f>
        <v>168124.93</v>
      </c>
      <c r="Z9" s="1121">
        <v>87233.45</v>
      </c>
      <c r="AA9" s="940">
        <f>+Y9-Z9</f>
        <v>80891.48</v>
      </c>
      <c r="AB9" s="944"/>
      <c r="AC9" s="944"/>
      <c r="AD9" s="949"/>
      <c r="AE9" s="942"/>
      <c r="AF9" s="948"/>
      <c r="AG9" s="950"/>
      <c r="AH9" s="950"/>
      <c r="AI9" s="950"/>
    </row>
    <row r="10" spans="1:37" s="951" customFormat="1" ht="15">
      <c r="A10" s="942">
        <f>+A9+1</f>
        <v>2</v>
      </c>
      <c r="B10" s="943" t="str">
        <f>+distribucion!B11</f>
        <v>Estrada Robles Victor Gerardo1</v>
      </c>
      <c r="C10" s="944" t="str">
        <f>VLOOKUP(B10,distribucion!B$9:FK$200,2,0)</f>
        <v>Gerente General</v>
      </c>
      <c r="D10" s="945">
        <f>G10+K10+M10</f>
        <v>61000</v>
      </c>
      <c r="E10" s="946">
        <f>VLOOKUP(B10,distribucion!B$9:FK$201,7,0)</f>
        <v>30</v>
      </c>
      <c r="F10" s="947" t="e">
        <f>+distribucion!#REF!</f>
        <v>#REF!</v>
      </c>
      <c r="G10" s="945">
        <f>ROUND((VLOOKUP(B10,distribucion!B$9:EI$201,94,0)),2)</f>
        <v>61000</v>
      </c>
      <c r="H10" s="945">
        <f>ROUND((VLOOKUP(B10,distribucion!B$9:EI$201,95,0)),2)</f>
        <v>250</v>
      </c>
      <c r="I10" s="945">
        <f>G10+H10</f>
        <v>61250</v>
      </c>
      <c r="J10" s="948">
        <f>VLOOKUP(B10,distribucion!B$9:EI$201,96,0)</f>
        <v>0</v>
      </c>
      <c r="K10" s="944">
        <f>ROUND((VLOOKUP(B10,distribucion!B$9:EI$201,97,0)),2)</f>
        <v>0</v>
      </c>
      <c r="L10" s="944">
        <f>VLOOKUP(B10,distribucion!B$9:EI$201,98,0)</f>
        <v>0</v>
      </c>
      <c r="M10" s="944">
        <f>ROUND((VLOOKUP(B10,distribucion!B$9:EI$201,99,0)),2)</f>
        <v>0</v>
      </c>
      <c r="N10" s="944">
        <f>ROUND((VLOOKUP(B10,distribucion!B$9:EI$201,100,0)),2)</f>
        <v>0</v>
      </c>
      <c r="O10" s="945">
        <f>SUM(I10:N10)-J10-L10</f>
        <v>61250</v>
      </c>
      <c r="P10" s="944">
        <v>0</v>
      </c>
      <c r="Q10" s="1039">
        <f>ROUND((VLOOKUP(B10,distribucion!B$8:FK$200,151,0)),2)</f>
        <v>3507.5</v>
      </c>
      <c r="R10" s="944">
        <f>ROUND((VLOOKUP(B10,distribucion!B$9:FK$200,152,0)),2)</f>
        <v>0</v>
      </c>
      <c r="S10" s="944">
        <f>ROUND((VLOOKUP(B10,distribucion!B$9:FK$200,153,0)),2)</f>
        <v>0</v>
      </c>
      <c r="T10" s="944">
        <f>ROUND((VLOOKUP(B10,distribucion!$B$4:$FE$231,159,0)),2)</f>
        <v>0</v>
      </c>
      <c r="U10" s="944">
        <f>ROUND((VLOOKUP(B10,distribucion!$B$5:$FE$232,158,0)),2)</f>
        <v>0</v>
      </c>
      <c r="V10" s="944">
        <f>ROUND((VLOOKUP(B10,distribucion!$B$7:$FE$237,154,0)),2)</f>
        <v>0</v>
      </c>
      <c r="W10" s="944">
        <f>ROUND((VLOOKUP(B10,distribucion!B$9:FK$200,160,0)),2)</f>
        <v>0</v>
      </c>
      <c r="X10" s="945">
        <f>SUM(P10:W10)</f>
        <v>3507.5</v>
      </c>
      <c r="Y10" s="944">
        <f>O10-X10</f>
        <v>57742.5</v>
      </c>
      <c r="Z10" s="1121">
        <v>27436.02</v>
      </c>
      <c r="AA10" s="940">
        <f t="shared" ref="AA10:AA12" si="0">+Y10-Z10</f>
        <v>30306.48</v>
      </c>
      <c r="AB10" s="944"/>
      <c r="AC10" s="944"/>
      <c r="AD10" s="949"/>
      <c r="AE10" s="942"/>
      <c r="AF10" s="948"/>
      <c r="AG10" s="950"/>
      <c r="AH10" s="950"/>
      <c r="AI10" s="950"/>
    </row>
    <row r="11" spans="1:37" s="951" customFormat="1" ht="15">
      <c r="A11" s="942">
        <v>3</v>
      </c>
      <c r="B11" s="943" t="str">
        <f>+distribucion!B13</f>
        <v xml:space="preserve">Alvarez Caceros Genesis Arleth </v>
      </c>
      <c r="C11" s="944" t="str">
        <f>VLOOKUP(B11,distribucion!B$9:FK$200,2,0)</f>
        <v>Asistente de Gerencia</v>
      </c>
      <c r="D11" s="945">
        <f>G11+K11+M11</f>
        <v>3500</v>
      </c>
      <c r="E11" s="946">
        <f>VLOOKUP(B11,distribucion!B$9:FK$201,7,0)</f>
        <v>30</v>
      </c>
      <c r="F11" s="947" t="e">
        <f>+distribucion!#REF!</f>
        <v>#REF!</v>
      </c>
      <c r="G11" s="945">
        <f>ROUND((VLOOKUP(B11,distribucion!B$9:EI$201,94,0)),2)</f>
        <v>3500</v>
      </c>
      <c r="H11" s="945">
        <f>ROUND((VLOOKUP(B11,distribucion!B$9:EI$201,95,0)),2)</f>
        <v>1500</v>
      </c>
      <c r="I11" s="945">
        <f>G11+H11</f>
        <v>5000</v>
      </c>
      <c r="J11" s="948">
        <f>VLOOKUP(B11,distribucion!B$9:EI$201,96,0)</f>
        <v>0</v>
      </c>
      <c r="K11" s="944">
        <f>ROUND((VLOOKUP(B11,distribucion!B$9:EI$201,97,0)),2)</f>
        <v>0</v>
      </c>
      <c r="L11" s="944">
        <f>VLOOKUP(B11,distribucion!B$9:EI$201,98,0)</f>
        <v>0</v>
      </c>
      <c r="M11" s="944">
        <f>ROUND((VLOOKUP(B11,distribucion!B$9:EI$201,99,0)),2)</f>
        <v>0</v>
      </c>
      <c r="N11" s="944">
        <f>ROUND((VLOOKUP(B11,distribucion!B$9:EI$201,100,0)),2)</f>
        <v>0</v>
      </c>
      <c r="O11" s="945">
        <f>SUM(I11:N11)-J11-L11</f>
        <v>5000</v>
      </c>
      <c r="P11" s="944">
        <f>ROUND(((G11+K11+M11+N11)*0.0483),2)</f>
        <v>169.05</v>
      </c>
      <c r="Q11" s="1039">
        <f>ROUND((VLOOKUP(B11,distribucion!B$8:FK$200,151,0)),2)</f>
        <v>41.55</v>
      </c>
      <c r="R11" s="944">
        <f>ROUND((VLOOKUP(B11,distribucion!B$9:FK$200,152,0)),2)</f>
        <v>0</v>
      </c>
      <c r="S11" s="944">
        <f>ROUND((VLOOKUP(B11,distribucion!B$9:FK$200,153,0)),2)</f>
        <v>0</v>
      </c>
      <c r="T11" s="944">
        <f>ROUND((VLOOKUP(B11,distribucion!$B$4:$FE$231,159,0)),2)</f>
        <v>0</v>
      </c>
      <c r="U11" s="944">
        <f>ROUND((VLOOKUP(B11,distribucion!$B$5:$FE$232,158,0)),2)</f>
        <v>0</v>
      </c>
      <c r="V11" s="944">
        <f>ROUND((VLOOKUP(B11,distribucion!$B$7:$FE$237,154,0)),2)</f>
        <v>17</v>
      </c>
      <c r="W11" s="944">
        <f>ROUND((VLOOKUP(B11,distribucion!B$9:FK$200,160,0)),2)</f>
        <v>215</v>
      </c>
      <c r="X11" s="945">
        <f>SUM(P11:W11)</f>
        <v>442.6</v>
      </c>
      <c r="Y11" s="944">
        <f>O11-X11</f>
        <v>4557.3999999999996</v>
      </c>
      <c r="Z11" s="1121">
        <v>2415.4699999999998</v>
      </c>
      <c r="AA11" s="940">
        <f t="shared" si="0"/>
        <v>2141.9299999999998</v>
      </c>
      <c r="AB11" s="944"/>
      <c r="AC11" s="944"/>
      <c r="AD11" s="949"/>
      <c r="AE11" s="942"/>
      <c r="AF11" s="948"/>
      <c r="AG11" s="950"/>
      <c r="AH11" s="950"/>
      <c r="AI11" s="950"/>
    </row>
    <row r="12" spans="1:37" s="951" customFormat="1" ht="15">
      <c r="A12" s="942">
        <v>4</v>
      </c>
      <c r="B12" s="943" t="str">
        <f>+distribucion!B18</f>
        <v>Alvarez Fajardo Erick Geovanni</v>
      </c>
      <c r="C12" s="944" t="str">
        <f>VLOOKUP(B12,distribucion!B$9:FK$200,2,0)</f>
        <v>Piloto</v>
      </c>
      <c r="D12" s="945">
        <f>G12+K12+M12</f>
        <v>949.91</v>
      </c>
      <c r="E12" s="946">
        <f>VLOOKUP(B12,distribucion!B$9:FK$201,7,0)</f>
        <v>9</v>
      </c>
      <c r="F12" s="947">
        <f>+distribucion!O15</f>
        <v>0</v>
      </c>
      <c r="G12" s="945">
        <f>ROUND((VLOOKUP(B12,distribucion!B$9:EI$201,94,0)),2)</f>
        <v>949.91</v>
      </c>
      <c r="H12" s="945">
        <f>ROUND((VLOOKUP(B12,distribucion!B$9:EI$201,95,0)),2)</f>
        <v>462.23</v>
      </c>
      <c r="I12" s="945">
        <f>G12+H12</f>
        <v>1412.1399999999999</v>
      </c>
      <c r="J12" s="948">
        <f>VLOOKUP(B12,distribucion!B$9:EI$201,96,0)</f>
        <v>0</v>
      </c>
      <c r="K12" s="944">
        <f>ROUND((VLOOKUP(B12,distribucion!B$9:EI$201,97,0)),2)</f>
        <v>0</v>
      </c>
      <c r="L12" s="944">
        <f>VLOOKUP(B12,distribucion!B$9:EI$201,98,0)</f>
        <v>0</v>
      </c>
      <c r="M12" s="944">
        <f>ROUND((VLOOKUP(B12,distribucion!B$9:EI$201,99,0)),2)</f>
        <v>0</v>
      </c>
      <c r="N12" s="944">
        <f>ROUND((VLOOKUP(B12,distribucion!B$9:EI$201,100,0)),2)</f>
        <v>0</v>
      </c>
      <c r="O12" s="945">
        <f>SUM(I12:N12)-J12-L12</f>
        <v>1412.1399999999999</v>
      </c>
      <c r="P12" s="944">
        <f>ROUND(((G12+K12+M12+N12)*0.0483),2)</f>
        <v>45.88</v>
      </c>
      <c r="Q12" s="1039">
        <f>ROUND((VLOOKUP(B12,distribucion!B$8:FK$200,151,0)),2)</f>
        <v>0</v>
      </c>
      <c r="R12" s="944">
        <f>ROUND((VLOOKUP(B12,distribucion!B$9:FK$200,152,0)),2)</f>
        <v>0</v>
      </c>
      <c r="S12" s="944">
        <f>ROUND((VLOOKUP(B12,distribucion!B$9:FK$200,153,0)),2)</f>
        <v>0</v>
      </c>
      <c r="T12" s="944">
        <f>ROUND((VLOOKUP(B12,distribucion!$B$4:$FE$231,159,0)),2)</f>
        <v>0</v>
      </c>
      <c r="U12" s="944">
        <f>ROUND((VLOOKUP(B12,distribucion!$B$5:$FE$232,158,0)),2)</f>
        <v>0</v>
      </c>
      <c r="V12" s="944">
        <f>ROUND((VLOOKUP(B12,distribucion!$B$7:$FE$237,154,0)),2)</f>
        <v>0</v>
      </c>
      <c r="W12" s="944">
        <f>ROUND((VLOOKUP(B12,distribucion!B$9:FK$200,160,0)),2)</f>
        <v>0</v>
      </c>
      <c r="X12" s="945">
        <f>SUM(P12:W12)</f>
        <v>45.88</v>
      </c>
      <c r="Y12" s="944">
        <f>O12-X12</f>
        <v>1366.2599999999998</v>
      </c>
      <c r="Z12" s="1121">
        <v>1366.2599999999998</v>
      </c>
      <c r="AA12" s="940">
        <f t="shared" si="0"/>
        <v>0</v>
      </c>
      <c r="AB12" s="944"/>
      <c r="AC12" s="944"/>
      <c r="AD12" s="1918"/>
      <c r="AE12" s="942"/>
      <c r="AF12" s="948"/>
      <c r="AG12" s="950"/>
      <c r="AH12" s="950"/>
      <c r="AI12" s="950"/>
    </row>
    <row r="13" spans="1:37" ht="15">
      <c r="A13" s="960"/>
      <c r="B13" s="928"/>
      <c r="C13" s="937" t="s">
        <v>204</v>
      </c>
      <c r="D13" s="961" t="s">
        <v>204</v>
      </c>
      <c r="E13" s="962"/>
      <c r="F13" s="963"/>
      <c r="G13" s="964">
        <f t="shared" ref="G13:AA13" si="1">SUM(G9:G12)</f>
        <v>80449.91</v>
      </c>
      <c r="H13" s="964">
        <f t="shared" si="1"/>
        <v>171781.1</v>
      </c>
      <c r="I13" s="964">
        <f t="shared" si="1"/>
        <v>252231.01</v>
      </c>
      <c r="J13" s="965">
        <f t="shared" si="1"/>
        <v>0</v>
      </c>
      <c r="K13" s="965">
        <f t="shared" si="1"/>
        <v>0</v>
      </c>
      <c r="L13" s="965">
        <f t="shared" si="1"/>
        <v>0</v>
      </c>
      <c r="M13" s="965">
        <f t="shared" si="1"/>
        <v>0</v>
      </c>
      <c r="N13" s="965">
        <f t="shared" si="1"/>
        <v>0</v>
      </c>
      <c r="O13" s="964">
        <f t="shared" si="1"/>
        <v>252231.01</v>
      </c>
      <c r="P13" s="965">
        <f t="shared" si="1"/>
        <v>939.43</v>
      </c>
      <c r="Q13" s="1891">
        <f t="shared" si="1"/>
        <v>19268.490000000002</v>
      </c>
      <c r="R13" s="965">
        <f t="shared" si="1"/>
        <v>0</v>
      </c>
      <c r="S13" s="965">
        <f t="shared" si="1"/>
        <v>0</v>
      </c>
      <c r="T13" s="965">
        <f t="shared" si="1"/>
        <v>0</v>
      </c>
      <c r="U13" s="965">
        <f t="shared" si="1"/>
        <v>0</v>
      </c>
      <c r="V13" s="965">
        <f t="shared" si="1"/>
        <v>17</v>
      </c>
      <c r="W13" s="965">
        <f t="shared" si="1"/>
        <v>215</v>
      </c>
      <c r="X13" s="964">
        <f t="shared" si="1"/>
        <v>20439.920000000002</v>
      </c>
      <c r="Y13" s="965">
        <f t="shared" si="1"/>
        <v>231791.09</v>
      </c>
      <c r="Z13" s="964">
        <f t="shared" si="1"/>
        <v>118451.2</v>
      </c>
      <c r="AA13" s="964">
        <f t="shared" si="1"/>
        <v>113339.88999999998</v>
      </c>
      <c r="AB13" s="966">
        <f>+Z13</f>
        <v>118451.2</v>
      </c>
      <c r="AC13" s="967">
        <f>+AA13-AB13</f>
        <v>-5111.3100000000122</v>
      </c>
      <c r="AD13" s="968">
        <f>+Y13-Z13-AA13</f>
        <v>0</v>
      </c>
      <c r="AE13" s="937"/>
      <c r="AF13" s="939"/>
      <c r="AG13" s="913"/>
      <c r="AH13" s="913"/>
      <c r="AI13" s="913"/>
    </row>
    <row r="14" spans="1:37" ht="15">
      <c r="A14" s="913"/>
      <c r="B14" s="935" t="s">
        <v>227</v>
      </c>
      <c r="C14" s="913"/>
      <c r="D14" s="969"/>
      <c r="E14" s="938"/>
      <c r="F14" s="963"/>
      <c r="G14" s="945"/>
      <c r="H14" s="945"/>
      <c r="I14" s="969"/>
      <c r="J14" s="970"/>
      <c r="K14" s="971"/>
      <c r="L14" s="971"/>
      <c r="M14" s="971"/>
      <c r="N14" s="971"/>
      <c r="O14" s="969"/>
      <c r="P14" s="972"/>
      <c r="Q14" s="972"/>
      <c r="R14" s="971"/>
      <c r="S14" s="971"/>
      <c r="T14" s="971"/>
      <c r="U14" s="971"/>
      <c r="V14" s="971"/>
      <c r="W14" s="971"/>
      <c r="X14" s="969"/>
      <c r="Y14" s="970"/>
      <c r="Z14" s="970"/>
      <c r="AA14" s="973"/>
      <c r="AB14" s="966">
        <f>+Z14</f>
        <v>0</v>
      </c>
      <c r="AC14" s="967">
        <f>+AA14-AB14</f>
        <v>0</v>
      </c>
      <c r="AD14" s="968">
        <f>+Y14-Z14-AA14</f>
        <v>0</v>
      </c>
      <c r="AE14" s="937"/>
      <c r="AF14" s="939"/>
      <c r="AG14" s="913"/>
      <c r="AH14" s="913"/>
      <c r="AI14" s="913"/>
    </row>
    <row r="15" spans="1:37" ht="15">
      <c r="A15" s="960">
        <v>5</v>
      </c>
      <c r="B15" s="974" t="s">
        <v>506</v>
      </c>
      <c r="C15" s="975" t="str">
        <f>VLOOKUP(B15,distribucion!B$9:FK$200,2,0)</f>
        <v>Piloto de Presidencia</v>
      </c>
      <c r="D15" s="969">
        <f t="shared" ref="D15:D19" si="2">G15+K15+M15</f>
        <v>3262.5</v>
      </c>
      <c r="E15" s="938">
        <f>VLOOKUP(B15,distribucion!B$9:FK$201,7,0)</f>
        <v>30</v>
      </c>
      <c r="F15" s="963">
        <f>VLOOKUP(B15,distribucion!$B$9:$DQ$288,14,0)</f>
        <v>0</v>
      </c>
      <c r="G15" s="945">
        <f>ROUND((VLOOKUP(B15,distribucion!B$9:EI$201,94,0)),2)</f>
        <v>3262.5</v>
      </c>
      <c r="H15" s="945">
        <f>ROUND((VLOOKUP(B15,distribucion!B$9:EI$201,95,0)),2)</f>
        <v>2250</v>
      </c>
      <c r="I15" s="969">
        <f t="shared" ref="I15:I19" si="3">G15+H15</f>
        <v>5512.5</v>
      </c>
      <c r="J15" s="970">
        <f>VLOOKUP(B15,distribucion!B$9:EI$201,96,0)</f>
        <v>0</v>
      </c>
      <c r="K15" s="971">
        <f>ROUND((VLOOKUP(B15,distribucion!B$9:EI$201,97,0)),2)</f>
        <v>0</v>
      </c>
      <c r="L15" s="971">
        <f>VLOOKUP(B15,distribucion!B$9:EI$201,98,0)</f>
        <v>0</v>
      </c>
      <c r="M15" s="971">
        <f>ROUND((VLOOKUP(B15,distribucion!B$9:EI$201,99,0)),2)</f>
        <v>0</v>
      </c>
      <c r="N15" s="971">
        <f>ROUND((VLOOKUP(B15,distribucion!B$9:EI$201,100,0)),2)</f>
        <v>0</v>
      </c>
      <c r="O15" s="969">
        <f t="shared" ref="O15:O19" si="4">SUM(I15:N15)-J15-L15</f>
        <v>5512.5</v>
      </c>
      <c r="P15" s="972">
        <f>ROUND(((G15+K15+M15+N15)*0.0483),2)</f>
        <v>157.58000000000001</v>
      </c>
      <c r="Q15" s="972">
        <f>ROUND((VLOOKUP(B15,distribucion!B$8:FK$200,151,0)),2)</f>
        <v>67.75</v>
      </c>
      <c r="R15" s="971">
        <f>ROUND((VLOOKUP(B15,distribucion!B$9:FK$200,152,0)),2)</f>
        <v>0</v>
      </c>
      <c r="S15" s="971">
        <f>ROUND((VLOOKUP(B15,distribucion!B$9:FK$200,153,0)),2)</f>
        <v>0</v>
      </c>
      <c r="T15" s="971">
        <f>ROUND((VLOOKUP(B15,distribucion!$B$4:$FE$231,159,0)),2)</f>
        <v>0</v>
      </c>
      <c r="U15" s="971">
        <f>ROUND((VLOOKUP(B15,distribucion!$B$5:$FE$232,158,0)),2)</f>
        <v>0</v>
      </c>
      <c r="V15" s="971">
        <f>ROUND((VLOOKUP(B15,distribucion!$B$7:$FE$237,154,0)),2)</f>
        <v>0</v>
      </c>
      <c r="W15" s="971">
        <f>ROUND((VLOOKUP(B15,distribucion!B$9:FK$200,160,0)),2)</f>
        <v>50</v>
      </c>
      <c r="X15" s="969">
        <f t="shared" ref="X15:X19" si="5">SUM(P15:W15)</f>
        <v>275.33000000000004</v>
      </c>
      <c r="Y15" s="969">
        <f t="shared" ref="Y15:Y19" si="6">O15-X15</f>
        <v>5237.17</v>
      </c>
      <c r="Z15" s="1121">
        <v>2632.3</v>
      </c>
      <c r="AA15" s="940">
        <f t="shared" ref="AA15:AA19" si="7">+Y15-Z15</f>
        <v>2604.87</v>
      </c>
      <c r="AB15" s="966">
        <f>+Z15</f>
        <v>2632.3</v>
      </c>
      <c r="AC15" s="967">
        <f>+AA15-AB15</f>
        <v>-27.430000000000291</v>
      </c>
      <c r="AD15" s="968">
        <f>+Y15-Z15-AA15</f>
        <v>0</v>
      </c>
      <c r="AE15" s="937"/>
      <c r="AF15" s="939"/>
      <c r="AG15" s="913"/>
      <c r="AH15" s="913"/>
      <c r="AI15" s="913"/>
    </row>
    <row r="16" spans="1:37" ht="15">
      <c r="A16" s="960">
        <f>+A15+1</f>
        <v>6</v>
      </c>
      <c r="B16" s="974" t="str">
        <f>+distribucion!B23</f>
        <v>Saenz Lemus Dulce Maria</v>
      </c>
      <c r="C16" s="975" t="str">
        <f>VLOOKUP(B16,distribucion!B$9:FK$200,2,0)</f>
        <v>Recepcionista</v>
      </c>
      <c r="D16" s="969">
        <f t="shared" si="2"/>
        <v>3166.38</v>
      </c>
      <c r="E16" s="938">
        <f>VLOOKUP(B16,distribucion!B$9:FK$201,7,0)</f>
        <v>30</v>
      </c>
      <c r="F16" s="963">
        <f>VLOOKUP(B16,distribucion!$B$9:$DQ$288,14,0)</f>
        <v>0</v>
      </c>
      <c r="G16" s="945">
        <f>ROUND((VLOOKUP(B16,distribucion!B$9:EI$201,94,0)),2)</f>
        <v>3166.38</v>
      </c>
      <c r="H16" s="945">
        <f>ROUND((VLOOKUP(B16,distribucion!B$9:EI$201,95,0)),2)</f>
        <v>250</v>
      </c>
      <c r="I16" s="969">
        <f t="shared" si="3"/>
        <v>3416.38</v>
      </c>
      <c r="J16" s="970">
        <f>VLOOKUP(B16,distribucion!B$9:EI$201,96,0)</f>
        <v>0</v>
      </c>
      <c r="K16" s="971">
        <f>ROUND((VLOOKUP(B16,distribucion!B$9:EI$201,97,0)),2)</f>
        <v>0</v>
      </c>
      <c r="L16" s="971">
        <f>VLOOKUP(B16,distribucion!B$9:EI$201,98,0)</f>
        <v>0</v>
      </c>
      <c r="M16" s="971">
        <f>ROUND((VLOOKUP(B16,distribucion!B$9:EI$201,99,0)),2)</f>
        <v>0</v>
      </c>
      <c r="N16" s="971">
        <f>ROUND((VLOOKUP(B16,distribucion!B$9:EI$201,100,0)),2)</f>
        <v>0</v>
      </c>
      <c r="O16" s="969">
        <f t="shared" si="4"/>
        <v>3416.38</v>
      </c>
      <c r="P16" s="972">
        <f>ROUND(((G16+K16+M16+N16)*0.0483),2)</f>
        <v>152.94</v>
      </c>
      <c r="Q16" s="972">
        <f>ROUND((VLOOKUP(B16,distribucion!B$8:FK$200,151,0)),2)</f>
        <v>0</v>
      </c>
      <c r="R16" s="971">
        <f>ROUND((VLOOKUP(B16,distribucion!B$9:FK$200,152,0)),2)</f>
        <v>0</v>
      </c>
      <c r="S16" s="971">
        <f>ROUND((VLOOKUP(B16,distribucion!B$9:FK$200,153,0)),2)</f>
        <v>0</v>
      </c>
      <c r="T16" s="971">
        <f>ROUND((VLOOKUP(B16,distribucion!$B$4:$FE$231,159,0)),2)</f>
        <v>0</v>
      </c>
      <c r="U16" s="971">
        <f>ROUND((VLOOKUP(B16,distribucion!$B$5:$FE$232,158,0)),2)</f>
        <v>0</v>
      </c>
      <c r="V16" s="971">
        <f>ROUND((VLOOKUP(B16,distribucion!$B$7:$FE$237,154,0)),2)</f>
        <v>0</v>
      </c>
      <c r="W16" s="971">
        <f>ROUND((VLOOKUP(B16,distribucion!B$9:FK$200,160,0)),2)</f>
        <v>50</v>
      </c>
      <c r="X16" s="969">
        <f t="shared" si="5"/>
        <v>202.94</v>
      </c>
      <c r="Y16" s="969">
        <f t="shared" si="6"/>
        <v>3213.44</v>
      </c>
      <c r="Z16" s="1121">
        <v>1631.72</v>
      </c>
      <c r="AA16" s="940">
        <f t="shared" si="7"/>
        <v>1581.72</v>
      </c>
      <c r="AB16" s="966"/>
      <c r="AC16" s="967"/>
      <c r="AD16" s="968"/>
      <c r="AE16" s="937"/>
      <c r="AF16" s="939"/>
      <c r="AG16" s="913"/>
      <c r="AH16" s="913"/>
      <c r="AI16" s="913"/>
    </row>
    <row r="17" spans="1:38" s="907" customFormat="1" ht="15">
      <c r="A17" s="960">
        <f t="shared" ref="A17:A19" si="8">+A16+1</f>
        <v>7</v>
      </c>
      <c r="B17" s="974" t="s">
        <v>514</v>
      </c>
      <c r="C17" s="953" t="str">
        <f>VLOOKUP(B17,distribucion!B$9:FK$200,2,0)</f>
        <v>Conserje</v>
      </c>
      <c r="D17" s="954">
        <f t="shared" si="2"/>
        <v>3166.38</v>
      </c>
      <c r="E17" s="955">
        <f>VLOOKUP(B17,distribucion!B$9:FK$201,7,0)</f>
        <v>30</v>
      </c>
      <c r="F17" s="956">
        <f>VLOOKUP(B17,distribucion!$B$9:$DQ$288,14,0)</f>
        <v>0</v>
      </c>
      <c r="G17" s="954">
        <f>ROUND((VLOOKUP(B17,distribucion!B$9:EI$201,94,0)),2)</f>
        <v>3166.38</v>
      </c>
      <c r="H17" s="954">
        <f>ROUND((VLOOKUP(B17,distribucion!B$9:EI$201,95,0)),2)</f>
        <v>250</v>
      </c>
      <c r="I17" s="954">
        <f t="shared" si="3"/>
        <v>3416.38</v>
      </c>
      <c r="J17" s="957">
        <f>VLOOKUP(B17,distribucion!B$9:EI$201,96,0)</f>
        <v>0</v>
      </c>
      <c r="K17" s="953">
        <f>ROUND((VLOOKUP(B17,distribucion!B$9:EI$201,97,0)),2)</f>
        <v>0</v>
      </c>
      <c r="L17" s="953">
        <f>VLOOKUP(B17,distribucion!B$9:EI$201,98,0)</f>
        <v>0</v>
      </c>
      <c r="M17" s="953">
        <f>ROUND((VLOOKUP(B17,distribucion!B$9:EI$201,99,0)),2)</f>
        <v>0</v>
      </c>
      <c r="N17" s="953">
        <f>ROUND((VLOOKUP(B17,distribucion!B$9:EI$201,100,0)),2)</f>
        <v>0</v>
      </c>
      <c r="O17" s="954">
        <f t="shared" si="4"/>
        <v>3416.38</v>
      </c>
      <c r="P17" s="976">
        <f>ROUND(((G17+K17+M17+N17)*4.83%),2)</f>
        <v>152.94</v>
      </c>
      <c r="Q17" s="976">
        <f>ROUND((VLOOKUP(B17,distribucion!B$8:FK$200,151,0)),2)</f>
        <v>0</v>
      </c>
      <c r="R17" s="953">
        <f>ROUND((VLOOKUP(B17,distribucion!B$9:FK$200,152,0)),2)</f>
        <v>0</v>
      </c>
      <c r="S17" s="953">
        <f>ROUND((VLOOKUP(B17,distribucion!B$9:FK$200,153,0)),2)</f>
        <v>0</v>
      </c>
      <c r="T17" s="953">
        <f>ROUND((VLOOKUP(B17,distribucion!$B$4:$FE$231,159,0)),2)</f>
        <v>0</v>
      </c>
      <c r="U17" s="953">
        <f>ROUND((VLOOKUP(B17,distribucion!$B$5:$FE$232,158,0)),2)</f>
        <v>0</v>
      </c>
      <c r="V17" s="953">
        <f>ROUND((VLOOKUP(B17,distribucion!$B$7:$FE$237,154,0)),2)</f>
        <v>0</v>
      </c>
      <c r="W17" s="953">
        <f>ROUND((VLOOKUP(B17,distribucion!B$9:FK$200,160,0)),2)</f>
        <v>439.12</v>
      </c>
      <c r="X17" s="954">
        <f t="shared" si="5"/>
        <v>592.05999999999995</v>
      </c>
      <c r="Y17" s="954">
        <f t="shared" si="6"/>
        <v>2824.32</v>
      </c>
      <c r="Z17" s="1121">
        <v>1631.72</v>
      </c>
      <c r="AA17" s="940">
        <f t="shared" si="7"/>
        <v>1192.6000000000001</v>
      </c>
      <c r="AB17" s="977">
        <f t="shared" ref="AB17:AB31" si="9">+Z17</f>
        <v>1631.72</v>
      </c>
      <c r="AC17" s="978">
        <f t="shared" ref="AC17:AC31" si="10">+AA17-AB17</f>
        <v>-439.11999999999989</v>
      </c>
      <c r="AD17" s="958">
        <f t="shared" ref="AD17:AD35" si="11">+Y17-Z17-AA17</f>
        <v>0</v>
      </c>
      <c r="AE17" s="937"/>
      <c r="AF17" s="939"/>
      <c r="AG17" s="959"/>
      <c r="AH17" s="959"/>
      <c r="AI17" s="959"/>
    </row>
    <row r="18" spans="1:38" s="986" customFormat="1" ht="15">
      <c r="A18" s="960">
        <v>8</v>
      </c>
      <c r="B18" s="979" t="s">
        <v>520</v>
      </c>
      <c r="C18" s="980" t="str">
        <f>VLOOKUP(B18,distribucion!B$9:FK$200,2,0)</f>
        <v>Mensajero</v>
      </c>
      <c r="D18" s="940">
        <f t="shared" si="2"/>
        <v>3166.38</v>
      </c>
      <c r="E18" s="981">
        <f>VLOOKUP(B18,distribucion!B$9:FK$201,7,0)</f>
        <v>30</v>
      </c>
      <c r="F18" s="982">
        <f>VLOOKUP(B18,distribucion!$B$9:$DQ$288,14,0)</f>
        <v>0</v>
      </c>
      <c r="G18" s="983">
        <f>ROUND((VLOOKUP(B18,distribucion!B$9:EI$201,94,0)),2)</f>
        <v>3166.38</v>
      </c>
      <c r="H18" s="983">
        <f>ROUND((VLOOKUP(B18,distribucion!B$9:EI$201,95,0)),2)</f>
        <v>370</v>
      </c>
      <c r="I18" s="940">
        <f t="shared" si="3"/>
        <v>3536.38</v>
      </c>
      <c r="J18" s="984">
        <f>VLOOKUP(B18,distribucion!B$9:EI$201,96,0)</f>
        <v>0</v>
      </c>
      <c r="K18" s="972">
        <f>ROUND((VLOOKUP(B18,distribucion!B$9:EI$201,97,0)),2)</f>
        <v>0</v>
      </c>
      <c r="L18" s="972">
        <f>VLOOKUP(B18,distribucion!B$9:EI$201,98,0)</f>
        <v>0</v>
      </c>
      <c r="M18" s="972">
        <f>ROUND((VLOOKUP(B18,distribucion!B$9:EI$201,99,0)),2)</f>
        <v>0</v>
      </c>
      <c r="N18" s="972">
        <f>ROUND((VLOOKUP(B18,distribucion!B$9:EI$201,100,0)),2)</f>
        <v>0</v>
      </c>
      <c r="O18" s="940">
        <f t="shared" si="4"/>
        <v>3536.38</v>
      </c>
      <c r="P18" s="972">
        <f>ROUND(((G18+K18+M18+N18)*4.83%),2)</f>
        <v>152.94</v>
      </c>
      <c r="Q18" s="972">
        <f>ROUND((VLOOKUP(B18,distribucion!B$8:FK$200,151,0)),2)</f>
        <v>0</v>
      </c>
      <c r="R18" s="971">
        <f>ROUND((VLOOKUP(B18,distribucion!B$9:FK$200,152,0)),2)</f>
        <v>0</v>
      </c>
      <c r="S18" s="971">
        <f>ROUND((VLOOKUP(B18,distribucion!B$9:FK$200,153,0)),2)</f>
        <v>0</v>
      </c>
      <c r="T18" s="971">
        <f>ROUND((VLOOKUP(B18,distribucion!$B$4:$FE$231,159,0)),2)</f>
        <v>0</v>
      </c>
      <c r="U18" s="971">
        <f>ROUND((VLOOKUP(B18,distribucion!$B$5:$FE$232,158,0)),2)</f>
        <v>0</v>
      </c>
      <c r="V18" s="971">
        <f>ROUND((VLOOKUP(B18,distribucion!$B$7:$FE$237,154,0)),2)</f>
        <v>0</v>
      </c>
      <c r="W18" s="971">
        <f>ROUND((VLOOKUP(B18,distribucion!B$9:FK$200,160,0)),2)</f>
        <v>0</v>
      </c>
      <c r="X18" s="940">
        <f t="shared" si="5"/>
        <v>152.94</v>
      </c>
      <c r="Y18" s="940">
        <f t="shared" si="6"/>
        <v>3383.44</v>
      </c>
      <c r="Z18" s="1121">
        <v>1691.72</v>
      </c>
      <c r="AA18" s="940">
        <f t="shared" si="7"/>
        <v>1691.72</v>
      </c>
      <c r="AB18" s="966">
        <f t="shared" si="9"/>
        <v>1691.72</v>
      </c>
      <c r="AC18" s="967">
        <f t="shared" si="10"/>
        <v>0</v>
      </c>
      <c r="AD18" s="968">
        <f t="shared" si="11"/>
        <v>0</v>
      </c>
      <c r="AE18" s="937"/>
      <c r="AF18" s="939"/>
      <c r="AG18" s="985"/>
      <c r="AH18" s="985"/>
      <c r="AI18" s="985"/>
    </row>
    <row r="19" spans="1:38" ht="15">
      <c r="A19" s="960">
        <f t="shared" si="8"/>
        <v>9</v>
      </c>
      <c r="B19" s="974" t="s">
        <v>515</v>
      </c>
      <c r="C19" s="975" t="str">
        <f>VLOOKUP(B19,distribucion!B$9:FK$200,2,0)</f>
        <v>Mensajero</v>
      </c>
      <c r="D19" s="969">
        <f t="shared" si="2"/>
        <v>3166.38</v>
      </c>
      <c r="E19" s="938">
        <f>VLOOKUP(B19,distribucion!B$9:FK$201,7,0)</f>
        <v>30</v>
      </c>
      <c r="F19" s="963">
        <f>VLOOKUP(B19,distribucion!$B$9:$DQ$288,14,0)</f>
        <v>0</v>
      </c>
      <c r="G19" s="945">
        <f>ROUND((VLOOKUP(B19,distribucion!B$9:EI$201,94,0)),2)</f>
        <v>3166.38</v>
      </c>
      <c r="H19" s="945">
        <f>ROUND((VLOOKUP(B19,distribucion!B$9:EI$201,95,0)),2)</f>
        <v>370</v>
      </c>
      <c r="I19" s="969">
        <f t="shared" si="3"/>
        <v>3536.38</v>
      </c>
      <c r="J19" s="970">
        <f>VLOOKUP(B19,distribucion!B$9:EI$201,96,0)</f>
        <v>0</v>
      </c>
      <c r="K19" s="971">
        <f>ROUND((VLOOKUP(B19,distribucion!B$9:EI$201,97,0)),2)</f>
        <v>0</v>
      </c>
      <c r="L19" s="971">
        <f>VLOOKUP(B19,distribucion!B$9:EI$201,98,0)</f>
        <v>0</v>
      </c>
      <c r="M19" s="971">
        <f>ROUND((VLOOKUP(B19,distribucion!B$9:EI$201,99,0)),2)</f>
        <v>0</v>
      </c>
      <c r="N19" s="971">
        <f>ROUND((VLOOKUP(B19,distribucion!B$9:EI$201,100,0)),2)</f>
        <v>0</v>
      </c>
      <c r="O19" s="969">
        <f t="shared" si="4"/>
        <v>3536.38</v>
      </c>
      <c r="P19" s="972">
        <f>ROUND(((G19+K19+M19+N19)*4.83%),2)</f>
        <v>152.94</v>
      </c>
      <c r="Q19" s="972">
        <f>ROUND((VLOOKUP(B19,distribucion!B$8:FK$200,151,0)),2)</f>
        <v>0</v>
      </c>
      <c r="R19" s="971">
        <f>ROUND((VLOOKUP(B19,distribucion!B$9:FK$200,152,0)),2)</f>
        <v>0</v>
      </c>
      <c r="S19" s="971">
        <f>ROUND((VLOOKUP(B19,distribucion!B$9:FK$200,153,0)),2)</f>
        <v>0</v>
      </c>
      <c r="T19" s="971">
        <f>ROUND((VLOOKUP(B19,distribucion!$B$4:$FE$231,159,0)),2)</f>
        <v>0</v>
      </c>
      <c r="U19" s="971">
        <f>ROUND((VLOOKUP(B19,distribucion!$B$5:$FE$232,158,0)),2)</f>
        <v>0</v>
      </c>
      <c r="V19" s="971">
        <f>ROUND((VLOOKUP(B19,distribucion!$B$7:$FE$237,154,0)),2)</f>
        <v>0</v>
      </c>
      <c r="W19" s="971">
        <f>ROUND((VLOOKUP(B19,distribucion!B$9:FK$200,160,0)),2)</f>
        <v>450</v>
      </c>
      <c r="X19" s="969">
        <f t="shared" si="5"/>
        <v>602.94000000000005</v>
      </c>
      <c r="Y19" s="969">
        <f t="shared" si="6"/>
        <v>2933.44</v>
      </c>
      <c r="Z19" s="1121">
        <v>1691.72</v>
      </c>
      <c r="AA19" s="940">
        <f t="shared" si="7"/>
        <v>1241.72</v>
      </c>
      <c r="AB19" s="966">
        <f t="shared" si="9"/>
        <v>1691.72</v>
      </c>
      <c r="AC19" s="967">
        <f t="shared" si="10"/>
        <v>-450</v>
      </c>
      <c r="AD19" s="968">
        <f t="shared" si="11"/>
        <v>0</v>
      </c>
      <c r="AE19" s="937"/>
      <c r="AF19" s="939"/>
      <c r="AG19" s="913"/>
      <c r="AH19" s="913"/>
      <c r="AI19" s="913"/>
    </row>
    <row r="20" spans="1:38" s="995" customFormat="1" ht="15">
      <c r="A20" s="960"/>
      <c r="B20" s="987"/>
      <c r="C20" s="988" t="s">
        <v>204</v>
      </c>
      <c r="D20" s="961" t="s">
        <v>204</v>
      </c>
      <c r="E20" s="962"/>
      <c r="F20" s="963"/>
      <c r="G20" s="989">
        <f t="shared" ref="G20:AA20" si="12">SUM(G15:G19)</f>
        <v>15928.02</v>
      </c>
      <c r="H20" s="989">
        <f t="shared" si="12"/>
        <v>3490</v>
      </c>
      <c r="I20" s="989">
        <f t="shared" si="12"/>
        <v>19418.020000000004</v>
      </c>
      <c r="J20" s="990">
        <f t="shared" si="12"/>
        <v>0</v>
      </c>
      <c r="K20" s="991">
        <f t="shared" si="12"/>
        <v>0</v>
      </c>
      <c r="L20" s="991">
        <f t="shared" si="12"/>
        <v>0</v>
      </c>
      <c r="M20" s="991">
        <f t="shared" si="12"/>
        <v>0</v>
      </c>
      <c r="N20" s="991">
        <f t="shared" si="12"/>
        <v>0</v>
      </c>
      <c r="O20" s="989">
        <f t="shared" si="12"/>
        <v>19418.020000000004</v>
      </c>
      <c r="P20" s="992">
        <f t="shared" si="12"/>
        <v>769.33999999999992</v>
      </c>
      <c r="Q20" s="992">
        <f t="shared" si="12"/>
        <v>67.75</v>
      </c>
      <c r="R20" s="991">
        <f t="shared" si="12"/>
        <v>0</v>
      </c>
      <c r="S20" s="991">
        <f t="shared" si="12"/>
        <v>0</v>
      </c>
      <c r="T20" s="991">
        <f t="shared" si="12"/>
        <v>0</v>
      </c>
      <c r="U20" s="991">
        <f t="shared" si="12"/>
        <v>0</v>
      </c>
      <c r="V20" s="991">
        <f t="shared" si="12"/>
        <v>0</v>
      </c>
      <c r="W20" s="991">
        <f t="shared" si="12"/>
        <v>989.12</v>
      </c>
      <c r="X20" s="989">
        <f t="shared" si="12"/>
        <v>1826.21</v>
      </c>
      <c r="Y20" s="989">
        <f t="shared" si="12"/>
        <v>17591.810000000001</v>
      </c>
      <c r="Z20" s="989">
        <f t="shared" si="12"/>
        <v>9279.18</v>
      </c>
      <c r="AA20" s="989">
        <f t="shared" si="12"/>
        <v>8312.630000000001</v>
      </c>
      <c r="AB20" s="966">
        <f t="shared" si="9"/>
        <v>9279.18</v>
      </c>
      <c r="AC20" s="967">
        <f t="shared" si="10"/>
        <v>-966.54999999999927</v>
      </c>
      <c r="AD20" s="968">
        <f t="shared" si="11"/>
        <v>0</v>
      </c>
      <c r="AE20" s="937"/>
      <c r="AF20" s="939"/>
      <c r="AG20" s="993"/>
      <c r="AH20" s="993"/>
      <c r="AI20" s="993"/>
      <c r="AJ20" s="994"/>
      <c r="AK20" s="994"/>
      <c r="AL20" s="994"/>
    </row>
    <row r="21" spans="1:38" s="995" customFormat="1" ht="15">
      <c r="A21" s="960"/>
      <c r="B21" s="987"/>
      <c r="C21" s="988"/>
      <c r="D21" s="961"/>
      <c r="E21" s="962"/>
      <c r="F21" s="963"/>
      <c r="G21" s="969"/>
      <c r="H21" s="969"/>
      <c r="I21" s="969"/>
      <c r="J21" s="970"/>
      <c r="K21" s="971"/>
      <c r="L21" s="971"/>
      <c r="M21" s="971"/>
      <c r="N21" s="971"/>
      <c r="O21" s="969"/>
      <c r="P21" s="972"/>
      <c r="Q21" s="972"/>
      <c r="R21" s="971"/>
      <c r="S21" s="971"/>
      <c r="T21" s="971"/>
      <c r="U21" s="971"/>
      <c r="V21" s="971"/>
      <c r="W21" s="971"/>
      <c r="X21" s="969"/>
      <c r="Y21" s="969"/>
      <c r="Z21" s="970"/>
      <c r="AA21" s="969"/>
      <c r="AB21" s="966">
        <f t="shared" si="9"/>
        <v>0</v>
      </c>
      <c r="AC21" s="967">
        <f t="shared" si="10"/>
        <v>0</v>
      </c>
      <c r="AD21" s="968">
        <f t="shared" si="11"/>
        <v>0</v>
      </c>
      <c r="AE21" s="937"/>
      <c r="AF21" s="939"/>
      <c r="AG21" s="993"/>
      <c r="AH21" s="993"/>
      <c r="AI21" s="993"/>
      <c r="AJ21" s="994"/>
      <c r="AK21" s="994"/>
      <c r="AL21" s="994"/>
    </row>
    <row r="22" spans="1:38" s="995" customFormat="1" ht="15">
      <c r="A22" s="913"/>
      <c r="B22" s="935" t="s">
        <v>147</v>
      </c>
      <c r="C22" s="942"/>
      <c r="D22" s="969"/>
      <c r="E22" s="938"/>
      <c r="F22" s="963"/>
      <c r="G22" s="969"/>
      <c r="H22" s="969"/>
      <c r="I22" s="969"/>
      <c r="J22" s="970"/>
      <c r="K22" s="971"/>
      <c r="L22" s="971"/>
      <c r="M22" s="971"/>
      <c r="N22" s="971"/>
      <c r="O22" s="969"/>
      <c r="P22" s="972"/>
      <c r="Q22" s="972"/>
      <c r="R22" s="971"/>
      <c r="S22" s="971"/>
      <c r="T22" s="971"/>
      <c r="U22" s="971"/>
      <c r="V22" s="971"/>
      <c r="W22" s="971"/>
      <c r="X22" s="969"/>
      <c r="Y22" s="969"/>
      <c r="Z22" s="970"/>
      <c r="AA22" s="973"/>
      <c r="AB22" s="966">
        <f t="shared" si="9"/>
        <v>0</v>
      </c>
      <c r="AC22" s="967">
        <f t="shared" si="10"/>
        <v>0</v>
      </c>
      <c r="AD22" s="968">
        <f t="shared" si="11"/>
        <v>0</v>
      </c>
      <c r="AE22" s="937"/>
      <c r="AF22" s="939"/>
      <c r="AG22" s="993"/>
      <c r="AH22" s="993"/>
      <c r="AI22" s="993"/>
      <c r="AJ22" s="994"/>
      <c r="AK22" s="994"/>
      <c r="AL22" s="994"/>
    </row>
    <row r="23" spans="1:38" ht="15">
      <c r="A23" s="960">
        <v>10</v>
      </c>
      <c r="B23" s="952" t="s">
        <v>500</v>
      </c>
      <c r="C23" s="975" t="str">
        <f>VLOOKUP(B23,distribucion!B$9:FK$200,2,0)</f>
        <v>Auditor interno</v>
      </c>
      <c r="D23" s="969">
        <f t="shared" ref="D23:D27" si="13">G23+K23+M23</f>
        <v>6000</v>
      </c>
      <c r="E23" s="938">
        <f>VLOOKUP(B23,distribucion!B$9:FK$201,7,0)</f>
        <v>30</v>
      </c>
      <c r="F23" s="963" t="str">
        <f>VLOOKUP(B23,distribucion!$B$9:$DQ$288,14,0)</f>
        <v xml:space="preserve"> </v>
      </c>
      <c r="G23" s="945">
        <f>ROUND((VLOOKUP(B23,distribucion!B$9:EI$201,94,0)),2)</f>
        <v>6000</v>
      </c>
      <c r="H23" s="945">
        <f>ROUND((VLOOKUP(B23,distribucion!B$9:EI$201,95,0)),2)</f>
        <v>4000</v>
      </c>
      <c r="I23" s="969">
        <f t="shared" ref="I23:I27" si="14">G23+H23</f>
        <v>10000</v>
      </c>
      <c r="J23" s="970">
        <f>VLOOKUP(B23,distribucion!B$9:EI$201,96,0)</f>
        <v>0</v>
      </c>
      <c r="K23" s="971">
        <f>ROUND((VLOOKUP(B23,distribucion!B$9:EI$201,97,0)),2)</f>
        <v>0</v>
      </c>
      <c r="L23" s="971">
        <f>VLOOKUP(B23,distribucion!B$9:EI$201,98,0)</f>
        <v>0</v>
      </c>
      <c r="M23" s="971">
        <f>ROUND((VLOOKUP(B23,distribucion!B$9:EI$201,99,0)),2)</f>
        <v>0</v>
      </c>
      <c r="N23" s="971">
        <f>ROUND((VLOOKUP(B23,distribucion!B$9:EI$201,100,0)),2)</f>
        <v>0</v>
      </c>
      <c r="O23" s="969">
        <f t="shared" ref="O23:O27" si="15">SUM(I23:N23)-J23-L23</f>
        <v>10000</v>
      </c>
      <c r="P23" s="972">
        <f t="shared" ref="P23:P27" si="16">ROUND(((G23+K23+M23+N23)*0.0483),2)</f>
        <v>289.8</v>
      </c>
      <c r="Q23" s="972">
        <f>ROUND((VLOOKUP(B23,distribucion!B$8:FK$200,151,0)),2)</f>
        <v>285.51</v>
      </c>
      <c r="R23" s="971">
        <f>ROUND((VLOOKUP(B23,distribucion!B$9:FK$200,152,0)),2)</f>
        <v>0</v>
      </c>
      <c r="S23" s="971">
        <f>ROUND((VLOOKUP(B23,distribucion!B$9:FK$200,153,0)),2)</f>
        <v>0</v>
      </c>
      <c r="T23" s="971">
        <f>ROUND((VLOOKUP(B23,distribucion!$B$4:$FE$231,159,0)),2)</f>
        <v>0</v>
      </c>
      <c r="U23" s="971">
        <f>ROUND((VLOOKUP(B23,distribucion!$B$5:$FE$232,158,0)),2)</f>
        <v>0</v>
      </c>
      <c r="V23" s="971">
        <f>ROUND((VLOOKUP(B23,distribucion!$B$7:$FE$237,154,0)),2)</f>
        <v>0</v>
      </c>
      <c r="W23" s="971">
        <f>ROUND((VLOOKUP(B23,distribucion!B$9:FK$200,160,0)),2)</f>
        <v>340</v>
      </c>
      <c r="X23" s="969">
        <f t="shared" ref="X23:X27" si="17">SUM(P23:W23)</f>
        <v>915.31</v>
      </c>
      <c r="Y23" s="969">
        <f t="shared" ref="Y23:Y27" si="18">O23-X23</f>
        <v>9084.69</v>
      </c>
      <c r="Z23" s="1121">
        <v>4494.76</v>
      </c>
      <c r="AA23" s="940">
        <f t="shared" ref="AA23:AA27" si="19">+Y23-Z23</f>
        <v>4589.93</v>
      </c>
      <c r="AB23" s="966">
        <f t="shared" si="9"/>
        <v>4494.76</v>
      </c>
      <c r="AC23" s="967">
        <f t="shared" si="10"/>
        <v>95.170000000000073</v>
      </c>
      <c r="AD23" s="968">
        <f t="shared" si="11"/>
        <v>0</v>
      </c>
      <c r="AE23" s="937"/>
      <c r="AF23" s="939"/>
      <c r="AG23" s="913"/>
      <c r="AH23" s="913"/>
      <c r="AI23" s="913"/>
    </row>
    <row r="24" spans="1:38" ht="15">
      <c r="A24" s="960">
        <f>+A23+1</f>
        <v>11</v>
      </c>
      <c r="B24" s="952" t="str">
        <f>+distribucion!B33</f>
        <v>Yoc Barillas Luis Estuardo</v>
      </c>
      <c r="C24" s="975" t="str">
        <f>VLOOKUP(B24,distribucion!B$9:FK$200,2,0)</f>
        <v xml:space="preserve">Contador    </v>
      </c>
      <c r="D24" s="969">
        <f t="shared" ref="D24" si="20">G24+K24+M24</f>
        <v>4833.33</v>
      </c>
      <c r="E24" s="938">
        <f>VLOOKUP(B24,distribucion!B$9:FK$201,7,0)</f>
        <v>29</v>
      </c>
      <c r="F24" s="963" t="str">
        <f>VLOOKUP(B24,distribucion!$B$9:$DQ$288,14,0)</f>
        <v>A.2/1/2023</v>
      </c>
      <c r="G24" s="945">
        <f>ROUND((VLOOKUP(B24,distribucion!B$9:EI$201,94,0)),2)</f>
        <v>4833.33</v>
      </c>
      <c r="H24" s="945">
        <f>ROUND((VLOOKUP(B24,distribucion!B$9:EI$201,95,0)),2)</f>
        <v>3416.67</v>
      </c>
      <c r="I24" s="969">
        <f t="shared" ref="I24" si="21">G24+H24</f>
        <v>8250</v>
      </c>
      <c r="J24" s="970">
        <f>VLOOKUP(B24,distribucion!B$9:EI$201,96,0)</f>
        <v>0</v>
      </c>
      <c r="K24" s="971">
        <f>ROUND((VLOOKUP(B24,distribucion!B$9:EI$201,97,0)),2)</f>
        <v>0</v>
      </c>
      <c r="L24" s="971">
        <f>VLOOKUP(B24,distribucion!B$9:EI$201,98,0)</f>
        <v>0</v>
      </c>
      <c r="M24" s="971">
        <f>ROUND((VLOOKUP(B24,distribucion!B$9:EI$201,99,0)),2)</f>
        <v>0</v>
      </c>
      <c r="N24" s="971">
        <f>ROUND((VLOOKUP(B24,distribucion!B$9:EI$201,100,0)),2)</f>
        <v>0</v>
      </c>
      <c r="O24" s="969">
        <f t="shared" ref="O24" si="22">SUM(I24:N24)-J24-L24</f>
        <v>8250</v>
      </c>
      <c r="P24" s="972">
        <f t="shared" ref="P24" si="23">ROUND(((G24+K24+M24+N24)*0.0483),2)</f>
        <v>233.45</v>
      </c>
      <c r="Q24" s="972">
        <f>ROUND((VLOOKUP(B24,distribucion!B$8:FK$200,151,0)),2)</f>
        <v>162.93</v>
      </c>
      <c r="R24" s="971">
        <f>ROUND((VLOOKUP(B24,distribucion!B$9:FK$200,152,0)),2)</f>
        <v>0</v>
      </c>
      <c r="S24" s="971">
        <f>ROUND((VLOOKUP(B24,distribucion!B$9:FK$200,153,0)),2)</f>
        <v>0</v>
      </c>
      <c r="T24" s="971">
        <f>ROUND((VLOOKUP(B24,distribucion!$B$4:$FE$231,159,0)),2)</f>
        <v>135</v>
      </c>
      <c r="U24" s="971">
        <f>ROUND((VLOOKUP(B24,distribucion!$B$5:$FE$232,158,0)),2)</f>
        <v>0</v>
      </c>
      <c r="V24" s="971">
        <f>ROUND((VLOOKUP(B24,distribucion!$B$7:$FE$237,154,0)),2)</f>
        <v>0</v>
      </c>
      <c r="W24" s="971">
        <f>ROUND((VLOOKUP(B24,distribucion!B$9:FK$200,160,0)),2)</f>
        <v>315</v>
      </c>
      <c r="X24" s="969">
        <f t="shared" ref="X24" si="24">SUM(P24:W24)</f>
        <v>846.38</v>
      </c>
      <c r="Y24" s="969">
        <f t="shared" ref="Y24" si="25">O24-X24</f>
        <v>7403.62</v>
      </c>
      <c r="Z24" s="1121">
        <v>3319.8</v>
      </c>
      <c r="AA24" s="940">
        <f t="shared" si="19"/>
        <v>4083.8199999999997</v>
      </c>
      <c r="AB24" s="966"/>
      <c r="AC24" s="967"/>
      <c r="AD24" s="968"/>
      <c r="AE24" s="937"/>
      <c r="AF24" s="939"/>
      <c r="AG24" s="913"/>
      <c r="AH24" s="913"/>
      <c r="AI24" s="913"/>
    </row>
    <row r="25" spans="1:38" ht="15">
      <c r="A25" s="960">
        <f t="shared" ref="A25:A27" si="26">+A24+1</f>
        <v>12</v>
      </c>
      <c r="B25" s="952" t="str">
        <f>+distribucion!B37</f>
        <v>Hernandez Reyes Astrid Verenice</v>
      </c>
      <c r="C25" s="975" t="str">
        <f>VLOOKUP(B25,distribucion!B$9:FK$200,2,0)</f>
        <v>Auxiliar Contable</v>
      </c>
      <c r="D25" s="969">
        <f t="shared" si="13"/>
        <v>3166.38</v>
      </c>
      <c r="E25" s="938">
        <f>VLOOKUP(B25,distribucion!B$9:FK$201,7,0)</f>
        <v>30</v>
      </c>
      <c r="F25" s="963">
        <f>VLOOKUP(B25,distribucion!$B$9:$DQ$288,14,0)</f>
        <v>0</v>
      </c>
      <c r="G25" s="945">
        <f>ROUND((VLOOKUP(B25,distribucion!B$9:EI$201,94,0)),2)</f>
        <v>3166.38</v>
      </c>
      <c r="H25" s="945">
        <f>ROUND((VLOOKUP(B25,distribucion!B$9:EI$201,95,0)),2)</f>
        <v>1233.6199999999999</v>
      </c>
      <c r="I25" s="969">
        <f t="shared" si="14"/>
        <v>4400</v>
      </c>
      <c r="J25" s="970">
        <f>VLOOKUP(B25,distribucion!B$9:EI$201,96,0)</f>
        <v>0</v>
      </c>
      <c r="K25" s="971">
        <f>ROUND((VLOOKUP(B25,distribucion!B$9:EI$201,97,0)),2)</f>
        <v>0</v>
      </c>
      <c r="L25" s="971">
        <f>VLOOKUP(B25,distribucion!B$9:EI$201,98,0)</f>
        <v>0</v>
      </c>
      <c r="M25" s="971">
        <f>ROUND((VLOOKUP(B25,distribucion!B$9:EI$201,99,0)),2)</f>
        <v>0</v>
      </c>
      <c r="N25" s="971">
        <f>ROUND((VLOOKUP(B25,distribucion!B$9:EI$201,100,0)),2)</f>
        <v>0</v>
      </c>
      <c r="O25" s="969">
        <f t="shared" si="15"/>
        <v>4400</v>
      </c>
      <c r="P25" s="972">
        <f t="shared" si="16"/>
        <v>152.94</v>
      </c>
      <c r="Q25" s="972">
        <f>ROUND((VLOOKUP(B25,distribucion!B$8:FK$200,151,0)),2)</f>
        <v>12.35</v>
      </c>
      <c r="R25" s="971">
        <f>ROUND((VLOOKUP(B25,distribucion!B$9:FK$200,152,0)),2)</f>
        <v>0</v>
      </c>
      <c r="S25" s="971">
        <f>ROUND((VLOOKUP(B25,distribucion!B$9:FK$200,153,0)),2)</f>
        <v>0</v>
      </c>
      <c r="T25" s="971">
        <f>ROUND((VLOOKUP(B25,distribucion!$B$4:$FE$231,159,0)),2)</f>
        <v>0</v>
      </c>
      <c r="U25" s="971">
        <f>ROUND((VLOOKUP(B25,distribucion!$B$5:$FE$232,158,0)),2)</f>
        <v>0</v>
      </c>
      <c r="V25" s="971">
        <f>ROUND((VLOOKUP(B25,distribucion!$B$7:$FE$237,154,0)),2)</f>
        <v>0</v>
      </c>
      <c r="W25" s="971">
        <f>ROUND((VLOOKUP(B25,distribucion!B$9:FK$200,160,0)),2)</f>
        <v>50</v>
      </c>
      <c r="X25" s="969">
        <f t="shared" si="17"/>
        <v>215.29</v>
      </c>
      <c r="Y25" s="969">
        <f t="shared" si="18"/>
        <v>4184.71</v>
      </c>
      <c r="Z25" s="1121">
        <v>2123.5300000000002</v>
      </c>
      <c r="AA25" s="940">
        <f t="shared" si="19"/>
        <v>2061.1799999999998</v>
      </c>
      <c r="AB25" s="966"/>
      <c r="AC25" s="967"/>
      <c r="AD25" s="968"/>
      <c r="AE25" s="937"/>
      <c r="AF25" s="939"/>
      <c r="AG25" s="913"/>
      <c r="AH25" s="913"/>
      <c r="AI25" s="913"/>
    </row>
    <row r="26" spans="1:38" ht="15">
      <c r="A26" s="960">
        <f t="shared" si="26"/>
        <v>13</v>
      </c>
      <c r="B26" s="952" t="str">
        <f>+distribucion!B34</f>
        <v>Cuello Pirir Jorge Renato</v>
      </c>
      <c r="C26" s="975" t="str">
        <f>VLOOKUP(B26,distribucion!B$9:FK$200,2,0)</f>
        <v>Aux Creiditos y Cobros</v>
      </c>
      <c r="D26" s="969">
        <f t="shared" si="13"/>
        <v>3500</v>
      </c>
      <c r="E26" s="938">
        <f>VLOOKUP(B26,distribucion!B$9:FK$201,7,0)</f>
        <v>30</v>
      </c>
      <c r="F26" s="963">
        <f>VLOOKUP(B26,distribucion!$B$9:$DQ$288,14,0)</f>
        <v>0</v>
      </c>
      <c r="G26" s="945">
        <f>ROUND((VLOOKUP(B26,distribucion!B$9:EI$201,94,0)),2)</f>
        <v>3500</v>
      </c>
      <c r="H26" s="945">
        <f>ROUND((VLOOKUP(B26,distribucion!B$9:EI$201,95,0)),2)</f>
        <v>500</v>
      </c>
      <c r="I26" s="969">
        <f t="shared" si="14"/>
        <v>4000</v>
      </c>
      <c r="J26" s="970">
        <f>VLOOKUP(B26,distribucion!B$9:EI$201,96,0)</f>
        <v>0</v>
      </c>
      <c r="K26" s="971">
        <f>ROUND((VLOOKUP(B26,distribucion!B$9:EI$201,97,0)),2)</f>
        <v>0</v>
      </c>
      <c r="L26" s="971">
        <f>VLOOKUP(B26,distribucion!B$9:EI$201,98,0)</f>
        <v>0</v>
      </c>
      <c r="M26" s="971">
        <f>ROUND((VLOOKUP(B26,distribucion!B$9:EI$201,99,0)),2)</f>
        <v>0</v>
      </c>
      <c r="N26" s="971">
        <f>ROUND((VLOOKUP(B26,distribucion!B$9:EI$201,100,0)),2)</f>
        <v>0</v>
      </c>
      <c r="O26" s="969">
        <f t="shared" si="15"/>
        <v>4000</v>
      </c>
      <c r="P26" s="972">
        <f t="shared" si="16"/>
        <v>169.05</v>
      </c>
      <c r="Q26" s="972">
        <f>ROUND((VLOOKUP(B26,distribucion!B$8:FK$200,151,0)),2)</f>
        <v>0</v>
      </c>
      <c r="R26" s="971">
        <f>ROUND((VLOOKUP(B26,distribucion!B$9:FK$200,152,0)),2)</f>
        <v>0</v>
      </c>
      <c r="S26" s="971">
        <f>ROUND((VLOOKUP(B26,distribucion!B$9:FK$200,153,0)),2)</f>
        <v>0</v>
      </c>
      <c r="T26" s="971">
        <f>ROUND((VLOOKUP(B26,distribucion!$B$4:$FE$231,159,0)),2)</f>
        <v>0</v>
      </c>
      <c r="U26" s="971">
        <f>ROUND((VLOOKUP(B26,distribucion!$B$5:$FE$232,158,0)),2)</f>
        <v>0</v>
      </c>
      <c r="V26" s="971">
        <f>ROUND((VLOOKUP(B26,distribucion!$B$7:$FE$237,154,0)),2)</f>
        <v>0</v>
      </c>
      <c r="W26" s="971">
        <f>ROUND((VLOOKUP(B26,distribucion!B$9:FK$200,160,0)),2)</f>
        <v>50</v>
      </c>
      <c r="X26" s="969">
        <f t="shared" si="17"/>
        <v>219.05</v>
      </c>
      <c r="Y26" s="969">
        <f t="shared" si="18"/>
        <v>3780.95</v>
      </c>
      <c r="Z26" s="1121">
        <v>1915.47</v>
      </c>
      <c r="AA26" s="940">
        <f t="shared" si="19"/>
        <v>1865.4799999999998</v>
      </c>
      <c r="AB26" s="966"/>
      <c r="AC26" s="967"/>
      <c r="AD26" s="968"/>
      <c r="AE26" s="937"/>
      <c r="AF26" s="939"/>
      <c r="AG26" s="913"/>
      <c r="AH26" s="913"/>
      <c r="AI26" s="913"/>
    </row>
    <row r="27" spans="1:38" ht="15">
      <c r="A27" s="960">
        <f t="shared" si="26"/>
        <v>14</v>
      </c>
      <c r="B27" s="974" t="s">
        <v>509</v>
      </c>
      <c r="C27" s="975" t="str">
        <f>VLOOKUP(B27,distribucion!B$9:FK$200,2,0)</f>
        <v>Supervisor Contable</v>
      </c>
      <c r="D27" s="969">
        <f t="shared" si="13"/>
        <v>3720</v>
      </c>
      <c r="E27" s="938">
        <f>VLOOKUP(B27,distribucion!B$9:FK$201,7,0)</f>
        <v>30</v>
      </c>
      <c r="F27" s="963">
        <f>VLOOKUP(B27,distribucion!$B$9:$DQ$288,14,0)</f>
        <v>0</v>
      </c>
      <c r="G27" s="945">
        <f>ROUND((VLOOKUP(B27,distribucion!B$9:EI$201,94,0)),2)</f>
        <v>3720</v>
      </c>
      <c r="H27" s="945">
        <f>ROUND((VLOOKUP(B27,distribucion!B$9:EI$201,95,0)),2)</f>
        <v>2480</v>
      </c>
      <c r="I27" s="969">
        <f t="shared" si="14"/>
        <v>6200</v>
      </c>
      <c r="J27" s="970">
        <f>VLOOKUP(B27,distribucion!B$9:EI$201,96,0)</f>
        <v>0</v>
      </c>
      <c r="K27" s="971">
        <f>ROUND((VLOOKUP(B27,distribucion!B$9:EI$201,97,0)),2)</f>
        <v>0</v>
      </c>
      <c r="L27" s="971">
        <f>VLOOKUP(B27,distribucion!B$9:EI$201,98,0)</f>
        <v>0</v>
      </c>
      <c r="M27" s="971">
        <f>ROUND((VLOOKUP(B27,distribucion!B$9:EI$201,99,0)),2)</f>
        <v>0</v>
      </c>
      <c r="N27" s="971">
        <f>ROUND((VLOOKUP(B27,distribucion!B$9:EI$201,100,0)),2)</f>
        <v>0</v>
      </c>
      <c r="O27" s="969">
        <f t="shared" si="15"/>
        <v>6200</v>
      </c>
      <c r="P27" s="972">
        <f t="shared" si="16"/>
        <v>179.68</v>
      </c>
      <c r="Q27" s="972">
        <f>ROUND((VLOOKUP(B27,distribucion!B$8:FK$200,151,0)),2)</f>
        <v>101.02</v>
      </c>
      <c r="R27" s="971">
        <f>ROUND((VLOOKUP(B27,distribucion!B$9:FK$200,152,0)),2)</f>
        <v>0</v>
      </c>
      <c r="S27" s="971">
        <f>ROUND((VLOOKUP(B27,distribucion!B$9:FK$200,153,0)),2)</f>
        <v>0</v>
      </c>
      <c r="T27" s="971">
        <f>ROUND((VLOOKUP(B27,distribucion!$B$4:$FE$231,159,0)),2)</f>
        <v>0</v>
      </c>
      <c r="U27" s="971">
        <f>ROUND((VLOOKUP(B27,distribucion!$B$5:$FE$232,158,0)),2)</f>
        <v>0</v>
      </c>
      <c r="V27" s="971">
        <f>ROUND((VLOOKUP(B27,distribucion!$B$7:$FE$237,154,0)),2)</f>
        <v>51</v>
      </c>
      <c r="W27" s="971">
        <f>ROUND((VLOOKUP(B27,distribucion!B$9:FK$200,160,0)),2)</f>
        <v>75</v>
      </c>
      <c r="X27" s="969">
        <f t="shared" si="17"/>
        <v>406.7</v>
      </c>
      <c r="Y27" s="969">
        <f t="shared" si="18"/>
        <v>5793.3</v>
      </c>
      <c r="Z27" s="1121">
        <v>2901.13</v>
      </c>
      <c r="AA27" s="940">
        <f t="shared" si="19"/>
        <v>2892.17</v>
      </c>
      <c r="AB27" s="966">
        <f t="shared" si="9"/>
        <v>2901.13</v>
      </c>
      <c r="AC27" s="967">
        <f t="shared" si="10"/>
        <v>-8.9600000000000364</v>
      </c>
      <c r="AD27" s="968">
        <f t="shared" si="11"/>
        <v>0</v>
      </c>
      <c r="AE27" s="937"/>
      <c r="AF27" s="939"/>
      <c r="AG27" s="913"/>
      <c r="AH27" s="913"/>
      <c r="AI27" s="913"/>
    </row>
    <row r="28" spans="1:38" ht="15">
      <c r="A28" s="960"/>
      <c r="B28" s="928"/>
      <c r="C28" s="988" t="s">
        <v>204</v>
      </c>
      <c r="D28" s="969" t="s">
        <v>204</v>
      </c>
      <c r="E28" s="962"/>
      <c r="F28" s="963"/>
      <c r="G28" s="996">
        <f t="shared" ref="G28:AA28" si="27">SUM(G23:G27)</f>
        <v>21219.71</v>
      </c>
      <c r="H28" s="996">
        <f t="shared" si="27"/>
        <v>11630.29</v>
      </c>
      <c r="I28" s="996">
        <f t="shared" si="27"/>
        <v>32850</v>
      </c>
      <c r="J28" s="997">
        <f t="shared" si="27"/>
        <v>0</v>
      </c>
      <c r="K28" s="998">
        <f t="shared" si="27"/>
        <v>0</v>
      </c>
      <c r="L28" s="998">
        <f t="shared" si="27"/>
        <v>0</v>
      </c>
      <c r="M28" s="998">
        <f t="shared" si="27"/>
        <v>0</v>
      </c>
      <c r="N28" s="998">
        <f t="shared" si="27"/>
        <v>0</v>
      </c>
      <c r="O28" s="996">
        <f t="shared" si="27"/>
        <v>32850</v>
      </c>
      <c r="P28" s="999">
        <f t="shared" si="27"/>
        <v>1024.92</v>
      </c>
      <c r="Q28" s="999">
        <f t="shared" si="27"/>
        <v>561.81000000000006</v>
      </c>
      <c r="R28" s="998">
        <f t="shared" si="27"/>
        <v>0</v>
      </c>
      <c r="S28" s="998">
        <f t="shared" si="27"/>
        <v>0</v>
      </c>
      <c r="T28" s="998">
        <f t="shared" si="27"/>
        <v>135</v>
      </c>
      <c r="U28" s="998">
        <f t="shared" si="27"/>
        <v>0</v>
      </c>
      <c r="V28" s="998">
        <f t="shared" si="27"/>
        <v>51</v>
      </c>
      <c r="W28" s="998">
        <f t="shared" si="27"/>
        <v>830</v>
      </c>
      <c r="X28" s="996">
        <f t="shared" si="27"/>
        <v>2602.73</v>
      </c>
      <c r="Y28" s="996">
        <f t="shared" si="27"/>
        <v>30247.27</v>
      </c>
      <c r="Z28" s="996">
        <f t="shared" si="27"/>
        <v>14754.689999999999</v>
      </c>
      <c r="AA28" s="996">
        <f t="shared" si="27"/>
        <v>15492.58</v>
      </c>
      <c r="AB28" s="966">
        <f t="shared" si="9"/>
        <v>14754.689999999999</v>
      </c>
      <c r="AC28" s="967">
        <f t="shared" si="10"/>
        <v>737.89000000000124</v>
      </c>
      <c r="AD28" s="968">
        <f t="shared" si="11"/>
        <v>0</v>
      </c>
      <c r="AE28" s="937"/>
      <c r="AF28" s="939"/>
      <c r="AG28" s="913"/>
      <c r="AH28" s="913"/>
      <c r="AI28" s="913"/>
    </row>
    <row r="29" spans="1:38" ht="15">
      <c r="A29" s="960"/>
      <c r="B29" s="987"/>
      <c r="C29" s="988"/>
      <c r="D29" s="961"/>
      <c r="E29" s="962"/>
      <c r="F29" s="963"/>
      <c r="G29" s="969"/>
      <c r="H29" s="969"/>
      <c r="I29" s="969"/>
      <c r="J29" s="970"/>
      <c r="K29" s="971"/>
      <c r="L29" s="971"/>
      <c r="M29" s="971"/>
      <c r="N29" s="971"/>
      <c r="O29" s="969"/>
      <c r="P29" s="972"/>
      <c r="Q29" s="972"/>
      <c r="R29" s="971"/>
      <c r="S29" s="971"/>
      <c r="T29" s="971"/>
      <c r="U29" s="971"/>
      <c r="V29" s="971"/>
      <c r="W29" s="971"/>
      <c r="X29" s="969"/>
      <c r="Y29" s="969"/>
      <c r="Z29" s="970"/>
      <c r="AA29" s="969"/>
      <c r="AB29" s="966">
        <f t="shared" si="9"/>
        <v>0</v>
      </c>
      <c r="AC29" s="967">
        <f t="shared" si="10"/>
        <v>0</v>
      </c>
      <c r="AD29" s="968">
        <f t="shared" si="11"/>
        <v>0</v>
      </c>
      <c r="AE29" s="937"/>
      <c r="AF29" s="939"/>
      <c r="AG29" s="913"/>
      <c r="AH29" s="913"/>
      <c r="AI29" s="913"/>
    </row>
    <row r="30" spans="1:38" ht="15">
      <c r="A30" s="913"/>
      <c r="B30" s="935" t="s">
        <v>228</v>
      </c>
      <c r="C30" s="913"/>
      <c r="D30" s="969"/>
      <c r="E30" s="938"/>
      <c r="F30" s="963"/>
      <c r="G30" s="945"/>
      <c r="H30" s="945"/>
      <c r="I30" s="969"/>
      <c r="J30" s="970"/>
      <c r="K30" s="971"/>
      <c r="L30" s="971"/>
      <c r="M30" s="971"/>
      <c r="N30" s="971"/>
      <c r="O30" s="969"/>
      <c r="P30" s="972"/>
      <c r="Q30" s="972"/>
      <c r="R30" s="971"/>
      <c r="S30" s="971"/>
      <c r="T30" s="971"/>
      <c r="U30" s="971"/>
      <c r="V30" s="971"/>
      <c r="W30" s="971"/>
      <c r="X30" s="969"/>
      <c r="Y30" s="969"/>
      <c r="Z30" s="970"/>
      <c r="AA30" s="969"/>
      <c r="AB30" s="966">
        <f t="shared" si="9"/>
        <v>0</v>
      </c>
      <c r="AC30" s="967">
        <f t="shared" si="10"/>
        <v>0</v>
      </c>
      <c r="AD30" s="968">
        <f t="shared" si="11"/>
        <v>0</v>
      </c>
      <c r="AE30" s="937"/>
      <c r="AF30" s="939"/>
      <c r="AG30" s="913"/>
      <c r="AH30" s="913"/>
      <c r="AI30" s="913"/>
    </row>
    <row r="31" spans="1:38" s="907" customFormat="1" ht="15">
      <c r="A31" s="942">
        <f>A27+1</f>
        <v>15</v>
      </c>
      <c r="B31" s="1000" t="s">
        <v>610</v>
      </c>
      <c r="C31" s="953" t="str">
        <f>VLOOKUP(B31,distribucion!B$9:FK$200,2,0)</f>
        <v>Jefe I &amp; D</v>
      </c>
      <c r="D31" s="954">
        <f>G31+K31+M31</f>
        <v>8000</v>
      </c>
      <c r="E31" s="955">
        <f>VLOOKUP(B31,distribucion!B$9:FK$201,7,0)</f>
        <v>30</v>
      </c>
      <c r="F31" s="956">
        <f>VLOOKUP(B31,distribucion!$B$9:$DQ$288,14,0)</f>
        <v>0</v>
      </c>
      <c r="G31" s="954">
        <f>ROUND((VLOOKUP(B31,distribucion!B$9:EI$201,94,0)),2)</f>
        <v>8000</v>
      </c>
      <c r="H31" s="954">
        <f>ROUND((VLOOKUP(B31,distribucion!B$9:EI$201,95,0)),2)</f>
        <v>3000</v>
      </c>
      <c r="I31" s="954">
        <f>G31+H31</f>
        <v>11000</v>
      </c>
      <c r="J31" s="957">
        <f>VLOOKUP(B31,distribucion!B$9:EI$201,96,0)</f>
        <v>0</v>
      </c>
      <c r="K31" s="953">
        <f>ROUND((VLOOKUP(B31,distribucion!B$9:EI$201,97,0)),2)</f>
        <v>0</v>
      </c>
      <c r="L31" s="953">
        <f>VLOOKUP(B31,distribucion!B$9:EI$201,98,0)</f>
        <v>0</v>
      </c>
      <c r="M31" s="953">
        <f>ROUND((VLOOKUP(B31,distribucion!B$9:EI$201,99,0)),2)</f>
        <v>0</v>
      </c>
      <c r="N31" s="953">
        <f>ROUND((VLOOKUP(B31,distribucion!B$9:EI$201,100,0)),2)</f>
        <v>0</v>
      </c>
      <c r="O31" s="954">
        <f>SUM(I31:N31)-J31-L31</f>
        <v>11000</v>
      </c>
      <c r="P31" s="976">
        <f>ROUND(((G31+K31+M31+N31)*0.0483),2)</f>
        <v>386.4</v>
      </c>
      <c r="Q31" s="976">
        <f>ROUND((VLOOKUP(B31,distribucion!B$8:FK$200,151,0)),2)</f>
        <v>330.68</v>
      </c>
      <c r="R31" s="953">
        <f>ROUND((VLOOKUP(B31,distribucion!B$9:FK$200,152,0)),2)</f>
        <v>0</v>
      </c>
      <c r="S31" s="953">
        <f>ROUND((VLOOKUP(B31,distribucion!B$9:FK$200,153,0)),2)</f>
        <v>0</v>
      </c>
      <c r="T31" s="953">
        <f>ROUND((VLOOKUP(B31,distribucion!$B$4:$FE$231,159,0)),2)</f>
        <v>0</v>
      </c>
      <c r="U31" s="953">
        <f>ROUND((VLOOKUP(B31,distribucion!$B$5:$FE$232,158,0)),2)</f>
        <v>0</v>
      </c>
      <c r="V31" s="953">
        <f>ROUND((VLOOKUP(B31,distribucion!$B$7:$FE$237,154,0)),2)</f>
        <v>30</v>
      </c>
      <c r="W31" s="953">
        <f>ROUND((VLOOKUP(B31,distribucion!B$9:FK$200,160,0)),2)</f>
        <v>340</v>
      </c>
      <c r="X31" s="954">
        <f>SUM(P31:W31)</f>
        <v>1087.08</v>
      </c>
      <c r="Y31" s="954">
        <f>O31-X31</f>
        <v>9912.92</v>
      </c>
      <c r="Z31" s="1121">
        <v>4956.7700000000004</v>
      </c>
      <c r="AA31" s="940">
        <f t="shared" ref="AA31:AA35" si="28">+Y31-Z31</f>
        <v>4956.1499999999996</v>
      </c>
      <c r="AB31" s="977">
        <f t="shared" si="9"/>
        <v>4956.7700000000004</v>
      </c>
      <c r="AC31" s="978">
        <f t="shared" si="10"/>
        <v>-0.62000000000080036</v>
      </c>
      <c r="AD31" s="958">
        <f t="shared" si="11"/>
        <v>0</v>
      </c>
      <c r="AE31" s="937"/>
      <c r="AF31" s="939"/>
      <c r="AG31" s="959"/>
      <c r="AH31" s="959"/>
      <c r="AI31" s="959"/>
    </row>
    <row r="32" spans="1:38" s="907" customFormat="1" ht="15">
      <c r="A32" s="942">
        <f>+A31+1</f>
        <v>16</v>
      </c>
      <c r="B32" s="1000" t="str">
        <f>+distribucion!B47</f>
        <v xml:space="preserve">Mendez Gonzalez Grecia Marbella </v>
      </c>
      <c r="C32" s="953" t="str">
        <f>VLOOKUP(B32,distribucion!B$9:FK$200,2,0)</f>
        <v>Auxiliar de  Investigacion y Desarrollo</v>
      </c>
      <c r="D32" s="954">
        <f>G32+K32+M32</f>
        <v>3250</v>
      </c>
      <c r="E32" s="955">
        <f>VLOOKUP(B32,distribucion!B$9:FK$201,7,0)</f>
        <v>30</v>
      </c>
      <c r="F32" s="956">
        <f>VLOOKUP(B32,distribucion!$B$9:$DQ$288,14,0)</f>
        <v>0</v>
      </c>
      <c r="G32" s="954">
        <f>ROUND((VLOOKUP(B32,distribucion!B$9:EI$201,94,0)),2)</f>
        <v>3250</v>
      </c>
      <c r="H32" s="954">
        <f>ROUND((VLOOKUP(B32,distribucion!B$9:EI$201,95,0)),2)</f>
        <v>250</v>
      </c>
      <c r="I32" s="954">
        <f>G32+H32</f>
        <v>3500</v>
      </c>
      <c r="J32" s="957">
        <f>VLOOKUP(B32,distribucion!B$9:EI$201,96,0)</f>
        <v>0</v>
      </c>
      <c r="K32" s="953">
        <f>ROUND((VLOOKUP(B32,distribucion!B$9:EI$201,97,0)),2)</f>
        <v>0</v>
      </c>
      <c r="L32" s="953">
        <f>VLOOKUP(B32,distribucion!B$9:EI$201,98,0)</f>
        <v>0</v>
      </c>
      <c r="M32" s="953">
        <f>ROUND((VLOOKUP(B32,distribucion!B$9:EI$201,99,0)),2)</f>
        <v>0</v>
      </c>
      <c r="N32" s="953">
        <f>ROUND((VLOOKUP(B32,distribucion!B$9:EI$201,100,0)),2)</f>
        <v>0</v>
      </c>
      <c r="O32" s="954">
        <f>SUM(I32:N32)-J32-L32</f>
        <v>3500</v>
      </c>
      <c r="P32" s="976">
        <f>ROUND(((G32+K32+M32+N32)*0.0483),2)</f>
        <v>156.97999999999999</v>
      </c>
      <c r="Q32" s="976">
        <f>ROUND((VLOOKUP(B32,distribucion!B$8:FK$200,151,0)),2)</f>
        <v>0</v>
      </c>
      <c r="R32" s="953">
        <f>ROUND((VLOOKUP(B32,distribucion!B$9:FK$200,152,0)),2)</f>
        <v>0</v>
      </c>
      <c r="S32" s="953">
        <f>ROUND((VLOOKUP(B32,distribucion!B$9:FK$200,153,0)),2)</f>
        <v>0</v>
      </c>
      <c r="T32" s="953">
        <f>ROUND((VLOOKUP(B32,distribucion!$B$4:$FE$231,159,0)),2)</f>
        <v>0</v>
      </c>
      <c r="U32" s="953">
        <f>ROUND((VLOOKUP(B32,distribucion!$B$5:$FE$232,158,0)),2)</f>
        <v>0</v>
      </c>
      <c r="V32" s="953">
        <f>ROUND((VLOOKUP(B32,distribucion!$B$7:$FE$237,154,0)),2)</f>
        <v>0</v>
      </c>
      <c r="W32" s="953">
        <f>ROUND((VLOOKUP(B32,distribucion!B$9:FK$200,160,0)),2)</f>
        <v>50</v>
      </c>
      <c r="X32" s="954">
        <f>SUM(P32:W32)</f>
        <v>206.98</v>
      </c>
      <c r="Y32" s="954">
        <f>O32-X32</f>
        <v>3293.02</v>
      </c>
      <c r="Z32" s="1121">
        <v>1671.51</v>
      </c>
      <c r="AA32" s="940">
        <f t="shared" si="28"/>
        <v>1621.51</v>
      </c>
      <c r="AB32" s="977"/>
      <c r="AC32" s="978"/>
      <c r="AD32" s="958"/>
      <c r="AE32" s="937"/>
      <c r="AF32" s="939"/>
      <c r="AG32" s="959"/>
      <c r="AH32" s="959"/>
      <c r="AI32" s="959"/>
    </row>
    <row r="33" spans="1:38" s="907" customFormat="1" ht="15">
      <c r="A33" s="942">
        <f t="shared" ref="A33:A35" si="29">+A32+1</f>
        <v>17</v>
      </c>
      <c r="B33" s="1000" t="str">
        <f>+distribucion!B48</f>
        <v>Rodas Coronado Karen Daniela</v>
      </c>
      <c r="C33" s="953" t="str">
        <f>VLOOKUP(B33,distribucion!B$9:FK$200,2,0)</f>
        <v>Analista de Investigacion y Desarrollo</v>
      </c>
      <c r="D33" s="954">
        <f>G33+K33+M33</f>
        <v>3750</v>
      </c>
      <c r="E33" s="955">
        <f>VLOOKUP(B33,distribucion!B$9:FK$201,7,0)</f>
        <v>30</v>
      </c>
      <c r="F33" s="956">
        <f>VLOOKUP(B33,distribucion!$B$9:$DQ$288,14,0)</f>
        <v>0</v>
      </c>
      <c r="G33" s="954">
        <f>ROUND((VLOOKUP(B33,distribucion!B$9:EI$201,94,0)),2)</f>
        <v>3750</v>
      </c>
      <c r="H33" s="954">
        <f>ROUND((VLOOKUP(B33,distribucion!B$9:EI$201,95,0)),2)</f>
        <v>250</v>
      </c>
      <c r="I33" s="954">
        <f>G33+H33</f>
        <v>4000</v>
      </c>
      <c r="J33" s="957">
        <f>VLOOKUP(B33,distribucion!B$9:EI$201,96,0)</f>
        <v>0</v>
      </c>
      <c r="K33" s="953">
        <f>ROUND((VLOOKUP(B33,distribucion!B$9:EI$201,97,0)),2)</f>
        <v>0</v>
      </c>
      <c r="L33" s="953">
        <f>VLOOKUP(B33,distribucion!B$9:EI$201,98,0)</f>
        <v>0</v>
      </c>
      <c r="M33" s="953">
        <f>ROUND((VLOOKUP(B33,distribucion!B$9:EI$201,99,0)),2)</f>
        <v>0</v>
      </c>
      <c r="N33" s="953">
        <f>ROUND((VLOOKUP(B33,distribucion!B$9:EI$201,100,0)),2)</f>
        <v>0</v>
      </c>
      <c r="O33" s="954">
        <f>SUM(I33:N33)-J33-L33</f>
        <v>4000</v>
      </c>
      <c r="P33" s="976">
        <f>ROUND(((G33+K33+M33+N33)*0.0483),2)</f>
        <v>181.13</v>
      </c>
      <c r="Q33" s="976">
        <f>ROUND((VLOOKUP(B33,distribucion!B$8:FK$200,151,0)),2)</f>
        <v>0</v>
      </c>
      <c r="R33" s="953">
        <f>ROUND((VLOOKUP(B33,distribucion!B$9:FK$200,152,0)),2)</f>
        <v>0</v>
      </c>
      <c r="S33" s="953">
        <f>ROUND((VLOOKUP(B33,distribucion!B$9:FK$200,153,0)),2)</f>
        <v>0</v>
      </c>
      <c r="T33" s="953">
        <f>ROUND((VLOOKUP(B33,distribucion!$B$4:$FE$231,159,0)),2)</f>
        <v>0</v>
      </c>
      <c r="U33" s="953">
        <f>ROUND((VLOOKUP(B33,distribucion!$B$5:$FE$232,158,0)),2)</f>
        <v>0</v>
      </c>
      <c r="V33" s="953">
        <f>ROUND((VLOOKUP(B33,distribucion!$B$7:$FE$237,154,0)),2)</f>
        <v>0</v>
      </c>
      <c r="W33" s="953">
        <f>ROUND((VLOOKUP(B33,distribucion!B$9:FK$200,160,0)),2)</f>
        <v>50</v>
      </c>
      <c r="X33" s="954">
        <f>SUM(P33:W33)</f>
        <v>231.13</v>
      </c>
      <c r="Y33" s="954">
        <f>O33-X33</f>
        <v>3768.87</v>
      </c>
      <c r="Z33" s="1121">
        <v>1909.44</v>
      </c>
      <c r="AA33" s="940">
        <f t="shared" si="28"/>
        <v>1859.4299999999998</v>
      </c>
      <c r="AB33" s="977"/>
      <c r="AC33" s="978"/>
      <c r="AD33" s="958"/>
      <c r="AE33" s="937"/>
      <c r="AF33" s="939"/>
      <c r="AG33" s="959"/>
      <c r="AH33" s="959"/>
      <c r="AI33" s="959"/>
    </row>
    <row r="34" spans="1:38" s="907" customFormat="1" ht="15">
      <c r="A34" s="942">
        <f t="shared" si="29"/>
        <v>18</v>
      </c>
      <c r="B34" s="1000" t="str">
        <f>+distribucion!B46</f>
        <v>Castro Aceituno Rodrigo Jose</v>
      </c>
      <c r="C34" s="953" t="str">
        <f>VLOOKUP(B34,distribucion!B$9:FK$200,2,0)</f>
        <v>Asistente de  Investigacion y Desarrollo</v>
      </c>
      <c r="D34" s="954">
        <f>G34+K34+M34</f>
        <v>4000</v>
      </c>
      <c r="E34" s="955">
        <f>VLOOKUP(B34,distribucion!B$9:FK$201,7,0)</f>
        <v>30</v>
      </c>
      <c r="F34" s="956">
        <f>VLOOKUP(B34,distribucion!$B$9:$DQ$288,14,0)</f>
        <v>0</v>
      </c>
      <c r="G34" s="954">
        <f>ROUND((VLOOKUP(B34,distribucion!B$9:EI$201,94,0)),2)</f>
        <v>4000</v>
      </c>
      <c r="H34" s="954">
        <f>ROUND((VLOOKUP(B34,distribucion!B$9:EI$201,95,0)),2)</f>
        <v>1000</v>
      </c>
      <c r="I34" s="954">
        <f>G34+H34</f>
        <v>5000</v>
      </c>
      <c r="J34" s="957">
        <f>VLOOKUP(B34,distribucion!B$9:EI$201,96,0)</f>
        <v>0</v>
      </c>
      <c r="K34" s="953">
        <f>ROUND((VLOOKUP(B34,distribucion!B$9:EI$201,97,0)),2)</f>
        <v>0</v>
      </c>
      <c r="L34" s="953">
        <f>VLOOKUP(B34,distribucion!B$9:EI$201,98,0)</f>
        <v>0</v>
      </c>
      <c r="M34" s="953">
        <f>ROUND((VLOOKUP(B34,distribucion!B$9:EI$201,99,0)),2)</f>
        <v>0</v>
      </c>
      <c r="N34" s="953">
        <f>ROUND((VLOOKUP(B34,distribucion!B$9:EI$201,100,0)),2)</f>
        <v>0</v>
      </c>
      <c r="O34" s="954">
        <f>SUM(I34:N34)-J34-L34</f>
        <v>5000</v>
      </c>
      <c r="P34" s="976">
        <f>ROUND(((G34+K34+M34+N34)*0.0483),2)</f>
        <v>193.2</v>
      </c>
      <c r="Q34" s="976">
        <f>ROUND((VLOOKUP(B34,distribucion!B$8:FK$200,151,0)),2)</f>
        <v>40.340000000000003</v>
      </c>
      <c r="R34" s="953">
        <f>ROUND((VLOOKUP(B34,distribucion!B$9:FK$200,152,0)),2)</f>
        <v>0</v>
      </c>
      <c r="S34" s="953">
        <f>ROUND((VLOOKUP(B34,distribucion!B$9:FK$200,153,0)),2)</f>
        <v>0</v>
      </c>
      <c r="T34" s="953">
        <f>ROUND((VLOOKUP(B34,distribucion!$B$4:$FE$231,159,0)),2)</f>
        <v>0</v>
      </c>
      <c r="U34" s="953">
        <f>ROUND((VLOOKUP(B34,distribucion!$B$5:$FE$232,158,0)),2)</f>
        <v>0</v>
      </c>
      <c r="V34" s="953">
        <f>ROUND((VLOOKUP(B34,distribucion!$B$7:$FE$237,154,0)),2)</f>
        <v>0</v>
      </c>
      <c r="W34" s="953">
        <f>ROUND((VLOOKUP(B34,distribucion!B$9:FK$200,160,0)),2)</f>
        <v>290</v>
      </c>
      <c r="X34" s="954">
        <f>SUM(P34:W34)</f>
        <v>523.54</v>
      </c>
      <c r="Y34" s="954">
        <f>O34-X34</f>
        <v>4476.46</v>
      </c>
      <c r="Z34" s="1121">
        <v>2283.4</v>
      </c>
      <c r="AA34" s="940">
        <f t="shared" si="28"/>
        <v>2193.06</v>
      </c>
      <c r="AB34" s="977"/>
      <c r="AC34" s="978"/>
      <c r="AD34" s="958"/>
      <c r="AE34" s="937"/>
      <c r="AF34" s="939"/>
      <c r="AG34" s="959"/>
      <c r="AH34" s="959"/>
      <c r="AI34" s="959"/>
    </row>
    <row r="35" spans="1:38" s="951" customFormat="1" ht="15">
      <c r="A35" s="942">
        <f t="shared" si="29"/>
        <v>19</v>
      </c>
      <c r="B35" s="1000" t="s">
        <v>503</v>
      </c>
      <c r="C35" s="944" t="str">
        <f>VLOOKUP(B35,distribucion!B$9:FK$200,2,0)</f>
        <v>Investigación y Desarrollo</v>
      </c>
      <c r="D35" s="945">
        <f>G35+K35+M35</f>
        <v>8269.49</v>
      </c>
      <c r="E35" s="946">
        <f>VLOOKUP(B35,distribucion!B$9:FK$201,7,0)</f>
        <v>30</v>
      </c>
      <c r="F35" s="947">
        <f>VLOOKUP(B35,distribucion!$B$9:$DQ$288,14,0)</f>
        <v>0</v>
      </c>
      <c r="G35" s="945">
        <f>ROUND((VLOOKUP(B35,distribucion!B$9:EI$201,94,0)),2)</f>
        <v>8269.49</v>
      </c>
      <c r="H35" s="945">
        <f>ROUND((VLOOKUP(B35,distribucion!B$9:EI$201,95,0)),2)</f>
        <v>6789.8</v>
      </c>
      <c r="I35" s="945">
        <f>G35+H35</f>
        <v>15059.29</v>
      </c>
      <c r="J35" s="948">
        <f>VLOOKUP(B35,distribucion!B$9:EI$201,96,0)</f>
        <v>0</v>
      </c>
      <c r="K35" s="944">
        <f>ROUND((VLOOKUP(B35,distribucion!B$9:EI$201,97,0)),2)</f>
        <v>0</v>
      </c>
      <c r="L35" s="944">
        <f>VLOOKUP(B35,distribucion!B$9:EI$201,98,0)</f>
        <v>0</v>
      </c>
      <c r="M35" s="944">
        <f>ROUND((VLOOKUP(B35,distribucion!B$9:EI$201,99,0)),2)</f>
        <v>0</v>
      </c>
      <c r="N35" s="944">
        <f>ROUND((VLOOKUP(B35,distribucion!B$9:EI$201,100,0)),2)</f>
        <v>0</v>
      </c>
      <c r="O35" s="945">
        <f>SUM(I35:N35)-J35-L35</f>
        <v>15059.29</v>
      </c>
      <c r="P35" s="1039">
        <f>ROUND(((G35+K35+M35+N35)*3%),2)</f>
        <v>248.08</v>
      </c>
      <c r="Q35" s="1039">
        <f>ROUND((VLOOKUP(B35,distribucion!B$8:FK$200,151,0)),2)</f>
        <v>540.55999999999995</v>
      </c>
      <c r="R35" s="944">
        <f>ROUND((VLOOKUP(B35,distribucion!B$9:FK$200,152,0)),2)</f>
        <v>0</v>
      </c>
      <c r="S35" s="944">
        <f>ROUND((VLOOKUP(B35,distribucion!B$9:FK$200,153,0)),2)</f>
        <v>894</v>
      </c>
      <c r="T35" s="944">
        <f>ROUND((VLOOKUP(B35,distribucion!$B$4:$FE$231,159,0)),2)</f>
        <v>0</v>
      </c>
      <c r="U35" s="944">
        <f>ROUND((VLOOKUP(B35,distribucion!$B$5:$FE$232,158,0)),2)</f>
        <v>0</v>
      </c>
      <c r="V35" s="944">
        <f>ROUND((VLOOKUP(B35,distribucion!$B$7:$FE$237,154,0)),2)</f>
        <v>0</v>
      </c>
      <c r="W35" s="944">
        <f>ROUND((VLOOKUP(B35,distribucion!B$9:FK$200,160,0)),2)</f>
        <v>0</v>
      </c>
      <c r="X35" s="945">
        <f>SUM(P35:W35)</f>
        <v>1682.6399999999999</v>
      </c>
      <c r="Y35" s="945">
        <f>O35-X35</f>
        <v>13376.650000000001</v>
      </c>
      <c r="Z35" s="1121">
        <v>6821.73</v>
      </c>
      <c r="AA35" s="940">
        <f t="shared" si="28"/>
        <v>6554.9200000000019</v>
      </c>
      <c r="AB35" s="1001"/>
      <c r="AC35" s="1002"/>
      <c r="AD35" s="949">
        <f t="shared" si="11"/>
        <v>0</v>
      </c>
      <c r="AE35" s="937"/>
      <c r="AF35" s="939"/>
      <c r="AG35" s="950"/>
      <c r="AH35" s="950"/>
      <c r="AI35" s="950"/>
    </row>
    <row r="36" spans="1:38" ht="15">
      <c r="A36" s="960"/>
      <c r="B36" s="987"/>
      <c r="C36" s="988" t="s">
        <v>204</v>
      </c>
      <c r="D36" s="961" t="s">
        <v>204</v>
      </c>
      <c r="E36" s="962"/>
      <c r="F36" s="963"/>
      <c r="G36" s="989">
        <f t="shared" ref="G36:AA36" si="30">SUM(G31:G35)</f>
        <v>27269.489999999998</v>
      </c>
      <c r="H36" s="989">
        <f t="shared" si="30"/>
        <v>11289.8</v>
      </c>
      <c r="I36" s="989">
        <f t="shared" si="30"/>
        <v>38559.29</v>
      </c>
      <c r="J36" s="990">
        <f t="shared" si="30"/>
        <v>0</v>
      </c>
      <c r="K36" s="990">
        <f t="shared" si="30"/>
        <v>0</v>
      </c>
      <c r="L36" s="990">
        <f t="shared" si="30"/>
        <v>0</v>
      </c>
      <c r="M36" s="990">
        <f t="shared" si="30"/>
        <v>0</v>
      </c>
      <c r="N36" s="990">
        <f t="shared" si="30"/>
        <v>0</v>
      </c>
      <c r="O36" s="989">
        <f t="shared" si="30"/>
        <v>38559.29</v>
      </c>
      <c r="P36" s="990">
        <f t="shared" si="30"/>
        <v>1165.79</v>
      </c>
      <c r="Q36" s="1892">
        <f t="shared" si="30"/>
        <v>911.57999999999993</v>
      </c>
      <c r="R36" s="990">
        <f t="shared" si="30"/>
        <v>0</v>
      </c>
      <c r="S36" s="990">
        <f t="shared" si="30"/>
        <v>894</v>
      </c>
      <c r="T36" s="990">
        <f t="shared" si="30"/>
        <v>0</v>
      </c>
      <c r="U36" s="990">
        <f t="shared" si="30"/>
        <v>0</v>
      </c>
      <c r="V36" s="990">
        <f t="shared" si="30"/>
        <v>30</v>
      </c>
      <c r="W36" s="990">
        <f t="shared" si="30"/>
        <v>730</v>
      </c>
      <c r="X36" s="989">
        <f t="shared" si="30"/>
        <v>3731.37</v>
      </c>
      <c r="Y36" s="989">
        <f t="shared" si="30"/>
        <v>34827.919999999998</v>
      </c>
      <c r="Z36" s="989">
        <f t="shared" si="30"/>
        <v>17642.849999999999</v>
      </c>
      <c r="AA36" s="989">
        <f t="shared" si="30"/>
        <v>17185.07</v>
      </c>
      <c r="AB36" s="966">
        <f>+Z36</f>
        <v>17642.849999999999</v>
      </c>
      <c r="AC36" s="967">
        <f>+AA36-AB36</f>
        <v>-457.77999999999884</v>
      </c>
      <c r="AD36" s="968">
        <f t="shared" ref="AD36:AD64" si="31">+Y36-Z36-AA36</f>
        <v>0</v>
      </c>
      <c r="AE36" s="937"/>
      <c r="AF36" s="939"/>
      <c r="AG36" s="913"/>
      <c r="AH36" s="913"/>
      <c r="AI36" s="913"/>
    </row>
    <row r="37" spans="1:38" ht="15">
      <c r="A37" s="960"/>
      <c r="B37" s="987"/>
      <c r="C37" s="988"/>
      <c r="D37" s="961"/>
      <c r="E37" s="962"/>
      <c r="F37" s="963"/>
      <c r="G37" s="969"/>
      <c r="H37" s="969"/>
      <c r="I37" s="969"/>
      <c r="J37" s="970"/>
      <c r="K37" s="971"/>
      <c r="L37" s="971"/>
      <c r="M37" s="971"/>
      <c r="N37" s="971"/>
      <c r="O37" s="969"/>
      <c r="P37" s="972"/>
      <c r="Q37" s="972"/>
      <c r="R37" s="971"/>
      <c r="S37" s="971"/>
      <c r="T37" s="971"/>
      <c r="U37" s="971"/>
      <c r="V37" s="971"/>
      <c r="W37" s="971"/>
      <c r="X37" s="969"/>
      <c r="Y37" s="969"/>
      <c r="Z37" s="970"/>
      <c r="AA37" s="969"/>
      <c r="AB37" s="966">
        <f>+Z37</f>
        <v>0</v>
      </c>
      <c r="AC37" s="967">
        <f>+AA37-AB37</f>
        <v>0</v>
      </c>
      <c r="AD37" s="968">
        <f t="shared" si="31"/>
        <v>0</v>
      </c>
      <c r="AE37" s="937"/>
      <c r="AF37" s="939"/>
      <c r="AG37" s="913"/>
      <c r="AH37" s="913"/>
      <c r="AI37" s="913"/>
    </row>
    <row r="38" spans="1:38" s="995" customFormat="1" ht="15">
      <c r="A38" s="913"/>
      <c r="B38" s="935" t="s">
        <v>229</v>
      </c>
      <c r="C38" s="988"/>
      <c r="D38" s="961"/>
      <c r="E38" s="938"/>
      <c r="F38" s="963"/>
      <c r="G38" s="969"/>
      <c r="H38" s="969"/>
      <c r="I38" s="969"/>
      <c r="J38" s="970"/>
      <c r="K38" s="971"/>
      <c r="L38" s="971"/>
      <c r="M38" s="971"/>
      <c r="N38" s="971"/>
      <c r="O38" s="969"/>
      <c r="P38" s="972"/>
      <c r="Q38" s="972"/>
      <c r="R38" s="971"/>
      <c r="S38" s="971"/>
      <c r="T38" s="971"/>
      <c r="U38" s="971"/>
      <c r="V38" s="971"/>
      <c r="W38" s="971"/>
      <c r="X38" s="969"/>
      <c r="Y38" s="969"/>
      <c r="Z38" s="970"/>
      <c r="AA38" s="969"/>
      <c r="AB38" s="966">
        <f>+Z38</f>
        <v>0</v>
      </c>
      <c r="AC38" s="967">
        <f>+AA38-AB38</f>
        <v>0</v>
      </c>
      <c r="AD38" s="968">
        <f t="shared" si="31"/>
        <v>0</v>
      </c>
      <c r="AE38" s="937"/>
      <c r="AF38" s="939"/>
      <c r="AG38" s="993"/>
      <c r="AH38" s="993"/>
      <c r="AI38" s="993"/>
      <c r="AJ38" s="994"/>
      <c r="AK38" s="994"/>
      <c r="AL38" s="994"/>
    </row>
    <row r="39" spans="1:38" s="986" customFormat="1" ht="15">
      <c r="A39" s="1003">
        <f>+A35+1</f>
        <v>20</v>
      </c>
      <c r="B39" s="1004" t="str">
        <f>+distribucion!B53</f>
        <v>Saban Culajay Edson Omar</v>
      </c>
      <c r="C39" s="980" t="str">
        <f>VLOOKUP(B39,distribucion!B$9:FK$200,2,0)</f>
        <v>Jefe de Gestion de calidad</v>
      </c>
      <c r="D39" s="940">
        <f>G39+K39+M39</f>
        <v>5250</v>
      </c>
      <c r="E39" s="981">
        <f>VLOOKUP(B39,distribucion!B$9:FK$201,7,0)</f>
        <v>30</v>
      </c>
      <c r="F39" s="982">
        <f>VLOOKUP(B39,distribucion!$B$9:$DQ$288,14,0)</f>
        <v>0</v>
      </c>
      <c r="G39" s="983">
        <f>ROUND((VLOOKUP(B39,distribucion!B$9:EI$201,94,0)),2)</f>
        <v>5250</v>
      </c>
      <c r="H39" s="983">
        <f>ROUND((VLOOKUP(B39,distribucion!B$9:EI$201,95,0)),2)</f>
        <v>2750</v>
      </c>
      <c r="I39" s="940">
        <f>G39+H39</f>
        <v>8000</v>
      </c>
      <c r="J39" s="984">
        <f>VLOOKUP(B39,distribucion!B$9:EI$201,96,0)</f>
        <v>0</v>
      </c>
      <c r="K39" s="972">
        <f>ROUND((VLOOKUP(B39,distribucion!B$9:EI$201,97,0)),2)</f>
        <v>0</v>
      </c>
      <c r="L39" s="972">
        <f>VLOOKUP(B39,distribucion!B$9:EI$201,98,0)</f>
        <v>0</v>
      </c>
      <c r="M39" s="972">
        <f>ROUND((VLOOKUP(B39,distribucion!B$9:EI$201,99,0)),2)</f>
        <v>0</v>
      </c>
      <c r="N39" s="972">
        <f>ROUND((VLOOKUP(B39,distribucion!B$9:EI$201,100,0)),2)</f>
        <v>0</v>
      </c>
      <c r="O39" s="940">
        <f>SUM(I39:N39)-J39-L39</f>
        <v>8000</v>
      </c>
      <c r="P39" s="972">
        <f>ROUND(((G39+K39+M39)*0.0483),2)</f>
        <v>253.58</v>
      </c>
      <c r="Q39" s="972">
        <f>ROUND((VLOOKUP(B39,distribucion!B$8:FK$200,151,0)),2)</f>
        <v>187.32</v>
      </c>
      <c r="R39" s="972">
        <f>ROUND((VLOOKUP(B39,distribucion!B$9:FK$200,152,0)),2)</f>
        <v>0</v>
      </c>
      <c r="S39" s="972">
        <f>ROUND((VLOOKUP(B39,distribucion!B$9:FK$200,153,0)),2)</f>
        <v>0</v>
      </c>
      <c r="T39" s="972">
        <f>ROUND((VLOOKUP(B39,distribucion!$B$4:$FE$231,159,0)),2)</f>
        <v>0</v>
      </c>
      <c r="U39" s="972">
        <f>ROUND((VLOOKUP(B39,distribucion!$B$5:$FE$232,158,0)),2)</f>
        <v>0</v>
      </c>
      <c r="V39" s="972">
        <f>ROUND((VLOOKUP(B39,distribucion!$B$7:$FE$237,154,0)),2)</f>
        <v>0</v>
      </c>
      <c r="W39" s="972">
        <f>ROUND((VLOOKUP(B39,distribucion!B$9:FK$200,160,0)),2)</f>
        <v>315</v>
      </c>
      <c r="X39" s="940">
        <f>SUM(P39:W39)</f>
        <v>755.9</v>
      </c>
      <c r="Y39" s="940">
        <f>O39-X39</f>
        <v>7244.1</v>
      </c>
      <c r="Z39" s="1121">
        <v>3753.21</v>
      </c>
      <c r="AA39" s="940">
        <f t="shared" ref="AA39:AA41" si="32">+Y39-Z39</f>
        <v>3490.8900000000003</v>
      </c>
      <c r="AB39" s="1005"/>
      <c r="AC39" s="1006"/>
      <c r="AD39" s="1007"/>
      <c r="AE39" s="937"/>
      <c r="AF39" s="939"/>
      <c r="AG39" s="985"/>
      <c r="AH39" s="985"/>
      <c r="AI39" s="985"/>
    </row>
    <row r="40" spans="1:38" s="1019" customFormat="1" ht="14.1" customHeight="1">
      <c r="A40" s="1008">
        <v>21</v>
      </c>
      <c r="B40" s="1009" t="s">
        <v>507</v>
      </c>
      <c r="C40" s="976" t="str">
        <f>VLOOKUP(B40,distribucion!B$9:FK$200,2,0)</f>
        <v>Auxiliar de control de calidad</v>
      </c>
      <c r="D40" s="1010">
        <f>G40+K40+M40</f>
        <v>3186.17</v>
      </c>
      <c r="E40" s="1011">
        <f>VLOOKUP(B40,distribucion!B$9:FK$201,7,0)</f>
        <v>30</v>
      </c>
      <c r="F40" s="1012">
        <f>VLOOKUP(B40,distribucion!$B$9:$DQ$288,14,0)</f>
        <v>0</v>
      </c>
      <c r="G40" s="1010">
        <f>ROUND((VLOOKUP(B40,distribucion!B$9:EI$201,94,0)),2)</f>
        <v>3166.38</v>
      </c>
      <c r="H40" s="1010">
        <f>ROUND((VLOOKUP(B40,distribucion!B$9:EI$201,95,0)),2)</f>
        <v>600</v>
      </c>
      <c r="I40" s="1010">
        <f>G40+H40</f>
        <v>3766.38</v>
      </c>
      <c r="J40" s="1013">
        <f>VLOOKUP(B40,distribucion!B$9:EI$201,96,0)</f>
        <v>1</v>
      </c>
      <c r="K40" s="976">
        <f>ROUND((VLOOKUP(B40,distribucion!B$9:EI$201,97,0)),2)</f>
        <v>19.79</v>
      </c>
      <c r="L40" s="976">
        <f>VLOOKUP(B40,distribucion!B$9:EI$201,98,0)</f>
        <v>0</v>
      </c>
      <c r="M40" s="976">
        <f>ROUND((VLOOKUP(B40,distribucion!B$9:EI$201,99,0)),2)</f>
        <v>0</v>
      </c>
      <c r="N40" s="976">
        <f>ROUND((VLOOKUP(B40,distribucion!B$9:EI$201,100,0)),2)</f>
        <v>0</v>
      </c>
      <c r="O40" s="1010">
        <f>SUM(I40:N40)-J40-L40</f>
        <v>3786.17</v>
      </c>
      <c r="P40" s="976">
        <f>ROUND(((G40+K40+M40+N40)*0.0483),2)</f>
        <v>153.88999999999999</v>
      </c>
      <c r="Q40" s="976">
        <f>ROUND((VLOOKUP(B40,distribucion!B$8:FK$200,151,0)),2)</f>
        <v>0</v>
      </c>
      <c r="R40" s="976">
        <f>ROUND((VLOOKUP(B40,distribucion!B$9:FK$200,152,0)),2)</f>
        <v>702.56</v>
      </c>
      <c r="S40" s="976">
        <f>ROUND((VLOOKUP(B40,distribucion!B$9:FK$200,153,0)),2)</f>
        <v>0</v>
      </c>
      <c r="T40" s="976">
        <f>ROUND((VLOOKUP(B40,distribucion!$B$4:$FE$231,159,0)),2)</f>
        <v>0</v>
      </c>
      <c r="U40" s="976">
        <f>ROUND((VLOOKUP(B40,distribucion!$B$5:$FE$232,158,0)),2)</f>
        <v>0</v>
      </c>
      <c r="V40" s="976">
        <f>ROUND((VLOOKUP(B40,distribucion!$B$7:$FE$237,154,0)),2)</f>
        <v>131.75</v>
      </c>
      <c r="W40" s="976">
        <f>ROUND((VLOOKUP(B40,distribucion!B$9:FK$200,160,0)),2)</f>
        <v>317.5</v>
      </c>
      <c r="X40" s="1010">
        <f>SUM(P40:W40)</f>
        <v>1305.6999999999998</v>
      </c>
      <c r="Y40" s="1010">
        <f>O40-X40</f>
        <v>2480.4700000000003</v>
      </c>
      <c r="Z40" s="1121">
        <v>1303.19</v>
      </c>
      <c r="AA40" s="940">
        <f t="shared" si="32"/>
        <v>1177.2800000000002</v>
      </c>
      <c r="AB40" s="1014">
        <f>+Z41</f>
        <v>1799.22</v>
      </c>
      <c r="AC40" s="1015">
        <f>+AA40-AB40</f>
        <v>-621.93999999999983</v>
      </c>
      <c r="AD40" s="1016">
        <f>+Y40-Z40-AA40</f>
        <v>0</v>
      </c>
      <c r="AE40" s="1017"/>
      <c r="AF40" s="1018"/>
      <c r="AG40" s="1009"/>
      <c r="AH40" s="1009"/>
      <c r="AI40" s="1009"/>
      <c r="AJ40" s="908"/>
      <c r="AK40" s="908"/>
      <c r="AL40" s="908"/>
    </row>
    <row r="41" spans="1:38" s="1033" customFormat="1" ht="14.1" customHeight="1">
      <c r="A41" s="1020">
        <v>22</v>
      </c>
      <c r="B41" s="1021" t="s">
        <v>619</v>
      </c>
      <c r="C41" s="1022" t="str">
        <f>VLOOKUP(B41,distribucion!B$9:FK$200,2,0)</f>
        <v>Auxiliar de control de calidad</v>
      </c>
      <c r="D41" s="1023">
        <f>G41+K41+M41</f>
        <v>3413.75</v>
      </c>
      <c r="E41" s="1024">
        <f>VLOOKUP(B41,distribucion!B$9:FK$201,7,0)</f>
        <v>30</v>
      </c>
      <c r="F41" s="1025">
        <f>VLOOKUP(B41,distribucion!$B$9:$DQ$288,14,0)</f>
        <v>0</v>
      </c>
      <c r="G41" s="1023">
        <f>ROUND((VLOOKUP(B41,distribucion!B$9:EI$201,94,0)),2)</f>
        <v>3166.38</v>
      </c>
      <c r="H41" s="1023">
        <f>ROUND((VLOOKUP(B41,distribucion!B$9:EI$201,95,0)),2)</f>
        <v>750</v>
      </c>
      <c r="I41" s="1023">
        <f>G41+H41</f>
        <v>3916.38</v>
      </c>
      <c r="J41" s="1026">
        <f>VLOOKUP(B41,distribucion!B$9:EI$201,96,0)</f>
        <v>12.5</v>
      </c>
      <c r="K41" s="1022">
        <f>ROUND((VLOOKUP(B41,distribucion!B$9:EI$201,97,0)),2)</f>
        <v>247.37</v>
      </c>
      <c r="L41" s="1022">
        <f>VLOOKUP(B41,distribucion!B$9:EI$201,98,0)</f>
        <v>0</v>
      </c>
      <c r="M41" s="1022">
        <f>ROUND((VLOOKUP(B41,distribucion!B$9:EI$201,99,0)),2)</f>
        <v>0</v>
      </c>
      <c r="N41" s="1022">
        <f>ROUND((VLOOKUP(B41,distribucion!B$9:EI$201,100,0)),2)</f>
        <v>0</v>
      </c>
      <c r="O41" s="1023">
        <f>SUM(I41:N41)-J41-L41</f>
        <v>4163.75</v>
      </c>
      <c r="P41" s="1022">
        <f>ROUND(((G41+K41+M41+N41)*0.0483),2)</f>
        <v>164.88</v>
      </c>
      <c r="Q41" s="1022">
        <f>ROUND((VLOOKUP(B41,distribucion!B$8:FK$200,151,0)),2)</f>
        <v>0</v>
      </c>
      <c r="R41" s="1022">
        <f>ROUND((VLOOKUP(B41,distribucion!B$9:FK$200,152,0)),2)</f>
        <v>0</v>
      </c>
      <c r="S41" s="1022">
        <f>ROUND((VLOOKUP(B41,distribucion!B$9:FK$200,153,0)),2)</f>
        <v>0</v>
      </c>
      <c r="T41" s="1022">
        <f>ROUND((VLOOKUP(B41,distribucion!$B$4:$FE$231,159,0)),2)</f>
        <v>0</v>
      </c>
      <c r="U41" s="1022">
        <f>ROUND((VLOOKUP(B41,distribucion!$B$5:$FE$232,158,0)),2)</f>
        <v>0</v>
      </c>
      <c r="V41" s="1022">
        <f>ROUND((VLOOKUP(B41,distribucion!$B$7:$FE$237,154,0)),2)</f>
        <v>352.5</v>
      </c>
      <c r="W41" s="1022">
        <f>ROUND((VLOOKUP(B41,distribucion!B$9:FK$200,160,0)),2)</f>
        <v>50</v>
      </c>
      <c r="X41" s="1023">
        <f>SUM(P41:W41)</f>
        <v>567.38</v>
      </c>
      <c r="Y41" s="1023">
        <f>O41-X41</f>
        <v>3596.37</v>
      </c>
      <c r="Z41" s="1121">
        <v>1799.22</v>
      </c>
      <c r="AA41" s="940">
        <f t="shared" si="32"/>
        <v>1797.1499999999999</v>
      </c>
      <c r="AB41" s="1027">
        <f>+Z45</f>
        <v>4946.34</v>
      </c>
      <c r="AC41" s="1028">
        <f>+AA41-AB41</f>
        <v>-3149.1900000000005</v>
      </c>
      <c r="AD41" s="1029">
        <f>+Y41-Z45-AA41</f>
        <v>-3147.12</v>
      </c>
      <c r="AE41" s="1030"/>
      <c r="AF41" s="1031"/>
      <c r="AG41" s="1021"/>
      <c r="AH41" s="1021"/>
      <c r="AI41" s="1021"/>
      <c r="AJ41" s="1032"/>
      <c r="AK41" s="1032"/>
      <c r="AL41" s="1032"/>
    </row>
    <row r="42" spans="1:38" ht="15">
      <c r="A42" s="937"/>
      <c r="B42" s="937"/>
      <c r="C42" s="937"/>
      <c r="D42" s="961"/>
      <c r="E42" s="960"/>
      <c r="F42" s="963"/>
      <c r="G42" s="989">
        <f t="shared" ref="G42:AC42" si="33">SUM(G39:G41)</f>
        <v>11582.760000000002</v>
      </c>
      <c r="H42" s="989">
        <f t="shared" si="33"/>
        <v>4100</v>
      </c>
      <c r="I42" s="989">
        <f t="shared" si="33"/>
        <v>15682.760000000002</v>
      </c>
      <c r="J42" s="989">
        <f t="shared" si="33"/>
        <v>13.5</v>
      </c>
      <c r="K42" s="989">
        <f t="shared" si="33"/>
        <v>267.16000000000003</v>
      </c>
      <c r="L42" s="989">
        <f t="shared" si="33"/>
        <v>0</v>
      </c>
      <c r="M42" s="989">
        <f t="shared" si="33"/>
        <v>0</v>
      </c>
      <c r="N42" s="989">
        <f t="shared" si="33"/>
        <v>0</v>
      </c>
      <c r="O42" s="989">
        <f t="shared" si="33"/>
        <v>15949.92</v>
      </c>
      <c r="P42" s="989">
        <f t="shared" si="33"/>
        <v>572.35</v>
      </c>
      <c r="Q42" s="1893">
        <f t="shared" si="33"/>
        <v>187.32</v>
      </c>
      <c r="R42" s="989">
        <f t="shared" si="33"/>
        <v>702.56</v>
      </c>
      <c r="S42" s="989">
        <f t="shared" si="33"/>
        <v>0</v>
      </c>
      <c r="T42" s="989">
        <f t="shared" si="33"/>
        <v>0</v>
      </c>
      <c r="U42" s="989">
        <f t="shared" si="33"/>
        <v>0</v>
      </c>
      <c r="V42" s="989">
        <f t="shared" si="33"/>
        <v>484.25</v>
      </c>
      <c r="W42" s="989">
        <f t="shared" si="33"/>
        <v>682.5</v>
      </c>
      <c r="X42" s="989">
        <f t="shared" si="33"/>
        <v>2628.98</v>
      </c>
      <c r="Y42" s="989">
        <f t="shared" si="33"/>
        <v>13320.939999999999</v>
      </c>
      <c r="Z42" s="989">
        <f t="shared" si="33"/>
        <v>6855.62</v>
      </c>
      <c r="AA42" s="989">
        <f t="shared" si="33"/>
        <v>6465.32</v>
      </c>
      <c r="AB42" s="989">
        <f t="shared" si="33"/>
        <v>6745.56</v>
      </c>
      <c r="AC42" s="989">
        <f t="shared" si="33"/>
        <v>-3771.13</v>
      </c>
      <c r="AD42" s="968">
        <f t="shared" si="31"/>
        <v>0</v>
      </c>
      <c r="AE42" s="937"/>
      <c r="AF42" s="939"/>
      <c r="AG42" s="913"/>
      <c r="AH42" s="913"/>
      <c r="AI42" s="913"/>
    </row>
    <row r="43" spans="1:38" ht="14.1" customHeight="1">
      <c r="A43" s="960"/>
      <c r="B43" s="987"/>
      <c r="C43" s="988"/>
      <c r="D43" s="961"/>
      <c r="E43" s="962"/>
      <c r="F43" s="963"/>
      <c r="G43" s="969"/>
      <c r="H43" s="969"/>
      <c r="I43" s="969"/>
      <c r="J43" s="970"/>
      <c r="K43" s="971"/>
      <c r="L43" s="971"/>
      <c r="M43" s="971"/>
      <c r="N43" s="971"/>
      <c r="O43" s="969"/>
      <c r="P43" s="972"/>
      <c r="Q43" s="972"/>
      <c r="R43" s="971"/>
      <c r="S43" s="971"/>
      <c r="T43" s="971"/>
      <c r="U43" s="971"/>
      <c r="V43" s="971"/>
      <c r="W43" s="971"/>
      <c r="X43" s="969"/>
      <c r="Y43" s="969"/>
      <c r="Z43" s="970"/>
      <c r="AA43" s="969"/>
      <c r="AB43" s="966">
        <f t="shared" ref="AB43:AB50" si="34">+Z43</f>
        <v>0</v>
      </c>
      <c r="AC43" s="967">
        <f t="shared" ref="AC43:AC50" si="35">+AA43-AB43</f>
        <v>0</v>
      </c>
      <c r="AD43" s="968">
        <f t="shared" si="31"/>
        <v>0</v>
      </c>
      <c r="AE43" s="937"/>
      <c r="AF43" s="939"/>
      <c r="AG43" s="913"/>
      <c r="AH43" s="913"/>
      <c r="AI43" s="913"/>
    </row>
    <row r="44" spans="1:38" ht="14.1" customHeight="1">
      <c r="A44" s="913"/>
      <c r="B44" s="935" t="s">
        <v>175</v>
      </c>
      <c r="C44" s="913"/>
      <c r="D44" s="969"/>
      <c r="E44" s="938"/>
      <c r="F44" s="963"/>
      <c r="G44" s="969"/>
      <c r="H44" s="969"/>
      <c r="I44" s="969"/>
      <c r="J44" s="970"/>
      <c r="K44" s="971"/>
      <c r="L44" s="971"/>
      <c r="M44" s="971"/>
      <c r="N44" s="971"/>
      <c r="O44" s="969"/>
      <c r="P44" s="972"/>
      <c r="Q44" s="972"/>
      <c r="R44" s="971"/>
      <c r="S44" s="971"/>
      <c r="T44" s="971"/>
      <c r="U44" s="971"/>
      <c r="V44" s="971"/>
      <c r="W44" s="971"/>
      <c r="X44" s="969"/>
      <c r="Y44" s="969"/>
      <c r="Z44" s="970"/>
      <c r="AA44" s="973"/>
      <c r="AB44" s="966">
        <f t="shared" si="34"/>
        <v>0</v>
      </c>
      <c r="AC44" s="967">
        <f t="shared" si="35"/>
        <v>0</v>
      </c>
      <c r="AD44" s="968">
        <f t="shared" si="31"/>
        <v>0</v>
      </c>
      <c r="AE44" s="937"/>
      <c r="AF44" s="939"/>
      <c r="AG44" s="913"/>
      <c r="AH44" s="913"/>
      <c r="AI44" s="913"/>
    </row>
    <row r="45" spans="1:38" s="986" customFormat="1" ht="14.1" customHeight="1">
      <c r="A45" s="1003">
        <f>A41+1</f>
        <v>23</v>
      </c>
      <c r="B45" s="1034" t="s">
        <v>501</v>
      </c>
      <c r="C45" s="980" t="str">
        <f>VLOOKUP(B45,distribucion!B$9:FK$200,2,0)</f>
        <v>Jefe de Informática</v>
      </c>
      <c r="D45" s="940">
        <f>G45+K45+M45</f>
        <v>7000</v>
      </c>
      <c r="E45" s="981">
        <f>VLOOKUP(B45,distribucion!B$9:FK$201,7,0)</f>
        <v>30</v>
      </c>
      <c r="F45" s="982">
        <f>VLOOKUP(B45,distribucion!$B$9:$DQ$288,14,0)</f>
        <v>0</v>
      </c>
      <c r="G45" s="983">
        <f>ROUND((VLOOKUP(B45,distribucion!B$9:EI$201,94,0)),2)</f>
        <v>7000</v>
      </c>
      <c r="H45" s="983">
        <f>ROUND((VLOOKUP(B45,distribucion!B$9:EI$201,95,0)),2)</f>
        <v>5250</v>
      </c>
      <c r="I45" s="940">
        <f>G45+H45</f>
        <v>12250</v>
      </c>
      <c r="J45" s="984">
        <f>VLOOKUP(B45,distribucion!B$9:EI$201,96,0)</f>
        <v>0</v>
      </c>
      <c r="K45" s="972">
        <f>ROUND((VLOOKUP(B45,distribucion!B$9:EI$201,97,0)),2)</f>
        <v>0</v>
      </c>
      <c r="L45" s="972">
        <f>VLOOKUP(B45,distribucion!B$9:EI$201,98,0)</f>
        <v>0</v>
      </c>
      <c r="M45" s="972">
        <f>ROUND((VLOOKUP(B45,distribucion!B$9:EI$201,99,0)),2)</f>
        <v>0</v>
      </c>
      <c r="N45" s="972">
        <f>ROUND((VLOOKUP(B45,distribucion!B$9:EI$201,100,0)),2)</f>
        <v>0</v>
      </c>
      <c r="O45" s="940">
        <f>SUM(I45:N45)-J45-L45</f>
        <v>12250</v>
      </c>
      <c r="P45" s="972">
        <f>ROUND(((G45+K45+M45)*0.0483),2)</f>
        <v>338.1</v>
      </c>
      <c r="Q45" s="972">
        <f>ROUND((VLOOKUP(B45,distribucion!B$8:FK$200,151,0)),2)</f>
        <v>395.6</v>
      </c>
      <c r="R45" s="971">
        <f>ROUND((VLOOKUP(B45,distribucion!B$9:FK$200,152,0)),2)</f>
        <v>1491.76</v>
      </c>
      <c r="S45" s="971">
        <f>ROUND((VLOOKUP(B45,distribucion!B$9:FK$200,153,0)),2)</f>
        <v>0</v>
      </c>
      <c r="T45" s="971">
        <f>ROUND((VLOOKUP(B45,distribucion!$B$4:$FE$231,159,0)),2)</f>
        <v>0</v>
      </c>
      <c r="U45" s="971">
        <f>ROUND((VLOOKUP(B45,distribucion!$B$5:$FE$232,158,0)),2)</f>
        <v>0</v>
      </c>
      <c r="V45" s="971">
        <f>ROUND((VLOOKUP(B45,distribucion!$B$7:$FE$237,154,0)),2)</f>
        <v>0</v>
      </c>
      <c r="W45" s="971">
        <f>ROUND((VLOOKUP(B45,distribucion!B$9:FK$200,160,0)),2)</f>
        <v>337.5</v>
      </c>
      <c r="X45" s="940">
        <f>SUM(P45:W45)</f>
        <v>2562.96</v>
      </c>
      <c r="Y45" s="940">
        <f>O45-X45</f>
        <v>9687.0400000000009</v>
      </c>
      <c r="Z45" s="1121">
        <v>4946.34</v>
      </c>
      <c r="AA45" s="940">
        <f t="shared" ref="AA45:AA47" si="36">+Y45-Z45</f>
        <v>4740.7000000000007</v>
      </c>
      <c r="AB45" s="966" t="e">
        <f>+#REF!</f>
        <v>#REF!</v>
      </c>
      <c r="AC45" s="967" t="e">
        <f t="shared" si="35"/>
        <v>#REF!</v>
      </c>
      <c r="AD45" s="968" t="e">
        <f>+Y45-#REF!-AA45</f>
        <v>#REF!</v>
      </c>
      <c r="AE45" s="937"/>
      <c r="AF45" s="939"/>
      <c r="AG45" s="985"/>
      <c r="AH45" s="985"/>
      <c r="AI45" s="985"/>
    </row>
    <row r="46" spans="1:38" s="986" customFormat="1" ht="14.1" customHeight="1">
      <c r="A46" s="1003">
        <f>+A45+1</f>
        <v>24</v>
      </c>
      <c r="B46" s="1034" t="str">
        <f>+distribucion!B63</f>
        <v>Cabrera Guzman Javier Antonio</v>
      </c>
      <c r="C46" s="980" t="str">
        <f>VLOOKUP(B46,distribucion!B$9:FK$200,2,0)</f>
        <v>Analista Programador</v>
      </c>
      <c r="D46" s="940">
        <f>G46+K46+M46</f>
        <v>3459.24</v>
      </c>
      <c r="E46" s="981">
        <f>VLOOKUP(B46,distribucion!B$9:FK$201,7,0)</f>
        <v>30</v>
      </c>
      <c r="F46" s="982">
        <f>VLOOKUP(B46,distribucion!$B$9:$DQ$288,14,0)</f>
        <v>0</v>
      </c>
      <c r="G46" s="983">
        <f>ROUND((VLOOKUP(B46,distribucion!B$9:EI$201,94,0)),2)</f>
        <v>3459.24</v>
      </c>
      <c r="H46" s="983">
        <f>ROUND((VLOOKUP(B46,distribucion!B$9:EI$201,95,0)),2)</f>
        <v>1250</v>
      </c>
      <c r="I46" s="940">
        <f>G46+H46</f>
        <v>4709.24</v>
      </c>
      <c r="J46" s="984">
        <f>VLOOKUP(B46,distribucion!B$9:EI$201,96,0)</f>
        <v>0</v>
      </c>
      <c r="K46" s="972">
        <f>ROUND((VLOOKUP(B46,distribucion!B$9:EI$201,97,0)),2)</f>
        <v>0</v>
      </c>
      <c r="L46" s="972">
        <f>VLOOKUP(B46,distribucion!B$9:EI$201,98,0)</f>
        <v>0</v>
      </c>
      <c r="M46" s="972">
        <f>ROUND((VLOOKUP(B46,distribucion!B$9:EI$201,99,0)),2)</f>
        <v>0</v>
      </c>
      <c r="N46" s="972">
        <f>ROUND((VLOOKUP(B46,distribucion!B$9:EI$201,100,0)),2)</f>
        <v>0</v>
      </c>
      <c r="O46" s="940">
        <f>SUM(I46:N46)-J46-L46</f>
        <v>4709.24</v>
      </c>
      <c r="P46" s="972">
        <f>ROUND(((G46+K46+M46)*0.0483),2)</f>
        <v>167.08</v>
      </c>
      <c r="Q46" s="972">
        <f>ROUND((VLOOKUP(B46,distribucion!B$8:FK$200,151,0)),2)</f>
        <v>27.11</v>
      </c>
      <c r="R46" s="971">
        <f>ROUND((VLOOKUP(B46,distribucion!B$9:FK$200,152,0)),2)</f>
        <v>0</v>
      </c>
      <c r="S46" s="971">
        <f>ROUND((VLOOKUP(B46,distribucion!B$9:FK$200,153,0)),2)</f>
        <v>0</v>
      </c>
      <c r="T46" s="971">
        <f>ROUND((VLOOKUP(B46,distribucion!$B$4:$FE$231,159,0)),2)</f>
        <v>0</v>
      </c>
      <c r="U46" s="971">
        <f>ROUND((VLOOKUP(B46,distribucion!$B$5:$FE$232,158,0)),2)</f>
        <v>0</v>
      </c>
      <c r="V46" s="971">
        <f>ROUND((VLOOKUP(B46,distribucion!$B$7:$FE$237,154,0)),2)</f>
        <v>445.5</v>
      </c>
      <c r="W46" s="971">
        <f>ROUND((VLOOKUP(B46,distribucion!B$9:FK$200,160,0)),2)</f>
        <v>50</v>
      </c>
      <c r="X46" s="940">
        <f>SUM(P46:W46)</f>
        <v>689.69</v>
      </c>
      <c r="Y46" s="940">
        <f>O46-X46</f>
        <v>4019.5499999999997</v>
      </c>
      <c r="Z46" s="1121">
        <v>1992.72</v>
      </c>
      <c r="AA46" s="940">
        <f t="shared" si="36"/>
        <v>2026.8299999999997</v>
      </c>
      <c r="AB46" s="966"/>
      <c r="AC46" s="967"/>
      <c r="AD46" s="968"/>
      <c r="AE46" s="937"/>
      <c r="AF46" s="939"/>
      <c r="AG46" s="985"/>
      <c r="AH46" s="985"/>
      <c r="AI46" s="985"/>
    </row>
    <row r="47" spans="1:38" s="908" customFormat="1" ht="14.1" customHeight="1">
      <c r="A47" s="1003">
        <f>+A46+1</f>
        <v>25</v>
      </c>
      <c r="B47" s="1035" t="s">
        <v>535</v>
      </c>
      <c r="C47" s="976" t="str">
        <f>VLOOKUP(B47,distribucion!B$9:FK$200,2,0)</f>
        <v>Analista Programador</v>
      </c>
      <c r="D47" s="983">
        <f>G47+K47+M47</f>
        <v>4750</v>
      </c>
      <c r="E47" s="1036">
        <f>VLOOKUP(B47,distribucion!B$9:FK$201,7,0)</f>
        <v>30</v>
      </c>
      <c r="F47" s="1037">
        <f>VLOOKUP(B47,distribucion!$B$9:$DQ$288,14,0)</f>
        <v>0</v>
      </c>
      <c r="G47" s="983">
        <f>ROUND((VLOOKUP(B47,distribucion!B$9:EI$201,94,0)),2)</f>
        <v>4750</v>
      </c>
      <c r="H47" s="983">
        <f>ROUND((VLOOKUP(B47,distribucion!B$9:EI$201,95,0)),2)</f>
        <v>1250</v>
      </c>
      <c r="I47" s="983">
        <f>G47+H47</f>
        <v>6000</v>
      </c>
      <c r="J47" s="1038">
        <f>VLOOKUP(B47,distribucion!B$9:EI$201,96,0)</f>
        <v>0</v>
      </c>
      <c r="K47" s="1039">
        <f>ROUND((VLOOKUP(B47,distribucion!B$9:EI$201,97,0)),2)</f>
        <v>0</v>
      </c>
      <c r="L47" s="1039">
        <f>VLOOKUP(B47,distribucion!B$9:EI$201,98,0)</f>
        <v>0</v>
      </c>
      <c r="M47" s="1039">
        <f>ROUND((VLOOKUP(B47,distribucion!B$9:EI$201,99,0)),2)</f>
        <v>0</v>
      </c>
      <c r="N47" s="1039">
        <f>ROUND((VLOOKUP(B47,distribucion!B$9:EI$201,100,0)),2)</f>
        <v>0</v>
      </c>
      <c r="O47" s="983">
        <f>SUM(I47:N47)-J47-L47</f>
        <v>6000</v>
      </c>
      <c r="P47" s="1039">
        <f>ROUND(((G47+K47+M47)*0.0483),2)</f>
        <v>229.43</v>
      </c>
      <c r="Q47" s="1039">
        <f>ROUND((VLOOKUP(B47,distribucion!B$8:FK$200,151,0)),2)</f>
        <v>88.53</v>
      </c>
      <c r="R47" s="944">
        <f>ROUND((VLOOKUP(B47,distribucion!B$9:FK$200,152,0)),2)</f>
        <v>0</v>
      </c>
      <c r="S47" s="944">
        <f>ROUND((VLOOKUP(B47,distribucion!B$9:FK$200,153,0)),2)</f>
        <v>0</v>
      </c>
      <c r="T47" s="944">
        <f>ROUND((VLOOKUP(B47,distribucion!$B$4:$FE$231,159,0)),2)</f>
        <v>0</v>
      </c>
      <c r="U47" s="944">
        <f>ROUND((VLOOKUP(B47,distribucion!$B$5:$FE$232,158,0)),2)</f>
        <v>0</v>
      </c>
      <c r="V47" s="944">
        <f>ROUND((VLOOKUP(B47,distribucion!$B$7:$FE$237,154,0)),2)</f>
        <v>0</v>
      </c>
      <c r="W47" s="944">
        <f>ROUND((VLOOKUP(B47,distribucion!B$9:FK$200,160,0)),2)</f>
        <v>0</v>
      </c>
      <c r="X47" s="983">
        <f>SUM(P47:W47)</f>
        <v>317.96000000000004</v>
      </c>
      <c r="Y47" s="983">
        <f>O47-X47</f>
        <v>5682.04</v>
      </c>
      <c r="Z47" s="1121">
        <v>2528.4</v>
      </c>
      <c r="AA47" s="940">
        <f t="shared" si="36"/>
        <v>3153.64</v>
      </c>
      <c r="AB47" s="1040">
        <f t="shared" si="34"/>
        <v>2528.4</v>
      </c>
      <c r="AC47" s="1002">
        <f t="shared" si="35"/>
        <v>625.23999999999978</v>
      </c>
      <c r="AD47" s="958">
        <f t="shared" si="31"/>
        <v>0</v>
      </c>
      <c r="AE47" s="937"/>
      <c r="AF47" s="939"/>
      <c r="AG47" s="1009"/>
      <c r="AH47" s="1009"/>
      <c r="AI47" s="1009"/>
    </row>
    <row r="48" spans="1:38" ht="14.1" customHeight="1">
      <c r="A48" s="960"/>
      <c r="B48" s="928"/>
      <c r="C48" s="937" t="s">
        <v>204</v>
      </c>
      <c r="D48" s="961" t="s">
        <v>204</v>
      </c>
      <c r="E48" s="962"/>
      <c r="F48" s="982" t="s">
        <v>54</v>
      </c>
      <c r="G48" s="996">
        <f t="shared" ref="G48:AA48" si="37">+SUM(G45:G47)</f>
        <v>15209.24</v>
      </c>
      <c r="H48" s="996">
        <f t="shared" si="37"/>
        <v>7750</v>
      </c>
      <c r="I48" s="996">
        <f t="shared" si="37"/>
        <v>22959.239999999998</v>
      </c>
      <c r="J48" s="997">
        <f t="shared" si="37"/>
        <v>0</v>
      </c>
      <c r="K48" s="998">
        <f t="shared" si="37"/>
        <v>0</v>
      </c>
      <c r="L48" s="998">
        <f t="shared" si="37"/>
        <v>0</v>
      </c>
      <c r="M48" s="998">
        <f t="shared" si="37"/>
        <v>0</v>
      </c>
      <c r="N48" s="998">
        <f t="shared" si="37"/>
        <v>0</v>
      </c>
      <c r="O48" s="996">
        <f t="shared" si="37"/>
        <v>22959.239999999998</v>
      </c>
      <c r="P48" s="998">
        <f t="shared" si="37"/>
        <v>734.61000000000013</v>
      </c>
      <c r="Q48" s="999">
        <f t="shared" si="37"/>
        <v>511.24</v>
      </c>
      <c r="R48" s="998">
        <f t="shared" si="37"/>
        <v>1491.76</v>
      </c>
      <c r="S48" s="998">
        <f t="shared" si="37"/>
        <v>0</v>
      </c>
      <c r="T48" s="998">
        <f t="shared" si="37"/>
        <v>0</v>
      </c>
      <c r="U48" s="998">
        <f t="shared" si="37"/>
        <v>0</v>
      </c>
      <c r="V48" s="998">
        <f t="shared" si="37"/>
        <v>445.5</v>
      </c>
      <c r="W48" s="998">
        <f t="shared" si="37"/>
        <v>387.5</v>
      </c>
      <c r="X48" s="996">
        <f t="shared" si="37"/>
        <v>3570.61</v>
      </c>
      <c r="Y48" s="996">
        <f t="shared" si="37"/>
        <v>19388.63</v>
      </c>
      <c r="Z48" s="998">
        <f>+SUM(Z45:Z47)</f>
        <v>9467.4600000000009</v>
      </c>
      <c r="AA48" s="996">
        <f t="shared" si="37"/>
        <v>9921.17</v>
      </c>
      <c r="AB48" s="966">
        <f t="shared" si="34"/>
        <v>9467.4600000000009</v>
      </c>
      <c r="AC48" s="967">
        <f t="shared" si="35"/>
        <v>453.70999999999913</v>
      </c>
      <c r="AD48" s="968">
        <f t="shared" si="31"/>
        <v>0</v>
      </c>
      <c r="AE48" s="937"/>
      <c r="AF48" s="939"/>
      <c r="AG48" s="913"/>
      <c r="AH48" s="913"/>
      <c r="AI48" s="913"/>
    </row>
    <row r="49" spans="1:38" ht="14.1" customHeight="1">
      <c r="A49" s="960"/>
      <c r="B49" s="987"/>
      <c r="C49" s="988"/>
      <c r="D49" s="961"/>
      <c r="E49" s="962"/>
      <c r="F49" s="982" t="s">
        <v>54</v>
      </c>
      <c r="G49" s="969"/>
      <c r="H49" s="969"/>
      <c r="I49" s="969"/>
      <c r="J49" s="970"/>
      <c r="K49" s="971"/>
      <c r="L49" s="971"/>
      <c r="M49" s="971"/>
      <c r="N49" s="971"/>
      <c r="O49" s="969"/>
      <c r="P49" s="972"/>
      <c r="Q49" s="972"/>
      <c r="R49" s="971"/>
      <c r="S49" s="971"/>
      <c r="T49" s="971"/>
      <c r="U49" s="971"/>
      <c r="V49" s="971"/>
      <c r="W49" s="971"/>
      <c r="X49" s="969"/>
      <c r="Y49" s="969"/>
      <c r="Z49" s="970"/>
      <c r="AA49" s="969"/>
      <c r="AB49" s="966">
        <f t="shared" si="34"/>
        <v>0</v>
      </c>
      <c r="AC49" s="967">
        <f t="shared" si="35"/>
        <v>0</v>
      </c>
      <c r="AD49" s="968">
        <f t="shared" si="31"/>
        <v>0</v>
      </c>
      <c r="AE49" s="937"/>
      <c r="AF49" s="939"/>
      <c r="AG49" s="913"/>
      <c r="AH49" s="913"/>
      <c r="AI49" s="913"/>
    </row>
    <row r="50" spans="1:38" ht="14.1" customHeight="1">
      <c r="A50" s="960"/>
      <c r="B50" s="935" t="s">
        <v>176</v>
      </c>
      <c r="C50" s="1041"/>
      <c r="D50" s="969"/>
      <c r="E50" s="938"/>
      <c r="F50" s="982">
        <f>VLOOKUP(B50,distribucion!$B$9:$DQ$288,14,0)</f>
        <v>0</v>
      </c>
      <c r="G50" s="945"/>
      <c r="H50" s="945"/>
      <c r="I50" s="969"/>
      <c r="J50" s="970"/>
      <c r="K50" s="971"/>
      <c r="L50" s="971"/>
      <c r="M50" s="971"/>
      <c r="N50" s="971"/>
      <c r="O50" s="969"/>
      <c r="P50" s="972"/>
      <c r="Q50" s="972"/>
      <c r="R50" s="971"/>
      <c r="S50" s="971"/>
      <c r="T50" s="971"/>
      <c r="U50" s="971"/>
      <c r="V50" s="971"/>
      <c r="W50" s="971"/>
      <c r="X50" s="969"/>
      <c r="Y50" s="969"/>
      <c r="Z50" s="970"/>
      <c r="AA50" s="969"/>
      <c r="AB50" s="966">
        <f t="shared" si="34"/>
        <v>0</v>
      </c>
      <c r="AC50" s="967">
        <f t="shared" si="35"/>
        <v>0</v>
      </c>
      <c r="AD50" s="968">
        <f t="shared" si="31"/>
        <v>0</v>
      </c>
      <c r="AE50" s="937"/>
      <c r="AF50" s="939"/>
      <c r="AG50" s="913"/>
      <c r="AH50" s="913"/>
      <c r="AI50" s="913"/>
    </row>
    <row r="51" spans="1:38" s="995" customFormat="1" ht="15">
      <c r="A51" s="960">
        <v>26</v>
      </c>
      <c r="B51" s="913" t="str">
        <f>+distribucion!B69</f>
        <v>Perez Menendez Mayra Alejandra</v>
      </c>
      <c r="C51" s="975" t="str">
        <f>+distribucion!C69</f>
        <v>Asistente de Recursos Humanos</v>
      </c>
      <c r="D51" s="969">
        <f>G51+K51+M51</f>
        <v>3500</v>
      </c>
      <c r="E51" s="938">
        <f>VLOOKUP(B51,distribucion!B$9:FK$201,7,0)</f>
        <v>30</v>
      </c>
      <c r="F51" s="982">
        <f>VLOOKUP(B51,distribucion!$B$9:$DQ$288,14,0)</f>
        <v>0</v>
      </c>
      <c r="G51" s="945">
        <f>ROUND((VLOOKUP(B51,distribucion!B$9:EI$201,94,0)),2)</f>
        <v>3500</v>
      </c>
      <c r="H51" s="945">
        <f>ROUND((VLOOKUP(B51,distribucion!B$9:EI$201,95,0)),2)</f>
        <v>825</v>
      </c>
      <c r="I51" s="969">
        <f>G51+H51</f>
        <v>4325</v>
      </c>
      <c r="J51" s="970">
        <f>VLOOKUP(B51,distribucion!B$9:EI$201,96,0)</f>
        <v>0</v>
      </c>
      <c r="K51" s="971">
        <f>ROUND((VLOOKUP(B51,distribucion!B$9:EI$201,97,0)),2)</f>
        <v>0</v>
      </c>
      <c r="L51" s="971">
        <f>VLOOKUP(B51,distribucion!B$9:EI$201,98,0)</f>
        <v>0</v>
      </c>
      <c r="M51" s="971">
        <f>ROUND((VLOOKUP(B51,distribucion!B$9:EI$201,99,0)),2)</f>
        <v>0</v>
      </c>
      <c r="N51" s="971">
        <f>ROUND((VLOOKUP(B51,distribucion!B$9:EI$201,100,0)),2)</f>
        <v>0</v>
      </c>
      <c r="O51" s="969">
        <f>SUM(I51:N51)-J51-L51</f>
        <v>4325</v>
      </c>
      <c r="P51" s="972">
        <f>ROUND(((G51+K51+M51+N51)*0.0483),2)</f>
        <v>169.05</v>
      </c>
      <c r="Q51" s="972">
        <f>ROUND((VLOOKUP(B51,distribucion!B$8:FK$200,151,0)),2)</f>
        <v>7.8</v>
      </c>
      <c r="R51" s="971">
        <f>ROUND((VLOOKUP(B51,distribucion!B$9:FK$200,152,0)),2)</f>
        <v>0</v>
      </c>
      <c r="S51" s="971">
        <f>ROUND((VLOOKUP(B51,distribucion!B$9:FK$200,153,0)),2)</f>
        <v>0</v>
      </c>
      <c r="T51" s="971">
        <f>ROUND((VLOOKUP(B51,distribucion!$B$4:$FE$231,159,0)),2)</f>
        <v>0</v>
      </c>
      <c r="U51" s="971">
        <f>ROUND((VLOOKUP(B51,distribucion!$B$5:$FE$232,158,0)),2)</f>
        <v>0</v>
      </c>
      <c r="V51" s="971">
        <f>ROUND((VLOOKUP(B51,distribucion!$B$7:$FE$237,154,0)),2)</f>
        <v>18</v>
      </c>
      <c r="W51" s="971">
        <f>ROUND((VLOOKUP(B51,distribucion!B$9:FK$200,160,0)),2)</f>
        <v>290</v>
      </c>
      <c r="X51" s="969">
        <f>SUM(P51:W51)</f>
        <v>484.85</v>
      </c>
      <c r="Y51" s="969">
        <f>O51-X51</f>
        <v>3840.15</v>
      </c>
      <c r="Z51" s="1121">
        <v>1952.77</v>
      </c>
      <c r="AA51" s="940">
        <f t="shared" ref="AA51:AA52" si="38">+Y51-Z51</f>
        <v>1887.38</v>
      </c>
      <c r="AB51" s="966"/>
      <c r="AC51" s="967"/>
      <c r="AD51" s="968"/>
      <c r="AE51" s="937"/>
      <c r="AF51" s="939"/>
      <c r="AG51" s="993"/>
      <c r="AH51" s="993"/>
      <c r="AI51" s="993"/>
      <c r="AJ51" s="994"/>
      <c r="AK51" s="994"/>
      <c r="AL51" s="994"/>
    </row>
    <row r="52" spans="1:38" s="995" customFormat="1" ht="15">
      <c r="A52" s="960">
        <v>27</v>
      </c>
      <c r="B52" s="913" t="str">
        <f>+distribucion!B70</f>
        <v>Zarate De Leon Enma Yaneth</v>
      </c>
      <c r="C52" s="975" t="str">
        <f>+distribucion!C70</f>
        <v>Asistente de Reclutamiento</v>
      </c>
      <c r="D52" s="969">
        <f>G52+K52+M52</f>
        <v>3750</v>
      </c>
      <c r="E52" s="938">
        <f>VLOOKUP(B52,distribucion!B$9:FK$201,7,0)</f>
        <v>30</v>
      </c>
      <c r="F52" s="982">
        <f>VLOOKUP(B52,distribucion!$B$9:$DQ$288,14,0)</f>
        <v>0</v>
      </c>
      <c r="G52" s="945">
        <f>ROUND((VLOOKUP(B52,distribucion!B$9:EI$201,94,0)),2)</f>
        <v>3750</v>
      </c>
      <c r="H52" s="945">
        <f>ROUND((VLOOKUP(B52,distribucion!B$9:EI$201,95,0)),2)</f>
        <v>250</v>
      </c>
      <c r="I52" s="969">
        <f>G52+H52</f>
        <v>4000</v>
      </c>
      <c r="J52" s="970">
        <f>VLOOKUP(B52,distribucion!B$9:EI$201,96,0)</f>
        <v>0</v>
      </c>
      <c r="K52" s="971">
        <f>ROUND((VLOOKUP(B52,distribucion!B$9:EI$201,97,0)),2)</f>
        <v>0</v>
      </c>
      <c r="L52" s="971">
        <f>VLOOKUP(B52,distribucion!B$9:EI$201,98,0)</f>
        <v>0</v>
      </c>
      <c r="M52" s="971">
        <f>ROUND((VLOOKUP(B52,distribucion!B$9:EI$201,99,0)),2)</f>
        <v>0</v>
      </c>
      <c r="N52" s="971">
        <f>ROUND((VLOOKUP(B52,distribucion!B$9:EI$201,100,0)),2)</f>
        <v>0</v>
      </c>
      <c r="O52" s="969">
        <f>SUM(I52:N52)-J52-L52</f>
        <v>4000</v>
      </c>
      <c r="P52" s="972">
        <f>ROUND(((G52+K52+M52+N52)*0.0483),2)</f>
        <v>181.13</v>
      </c>
      <c r="Q52" s="972">
        <f>ROUND((VLOOKUP(B52,distribucion!B$8:FK$200,151,0)),2)</f>
        <v>0</v>
      </c>
      <c r="R52" s="971">
        <f>ROUND((VLOOKUP(B52,distribucion!B$9:FK$200,152,0)),2)</f>
        <v>0</v>
      </c>
      <c r="S52" s="971">
        <f>ROUND((VLOOKUP(B52,distribucion!B$9:FK$200,153,0)),2)</f>
        <v>0</v>
      </c>
      <c r="T52" s="971">
        <f>ROUND((VLOOKUP(B52,distribucion!$B$4:$FE$231,159,0)),2)</f>
        <v>0</v>
      </c>
      <c r="U52" s="971">
        <f>ROUND((VLOOKUP(B52,distribucion!$B$5:$FE$232,158,0)),2)</f>
        <v>0</v>
      </c>
      <c r="V52" s="971">
        <f>ROUND((VLOOKUP(B52,distribucion!$B$7:$FE$237,154,0)),2)</f>
        <v>11</v>
      </c>
      <c r="W52" s="971">
        <f>ROUND((VLOOKUP(B52,distribucion!B$9:FK$200,160,0)),2)</f>
        <v>50</v>
      </c>
      <c r="X52" s="969">
        <f>SUM(P52:W52)</f>
        <v>242.13</v>
      </c>
      <c r="Y52" s="969">
        <f>O52-X52</f>
        <v>3757.87</v>
      </c>
      <c r="Z52" s="1121">
        <v>1909.44</v>
      </c>
      <c r="AA52" s="940">
        <f t="shared" si="38"/>
        <v>1848.4299999999998</v>
      </c>
      <c r="AB52" s="966"/>
      <c r="AC52" s="967"/>
      <c r="AD52" s="968"/>
      <c r="AE52" s="937"/>
      <c r="AF52" s="939"/>
      <c r="AG52" s="993"/>
      <c r="AH52" s="993"/>
      <c r="AI52" s="993"/>
      <c r="AJ52" s="994"/>
      <c r="AK52" s="994"/>
      <c r="AL52" s="994"/>
    </row>
    <row r="53" spans="1:38" ht="15">
      <c r="A53" s="960"/>
      <c r="B53" s="935"/>
      <c r="C53" s="988"/>
      <c r="D53" s="961"/>
      <c r="E53" s="962"/>
      <c r="F53" s="982" t="s">
        <v>54</v>
      </c>
      <c r="G53" s="996">
        <f>SUM(G51:G52)</f>
        <v>7250</v>
      </c>
      <c r="H53" s="996">
        <f t="shared" ref="H53:AA53" si="39">SUM(H51:H52)</f>
        <v>1075</v>
      </c>
      <c r="I53" s="996">
        <f t="shared" si="39"/>
        <v>8325</v>
      </c>
      <c r="J53" s="996">
        <f t="shared" si="39"/>
        <v>0</v>
      </c>
      <c r="K53" s="996">
        <f t="shared" si="39"/>
        <v>0</v>
      </c>
      <c r="L53" s="996">
        <f t="shared" si="39"/>
        <v>0</v>
      </c>
      <c r="M53" s="996">
        <f t="shared" si="39"/>
        <v>0</v>
      </c>
      <c r="N53" s="996">
        <f t="shared" si="39"/>
        <v>0</v>
      </c>
      <c r="O53" s="996">
        <f t="shared" si="39"/>
        <v>8325</v>
      </c>
      <c r="P53" s="996">
        <f t="shared" si="39"/>
        <v>350.18</v>
      </c>
      <c r="Q53" s="1894">
        <f t="shared" si="39"/>
        <v>7.8</v>
      </c>
      <c r="R53" s="996">
        <f t="shared" si="39"/>
        <v>0</v>
      </c>
      <c r="S53" s="996">
        <f t="shared" si="39"/>
        <v>0</v>
      </c>
      <c r="T53" s="996">
        <f t="shared" si="39"/>
        <v>0</v>
      </c>
      <c r="U53" s="996">
        <f t="shared" si="39"/>
        <v>0</v>
      </c>
      <c r="V53" s="996">
        <f t="shared" si="39"/>
        <v>29</v>
      </c>
      <c r="W53" s="996">
        <f t="shared" si="39"/>
        <v>340</v>
      </c>
      <c r="X53" s="996">
        <f t="shared" si="39"/>
        <v>726.98</v>
      </c>
      <c r="Y53" s="996">
        <f t="shared" si="39"/>
        <v>7598.02</v>
      </c>
      <c r="Z53" s="996">
        <f>SUM(Z51:Z52)</f>
        <v>3862.21</v>
      </c>
      <c r="AA53" s="996">
        <f t="shared" si="39"/>
        <v>3735.81</v>
      </c>
      <c r="AB53" s="998" t="e">
        <f>SUM(#REF!)</f>
        <v>#REF!</v>
      </c>
      <c r="AC53" s="998" t="e">
        <f>SUM(#REF!)</f>
        <v>#REF!</v>
      </c>
      <c r="AD53" s="968">
        <f t="shared" si="31"/>
        <v>0</v>
      </c>
      <c r="AE53" s="937"/>
      <c r="AF53" s="939"/>
      <c r="AG53" s="913"/>
      <c r="AH53" s="913"/>
      <c r="AI53" s="913"/>
    </row>
    <row r="54" spans="1:38" ht="15">
      <c r="A54" s="960"/>
      <c r="B54" s="935"/>
      <c r="C54" s="988"/>
      <c r="D54" s="961"/>
      <c r="E54" s="962"/>
      <c r="F54" s="982" t="s">
        <v>54</v>
      </c>
      <c r="G54" s="1042"/>
      <c r="H54" s="1042"/>
      <c r="I54" s="1042"/>
      <c r="J54" s="1043"/>
      <c r="K54" s="1044"/>
      <c r="L54" s="1044"/>
      <c r="M54" s="1044"/>
      <c r="N54" s="1044"/>
      <c r="O54" s="1042"/>
      <c r="P54" s="1045"/>
      <c r="Q54" s="1045"/>
      <c r="R54" s="1044"/>
      <c r="S54" s="1044"/>
      <c r="T54" s="1044"/>
      <c r="U54" s="1044"/>
      <c r="V54" s="1044"/>
      <c r="W54" s="1044"/>
      <c r="X54" s="1042"/>
      <c r="Y54" s="1042"/>
      <c r="Z54" s="1043"/>
      <c r="AA54" s="1042"/>
      <c r="AB54" s="966">
        <f>+Z54</f>
        <v>0</v>
      </c>
      <c r="AC54" s="967">
        <f>+AA54-AB54</f>
        <v>0</v>
      </c>
      <c r="AD54" s="968">
        <f t="shared" si="31"/>
        <v>0</v>
      </c>
      <c r="AE54" s="937"/>
      <c r="AF54" s="939"/>
      <c r="AG54" s="913"/>
      <c r="AH54" s="913"/>
      <c r="AI54" s="913"/>
    </row>
    <row r="55" spans="1:38" ht="14.1" customHeight="1">
      <c r="A55" s="913"/>
      <c r="B55" s="987" t="s">
        <v>230</v>
      </c>
      <c r="C55" s="988"/>
      <c r="D55" s="961"/>
      <c r="E55" s="938"/>
      <c r="F55" s="963"/>
      <c r="G55" s="969"/>
      <c r="H55" s="969"/>
      <c r="I55" s="969"/>
      <c r="J55" s="970"/>
      <c r="K55" s="971"/>
      <c r="L55" s="971"/>
      <c r="M55" s="971"/>
      <c r="N55" s="971"/>
      <c r="O55" s="969"/>
      <c r="P55" s="972"/>
      <c r="Q55" s="972"/>
      <c r="R55" s="971"/>
      <c r="S55" s="971"/>
      <c r="T55" s="971"/>
      <c r="U55" s="971"/>
      <c r="V55" s="971"/>
      <c r="W55" s="971"/>
      <c r="X55" s="969"/>
      <c r="Y55" s="969"/>
      <c r="Z55" s="970"/>
      <c r="AA55" s="969"/>
      <c r="AB55" s="966">
        <f>+Z55</f>
        <v>0</v>
      </c>
      <c r="AC55" s="967">
        <f>+AA55-AB55</f>
        <v>0</v>
      </c>
      <c r="AD55" s="968">
        <f t="shared" si="31"/>
        <v>0</v>
      </c>
      <c r="AE55" s="937"/>
      <c r="AF55" s="939"/>
      <c r="AG55" s="913"/>
      <c r="AH55" s="913"/>
      <c r="AI55" s="913"/>
    </row>
    <row r="56" spans="1:38" ht="14.1" customHeight="1">
      <c r="A56" s="913"/>
      <c r="B56" s="935" t="s">
        <v>231</v>
      </c>
      <c r="C56" s="913"/>
      <c r="D56" s="969"/>
      <c r="E56" s="938"/>
      <c r="F56" s="963"/>
      <c r="G56" s="1042"/>
      <c r="H56" s="1042"/>
      <c r="I56" s="1042"/>
      <c r="J56" s="1043"/>
      <c r="K56" s="1044"/>
      <c r="L56" s="1044"/>
      <c r="M56" s="1044"/>
      <c r="N56" s="1044"/>
      <c r="O56" s="1042"/>
      <c r="P56" s="1045"/>
      <c r="Q56" s="1045"/>
      <c r="R56" s="1044"/>
      <c r="S56" s="1044"/>
      <c r="T56" s="1044"/>
      <c r="U56" s="1044"/>
      <c r="V56" s="1044"/>
      <c r="W56" s="1044"/>
      <c r="X56" s="1042"/>
      <c r="Y56" s="1042"/>
      <c r="Z56" s="1043"/>
      <c r="AA56" s="973"/>
      <c r="AB56" s="966">
        <f>+Z56</f>
        <v>0</v>
      </c>
      <c r="AC56" s="967">
        <f>+AA56-AB56</f>
        <v>0</v>
      </c>
      <c r="AD56" s="968">
        <f t="shared" si="31"/>
        <v>0</v>
      </c>
      <c r="AE56" s="937"/>
      <c r="AF56" s="939"/>
      <c r="AG56" s="913"/>
      <c r="AH56" s="913"/>
      <c r="AI56" s="913"/>
    </row>
    <row r="57" spans="1:38" ht="15">
      <c r="A57" s="960">
        <v>28</v>
      </c>
      <c r="B57" s="952" t="s">
        <v>527</v>
      </c>
      <c r="C57" s="975" t="str">
        <f>VLOOKUP(B57,distribucion!B$9:FK$200,2,0)</f>
        <v>Asistente de Import-compras Internaciuonales</v>
      </c>
      <c r="D57" s="969">
        <f>G57+K57+M57</f>
        <v>4550</v>
      </c>
      <c r="E57" s="938">
        <f>VLOOKUP(B57,distribucion!B$9:FK$201,7,0)</f>
        <v>30</v>
      </c>
      <c r="F57" s="963">
        <f>VLOOKUP(B57,distribucion!$B$9:$DQ$288,14,0)</f>
        <v>0</v>
      </c>
      <c r="G57" s="945">
        <f>ROUND((VLOOKUP(B57,distribucion!B$9:EI$201,94,0)),2)</f>
        <v>4550</v>
      </c>
      <c r="H57" s="945">
        <f>ROUND((VLOOKUP(B57,distribucion!B$9:EI$201,95,0)),2)</f>
        <v>1000</v>
      </c>
      <c r="I57" s="969">
        <f>G57+H57</f>
        <v>5550</v>
      </c>
      <c r="J57" s="970">
        <f>VLOOKUP(B57,distribucion!B$9:EI$201,96,0)</f>
        <v>0</v>
      </c>
      <c r="K57" s="971">
        <f>ROUND((VLOOKUP(B57,distribucion!B$9:EI$201,97,0)),2)</f>
        <v>0</v>
      </c>
      <c r="L57" s="971">
        <f>VLOOKUP(B57,distribucion!B$9:EI$201,98,0)</f>
        <v>0</v>
      </c>
      <c r="M57" s="971">
        <f>ROUND((VLOOKUP(B57,distribucion!B$9:EI$201,99,0)),2)</f>
        <v>0</v>
      </c>
      <c r="N57" s="971">
        <f>ROUND((VLOOKUP(B57,distribucion!B$9:EI$201,100,0)),2)</f>
        <v>0</v>
      </c>
      <c r="O57" s="969">
        <f>SUM(I57:N57)-J57-L57</f>
        <v>5550</v>
      </c>
      <c r="P57" s="972">
        <f>ROUND(((G57+K57+M57+N57)*0.0483),2)</f>
        <v>219.77</v>
      </c>
      <c r="Q57" s="972">
        <f>ROUND((VLOOKUP(B57,distribucion!B$8:FK$200,151,0)),2)</f>
        <v>64.010000000000005</v>
      </c>
      <c r="R57" s="971">
        <f>ROUND((VLOOKUP(B57,distribucion!B$9:FK$200,152,0)),2)</f>
        <v>0</v>
      </c>
      <c r="S57" s="971">
        <f>ROUND((VLOOKUP(B57,distribucion!B$9:FK$200,153,0)),2)</f>
        <v>0</v>
      </c>
      <c r="T57" s="971">
        <f>ROUND((VLOOKUP(B57,distribucion!$B$4:$FE$231,159,0)),2)</f>
        <v>0</v>
      </c>
      <c r="U57" s="971">
        <f>ROUND((VLOOKUP(B57,distribucion!$B$5:$FE$232,158,0)),2)</f>
        <v>0</v>
      </c>
      <c r="V57" s="971">
        <f>ROUND((VLOOKUP(B57,distribucion!$B$7:$FE$237,154,0)),2)</f>
        <v>123</v>
      </c>
      <c r="W57" s="971">
        <f>ROUND((VLOOKUP(B57,distribucion!B$9:FK$200,160,0)),2)</f>
        <v>50</v>
      </c>
      <c r="X57" s="969">
        <f>SUM(P57:W57)</f>
        <v>456.78000000000003</v>
      </c>
      <c r="Y57" s="969">
        <f>O57-X57</f>
        <v>5093.22</v>
      </c>
      <c r="Z57" s="1121">
        <v>2597.12</v>
      </c>
      <c r="AA57" s="940">
        <f t="shared" ref="AA57:AA58" si="40">+Y57-Z57</f>
        <v>2496.1000000000004</v>
      </c>
      <c r="AB57" s="966"/>
      <c r="AC57" s="967"/>
      <c r="AD57" s="968">
        <f t="shared" si="31"/>
        <v>0</v>
      </c>
      <c r="AE57" s="937"/>
      <c r="AF57" s="939"/>
      <c r="AG57" s="913"/>
      <c r="AH57" s="913"/>
      <c r="AI57" s="913"/>
    </row>
    <row r="58" spans="1:38" ht="15">
      <c r="A58" s="960">
        <v>29</v>
      </c>
      <c r="B58" s="952" t="str">
        <f>+distribucion!B76</f>
        <v>Pop Aldana Jose Ruben</v>
      </c>
      <c r="C58" s="975" t="str">
        <f>VLOOKUP(B58,distribucion!B$9:FK$200,2,0)</f>
        <v>Asistente Exportaciones</v>
      </c>
      <c r="D58" s="969">
        <f>G58+K58+M58</f>
        <v>3686.67</v>
      </c>
      <c r="E58" s="938">
        <f>VLOOKUP(B58,distribucion!B$9:FK$201,7,0)</f>
        <v>28</v>
      </c>
      <c r="F58" s="963" t="str">
        <f>VLOOKUP(B58,distribucion!$B$9:$DQ$288,14,0)</f>
        <v>A.3.1.23</v>
      </c>
      <c r="G58" s="945">
        <f>ROUND((VLOOKUP(B58,distribucion!B$9:EI$201,94,0)),2)</f>
        <v>3686.67</v>
      </c>
      <c r="H58" s="945">
        <f>ROUND((VLOOKUP(B58,distribucion!B$9:EI$201,95,0)),2)</f>
        <v>563.33000000000004</v>
      </c>
      <c r="I58" s="969">
        <f>G58+H58</f>
        <v>4250</v>
      </c>
      <c r="J58" s="970">
        <f>VLOOKUP(B58,distribucion!B$9:EI$201,96,0)</f>
        <v>0</v>
      </c>
      <c r="K58" s="971">
        <f>ROUND((VLOOKUP(B58,distribucion!B$9:EI$201,97,0)),2)</f>
        <v>0</v>
      </c>
      <c r="L58" s="971">
        <f>VLOOKUP(B58,distribucion!B$9:EI$201,98,0)</f>
        <v>0</v>
      </c>
      <c r="M58" s="971">
        <f>ROUND((VLOOKUP(B58,distribucion!B$9:EI$201,99,0)),2)</f>
        <v>0</v>
      </c>
      <c r="N58" s="971">
        <f>ROUND((VLOOKUP(B58,distribucion!B$9:EI$201,100,0)),2)</f>
        <v>0</v>
      </c>
      <c r="O58" s="969">
        <f>SUM(I58:N58)-J58-L58</f>
        <v>4250</v>
      </c>
      <c r="P58" s="972">
        <f>ROUND(((G58+K58+M58+N58)*0.0483),2)</f>
        <v>178.07</v>
      </c>
      <c r="Q58" s="972">
        <f>ROUND((VLOOKUP(B58,distribucion!B$8:FK$200,151,0)),2)</f>
        <v>15.46</v>
      </c>
      <c r="R58" s="971">
        <f>ROUND((VLOOKUP(B58,distribucion!B$9:FK$200,152,0)),2)</f>
        <v>0</v>
      </c>
      <c r="S58" s="971">
        <f>ROUND((VLOOKUP(B58,distribucion!B$9:FK$200,153,0)),2)</f>
        <v>0</v>
      </c>
      <c r="T58" s="971">
        <f>ROUND((VLOOKUP(B58,distribucion!$B$4:$FE$231,159,0)),2)</f>
        <v>135</v>
      </c>
      <c r="U58" s="971">
        <f>ROUND((VLOOKUP(B58,distribucion!$B$5:$FE$232,158,0)),2)</f>
        <v>0</v>
      </c>
      <c r="V58" s="971">
        <f>ROUND((VLOOKUP(B58,distribucion!$B$7:$FE$237,154,0)),2)</f>
        <v>0</v>
      </c>
      <c r="W58" s="971">
        <f>ROUND((VLOOKUP(B58,distribucion!B$9:FK$200,160,0)),2)</f>
        <v>50</v>
      </c>
      <c r="X58" s="969">
        <f>SUM(P58:W58)</f>
        <v>378.53</v>
      </c>
      <c r="Y58" s="969">
        <f>O58-X58</f>
        <v>3871.4700000000003</v>
      </c>
      <c r="Z58" s="1121">
        <v>1849.83</v>
      </c>
      <c r="AA58" s="940">
        <f t="shared" si="40"/>
        <v>2021.6400000000003</v>
      </c>
      <c r="AB58" s="966"/>
      <c r="AC58" s="967"/>
      <c r="AD58" s="968"/>
      <c r="AE58" s="937"/>
      <c r="AF58" s="939"/>
      <c r="AG58" s="913"/>
      <c r="AH58" s="913"/>
      <c r="AI58" s="913"/>
    </row>
    <row r="59" spans="1:38" ht="14.1" customHeight="1">
      <c r="A59" s="960"/>
      <c r="B59" s="928"/>
      <c r="C59" s="937" t="s">
        <v>204</v>
      </c>
      <c r="D59" s="961" t="s">
        <v>204</v>
      </c>
      <c r="E59" s="962"/>
      <c r="F59" s="963"/>
      <c r="G59" s="996">
        <f>SUM(G57:G58)</f>
        <v>8236.67</v>
      </c>
      <c r="H59" s="996">
        <f t="shared" ref="H59:AA59" si="41">SUM(H57:H58)</f>
        <v>1563.33</v>
      </c>
      <c r="I59" s="996">
        <f t="shared" si="41"/>
        <v>9800</v>
      </c>
      <c r="J59" s="996">
        <f t="shared" si="41"/>
        <v>0</v>
      </c>
      <c r="K59" s="996">
        <f t="shared" si="41"/>
        <v>0</v>
      </c>
      <c r="L59" s="996">
        <f t="shared" si="41"/>
        <v>0</v>
      </c>
      <c r="M59" s="996">
        <f t="shared" si="41"/>
        <v>0</v>
      </c>
      <c r="N59" s="996">
        <f t="shared" si="41"/>
        <v>0</v>
      </c>
      <c r="O59" s="996">
        <f t="shared" si="41"/>
        <v>9800</v>
      </c>
      <c r="P59" s="996">
        <f t="shared" si="41"/>
        <v>397.84000000000003</v>
      </c>
      <c r="Q59" s="996">
        <f t="shared" si="41"/>
        <v>79.47</v>
      </c>
      <c r="R59" s="996">
        <f t="shared" si="41"/>
        <v>0</v>
      </c>
      <c r="S59" s="996">
        <f t="shared" si="41"/>
        <v>0</v>
      </c>
      <c r="T59" s="996">
        <f t="shared" si="41"/>
        <v>135</v>
      </c>
      <c r="U59" s="996">
        <f t="shared" si="41"/>
        <v>0</v>
      </c>
      <c r="V59" s="996">
        <f t="shared" si="41"/>
        <v>123</v>
      </c>
      <c r="W59" s="996">
        <f t="shared" si="41"/>
        <v>100</v>
      </c>
      <c r="X59" s="996">
        <f t="shared" si="41"/>
        <v>835.31</v>
      </c>
      <c r="Y59" s="996">
        <f t="shared" si="41"/>
        <v>8964.69</v>
      </c>
      <c r="Z59" s="996">
        <f t="shared" si="41"/>
        <v>4446.95</v>
      </c>
      <c r="AA59" s="996">
        <f t="shared" si="41"/>
        <v>4517.7400000000007</v>
      </c>
      <c r="AB59" s="966">
        <f>+Z59</f>
        <v>4446.95</v>
      </c>
      <c r="AC59" s="967">
        <f>+AA59-AB59</f>
        <v>70.790000000000873</v>
      </c>
      <c r="AD59" s="968">
        <f t="shared" si="31"/>
        <v>0</v>
      </c>
      <c r="AE59" s="937"/>
      <c r="AF59" s="939"/>
      <c r="AG59" s="913"/>
      <c r="AH59" s="913"/>
      <c r="AI59" s="913"/>
    </row>
    <row r="60" spans="1:38" ht="14.1" customHeight="1">
      <c r="A60" s="913"/>
      <c r="B60" s="935" t="s">
        <v>232</v>
      </c>
      <c r="C60" s="913"/>
      <c r="D60" s="969"/>
      <c r="E60" s="938"/>
      <c r="F60" s="963"/>
      <c r="G60" s="1046"/>
      <c r="H60" s="1042"/>
      <c r="I60" s="1042"/>
      <c r="J60" s="1043"/>
      <c r="K60" s="1044"/>
      <c r="L60" s="1044"/>
      <c r="M60" s="1044"/>
      <c r="N60" s="1044"/>
      <c r="O60" s="1042"/>
      <c r="P60" s="1045"/>
      <c r="Q60" s="1045"/>
      <c r="R60" s="1044"/>
      <c r="S60" s="1044"/>
      <c r="T60" s="1044"/>
      <c r="U60" s="1044"/>
      <c r="V60" s="1044"/>
      <c r="W60" s="1044"/>
      <c r="X60" s="1042"/>
      <c r="Y60" s="1042"/>
      <c r="Z60" s="1043"/>
      <c r="AA60" s="973"/>
      <c r="AB60" s="966">
        <f>+Z60</f>
        <v>0</v>
      </c>
      <c r="AC60" s="967">
        <f>+AA60-AB60</f>
        <v>0</v>
      </c>
      <c r="AD60" s="968">
        <f t="shared" si="31"/>
        <v>0</v>
      </c>
      <c r="AE60" s="937"/>
      <c r="AF60" s="939"/>
      <c r="AG60" s="913"/>
      <c r="AH60" s="913"/>
      <c r="AI60" s="913"/>
    </row>
    <row r="61" spans="1:38" s="995" customFormat="1" ht="14.1" customHeight="1">
      <c r="A61" s="913"/>
      <c r="B61" s="928" t="s">
        <v>233</v>
      </c>
      <c r="C61" s="913"/>
      <c r="D61" s="969"/>
      <c r="E61" s="938"/>
      <c r="F61" s="963"/>
      <c r="G61" s="1046"/>
      <c r="H61" s="1042"/>
      <c r="I61" s="1042"/>
      <c r="J61" s="1043"/>
      <c r="K61" s="1044"/>
      <c r="L61" s="1044"/>
      <c r="M61" s="1044"/>
      <c r="N61" s="1044"/>
      <c r="O61" s="1042"/>
      <c r="P61" s="1045"/>
      <c r="Q61" s="1045"/>
      <c r="R61" s="1044"/>
      <c r="S61" s="1044"/>
      <c r="T61" s="1044"/>
      <c r="U61" s="1044"/>
      <c r="V61" s="1044"/>
      <c r="W61" s="1044"/>
      <c r="X61" s="1042"/>
      <c r="Y61" s="1042"/>
      <c r="Z61" s="1043"/>
      <c r="AA61" s="973"/>
      <c r="AB61" s="966">
        <f>+Z61</f>
        <v>0</v>
      </c>
      <c r="AC61" s="967">
        <f>+AA61-AB61</f>
        <v>0</v>
      </c>
      <c r="AD61" s="968">
        <f t="shared" si="31"/>
        <v>0</v>
      </c>
      <c r="AE61" s="937"/>
      <c r="AF61" s="939"/>
      <c r="AG61" s="993"/>
      <c r="AH61" s="993"/>
      <c r="AI61" s="993"/>
      <c r="AJ61" s="994"/>
      <c r="AK61" s="994"/>
      <c r="AL61" s="994"/>
    </row>
    <row r="62" spans="1:38" ht="14.1" customHeight="1">
      <c r="A62" s="960">
        <v>30</v>
      </c>
      <c r="B62" s="1041" t="s">
        <v>530</v>
      </c>
      <c r="C62" s="975" t="str">
        <f>VLOOKUP(B62,distribucion!B$9:FK$200,2,0)</f>
        <v>Coordinador de Produccion</v>
      </c>
      <c r="D62" s="969">
        <f>G62+K62+M62</f>
        <v>4000</v>
      </c>
      <c r="E62" s="938">
        <f>VLOOKUP(B62,distribucion!B$9:FK$201,7,0)</f>
        <v>30</v>
      </c>
      <c r="F62" s="963">
        <f>VLOOKUP(B62,distribucion!$B$9:$DQ$288,14,0)</f>
        <v>0</v>
      </c>
      <c r="G62" s="945">
        <f>ROUND((VLOOKUP(B62,distribucion!B$9:EI$201,94,0)),2)</f>
        <v>4000</v>
      </c>
      <c r="H62" s="945">
        <f>ROUND((VLOOKUP(B62,distribucion!B$9:EI$201,95,0)),2)</f>
        <v>3689.67</v>
      </c>
      <c r="I62" s="969">
        <f>G62+H62</f>
        <v>7689.67</v>
      </c>
      <c r="J62" s="970">
        <f>VLOOKUP(B62,distribucion!B$9:EI$201,96,0)</f>
        <v>0</v>
      </c>
      <c r="K62" s="971">
        <f>ROUND((VLOOKUP(B62,distribucion!B$9:EI$201,97,0)),2)</f>
        <v>0</v>
      </c>
      <c r="L62" s="971">
        <f>VLOOKUP(B62,distribucion!B$9:EI$201,98,0)</f>
        <v>0</v>
      </c>
      <c r="M62" s="971">
        <f>ROUND((VLOOKUP(B62,distribucion!B$9:EI$201,99,0)),2)</f>
        <v>0</v>
      </c>
      <c r="N62" s="971">
        <f>ROUND((VLOOKUP(B62,distribucion!B$9:EI$201,100,0)),2)</f>
        <v>0</v>
      </c>
      <c r="O62" s="969">
        <f>SUM(I62:N62)-J62-L62</f>
        <v>7689.67</v>
      </c>
      <c r="P62" s="972">
        <f>ROUND(((G62+K62+M62+N62)*0.0483),2)</f>
        <v>193.2</v>
      </c>
      <c r="Q62" s="972">
        <f>ROUND((VLOOKUP(B62,distribucion!B$8:FK$200,151,0)),2)</f>
        <v>135.34</v>
      </c>
      <c r="R62" s="971">
        <f>ROUND((VLOOKUP(B62,distribucion!B$9:FK$200,152,0)),2)</f>
        <v>992.95</v>
      </c>
      <c r="S62" s="971">
        <f>ROUND((VLOOKUP(B62,distribucion!B$9:FK$200,153,0)),2)</f>
        <v>0</v>
      </c>
      <c r="T62" s="971">
        <f>ROUND((VLOOKUP(B62,distribucion!$B$4:$FE$231,159,0)),2)</f>
        <v>0</v>
      </c>
      <c r="U62" s="971">
        <f>ROUND((VLOOKUP(B62,distribucion!$B$5:$FE$232,158,0)),2)</f>
        <v>0</v>
      </c>
      <c r="V62" s="971">
        <f>ROUND((VLOOKUP(B62,distribucion!$B$7:$FE$237,154,0)),2)</f>
        <v>386.25</v>
      </c>
      <c r="W62" s="971">
        <f>ROUND((VLOOKUP(B62,distribucion!B$9:FK$200,160,0)),2)</f>
        <v>50</v>
      </c>
      <c r="X62" s="969">
        <f>SUM(P62:W62)</f>
        <v>1757.74</v>
      </c>
      <c r="Y62" s="969">
        <f>O62-X62</f>
        <v>5931.93</v>
      </c>
      <c r="Z62" s="1121">
        <v>4403.34</v>
      </c>
      <c r="AA62" s="940">
        <f t="shared" ref="AA62:AA65" si="42">+Y62-Z62</f>
        <v>1528.5900000000001</v>
      </c>
      <c r="AB62" s="966"/>
      <c r="AC62" s="967"/>
      <c r="AD62" s="968">
        <f t="shared" si="31"/>
        <v>0</v>
      </c>
      <c r="AE62" s="937"/>
      <c r="AF62" s="939"/>
      <c r="AG62" s="913"/>
      <c r="AH62" s="913"/>
      <c r="AI62" s="913"/>
    </row>
    <row r="63" spans="1:38" ht="14.1" customHeight="1">
      <c r="A63" s="960">
        <f>+A62+1</f>
        <v>31</v>
      </c>
      <c r="B63" s="1041" t="str">
        <f>+distribucion!B85</f>
        <v>Hernandez Contreras Kewin Josue</v>
      </c>
      <c r="C63" s="975" t="str">
        <f>VLOOKUP(B63,distribucion!B$9:FK$200,2,0)</f>
        <v>Supervisor</v>
      </c>
      <c r="D63" s="969">
        <f>G63+K63+M63</f>
        <v>3450</v>
      </c>
      <c r="E63" s="938">
        <f>VLOOKUP(B63,distribucion!B$9:FK$201,7,0)</f>
        <v>30</v>
      </c>
      <c r="F63" s="963">
        <f>VLOOKUP(B63,distribucion!$B$9:$DQ$288,14,0)</f>
        <v>0</v>
      </c>
      <c r="G63" s="945">
        <f>ROUND((VLOOKUP(B63,distribucion!B$9:EI$201,94,0)),2)</f>
        <v>3450</v>
      </c>
      <c r="H63" s="945">
        <f>ROUND((VLOOKUP(B63,distribucion!B$9:EI$201,95,0)),2)</f>
        <v>4706.6899999999996</v>
      </c>
      <c r="I63" s="969">
        <f>G63+H63</f>
        <v>8156.69</v>
      </c>
      <c r="J63" s="970">
        <f>VLOOKUP(B63,distribucion!B$9:EI$201,96,0)</f>
        <v>0</v>
      </c>
      <c r="K63" s="971">
        <f>ROUND((VLOOKUP(B63,distribucion!B$9:EI$201,97,0)),2)</f>
        <v>0</v>
      </c>
      <c r="L63" s="971">
        <f>VLOOKUP(B63,distribucion!B$9:EI$201,98,0)</f>
        <v>0</v>
      </c>
      <c r="M63" s="971">
        <f>ROUND((VLOOKUP(B63,distribucion!B$9:EI$201,99,0)),2)</f>
        <v>0</v>
      </c>
      <c r="N63" s="971">
        <f>ROUND((VLOOKUP(B63,distribucion!B$9:EI$201,100,0)),2)</f>
        <v>0</v>
      </c>
      <c r="O63" s="969">
        <f>SUM(I63:N63)-J63-L63</f>
        <v>8156.69</v>
      </c>
      <c r="P63" s="972">
        <f>ROUND(((G63+K63+M63+N63)*0.0483),2)</f>
        <v>166.64</v>
      </c>
      <c r="Q63" s="972">
        <f>ROUND((VLOOKUP(B63,distribucion!B$8:FK$200,151,0)),2)</f>
        <v>211.67</v>
      </c>
      <c r="R63" s="971">
        <f>ROUND((VLOOKUP(B63,distribucion!B$9:FK$200,152,0)),2)</f>
        <v>2877.72</v>
      </c>
      <c r="S63" s="971">
        <f>ROUND((VLOOKUP(B63,distribucion!B$9:FK$200,153,0)),2)</f>
        <v>0</v>
      </c>
      <c r="T63" s="971">
        <f>ROUND((VLOOKUP(B63,distribucion!$B$4:$FE$231,159,0)),2)</f>
        <v>0</v>
      </c>
      <c r="U63" s="971">
        <f>ROUND((VLOOKUP(B63,distribucion!$B$5:$FE$232,158,0)),2)</f>
        <v>0</v>
      </c>
      <c r="V63" s="971">
        <f>ROUND((VLOOKUP(B63,distribucion!$B$7:$FE$237,154,0)),2)</f>
        <v>0</v>
      </c>
      <c r="W63" s="971">
        <f>ROUND((VLOOKUP(B63,distribucion!B$9:FK$200,160,0)),2)</f>
        <v>50</v>
      </c>
      <c r="X63" s="969">
        <f>SUM(P63:W63)</f>
        <v>3306.0299999999997</v>
      </c>
      <c r="Y63" s="969">
        <f>O63-X63</f>
        <v>4850.66</v>
      </c>
      <c r="Z63" s="1121">
        <v>1659.5100000000002</v>
      </c>
      <c r="AA63" s="940">
        <f t="shared" si="42"/>
        <v>3191.1499999999996</v>
      </c>
      <c r="AB63" s="966"/>
      <c r="AC63" s="967"/>
      <c r="AD63" s="968"/>
      <c r="AE63" s="937"/>
      <c r="AF63" s="939"/>
      <c r="AG63" s="913"/>
      <c r="AH63" s="913"/>
      <c r="AI63" s="913"/>
    </row>
    <row r="64" spans="1:38" ht="14.1" customHeight="1">
      <c r="A64" s="960">
        <f t="shared" ref="A64:A65" si="43">+A63+1</f>
        <v>32</v>
      </c>
      <c r="B64" s="952" t="s">
        <v>569</v>
      </c>
      <c r="C64" s="975" t="str">
        <f>VLOOKUP(B64,distribucion!B$9:FK$200,2,0)</f>
        <v>Jefe de Producción</v>
      </c>
      <c r="D64" s="969">
        <f>G64+K64+M64</f>
        <v>6000</v>
      </c>
      <c r="E64" s="938">
        <f>VLOOKUP(B64,distribucion!B$9:FK$201,7,0)</f>
        <v>30</v>
      </c>
      <c r="F64" s="963">
        <f>VLOOKUP(B64,distribucion!$B$9:$DQ$288,14,0)</f>
        <v>0</v>
      </c>
      <c r="G64" s="945">
        <f>ROUND((VLOOKUP(B64,distribucion!B$9:EI$201,94,0)),2)</f>
        <v>6000</v>
      </c>
      <c r="H64" s="945">
        <f>ROUND((VLOOKUP(B64,distribucion!B$9:EI$201,95,0)),2)</f>
        <v>7379.33</v>
      </c>
      <c r="I64" s="969">
        <f>G64+H64</f>
        <v>13379.33</v>
      </c>
      <c r="J64" s="970">
        <f>VLOOKUP(B64,distribucion!B$9:EI$201,96,0)</f>
        <v>0</v>
      </c>
      <c r="K64" s="971">
        <f>ROUND((VLOOKUP(B64,distribucion!B$9:EI$201,97,0)),2)</f>
        <v>0</v>
      </c>
      <c r="L64" s="971">
        <f>VLOOKUP(B64,distribucion!B$9:EI$201,98,0)</f>
        <v>0</v>
      </c>
      <c r="M64" s="971">
        <f>ROUND((VLOOKUP(B64,distribucion!B$9:EI$201,99,0)),2)</f>
        <v>0</v>
      </c>
      <c r="N64" s="971">
        <f>ROUND((VLOOKUP(B64,distribucion!B$9:EI$201,100,0)),2)</f>
        <v>0</v>
      </c>
      <c r="O64" s="969">
        <f>SUM(I64:N64)-J64-L64</f>
        <v>13379.33</v>
      </c>
      <c r="P64" s="972">
        <f>ROUND(((G64+K64+M64+N64)*0.0483),2)</f>
        <v>289.8</v>
      </c>
      <c r="Q64" s="972">
        <f>ROUND((VLOOKUP(B64,distribucion!B$8:FK$200,151,0)),2)</f>
        <v>375.61</v>
      </c>
      <c r="R64" s="971">
        <f>ROUND((VLOOKUP(B64,distribucion!B$9:FK$200,152,0)),2)</f>
        <v>1054.71</v>
      </c>
      <c r="S64" s="971">
        <f>ROUND((VLOOKUP(B64,distribucion!B$9:FK$200,153,0)),2)</f>
        <v>0</v>
      </c>
      <c r="T64" s="971">
        <f>ROUND((VLOOKUP(B64,distribucion!$B$4:$FE$231,159,0)),2)</f>
        <v>0</v>
      </c>
      <c r="U64" s="971">
        <f>ROUND((VLOOKUP(B64,distribucion!$B$5:$FE$232,158,0)),2)</f>
        <v>0</v>
      </c>
      <c r="V64" s="971">
        <f>ROUND((VLOOKUP(B64,distribucion!$B$7:$FE$237,154,0)),2)</f>
        <v>440.5</v>
      </c>
      <c r="W64" s="971">
        <f>ROUND((VLOOKUP(B64,distribucion!B$9:FK$200,160,0)),2)</f>
        <v>75</v>
      </c>
      <c r="X64" s="969">
        <f>SUM(P64:W64)</f>
        <v>2235.62</v>
      </c>
      <c r="Y64" s="969">
        <f>O64-X64</f>
        <v>11143.71</v>
      </c>
      <c r="Z64" s="1121">
        <v>8502.57</v>
      </c>
      <c r="AA64" s="940">
        <f t="shared" si="42"/>
        <v>2641.1399999999994</v>
      </c>
      <c r="AB64" s="966"/>
      <c r="AC64" s="967"/>
      <c r="AD64" s="968">
        <f t="shared" si="31"/>
        <v>0</v>
      </c>
      <c r="AE64" s="937"/>
      <c r="AF64" s="939"/>
      <c r="AG64" s="913"/>
      <c r="AH64" s="913"/>
      <c r="AI64" s="913"/>
    </row>
    <row r="65" spans="1:35" s="1055" customFormat="1" ht="14.1" customHeight="1">
      <c r="A65" s="960">
        <f t="shared" si="43"/>
        <v>33</v>
      </c>
      <c r="B65" s="1047" t="s">
        <v>523</v>
      </c>
      <c r="C65" s="975" t="str">
        <f>VLOOKUP(B65,distribucion!B$9:FK$200,2,0)</f>
        <v>Gerente de Operaciones</v>
      </c>
      <c r="D65" s="1048">
        <f>G65+K65+M65</f>
        <v>13000</v>
      </c>
      <c r="E65" s="1049">
        <f>VLOOKUP(B65,distribucion!B$9:FK$201,7,0)</f>
        <v>30</v>
      </c>
      <c r="F65" s="963" t="str">
        <f>VLOOKUP(B65,distribucion!$B$9:$DQ$288,14,0)</f>
        <v>pago trimestral 9000</v>
      </c>
      <c r="G65" s="1048">
        <f>ROUND((VLOOKUP(B65,distribucion!B$9:EI$201,94,0)),2)</f>
        <v>13000</v>
      </c>
      <c r="H65" s="1048">
        <f>ROUND((VLOOKUP(B65,distribucion!B$9:EI$201,95,0)),2)</f>
        <v>14217.86</v>
      </c>
      <c r="I65" s="1048">
        <f>G65+H65</f>
        <v>27217.86</v>
      </c>
      <c r="J65" s="1031">
        <f>VLOOKUP(B65,distribucion!B$9:EI$201,96,0)</f>
        <v>0</v>
      </c>
      <c r="K65" s="1050">
        <f>ROUND((VLOOKUP(B65,distribucion!B$9:EI$201,97,0)),2)</f>
        <v>0</v>
      </c>
      <c r="L65" s="1050">
        <f>VLOOKUP(B65,distribucion!B$9:EI$201,98,0)</f>
        <v>0</v>
      </c>
      <c r="M65" s="1050">
        <f>ROUND((VLOOKUP(B65,distribucion!B$9:EI$201,99,0)),2)</f>
        <v>0</v>
      </c>
      <c r="N65" s="1050">
        <f>ROUND((VLOOKUP(B65,distribucion!B$9:EI$201,100,0)),2)</f>
        <v>0</v>
      </c>
      <c r="O65" s="1048">
        <f>SUM(I65:N65)-J65-L65</f>
        <v>27217.86</v>
      </c>
      <c r="P65" s="1022">
        <f>ROUND(((G65+K65+M65+N65)*0.0483),2)</f>
        <v>627.9</v>
      </c>
      <c r="Q65" s="1022">
        <f>ROUND((VLOOKUP(B65,distribucion!B$8:FK$200,151,0)),2)</f>
        <v>943.61</v>
      </c>
      <c r="R65" s="1050">
        <f>ROUND((VLOOKUP(B65,distribucion!B$9:FK$200,152,0)),2)</f>
        <v>0</v>
      </c>
      <c r="S65" s="1050">
        <f>ROUND((VLOOKUP(B65,distribucion!B$9:FK$200,153,0)),2)</f>
        <v>0</v>
      </c>
      <c r="T65" s="1050">
        <f>ROUND((VLOOKUP(B65,distribucion!$B$4:$FE$231,159,0)),2)</f>
        <v>0</v>
      </c>
      <c r="U65" s="1050">
        <f>ROUND((VLOOKUP(B65,distribucion!$B$5:$FE$232,158,0)),2)</f>
        <v>0</v>
      </c>
      <c r="V65" s="1050">
        <f>ROUND((VLOOKUP(B65,distribucion!$B$7:$FE$237,154,0)),2)</f>
        <v>0</v>
      </c>
      <c r="W65" s="1050">
        <f>ROUND((VLOOKUP(B65,distribucion!B$9:FK$200,160,0)),2)</f>
        <v>150</v>
      </c>
      <c r="X65" s="1048">
        <f>SUM(P65:W65)</f>
        <v>1721.51</v>
      </c>
      <c r="Y65" s="1048">
        <f>O65-X65</f>
        <v>25496.350000000002</v>
      </c>
      <c r="Z65" s="1121">
        <v>15292.69</v>
      </c>
      <c r="AA65" s="940">
        <f t="shared" si="42"/>
        <v>10203.660000000002</v>
      </c>
      <c r="AB65" s="1051"/>
      <c r="AC65" s="1052"/>
      <c r="AD65" s="1053"/>
      <c r="AE65" s="937"/>
      <c r="AF65" s="939"/>
      <c r="AG65" s="1054"/>
      <c r="AH65" s="1054"/>
      <c r="AI65" s="1054"/>
    </row>
    <row r="66" spans="1:35" ht="14.1" customHeight="1">
      <c r="A66" s="913"/>
      <c r="B66" s="913"/>
      <c r="C66" s="937" t="s">
        <v>204</v>
      </c>
      <c r="D66" s="961" t="s">
        <v>204</v>
      </c>
      <c r="E66" s="938"/>
      <c r="F66" s="963"/>
      <c r="G66" s="964">
        <f t="shared" ref="G66:AA66" si="44">+SUM(G62:G65)</f>
        <v>26450</v>
      </c>
      <c r="H66" s="964">
        <f t="shared" si="44"/>
        <v>29993.550000000003</v>
      </c>
      <c r="I66" s="964">
        <f t="shared" si="44"/>
        <v>56443.55</v>
      </c>
      <c r="J66" s="964">
        <f t="shared" si="44"/>
        <v>0</v>
      </c>
      <c r="K66" s="964">
        <f t="shared" si="44"/>
        <v>0</v>
      </c>
      <c r="L66" s="964">
        <f t="shared" si="44"/>
        <v>0</v>
      </c>
      <c r="M66" s="964">
        <f t="shared" si="44"/>
        <v>0</v>
      </c>
      <c r="N66" s="964">
        <f t="shared" si="44"/>
        <v>0</v>
      </c>
      <c r="O66" s="964">
        <f t="shared" si="44"/>
        <v>56443.55</v>
      </c>
      <c r="P66" s="964">
        <f t="shared" si="44"/>
        <v>1277.54</v>
      </c>
      <c r="Q66" s="1895">
        <f t="shared" si="44"/>
        <v>1666.23</v>
      </c>
      <c r="R66" s="964">
        <f t="shared" si="44"/>
        <v>4925.38</v>
      </c>
      <c r="S66" s="964">
        <f t="shared" si="44"/>
        <v>0</v>
      </c>
      <c r="T66" s="964">
        <f t="shared" si="44"/>
        <v>0</v>
      </c>
      <c r="U66" s="964">
        <f t="shared" si="44"/>
        <v>0</v>
      </c>
      <c r="V66" s="964">
        <f t="shared" si="44"/>
        <v>826.75</v>
      </c>
      <c r="W66" s="964">
        <f t="shared" si="44"/>
        <v>325</v>
      </c>
      <c r="X66" s="964">
        <f t="shared" si="44"/>
        <v>9020.9</v>
      </c>
      <c r="Y66" s="964">
        <f t="shared" si="44"/>
        <v>47422.65</v>
      </c>
      <c r="Z66" s="964">
        <f>+SUM(Z62:Z65)</f>
        <v>29858.11</v>
      </c>
      <c r="AA66" s="964">
        <f t="shared" si="44"/>
        <v>17564.54</v>
      </c>
      <c r="AB66" s="966">
        <f>+Z66</f>
        <v>29858.11</v>
      </c>
      <c r="AC66" s="967">
        <f>+AA66-AB66</f>
        <v>-12293.57</v>
      </c>
      <c r="AD66" s="968">
        <f t="shared" ref="AD66:AD78" si="45">+Y66-Z66-AA66</f>
        <v>0</v>
      </c>
      <c r="AE66" s="937"/>
      <c r="AF66" s="939"/>
      <c r="AG66" s="913"/>
      <c r="AH66" s="913"/>
      <c r="AI66" s="913"/>
    </row>
    <row r="67" spans="1:35" ht="14.1" customHeight="1">
      <c r="A67" s="913"/>
      <c r="B67" s="1056" t="s">
        <v>10</v>
      </c>
      <c r="C67" s="975"/>
      <c r="D67" s="969"/>
      <c r="E67" s="938"/>
      <c r="F67" s="963"/>
      <c r="G67" s="945"/>
      <c r="H67" s="945"/>
      <c r="I67" s="969"/>
      <c r="J67" s="970"/>
      <c r="K67" s="971"/>
      <c r="L67" s="971"/>
      <c r="M67" s="971"/>
      <c r="N67" s="971"/>
      <c r="O67" s="969"/>
      <c r="P67" s="972"/>
      <c r="Q67" s="972"/>
      <c r="R67" s="971"/>
      <c r="S67" s="971"/>
      <c r="T67" s="971"/>
      <c r="U67" s="971"/>
      <c r="V67" s="971"/>
      <c r="W67" s="971"/>
      <c r="X67" s="969"/>
      <c r="Y67" s="969"/>
      <c r="Z67" s="970"/>
      <c r="AA67" s="969"/>
      <c r="AB67" s="966">
        <f>+Z67</f>
        <v>0</v>
      </c>
      <c r="AC67" s="967">
        <f>+AA67-AB67</f>
        <v>0</v>
      </c>
      <c r="AD67" s="968">
        <f t="shared" si="45"/>
        <v>0</v>
      </c>
      <c r="AE67" s="937"/>
      <c r="AF67" s="939"/>
      <c r="AG67" s="913"/>
      <c r="AH67" s="913"/>
      <c r="AI67" s="913"/>
    </row>
    <row r="68" spans="1:35" ht="14.1" customHeight="1">
      <c r="A68" s="1003">
        <v>34</v>
      </c>
      <c r="B68" s="1041" t="s">
        <v>531</v>
      </c>
      <c r="C68" s="975" t="str">
        <f>VLOOKUP(B68,distribucion!B$9:FK$200,2,0)</f>
        <v>Operario</v>
      </c>
      <c r="D68" s="969">
        <f t="shared" ref="D68:D81" si="46">G68+K68+M68</f>
        <v>3166.38</v>
      </c>
      <c r="E68" s="938">
        <f>VLOOKUP(B68,distribucion!B$9:FK$201,7,0)</f>
        <v>30</v>
      </c>
      <c r="F68" s="963">
        <f>VLOOKUP(B68,distribucion!$B$9:$DQ$288,14,0)</f>
        <v>0</v>
      </c>
      <c r="G68" s="945">
        <f>ROUND((VLOOKUP(B68,distribucion!B$9:EI$201,94,0)),2)</f>
        <v>3166.38</v>
      </c>
      <c r="H68" s="945">
        <f>ROUND((VLOOKUP(B68,distribucion!B$9:EI$201,95,0)),2)</f>
        <v>1375</v>
      </c>
      <c r="I68" s="969">
        <f t="shared" ref="I68:I81" si="47">G68+H68</f>
        <v>4541.38</v>
      </c>
      <c r="J68" s="970">
        <f>VLOOKUP(B68,distribucion!B$9:EI$201,96,0)</f>
        <v>0</v>
      </c>
      <c r="K68" s="971">
        <f>ROUND((VLOOKUP(B68,distribucion!B$9:EI$201,97,0)),2)</f>
        <v>0</v>
      </c>
      <c r="L68" s="971">
        <f>VLOOKUP(B68,distribucion!B$9:EI$201,98,0)</f>
        <v>0</v>
      </c>
      <c r="M68" s="971">
        <f>ROUND((VLOOKUP(B68,distribucion!B$9:EI$201,99,0)),2)</f>
        <v>0</v>
      </c>
      <c r="N68" s="971">
        <f>ROUND((VLOOKUP(B68,distribucion!B$9:EI$201,100,0)),2)</f>
        <v>0</v>
      </c>
      <c r="O68" s="969">
        <f t="shared" ref="O68:O81" si="48">SUM(I68:N68)-J68-L68</f>
        <v>4541.38</v>
      </c>
      <c r="P68" s="972">
        <f t="shared" ref="P68:P81" si="49">ROUND(((G68+K68+M68+N68)*0.0483),2)</f>
        <v>152.94</v>
      </c>
      <c r="Q68" s="972">
        <f>ROUND((VLOOKUP(B68,distribucion!B$8:FK$200,151,0)),2)</f>
        <v>38.17</v>
      </c>
      <c r="R68" s="971">
        <f>ROUND((VLOOKUP(B68,distribucion!B$9:FK$200,152,0)),2)</f>
        <v>2124.64</v>
      </c>
      <c r="S68" s="971">
        <f>ROUND((VLOOKUP(B68,distribucion!B$9:FK$200,153,0)),2)</f>
        <v>0</v>
      </c>
      <c r="T68" s="971">
        <f>ROUND((VLOOKUP(B68,distribucion!$B$4:$FE$231,159,0)),2)</f>
        <v>0</v>
      </c>
      <c r="U68" s="971">
        <f>ROUND((VLOOKUP(B68,distribucion!$B$5:$FE$232,158,0)),2)</f>
        <v>0</v>
      </c>
      <c r="V68" s="971">
        <f>ROUND((VLOOKUP(B68,distribucion!$B$7:$FE$237,154,0)),2)</f>
        <v>431.25</v>
      </c>
      <c r="W68" s="971">
        <f>ROUND((VLOOKUP(B68,distribucion!B$9:FK$200,160,0)),2)</f>
        <v>50</v>
      </c>
      <c r="X68" s="969">
        <f t="shared" ref="X68:X81" si="50">SUM(P68:W68)</f>
        <v>2797</v>
      </c>
      <c r="Y68" s="969">
        <f t="shared" ref="Y68:Y81" si="51">O68-X68</f>
        <v>1744.38</v>
      </c>
      <c r="Z68" s="1121">
        <v>396.15000000000009</v>
      </c>
      <c r="AA68" s="940">
        <f t="shared" ref="AA68:AA81" si="52">+Y68-Z68</f>
        <v>1348.23</v>
      </c>
      <c r="AB68" s="966"/>
      <c r="AC68" s="967"/>
      <c r="AD68" s="968">
        <f t="shared" si="45"/>
        <v>0</v>
      </c>
      <c r="AE68" s="937"/>
      <c r="AF68" s="939"/>
      <c r="AG68" s="913"/>
      <c r="AH68" s="913"/>
      <c r="AI68" s="913"/>
    </row>
    <row r="69" spans="1:35" ht="14.1" customHeight="1">
      <c r="A69" s="1003">
        <f>+A68+1</f>
        <v>35</v>
      </c>
      <c r="B69" s="1041" t="str">
        <f>+distribucion!B103</f>
        <v xml:space="preserve">Barrios Cifuentes Julia Aracely </v>
      </c>
      <c r="C69" s="975" t="str">
        <f>VLOOKUP(B69,distribucion!B$9:FK$200,2,0)</f>
        <v>Empacadora</v>
      </c>
      <c r="D69" s="969">
        <f t="shared" ref="D69" si="53">G69+K69+M69</f>
        <v>3166.38</v>
      </c>
      <c r="E69" s="938">
        <f>VLOOKUP(B69,distribucion!B$9:FK$201,7,0)</f>
        <v>30</v>
      </c>
      <c r="F69" s="963">
        <f>VLOOKUP(B69,distribucion!$B$9:$DQ$288,14,0)</f>
        <v>0</v>
      </c>
      <c r="G69" s="945">
        <f>ROUND((VLOOKUP(B69,distribucion!B$9:EI$201,94,0)),2)</f>
        <v>3166.38</v>
      </c>
      <c r="H69" s="945">
        <f>ROUND((VLOOKUP(B69,distribucion!B$9:EI$201,95,0)),2)</f>
        <v>1150</v>
      </c>
      <c r="I69" s="969">
        <f t="shared" ref="I69" si="54">G69+H69</f>
        <v>4316.38</v>
      </c>
      <c r="J69" s="970">
        <f>VLOOKUP(B69,distribucion!B$9:EI$201,96,0)</f>
        <v>0</v>
      </c>
      <c r="K69" s="971">
        <f>ROUND((VLOOKUP(B69,distribucion!B$9:EI$201,97,0)),2)</f>
        <v>0</v>
      </c>
      <c r="L69" s="971">
        <f>VLOOKUP(B69,distribucion!B$9:EI$201,98,0)</f>
        <v>0</v>
      </c>
      <c r="M69" s="971">
        <f>ROUND((VLOOKUP(B69,distribucion!B$9:EI$201,99,0)),2)</f>
        <v>0</v>
      </c>
      <c r="N69" s="971">
        <f>ROUND((VLOOKUP(B69,distribucion!B$9:EI$201,100,0)),2)</f>
        <v>0</v>
      </c>
      <c r="O69" s="969">
        <f t="shared" ref="O69" si="55">SUM(I69:N69)-J69-L69</f>
        <v>4316.38</v>
      </c>
      <c r="P69" s="972">
        <f t="shared" ref="P69" si="56">ROUND(((G69+K69+M69+N69)*0.0483),2)</f>
        <v>152.94</v>
      </c>
      <c r="Q69" s="972">
        <f>ROUND((VLOOKUP(B69,distribucion!B$8:FK$200,151,0)),2)</f>
        <v>0</v>
      </c>
      <c r="R69" s="971">
        <f>ROUND((VLOOKUP(B69,distribucion!B$9:FK$200,152,0)),2)</f>
        <v>0</v>
      </c>
      <c r="S69" s="971">
        <f>ROUND((VLOOKUP(B69,distribucion!B$9:FK$200,153,0)),2)</f>
        <v>0</v>
      </c>
      <c r="T69" s="971">
        <f>ROUND((VLOOKUP(B69,distribucion!$B$4:$FE$231,159,0)),2)</f>
        <v>0</v>
      </c>
      <c r="U69" s="971">
        <f>ROUND((VLOOKUP(B69,distribucion!$B$5:$FE$232,158,0)),2)</f>
        <v>0</v>
      </c>
      <c r="V69" s="971">
        <f>ROUND((VLOOKUP(B69,distribucion!$B$7:$FE$237,154,0)),2)</f>
        <v>0</v>
      </c>
      <c r="W69" s="971">
        <f>ROUND((VLOOKUP(B69,distribucion!B$9:FK$200,160,0)),2)</f>
        <v>132.5</v>
      </c>
      <c r="X69" s="969">
        <f t="shared" ref="X69" si="57">SUM(P69:W69)</f>
        <v>285.44</v>
      </c>
      <c r="Y69" s="969">
        <f t="shared" ref="Y69" si="58">O69-X69</f>
        <v>4030.94</v>
      </c>
      <c r="Z69" s="1121">
        <v>1631.72</v>
      </c>
      <c r="AA69" s="940">
        <f t="shared" si="52"/>
        <v>2399.2200000000003</v>
      </c>
      <c r="AB69" s="966"/>
      <c r="AC69" s="967"/>
      <c r="AD69" s="968"/>
      <c r="AE69" s="937"/>
      <c r="AF69" s="939"/>
      <c r="AG69" s="913"/>
      <c r="AH69" s="913"/>
      <c r="AI69" s="913"/>
    </row>
    <row r="70" spans="1:35" ht="14.1" customHeight="1">
      <c r="A70" s="1003">
        <f t="shared" ref="A70:A81" si="59">+A69+1</f>
        <v>36</v>
      </c>
      <c r="B70" s="1041" t="str">
        <f>+distribucion!B104</f>
        <v xml:space="preserve">Ramirez Vasquez Audelio </v>
      </c>
      <c r="C70" s="975" t="str">
        <f>VLOOKUP(B70,distribucion!B$9:FK$200,2,0)</f>
        <v xml:space="preserve">Operario  </v>
      </c>
      <c r="D70" s="969">
        <f t="shared" ref="D70" si="60">G70+K70+M70</f>
        <v>3166.38</v>
      </c>
      <c r="E70" s="938">
        <f>VLOOKUP(B70,distribucion!B$9:FK$201,7,0)</f>
        <v>30</v>
      </c>
      <c r="F70" s="963">
        <f>VLOOKUP(B70,distribucion!$B$9:$DQ$288,14,0)</f>
        <v>0</v>
      </c>
      <c r="G70" s="945">
        <f>ROUND((VLOOKUP(B70,distribucion!B$9:EI$201,94,0)),2)</f>
        <v>3166.38</v>
      </c>
      <c r="H70" s="945">
        <f>ROUND((VLOOKUP(B70,distribucion!B$9:EI$201,95,0)),2)</f>
        <v>925</v>
      </c>
      <c r="I70" s="969">
        <f t="shared" ref="I70" si="61">G70+H70</f>
        <v>4091.38</v>
      </c>
      <c r="J70" s="970">
        <f>VLOOKUP(B70,distribucion!B$9:EI$201,96,0)</f>
        <v>0</v>
      </c>
      <c r="K70" s="971">
        <f>ROUND((VLOOKUP(B70,distribucion!B$9:EI$201,97,0)),2)</f>
        <v>0</v>
      </c>
      <c r="L70" s="971">
        <f>VLOOKUP(B70,distribucion!B$9:EI$201,98,0)</f>
        <v>0</v>
      </c>
      <c r="M70" s="971">
        <f>ROUND((VLOOKUP(B70,distribucion!B$9:EI$201,99,0)),2)</f>
        <v>0</v>
      </c>
      <c r="N70" s="971">
        <f>ROUND((VLOOKUP(B70,distribucion!B$9:EI$201,100,0)),2)</f>
        <v>0</v>
      </c>
      <c r="O70" s="969">
        <f t="shared" ref="O70" si="62">SUM(I70:N70)-J70-L70</f>
        <v>4091.38</v>
      </c>
      <c r="P70" s="972">
        <f t="shared" ref="P70" si="63">ROUND(((G70+K70+M70+N70)*0.0483),2)</f>
        <v>152.94</v>
      </c>
      <c r="Q70" s="972">
        <f>ROUND((VLOOKUP(B70,distribucion!B$8:FK$200,151,0)),2)</f>
        <v>0</v>
      </c>
      <c r="R70" s="971">
        <f>ROUND((VLOOKUP(B70,distribucion!B$9:FK$200,152,0)),2)</f>
        <v>0</v>
      </c>
      <c r="S70" s="971">
        <f>ROUND((VLOOKUP(B70,distribucion!B$9:FK$200,153,0)),2)</f>
        <v>0</v>
      </c>
      <c r="T70" s="971">
        <f>ROUND((VLOOKUP(B70,distribucion!$B$4:$FE$231,159,0)),2)</f>
        <v>0</v>
      </c>
      <c r="U70" s="971">
        <f>ROUND((VLOOKUP(B70,distribucion!$B$5:$FE$232,158,0)),2)</f>
        <v>0</v>
      </c>
      <c r="V70" s="971">
        <f>ROUND((VLOOKUP(B70,distribucion!$B$7:$FE$237,154,0)),2)</f>
        <v>778.25</v>
      </c>
      <c r="W70" s="971">
        <f>ROUND((VLOOKUP(B70,distribucion!B$9:FK$200,160,0)),2)</f>
        <v>50</v>
      </c>
      <c r="X70" s="969">
        <f t="shared" ref="X70" si="64">SUM(P70:W70)</f>
        <v>981.19</v>
      </c>
      <c r="Y70" s="969">
        <f t="shared" ref="Y70" si="65">O70-X70</f>
        <v>3110.19</v>
      </c>
      <c r="Z70" s="1121">
        <v>1258.47</v>
      </c>
      <c r="AA70" s="940">
        <f t="shared" si="52"/>
        <v>1851.72</v>
      </c>
      <c r="AB70" s="966"/>
      <c r="AC70" s="967"/>
      <c r="AD70" s="968"/>
      <c r="AE70" s="937"/>
      <c r="AF70" s="939"/>
      <c r="AG70" s="913"/>
      <c r="AH70" s="913"/>
      <c r="AI70" s="913"/>
    </row>
    <row r="71" spans="1:35" ht="14.1" customHeight="1">
      <c r="A71" s="1003">
        <f t="shared" si="59"/>
        <v>37</v>
      </c>
      <c r="B71" s="1041" t="str">
        <f>+distribucion!B106</f>
        <v>Cristales Hernandez Victor Manuel</v>
      </c>
      <c r="C71" s="975" t="str">
        <f>VLOOKUP(B71,distribucion!B$9:FK$200,2,0)</f>
        <v xml:space="preserve">Operario  </v>
      </c>
      <c r="D71" s="969">
        <f t="shared" ref="D71" si="66">G71+K71+M71</f>
        <v>3166.38</v>
      </c>
      <c r="E71" s="938">
        <f>VLOOKUP(B71,distribucion!B$9:FK$201,7,0)</f>
        <v>30</v>
      </c>
      <c r="F71" s="963">
        <f>VLOOKUP(B71,distribucion!$B$9:$DQ$288,14,0)</f>
        <v>0</v>
      </c>
      <c r="G71" s="945">
        <f>ROUND((VLOOKUP(B71,distribucion!B$9:EI$201,94,0)),2)</f>
        <v>3166.38</v>
      </c>
      <c r="H71" s="945">
        <f>ROUND((VLOOKUP(B71,distribucion!B$9:EI$201,95,0)),2)</f>
        <v>1375</v>
      </c>
      <c r="I71" s="969">
        <f t="shared" ref="I71" si="67">G71+H71</f>
        <v>4541.38</v>
      </c>
      <c r="J71" s="970">
        <f>VLOOKUP(B71,distribucion!B$9:EI$201,96,0)</f>
        <v>0</v>
      </c>
      <c r="K71" s="971">
        <f>ROUND((VLOOKUP(B71,distribucion!B$9:EI$201,97,0)),2)</f>
        <v>0</v>
      </c>
      <c r="L71" s="971">
        <f>VLOOKUP(B71,distribucion!B$9:EI$201,98,0)</f>
        <v>0</v>
      </c>
      <c r="M71" s="971">
        <f>ROUND((VLOOKUP(B71,distribucion!B$9:EI$201,99,0)),2)</f>
        <v>0</v>
      </c>
      <c r="N71" s="971">
        <f>ROUND((VLOOKUP(B71,distribucion!B$9:EI$201,100,0)),2)</f>
        <v>0</v>
      </c>
      <c r="O71" s="969">
        <f t="shared" ref="O71" si="68">SUM(I71:N71)-J71-L71</f>
        <v>4541.38</v>
      </c>
      <c r="P71" s="972">
        <f t="shared" ref="P71" si="69">ROUND(((G71+K71+M71+N71)*0.0483),2)</f>
        <v>152.94</v>
      </c>
      <c r="Q71" s="972">
        <f>ROUND((VLOOKUP(B71,distribucion!B$8:FK$200,151,0)),2)</f>
        <v>0</v>
      </c>
      <c r="R71" s="971">
        <f>ROUND((VLOOKUP(B71,distribucion!B$9:FK$200,152,0)),2)</f>
        <v>0</v>
      </c>
      <c r="S71" s="971">
        <f>ROUND((VLOOKUP(B71,distribucion!B$9:FK$200,153,0)),2)</f>
        <v>0</v>
      </c>
      <c r="T71" s="971">
        <f>ROUND((VLOOKUP(B71,distribucion!$B$4:$FE$231,159,0)),2)</f>
        <v>0</v>
      </c>
      <c r="U71" s="971">
        <f>ROUND((VLOOKUP(B71,distribucion!$B$5:$FE$232,158,0)),2)</f>
        <v>0</v>
      </c>
      <c r="V71" s="971">
        <f>ROUND((VLOOKUP(B71,distribucion!$B$7:$FE$237,154,0)),2)</f>
        <v>0</v>
      </c>
      <c r="W71" s="971">
        <f>ROUND((VLOOKUP(B71,distribucion!B$9:FK$200,160,0)),2)</f>
        <v>50</v>
      </c>
      <c r="X71" s="969">
        <f t="shared" ref="X71" si="70">SUM(P71:W71)</f>
        <v>202.94</v>
      </c>
      <c r="Y71" s="969">
        <f t="shared" ref="Y71" si="71">O71-X71</f>
        <v>4338.4400000000005</v>
      </c>
      <c r="Z71" s="1121">
        <v>1631.72</v>
      </c>
      <c r="AA71" s="940">
        <f t="shared" si="52"/>
        <v>2706.7200000000003</v>
      </c>
      <c r="AB71" s="966"/>
      <c r="AC71" s="967"/>
      <c r="AD71" s="968"/>
      <c r="AE71" s="937"/>
      <c r="AF71" s="939"/>
      <c r="AG71" s="913"/>
      <c r="AH71" s="913"/>
      <c r="AI71" s="913"/>
    </row>
    <row r="72" spans="1:35" ht="14.1" customHeight="1">
      <c r="A72" s="1003">
        <f t="shared" si="59"/>
        <v>38</v>
      </c>
      <c r="B72" s="1041" t="str">
        <f>+distribucion!B107</f>
        <v>Zapata Hernandez Francisco Javier</v>
      </c>
      <c r="C72" s="975" t="str">
        <f>VLOOKUP(B72,distribucion!B$9:FK$200,2,0)</f>
        <v>operador</v>
      </c>
      <c r="D72" s="969">
        <f t="shared" ref="D72" si="72">G72+K72+M72</f>
        <v>3166.38</v>
      </c>
      <c r="E72" s="938">
        <f>VLOOKUP(B72,distribucion!B$9:FK$201,7,0)</f>
        <v>30</v>
      </c>
      <c r="F72" s="963">
        <f>VLOOKUP(B72,distribucion!$B$9:$DQ$288,14,0)</f>
        <v>0</v>
      </c>
      <c r="G72" s="945">
        <f>ROUND((VLOOKUP(B72,distribucion!B$9:EI$201,94,0)),2)</f>
        <v>3166.38</v>
      </c>
      <c r="H72" s="945">
        <f>ROUND((VLOOKUP(B72,distribucion!B$9:EI$201,95,0)),2)</f>
        <v>700</v>
      </c>
      <c r="I72" s="969">
        <f t="shared" ref="I72" si="73">G72+H72</f>
        <v>3866.38</v>
      </c>
      <c r="J72" s="970">
        <f>VLOOKUP(B72,distribucion!B$9:EI$201,96,0)</f>
        <v>0</v>
      </c>
      <c r="K72" s="971">
        <f>ROUND((VLOOKUP(B72,distribucion!B$9:EI$201,97,0)),2)</f>
        <v>0</v>
      </c>
      <c r="L72" s="971">
        <f>VLOOKUP(B72,distribucion!B$9:EI$201,98,0)</f>
        <v>0</v>
      </c>
      <c r="M72" s="971">
        <f>ROUND((VLOOKUP(B72,distribucion!B$9:EI$201,99,0)),2)</f>
        <v>0</v>
      </c>
      <c r="N72" s="971">
        <f>ROUND((VLOOKUP(B72,distribucion!B$9:EI$201,100,0)),2)</f>
        <v>0</v>
      </c>
      <c r="O72" s="969">
        <f t="shared" ref="O72" si="74">SUM(I72:N72)-J72-L72</f>
        <v>3866.38</v>
      </c>
      <c r="P72" s="972">
        <f t="shared" ref="P72" si="75">ROUND(((G72+K72+M72+N72)*0.0483),2)</f>
        <v>152.94</v>
      </c>
      <c r="Q72" s="972">
        <f>ROUND((VLOOKUP(B72,distribucion!B$8:FK$200,151,0)),2)</f>
        <v>0</v>
      </c>
      <c r="R72" s="971">
        <f>ROUND((VLOOKUP(B72,distribucion!B$9:FK$200,152,0)),2)</f>
        <v>0</v>
      </c>
      <c r="S72" s="971">
        <f>ROUND((VLOOKUP(B72,distribucion!B$9:FK$200,153,0)),2)</f>
        <v>0</v>
      </c>
      <c r="T72" s="971">
        <f>ROUND((VLOOKUP(B72,distribucion!$B$4:$FE$231,159,0)),2)</f>
        <v>0</v>
      </c>
      <c r="U72" s="971">
        <f>ROUND((VLOOKUP(B72,distribucion!$B$5:$FE$232,158,0)),2)</f>
        <v>0</v>
      </c>
      <c r="V72" s="971">
        <f>ROUND((VLOOKUP(B72,distribucion!$B$7:$FE$237,154,0)),2)</f>
        <v>697</v>
      </c>
      <c r="W72" s="971">
        <f>ROUND((VLOOKUP(B72,distribucion!B$9:FK$200,160,0)),2)</f>
        <v>50</v>
      </c>
      <c r="X72" s="969">
        <f t="shared" ref="X72" si="76">SUM(P72:W72)</f>
        <v>899.94</v>
      </c>
      <c r="Y72" s="969">
        <f t="shared" ref="Y72" si="77">O72-X72</f>
        <v>2966.44</v>
      </c>
      <c r="Z72" s="1121">
        <v>1275.22</v>
      </c>
      <c r="AA72" s="940">
        <f t="shared" si="52"/>
        <v>1691.22</v>
      </c>
      <c r="AB72" s="966"/>
      <c r="AC72" s="967"/>
      <c r="AD72" s="968"/>
      <c r="AE72" s="1118"/>
      <c r="AF72" s="1919"/>
      <c r="AG72" s="913"/>
      <c r="AH72" s="913"/>
      <c r="AI72" s="913"/>
    </row>
    <row r="73" spans="1:35" ht="14.1" customHeight="1">
      <c r="A73" s="1003">
        <f t="shared" si="59"/>
        <v>39</v>
      </c>
      <c r="B73" s="1041" t="str">
        <f>+distribucion!B108</f>
        <v>Garcia Valenzuela Jaime Rene</v>
      </c>
      <c r="C73" s="975" t="str">
        <f>VLOOKUP(B73,distribucion!B$9:FK$200,2,0)</f>
        <v>operador</v>
      </c>
      <c r="D73" s="969">
        <f t="shared" ref="D73" si="78">G73+K73+M73</f>
        <v>3166.38</v>
      </c>
      <c r="E73" s="938">
        <f>VLOOKUP(B73,distribucion!B$9:FK$201,7,0)</f>
        <v>30</v>
      </c>
      <c r="F73" s="963">
        <f>VLOOKUP(B73,distribucion!$B$9:$DQ$288,14,0)</f>
        <v>0</v>
      </c>
      <c r="G73" s="945">
        <f>ROUND((VLOOKUP(B73,distribucion!B$9:EI$201,94,0)),2)</f>
        <v>3166.38</v>
      </c>
      <c r="H73" s="945">
        <f>ROUND((VLOOKUP(B73,distribucion!B$9:EI$201,95,0)),2)</f>
        <v>700</v>
      </c>
      <c r="I73" s="969">
        <f t="shared" ref="I73" si="79">G73+H73</f>
        <v>3866.38</v>
      </c>
      <c r="J73" s="970">
        <f>VLOOKUP(B73,distribucion!B$9:EI$201,96,0)</f>
        <v>0</v>
      </c>
      <c r="K73" s="971">
        <f>ROUND((VLOOKUP(B73,distribucion!B$9:EI$201,97,0)),2)</f>
        <v>0</v>
      </c>
      <c r="L73" s="971">
        <f>VLOOKUP(B73,distribucion!B$9:EI$201,98,0)</f>
        <v>0</v>
      </c>
      <c r="M73" s="971">
        <f>ROUND((VLOOKUP(B73,distribucion!B$9:EI$201,99,0)),2)</f>
        <v>0</v>
      </c>
      <c r="N73" s="971">
        <f>ROUND((VLOOKUP(B73,distribucion!B$9:EI$201,100,0)),2)</f>
        <v>0</v>
      </c>
      <c r="O73" s="969">
        <f t="shared" ref="O73" si="80">SUM(I73:N73)-J73-L73</f>
        <v>3866.38</v>
      </c>
      <c r="P73" s="972">
        <f t="shared" ref="P73" si="81">ROUND(((G73+K73+M73+N73)*0.0483),2)</f>
        <v>152.94</v>
      </c>
      <c r="Q73" s="972">
        <f>ROUND((VLOOKUP(B73,distribucion!B$8:FK$200,151,0)),2)</f>
        <v>0</v>
      </c>
      <c r="R73" s="971">
        <f>ROUND((VLOOKUP(B73,distribucion!B$9:FK$200,152,0)),2)</f>
        <v>0</v>
      </c>
      <c r="S73" s="971">
        <f>ROUND((VLOOKUP(B73,distribucion!B$9:FK$200,153,0)),2)</f>
        <v>0</v>
      </c>
      <c r="T73" s="971">
        <f>ROUND((VLOOKUP(B73,distribucion!$B$4:$FE$231,159,0)),2)</f>
        <v>0</v>
      </c>
      <c r="U73" s="971">
        <f>ROUND((VLOOKUP(B73,distribucion!$B$5:$FE$232,158,0)),2)</f>
        <v>0</v>
      </c>
      <c r="V73" s="971">
        <f>ROUND((VLOOKUP(B73,distribucion!$B$7:$FE$237,154,0)),2)</f>
        <v>581.5</v>
      </c>
      <c r="W73" s="971">
        <f>ROUND((VLOOKUP(B73,distribucion!B$9:FK$200,160,0)),2)</f>
        <v>50</v>
      </c>
      <c r="X73" s="969">
        <f t="shared" ref="X73" si="82">SUM(P73:W73)</f>
        <v>784.44</v>
      </c>
      <c r="Y73" s="969">
        <f t="shared" ref="Y73" si="83">O73-X73</f>
        <v>3081.94</v>
      </c>
      <c r="Z73" s="1121">
        <v>1346.47</v>
      </c>
      <c r="AA73" s="940">
        <f t="shared" si="52"/>
        <v>1735.47</v>
      </c>
      <c r="AB73" s="966"/>
      <c r="AC73" s="967"/>
      <c r="AD73" s="968"/>
      <c r="AE73" s="1118"/>
      <c r="AF73" s="939"/>
      <c r="AG73" s="913"/>
      <c r="AH73" s="913"/>
      <c r="AI73" s="913"/>
    </row>
    <row r="74" spans="1:35" ht="14.1" customHeight="1">
      <c r="A74" s="1003">
        <f t="shared" si="59"/>
        <v>40</v>
      </c>
      <c r="B74" s="1041" t="str">
        <f>+distribucion!B105</f>
        <v>Guerra Tobar Melvin Esleiter</v>
      </c>
      <c r="C74" s="975" t="str">
        <f>VLOOKUP(B74,distribucion!B$9:FK$200,2,0)</f>
        <v>Operario  Sobres</v>
      </c>
      <c r="D74" s="969">
        <f t="shared" ref="D74" si="84">G74+K74+M74</f>
        <v>3166.38</v>
      </c>
      <c r="E74" s="938">
        <f>VLOOKUP(B74,distribucion!B$9:FK$201,7,0)</f>
        <v>30</v>
      </c>
      <c r="F74" s="963">
        <f>VLOOKUP(B74,distribucion!$B$9:$DQ$288,14,0)</f>
        <v>0</v>
      </c>
      <c r="G74" s="945">
        <f>ROUND((VLOOKUP(B74,distribucion!B$9:EI$201,94,0)),2)</f>
        <v>3166.38</v>
      </c>
      <c r="H74" s="945">
        <f>ROUND((VLOOKUP(B74,distribucion!B$9:EI$201,95,0)),2)</f>
        <v>2725</v>
      </c>
      <c r="I74" s="969">
        <f t="shared" ref="I74" si="85">G74+H74</f>
        <v>5891.38</v>
      </c>
      <c r="J74" s="970">
        <f>VLOOKUP(B74,distribucion!B$9:EI$201,96,0)</f>
        <v>0</v>
      </c>
      <c r="K74" s="971">
        <f>ROUND((VLOOKUP(B74,distribucion!B$9:EI$201,97,0)),2)</f>
        <v>0</v>
      </c>
      <c r="L74" s="971">
        <f>VLOOKUP(B74,distribucion!B$9:EI$201,98,0)</f>
        <v>0</v>
      </c>
      <c r="M74" s="971">
        <f>ROUND((VLOOKUP(B74,distribucion!B$9:EI$201,99,0)),2)</f>
        <v>0</v>
      </c>
      <c r="N74" s="971">
        <f>ROUND((VLOOKUP(B74,distribucion!B$9:EI$201,100,0)),2)</f>
        <v>0</v>
      </c>
      <c r="O74" s="969">
        <f t="shared" ref="O74" si="86">SUM(I74:N74)-J74-L74</f>
        <v>5891.38</v>
      </c>
      <c r="P74" s="972">
        <f t="shared" ref="P74" si="87">ROUND(((G74+K74+M74+N74)*0.0483),2)</f>
        <v>152.94</v>
      </c>
      <c r="Q74" s="972">
        <f>ROUND((VLOOKUP(B74,distribucion!B$8:FK$200,151,0)),2)</f>
        <v>78.17</v>
      </c>
      <c r="R74" s="971">
        <f>ROUND((VLOOKUP(B74,distribucion!B$9:FK$200,152,0)),2)</f>
        <v>0</v>
      </c>
      <c r="S74" s="971">
        <f>ROUND((VLOOKUP(B74,distribucion!B$9:FK$200,153,0)),2)</f>
        <v>0</v>
      </c>
      <c r="T74" s="971">
        <f>ROUND((VLOOKUP(B74,distribucion!$B$4:$FE$231,159,0)),2)</f>
        <v>0</v>
      </c>
      <c r="U74" s="971">
        <f>ROUND((VLOOKUP(B74,distribucion!$B$5:$FE$232,158,0)),2)</f>
        <v>0</v>
      </c>
      <c r="V74" s="971">
        <f>ROUND((VLOOKUP(B74,distribucion!$B$7:$FE$237,154,0)),2)</f>
        <v>350.5</v>
      </c>
      <c r="W74" s="971">
        <f>ROUND((VLOOKUP(B74,distribucion!B$9:FK$200,160,0)),2)</f>
        <v>50</v>
      </c>
      <c r="X74" s="969">
        <f t="shared" ref="X74" si="88">SUM(P74:W74)</f>
        <v>631.61</v>
      </c>
      <c r="Y74" s="969">
        <f t="shared" ref="Y74" si="89">O74-X74</f>
        <v>5259.77</v>
      </c>
      <c r="Z74" s="1121">
        <v>1475.47</v>
      </c>
      <c r="AA74" s="940">
        <f t="shared" si="52"/>
        <v>3784.3</v>
      </c>
      <c r="AB74" s="966"/>
      <c r="AC74" s="967"/>
      <c r="AD74" s="968"/>
      <c r="AE74" s="969">
        <v>1237.06</v>
      </c>
      <c r="AF74" s="939" t="s">
        <v>717</v>
      </c>
      <c r="AG74" s="913"/>
      <c r="AH74" s="913"/>
      <c r="AI74" s="913"/>
    </row>
    <row r="75" spans="1:35" ht="14.1" customHeight="1">
      <c r="A75" s="1003">
        <f t="shared" si="59"/>
        <v>41</v>
      </c>
      <c r="B75" s="1041" t="s">
        <v>533</v>
      </c>
      <c r="C75" s="975" t="str">
        <f>VLOOKUP(B75,distribucion!B$9:FK$200,2,0)</f>
        <v>Operario</v>
      </c>
      <c r="D75" s="969">
        <f t="shared" si="46"/>
        <v>316.64</v>
      </c>
      <c r="E75" s="938">
        <f>VLOOKUP(B75,distribucion!B$9:FK$201,7,0)</f>
        <v>3</v>
      </c>
      <c r="F75" s="963" t="str">
        <f>VLOOKUP(B75,distribucion!$B$9:$DQ$288,14,0)</f>
        <v>B.3.1.22</v>
      </c>
      <c r="G75" s="945">
        <f>ROUND((VLOOKUP(B75,distribucion!B$9:EI$201,94,0)),2)</f>
        <v>316.64</v>
      </c>
      <c r="H75" s="945">
        <f>ROUND((VLOOKUP(B75,distribucion!B$9:EI$201,95,0)),2)</f>
        <v>700</v>
      </c>
      <c r="I75" s="969">
        <f t="shared" si="47"/>
        <v>1016.64</v>
      </c>
      <c r="J75" s="970">
        <f>VLOOKUP(B75,distribucion!B$9:EI$201,96,0)</f>
        <v>0</v>
      </c>
      <c r="K75" s="971">
        <f>ROUND((VLOOKUP(B75,distribucion!B$9:EI$201,97,0)),2)</f>
        <v>0</v>
      </c>
      <c r="L75" s="971">
        <f>VLOOKUP(B75,distribucion!B$9:EI$201,98,0)</f>
        <v>0</v>
      </c>
      <c r="M75" s="971">
        <f>ROUND((VLOOKUP(B75,distribucion!B$9:EI$201,99,0)),2)</f>
        <v>0</v>
      </c>
      <c r="N75" s="971">
        <f>ROUND((VLOOKUP(B75,distribucion!B$9:EI$201,100,0)),2)</f>
        <v>0</v>
      </c>
      <c r="O75" s="969">
        <f t="shared" si="48"/>
        <v>1016.64</v>
      </c>
      <c r="P75" s="972">
        <f t="shared" si="49"/>
        <v>15.29</v>
      </c>
      <c r="Q75" s="972">
        <f>ROUND((VLOOKUP(B75,distribucion!B$8:FK$200,151,0)),2)</f>
        <v>0</v>
      </c>
      <c r="R75" s="971">
        <f>ROUND((VLOOKUP(B75,distribucion!B$9:FK$200,152,0)),2)</f>
        <v>477.58</v>
      </c>
      <c r="S75" s="971">
        <f>ROUND((VLOOKUP(B75,distribucion!B$9:FK$200,153,0)),2)</f>
        <v>0</v>
      </c>
      <c r="T75" s="971">
        <f>ROUND((VLOOKUP(B75,distribucion!$B$4:$FE$231,159,0)),2)</f>
        <v>0</v>
      </c>
      <c r="U75" s="971">
        <f>ROUND((VLOOKUP(B75,distribucion!$B$5:$FE$232,158,0)),2)</f>
        <v>0</v>
      </c>
      <c r="V75" s="971">
        <f>ROUND((VLOOKUP(B75,distribucion!$B$7:$FE$237,154,0)),2)</f>
        <v>0</v>
      </c>
      <c r="W75" s="971">
        <f>ROUND((VLOOKUP(B75,distribucion!B$9:FK$200,160,0)),2)</f>
        <v>0</v>
      </c>
      <c r="X75" s="969">
        <f t="shared" si="50"/>
        <v>492.87</v>
      </c>
      <c r="Y75" s="969">
        <f t="shared" si="51"/>
        <v>523.77</v>
      </c>
      <c r="Z75" s="1121">
        <v>523.77</v>
      </c>
      <c r="AA75" s="940">
        <f t="shared" si="52"/>
        <v>0</v>
      </c>
      <c r="AB75" s="966"/>
      <c r="AC75" s="967"/>
      <c r="AD75" s="968">
        <f t="shared" si="45"/>
        <v>0</v>
      </c>
      <c r="AE75" s="937"/>
      <c r="AF75" s="939"/>
      <c r="AG75" s="913"/>
      <c r="AH75" s="913"/>
      <c r="AI75" s="913"/>
    </row>
    <row r="76" spans="1:35" ht="14.1" customHeight="1">
      <c r="A76" s="1003">
        <f t="shared" si="59"/>
        <v>42</v>
      </c>
      <c r="B76" s="1041" t="s">
        <v>534</v>
      </c>
      <c r="C76" s="975" t="str">
        <f>VLOOKUP(B76,distribucion!B$9:FK$200,2,0)</f>
        <v>Operario</v>
      </c>
      <c r="D76" s="969">
        <f t="shared" si="46"/>
        <v>969.69999999999993</v>
      </c>
      <c r="E76" s="938">
        <f>VLOOKUP(B76,distribucion!B$9:FK$201,7,0)</f>
        <v>9</v>
      </c>
      <c r="F76" s="963" t="str">
        <f>VLOOKUP(B76,distribucion!$B$9:$DQ$288,14,0)</f>
        <v>suso del 6 al 11/1  susp del 16 al 31</v>
      </c>
      <c r="G76" s="945">
        <f>ROUND((VLOOKUP(B76,distribucion!B$9:EI$201,94,0)),2)</f>
        <v>949.91</v>
      </c>
      <c r="H76" s="983">
        <f>ROUND((VLOOKUP(B76,distribucion!B$9:EI$201,95,0)),2)</f>
        <v>525</v>
      </c>
      <c r="I76" s="969">
        <f t="shared" si="47"/>
        <v>1474.9099999999999</v>
      </c>
      <c r="J76" s="970">
        <f>VLOOKUP(B76,distribucion!B$9:EI$201,96,0)</f>
        <v>1</v>
      </c>
      <c r="K76" s="971">
        <f>ROUND((VLOOKUP(B76,distribucion!B$9:EI$201,97,0)),2)</f>
        <v>19.79</v>
      </c>
      <c r="L76" s="971">
        <f>VLOOKUP(B76,distribucion!B$9:EI$201,98,0)</f>
        <v>0</v>
      </c>
      <c r="M76" s="971">
        <f>ROUND((VLOOKUP(B76,distribucion!B$9:EI$201,99,0)),2)</f>
        <v>0</v>
      </c>
      <c r="N76" s="971">
        <f>ROUND((VLOOKUP(B76,distribucion!B$9:EI$201,100,0)),2)</f>
        <v>0</v>
      </c>
      <c r="O76" s="969">
        <f t="shared" si="48"/>
        <v>1494.6999999999998</v>
      </c>
      <c r="P76" s="972">
        <f t="shared" si="49"/>
        <v>46.84</v>
      </c>
      <c r="Q76" s="972">
        <f>ROUND((VLOOKUP(B76,distribucion!B$8:FK$200,151,0)),2)</f>
        <v>56.99</v>
      </c>
      <c r="R76" s="971">
        <f>ROUND((VLOOKUP(B76,distribucion!B$9:FK$200,152,0)),2)</f>
        <v>591.05999999999995</v>
      </c>
      <c r="S76" s="971">
        <f>ROUND((VLOOKUP(B76,distribucion!B$9:FK$200,153,0)),2)</f>
        <v>0</v>
      </c>
      <c r="T76" s="971">
        <f>ROUND((VLOOKUP(B76,distribucion!$B$4:$FE$231,159,0)),2)</f>
        <v>0</v>
      </c>
      <c r="U76" s="971">
        <f>ROUND((VLOOKUP(B76,distribucion!$B$5:$FE$232,158,0)),2)</f>
        <v>0</v>
      </c>
      <c r="V76" s="971">
        <f>ROUND((VLOOKUP(B76,distribucion!$B$7:$FE$237,154,0)),2)</f>
        <v>212</v>
      </c>
      <c r="W76" s="971">
        <f>ROUND((VLOOKUP(B76,distribucion!B$9:FK$200,160,0)),2)</f>
        <v>25</v>
      </c>
      <c r="X76" s="969">
        <f t="shared" si="50"/>
        <v>931.89</v>
      </c>
      <c r="Y76" s="969">
        <f t="shared" si="51"/>
        <v>562.80999999999983</v>
      </c>
      <c r="Z76" s="1121">
        <v>531.49999999999989</v>
      </c>
      <c r="AA76" s="940">
        <f t="shared" si="52"/>
        <v>31.309999999999945</v>
      </c>
      <c r="AB76" s="966"/>
      <c r="AC76" s="967"/>
      <c r="AD76" s="968">
        <f t="shared" si="45"/>
        <v>0</v>
      </c>
      <c r="AE76" s="937"/>
      <c r="AF76" s="939"/>
      <c r="AG76" s="913"/>
      <c r="AH76" s="913"/>
      <c r="AI76" s="913"/>
    </row>
    <row r="77" spans="1:35" ht="14.1" customHeight="1">
      <c r="A77" s="1003">
        <f t="shared" si="59"/>
        <v>43</v>
      </c>
      <c r="B77" s="1057" t="s">
        <v>525</v>
      </c>
      <c r="C77" s="975" t="str">
        <f>VLOOKUP(B77,distribucion!B$9:FK$200,2,0)</f>
        <v>Operario</v>
      </c>
      <c r="D77" s="969">
        <f t="shared" si="46"/>
        <v>3166.38</v>
      </c>
      <c r="E77" s="938">
        <f>VLOOKUP(B77,distribucion!B$9:FK$201,7,0)</f>
        <v>30</v>
      </c>
      <c r="F77" s="963">
        <f>VLOOKUP(B77,distribucion!$B$9:$DQ$288,14,0)</f>
        <v>0</v>
      </c>
      <c r="G77" s="945">
        <f>ROUND((VLOOKUP(B77,distribucion!B$9:EI$201,94,0)),2)</f>
        <v>3166.38</v>
      </c>
      <c r="H77" s="945">
        <f>ROUND((VLOOKUP(B77,distribucion!B$9:EI$201,95,0)),2)</f>
        <v>1375</v>
      </c>
      <c r="I77" s="969">
        <f t="shared" si="47"/>
        <v>4541.38</v>
      </c>
      <c r="J77" s="970">
        <f>VLOOKUP(B77,distribucion!B$9:EI$201,96,0)</f>
        <v>0</v>
      </c>
      <c r="K77" s="971">
        <f>ROUND((VLOOKUP(B77,distribucion!B$9:EI$201,97,0)),2)</f>
        <v>0</v>
      </c>
      <c r="L77" s="971">
        <f>VLOOKUP(B77,distribucion!B$9:EI$201,98,0)</f>
        <v>0</v>
      </c>
      <c r="M77" s="971">
        <f>ROUND((VLOOKUP(B77,distribucion!B$9:EI$201,99,0)),2)</f>
        <v>0</v>
      </c>
      <c r="N77" s="971">
        <f>ROUND((VLOOKUP(B77,distribucion!B$9:EI$201,100,0)),2)</f>
        <v>0</v>
      </c>
      <c r="O77" s="969">
        <f t="shared" si="48"/>
        <v>4541.38</v>
      </c>
      <c r="P77" s="972">
        <f t="shared" si="49"/>
        <v>152.94</v>
      </c>
      <c r="Q77" s="972">
        <f>ROUND((VLOOKUP(B77,distribucion!B$8:FK$200,151,0)),2)</f>
        <v>113.97</v>
      </c>
      <c r="R77" s="971">
        <f>ROUND((VLOOKUP(B77,distribucion!B$9:FK$200,152,0)),2)</f>
        <v>762.59</v>
      </c>
      <c r="S77" s="971">
        <f>ROUND((VLOOKUP(B77,distribucion!B$9:FK$200,153,0)),2)</f>
        <v>0</v>
      </c>
      <c r="T77" s="971">
        <f>ROUND((VLOOKUP(B77,distribucion!$B$4:$FE$231,159,0)),2)</f>
        <v>0</v>
      </c>
      <c r="U77" s="971">
        <f>ROUND((VLOOKUP(B77,distribucion!$B$5:$FE$232,158,0)),2)</f>
        <v>0</v>
      </c>
      <c r="V77" s="971">
        <f>ROUND((VLOOKUP(B77,distribucion!$B$7:$FE$237,154,0)),2)</f>
        <v>370</v>
      </c>
      <c r="W77" s="971">
        <f>ROUND((VLOOKUP(B77,distribucion!B$9:FK$200,160,0)),2)</f>
        <v>50</v>
      </c>
      <c r="X77" s="969">
        <f t="shared" si="50"/>
        <v>1449.5</v>
      </c>
      <c r="Y77" s="969">
        <f t="shared" si="51"/>
        <v>3091.88</v>
      </c>
      <c r="Z77" s="1121">
        <v>880.42000000000007</v>
      </c>
      <c r="AA77" s="940">
        <f t="shared" si="52"/>
        <v>2211.46</v>
      </c>
      <c r="AB77" s="966"/>
      <c r="AC77" s="967"/>
      <c r="AD77" s="968">
        <f t="shared" si="45"/>
        <v>0</v>
      </c>
      <c r="AE77" s="937"/>
      <c r="AF77" s="939"/>
      <c r="AG77" s="913"/>
      <c r="AH77" s="913"/>
      <c r="AI77" s="913"/>
    </row>
    <row r="78" spans="1:35" ht="14.1" customHeight="1">
      <c r="A78" s="1003">
        <f t="shared" si="59"/>
        <v>44</v>
      </c>
      <c r="B78" s="1057" t="s">
        <v>526</v>
      </c>
      <c r="C78" s="975" t="str">
        <f>VLOOKUP(B78,distribucion!B$9:FK$200,2,0)</f>
        <v>Operario</v>
      </c>
      <c r="D78" s="969">
        <f t="shared" si="46"/>
        <v>3166.38</v>
      </c>
      <c r="E78" s="938">
        <f>VLOOKUP(B78,distribucion!B$9:FK$201,7,0)</f>
        <v>30</v>
      </c>
      <c r="F78" s="963">
        <f>VLOOKUP(B78,distribucion!$B$9:$DQ$288,14,0)</f>
        <v>0</v>
      </c>
      <c r="G78" s="945">
        <f>ROUND((VLOOKUP(B78,distribucion!B$9:EI$201,94,0)),2)</f>
        <v>3166.38</v>
      </c>
      <c r="H78" s="983">
        <f>ROUND((VLOOKUP(B78,distribucion!B$9:EI$201,95,0)),2)</f>
        <v>1375</v>
      </c>
      <c r="I78" s="969">
        <f t="shared" si="47"/>
        <v>4541.38</v>
      </c>
      <c r="J78" s="970">
        <f>VLOOKUP(B78,distribucion!B$9:EI$201,96,0)</f>
        <v>0</v>
      </c>
      <c r="K78" s="971">
        <f>ROUND((VLOOKUP(B78,distribucion!B$9:EI$201,97,0)),2)</f>
        <v>0</v>
      </c>
      <c r="L78" s="971">
        <f>VLOOKUP(B78,distribucion!B$9:EI$201,98,0)</f>
        <v>0</v>
      </c>
      <c r="M78" s="971">
        <f>ROUND((VLOOKUP(B78,distribucion!B$9:EI$201,99,0)),2)</f>
        <v>0</v>
      </c>
      <c r="N78" s="971">
        <f>ROUND((VLOOKUP(B78,distribucion!B$9:EI$201,100,0)),2)</f>
        <v>0</v>
      </c>
      <c r="O78" s="969">
        <f t="shared" si="48"/>
        <v>4541.38</v>
      </c>
      <c r="P78" s="972">
        <f t="shared" si="49"/>
        <v>152.94</v>
      </c>
      <c r="Q78" s="972">
        <f>ROUND((VLOOKUP(B78,distribucion!B$8:FK$200,151,0)),2)</f>
        <v>98.17</v>
      </c>
      <c r="R78" s="971">
        <f>ROUND((VLOOKUP(B78,distribucion!B$9:FK$200,152,0)),2)</f>
        <v>746.75</v>
      </c>
      <c r="S78" s="971">
        <f>ROUND((VLOOKUP(B78,distribucion!B$9:FK$200,153,0)),2)</f>
        <v>0</v>
      </c>
      <c r="T78" s="971">
        <f>ROUND((VLOOKUP(B78,distribucion!$B$4:$FE$231,159,0)),2)</f>
        <v>0</v>
      </c>
      <c r="U78" s="971">
        <f>ROUND((VLOOKUP(B78,distribucion!$B$5:$FE$232,158,0)),2)</f>
        <v>0</v>
      </c>
      <c r="V78" s="971">
        <f>ROUND((VLOOKUP(B78,distribucion!$B$7:$FE$237,154,0)),2)</f>
        <v>600.5</v>
      </c>
      <c r="W78" s="971">
        <f>ROUND((VLOOKUP(B78,distribucion!B$9:FK$200,160,0)),2)</f>
        <v>50</v>
      </c>
      <c r="X78" s="969">
        <f t="shared" si="50"/>
        <v>1648.3600000000001</v>
      </c>
      <c r="Y78" s="969">
        <f t="shared" si="51"/>
        <v>2893.02</v>
      </c>
      <c r="Z78" s="1121">
        <v>981.59</v>
      </c>
      <c r="AA78" s="940">
        <f t="shared" si="52"/>
        <v>1911.4299999999998</v>
      </c>
      <c r="AB78" s="966"/>
      <c r="AC78" s="967"/>
      <c r="AD78" s="968">
        <f t="shared" si="45"/>
        <v>0</v>
      </c>
      <c r="AE78" s="937"/>
      <c r="AF78" s="939"/>
      <c r="AG78" s="913"/>
      <c r="AH78" s="913"/>
      <c r="AI78" s="913"/>
    </row>
    <row r="79" spans="1:35" s="986" customFormat="1" ht="15">
      <c r="A79" s="1003">
        <f t="shared" si="59"/>
        <v>45</v>
      </c>
      <c r="B79" s="1000" t="s">
        <v>554</v>
      </c>
      <c r="C79" s="980" t="str">
        <f>VLOOKUP(B79,distribucion!B$9:FK$200,2,0)</f>
        <v>Empacadora</v>
      </c>
      <c r="D79" s="969">
        <f t="shared" si="46"/>
        <v>3166.38</v>
      </c>
      <c r="E79" s="1058">
        <f>VLOOKUP(B79,distribucion!B$9:FK$201,7,0)</f>
        <v>30</v>
      </c>
      <c r="F79" s="982">
        <f>VLOOKUP(B79,distribucion!$B$9:$DQ$288,14,0)</f>
        <v>0</v>
      </c>
      <c r="G79" s="945">
        <f>ROUND((VLOOKUP(B79,distribucion!B$9:EI$201,94,0)),2)</f>
        <v>3166.38</v>
      </c>
      <c r="H79" s="954">
        <f>ROUND((VLOOKUP(B79,distribucion!B$9:EI$201,95,0)),2)</f>
        <v>1375</v>
      </c>
      <c r="I79" s="940">
        <f t="shared" si="47"/>
        <v>4541.38</v>
      </c>
      <c r="J79" s="1026">
        <f>VLOOKUP(B79,distribucion!B$9:EI$225,96,0)</f>
        <v>0</v>
      </c>
      <c r="K79" s="1022">
        <f>ROUND((VLOOKUP(B79,distribucion!B$9:EI$225,97,0)),2)</f>
        <v>0</v>
      </c>
      <c r="L79" s="1022">
        <f>VLOOKUP(B79,distribucion!B$9:EI$225,98,0)</f>
        <v>0</v>
      </c>
      <c r="M79" s="1022">
        <f>ROUND((VLOOKUP(B79,distribucion!B$9:EI$225,99,0)),2)</f>
        <v>0</v>
      </c>
      <c r="N79" s="1022">
        <f>ROUND((VLOOKUP(B79,distribucion!B$9:EI$225,100,0)),2)</f>
        <v>0</v>
      </c>
      <c r="O79" s="1023">
        <f t="shared" si="48"/>
        <v>4541.38</v>
      </c>
      <c r="P79" s="1022">
        <f t="shared" si="49"/>
        <v>152.94</v>
      </c>
      <c r="Q79" s="1022">
        <f>ROUND((VLOOKUP(B79,distribucion!B$8:FK$200,151,0)),2)</f>
        <v>0</v>
      </c>
      <c r="R79" s="1022">
        <f>ROUND((VLOOKUP(B79,distribucion!B$9:FK$200,152,0)),2)</f>
        <v>0</v>
      </c>
      <c r="S79" s="1022">
        <f>ROUND((VLOOKUP(B79,distribucion!B$9:FK$225,153,0)),2)</f>
        <v>0</v>
      </c>
      <c r="T79" s="1022">
        <f>ROUND((VLOOKUP(B79,distribucion!$B$4:$FE$231,159,0)),2)</f>
        <v>0</v>
      </c>
      <c r="U79" s="1022">
        <f>ROUND((VLOOKUP(B79,distribucion!$B$5:$FE$232,158,0)),2)</f>
        <v>0</v>
      </c>
      <c r="V79" s="1022">
        <f>ROUND((VLOOKUP(B79,distribucion!$B$7:$FE$237,154,0)),2)</f>
        <v>0</v>
      </c>
      <c r="W79" s="1022">
        <f>ROUND((VLOOKUP(B79,distribucion!B$9:FK$200,160,0)),2)</f>
        <v>50</v>
      </c>
      <c r="X79" s="1023">
        <f t="shared" si="50"/>
        <v>202.94</v>
      </c>
      <c r="Y79" s="1023">
        <f t="shared" si="51"/>
        <v>4338.4400000000005</v>
      </c>
      <c r="Z79" s="1121">
        <v>1631.72</v>
      </c>
      <c r="AA79" s="940">
        <f t="shared" si="52"/>
        <v>2706.7200000000003</v>
      </c>
      <c r="AB79" s="1059">
        <v>0</v>
      </c>
      <c r="AC79" s="1060">
        <f>+Z79-AA79-AB79</f>
        <v>-1075.0000000000002</v>
      </c>
      <c r="AE79" s="937"/>
      <c r="AF79" s="939"/>
    </row>
    <row r="80" spans="1:35" s="1065" customFormat="1" ht="15">
      <c r="A80" s="1003">
        <f t="shared" si="59"/>
        <v>46</v>
      </c>
      <c r="B80" s="1061" t="s">
        <v>617</v>
      </c>
      <c r="C80" s="1061" t="str">
        <f>VLOOKUP(B80,distribucion!B$9:FK$204,2,0)</f>
        <v>Operario</v>
      </c>
      <c r="D80" s="969">
        <f t="shared" si="46"/>
        <v>3186.17</v>
      </c>
      <c r="E80" s="1036">
        <f>VLOOKUP(B80,distribucion!B$9:FK$204,7,0)</f>
        <v>30</v>
      </c>
      <c r="F80" s="1062">
        <f>VLOOKUP(B80,distribucion!$B$9:$DQ$288,14,0)</f>
        <v>0</v>
      </c>
      <c r="G80" s="945">
        <f>ROUND((VLOOKUP(B80,distribucion!B$9:EI$201,94,0)),2)</f>
        <v>3166.38</v>
      </c>
      <c r="H80" s="954">
        <f>ROUND((VLOOKUP(B80,distribucion!B$9:EI$201,95,0)),2)</f>
        <v>1600</v>
      </c>
      <c r="I80" s="945">
        <f t="shared" si="47"/>
        <v>4766.38</v>
      </c>
      <c r="J80" s="1038">
        <f>VLOOKUP(B80,distribucion!B$9:EI$225,96,0)</f>
        <v>1</v>
      </c>
      <c r="K80" s="1039">
        <f>ROUND((VLOOKUP(B80,distribucion!B$9:EI$225,97,0)),2)</f>
        <v>19.79</v>
      </c>
      <c r="L80" s="1039">
        <f>VLOOKUP(B80,distribucion!B$9:EI$225,98,0)</f>
        <v>0</v>
      </c>
      <c r="M80" s="1039">
        <f>ROUND((VLOOKUP(B80,distribucion!B$9:EI$225,99,0)),2)</f>
        <v>0</v>
      </c>
      <c r="N80" s="1039">
        <f>ROUND((VLOOKUP(B80,distribucion!B$9:EI$225,100,0)),2)</f>
        <v>0</v>
      </c>
      <c r="O80" s="983">
        <f t="shared" si="48"/>
        <v>4786.17</v>
      </c>
      <c r="P80" s="1039">
        <f t="shared" si="49"/>
        <v>153.88999999999999</v>
      </c>
      <c r="Q80" s="1039">
        <f>ROUND((VLOOKUP(B80,distribucion!B$8:FK$200,151,0)),2)</f>
        <v>60.67</v>
      </c>
      <c r="R80" s="1039">
        <f>ROUND((VLOOKUP(B80,distribucion!B$9:FK$200,152,0)),2)</f>
        <v>0</v>
      </c>
      <c r="S80" s="1039">
        <f>ROUND((VLOOKUP(B80,distribucion!B$9:FK$225,153,0)),2)</f>
        <v>0</v>
      </c>
      <c r="T80" s="1039">
        <f>ROUND((VLOOKUP(B80,distribucion!$B$4:$FE$231,159,0)),2)</f>
        <v>0</v>
      </c>
      <c r="U80" s="1039">
        <f>ROUND((VLOOKUP(B80,distribucion!$B$5:$FE$232,158,0)),2)</f>
        <v>0</v>
      </c>
      <c r="V80" s="1039">
        <f>ROUND((VLOOKUP(B80,distribucion!$B$7:$FE$237,154,0)),2)</f>
        <v>0</v>
      </c>
      <c r="W80" s="1039">
        <f>ROUND((VLOOKUP(B80,distribucion!B$9:FK$200,160,0)),2)</f>
        <v>50</v>
      </c>
      <c r="X80" s="983">
        <f t="shared" si="50"/>
        <v>264.56</v>
      </c>
      <c r="Y80" s="983">
        <f t="shared" si="51"/>
        <v>4521.6099999999997</v>
      </c>
      <c r="Z80" s="1121">
        <v>1631.72</v>
      </c>
      <c r="AA80" s="940">
        <f t="shared" si="52"/>
        <v>2889.8899999999994</v>
      </c>
      <c r="AB80" s="1063">
        <v>0</v>
      </c>
      <c r="AC80" s="1064">
        <f>+Z80-AA80-AB80</f>
        <v>-1258.1699999999994</v>
      </c>
      <c r="AE80" s="937"/>
      <c r="AF80" s="939"/>
    </row>
    <row r="81" spans="1:35" s="1065" customFormat="1" ht="15">
      <c r="A81" s="1003">
        <f t="shared" si="59"/>
        <v>47</v>
      </c>
      <c r="B81" s="1061" t="s">
        <v>621</v>
      </c>
      <c r="C81" s="1061" t="s">
        <v>94</v>
      </c>
      <c r="D81" s="945">
        <f t="shared" si="46"/>
        <v>3205.96</v>
      </c>
      <c r="E81" s="1036">
        <f>VLOOKUP(B81,distribucion!B$9:FK$204,7,0)</f>
        <v>30</v>
      </c>
      <c r="F81" s="1037">
        <f>VLOOKUP(B81,distribucion!$B$9:$DQ$288,14,0)</f>
        <v>0</v>
      </c>
      <c r="G81" s="945">
        <f>ROUND((VLOOKUP(B81,distribucion!B$9:EI$201,94,0)),2)</f>
        <v>3166.38</v>
      </c>
      <c r="H81" s="945">
        <f>ROUND((VLOOKUP(B81,distribucion!B$9:EI$201,95,0)),2)</f>
        <v>2500</v>
      </c>
      <c r="I81" s="945">
        <f t="shared" si="47"/>
        <v>5666.38</v>
      </c>
      <c r="J81" s="1038">
        <f>VLOOKUP(B81,distribucion!B$9:EI$225,96,0)</f>
        <v>2</v>
      </c>
      <c r="K81" s="1039">
        <f>ROUND((VLOOKUP(B81,distribucion!B$9:EI$225,97,0)),2)</f>
        <v>39.58</v>
      </c>
      <c r="L81" s="1039">
        <f>VLOOKUP(B81,distribucion!B$9:EI$225,98,0)</f>
        <v>0</v>
      </c>
      <c r="M81" s="1039">
        <f>ROUND((VLOOKUP(B81,distribucion!B$9:EI$225,99,0)),2)</f>
        <v>0</v>
      </c>
      <c r="N81" s="1039">
        <f>ROUND((VLOOKUP(B81,distribucion!B$9:EI$225,100,0)),2)</f>
        <v>0</v>
      </c>
      <c r="O81" s="983">
        <f t="shared" si="48"/>
        <v>5705.96</v>
      </c>
      <c r="P81" s="1039">
        <f t="shared" si="49"/>
        <v>154.85</v>
      </c>
      <c r="Q81" s="1039">
        <f>ROUND((VLOOKUP(B81,distribucion!B$8:FK$200,151,0)),2)</f>
        <v>128.16999999999999</v>
      </c>
      <c r="R81" s="1039">
        <f>ROUND((VLOOKUP(B81,distribucion!B$9:FK$200,152,0)),2)</f>
        <v>0</v>
      </c>
      <c r="S81" s="1039">
        <f>ROUND((VLOOKUP(B81,distribucion!B$9:FK$225,153,0)),2)</f>
        <v>0</v>
      </c>
      <c r="T81" s="1039">
        <f>ROUND((VLOOKUP(B81,distribucion!$B$4:$FE$231,159,0)),2)</f>
        <v>0</v>
      </c>
      <c r="U81" s="1039">
        <f>ROUND((VLOOKUP(B81,distribucion!$B$5:$FE$232,158,0)),2)</f>
        <v>0</v>
      </c>
      <c r="V81" s="1039">
        <f>ROUND((VLOOKUP(B81,distribucion!$B$7:$FE$237,154,0)),2)</f>
        <v>694.75</v>
      </c>
      <c r="W81" s="1039">
        <f>ROUND((VLOOKUP(B81,distribucion!B$9:FK$200,160,0)),2)</f>
        <v>50</v>
      </c>
      <c r="X81" s="983">
        <f t="shared" si="50"/>
        <v>1027.77</v>
      </c>
      <c r="Y81" s="983">
        <f t="shared" si="51"/>
        <v>4678.1900000000005</v>
      </c>
      <c r="Z81" s="1121">
        <v>1277.97</v>
      </c>
      <c r="AA81" s="940">
        <f t="shared" si="52"/>
        <v>3400.2200000000003</v>
      </c>
      <c r="AB81" s="1063">
        <v>0</v>
      </c>
      <c r="AC81" s="1064">
        <v>1375.32</v>
      </c>
      <c r="AE81" s="942"/>
      <c r="AF81" s="948"/>
    </row>
    <row r="82" spans="1:35" ht="14.1" customHeight="1">
      <c r="A82" s="913"/>
      <c r="B82" s="913"/>
      <c r="C82" s="937" t="s">
        <v>204</v>
      </c>
      <c r="D82" s="969"/>
      <c r="E82" s="938"/>
      <c r="F82" s="963"/>
      <c r="G82" s="989">
        <f t="shared" ref="G82:AA82" si="90">SUM(G68:G81)</f>
        <v>39263.11</v>
      </c>
      <c r="H82" s="989">
        <f t="shared" si="90"/>
        <v>18400</v>
      </c>
      <c r="I82" s="989">
        <f t="shared" si="90"/>
        <v>57663.109999999993</v>
      </c>
      <c r="J82" s="989">
        <f t="shared" si="90"/>
        <v>4</v>
      </c>
      <c r="K82" s="989">
        <f t="shared" si="90"/>
        <v>79.16</v>
      </c>
      <c r="L82" s="989">
        <f t="shared" si="90"/>
        <v>0</v>
      </c>
      <c r="M82" s="989">
        <f t="shared" si="90"/>
        <v>0</v>
      </c>
      <c r="N82" s="989">
        <f t="shared" si="90"/>
        <v>0</v>
      </c>
      <c r="O82" s="989">
        <f t="shared" si="90"/>
        <v>57742.26999999999</v>
      </c>
      <c r="P82" s="989">
        <f t="shared" si="90"/>
        <v>1900.27</v>
      </c>
      <c r="Q82" s="1893">
        <f t="shared" si="90"/>
        <v>574.31000000000006</v>
      </c>
      <c r="R82" s="989">
        <f t="shared" si="90"/>
        <v>4702.62</v>
      </c>
      <c r="S82" s="989">
        <f t="shared" si="90"/>
        <v>0</v>
      </c>
      <c r="T82" s="989">
        <f t="shared" si="90"/>
        <v>0</v>
      </c>
      <c r="U82" s="989">
        <f t="shared" si="90"/>
        <v>0</v>
      </c>
      <c r="V82" s="989">
        <f t="shared" si="90"/>
        <v>4715.75</v>
      </c>
      <c r="W82" s="989">
        <f t="shared" si="90"/>
        <v>707.5</v>
      </c>
      <c r="X82" s="989">
        <f t="shared" si="90"/>
        <v>12600.45</v>
      </c>
      <c r="Y82" s="989">
        <f t="shared" si="90"/>
        <v>45141.820000000007</v>
      </c>
      <c r="Z82" s="989">
        <f t="shared" si="90"/>
        <v>16473.91</v>
      </c>
      <c r="AA82" s="989">
        <f t="shared" si="90"/>
        <v>28667.91</v>
      </c>
      <c r="AB82" s="991">
        <f>SUM(AB68:AB78)</f>
        <v>0</v>
      </c>
      <c r="AC82" s="991">
        <f>SUM(AC68:AC78)</f>
        <v>0</v>
      </c>
      <c r="AD82" s="968">
        <f>+Y82-Z82-AA82</f>
        <v>0</v>
      </c>
      <c r="AE82" s="937"/>
      <c r="AF82" s="939"/>
      <c r="AG82" s="913"/>
      <c r="AH82" s="913"/>
      <c r="AI82" s="913"/>
    </row>
    <row r="83" spans="1:35" ht="14.1" customHeight="1">
      <c r="A83" s="913"/>
      <c r="B83" s="913"/>
      <c r="C83" s="937"/>
      <c r="D83" s="969"/>
      <c r="E83" s="938"/>
      <c r="F83" s="963"/>
      <c r="G83" s="969"/>
      <c r="H83" s="969"/>
      <c r="I83" s="969"/>
      <c r="J83" s="969"/>
      <c r="K83" s="969"/>
      <c r="L83" s="969"/>
      <c r="M83" s="969"/>
      <c r="N83" s="969"/>
      <c r="O83" s="969"/>
      <c r="P83" s="969"/>
      <c r="Q83" s="940"/>
      <c r="R83" s="969"/>
      <c r="S83" s="969"/>
      <c r="T83" s="969"/>
      <c r="U83" s="969"/>
      <c r="V83" s="969"/>
      <c r="W83" s="969"/>
      <c r="X83" s="969"/>
      <c r="Y83" s="969"/>
      <c r="Z83" s="969"/>
      <c r="AA83" s="969"/>
      <c r="AB83" s="971"/>
      <c r="AC83" s="971"/>
      <c r="AD83" s="968"/>
      <c r="AE83" s="937"/>
      <c r="AF83" s="939"/>
      <c r="AG83" s="913"/>
      <c r="AH83" s="913"/>
      <c r="AI83" s="913"/>
    </row>
    <row r="84" spans="1:35" ht="14.1" customHeight="1">
      <c r="A84" s="913"/>
      <c r="B84" s="913"/>
      <c r="C84" s="937"/>
      <c r="D84" s="969"/>
      <c r="E84" s="938"/>
      <c r="F84" s="963"/>
      <c r="G84" s="969"/>
      <c r="H84" s="969"/>
      <c r="I84" s="969"/>
      <c r="J84" s="969"/>
      <c r="K84" s="969"/>
      <c r="L84" s="969"/>
      <c r="M84" s="969"/>
      <c r="N84" s="969"/>
      <c r="O84" s="969"/>
      <c r="P84" s="969"/>
      <c r="Q84" s="940"/>
      <c r="R84" s="969"/>
      <c r="S84" s="969"/>
      <c r="T84" s="969"/>
      <c r="U84" s="969"/>
      <c r="V84" s="969"/>
      <c r="W84" s="969"/>
      <c r="X84" s="969"/>
      <c r="Y84" s="969"/>
      <c r="Z84" s="969"/>
      <c r="AA84" s="969"/>
      <c r="AB84" s="971"/>
      <c r="AC84" s="971"/>
      <c r="AD84" s="968"/>
      <c r="AE84" s="937"/>
      <c r="AF84" s="939"/>
      <c r="AG84" s="913"/>
      <c r="AH84" s="913"/>
      <c r="AI84" s="913"/>
    </row>
    <row r="85" spans="1:35" ht="14.1" customHeight="1">
      <c r="A85" s="913"/>
      <c r="B85" s="913"/>
      <c r="C85" s="937"/>
      <c r="D85" s="969"/>
      <c r="E85" s="938"/>
      <c r="F85" s="963"/>
      <c r="G85" s="969"/>
      <c r="H85" s="969"/>
      <c r="I85" s="969"/>
      <c r="J85" s="969"/>
      <c r="K85" s="969"/>
      <c r="L85" s="969"/>
      <c r="M85" s="969"/>
      <c r="N85" s="969"/>
      <c r="O85" s="969"/>
      <c r="P85" s="969"/>
      <c r="Q85" s="940"/>
      <c r="R85" s="969"/>
      <c r="S85" s="969"/>
      <c r="T85" s="969"/>
      <c r="U85" s="969"/>
      <c r="V85" s="969"/>
      <c r="W85" s="969"/>
      <c r="X85" s="969"/>
      <c r="Y85" s="969"/>
      <c r="Z85" s="969"/>
      <c r="AA85" s="969"/>
      <c r="AB85" s="971"/>
      <c r="AC85" s="971"/>
      <c r="AD85" s="968"/>
      <c r="AE85" s="937"/>
      <c r="AF85" s="939"/>
      <c r="AG85" s="913"/>
      <c r="AH85" s="913"/>
      <c r="AI85" s="913"/>
    </row>
    <row r="86" spans="1:35" ht="14.1" customHeight="1">
      <c r="A86" s="913"/>
      <c r="B86" s="913"/>
      <c r="C86" s="937"/>
      <c r="D86" s="969"/>
      <c r="E86" s="938"/>
      <c r="F86" s="963"/>
      <c r="G86" s="969"/>
      <c r="H86" s="969"/>
      <c r="I86" s="969"/>
      <c r="J86" s="969"/>
      <c r="K86" s="969"/>
      <c r="L86" s="969"/>
      <c r="M86" s="969"/>
      <c r="N86" s="1323"/>
      <c r="O86" s="1323"/>
      <c r="P86" s="1323"/>
      <c r="Q86" s="1896"/>
      <c r="R86" s="969"/>
      <c r="S86" s="969"/>
      <c r="T86" s="969"/>
      <c r="U86" s="969"/>
      <c r="V86" s="969"/>
      <c r="W86" s="969"/>
      <c r="X86" s="969"/>
      <c r="Y86" s="969"/>
      <c r="Z86" s="969"/>
      <c r="AA86" s="969"/>
      <c r="AB86" s="971"/>
      <c r="AC86" s="971"/>
      <c r="AD86" s="968"/>
      <c r="AE86" s="937"/>
      <c r="AF86" s="939"/>
      <c r="AG86" s="913"/>
      <c r="AH86" s="913"/>
      <c r="AI86" s="913"/>
    </row>
    <row r="87" spans="1:35" ht="20.25" customHeight="1">
      <c r="A87" s="913"/>
      <c r="B87" s="1114" t="s">
        <v>712</v>
      </c>
      <c r="C87" s="1115"/>
      <c r="D87" s="969"/>
      <c r="E87" s="938"/>
      <c r="F87" s="963"/>
      <c r="G87" s="969"/>
      <c r="H87" s="969"/>
      <c r="I87" s="969"/>
      <c r="J87" s="969"/>
      <c r="K87" s="969"/>
      <c r="L87" s="969"/>
      <c r="M87" s="969"/>
      <c r="N87" s="1113" t="s">
        <v>713</v>
      </c>
      <c r="O87" s="969"/>
      <c r="P87" s="969"/>
      <c r="Q87" s="940"/>
      <c r="R87" s="969"/>
      <c r="S87" s="969"/>
      <c r="T87" s="969"/>
      <c r="U87" s="969"/>
      <c r="V87" s="969"/>
      <c r="W87" s="969"/>
      <c r="X87" s="969"/>
      <c r="Y87" s="969"/>
      <c r="Z87" s="969"/>
      <c r="AA87" s="969"/>
      <c r="AB87" s="971"/>
      <c r="AC87" s="971"/>
      <c r="AD87" s="968"/>
      <c r="AE87" s="937"/>
      <c r="AF87" s="939"/>
      <c r="AG87" s="913"/>
      <c r="AH87" s="913"/>
      <c r="AI87" s="913"/>
    </row>
    <row r="88" spans="1:35" ht="14.1" customHeight="1">
      <c r="A88" s="913"/>
      <c r="B88" s="913"/>
      <c r="C88" s="937"/>
      <c r="D88" s="969"/>
      <c r="E88" s="938"/>
      <c r="F88" s="963"/>
      <c r="G88" s="969"/>
      <c r="H88" s="969"/>
      <c r="I88" s="969"/>
      <c r="J88" s="969"/>
      <c r="K88" s="969"/>
      <c r="L88" s="969"/>
      <c r="M88" s="969"/>
      <c r="N88" s="969"/>
      <c r="O88" s="969"/>
      <c r="P88" s="969"/>
      <c r="Q88" s="940"/>
      <c r="R88" s="969"/>
      <c r="S88" s="969"/>
      <c r="T88" s="969"/>
      <c r="U88" s="969"/>
      <c r="V88" s="969"/>
      <c r="W88" s="969"/>
      <c r="X88" s="969"/>
      <c r="Y88" s="969"/>
      <c r="Z88" s="969"/>
      <c r="AA88" s="969"/>
      <c r="AB88" s="971"/>
      <c r="AC88" s="971"/>
      <c r="AD88" s="968"/>
      <c r="AE88" s="937"/>
      <c r="AF88" s="939"/>
      <c r="AG88" s="913"/>
      <c r="AH88" s="913"/>
      <c r="AI88" s="913"/>
    </row>
    <row r="89" spans="1:35" ht="14.1" customHeight="1">
      <c r="A89" s="913"/>
      <c r="B89" s="913"/>
      <c r="C89" s="937"/>
      <c r="D89" s="969"/>
      <c r="E89" s="938"/>
      <c r="F89" s="963"/>
      <c r="G89" s="969"/>
      <c r="H89" s="969"/>
      <c r="I89" s="969"/>
      <c r="J89" s="969"/>
      <c r="K89" s="969"/>
      <c r="L89" s="969"/>
      <c r="M89" s="969"/>
      <c r="N89" s="969"/>
      <c r="O89" s="969"/>
      <c r="P89" s="969"/>
      <c r="Q89" s="940"/>
      <c r="R89" s="969"/>
      <c r="S89" s="969"/>
      <c r="T89" s="969"/>
      <c r="U89" s="969"/>
      <c r="V89" s="969"/>
      <c r="W89" s="969"/>
      <c r="X89" s="969"/>
      <c r="Y89" s="969"/>
      <c r="Z89" s="969"/>
      <c r="AA89" s="969"/>
      <c r="AB89" s="971"/>
      <c r="AC89" s="971"/>
      <c r="AD89" s="968"/>
      <c r="AE89" s="937"/>
      <c r="AF89" s="939"/>
      <c r="AG89" s="913"/>
      <c r="AH89" s="913"/>
      <c r="AI89" s="913"/>
    </row>
    <row r="90" spans="1:35" ht="14.1" customHeight="1">
      <c r="A90" s="913"/>
      <c r="B90" s="913"/>
      <c r="C90" s="937"/>
      <c r="D90" s="969"/>
      <c r="E90" s="938"/>
      <c r="F90" s="963"/>
      <c r="G90" s="969"/>
      <c r="H90" s="969"/>
      <c r="I90" s="969"/>
      <c r="J90" s="969"/>
      <c r="K90" s="969"/>
      <c r="L90" s="969"/>
      <c r="M90" s="969"/>
      <c r="N90" s="969"/>
      <c r="O90" s="969"/>
      <c r="P90" s="969"/>
      <c r="Q90" s="940"/>
      <c r="R90" s="969"/>
      <c r="S90" s="969"/>
      <c r="T90" s="969"/>
      <c r="U90" s="969"/>
      <c r="V90" s="969"/>
      <c r="W90" s="969"/>
      <c r="X90" s="969"/>
      <c r="Y90" s="969"/>
      <c r="Z90" s="969"/>
      <c r="AA90" s="969"/>
      <c r="AB90" s="971"/>
      <c r="AC90" s="971"/>
      <c r="AD90" s="968"/>
      <c r="AE90" s="937"/>
      <c r="AF90" s="939"/>
      <c r="AG90" s="913"/>
      <c r="AH90" s="913"/>
      <c r="AI90" s="913"/>
    </row>
    <row r="91" spans="1:35" ht="21.75" customHeight="1">
      <c r="A91" s="913"/>
      <c r="B91" s="1114" t="s">
        <v>705</v>
      </c>
      <c r="C91" s="937"/>
      <c r="D91" s="969"/>
      <c r="E91" s="938"/>
      <c r="F91" s="963"/>
      <c r="G91" s="969"/>
      <c r="H91" s="969"/>
      <c r="I91" s="969"/>
      <c r="J91" s="969"/>
      <c r="K91" s="969"/>
      <c r="L91" s="969"/>
      <c r="M91" s="969"/>
      <c r="N91" s="1114" t="s">
        <v>703</v>
      </c>
      <c r="O91" s="1116"/>
      <c r="P91" s="1117"/>
      <c r="Q91" s="940"/>
      <c r="R91" s="969"/>
      <c r="S91" s="969"/>
      <c r="T91" s="969"/>
      <c r="U91" s="969"/>
      <c r="V91" s="969"/>
      <c r="W91" s="969"/>
      <c r="X91" s="969"/>
      <c r="Y91" s="969"/>
      <c r="Z91" s="969"/>
      <c r="AA91" s="969"/>
      <c r="AB91" s="971"/>
      <c r="AC91" s="971"/>
      <c r="AD91" s="968"/>
      <c r="AE91" s="937"/>
      <c r="AF91" s="939"/>
      <c r="AG91" s="913"/>
      <c r="AH91" s="913"/>
      <c r="AI91" s="913"/>
    </row>
    <row r="92" spans="1:35" ht="14.1" customHeight="1">
      <c r="A92" s="913"/>
      <c r="B92" s="913"/>
      <c r="C92" s="937"/>
      <c r="D92" s="969"/>
      <c r="E92" s="938"/>
      <c r="F92" s="963"/>
      <c r="G92" s="969"/>
      <c r="H92" s="969"/>
      <c r="I92" s="969"/>
      <c r="J92" s="969"/>
      <c r="K92" s="969"/>
      <c r="L92" s="969"/>
      <c r="M92" s="969"/>
      <c r="N92" s="969"/>
      <c r="O92" s="969"/>
      <c r="P92" s="969"/>
      <c r="Q92" s="940"/>
      <c r="R92" s="969"/>
      <c r="S92" s="969"/>
      <c r="T92" s="969"/>
      <c r="U92" s="969"/>
      <c r="V92" s="969"/>
      <c r="W92" s="969"/>
      <c r="X92" s="969"/>
      <c r="Y92" s="969"/>
      <c r="Z92" s="969"/>
      <c r="AA92" s="969"/>
      <c r="AB92" s="971"/>
      <c r="AC92" s="971"/>
      <c r="AD92" s="968"/>
      <c r="AE92" s="937"/>
      <c r="AF92" s="939"/>
      <c r="AG92" s="913"/>
      <c r="AH92" s="913"/>
      <c r="AI92" s="913"/>
    </row>
    <row r="93" spans="1:35" ht="14.1" customHeight="1">
      <c r="A93" s="913"/>
      <c r="B93" s="913"/>
      <c r="C93" s="937"/>
      <c r="D93" s="969"/>
      <c r="E93" s="938"/>
      <c r="F93" s="963"/>
      <c r="G93" s="969"/>
      <c r="H93" s="969"/>
      <c r="I93" s="969"/>
      <c r="J93" s="969"/>
      <c r="K93" s="969"/>
      <c r="L93" s="969"/>
      <c r="M93" s="969"/>
      <c r="N93" s="969"/>
      <c r="O93" s="969"/>
      <c r="P93" s="969"/>
      <c r="Q93" s="940"/>
      <c r="R93" s="969"/>
      <c r="S93" s="969"/>
      <c r="T93" s="969"/>
      <c r="U93" s="969"/>
      <c r="V93" s="969"/>
      <c r="W93" s="969"/>
      <c r="X93" s="969"/>
      <c r="Y93" s="969"/>
      <c r="Z93" s="969"/>
      <c r="AA93" s="969"/>
      <c r="AB93" s="971"/>
      <c r="AC93" s="971"/>
      <c r="AD93" s="968"/>
      <c r="AE93" s="937"/>
      <c r="AF93" s="939"/>
      <c r="AG93" s="913"/>
      <c r="AH93" s="913"/>
      <c r="AI93" s="913"/>
    </row>
    <row r="94" spans="1:35" ht="14.1" customHeight="1">
      <c r="A94" s="913"/>
      <c r="B94" s="913"/>
      <c r="C94" s="937"/>
      <c r="D94" s="969"/>
      <c r="E94" s="938"/>
      <c r="F94" s="963"/>
      <c r="G94" s="969"/>
      <c r="H94" s="969"/>
      <c r="I94" s="969"/>
      <c r="J94" s="970"/>
      <c r="K94" s="971"/>
      <c r="L94" s="971"/>
      <c r="M94" s="971"/>
      <c r="N94" s="971"/>
      <c r="O94" s="969"/>
      <c r="P94" s="972"/>
      <c r="Q94" s="972"/>
      <c r="R94" s="971"/>
      <c r="S94" s="971"/>
      <c r="T94" s="971"/>
      <c r="U94" s="971"/>
      <c r="V94" s="971"/>
      <c r="W94" s="971"/>
      <c r="X94" s="969"/>
      <c r="Y94" s="969"/>
      <c r="Z94" s="971"/>
      <c r="AA94" s="969"/>
      <c r="AB94" s="966">
        <f>+Z94</f>
        <v>0</v>
      </c>
      <c r="AC94" s="967">
        <f>+AA94-AB94</f>
        <v>0</v>
      </c>
      <c r="AD94" s="968">
        <f>+Y94-Z94-AA94</f>
        <v>0</v>
      </c>
      <c r="AE94" s="937"/>
      <c r="AF94" s="939"/>
      <c r="AG94" s="913"/>
      <c r="AH94" s="913"/>
      <c r="AI94" s="913"/>
    </row>
    <row r="95" spans="1:35" ht="14.1" customHeight="1">
      <c r="A95" s="913"/>
      <c r="B95" s="1056" t="s">
        <v>418</v>
      </c>
      <c r="C95" s="937"/>
      <c r="D95" s="969"/>
      <c r="E95" s="938"/>
      <c r="F95" s="963"/>
      <c r="G95" s="969"/>
      <c r="H95" s="969"/>
      <c r="I95" s="969"/>
      <c r="J95" s="970"/>
      <c r="K95" s="971"/>
      <c r="L95" s="971"/>
      <c r="M95" s="971"/>
      <c r="N95" s="971"/>
      <c r="O95" s="969"/>
      <c r="P95" s="972"/>
      <c r="Q95" s="972"/>
      <c r="R95" s="971"/>
      <c r="S95" s="971"/>
      <c r="T95" s="971"/>
      <c r="U95" s="971"/>
      <c r="V95" s="971"/>
      <c r="W95" s="971"/>
      <c r="X95" s="969"/>
      <c r="Y95" s="969"/>
      <c r="Z95" s="971"/>
      <c r="AA95" s="969"/>
      <c r="AB95" s="966">
        <f>+Z95</f>
        <v>0</v>
      </c>
      <c r="AC95" s="967">
        <f>+AA95-AB95</f>
        <v>0</v>
      </c>
      <c r="AD95" s="968">
        <f>+Y95-Z95-AA95</f>
        <v>0</v>
      </c>
      <c r="AE95" s="937"/>
      <c r="AF95" s="939"/>
      <c r="AG95" s="913"/>
      <c r="AH95" s="913"/>
      <c r="AI95" s="913"/>
    </row>
    <row r="96" spans="1:35" s="908" customFormat="1" ht="14.1" customHeight="1">
      <c r="A96" s="1008">
        <v>48</v>
      </c>
      <c r="B96" s="1035" t="s">
        <v>629</v>
      </c>
      <c r="C96" s="976" t="str">
        <f>VLOOKUP(B96,distribucion!B$9:FK$200,2,0)</f>
        <v>Auxiliar de Limpieza</v>
      </c>
      <c r="D96" s="1010">
        <f>G96+K96+M96+N96</f>
        <v>3166.38</v>
      </c>
      <c r="E96" s="1011">
        <f>VLOOKUP(B96,distribucion!B$9:FK$201,7,0)</f>
        <v>30</v>
      </c>
      <c r="F96" s="1066">
        <f>VLOOKUP(B96,distribucion!$B$9:$DQ$288,14,0)</f>
        <v>0</v>
      </c>
      <c r="G96" s="1010">
        <f>ROUND((VLOOKUP(B96,distribucion!B$9:EI$225,94,0)),2)</f>
        <v>3166.38</v>
      </c>
      <c r="H96" s="1010">
        <f>ROUND((VLOOKUP(B96,distribucion!B$9:EI$225,95,0)),2)</f>
        <v>475</v>
      </c>
      <c r="I96" s="1010">
        <f>G96+H96</f>
        <v>3641.38</v>
      </c>
      <c r="J96" s="1013">
        <f>VLOOKUP(B96,distribucion!B$9:EI$225,96,0)</f>
        <v>0</v>
      </c>
      <c r="K96" s="976">
        <f>ROUND((VLOOKUP(B96,distribucion!B$9:EI$225,97,0)),2)</f>
        <v>0</v>
      </c>
      <c r="L96" s="976">
        <f>VLOOKUP(B96,distribucion!B$9:EI$225,98,0)</f>
        <v>0</v>
      </c>
      <c r="M96" s="976">
        <f>ROUND((VLOOKUP(B96,distribucion!B$9:EI$225,99,0)),2)</f>
        <v>0</v>
      </c>
      <c r="N96" s="976">
        <f>ROUND((VLOOKUP(B96,distribucion!B$9:EI$225,100,0)),2)</f>
        <v>0</v>
      </c>
      <c r="O96" s="1010">
        <f>SUM(I96:N96)-J96-L96</f>
        <v>3641.38</v>
      </c>
      <c r="P96" s="976">
        <f>ROUND(((G96+K96+M96+N96)*0.0483),2)</f>
        <v>152.94</v>
      </c>
      <c r="Q96" s="976">
        <f>ROUND((VLOOKUP(B96,distribucion!B$8:FK$200,151,0)),2)</f>
        <v>0</v>
      </c>
      <c r="R96" s="976">
        <f>ROUND((VLOOKUP(B96,distribucion!B$9:FK$200,152,0)),2)</f>
        <v>489.63</v>
      </c>
      <c r="S96" s="976">
        <f>ROUND((VLOOKUP(B96,distribucion!B$9:FK$225,153,0)),2)</f>
        <v>0</v>
      </c>
      <c r="T96" s="976">
        <f>ROUND((VLOOKUP(B96,distribucion!$B$4:$FE$231,159,0)),2)</f>
        <v>0</v>
      </c>
      <c r="U96" s="976">
        <f>ROUND((VLOOKUP(B96,distribucion!$B$5:$FE$232,158,0)),2)</f>
        <v>0</v>
      </c>
      <c r="V96" s="976">
        <f>ROUND((VLOOKUP(B96,distribucion!$B$7:$FE$237,154,0)),2)</f>
        <v>345</v>
      </c>
      <c r="W96" s="976">
        <f>ROUND((VLOOKUP(B96,distribucion!B$9:FK$200,160,0)),2)</f>
        <v>50</v>
      </c>
      <c r="X96" s="1010">
        <f>SUM(P96:W96)</f>
        <v>1037.57</v>
      </c>
      <c r="Y96" s="1010">
        <f>O96-X96</f>
        <v>2603.8100000000004</v>
      </c>
      <c r="Z96" s="1121">
        <v>1237.4000000000001</v>
      </c>
      <c r="AA96" s="940">
        <f t="shared" ref="AA96" si="91">+Y96-Z96</f>
        <v>1366.4100000000003</v>
      </c>
      <c r="AB96" s="1014">
        <v>0</v>
      </c>
      <c r="AC96" s="1015"/>
      <c r="AD96" s="1016"/>
      <c r="AE96" s="937"/>
      <c r="AF96" s="939"/>
      <c r="AG96" s="1009"/>
      <c r="AH96" s="1009"/>
      <c r="AI96" s="1009"/>
    </row>
    <row r="97" spans="1:38" ht="14.1" customHeight="1">
      <c r="A97" s="913"/>
      <c r="B97" s="913"/>
      <c r="C97" s="937"/>
      <c r="D97" s="969"/>
      <c r="E97" s="938"/>
      <c r="F97" s="963"/>
      <c r="G97" s="989">
        <f t="shared" ref="G97:Z97" si="92">SUM(G96:G96)</f>
        <v>3166.38</v>
      </c>
      <c r="H97" s="989">
        <f t="shared" si="92"/>
        <v>475</v>
      </c>
      <c r="I97" s="989">
        <f t="shared" si="92"/>
        <v>3641.38</v>
      </c>
      <c r="J97" s="989">
        <f t="shared" si="92"/>
        <v>0</v>
      </c>
      <c r="K97" s="989">
        <f t="shared" si="92"/>
        <v>0</v>
      </c>
      <c r="L97" s="989">
        <f t="shared" si="92"/>
        <v>0</v>
      </c>
      <c r="M97" s="989">
        <f t="shared" si="92"/>
        <v>0</v>
      </c>
      <c r="N97" s="989">
        <f t="shared" si="92"/>
        <v>0</v>
      </c>
      <c r="O97" s="989">
        <f t="shared" si="92"/>
        <v>3641.38</v>
      </c>
      <c r="P97" s="989">
        <f t="shared" si="92"/>
        <v>152.94</v>
      </c>
      <c r="Q97" s="1893">
        <f t="shared" si="92"/>
        <v>0</v>
      </c>
      <c r="R97" s="989">
        <f t="shared" si="92"/>
        <v>489.63</v>
      </c>
      <c r="S97" s="989">
        <f t="shared" si="92"/>
        <v>0</v>
      </c>
      <c r="T97" s="989">
        <f t="shared" si="92"/>
        <v>0</v>
      </c>
      <c r="U97" s="989">
        <f t="shared" si="92"/>
        <v>0</v>
      </c>
      <c r="V97" s="989">
        <f t="shared" si="92"/>
        <v>345</v>
      </c>
      <c r="W97" s="989">
        <f t="shared" si="92"/>
        <v>50</v>
      </c>
      <c r="X97" s="989">
        <f t="shared" si="92"/>
        <v>1037.57</v>
      </c>
      <c r="Y97" s="989">
        <f t="shared" si="92"/>
        <v>2603.8100000000004</v>
      </c>
      <c r="Z97" s="989">
        <f t="shared" si="92"/>
        <v>1237.4000000000001</v>
      </c>
      <c r="AA97" s="989">
        <f>SUM(AA96:AA96)</f>
        <v>1366.4100000000003</v>
      </c>
      <c r="AB97" s="966">
        <f t="shared" ref="AB97:AB105" si="93">+Z97</f>
        <v>1237.4000000000001</v>
      </c>
      <c r="AC97" s="967">
        <f t="shared" ref="AC97:AC105" si="94">+AA97-AB97</f>
        <v>129.01000000000022</v>
      </c>
      <c r="AD97" s="968">
        <f t="shared" ref="AD97:AD105" si="95">+Y97-Z97-AA97</f>
        <v>0</v>
      </c>
      <c r="AE97" s="937"/>
      <c r="AF97" s="939"/>
      <c r="AG97" s="913"/>
      <c r="AH97" s="913"/>
      <c r="AI97" s="913"/>
    </row>
    <row r="98" spans="1:38" ht="14.1" customHeight="1">
      <c r="G98" s="1067"/>
      <c r="K98" s="921"/>
      <c r="L98" s="921"/>
      <c r="M98" s="921"/>
      <c r="N98" s="921"/>
      <c r="P98" s="986"/>
      <c r="Q98" s="986"/>
      <c r="R98" s="921"/>
      <c r="S98" s="921"/>
      <c r="T98" s="921"/>
      <c r="U98" s="921"/>
      <c r="V98" s="921"/>
      <c r="W98" s="921"/>
      <c r="Z98" s="1068"/>
      <c r="AA98" s="1067"/>
      <c r="AB98" s="966">
        <f t="shared" si="93"/>
        <v>0</v>
      </c>
      <c r="AC98" s="967">
        <f t="shared" si="94"/>
        <v>0</v>
      </c>
      <c r="AD98" s="968">
        <f t="shared" si="95"/>
        <v>0</v>
      </c>
      <c r="AE98" s="937"/>
      <c r="AF98" s="939"/>
      <c r="AH98" s="913"/>
      <c r="AI98" s="913"/>
    </row>
    <row r="99" spans="1:38" ht="14.1" customHeight="1">
      <c r="A99" s="913"/>
      <c r="B99" s="935" t="s">
        <v>180</v>
      </c>
      <c r="C99" s="913"/>
      <c r="D99" s="969"/>
      <c r="E99" s="938"/>
      <c r="F99" s="963"/>
      <c r="G99" s="1042"/>
      <c r="H99" s="1042"/>
      <c r="I99" s="1042"/>
      <c r="J99" s="970"/>
      <c r="K99" s="971"/>
      <c r="L99" s="971"/>
      <c r="M99" s="971"/>
      <c r="N99" s="971"/>
      <c r="O99" s="969"/>
      <c r="P99" s="972"/>
      <c r="Q99" s="972"/>
      <c r="R99" s="971"/>
      <c r="S99" s="971"/>
      <c r="T99" s="971"/>
      <c r="U99" s="971"/>
      <c r="V99" s="971"/>
      <c r="W99" s="971"/>
      <c r="X99" s="969"/>
      <c r="Y99" s="970"/>
      <c r="Z99" s="970"/>
      <c r="AA99" s="969"/>
      <c r="AB99" s="966">
        <f t="shared" si="93"/>
        <v>0</v>
      </c>
      <c r="AC99" s="967">
        <f t="shared" si="94"/>
        <v>0</v>
      </c>
      <c r="AD99" s="968">
        <f t="shared" si="95"/>
        <v>0</v>
      </c>
      <c r="AE99" s="937"/>
      <c r="AF99" s="939"/>
      <c r="AG99" s="913"/>
      <c r="AH99" s="913"/>
      <c r="AI99" s="913"/>
    </row>
    <row r="100" spans="1:38" ht="14.1" customHeight="1">
      <c r="A100" s="913"/>
      <c r="B100" s="1069" t="s">
        <v>105</v>
      </c>
      <c r="C100" s="913"/>
      <c r="D100" s="969"/>
      <c r="E100" s="938"/>
      <c r="F100" s="963"/>
      <c r="G100" s="1042"/>
      <c r="H100" s="1042"/>
      <c r="I100" s="1042"/>
      <c r="J100" s="970"/>
      <c r="K100" s="971"/>
      <c r="L100" s="971"/>
      <c r="M100" s="971"/>
      <c r="N100" s="971"/>
      <c r="O100" s="969"/>
      <c r="P100" s="972"/>
      <c r="Q100" s="972"/>
      <c r="R100" s="971"/>
      <c r="S100" s="971"/>
      <c r="T100" s="971"/>
      <c r="U100" s="971"/>
      <c r="V100" s="971"/>
      <c r="W100" s="971"/>
      <c r="X100" s="969"/>
      <c r="Y100" s="970"/>
      <c r="Z100" s="970"/>
      <c r="AA100" s="969"/>
      <c r="AB100" s="966">
        <f t="shared" si="93"/>
        <v>0</v>
      </c>
      <c r="AC100" s="967">
        <f t="shared" si="94"/>
        <v>0</v>
      </c>
      <c r="AD100" s="968">
        <f t="shared" si="95"/>
        <v>0</v>
      </c>
      <c r="AE100" s="937"/>
      <c r="AF100" s="939"/>
      <c r="AG100" s="913"/>
      <c r="AH100" s="913"/>
      <c r="AI100" s="913"/>
    </row>
    <row r="101" spans="1:38" s="911" customFormat="1" ht="14.1" customHeight="1">
      <c r="A101" s="960">
        <v>49</v>
      </c>
      <c r="B101" s="1000" t="s">
        <v>521</v>
      </c>
      <c r="C101" s="975" t="str">
        <f>VLOOKUP(B101,distribucion!B$9:FK$200,2,0)</f>
        <v>Piloto</v>
      </c>
      <c r="D101" s="969">
        <f t="shared" ref="D101:D106" si="96">G101+K101+M101</f>
        <v>3166.38</v>
      </c>
      <c r="E101" s="938">
        <f>VLOOKUP(B101,distribucion!B$9:FK$201,7,0)</f>
        <v>30</v>
      </c>
      <c r="F101" s="963">
        <f>VLOOKUP(B101,distribucion!$B$9:$DQ$288,14,0)</f>
        <v>0</v>
      </c>
      <c r="G101" s="945">
        <f>ROUND((VLOOKUP(B101,distribucion!B$9:EI$201,94,0)),2)</f>
        <v>3166.38</v>
      </c>
      <c r="H101" s="945">
        <f>ROUND((VLOOKUP(B101,distribucion!B$9:EI$201,95,0)),2)</f>
        <v>1400</v>
      </c>
      <c r="I101" s="969">
        <f t="shared" ref="I101:I106" si="97">G101+H101</f>
        <v>4566.38</v>
      </c>
      <c r="J101" s="970">
        <f>VLOOKUP(B101,distribucion!B$9:EI$201,96,0)</f>
        <v>0</v>
      </c>
      <c r="K101" s="971">
        <f>ROUND((VLOOKUP(B101,distribucion!B$9:EI$201,97,0)),2)</f>
        <v>0</v>
      </c>
      <c r="L101" s="971">
        <f>VLOOKUP(B101,distribucion!B$9:EI$201,98,0)</f>
        <v>0</v>
      </c>
      <c r="M101" s="971">
        <f>ROUND((VLOOKUP(B101,distribucion!B$9:EI$201,99,0)),2)</f>
        <v>0</v>
      </c>
      <c r="N101" s="971">
        <f>ROUND((VLOOKUP(B101,distribucion!B$9:EI$201,100,0)),2)</f>
        <v>0</v>
      </c>
      <c r="O101" s="969">
        <f t="shared" ref="O101:O106" si="98">SUM(I101:N101)-J101-L101</f>
        <v>4566.38</v>
      </c>
      <c r="P101" s="972">
        <f t="shared" ref="P101:P106" si="99">ROUND(((G101+K101+M101+N101)*0.0483),2)</f>
        <v>152.94</v>
      </c>
      <c r="Q101" s="972">
        <f>ROUND((VLOOKUP(B101,distribucion!B$8:FK$200,151,0)),2)</f>
        <v>36.770000000000003</v>
      </c>
      <c r="R101" s="971">
        <f>ROUND((VLOOKUP(B101,distribucion!B$9:FK$200,152,0)),2)</f>
        <v>0</v>
      </c>
      <c r="S101" s="971">
        <f>ROUND((VLOOKUP(B101,distribucion!B$9:FK$200,153,0)),2)</f>
        <v>0</v>
      </c>
      <c r="T101" s="971">
        <f>ROUND((VLOOKUP(B101,distribucion!$B$4:$FE$231,159,0)),2)</f>
        <v>0</v>
      </c>
      <c r="U101" s="971">
        <f>ROUND((VLOOKUP(B101,distribucion!$B$5:$FE$232,158,0)),2)</f>
        <v>0</v>
      </c>
      <c r="V101" s="971">
        <f>ROUND((VLOOKUP(B101,distribucion!$B$7:$FE$237,154,0)),2)</f>
        <v>177.75</v>
      </c>
      <c r="W101" s="971">
        <f>ROUND((VLOOKUP(B101,distribucion!B$9:FK$200,160,0)),2)</f>
        <v>290</v>
      </c>
      <c r="X101" s="969">
        <f t="shared" ref="X101:X106" si="100">SUM(P101:W101)</f>
        <v>657.46</v>
      </c>
      <c r="Y101" s="970">
        <f t="shared" ref="Y101:Y106" si="101">O101-X101</f>
        <v>3908.92</v>
      </c>
      <c r="Z101" s="1121">
        <v>2008.22</v>
      </c>
      <c r="AA101" s="940">
        <f t="shared" ref="AA101:AA106" si="102">+Y101-Z101</f>
        <v>1900.7</v>
      </c>
      <c r="AB101" s="966">
        <f t="shared" si="93"/>
        <v>2008.22</v>
      </c>
      <c r="AC101" s="967">
        <f t="shared" si="94"/>
        <v>-107.51999999999998</v>
      </c>
      <c r="AD101" s="968">
        <f t="shared" si="95"/>
        <v>0</v>
      </c>
      <c r="AE101" s="937"/>
      <c r="AF101" s="939"/>
      <c r="AG101" s="913"/>
      <c r="AH101" s="913"/>
      <c r="AI101" s="913"/>
      <c r="AJ101" s="921"/>
      <c r="AK101" s="921"/>
      <c r="AL101" s="921"/>
    </row>
    <row r="102" spans="1:38" s="911" customFormat="1" ht="14.1" customHeight="1">
      <c r="A102" s="960">
        <f>+A101+1</f>
        <v>50</v>
      </c>
      <c r="B102" s="1000" t="str">
        <f>+distribucion!B129</f>
        <v>Tapia Ortiz Emir Orlando</v>
      </c>
      <c r="C102" s="975" t="str">
        <f>VLOOKUP(B102,distribucion!B$9:FK$200,2,0)</f>
        <v>Piloto</v>
      </c>
      <c r="D102" s="969">
        <f t="shared" ref="D102" si="103">G102+K102+M102</f>
        <v>3166.38</v>
      </c>
      <c r="E102" s="938">
        <f>VLOOKUP(B102,distribucion!B$9:FK$201,7,0)</f>
        <v>30</v>
      </c>
      <c r="F102" s="963">
        <f>VLOOKUP(B102,distribucion!$B$9:$DQ$288,14,0)</f>
        <v>0</v>
      </c>
      <c r="G102" s="945">
        <f>ROUND((VLOOKUP(B102,distribucion!B$9:EI$201,94,0)),2)</f>
        <v>3166.38</v>
      </c>
      <c r="H102" s="945">
        <f>ROUND((VLOOKUP(B102,distribucion!B$9:EI$201,95,0)),2)</f>
        <v>1040.76</v>
      </c>
      <c r="I102" s="969">
        <f t="shared" ref="I102" si="104">G102+H102</f>
        <v>4207.1400000000003</v>
      </c>
      <c r="J102" s="970">
        <f>VLOOKUP(B102,distribucion!B$9:EI$201,96,0)</f>
        <v>0</v>
      </c>
      <c r="K102" s="971">
        <f>ROUND((VLOOKUP(B102,distribucion!B$9:EI$201,97,0)),2)</f>
        <v>0</v>
      </c>
      <c r="L102" s="971">
        <f>VLOOKUP(B102,distribucion!B$9:EI$201,98,0)</f>
        <v>0</v>
      </c>
      <c r="M102" s="971">
        <f>ROUND((VLOOKUP(B102,distribucion!B$9:EI$201,99,0)),2)</f>
        <v>0</v>
      </c>
      <c r="N102" s="971">
        <f>ROUND((VLOOKUP(B102,distribucion!B$9:EI$201,100,0)),2)</f>
        <v>0</v>
      </c>
      <c r="O102" s="969">
        <f t="shared" ref="O102" si="105">SUM(I102:N102)-J102-L102</f>
        <v>4207.1400000000003</v>
      </c>
      <c r="P102" s="972">
        <f t="shared" ref="P102" si="106">ROUND(((G102+K102+M102+N102)*0.0483),2)</f>
        <v>152.94</v>
      </c>
      <c r="Q102" s="972">
        <f>ROUND((VLOOKUP(B102,distribucion!B$8:FK$200,151,0)),2)</f>
        <v>2.71</v>
      </c>
      <c r="R102" s="971">
        <f>ROUND((VLOOKUP(B102,distribucion!B$9:FK$200,152,0)),2)</f>
        <v>0</v>
      </c>
      <c r="S102" s="971">
        <f>ROUND((VLOOKUP(B102,distribucion!B$9:FK$200,153,0)),2)</f>
        <v>0</v>
      </c>
      <c r="T102" s="971">
        <f>ROUND((VLOOKUP(B102,distribucion!$B$4:$FE$231,159,0)),2)</f>
        <v>0</v>
      </c>
      <c r="U102" s="971">
        <f>ROUND((VLOOKUP(B102,distribucion!$B$5:$FE$232,158,0)),2)</f>
        <v>0</v>
      </c>
      <c r="V102" s="971">
        <f>ROUND((VLOOKUP(B102,distribucion!$B$7:$FE$237,154,0)),2)</f>
        <v>245.75</v>
      </c>
      <c r="W102" s="971">
        <f>ROUND((VLOOKUP(B102,distribucion!B$9:FK$200,160,0)),2)</f>
        <v>50</v>
      </c>
      <c r="X102" s="969">
        <f t="shared" ref="X102" si="107">SUM(P102:W102)</f>
        <v>451.4</v>
      </c>
      <c r="Y102" s="970">
        <f t="shared" ref="Y102" si="108">O102-X102</f>
        <v>3755.7400000000002</v>
      </c>
      <c r="Z102" s="1121">
        <v>1947.3500000000001</v>
      </c>
      <c r="AA102" s="940">
        <f t="shared" si="102"/>
        <v>1808.39</v>
      </c>
      <c r="AB102" s="966"/>
      <c r="AC102" s="967"/>
      <c r="AD102" s="968"/>
      <c r="AE102" s="937"/>
      <c r="AF102" s="939"/>
      <c r="AG102" s="913"/>
      <c r="AH102" s="913"/>
      <c r="AI102" s="913"/>
      <c r="AJ102" s="921"/>
      <c r="AK102" s="921"/>
      <c r="AL102" s="921"/>
    </row>
    <row r="103" spans="1:38" s="911" customFormat="1" ht="14.1" customHeight="1">
      <c r="A103" s="960">
        <f t="shared" ref="A103:A106" si="109">+A102+1</f>
        <v>51</v>
      </c>
      <c r="B103" s="913" t="s">
        <v>511</v>
      </c>
      <c r="C103" s="975" t="str">
        <f>VLOOKUP(B103,distribucion!B$9:FK$200,2,0)</f>
        <v>Auxiliar de Bodega</v>
      </c>
      <c r="D103" s="969">
        <f t="shared" si="96"/>
        <v>3542.3900000000003</v>
      </c>
      <c r="E103" s="938">
        <f>VLOOKUP(B103,distribucion!B$9:FK$201,7,0)</f>
        <v>30</v>
      </c>
      <c r="F103" s="963">
        <f>VLOOKUP(B103,distribucion!$B$9:$DQ$288,14,0)</f>
        <v>0</v>
      </c>
      <c r="G103" s="945">
        <f>ROUND((VLOOKUP(B103,distribucion!B$9:EI$201,94,0)),2)</f>
        <v>3166.38</v>
      </c>
      <c r="H103" s="945">
        <f>ROUND((VLOOKUP(B103,distribucion!B$9:EI$201,95,0)),2)</f>
        <v>150</v>
      </c>
      <c r="I103" s="969">
        <f t="shared" si="97"/>
        <v>3316.38</v>
      </c>
      <c r="J103" s="970">
        <f>VLOOKUP(B103,distribucion!B$9:EI$201,96,0)</f>
        <v>19</v>
      </c>
      <c r="K103" s="971">
        <f>ROUND((VLOOKUP(B103,distribucion!B$9:EI$201,97,0)),2)</f>
        <v>376.01</v>
      </c>
      <c r="L103" s="971">
        <f>VLOOKUP(B103,distribucion!B$9:EI$201,98,0)</f>
        <v>0</v>
      </c>
      <c r="M103" s="971">
        <f>ROUND((VLOOKUP(B103,distribucion!B$9:EI$201,99,0)),2)</f>
        <v>0</v>
      </c>
      <c r="N103" s="971">
        <f>ROUND((VLOOKUP(B103,distribucion!B$9:EI$201,100,0)),2)</f>
        <v>0</v>
      </c>
      <c r="O103" s="969">
        <f t="shared" si="98"/>
        <v>3692.3900000000003</v>
      </c>
      <c r="P103" s="972">
        <f t="shared" si="99"/>
        <v>171.1</v>
      </c>
      <c r="Q103" s="972">
        <f>ROUND((VLOOKUP(B103,distribucion!B$8:FK$200,151,0)),2)</f>
        <v>0</v>
      </c>
      <c r="R103" s="971">
        <f>ROUND((VLOOKUP(B103,distribucion!B$9:FK$200,152,0)),2)</f>
        <v>0</v>
      </c>
      <c r="S103" s="971">
        <f>ROUND((VLOOKUP(B103,distribucion!B$9:FK$200,153,0)),2)</f>
        <v>0</v>
      </c>
      <c r="T103" s="971">
        <f>ROUND((VLOOKUP(B103,distribucion!$B$4:$FE$231,159,0)),2)</f>
        <v>0</v>
      </c>
      <c r="U103" s="971">
        <f>ROUND((VLOOKUP(B103,distribucion!$B$5:$FE$232,158,0)),2)</f>
        <v>0</v>
      </c>
      <c r="V103" s="971">
        <f>ROUND((VLOOKUP(B103,distribucion!$B$7:$FE$237,154,0)),2)</f>
        <v>216.5</v>
      </c>
      <c r="W103" s="971">
        <f>ROUND((VLOOKUP(B103,distribucion!B$9:FK$200,160,0)),2)</f>
        <v>1315.73</v>
      </c>
      <c r="X103" s="969">
        <f t="shared" si="100"/>
        <v>1703.33</v>
      </c>
      <c r="Y103" s="970">
        <f t="shared" si="101"/>
        <v>1989.0600000000004</v>
      </c>
      <c r="Z103" s="1121">
        <v>1031.0999999999999</v>
      </c>
      <c r="AA103" s="940">
        <f t="shared" si="102"/>
        <v>957.96000000000049</v>
      </c>
      <c r="AB103" s="966">
        <f t="shared" si="93"/>
        <v>1031.0999999999999</v>
      </c>
      <c r="AC103" s="967">
        <f t="shared" si="94"/>
        <v>-73.139999999999418</v>
      </c>
      <c r="AD103" s="968">
        <f t="shared" si="95"/>
        <v>0</v>
      </c>
      <c r="AE103" s="937"/>
      <c r="AF103" s="939"/>
      <c r="AG103" s="913"/>
      <c r="AH103" s="913"/>
      <c r="AI103" s="913"/>
      <c r="AJ103" s="921"/>
      <c r="AK103" s="921"/>
      <c r="AL103" s="921"/>
    </row>
    <row r="104" spans="1:38" s="911" customFormat="1" ht="14.1" customHeight="1">
      <c r="A104" s="960">
        <f t="shared" si="109"/>
        <v>52</v>
      </c>
      <c r="B104" s="913" t="str">
        <f>+distribucion!B126</f>
        <v>Guzman Tian Fredy Alexander</v>
      </c>
      <c r="C104" s="975" t="str">
        <f>VLOOKUP(B104,distribucion!B$9:FK$200,2,0)</f>
        <v>Auxiliar de Piloto</v>
      </c>
      <c r="D104" s="969">
        <f t="shared" ref="D104" si="110">G104+K104+M104</f>
        <v>3166.38</v>
      </c>
      <c r="E104" s="938">
        <f>VLOOKUP(B104,distribucion!B$9:FK$201,7,0)</f>
        <v>30</v>
      </c>
      <c r="F104" s="963">
        <f>VLOOKUP(B104,distribucion!$B$9:$DQ$288,14,0)</f>
        <v>0</v>
      </c>
      <c r="G104" s="945">
        <f>ROUND((VLOOKUP(B104,distribucion!B$9:EI$201,94,0)),2)</f>
        <v>3166.38</v>
      </c>
      <c r="H104" s="945">
        <f>ROUND((VLOOKUP(B104,distribucion!B$9:EI$201,95,0)),2)</f>
        <v>542.86</v>
      </c>
      <c r="I104" s="969">
        <f t="shared" ref="I104" si="111">G104+H104</f>
        <v>3709.2400000000002</v>
      </c>
      <c r="J104" s="970">
        <f>VLOOKUP(B104,distribucion!B$9:EI$201,96,0)</f>
        <v>0</v>
      </c>
      <c r="K104" s="971">
        <f>ROUND((VLOOKUP(B104,distribucion!B$9:EI$201,97,0)),2)</f>
        <v>0</v>
      </c>
      <c r="L104" s="971">
        <f>VLOOKUP(B104,distribucion!B$9:EI$201,98,0)</f>
        <v>0</v>
      </c>
      <c r="M104" s="971">
        <f>ROUND((VLOOKUP(B104,distribucion!B$9:EI$201,99,0)),2)</f>
        <v>0</v>
      </c>
      <c r="N104" s="971">
        <f>ROUND((VLOOKUP(B104,distribucion!B$9:EI$201,100,0)),2)</f>
        <v>0</v>
      </c>
      <c r="O104" s="969">
        <f t="shared" ref="O104" si="112">SUM(I104:N104)-J104-L104</f>
        <v>3709.2400000000002</v>
      </c>
      <c r="P104" s="972">
        <f t="shared" ref="P104" si="113">ROUND(((G104+K104+M104+N104)*0.0483),2)</f>
        <v>152.94</v>
      </c>
      <c r="Q104" s="972">
        <f>ROUND((VLOOKUP(B104,distribucion!B$8:FK$200,151,0)),2)</f>
        <v>0</v>
      </c>
      <c r="R104" s="971">
        <f>ROUND((VLOOKUP(B104,distribucion!B$9:FK$200,152,0)),2)</f>
        <v>0</v>
      </c>
      <c r="S104" s="971">
        <f>ROUND((VLOOKUP(B104,distribucion!B$9:FK$200,153,0)),2)</f>
        <v>0</v>
      </c>
      <c r="T104" s="971">
        <f>ROUND((VLOOKUP(B104,distribucion!$B$4:$FE$231,159,0)),2)</f>
        <v>0</v>
      </c>
      <c r="U104" s="971">
        <f>ROUND((VLOOKUP(B104,distribucion!$B$5:$FE$232,158,0)),2)</f>
        <v>0</v>
      </c>
      <c r="V104" s="971">
        <f>ROUND((VLOOKUP(B104,distribucion!$B$7:$FE$237,154,0)),2)</f>
        <v>226</v>
      </c>
      <c r="W104" s="971">
        <f>ROUND((VLOOKUP(B104,distribucion!B$9:FK$200,160,0)),2)</f>
        <v>374</v>
      </c>
      <c r="X104" s="969">
        <f t="shared" ref="X104" si="114">SUM(P104:W104)</f>
        <v>752.94</v>
      </c>
      <c r="Y104" s="970">
        <f t="shared" ref="Y104" si="115">O104-X104</f>
        <v>2956.3</v>
      </c>
      <c r="Z104" s="1121">
        <v>1680.15</v>
      </c>
      <c r="AA104" s="940">
        <f t="shared" si="102"/>
        <v>1276.1500000000001</v>
      </c>
      <c r="AB104" s="966"/>
      <c r="AC104" s="967"/>
      <c r="AD104" s="968"/>
      <c r="AE104" s="937"/>
      <c r="AF104" s="939"/>
      <c r="AG104" s="913"/>
      <c r="AH104" s="913"/>
      <c r="AI104" s="913"/>
      <c r="AJ104" s="921"/>
      <c r="AK104" s="921"/>
      <c r="AL104" s="921"/>
    </row>
    <row r="105" spans="1:38" s="911" customFormat="1" ht="12" customHeight="1">
      <c r="A105" s="960">
        <f t="shared" si="109"/>
        <v>53</v>
      </c>
      <c r="B105" s="913" t="s">
        <v>512</v>
      </c>
      <c r="C105" s="975" t="str">
        <f>VLOOKUP(B105,distribucion!B$9:FK$200,2,0)</f>
        <v>Auxiliar de Piloto</v>
      </c>
      <c r="D105" s="969">
        <f t="shared" si="96"/>
        <v>3166.38</v>
      </c>
      <c r="E105" s="938">
        <f>VLOOKUP(B105,distribucion!B$9:FK$201,7,0)</f>
        <v>30</v>
      </c>
      <c r="F105" s="963">
        <f>VLOOKUP(B105,distribucion!$B$9:$DQ$288,14,0)</f>
        <v>0</v>
      </c>
      <c r="G105" s="945">
        <f>ROUND((VLOOKUP(B105,distribucion!B$9:EI$201,94,0)),2)</f>
        <v>3166.38</v>
      </c>
      <c r="H105" s="945">
        <f>ROUND((VLOOKUP(B105,distribucion!B$9:EI$201,95,0)),2)</f>
        <v>750</v>
      </c>
      <c r="I105" s="969">
        <f t="shared" si="97"/>
        <v>3916.38</v>
      </c>
      <c r="J105" s="970">
        <f>VLOOKUP(B105,distribucion!B$9:EI$201,96,0)</f>
        <v>0</v>
      </c>
      <c r="K105" s="971">
        <f>ROUND((VLOOKUP(B105,distribucion!B$9:EI$201,97,0)),2)</f>
        <v>0</v>
      </c>
      <c r="L105" s="971">
        <f>VLOOKUP(B105,distribucion!B$9:EI$201,98,0)</f>
        <v>0</v>
      </c>
      <c r="M105" s="971">
        <f>ROUND((VLOOKUP(B105,distribucion!B$9:EI$201,99,0)),2)</f>
        <v>0</v>
      </c>
      <c r="N105" s="971">
        <f>ROUND((VLOOKUP(B105,distribucion!B$9:EI$201,100,0)),2)</f>
        <v>0</v>
      </c>
      <c r="O105" s="969">
        <f t="shared" si="98"/>
        <v>3916.38</v>
      </c>
      <c r="P105" s="972">
        <f t="shared" si="99"/>
        <v>152.94</v>
      </c>
      <c r="Q105" s="972">
        <f>ROUND((VLOOKUP(B105,distribucion!B$8:FK$200,151,0)),2)</f>
        <v>0</v>
      </c>
      <c r="R105" s="971">
        <f>ROUND((VLOOKUP(B105,distribucion!B$9:FK$200,152,0)),2)</f>
        <v>0</v>
      </c>
      <c r="S105" s="971">
        <f>ROUND((VLOOKUP(B105,distribucion!B$9:FK$200,153,0)),2)</f>
        <v>0</v>
      </c>
      <c r="T105" s="971">
        <f>ROUND((VLOOKUP(B105,distribucion!$B$4:$FE$231,159,0)),2)</f>
        <v>0</v>
      </c>
      <c r="U105" s="971">
        <f>ROUND((VLOOKUP(B105,distribucion!$B$5:$FE$232,158,0)),2)</f>
        <v>0</v>
      </c>
      <c r="V105" s="1050">
        <f>ROUND((VLOOKUP(B105,distribucion!$B$7:$FE$237,154,0)),2)</f>
        <v>300</v>
      </c>
      <c r="W105" s="971">
        <f>ROUND((VLOOKUP(B105,distribucion!B$9:FK$200,160,0)),2)</f>
        <v>50</v>
      </c>
      <c r="X105" s="969">
        <f t="shared" si="100"/>
        <v>502.94</v>
      </c>
      <c r="Y105" s="970">
        <f t="shared" si="101"/>
        <v>3413.44</v>
      </c>
      <c r="Z105" s="1121">
        <v>1758.72</v>
      </c>
      <c r="AA105" s="940">
        <f t="shared" si="102"/>
        <v>1654.72</v>
      </c>
      <c r="AB105" s="966">
        <f t="shared" si="93"/>
        <v>1758.72</v>
      </c>
      <c r="AC105" s="967">
        <f t="shared" si="94"/>
        <v>-104</v>
      </c>
      <c r="AD105" s="968">
        <f t="shared" si="95"/>
        <v>0</v>
      </c>
      <c r="AE105" s="937"/>
      <c r="AF105" s="939"/>
      <c r="AG105" s="913"/>
      <c r="AH105" s="913"/>
      <c r="AI105" s="913"/>
      <c r="AJ105" s="921"/>
      <c r="AK105" s="921"/>
      <c r="AL105" s="921"/>
    </row>
    <row r="106" spans="1:38" s="1071" customFormat="1" ht="12" customHeight="1">
      <c r="A106" s="960">
        <f t="shared" si="109"/>
        <v>54</v>
      </c>
      <c r="B106" s="950" t="s">
        <v>613</v>
      </c>
      <c r="C106" s="944" t="str">
        <f>VLOOKUP(B106,distribucion!B$9:FK$200,2,0)</f>
        <v>Auxiliar de Bodega</v>
      </c>
      <c r="D106" s="945">
        <f t="shared" si="96"/>
        <v>3938.19</v>
      </c>
      <c r="E106" s="946">
        <f>VLOOKUP(B106,distribucion!B$9:FK$201,7,0)</f>
        <v>30</v>
      </c>
      <c r="F106" s="947"/>
      <c r="G106" s="945">
        <f>ROUND((VLOOKUP(B106,distribucion!B$9:EI$201,94,0)),2)</f>
        <v>3166.38</v>
      </c>
      <c r="H106" s="945">
        <f>ROUND((VLOOKUP(B106,distribucion!B$9:EI$201,95,0)),2)</f>
        <v>340</v>
      </c>
      <c r="I106" s="945">
        <f t="shared" si="97"/>
        <v>3506.38</v>
      </c>
      <c r="J106" s="948">
        <f>VLOOKUP(B106,distribucion!B$9:EI$201,96,0)</f>
        <v>39</v>
      </c>
      <c r="K106" s="944">
        <f>ROUND((VLOOKUP(B106,distribucion!B$9:EI$201,97,0)),2)</f>
        <v>771.81</v>
      </c>
      <c r="L106" s="944">
        <f>VLOOKUP(B106,distribucion!B$9:EI$201,98,0)</f>
        <v>0</v>
      </c>
      <c r="M106" s="944">
        <f>ROUND((VLOOKUP(B106,distribucion!B$9:EI$201,99,0)),2)</f>
        <v>0</v>
      </c>
      <c r="N106" s="944">
        <f>ROUND((VLOOKUP(B106,distribucion!B$9:EI$201,100,0)),2)</f>
        <v>0</v>
      </c>
      <c r="O106" s="945">
        <f t="shared" si="98"/>
        <v>4278.1900000000005</v>
      </c>
      <c r="P106" s="1039">
        <f t="shared" si="99"/>
        <v>190.21</v>
      </c>
      <c r="Q106" s="1039">
        <f>ROUND((VLOOKUP(B106,distribucion!B$8:FK$200,151,0)),2)</f>
        <v>0</v>
      </c>
      <c r="R106" s="944">
        <f>ROUND((VLOOKUP(B106,distribucion!B$9:FK$200,152,0)),2)</f>
        <v>0</v>
      </c>
      <c r="S106" s="944">
        <f>ROUND((VLOOKUP(B106,distribucion!B$9:FK$200,153,0)),2)</f>
        <v>0</v>
      </c>
      <c r="T106" s="944">
        <f>ROUND((VLOOKUP(B106,distribucion!$B$4:$FE$231,159,0)),2)</f>
        <v>0</v>
      </c>
      <c r="U106" s="944">
        <f>ROUND((VLOOKUP(B106,distribucion!$B$5:$FE$232,158,0)),2)</f>
        <v>0</v>
      </c>
      <c r="V106" s="944">
        <f>ROUND((VLOOKUP(B106,distribucion!$B$7:$FE$237,154,0)),2)</f>
        <v>276.5</v>
      </c>
      <c r="W106" s="944">
        <f>ROUND((VLOOKUP(B106,distribucion!B$9:FK$200,160,0)),2)</f>
        <v>200</v>
      </c>
      <c r="X106" s="945">
        <f t="shared" si="100"/>
        <v>666.71</v>
      </c>
      <c r="Y106" s="948">
        <f t="shared" si="101"/>
        <v>3611.4800000000005</v>
      </c>
      <c r="Z106" s="1121">
        <v>1444.22</v>
      </c>
      <c r="AA106" s="940">
        <f t="shared" si="102"/>
        <v>2167.2600000000002</v>
      </c>
      <c r="AB106" s="1040"/>
      <c r="AC106" s="1002"/>
      <c r="AD106" s="949"/>
      <c r="AE106" s="942"/>
      <c r="AF106" s="948"/>
      <c r="AG106" s="950"/>
      <c r="AH106" s="950"/>
      <c r="AI106" s="950"/>
      <c r="AJ106" s="951"/>
      <c r="AK106" s="951"/>
      <c r="AL106" s="951"/>
    </row>
    <row r="107" spans="1:38" s="911" customFormat="1" ht="14.1" customHeight="1">
      <c r="A107" s="913"/>
      <c r="B107" s="913"/>
      <c r="C107" s="937" t="s">
        <v>204</v>
      </c>
      <c r="D107" s="961" t="s">
        <v>204</v>
      </c>
      <c r="E107" s="938"/>
      <c r="F107" s="963"/>
      <c r="G107" s="989">
        <f t="shared" ref="G107:Z107" si="116">SUM(G101:G106)</f>
        <v>18998.280000000002</v>
      </c>
      <c r="H107" s="989">
        <f t="shared" si="116"/>
        <v>4223.6200000000008</v>
      </c>
      <c r="I107" s="989">
        <f t="shared" si="116"/>
        <v>23221.9</v>
      </c>
      <c r="J107" s="989">
        <f t="shared" si="116"/>
        <v>58</v>
      </c>
      <c r="K107" s="989">
        <f t="shared" si="116"/>
        <v>1147.82</v>
      </c>
      <c r="L107" s="989">
        <f t="shared" si="116"/>
        <v>0</v>
      </c>
      <c r="M107" s="989">
        <f t="shared" si="116"/>
        <v>0</v>
      </c>
      <c r="N107" s="989">
        <f t="shared" si="116"/>
        <v>0</v>
      </c>
      <c r="O107" s="989">
        <f t="shared" si="116"/>
        <v>24369.72</v>
      </c>
      <c r="P107" s="989">
        <f t="shared" si="116"/>
        <v>973.07000000000016</v>
      </c>
      <c r="Q107" s="1893">
        <f t="shared" si="116"/>
        <v>39.480000000000004</v>
      </c>
      <c r="R107" s="989">
        <f t="shared" si="116"/>
        <v>0</v>
      </c>
      <c r="S107" s="989">
        <f t="shared" si="116"/>
        <v>0</v>
      </c>
      <c r="T107" s="989">
        <f t="shared" si="116"/>
        <v>0</v>
      </c>
      <c r="U107" s="989">
        <f t="shared" si="116"/>
        <v>0</v>
      </c>
      <c r="V107" s="989">
        <f t="shared" si="116"/>
        <v>1442.5</v>
      </c>
      <c r="W107" s="989">
        <f t="shared" si="116"/>
        <v>2279.73</v>
      </c>
      <c r="X107" s="989">
        <f t="shared" si="116"/>
        <v>4734.7800000000007</v>
      </c>
      <c r="Y107" s="989">
        <f t="shared" si="116"/>
        <v>19634.940000000002</v>
      </c>
      <c r="Z107" s="989">
        <f t="shared" si="116"/>
        <v>9869.7599999999984</v>
      </c>
      <c r="AA107" s="989">
        <f>SUM(AA101:AA106)</f>
        <v>9765.18</v>
      </c>
      <c r="AB107" s="966">
        <f>+Z107</f>
        <v>9869.7599999999984</v>
      </c>
      <c r="AC107" s="967">
        <f>+AA107-AB107</f>
        <v>-104.57999999999811</v>
      </c>
      <c r="AD107" s="968">
        <f>+Y107-Z107-AA107</f>
        <v>0</v>
      </c>
      <c r="AE107" s="937"/>
      <c r="AF107" s="939"/>
      <c r="AG107" s="913"/>
      <c r="AH107" s="913"/>
      <c r="AI107" s="913"/>
      <c r="AJ107" s="921"/>
      <c r="AK107" s="921"/>
      <c r="AL107" s="921"/>
    </row>
    <row r="108" spans="1:38" s="911" customFormat="1" ht="14.1" customHeight="1">
      <c r="A108" s="913"/>
      <c r="B108" s="913"/>
      <c r="C108" s="937"/>
      <c r="D108" s="961"/>
      <c r="E108" s="938"/>
      <c r="F108" s="963"/>
      <c r="G108" s="969"/>
      <c r="H108" s="969"/>
      <c r="I108" s="969"/>
      <c r="J108" s="969"/>
      <c r="K108" s="969"/>
      <c r="L108" s="969"/>
      <c r="M108" s="969"/>
      <c r="N108" s="969"/>
      <c r="O108" s="969"/>
      <c r="P108" s="969"/>
      <c r="Q108" s="940"/>
      <c r="R108" s="969"/>
      <c r="S108" s="969"/>
      <c r="T108" s="969"/>
      <c r="U108" s="969"/>
      <c r="V108" s="969"/>
      <c r="W108" s="969"/>
      <c r="X108" s="969"/>
      <c r="Y108" s="969"/>
      <c r="Z108" s="969"/>
      <c r="AA108" s="969"/>
      <c r="AB108" s="966"/>
      <c r="AC108" s="967"/>
      <c r="AD108" s="968"/>
      <c r="AE108" s="937"/>
      <c r="AF108" s="939"/>
      <c r="AG108" s="913"/>
      <c r="AH108" s="913"/>
      <c r="AI108" s="913"/>
      <c r="AJ108" s="921"/>
      <c r="AK108" s="921"/>
      <c r="AL108" s="921"/>
    </row>
    <row r="109" spans="1:38" s="911" customFormat="1" ht="14.1" customHeight="1">
      <c r="A109" s="913"/>
      <c r="B109" s="1069" t="s">
        <v>319</v>
      </c>
      <c r="C109" s="975"/>
      <c r="D109" s="969"/>
      <c r="E109" s="938"/>
      <c r="F109" s="963"/>
      <c r="G109" s="945"/>
      <c r="H109" s="945"/>
      <c r="I109" s="969"/>
      <c r="J109" s="970"/>
      <c r="K109" s="971"/>
      <c r="L109" s="971"/>
      <c r="M109" s="971"/>
      <c r="N109" s="971"/>
      <c r="O109" s="969"/>
      <c r="P109" s="972"/>
      <c r="Q109" s="972"/>
      <c r="R109" s="971"/>
      <c r="S109" s="971"/>
      <c r="T109" s="971"/>
      <c r="U109" s="971"/>
      <c r="V109" s="971"/>
      <c r="W109" s="971"/>
      <c r="X109" s="969"/>
      <c r="Y109" s="970"/>
      <c r="Z109" s="970"/>
      <c r="AA109" s="969"/>
      <c r="AB109" s="966">
        <f>+Z109</f>
        <v>0</v>
      </c>
      <c r="AC109" s="967">
        <f>+AA109-AB109</f>
        <v>0</v>
      </c>
      <c r="AD109" s="968">
        <f>+Y109-Z109-AA109</f>
        <v>0</v>
      </c>
      <c r="AE109" s="937"/>
      <c r="AF109" s="939"/>
      <c r="AG109" s="913"/>
      <c r="AH109" s="913"/>
      <c r="AI109" s="913"/>
      <c r="AJ109" s="921"/>
      <c r="AK109" s="921"/>
      <c r="AL109" s="921"/>
    </row>
    <row r="110" spans="1:38" s="911" customFormat="1" ht="14.1" customHeight="1">
      <c r="A110" s="960">
        <v>55</v>
      </c>
      <c r="B110" s="913" t="s">
        <v>508</v>
      </c>
      <c r="C110" s="975" t="str">
        <f>VLOOKUP(B110,distribucion!B$9:FK$200,2,0)</f>
        <v>Operador de montacargas</v>
      </c>
      <c r="D110" s="969">
        <f t="shared" ref="D110:D113" si="117">G110+K110+M110</f>
        <v>3562.1800000000003</v>
      </c>
      <c r="E110" s="938">
        <f>VLOOKUP(B110,distribucion!B$9:FK$201,7,0)</f>
        <v>30</v>
      </c>
      <c r="F110" s="963">
        <f>VLOOKUP(B110,distribucion!$B$9:$DQ$288,14,0)</f>
        <v>0</v>
      </c>
      <c r="G110" s="945">
        <f>ROUND((VLOOKUP(B110,distribucion!B$9:EI$201,94,0)),2)</f>
        <v>3166.38</v>
      </c>
      <c r="H110" s="945">
        <f>ROUND((VLOOKUP(B110,distribucion!B$9:EI$201,95,0)),2)</f>
        <v>2970</v>
      </c>
      <c r="I110" s="969">
        <f t="shared" ref="I110:I113" si="118">G110+H110</f>
        <v>6136.38</v>
      </c>
      <c r="J110" s="970">
        <f>VLOOKUP(B110,distribucion!B$9:EI$201,96,0)</f>
        <v>20</v>
      </c>
      <c r="K110" s="971">
        <f>ROUND((VLOOKUP(B110,distribucion!B$9:EI$201,97,0)),2)</f>
        <v>395.8</v>
      </c>
      <c r="L110" s="971">
        <f>VLOOKUP(B110,distribucion!B$9:EI$201,98,0)</f>
        <v>0</v>
      </c>
      <c r="M110" s="971">
        <f>ROUND((VLOOKUP(B110,distribucion!B$9:EI$201,99,0)),2)</f>
        <v>0</v>
      </c>
      <c r="N110" s="971">
        <f>ROUND((VLOOKUP(B110,distribucion!B$9:EI$201,100,0)),2)</f>
        <v>0</v>
      </c>
      <c r="O110" s="969">
        <f t="shared" ref="O110:O113" si="119">SUM(I110:N110)-J110-L110</f>
        <v>6532.18</v>
      </c>
      <c r="P110" s="972">
        <f t="shared" ref="P110:P113" si="120">ROUND(((G110+K110+M110+N110)*0.0483),2)</f>
        <v>172.05</v>
      </c>
      <c r="Q110" s="972">
        <f>ROUND((VLOOKUP(B110,distribucion!B$8:FK$200,151,0)),2)</f>
        <v>143.16999999999999</v>
      </c>
      <c r="R110" s="971">
        <f>ROUND((VLOOKUP(B110,distribucion!B$9:FK$200,152,0)),2)</f>
        <v>0</v>
      </c>
      <c r="S110" s="971">
        <f>ROUND((VLOOKUP(B110,distribucion!B$9:FK$200,153,0)),2)</f>
        <v>0</v>
      </c>
      <c r="T110" s="971">
        <f>ROUND((VLOOKUP(B110,distribucion!$B$4:$FE$231,159,0)),2)</f>
        <v>0</v>
      </c>
      <c r="U110" s="971">
        <f>ROUND((VLOOKUP(B110,distribucion!$B$5:$FE$232,158,0)),2)</f>
        <v>0</v>
      </c>
      <c r="V110" s="971">
        <f>ROUND((VLOOKUP(B110,distribucion!$B$7:$FE$237,154,0)),2)</f>
        <v>0</v>
      </c>
      <c r="W110" s="971">
        <f>ROUND((VLOOKUP(B110,distribucion!B$9:FK$200,160,0)),2)</f>
        <v>0</v>
      </c>
      <c r="X110" s="969">
        <f t="shared" ref="X110:X113" si="121">SUM(P110:W110)</f>
        <v>315.22000000000003</v>
      </c>
      <c r="Y110" s="970">
        <f t="shared" ref="Y110:Y113" si="122">O110-X110</f>
        <v>6216.96</v>
      </c>
      <c r="Z110" s="1121">
        <v>1756.72</v>
      </c>
      <c r="AA110" s="940">
        <f t="shared" ref="AA110:AA113" si="123">+Y110-Z110</f>
        <v>4460.24</v>
      </c>
      <c r="AB110" s="966">
        <f>+Z110</f>
        <v>1756.72</v>
      </c>
      <c r="AC110" s="967">
        <f>+AA110-AB110</f>
        <v>2703.5199999999995</v>
      </c>
      <c r="AD110" s="968">
        <f>+Y110-Z110-AA110</f>
        <v>0</v>
      </c>
      <c r="AE110" s="937"/>
      <c r="AF110" s="939"/>
      <c r="AG110" s="913"/>
      <c r="AH110" s="913"/>
      <c r="AI110" s="913"/>
      <c r="AJ110" s="921"/>
      <c r="AK110" s="921"/>
      <c r="AL110" s="921"/>
    </row>
    <row r="111" spans="1:38" s="911" customFormat="1" ht="14.1" customHeight="1">
      <c r="A111" s="960">
        <f>+A110+1</f>
        <v>56</v>
      </c>
      <c r="B111" s="913" t="str">
        <f>+distribucion!B137</f>
        <v>Mendizabal Rosales Edgar Osvaldo</v>
      </c>
      <c r="C111" s="975" t="str">
        <f>VLOOKUP(B111,distribucion!B$9:FK$200,2,0)</f>
        <v>Encargado de Bodega MP</v>
      </c>
      <c r="D111" s="969">
        <f t="shared" si="117"/>
        <v>3641.34</v>
      </c>
      <c r="E111" s="938">
        <f>VLOOKUP(B111,distribucion!B$9:FK$201,7,0)</f>
        <v>30</v>
      </c>
      <c r="F111" s="963">
        <f>VLOOKUP(B111,distribucion!$B$9:$DQ$288,14,0)</f>
        <v>0</v>
      </c>
      <c r="G111" s="945">
        <f>ROUND((VLOOKUP(B111,distribucion!B$9:EI$201,94,0)),2)</f>
        <v>3166.38</v>
      </c>
      <c r="H111" s="945">
        <f>ROUND((VLOOKUP(B111,distribucion!B$9:EI$201,95,0)),2)</f>
        <v>1000</v>
      </c>
      <c r="I111" s="969">
        <f t="shared" si="118"/>
        <v>4166.38</v>
      </c>
      <c r="J111" s="970">
        <f>VLOOKUP(B111,distribucion!B$9:EI$201,96,0)</f>
        <v>24</v>
      </c>
      <c r="K111" s="971">
        <f>ROUND((VLOOKUP(B111,distribucion!B$9:EI$201,97,0)),2)</f>
        <v>474.96</v>
      </c>
      <c r="L111" s="971">
        <f>VLOOKUP(B111,distribucion!B$9:EI$201,98,0)</f>
        <v>0</v>
      </c>
      <c r="M111" s="971">
        <f>ROUND((VLOOKUP(B111,distribucion!B$9:EI$201,99,0)),2)</f>
        <v>0</v>
      </c>
      <c r="N111" s="971">
        <f>ROUND((VLOOKUP(B111,distribucion!B$9:EI$201,100,0)),2)</f>
        <v>0</v>
      </c>
      <c r="O111" s="969">
        <f t="shared" si="119"/>
        <v>4641.34</v>
      </c>
      <c r="P111" s="972">
        <f t="shared" si="120"/>
        <v>175.88</v>
      </c>
      <c r="Q111" s="972">
        <f>ROUND((VLOOKUP(B111,distribucion!B$8:FK$200,151,0)),2)</f>
        <v>0.67</v>
      </c>
      <c r="R111" s="971">
        <f>ROUND((VLOOKUP(B111,distribucion!B$9:FK$200,152,0)),2)</f>
        <v>0</v>
      </c>
      <c r="S111" s="971">
        <f>ROUND((VLOOKUP(B111,distribucion!B$9:FK$200,153,0)),2)</f>
        <v>0</v>
      </c>
      <c r="T111" s="971">
        <f>ROUND((VLOOKUP(B111,distribucion!$B$4:$FE$231,159,0)),2)</f>
        <v>0</v>
      </c>
      <c r="U111" s="971">
        <f>ROUND((VLOOKUP(B111,distribucion!$B$5:$FE$232,158,0)),2)</f>
        <v>0</v>
      </c>
      <c r="V111" s="971">
        <f>ROUND((VLOOKUP(B111,distribucion!$B$7:$FE$237,154,0)),2)</f>
        <v>203</v>
      </c>
      <c r="W111" s="971">
        <f>ROUND((VLOOKUP(B111,distribucion!B$9:FK$200,160,0)),2)</f>
        <v>50</v>
      </c>
      <c r="X111" s="969">
        <f t="shared" si="121"/>
        <v>429.54999999999995</v>
      </c>
      <c r="Y111" s="970">
        <f t="shared" si="122"/>
        <v>4211.79</v>
      </c>
      <c r="Z111" s="1121">
        <v>1901.72</v>
      </c>
      <c r="AA111" s="940">
        <f t="shared" si="123"/>
        <v>2310.0699999999997</v>
      </c>
      <c r="AB111" s="966"/>
      <c r="AC111" s="967"/>
      <c r="AD111" s="968"/>
      <c r="AE111" s="937"/>
      <c r="AF111" s="939"/>
      <c r="AG111" s="913"/>
      <c r="AH111" s="913"/>
      <c r="AI111" s="913"/>
      <c r="AJ111" s="921"/>
      <c r="AK111" s="921"/>
      <c r="AL111" s="921"/>
    </row>
    <row r="112" spans="1:38" s="911" customFormat="1" ht="14.1" customHeight="1">
      <c r="A112" s="960">
        <f t="shared" ref="A112:A113" si="124">+A111+1</f>
        <v>57</v>
      </c>
      <c r="B112" s="913" t="str">
        <f>+distribucion!B140</f>
        <v>Sanabria Cardona Yuidin Franklin</v>
      </c>
      <c r="C112" s="975" t="str">
        <f>VLOOKUP(B112,distribucion!B$9:FK$200,2,0)</f>
        <v>Auxiliar de Bodega</v>
      </c>
      <c r="D112" s="969">
        <f t="shared" ref="D112" si="125">G112+K112+M112</f>
        <v>3779.87</v>
      </c>
      <c r="E112" s="938">
        <f>VLOOKUP(B112,distribucion!B$9:FK$201,7,0)</f>
        <v>30</v>
      </c>
      <c r="F112" s="963">
        <f>VLOOKUP(B112,distribucion!$B$9:$DQ$288,14,0)</f>
        <v>0</v>
      </c>
      <c r="G112" s="945">
        <f>ROUND((VLOOKUP(B112,distribucion!B$9:EI$201,94,0)),2)</f>
        <v>3166.38</v>
      </c>
      <c r="H112" s="945">
        <f>ROUND((VLOOKUP(B112,distribucion!B$9:EI$201,95,0)),2)</f>
        <v>790</v>
      </c>
      <c r="I112" s="969">
        <f t="shared" ref="I112" si="126">G112+H112</f>
        <v>3956.38</v>
      </c>
      <c r="J112" s="970">
        <f>VLOOKUP(B112,distribucion!B$9:EI$201,96,0)</f>
        <v>31</v>
      </c>
      <c r="K112" s="971">
        <f>ROUND((VLOOKUP(B112,distribucion!B$9:EI$201,97,0)),2)</f>
        <v>613.49</v>
      </c>
      <c r="L112" s="971">
        <f>VLOOKUP(B112,distribucion!B$9:EI$201,98,0)</f>
        <v>0</v>
      </c>
      <c r="M112" s="971">
        <f>ROUND((VLOOKUP(B112,distribucion!B$9:EI$201,99,0)),2)</f>
        <v>0</v>
      </c>
      <c r="N112" s="971">
        <f>ROUND((VLOOKUP(B112,distribucion!B$9:EI$201,100,0)),2)</f>
        <v>0</v>
      </c>
      <c r="O112" s="969">
        <f t="shared" ref="O112" si="127">SUM(I112:N112)-J112-L112</f>
        <v>4569.87</v>
      </c>
      <c r="P112" s="972">
        <f t="shared" ref="P112" si="128">ROUND(((G112+K112+M112+N112)*0.0483),2)</f>
        <v>182.57</v>
      </c>
      <c r="Q112" s="972">
        <f>ROUND((VLOOKUP(B112,distribucion!B$8:FK$200,151,0)),2)</f>
        <v>0</v>
      </c>
      <c r="R112" s="971">
        <f>ROUND((VLOOKUP(B112,distribucion!B$9:FK$200,152,0)),2)</f>
        <v>0</v>
      </c>
      <c r="S112" s="971">
        <f>ROUND((VLOOKUP(B112,distribucion!B$9:FK$200,153,0)),2)</f>
        <v>0</v>
      </c>
      <c r="T112" s="971">
        <f>ROUND((VLOOKUP(B112,distribucion!$B$4:$FE$231,159,0)),2)</f>
        <v>0</v>
      </c>
      <c r="U112" s="971">
        <f>ROUND((VLOOKUP(B112,distribucion!$B$5:$FE$232,158,0)),2)</f>
        <v>0</v>
      </c>
      <c r="V112" s="971">
        <f>ROUND((VLOOKUP(B112,distribucion!$B$7:$FE$237,154,0)),2)</f>
        <v>74</v>
      </c>
      <c r="W112" s="971">
        <f>ROUND((VLOOKUP(B112,distribucion!B$9:FK$200,160,0)),2)</f>
        <v>50</v>
      </c>
      <c r="X112" s="969">
        <f t="shared" ref="X112" si="129">SUM(P112:W112)</f>
        <v>306.57</v>
      </c>
      <c r="Y112" s="970">
        <f t="shared" ref="Y112" si="130">O112-X112</f>
        <v>4263.3</v>
      </c>
      <c r="Z112" s="1121">
        <v>1631.72</v>
      </c>
      <c r="AA112" s="940">
        <f t="shared" si="123"/>
        <v>2631.58</v>
      </c>
      <c r="AB112" s="966"/>
      <c r="AC112" s="967"/>
      <c r="AD112" s="968"/>
      <c r="AE112" s="937"/>
      <c r="AF112" s="939"/>
      <c r="AG112" s="913"/>
      <c r="AH112" s="913"/>
      <c r="AI112" s="913"/>
      <c r="AJ112" s="921"/>
      <c r="AK112" s="921"/>
      <c r="AL112" s="921"/>
    </row>
    <row r="113" spans="1:38" s="1033" customFormat="1" ht="14.1" customHeight="1">
      <c r="A113" s="960">
        <f t="shared" si="124"/>
        <v>58</v>
      </c>
      <c r="B113" s="1021" t="str">
        <f>+distribucion!B141</f>
        <v>Vasquez Perez Esbin Manolo</v>
      </c>
      <c r="C113" s="1022" t="str">
        <f>VLOOKUP(B113,distribucion!B$9:FK$200,2,0)</f>
        <v>Operador de montacargas</v>
      </c>
      <c r="D113" s="1023">
        <f t="shared" si="117"/>
        <v>3601.76</v>
      </c>
      <c r="E113" s="1024">
        <f>VLOOKUP(B113,distribucion!B$9:FK$201,7,0)</f>
        <v>30</v>
      </c>
      <c r="F113" s="1025">
        <f>VLOOKUP(B113,distribucion!$B$9:$DQ$288,14,0)</f>
        <v>0</v>
      </c>
      <c r="G113" s="1023">
        <f>ROUND((VLOOKUP(B113,distribucion!B$9:EI$201,94,0)),2)</f>
        <v>3166.38</v>
      </c>
      <c r="H113" s="1023">
        <f>ROUND((VLOOKUP(B113,distribucion!B$9:EI$201,95,0)),2)</f>
        <v>1012.86</v>
      </c>
      <c r="I113" s="1023">
        <f t="shared" si="118"/>
        <v>4179.24</v>
      </c>
      <c r="J113" s="1026">
        <f>VLOOKUP(B113,distribucion!B$9:EI$201,96,0)</f>
        <v>22</v>
      </c>
      <c r="K113" s="1022">
        <f>ROUND((VLOOKUP(B113,distribucion!B$9:EI$201,97,0)),2)</f>
        <v>435.38</v>
      </c>
      <c r="L113" s="1022">
        <f>VLOOKUP(B113,distribucion!B$9:EI$201,98,0)</f>
        <v>0</v>
      </c>
      <c r="M113" s="1022">
        <f>ROUND((VLOOKUP(B113,distribucion!B$9:EI$201,99,0)),2)</f>
        <v>0</v>
      </c>
      <c r="N113" s="1022">
        <f>ROUND((VLOOKUP(B113,distribucion!B$9:EI$201,100,0)),2)</f>
        <v>0</v>
      </c>
      <c r="O113" s="1023">
        <f t="shared" si="119"/>
        <v>4614.62</v>
      </c>
      <c r="P113" s="1022">
        <f t="shared" si="120"/>
        <v>173.97</v>
      </c>
      <c r="Q113" s="1022">
        <f>ROUND((VLOOKUP(B113,distribucion!B$8:FK$200,151,0)),2)</f>
        <v>0</v>
      </c>
      <c r="R113" s="1022">
        <f>ROUND((VLOOKUP(B113,distribucion!B$9:FK$200,152,0)),2)</f>
        <v>0</v>
      </c>
      <c r="S113" s="1022">
        <f>ROUND((VLOOKUP(B113,distribucion!B$9:FK$200,153,0)),2)</f>
        <v>0</v>
      </c>
      <c r="T113" s="1022">
        <f>ROUND((VLOOKUP(B113,distribucion!$B$4:$FE$231,159,0)),2)</f>
        <v>0</v>
      </c>
      <c r="U113" s="1022">
        <f>ROUND((VLOOKUP(B113,distribucion!$B$5:$FE$232,158,0)),2)</f>
        <v>0</v>
      </c>
      <c r="V113" s="1022">
        <f>ROUND((VLOOKUP(B113,distribucion!$B$7:$FE$237,154,0)),2)</f>
        <v>0</v>
      </c>
      <c r="W113" s="1022">
        <f>ROUND((VLOOKUP(B113,distribucion!B$9:FK$200,160,0)),2)</f>
        <v>50</v>
      </c>
      <c r="X113" s="1023">
        <f t="shared" si="121"/>
        <v>223.97</v>
      </c>
      <c r="Y113" s="1026">
        <f t="shared" si="122"/>
        <v>4390.6499999999996</v>
      </c>
      <c r="Z113" s="1121">
        <v>1653.15</v>
      </c>
      <c r="AA113" s="940">
        <f t="shared" si="123"/>
        <v>2737.4999999999995</v>
      </c>
      <c r="AB113" s="1027"/>
      <c r="AC113" s="1028"/>
      <c r="AD113" s="1029"/>
      <c r="AE113" s="1020"/>
      <c r="AF113" s="1026"/>
      <c r="AG113" s="1021"/>
      <c r="AH113" s="1021"/>
      <c r="AI113" s="1021"/>
      <c r="AJ113" s="1032"/>
      <c r="AK113" s="1032"/>
      <c r="AL113" s="1032"/>
    </row>
    <row r="114" spans="1:38" s="911" customFormat="1" ht="14.1" customHeight="1">
      <c r="A114" s="960"/>
      <c r="B114" s="928"/>
      <c r="C114" s="937" t="s">
        <v>204</v>
      </c>
      <c r="D114" s="961" t="s">
        <v>204</v>
      </c>
      <c r="E114" s="960"/>
      <c r="F114" s="963"/>
      <c r="G114" s="989">
        <f t="shared" ref="G114:Z114" si="131">SUM(G110:G113)</f>
        <v>12665.52</v>
      </c>
      <c r="H114" s="989">
        <f t="shared" si="131"/>
        <v>5772.86</v>
      </c>
      <c r="I114" s="989">
        <f t="shared" si="131"/>
        <v>18438.379999999997</v>
      </c>
      <c r="J114" s="989">
        <f t="shared" si="131"/>
        <v>97</v>
      </c>
      <c r="K114" s="989">
        <f t="shared" si="131"/>
        <v>1919.63</v>
      </c>
      <c r="L114" s="989">
        <f t="shared" si="131"/>
        <v>0</v>
      </c>
      <c r="M114" s="989">
        <f t="shared" si="131"/>
        <v>0</v>
      </c>
      <c r="N114" s="989">
        <f t="shared" si="131"/>
        <v>0</v>
      </c>
      <c r="O114" s="989">
        <f t="shared" si="131"/>
        <v>20358.009999999998</v>
      </c>
      <c r="P114" s="989">
        <f t="shared" si="131"/>
        <v>704.47</v>
      </c>
      <c r="Q114" s="1893">
        <f t="shared" si="131"/>
        <v>143.83999999999997</v>
      </c>
      <c r="R114" s="989">
        <f t="shared" si="131"/>
        <v>0</v>
      </c>
      <c r="S114" s="989">
        <f t="shared" si="131"/>
        <v>0</v>
      </c>
      <c r="T114" s="989">
        <f t="shared" si="131"/>
        <v>0</v>
      </c>
      <c r="U114" s="989">
        <f t="shared" si="131"/>
        <v>0</v>
      </c>
      <c r="V114" s="989">
        <f t="shared" si="131"/>
        <v>277</v>
      </c>
      <c r="W114" s="989">
        <f t="shared" si="131"/>
        <v>150</v>
      </c>
      <c r="X114" s="989">
        <f t="shared" si="131"/>
        <v>1275.31</v>
      </c>
      <c r="Y114" s="989">
        <f t="shared" si="131"/>
        <v>19082.699999999997</v>
      </c>
      <c r="Z114" s="989">
        <f t="shared" si="131"/>
        <v>6943.3099999999995</v>
      </c>
      <c r="AA114" s="989">
        <f>SUM(AA110:AA113)</f>
        <v>12139.39</v>
      </c>
      <c r="AB114" s="991">
        <f>SUM(AB110:AB110)</f>
        <v>1756.72</v>
      </c>
      <c r="AC114" s="991">
        <f>SUM(AC110:AC110)</f>
        <v>2703.5199999999995</v>
      </c>
      <c r="AD114" s="968">
        <f t="shared" ref="AD114:AD142" si="132">+Y114-Z114-AA114</f>
        <v>0</v>
      </c>
      <c r="AE114" s="937"/>
      <c r="AF114" s="939"/>
      <c r="AG114" s="913"/>
      <c r="AH114" s="913"/>
      <c r="AI114" s="913"/>
      <c r="AJ114" s="921"/>
      <c r="AK114" s="921"/>
      <c r="AL114" s="921"/>
    </row>
    <row r="115" spans="1:38" s="911" customFormat="1" ht="14.1" customHeight="1">
      <c r="A115" s="960"/>
      <c r="B115" s="928"/>
      <c r="C115" s="937"/>
      <c r="D115" s="961"/>
      <c r="E115" s="960"/>
      <c r="F115" s="963"/>
      <c r="G115" s="969"/>
      <c r="H115" s="969"/>
      <c r="I115" s="969"/>
      <c r="J115" s="970"/>
      <c r="K115" s="971"/>
      <c r="L115" s="971"/>
      <c r="M115" s="971"/>
      <c r="N115" s="971"/>
      <c r="O115" s="969"/>
      <c r="P115" s="972"/>
      <c r="Q115" s="972"/>
      <c r="R115" s="971"/>
      <c r="S115" s="971"/>
      <c r="T115" s="971"/>
      <c r="U115" s="971"/>
      <c r="V115" s="971"/>
      <c r="W115" s="971"/>
      <c r="X115" s="969"/>
      <c r="Y115" s="970"/>
      <c r="Z115" s="970"/>
      <c r="AA115" s="969"/>
      <c r="AB115" s="966">
        <f t="shared" ref="AB115:AB132" si="133">+Z115</f>
        <v>0</v>
      </c>
      <c r="AC115" s="967">
        <f t="shared" ref="AC115:AC131" si="134">+AA115-AB115</f>
        <v>0</v>
      </c>
      <c r="AD115" s="968">
        <f t="shared" si="132"/>
        <v>0</v>
      </c>
      <c r="AE115" s="937"/>
      <c r="AF115" s="939"/>
      <c r="AG115" s="913"/>
      <c r="AH115" s="913"/>
      <c r="AI115" s="913"/>
      <c r="AJ115" s="921"/>
      <c r="AK115" s="921"/>
      <c r="AL115" s="921"/>
    </row>
    <row r="116" spans="1:38" s="911" customFormat="1" ht="14.1" customHeight="1">
      <c r="A116" s="960"/>
      <c r="B116" s="928"/>
      <c r="C116" s="937" t="s">
        <v>235</v>
      </c>
      <c r="D116" s="961"/>
      <c r="E116" s="960"/>
      <c r="F116" s="963"/>
      <c r="G116" s="989">
        <f t="shared" ref="G116:AA116" si="135">+G107+G114</f>
        <v>31663.800000000003</v>
      </c>
      <c r="H116" s="989">
        <f t="shared" si="135"/>
        <v>9996.48</v>
      </c>
      <c r="I116" s="989">
        <f t="shared" si="135"/>
        <v>41660.28</v>
      </c>
      <c r="J116" s="990">
        <f t="shared" si="135"/>
        <v>155</v>
      </c>
      <c r="K116" s="991">
        <f t="shared" si="135"/>
        <v>3067.45</v>
      </c>
      <c r="L116" s="991">
        <f t="shared" si="135"/>
        <v>0</v>
      </c>
      <c r="M116" s="991">
        <f t="shared" si="135"/>
        <v>0</v>
      </c>
      <c r="N116" s="991">
        <f t="shared" si="135"/>
        <v>0</v>
      </c>
      <c r="O116" s="989">
        <f t="shared" si="135"/>
        <v>44727.729999999996</v>
      </c>
      <c r="P116" s="992">
        <f t="shared" si="135"/>
        <v>1677.5400000000002</v>
      </c>
      <c r="Q116" s="992">
        <f t="shared" si="135"/>
        <v>183.32</v>
      </c>
      <c r="R116" s="991">
        <f t="shared" si="135"/>
        <v>0</v>
      </c>
      <c r="S116" s="991">
        <f t="shared" si="135"/>
        <v>0</v>
      </c>
      <c r="T116" s="991">
        <f t="shared" si="135"/>
        <v>0</v>
      </c>
      <c r="U116" s="991">
        <f t="shared" si="135"/>
        <v>0</v>
      </c>
      <c r="V116" s="991">
        <f t="shared" si="135"/>
        <v>1719.5</v>
      </c>
      <c r="W116" s="991">
        <f t="shared" si="135"/>
        <v>2429.73</v>
      </c>
      <c r="X116" s="989">
        <f t="shared" si="135"/>
        <v>6010.09</v>
      </c>
      <c r="Y116" s="990">
        <f t="shared" si="135"/>
        <v>38717.64</v>
      </c>
      <c r="Z116" s="990">
        <f t="shared" si="135"/>
        <v>16813.07</v>
      </c>
      <c r="AA116" s="989">
        <f t="shared" si="135"/>
        <v>21904.57</v>
      </c>
      <c r="AB116" s="966">
        <f t="shared" si="133"/>
        <v>16813.07</v>
      </c>
      <c r="AC116" s="967">
        <f t="shared" si="134"/>
        <v>5091.5</v>
      </c>
      <c r="AD116" s="968">
        <f t="shared" si="132"/>
        <v>0</v>
      </c>
      <c r="AE116" s="937"/>
      <c r="AF116" s="939"/>
      <c r="AG116" s="913"/>
      <c r="AH116" s="913"/>
      <c r="AI116" s="913"/>
      <c r="AJ116" s="921"/>
      <c r="AK116" s="921"/>
      <c r="AL116" s="921"/>
    </row>
    <row r="117" spans="1:38" s="911" customFormat="1" ht="14.1" customHeight="1">
      <c r="A117" s="927"/>
      <c r="B117" s="935" t="s">
        <v>117</v>
      </c>
      <c r="C117" s="927"/>
      <c r="D117" s="1072"/>
      <c r="E117" s="1073"/>
      <c r="F117" s="963"/>
      <c r="G117" s="1074"/>
      <c r="H117" s="1074"/>
      <c r="I117" s="1074"/>
      <c r="J117" s="1075"/>
      <c r="K117" s="1076"/>
      <c r="L117" s="1076"/>
      <c r="M117" s="1076"/>
      <c r="N117" s="1076"/>
      <c r="O117" s="1074"/>
      <c r="P117" s="1077"/>
      <c r="Q117" s="1077"/>
      <c r="R117" s="1076"/>
      <c r="S117" s="1076"/>
      <c r="T117" s="971"/>
      <c r="U117" s="1076"/>
      <c r="V117" s="1076"/>
      <c r="W117" s="971"/>
      <c r="X117" s="1074"/>
      <c r="Y117" s="1075"/>
      <c r="Z117" s="1075"/>
      <c r="AA117" s="969"/>
      <c r="AB117" s="966">
        <f t="shared" si="133"/>
        <v>0</v>
      </c>
      <c r="AC117" s="967">
        <f t="shared" si="134"/>
        <v>0</v>
      </c>
      <c r="AD117" s="968">
        <f t="shared" si="132"/>
        <v>0</v>
      </c>
      <c r="AE117" s="937"/>
      <c r="AF117" s="939"/>
      <c r="AG117" s="913"/>
      <c r="AH117" s="913"/>
      <c r="AI117" s="913"/>
      <c r="AJ117" s="921"/>
      <c r="AK117" s="921"/>
      <c r="AL117" s="921"/>
    </row>
    <row r="118" spans="1:38" s="1070" customFormat="1" ht="14.1" customHeight="1">
      <c r="A118" s="942">
        <v>59</v>
      </c>
      <c r="B118" s="952" t="s">
        <v>504</v>
      </c>
      <c r="C118" s="953" t="str">
        <f>VLOOKUP(B118,distribucion!B$9:FK$200,2,0)</f>
        <v>Mecánico</v>
      </c>
      <c r="D118" s="954">
        <f>G118+K118+M118</f>
        <v>5000</v>
      </c>
      <c r="E118" s="955">
        <f>VLOOKUP(B118,distribucion!B$9:FK$201,7,0)</f>
        <v>30</v>
      </c>
      <c r="F118" s="956">
        <f>VLOOKUP(B118,distribucion!$B$9:$DQ$288,14,0)</f>
        <v>0</v>
      </c>
      <c r="G118" s="954">
        <f>ROUND((VLOOKUP(B118,distribucion!B$9:EI$201,94,0)),2)</f>
        <v>5000</v>
      </c>
      <c r="H118" s="954">
        <f>ROUND((VLOOKUP(B118,distribucion!B$9:EI$201,95,0)),2)</f>
        <v>4103.1400000000003</v>
      </c>
      <c r="I118" s="954">
        <f>G118+H118</f>
        <v>9103.14</v>
      </c>
      <c r="J118" s="957">
        <f>VLOOKUP(B118,distribucion!B$9:EI$201,96,0)</f>
        <v>0</v>
      </c>
      <c r="K118" s="953">
        <f>ROUND((VLOOKUP(B118,distribucion!B$9:EI$201,97,0)),2)</f>
        <v>0</v>
      </c>
      <c r="L118" s="953">
        <f>VLOOKUP(B118,distribucion!B$9:EI$201,98,0)</f>
        <v>0</v>
      </c>
      <c r="M118" s="953">
        <f>ROUND((VLOOKUP(B118,distribucion!B$9:EI$201,99,0)),2)</f>
        <v>0</v>
      </c>
      <c r="N118" s="953">
        <f>ROUND((VLOOKUP(B118,distribucion!B$9:EI$201,100,0)),2)</f>
        <v>0</v>
      </c>
      <c r="O118" s="954">
        <f>SUM(I118:N118)-J118-L118</f>
        <v>9103.14</v>
      </c>
      <c r="P118" s="976">
        <f>ROUND(((G118+K118+M118)*0.0483),2)</f>
        <v>241.5</v>
      </c>
      <c r="Q118" s="976">
        <f>ROUND((VLOOKUP(B118,distribucion!B$8:FK$200,151,0)),2)</f>
        <v>175.48</v>
      </c>
      <c r="R118" s="953">
        <f>ROUND((VLOOKUP(B118,distribucion!B$9:FK$200,152,0)),2)</f>
        <v>0</v>
      </c>
      <c r="S118" s="953">
        <f>ROUND((VLOOKUP(B118,distribucion!B$9:FK$200,153,0)),2)</f>
        <v>0</v>
      </c>
      <c r="T118" s="953">
        <f>ROUND((VLOOKUP(B118,distribucion!$B$4:$FE$231,159,0)),2)</f>
        <v>0</v>
      </c>
      <c r="U118" s="953">
        <f>ROUND((VLOOKUP(B118,distribucion!$B$5:$FE$232,158,0)),2)</f>
        <v>0</v>
      </c>
      <c r="V118" s="953">
        <f>ROUND((VLOOKUP(B118,distribucion!$B$7:$FE$237,154,0)),2)</f>
        <v>53.25</v>
      </c>
      <c r="W118" s="953">
        <f>ROUND((VLOOKUP(B118,distribucion!B$9:FK$200,160,0)),2)</f>
        <v>290</v>
      </c>
      <c r="X118" s="954">
        <f>SUM(P118:W118)</f>
        <v>760.23</v>
      </c>
      <c r="Y118" s="957">
        <f>O118-X118</f>
        <v>8342.91</v>
      </c>
      <c r="Z118" s="1121">
        <v>5844.1399999999994</v>
      </c>
      <c r="AA118" s="940">
        <f t="shared" ref="AA118:AA120" si="136">+Y118-Z118</f>
        <v>2498.7700000000004</v>
      </c>
      <c r="AB118" s="977">
        <f t="shared" si="133"/>
        <v>5844.1399999999994</v>
      </c>
      <c r="AC118" s="978">
        <f t="shared" si="134"/>
        <v>-3345.369999999999</v>
      </c>
      <c r="AD118" s="958">
        <f t="shared" si="132"/>
        <v>0</v>
      </c>
      <c r="AE118" s="937"/>
      <c r="AF118" s="939"/>
      <c r="AG118" s="959"/>
      <c r="AH118" s="959"/>
      <c r="AI118" s="959"/>
      <c r="AJ118" s="907"/>
      <c r="AK118" s="907"/>
      <c r="AL118" s="907"/>
    </row>
    <row r="119" spans="1:38" s="1070" customFormat="1" ht="14.1" customHeight="1">
      <c r="A119" s="942">
        <f>+A118+1</f>
        <v>60</v>
      </c>
      <c r="B119" s="952" t="str">
        <f>+distribucion!B146</f>
        <v>Si Mes Pablo</v>
      </c>
      <c r="C119" s="953" t="str">
        <f>VLOOKUP(B119,distribucion!B$9:FK$200,2,0)</f>
        <v>Aux Mantenimiento</v>
      </c>
      <c r="D119" s="954">
        <f>G119+K119+M119</f>
        <v>3034.45</v>
      </c>
      <c r="E119" s="955">
        <f>VLOOKUP(B119,distribucion!B$9:FK$201,7,0)</f>
        <v>28</v>
      </c>
      <c r="F119" s="956" t="str">
        <f>VLOOKUP(B119,distribucion!$B$9:$DQ$288,14,0)</f>
        <v xml:space="preserve">falta injustificada </v>
      </c>
      <c r="G119" s="954">
        <f>ROUND((VLOOKUP(B119,distribucion!B$9:EI$201,94,0)),2)</f>
        <v>2955.29</v>
      </c>
      <c r="H119" s="954">
        <f>ROUND((VLOOKUP(B119,distribucion!B$9:EI$201,95,0)),2)</f>
        <v>2308.33</v>
      </c>
      <c r="I119" s="954">
        <f>G119+H119</f>
        <v>5263.62</v>
      </c>
      <c r="J119" s="957">
        <f>VLOOKUP(B119,distribucion!B$9:EI$201,96,0)</f>
        <v>4</v>
      </c>
      <c r="K119" s="953">
        <f>ROUND((VLOOKUP(B119,distribucion!B$9:EI$201,97,0)),2)</f>
        <v>79.16</v>
      </c>
      <c r="L119" s="953">
        <f>VLOOKUP(B119,distribucion!B$9:EI$201,98,0)</f>
        <v>0</v>
      </c>
      <c r="M119" s="953">
        <f>ROUND((VLOOKUP(B119,distribucion!B$9:EI$201,99,0)),2)</f>
        <v>0</v>
      </c>
      <c r="N119" s="953">
        <f>ROUND((VLOOKUP(B119,distribucion!B$9:EI$201,100,0)),2)</f>
        <v>0</v>
      </c>
      <c r="O119" s="954">
        <f>SUM(I119:N119)-J119-L119</f>
        <v>5342.78</v>
      </c>
      <c r="P119" s="976">
        <f>ROUND(((G119+K119+M119)*0.0483),2)</f>
        <v>146.56</v>
      </c>
      <c r="Q119" s="976">
        <f>ROUND((VLOOKUP(B119,distribucion!B$8:FK$200,151,0)),2)</f>
        <v>83.17</v>
      </c>
      <c r="R119" s="953">
        <f>ROUND((VLOOKUP(B119,distribucion!B$9:FK$200,152,0)),2)</f>
        <v>0</v>
      </c>
      <c r="S119" s="953">
        <f>ROUND((VLOOKUP(B119,distribucion!B$9:FK$200,153,0)),2)</f>
        <v>0</v>
      </c>
      <c r="T119" s="953">
        <f>ROUND((VLOOKUP(B119,distribucion!$B$4:$FE$231,159,0)),2)</f>
        <v>0</v>
      </c>
      <c r="U119" s="953">
        <f>ROUND((VLOOKUP(B119,distribucion!$B$5:$FE$232,158,0)),2)</f>
        <v>0</v>
      </c>
      <c r="V119" s="953">
        <f>ROUND((VLOOKUP(B119,distribucion!$B$7:$FE$237,154,0)),2)</f>
        <v>0</v>
      </c>
      <c r="W119" s="953">
        <f>ROUND((VLOOKUP(B119,distribucion!B$9:FK$200,160,0)),2)</f>
        <v>50</v>
      </c>
      <c r="X119" s="954">
        <f>SUM(P119:W119)</f>
        <v>279.73</v>
      </c>
      <c r="Y119" s="957">
        <f>O119-X119</f>
        <v>5063.0499999999993</v>
      </c>
      <c r="Z119" s="1121">
        <v>1631.72</v>
      </c>
      <c r="AA119" s="940">
        <f t="shared" si="136"/>
        <v>3431.329999999999</v>
      </c>
      <c r="AB119" s="977"/>
      <c r="AC119" s="978"/>
      <c r="AD119" s="958"/>
      <c r="AE119" s="937"/>
      <c r="AF119" s="939"/>
      <c r="AG119" s="959"/>
      <c r="AH119" s="959"/>
      <c r="AI119" s="959"/>
      <c r="AJ119" s="907"/>
      <c r="AK119" s="907"/>
      <c r="AL119" s="907"/>
    </row>
    <row r="120" spans="1:38" s="911" customFormat="1" ht="14.1" customHeight="1">
      <c r="A120" s="942">
        <f>+A119+1</f>
        <v>61</v>
      </c>
      <c r="B120" s="1041" t="s">
        <v>505</v>
      </c>
      <c r="C120" s="975" t="str">
        <f>VLOOKUP(B120,distribucion!B$9:FK$200,2,0)</f>
        <v>Mantenimiento</v>
      </c>
      <c r="D120" s="969">
        <f>G120+K120+M120</f>
        <v>3225.75</v>
      </c>
      <c r="E120" s="938">
        <f>VLOOKUP(B120,distribucion!B$9:FK$201,7,0)</f>
        <v>30</v>
      </c>
      <c r="F120" s="963">
        <f>VLOOKUP(B120,distribucion!$B$9:$DQ$288,14,0)</f>
        <v>0</v>
      </c>
      <c r="G120" s="945">
        <f>ROUND((VLOOKUP(B120,distribucion!B$9:EI$201,94,0)),2)</f>
        <v>3166.38</v>
      </c>
      <c r="H120" s="945">
        <f>ROUND((VLOOKUP(B120,distribucion!B$9:EI$201,95,0)),2)</f>
        <v>3600</v>
      </c>
      <c r="I120" s="969">
        <f>G120+H120</f>
        <v>6766.38</v>
      </c>
      <c r="J120" s="970">
        <f>VLOOKUP(B120,distribucion!B$9:EI$201,96,0)</f>
        <v>3</v>
      </c>
      <c r="K120" s="971">
        <f>ROUND((VLOOKUP(B120,distribucion!B$9:EI$201,97,0)),2)</f>
        <v>59.37</v>
      </c>
      <c r="L120" s="971">
        <f>VLOOKUP(B120,distribucion!B$9:EI$201,98,0)</f>
        <v>0</v>
      </c>
      <c r="M120" s="971">
        <f>ROUND((VLOOKUP(B120,distribucion!B$9:EI$201,99,0)),2)</f>
        <v>0</v>
      </c>
      <c r="N120" s="971">
        <f>ROUND((VLOOKUP(B120,distribucion!B$9:EI$201,100,0)),2)</f>
        <v>0</v>
      </c>
      <c r="O120" s="969">
        <f>SUM(I120:N120)-J120-L120</f>
        <v>6825.75</v>
      </c>
      <c r="P120" s="972">
        <f>ROUND(((G120+K120+M120)*0.0483),2)</f>
        <v>155.80000000000001</v>
      </c>
      <c r="Q120" s="972">
        <f>ROUND((VLOOKUP(B120,distribucion!B$8:FK$200,151,0)),2)</f>
        <v>203.17</v>
      </c>
      <c r="R120" s="971">
        <f>ROUND((VLOOKUP(B120,distribucion!B$9:FK$200,152,0)),2)</f>
        <v>0</v>
      </c>
      <c r="S120" s="971">
        <f>ROUND((VLOOKUP(B120,distribucion!B$9:FK$200,153,0)),2)</f>
        <v>0</v>
      </c>
      <c r="T120" s="971">
        <f>ROUND((VLOOKUP(B120,distribucion!$B$4:$FE$231,159,0)),2)</f>
        <v>0</v>
      </c>
      <c r="U120" s="971">
        <f>ROUND((VLOOKUP(B120,distribucion!$B$5:$FE$232,158,0)),2)</f>
        <v>0</v>
      </c>
      <c r="V120" s="971">
        <f>ROUND((VLOOKUP(B120,distribucion!$B$7:$FE$237,154,0)),2)</f>
        <v>164.5</v>
      </c>
      <c r="W120" s="971">
        <f>ROUND((VLOOKUP(B120,distribucion!B$9:FK$200,160,0)),2)</f>
        <v>50</v>
      </c>
      <c r="X120" s="969">
        <f>SUM(P120:W120)</f>
        <v>573.47</v>
      </c>
      <c r="Y120" s="970">
        <f>O120-X120</f>
        <v>6252.28</v>
      </c>
      <c r="Z120" s="1121">
        <v>1756.22</v>
      </c>
      <c r="AA120" s="940">
        <f t="shared" si="136"/>
        <v>4496.0599999999995</v>
      </c>
      <c r="AB120" s="966">
        <f t="shared" si="133"/>
        <v>1756.22</v>
      </c>
      <c r="AC120" s="967">
        <f t="shared" si="134"/>
        <v>2739.8399999999992</v>
      </c>
      <c r="AD120" s="968">
        <f t="shared" si="132"/>
        <v>0</v>
      </c>
      <c r="AE120" s="937"/>
      <c r="AF120" s="939"/>
      <c r="AG120" s="913"/>
      <c r="AH120" s="913"/>
      <c r="AI120" s="913"/>
      <c r="AJ120" s="921"/>
      <c r="AK120" s="921"/>
      <c r="AL120" s="921"/>
    </row>
    <row r="121" spans="1:38" s="911" customFormat="1" ht="14.1" customHeight="1">
      <c r="A121" s="960"/>
      <c r="B121" s="913"/>
      <c r="C121" s="937" t="s">
        <v>204</v>
      </c>
      <c r="D121" s="961" t="s">
        <v>204</v>
      </c>
      <c r="E121" s="962"/>
      <c r="F121" s="962"/>
      <c r="G121" s="989">
        <f>SUM(G118:G120)</f>
        <v>11121.67</v>
      </c>
      <c r="H121" s="989">
        <f t="shared" ref="H121:Y121" si="137">SUM(H118:H120)</f>
        <v>10011.470000000001</v>
      </c>
      <c r="I121" s="989">
        <f t="shared" si="137"/>
        <v>21133.14</v>
      </c>
      <c r="J121" s="990">
        <f t="shared" si="137"/>
        <v>7</v>
      </c>
      <c r="K121" s="991">
        <f t="shared" si="137"/>
        <v>138.53</v>
      </c>
      <c r="L121" s="991">
        <f t="shared" si="137"/>
        <v>0</v>
      </c>
      <c r="M121" s="991">
        <f t="shared" si="137"/>
        <v>0</v>
      </c>
      <c r="N121" s="991">
        <f t="shared" si="137"/>
        <v>0</v>
      </c>
      <c r="O121" s="989">
        <f t="shared" si="137"/>
        <v>21271.67</v>
      </c>
      <c r="P121" s="992">
        <f t="shared" si="137"/>
        <v>543.86</v>
      </c>
      <c r="Q121" s="992">
        <f t="shared" si="137"/>
        <v>461.81999999999994</v>
      </c>
      <c r="R121" s="991">
        <f t="shared" si="137"/>
        <v>0</v>
      </c>
      <c r="S121" s="991">
        <f t="shared" si="137"/>
        <v>0</v>
      </c>
      <c r="T121" s="991">
        <f t="shared" si="137"/>
        <v>0</v>
      </c>
      <c r="U121" s="991">
        <f t="shared" si="137"/>
        <v>0</v>
      </c>
      <c r="V121" s="991">
        <f t="shared" si="137"/>
        <v>217.75</v>
      </c>
      <c r="W121" s="991">
        <f t="shared" si="137"/>
        <v>390</v>
      </c>
      <c r="X121" s="989">
        <f t="shared" si="137"/>
        <v>1613.43</v>
      </c>
      <c r="Y121" s="990">
        <f t="shared" si="137"/>
        <v>19658.239999999998</v>
      </c>
      <c r="Z121" s="990">
        <f>SUM(Z118:Z120)</f>
        <v>9232.08</v>
      </c>
      <c r="AA121" s="990">
        <f>SUM(AA118:AA120)</f>
        <v>10426.16</v>
      </c>
      <c r="AB121" s="966">
        <f t="shared" si="133"/>
        <v>9232.08</v>
      </c>
      <c r="AC121" s="967">
        <f t="shared" si="134"/>
        <v>1194.08</v>
      </c>
      <c r="AD121" s="968">
        <f t="shared" si="132"/>
        <v>0</v>
      </c>
      <c r="AE121" s="937"/>
      <c r="AF121" s="939"/>
      <c r="AG121" s="934"/>
      <c r="AH121" s="913"/>
      <c r="AI121" s="913"/>
      <c r="AJ121" s="921"/>
      <c r="AK121" s="921"/>
      <c r="AL121" s="921"/>
    </row>
    <row r="122" spans="1:38" s="911" customFormat="1" ht="14.1" customHeight="1">
      <c r="A122" s="960"/>
      <c r="B122" s="913"/>
      <c r="C122" s="937"/>
      <c r="D122" s="961"/>
      <c r="E122" s="962"/>
      <c r="F122" s="962"/>
      <c r="G122" s="969"/>
      <c r="H122" s="969"/>
      <c r="I122" s="969"/>
      <c r="J122" s="970"/>
      <c r="K122" s="971"/>
      <c r="L122" s="971"/>
      <c r="M122" s="971"/>
      <c r="N122" s="971"/>
      <c r="O122" s="969"/>
      <c r="P122" s="972"/>
      <c r="Q122" s="972"/>
      <c r="R122" s="971"/>
      <c r="S122" s="971"/>
      <c r="T122" s="971"/>
      <c r="U122" s="971"/>
      <c r="V122" s="971"/>
      <c r="W122" s="971"/>
      <c r="X122" s="969"/>
      <c r="Y122" s="970"/>
      <c r="Z122" s="970"/>
      <c r="AA122" s="969"/>
      <c r="AB122" s="966"/>
      <c r="AC122" s="967"/>
      <c r="AD122" s="968"/>
      <c r="AE122" s="937"/>
      <c r="AF122" s="939"/>
      <c r="AG122" s="934"/>
      <c r="AH122" s="913"/>
      <c r="AI122" s="913"/>
      <c r="AJ122" s="921"/>
      <c r="AK122" s="921"/>
      <c r="AL122" s="921"/>
    </row>
    <row r="123" spans="1:38" s="911" customFormat="1" ht="14.1" customHeight="1">
      <c r="A123" s="960"/>
      <c r="B123" s="913"/>
      <c r="C123" s="937"/>
      <c r="D123" s="961"/>
      <c r="E123" s="962"/>
      <c r="F123" s="962"/>
      <c r="G123" s="969"/>
      <c r="H123" s="969"/>
      <c r="I123" s="969"/>
      <c r="J123" s="970"/>
      <c r="K123" s="971"/>
      <c r="L123" s="971"/>
      <c r="M123" s="971"/>
      <c r="N123" s="971"/>
      <c r="O123" s="969"/>
      <c r="P123" s="972"/>
      <c r="Q123" s="972"/>
      <c r="R123" s="971"/>
      <c r="S123" s="971"/>
      <c r="T123" s="971"/>
      <c r="U123" s="971"/>
      <c r="V123" s="971"/>
      <c r="W123" s="971"/>
      <c r="X123" s="969"/>
      <c r="Y123" s="970"/>
      <c r="Z123" s="970"/>
      <c r="AA123" s="969"/>
      <c r="AB123" s="966"/>
      <c r="AC123" s="967"/>
      <c r="AD123" s="968"/>
      <c r="AE123" s="937"/>
      <c r="AF123" s="939"/>
      <c r="AG123" s="934"/>
      <c r="AH123" s="913"/>
      <c r="AI123" s="913"/>
      <c r="AJ123" s="921"/>
      <c r="AK123" s="921"/>
      <c r="AL123" s="921"/>
    </row>
    <row r="124" spans="1:38" s="911" customFormat="1" ht="14.1" customHeight="1">
      <c r="A124" s="960"/>
      <c r="B124" s="935" t="s">
        <v>192</v>
      </c>
      <c r="C124" s="937"/>
      <c r="D124" s="961"/>
      <c r="E124" s="962"/>
      <c r="F124" s="962"/>
      <c r="G124" s="969"/>
      <c r="H124" s="969"/>
      <c r="I124" s="969"/>
      <c r="J124" s="970"/>
      <c r="K124" s="971"/>
      <c r="L124" s="971"/>
      <c r="M124" s="971"/>
      <c r="N124" s="971"/>
      <c r="O124" s="969"/>
      <c r="P124" s="972"/>
      <c r="Q124" s="972"/>
      <c r="R124" s="971"/>
      <c r="S124" s="971"/>
      <c r="T124" s="971"/>
      <c r="U124" s="971"/>
      <c r="V124" s="971"/>
      <c r="W124" s="971"/>
      <c r="X124" s="969"/>
      <c r="Y124" s="970"/>
      <c r="Z124" s="970"/>
      <c r="AA124" s="969"/>
      <c r="AB124" s="966"/>
      <c r="AC124" s="967"/>
      <c r="AD124" s="968"/>
      <c r="AE124" s="937"/>
      <c r="AF124" s="939"/>
      <c r="AG124" s="934"/>
      <c r="AH124" s="913"/>
      <c r="AI124" s="913"/>
      <c r="AJ124" s="921"/>
      <c r="AK124" s="921"/>
      <c r="AL124" s="921"/>
    </row>
    <row r="125" spans="1:38" s="911" customFormat="1" ht="14.1" customHeight="1">
      <c r="A125" s="960">
        <v>62</v>
      </c>
      <c r="B125" s="913" t="str">
        <f>+distribucion!B189</f>
        <v>Brandao De Melo Lucenilza</v>
      </c>
      <c r="C125" s="975" t="str">
        <f>VLOOKUP(B125,distribucion!B$9:FK$200,2,0)</f>
        <v>Communitry Manager</v>
      </c>
      <c r="D125" s="969">
        <f>G125+K125+M125</f>
        <v>4000</v>
      </c>
      <c r="E125" s="938">
        <f>VLOOKUP(B125,distribucion!B$9:FK$201,7,0)</f>
        <v>30</v>
      </c>
      <c r="F125" s="963" t="str">
        <f>VLOOKUP(B125,distribucion!$B$9:$DQ$288,14,0)</f>
        <v>LIQUIDACION LABORAL ANUAL AL 31.12</v>
      </c>
      <c r="G125" s="945">
        <f>ROUND((VLOOKUP(B125,distribucion!B$9:EI$201,94,0)),2)</f>
        <v>4000</v>
      </c>
      <c r="H125" s="945">
        <f>ROUND((VLOOKUP(B125,distribucion!B$9:EI$201,95,0)),2)</f>
        <v>21000</v>
      </c>
      <c r="I125" s="969">
        <f>G125+H125</f>
        <v>25000</v>
      </c>
      <c r="J125" s="970">
        <f>VLOOKUP(B125,distribucion!B$9:EI$201,96,0)</f>
        <v>0</v>
      </c>
      <c r="K125" s="971">
        <f>ROUND((VLOOKUP(B125,distribucion!B$9:EI$201,97,0)),2)</f>
        <v>0</v>
      </c>
      <c r="L125" s="971">
        <f>VLOOKUP(B125,distribucion!B$9:EI$201,98,0)</f>
        <v>0</v>
      </c>
      <c r="M125" s="971">
        <f>ROUND((VLOOKUP(B125,distribucion!B$9:EI$201,99,0)),2)</f>
        <v>0</v>
      </c>
      <c r="N125" s="971">
        <f>ROUND((VLOOKUP(B125,distribucion!B$9:EI$201,100,0)),2)</f>
        <v>0</v>
      </c>
      <c r="O125" s="969">
        <f>SUM(I125:N125)-J125-L125</f>
        <v>25000</v>
      </c>
      <c r="P125" s="972">
        <f>ROUND(((G125+K125+M125)*0.0483),2)</f>
        <v>193.2</v>
      </c>
      <c r="Q125" s="972">
        <f>ROUND((VLOOKUP(B125,distribucion!B$8:FK$200,151,0)),2)</f>
        <v>1041.1500000000001</v>
      </c>
      <c r="R125" s="971">
        <f>ROUND((VLOOKUP(B125,distribucion!B$9:FK$200,152,0)),2)</f>
        <v>0</v>
      </c>
      <c r="S125" s="971">
        <f>ROUND((VLOOKUP(B125,distribucion!B$9:FK$200,153,0)),2)</f>
        <v>0</v>
      </c>
      <c r="T125" s="971">
        <f>ROUND((VLOOKUP(B125,distribucion!$B$4:$FE$231,159,0)),2)</f>
        <v>0</v>
      </c>
      <c r="U125" s="971">
        <f>ROUND((VLOOKUP(B125,distribucion!$B$5:$FE$232,158,0)),2)</f>
        <v>0</v>
      </c>
      <c r="V125" s="971">
        <f>ROUND((VLOOKUP(B125,distribucion!$B$7:$FE$237,154,0)),2)</f>
        <v>0</v>
      </c>
      <c r="W125" s="971">
        <f>ROUND((VLOOKUP(B125,distribucion!B$9:FK$200,160,0)),2)</f>
        <v>0</v>
      </c>
      <c r="X125" s="969">
        <f>SUM(P125:W125)</f>
        <v>1234.3500000000001</v>
      </c>
      <c r="Y125" s="970">
        <f>O125-X125</f>
        <v>23765.65</v>
      </c>
      <c r="Z125" s="1121">
        <v>11721.96</v>
      </c>
      <c r="AA125" s="940">
        <f t="shared" ref="AA125" si="138">+Y125-Z125</f>
        <v>12043.690000000002</v>
      </c>
      <c r="AB125" s="966"/>
      <c r="AC125" s="967"/>
      <c r="AD125" s="968"/>
      <c r="AE125" s="937"/>
      <c r="AF125" s="939"/>
      <c r="AG125" s="934"/>
      <c r="AH125" s="913"/>
      <c r="AI125" s="913"/>
      <c r="AJ125" s="921"/>
      <c r="AK125" s="921"/>
      <c r="AL125" s="921"/>
    </row>
    <row r="126" spans="1:38" s="911" customFormat="1" ht="14.1" customHeight="1">
      <c r="A126" s="960"/>
      <c r="B126" s="913"/>
      <c r="C126" s="937" t="s">
        <v>204</v>
      </c>
      <c r="D126" s="961" t="s">
        <v>204</v>
      </c>
      <c r="E126" s="962"/>
      <c r="F126" s="962"/>
      <c r="G126" s="989">
        <f>SUM(G124:G125)</f>
        <v>4000</v>
      </c>
      <c r="H126" s="989">
        <f t="shared" ref="H126:Y126" si="139">SUM(H124:H125)</f>
        <v>21000</v>
      </c>
      <c r="I126" s="989">
        <f t="shared" si="139"/>
        <v>25000</v>
      </c>
      <c r="J126" s="990">
        <f t="shared" si="139"/>
        <v>0</v>
      </c>
      <c r="K126" s="991">
        <f t="shared" si="139"/>
        <v>0</v>
      </c>
      <c r="L126" s="991">
        <f t="shared" si="139"/>
        <v>0</v>
      </c>
      <c r="M126" s="991">
        <f t="shared" si="139"/>
        <v>0</v>
      </c>
      <c r="N126" s="991">
        <f t="shared" si="139"/>
        <v>0</v>
      </c>
      <c r="O126" s="989">
        <f t="shared" si="139"/>
        <v>25000</v>
      </c>
      <c r="P126" s="992">
        <f t="shared" si="139"/>
        <v>193.2</v>
      </c>
      <c r="Q126" s="992">
        <f t="shared" si="139"/>
        <v>1041.1500000000001</v>
      </c>
      <c r="R126" s="991">
        <f t="shared" si="139"/>
        <v>0</v>
      </c>
      <c r="S126" s="991">
        <f t="shared" si="139"/>
        <v>0</v>
      </c>
      <c r="T126" s="991">
        <f t="shared" si="139"/>
        <v>0</v>
      </c>
      <c r="U126" s="991">
        <f t="shared" si="139"/>
        <v>0</v>
      </c>
      <c r="V126" s="991">
        <f t="shared" si="139"/>
        <v>0</v>
      </c>
      <c r="W126" s="991">
        <f t="shared" si="139"/>
        <v>0</v>
      </c>
      <c r="X126" s="989">
        <f t="shared" si="139"/>
        <v>1234.3500000000001</v>
      </c>
      <c r="Y126" s="990">
        <f t="shared" si="139"/>
        <v>23765.65</v>
      </c>
      <c r="Z126" s="990">
        <f>SUM(Z124:Z125)</f>
        <v>11721.96</v>
      </c>
      <c r="AA126" s="989">
        <f>SUM(AA124:AA125)</f>
        <v>12043.690000000002</v>
      </c>
      <c r="AB126" s="966">
        <f t="shared" ref="AB126" si="140">+Z126</f>
        <v>11721.96</v>
      </c>
      <c r="AC126" s="967">
        <f t="shared" ref="AC126" si="141">+AA126-AB126</f>
        <v>321.7300000000032</v>
      </c>
      <c r="AD126" s="968">
        <f t="shared" ref="AD126" si="142">+Y126-Z126-AA126</f>
        <v>0</v>
      </c>
      <c r="AE126" s="937"/>
      <c r="AF126" s="939"/>
      <c r="AG126" s="934"/>
      <c r="AH126" s="913"/>
      <c r="AI126" s="913"/>
      <c r="AJ126" s="921"/>
      <c r="AK126" s="921"/>
      <c r="AL126" s="921"/>
    </row>
    <row r="127" spans="1:38" s="911" customFormat="1" ht="14.1" customHeight="1">
      <c r="A127" s="960"/>
      <c r="B127" s="913"/>
      <c r="C127" s="937"/>
      <c r="D127" s="961"/>
      <c r="E127" s="962"/>
      <c r="F127" s="962"/>
      <c r="G127" s="969"/>
      <c r="H127" s="969"/>
      <c r="I127" s="969"/>
      <c r="J127" s="970"/>
      <c r="K127" s="971"/>
      <c r="L127" s="971"/>
      <c r="M127" s="971"/>
      <c r="N127" s="971"/>
      <c r="O127" s="969"/>
      <c r="P127" s="972"/>
      <c r="Q127" s="972"/>
      <c r="R127" s="971"/>
      <c r="S127" s="971"/>
      <c r="T127" s="971"/>
      <c r="U127" s="971"/>
      <c r="V127" s="971"/>
      <c r="W127" s="971"/>
      <c r="X127" s="969"/>
      <c r="Y127" s="970"/>
      <c r="Z127" s="970"/>
      <c r="AA127" s="969"/>
      <c r="AB127" s="966"/>
      <c r="AC127" s="967"/>
      <c r="AD127" s="968"/>
      <c r="AE127" s="937"/>
      <c r="AF127" s="939"/>
      <c r="AG127" s="934"/>
      <c r="AH127" s="913"/>
      <c r="AI127" s="913"/>
      <c r="AJ127" s="921"/>
      <c r="AK127" s="921"/>
      <c r="AL127" s="921"/>
    </row>
    <row r="128" spans="1:38" s="911" customFormat="1" ht="14.1" customHeight="1">
      <c r="A128" s="960"/>
      <c r="B128" s="913"/>
      <c r="C128" s="937"/>
      <c r="D128" s="961"/>
      <c r="E128" s="962"/>
      <c r="F128" s="962"/>
      <c r="G128" s="945"/>
      <c r="H128" s="945"/>
      <c r="I128" s="945"/>
      <c r="J128" s="948"/>
      <c r="K128" s="944"/>
      <c r="L128" s="944"/>
      <c r="M128" s="944"/>
      <c r="N128" s="944"/>
      <c r="O128" s="945"/>
      <c r="P128" s="1039"/>
      <c r="Q128" s="1039"/>
      <c r="R128" s="944"/>
      <c r="S128" s="944"/>
      <c r="T128" s="944"/>
      <c r="U128" s="944"/>
      <c r="V128" s="944"/>
      <c r="W128" s="944"/>
      <c r="X128" s="945"/>
      <c r="Y128" s="948"/>
      <c r="Z128" s="948"/>
      <c r="AA128" s="945"/>
      <c r="AB128" s="966">
        <f t="shared" si="133"/>
        <v>0</v>
      </c>
      <c r="AC128" s="967">
        <f t="shared" si="134"/>
        <v>0</v>
      </c>
      <c r="AD128" s="968">
        <f t="shared" si="132"/>
        <v>0</v>
      </c>
      <c r="AE128" s="937"/>
      <c r="AF128" s="939"/>
      <c r="AG128" s="913"/>
      <c r="AH128" s="913"/>
      <c r="AI128" s="913"/>
      <c r="AJ128" s="921"/>
      <c r="AK128" s="921"/>
      <c r="AL128" s="921"/>
    </row>
    <row r="129" spans="1:38" s="995" customFormat="1" ht="14.1" customHeight="1">
      <c r="A129" s="960"/>
      <c r="B129" s="937" t="s">
        <v>236</v>
      </c>
      <c r="C129" s="937"/>
      <c r="D129" s="961"/>
      <c r="E129" s="962"/>
      <c r="F129" s="962"/>
      <c r="G129" s="945"/>
      <c r="H129" s="945"/>
      <c r="I129" s="945"/>
      <c r="J129" s="948"/>
      <c r="K129" s="944"/>
      <c r="L129" s="944"/>
      <c r="M129" s="944"/>
      <c r="N129" s="944"/>
      <c r="O129" s="945"/>
      <c r="P129" s="1039"/>
      <c r="Q129" s="1039"/>
      <c r="R129" s="944"/>
      <c r="S129" s="944"/>
      <c r="T129" s="944"/>
      <c r="U129" s="944"/>
      <c r="V129" s="944"/>
      <c r="W129" s="944"/>
      <c r="X129" s="945"/>
      <c r="Y129" s="948"/>
      <c r="Z129" s="948"/>
      <c r="AA129" s="945"/>
      <c r="AB129" s="966">
        <f t="shared" si="133"/>
        <v>0</v>
      </c>
      <c r="AC129" s="967">
        <f t="shared" si="134"/>
        <v>0</v>
      </c>
      <c r="AD129" s="968">
        <f t="shared" si="132"/>
        <v>0</v>
      </c>
      <c r="AE129" s="937"/>
      <c r="AF129" s="939"/>
      <c r="AG129" s="993"/>
      <c r="AH129" s="993"/>
      <c r="AI129" s="993"/>
      <c r="AJ129" s="994"/>
      <c r="AK129" s="994"/>
      <c r="AL129" s="994"/>
    </row>
    <row r="130" spans="1:38" s="995" customFormat="1" ht="14.1" customHeight="1">
      <c r="A130" s="960"/>
      <c r="B130" s="937"/>
      <c r="C130" s="937"/>
      <c r="D130" s="961"/>
      <c r="E130" s="962"/>
      <c r="F130" s="962"/>
      <c r="G130" s="945"/>
      <c r="H130" s="945"/>
      <c r="I130" s="945"/>
      <c r="J130" s="948"/>
      <c r="K130" s="944"/>
      <c r="L130" s="944"/>
      <c r="M130" s="944"/>
      <c r="N130" s="944"/>
      <c r="O130" s="945"/>
      <c r="P130" s="1039"/>
      <c r="Q130" s="1039"/>
      <c r="R130" s="944"/>
      <c r="S130" s="944"/>
      <c r="T130" s="944"/>
      <c r="U130" s="944"/>
      <c r="V130" s="944"/>
      <c r="W130" s="944"/>
      <c r="X130" s="945"/>
      <c r="Y130" s="948"/>
      <c r="Z130" s="948"/>
      <c r="AA130" s="945"/>
      <c r="AB130" s="966">
        <f t="shared" si="133"/>
        <v>0</v>
      </c>
      <c r="AC130" s="967">
        <f t="shared" si="134"/>
        <v>0</v>
      </c>
      <c r="AD130" s="968">
        <f t="shared" si="132"/>
        <v>0</v>
      </c>
      <c r="AE130" s="937"/>
      <c r="AF130" s="939"/>
      <c r="AG130" s="993"/>
      <c r="AH130" s="993"/>
      <c r="AI130" s="993"/>
      <c r="AJ130" s="994"/>
      <c r="AK130" s="994"/>
      <c r="AL130" s="994"/>
    </row>
    <row r="131" spans="1:38" s="911" customFormat="1" ht="14.1" customHeight="1">
      <c r="A131" s="960"/>
      <c r="B131" s="1056" t="s">
        <v>121</v>
      </c>
      <c r="C131" s="937"/>
      <c r="D131" s="961"/>
      <c r="E131" s="962"/>
      <c r="F131" s="962"/>
      <c r="G131" s="945"/>
      <c r="H131" s="945"/>
      <c r="I131" s="945"/>
      <c r="J131" s="948"/>
      <c r="K131" s="944"/>
      <c r="L131" s="944"/>
      <c r="M131" s="944"/>
      <c r="N131" s="944"/>
      <c r="O131" s="945"/>
      <c r="P131" s="1039"/>
      <c r="Q131" s="1039"/>
      <c r="R131" s="944"/>
      <c r="S131" s="944"/>
      <c r="T131" s="944"/>
      <c r="U131" s="944"/>
      <c r="V131" s="944"/>
      <c r="W131" s="944"/>
      <c r="X131" s="945"/>
      <c r="Y131" s="948"/>
      <c r="Z131" s="948"/>
      <c r="AA131" s="945"/>
      <c r="AB131" s="966">
        <f t="shared" si="133"/>
        <v>0</v>
      </c>
      <c r="AC131" s="967">
        <f t="shared" si="134"/>
        <v>0</v>
      </c>
      <c r="AD131" s="968">
        <f t="shared" si="132"/>
        <v>0</v>
      </c>
      <c r="AE131" s="937"/>
      <c r="AF131" s="939"/>
      <c r="AG131" s="913"/>
      <c r="AH131" s="913"/>
      <c r="AI131" s="913"/>
      <c r="AJ131" s="921"/>
      <c r="AK131" s="921"/>
      <c r="AL131" s="921"/>
    </row>
    <row r="132" spans="1:38" s="911" customFormat="1" ht="14.1" customHeight="1">
      <c r="A132" s="960"/>
      <c r="B132" s="1056" t="s">
        <v>237</v>
      </c>
      <c r="C132" s="937"/>
      <c r="D132" s="961"/>
      <c r="E132" s="962"/>
      <c r="F132" s="962"/>
      <c r="G132" s="1078"/>
      <c r="H132" s="1078"/>
      <c r="I132" s="1078"/>
      <c r="J132" s="1079"/>
      <c r="K132" s="1080"/>
      <c r="L132" s="1080"/>
      <c r="M132" s="1080"/>
      <c r="N132" s="1080"/>
      <c r="O132" s="1078"/>
      <c r="P132" s="1081"/>
      <c r="Q132" s="1081"/>
      <c r="R132" s="1080"/>
      <c r="S132" s="1080"/>
      <c r="T132" s="1080"/>
      <c r="U132" s="1080"/>
      <c r="V132" s="1080"/>
      <c r="W132" s="1080"/>
      <c r="X132" s="1078"/>
      <c r="Y132" s="948"/>
      <c r="Z132" s="948"/>
      <c r="AA132" s="1078"/>
      <c r="AB132" s="966">
        <f t="shared" si="133"/>
        <v>0</v>
      </c>
      <c r="AC132" s="967">
        <f t="shared" ref="AC132:AC147" si="143">+AA132-AB132</f>
        <v>0</v>
      </c>
      <c r="AD132" s="968">
        <f t="shared" si="132"/>
        <v>0</v>
      </c>
      <c r="AE132" s="937"/>
      <c r="AF132" s="939"/>
      <c r="AG132" s="913"/>
      <c r="AH132" s="913"/>
      <c r="AI132" s="913"/>
      <c r="AJ132" s="921"/>
      <c r="AK132" s="921"/>
      <c r="AL132" s="921"/>
    </row>
    <row r="133" spans="1:38" s="1071" customFormat="1" ht="14.1" customHeight="1">
      <c r="A133" s="942">
        <v>63</v>
      </c>
      <c r="B133" s="950" t="s">
        <v>604</v>
      </c>
      <c r="C133" s="942" t="str">
        <f>VLOOKUP(B133,distribucion!B$9:FK$200,2,0)</f>
        <v>Gerente Comercial</v>
      </c>
      <c r="D133" s="1082">
        <f>G133+K133+M133</f>
        <v>13000</v>
      </c>
      <c r="E133" s="946">
        <f>VLOOKUP(B133,distribucion!B$9:FK$201,7,0)</f>
        <v>30</v>
      </c>
      <c r="F133" s="1083">
        <f>VLOOKUP(B133,distribucion!$B$9:$DQ$288,14,0)</f>
        <v>0</v>
      </c>
      <c r="G133" s="945">
        <f>ROUND((VLOOKUP(B133,distribucion!B$9:EI$201,94,0)),2)</f>
        <v>13000</v>
      </c>
      <c r="H133" s="945">
        <f>ROUND((VLOOKUP(B133,distribucion!B$9:EI$201,95,0)),2)</f>
        <v>12919.57</v>
      </c>
      <c r="I133" s="945">
        <f>G133+H133</f>
        <v>25919.57</v>
      </c>
      <c r="J133" s="948">
        <f>VLOOKUP(B133,distribucion!B$9:EI$201,96,0)</f>
        <v>0</v>
      </c>
      <c r="K133" s="944">
        <f>ROUND((VLOOKUP(B133,distribucion!B$9:EI$201,97,0)),2)</f>
        <v>0</v>
      </c>
      <c r="L133" s="944">
        <f>VLOOKUP(B133,distribucion!B$9:EI$201,98,0)</f>
        <v>0</v>
      </c>
      <c r="M133" s="944">
        <f>ROUND((VLOOKUP(B133,distribucion!B$9:EI$201,99,0)),2)</f>
        <v>0</v>
      </c>
      <c r="N133" s="944">
        <f>ROUND((VLOOKUP(B133,distribucion!B$9:EI$201,100,0)),2)</f>
        <v>0</v>
      </c>
      <c r="O133" s="945">
        <f>SUM(I133:N133)-J133-L133</f>
        <v>25919.57</v>
      </c>
      <c r="P133" s="1039">
        <f>ROUND(((G133+K133+M133)*0.0483),2)</f>
        <v>627.9</v>
      </c>
      <c r="Q133" s="1039">
        <f>ROUND((VLOOKUP(B133,distribucion!B$8:FK$200,151,0)),2)</f>
        <v>1071.1099999999999</v>
      </c>
      <c r="R133" s="1039">
        <f>ROUND((VLOOKUP(B133,distribucion!B$9:FK$200,152,0)),2)</f>
        <v>0</v>
      </c>
      <c r="S133" s="1039">
        <f>ROUND((VLOOKUP(B133,distribucion!B$9:FK$200,153,0)),2)</f>
        <v>0</v>
      </c>
      <c r="T133" s="1039">
        <f>ROUND((VLOOKUP(B133,distribucion!$B$4:$FE$231,159,0)),2)</f>
        <v>0</v>
      </c>
      <c r="U133" s="1039">
        <f>ROUND((VLOOKUP(B133,distribucion!$B$5:$FE$232,158,0)),2)</f>
        <v>0</v>
      </c>
      <c r="V133" s="1039">
        <f>ROUND((VLOOKUP(B133,distribucion!$B$7:$FE$237,154,0)),2)</f>
        <v>0</v>
      </c>
      <c r="W133" s="1039">
        <f>ROUND((VLOOKUP(B133,distribucion!B$9:FK$200,160,0)),2)</f>
        <v>150</v>
      </c>
      <c r="X133" s="983">
        <f>SUM(P133:W133)</f>
        <v>1849.0099999999998</v>
      </c>
      <c r="Y133" s="948">
        <f>O133-X133</f>
        <v>24070.560000000001</v>
      </c>
      <c r="Z133" s="1121">
        <v>16431.849999999999</v>
      </c>
      <c r="AA133" s="940">
        <f>+Y133-Z133</f>
        <v>7638.7100000000028</v>
      </c>
      <c r="AB133" s="1040"/>
      <c r="AC133" s="1002"/>
      <c r="AD133" s="949">
        <f>+Y133-Z133-AA133</f>
        <v>0</v>
      </c>
      <c r="AE133" s="937"/>
      <c r="AF133" s="939"/>
      <c r="AG133" s="950"/>
      <c r="AH133" s="950"/>
      <c r="AI133" s="950"/>
      <c r="AJ133" s="951"/>
      <c r="AK133" s="951"/>
      <c r="AL133" s="951"/>
    </row>
    <row r="134" spans="1:38" s="1084" customFormat="1" ht="14.1" customHeight="1">
      <c r="A134" s="1003">
        <v>64</v>
      </c>
      <c r="B134" s="1057" t="str">
        <f>+distribucion!B158</f>
        <v>Ramos Caracun Jose Ottoniel</v>
      </c>
      <c r="C134" s="980" t="str">
        <f>VLOOKUP(B134,distribucion!B$9:FK$200,2,0)</f>
        <v>Coordinador Administrativo</v>
      </c>
      <c r="D134" s="940">
        <f>G134+K134+M134</f>
        <v>4000</v>
      </c>
      <c r="E134" s="981">
        <f>VLOOKUP(B134,distribucion!B$9:FK$201,7,0)</f>
        <v>30</v>
      </c>
      <c r="F134" s="982">
        <f>VLOOKUP(B134,distribucion!$B$9:$DQ$288,14,0)</f>
        <v>0</v>
      </c>
      <c r="G134" s="983">
        <f>ROUND((VLOOKUP(B134,distribucion!B$9:EI$201,94,0)),2)</f>
        <v>4000</v>
      </c>
      <c r="H134" s="983">
        <f>ROUND((VLOOKUP(B134,distribucion!B$9:EI$201,95,0)),2)</f>
        <v>2514.9499999999998</v>
      </c>
      <c r="I134" s="940">
        <f>G134+H134</f>
        <v>6514.95</v>
      </c>
      <c r="J134" s="984">
        <f>VLOOKUP(B134,distribucion!B$9:EI$201,96,0)</f>
        <v>0</v>
      </c>
      <c r="K134" s="972">
        <f>ROUND((VLOOKUP(B134,distribucion!B$9:EI$201,97,0)),2)</f>
        <v>0</v>
      </c>
      <c r="L134" s="972">
        <f>VLOOKUP(B134,distribucion!B$9:EI$201,98,0)</f>
        <v>0</v>
      </c>
      <c r="M134" s="972">
        <f>ROUND((VLOOKUP(B134,distribucion!B$9:EI$201,99,0)),2)</f>
        <v>0</v>
      </c>
      <c r="N134" s="972">
        <f>ROUND((VLOOKUP(B134,distribucion!B$9:EI$201,100,0)),2)</f>
        <v>0</v>
      </c>
      <c r="O134" s="940">
        <f>SUM(I134:N134)-J134-L134</f>
        <v>6514.95</v>
      </c>
      <c r="P134" s="972">
        <f>ROUND(((G134+K134+M134)*0.0483),2)</f>
        <v>193.2</v>
      </c>
      <c r="Q134" s="972">
        <f>ROUND((VLOOKUP(B134,distribucion!B$8:FK$200,151,0)),2)</f>
        <v>86.59</v>
      </c>
      <c r="R134" s="972">
        <f>ROUND((VLOOKUP(B134,distribucion!B$9:FK$200,152,0)),2)</f>
        <v>0</v>
      </c>
      <c r="S134" s="972">
        <f>ROUND((VLOOKUP(B134,distribucion!B$9:FK$200,153,0)),2)</f>
        <v>0</v>
      </c>
      <c r="T134" s="972">
        <f>ROUND((VLOOKUP(B134,distribucion!$B$4:$FE$231,159,0)),2)</f>
        <v>0</v>
      </c>
      <c r="U134" s="972">
        <f>ROUND((VLOOKUP(B134,distribucion!$B$5:$FE$232,158,0)),2)</f>
        <v>0</v>
      </c>
      <c r="V134" s="972">
        <f>ROUND((VLOOKUP(B134,distribucion!$B$7:$FE$237,154,0)),2)</f>
        <v>62.25</v>
      </c>
      <c r="W134" s="972">
        <f>ROUND((VLOOKUP(B134,distribucion!B$9:FK$200,160,0)),2)</f>
        <v>125</v>
      </c>
      <c r="X134" s="940">
        <f>SUM(P134:W134)</f>
        <v>467.03999999999996</v>
      </c>
      <c r="Y134" s="984">
        <f>O134-X134</f>
        <v>6047.91</v>
      </c>
      <c r="Z134" s="1121">
        <v>3984.4500000000003</v>
      </c>
      <c r="AA134" s="940">
        <f>+Y134-Z134</f>
        <v>2063.4599999999996</v>
      </c>
      <c r="AB134" s="1005"/>
      <c r="AC134" s="1006"/>
      <c r="AD134" s="1007"/>
      <c r="AE134" s="937"/>
      <c r="AF134" s="939"/>
      <c r="AG134" s="985"/>
      <c r="AH134" s="985"/>
      <c r="AI134" s="985"/>
      <c r="AJ134" s="986"/>
      <c r="AK134" s="986"/>
      <c r="AL134" s="986"/>
    </row>
    <row r="135" spans="1:38" s="1070" customFormat="1" ht="14.1" customHeight="1">
      <c r="A135" s="1003">
        <f t="shared" ref="A135" si="144">A134+1</f>
        <v>65</v>
      </c>
      <c r="B135" s="1085" t="s">
        <v>426</v>
      </c>
      <c r="C135" s="953" t="str">
        <f>VLOOKUP(B135,distribucion!B$9:FK$200,2,0)</f>
        <v>Asesor JR Comercial</v>
      </c>
      <c r="D135" s="954">
        <f>G135+K135+M135</f>
        <v>5000</v>
      </c>
      <c r="E135" s="955">
        <f>VLOOKUP(B135,distribucion!B$9:FK$201,7,0)</f>
        <v>30</v>
      </c>
      <c r="F135" s="956">
        <f>VLOOKUP(B135,distribucion!$B$9:$DQ$288,14,0)</f>
        <v>0</v>
      </c>
      <c r="G135" s="954">
        <f>ROUND((VLOOKUP(B135,distribucion!B$9:EI$201,94,0)),2)</f>
        <v>5000</v>
      </c>
      <c r="H135" s="954">
        <f>ROUND((VLOOKUP(B135,distribucion!B$9:EI$201,95,0)),2)</f>
        <v>17875.43</v>
      </c>
      <c r="I135" s="954">
        <f>G135+H135</f>
        <v>22875.43</v>
      </c>
      <c r="J135" s="957">
        <f>VLOOKUP(B135,distribucion!B$9:EI$201,96,0)</f>
        <v>0</v>
      </c>
      <c r="K135" s="953">
        <f>ROUND((VLOOKUP(B135,distribucion!B$9:EI$201,97,0)),2)</f>
        <v>0</v>
      </c>
      <c r="L135" s="953">
        <f>VLOOKUP(B135,distribucion!B$9:EI$201,98,0)</f>
        <v>0</v>
      </c>
      <c r="M135" s="953">
        <f>ROUND((VLOOKUP(B135,distribucion!B$9:EI$201,99,0)),2)</f>
        <v>0</v>
      </c>
      <c r="N135" s="953">
        <f>ROUND((VLOOKUP(B135,distribucion!B$9:EI$201,100,0)),2)</f>
        <v>0</v>
      </c>
      <c r="O135" s="954">
        <f>SUM(I135:N135)-J135-L135</f>
        <v>22875.43</v>
      </c>
      <c r="P135" s="976">
        <f>ROUND(((G135+K135+M135)*0.0483),2)</f>
        <v>241.5</v>
      </c>
      <c r="Q135" s="976">
        <f>ROUND((VLOOKUP(B135,distribucion!B$8:FK$200,151,0)),2)</f>
        <v>381.68</v>
      </c>
      <c r="R135" s="953">
        <f>ROUND((VLOOKUP(B135,distribucion!B$9:FK$200,152,0)),2)</f>
        <v>0</v>
      </c>
      <c r="S135" s="953">
        <f>ROUND((VLOOKUP(B135,distribucion!B$9:FK$200,153,0)),2)</f>
        <v>0</v>
      </c>
      <c r="T135" s="953">
        <f>ROUND((VLOOKUP(B135,distribucion!$B$4:$FE$231,159,0)),2)</f>
        <v>0</v>
      </c>
      <c r="U135" s="953">
        <f>ROUND((VLOOKUP(B135,distribucion!$B$5:$FE$232,158,0)),2)</f>
        <v>0</v>
      </c>
      <c r="V135" s="953">
        <f>ROUND((VLOOKUP(B135,distribucion!$B$7:$FE$237,154,0)),2)</f>
        <v>92</v>
      </c>
      <c r="W135" s="953">
        <f>ROUND((VLOOKUP(B135,distribucion!B$9:FK$200,160,0)),2)</f>
        <v>50</v>
      </c>
      <c r="X135" s="954">
        <f>SUM(P135:W135)</f>
        <v>765.18000000000006</v>
      </c>
      <c r="Y135" s="957">
        <f>O135-X135</f>
        <v>22110.25</v>
      </c>
      <c r="Z135" s="1121">
        <v>17349.830000000002</v>
      </c>
      <c r="AA135" s="940">
        <f>+Y135-Z135</f>
        <v>4760.4199999999983</v>
      </c>
      <c r="AB135" s="977"/>
      <c r="AC135" s="978"/>
      <c r="AD135" s="958">
        <f t="shared" si="132"/>
        <v>0</v>
      </c>
      <c r="AE135" s="937"/>
      <c r="AF135" s="939"/>
      <c r="AG135" s="959"/>
      <c r="AH135" s="959"/>
      <c r="AI135" s="959"/>
      <c r="AJ135" s="907"/>
      <c r="AK135" s="907"/>
      <c r="AL135" s="907"/>
    </row>
    <row r="136" spans="1:38" ht="14.1" customHeight="1">
      <c r="A136" s="913"/>
      <c r="B136" s="1041"/>
      <c r="C136" s="937" t="s">
        <v>204</v>
      </c>
      <c r="D136" s="961" t="s">
        <v>204</v>
      </c>
      <c r="E136" s="938"/>
      <c r="F136" s="963"/>
      <c r="G136" s="989">
        <f t="shared" ref="G136:AA136" si="145">SUM(G133:G135)</f>
        <v>22000</v>
      </c>
      <c r="H136" s="989">
        <f t="shared" si="145"/>
        <v>33309.949999999997</v>
      </c>
      <c r="I136" s="989">
        <f t="shared" si="145"/>
        <v>55309.95</v>
      </c>
      <c r="J136" s="990">
        <f t="shared" si="145"/>
        <v>0</v>
      </c>
      <c r="K136" s="990">
        <f t="shared" si="145"/>
        <v>0</v>
      </c>
      <c r="L136" s="990">
        <f t="shared" si="145"/>
        <v>0</v>
      </c>
      <c r="M136" s="990">
        <f t="shared" si="145"/>
        <v>0</v>
      </c>
      <c r="N136" s="990">
        <f t="shared" si="145"/>
        <v>0</v>
      </c>
      <c r="O136" s="989">
        <f t="shared" si="145"/>
        <v>55309.95</v>
      </c>
      <c r="P136" s="990">
        <f t="shared" si="145"/>
        <v>1062.5999999999999</v>
      </c>
      <c r="Q136" s="1892">
        <f t="shared" si="145"/>
        <v>1539.3799999999999</v>
      </c>
      <c r="R136" s="990">
        <f t="shared" si="145"/>
        <v>0</v>
      </c>
      <c r="S136" s="990">
        <f t="shared" si="145"/>
        <v>0</v>
      </c>
      <c r="T136" s="990">
        <f t="shared" si="145"/>
        <v>0</v>
      </c>
      <c r="U136" s="990">
        <f t="shared" si="145"/>
        <v>0</v>
      </c>
      <c r="V136" s="990">
        <f t="shared" si="145"/>
        <v>154.25</v>
      </c>
      <c r="W136" s="990">
        <f t="shared" si="145"/>
        <v>325</v>
      </c>
      <c r="X136" s="989">
        <f t="shared" si="145"/>
        <v>3081.2299999999996</v>
      </c>
      <c r="Y136" s="990">
        <f t="shared" si="145"/>
        <v>52228.72</v>
      </c>
      <c r="Z136" s="990">
        <f t="shared" si="145"/>
        <v>37766.130000000005</v>
      </c>
      <c r="AA136" s="989">
        <f t="shared" si="145"/>
        <v>14462.59</v>
      </c>
      <c r="AB136" s="966">
        <f>+Z136</f>
        <v>37766.130000000005</v>
      </c>
      <c r="AC136" s="967">
        <f t="shared" si="143"/>
        <v>-23303.540000000005</v>
      </c>
      <c r="AD136" s="968">
        <f t="shared" si="132"/>
        <v>0</v>
      </c>
      <c r="AE136" s="937"/>
      <c r="AF136" s="939"/>
      <c r="AG136" s="913"/>
      <c r="AH136" s="913"/>
      <c r="AI136" s="913"/>
    </row>
    <row r="137" spans="1:38" ht="14.1" customHeight="1">
      <c r="A137" s="913"/>
      <c r="B137" s="1041"/>
      <c r="C137" s="937"/>
      <c r="D137" s="961"/>
      <c r="E137" s="938"/>
      <c r="F137" s="963"/>
      <c r="G137" s="945"/>
      <c r="H137" s="945"/>
      <c r="I137" s="945"/>
      <c r="J137" s="948"/>
      <c r="K137" s="944"/>
      <c r="L137" s="944"/>
      <c r="M137" s="944"/>
      <c r="N137" s="944"/>
      <c r="O137" s="945"/>
      <c r="P137" s="1039"/>
      <c r="Q137" s="1039"/>
      <c r="R137" s="944"/>
      <c r="S137" s="944"/>
      <c r="T137" s="944"/>
      <c r="U137" s="944"/>
      <c r="V137" s="944"/>
      <c r="W137" s="944"/>
      <c r="X137" s="945"/>
      <c r="Y137" s="948"/>
      <c r="Z137" s="948"/>
      <c r="AA137" s="969"/>
      <c r="AB137" s="966">
        <f>+Z137</f>
        <v>0</v>
      </c>
      <c r="AC137" s="967">
        <f t="shared" si="143"/>
        <v>0</v>
      </c>
      <c r="AD137" s="968">
        <f t="shared" si="132"/>
        <v>0</v>
      </c>
      <c r="AE137" s="937"/>
      <c r="AF137" s="939"/>
      <c r="AG137" s="913"/>
      <c r="AH137" s="913"/>
      <c r="AI137" s="913"/>
    </row>
    <row r="138" spans="1:38" s="986" customFormat="1" ht="14.1" customHeight="1">
      <c r="A138" s="1003">
        <f>A135+1</f>
        <v>66</v>
      </c>
      <c r="B138" s="1034" t="s">
        <v>502</v>
      </c>
      <c r="C138" s="980" t="str">
        <f>VLOOKUP(B138,distribucion!B$9:FK$200,2,0)</f>
        <v xml:space="preserve">Asesor   </v>
      </c>
      <c r="D138" s="940">
        <f>G138+K138+M138</f>
        <v>6000</v>
      </c>
      <c r="E138" s="981">
        <f>VLOOKUP(B138,distribucion!B$9:FK$201,7,0)</f>
        <v>30</v>
      </c>
      <c r="F138" s="982" t="str">
        <f>VLOOKUP(B138,distribucion!$B$9:$DQ$288,14,0)</f>
        <v>incremento</v>
      </c>
      <c r="G138" s="983">
        <f>ROUND((VLOOKUP(B138,distribucion!B$9:EI$201,94,0)),2)</f>
        <v>6000</v>
      </c>
      <c r="H138" s="983">
        <f>ROUND((VLOOKUP(B138,distribucion!B$9:EI$201,95,0)),2)</f>
        <v>18036.53</v>
      </c>
      <c r="I138" s="940">
        <f>G138+H138</f>
        <v>24036.53</v>
      </c>
      <c r="J138" s="984">
        <f>VLOOKUP(B138,distribucion!B$9:EI$201,96,0)</f>
        <v>0</v>
      </c>
      <c r="K138" s="972">
        <f>ROUND((VLOOKUP(B138,distribucion!B$9:EI$201,97,0)),2)</f>
        <v>0</v>
      </c>
      <c r="L138" s="972">
        <f>VLOOKUP(B138,distribucion!B$9:EI$201,98,0)</f>
        <v>0</v>
      </c>
      <c r="M138" s="972">
        <f>ROUND((VLOOKUP(B138,distribucion!B$9:EI$201,99,0)),2)</f>
        <v>0</v>
      </c>
      <c r="N138" s="972">
        <f>ROUND((VLOOKUP(B138,distribucion!B$9:EI$201,100,0)),2)</f>
        <v>0</v>
      </c>
      <c r="O138" s="940">
        <f>SUM(I138:N138)-J138-L138</f>
        <v>24036.53</v>
      </c>
      <c r="P138" s="972">
        <f>ROUND(((G138+K138+M138+N138)*0.0483),2)</f>
        <v>289.8</v>
      </c>
      <c r="Q138" s="972">
        <f>ROUND((VLOOKUP(B138,distribucion!B$8:FK$200,151,0)),2)</f>
        <v>483.01</v>
      </c>
      <c r="R138" s="972">
        <f>ROUND((VLOOKUP(B138,distribucion!B$9:FK$200,152,0)),2)</f>
        <v>0</v>
      </c>
      <c r="S138" s="972">
        <f>ROUND((VLOOKUP(B138,distribucion!B$9:FK$200,153,0)),2)</f>
        <v>0</v>
      </c>
      <c r="T138" s="972">
        <f>ROUND((VLOOKUP(B138,distribucion!$B$4:$FE$231,159,0)),2)</f>
        <v>0</v>
      </c>
      <c r="U138" s="972">
        <f>ROUND((VLOOKUP(B138,distribucion!$B$5:$FE$232,158,0)),2)</f>
        <v>0</v>
      </c>
      <c r="V138" s="972">
        <f>ROUND((VLOOKUP(B138,distribucion!$B$7:$FE$237,154,0)),2)</f>
        <v>0</v>
      </c>
      <c r="W138" s="972">
        <f>ROUND((VLOOKUP(B138,distribucion!B$9:FK$200,160,0)),2)</f>
        <v>75</v>
      </c>
      <c r="X138" s="940">
        <f>SUM(P138:W138)</f>
        <v>847.81</v>
      </c>
      <c r="Y138" s="984">
        <f>O138-X138</f>
        <v>23188.719999999998</v>
      </c>
      <c r="Z138" s="1121">
        <v>20290.78</v>
      </c>
      <c r="AA138" s="940">
        <f>+Y138-Z138</f>
        <v>2897.9399999999987</v>
      </c>
      <c r="AB138" s="1005">
        <f>+Z138</f>
        <v>20290.78</v>
      </c>
      <c r="AC138" s="1006">
        <f>+AA138-AB138</f>
        <v>-17392.84</v>
      </c>
      <c r="AD138" s="1007">
        <f t="shared" si="132"/>
        <v>0</v>
      </c>
      <c r="AE138" s="937"/>
      <c r="AF138" s="939"/>
      <c r="AG138" s="985"/>
      <c r="AH138" s="985"/>
      <c r="AI138" s="985"/>
    </row>
    <row r="139" spans="1:38" ht="14.1" customHeight="1">
      <c r="A139" s="960"/>
      <c r="B139" s="928"/>
      <c r="C139" s="937" t="s">
        <v>204</v>
      </c>
      <c r="D139" s="961" t="s">
        <v>204</v>
      </c>
      <c r="E139" s="962"/>
      <c r="F139" s="963"/>
      <c r="G139" s="964">
        <f t="shared" ref="G139:AA139" si="146">SUM(G138:G138)</f>
        <v>6000</v>
      </c>
      <c r="H139" s="964">
        <f t="shared" si="146"/>
        <v>18036.53</v>
      </c>
      <c r="I139" s="964">
        <f t="shared" si="146"/>
        <v>24036.53</v>
      </c>
      <c r="J139" s="965">
        <f t="shared" si="146"/>
        <v>0</v>
      </c>
      <c r="K139" s="1086">
        <f t="shared" si="146"/>
        <v>0</v>
      </c>
      <c r="L139" s="1086">
        <f t="shared" si="146"/>
        <v>0</v>
      </c>
      <c r="M139" s="1086">
        <f t="shared" si="146"/>
        <v>0</v>
      </c>
      <c r="N139" s="1086">
        <f t="shared" si="146"/>
        <v>0</v>
      </c>
      <c r="O139" s="964">
        <f t="shared" si="146"/>
        <v>24036.53</v>
      </c>
      <c r="P139" s="1086">
        <f t="shared" si="146"/>
        <v>289.8</v>
      </c>
      <c r="Q139" s="1897">
        <f t="shared" si="146"/>
        <v>483.01</v>
      </c>
      <c r="R139" s="1086">
        <f t="shared" si="146"/>
        <v>0</v>
      </c>
      <c r="S139" s="1086">
        <f t="shared" si="146"/>
        <v>0</v>
      </c>
      <c r="T139" s="1086">
        <f t="shared" si="146"/>
        <v>0</v>
      </c>
      <c r="U139" s="1086">
        <f t="shared" si="146"/>
        <v>0</v>
      </c>
      <c r="V139" s="1086">
        <f t="shared" si="146"/>
        <v>0</v>
      </c>
      <c r="W139" s="1086">
        <f t="shared" si="146"/>
        <v>75</v>
      </c>
      <c r="X139" s="964">
        <f t="shared" si="146"/>
        <v>847.81</v>
      </c>
      <c r="Y139" s="1086">
        <f t="shared" si="146"/>
        <v>23188.719999999998</v>
      </c>
      <c r="Z139" s="1086">
        <f t="shared" si="146"/>
        <v>20290.78</v>
      </c>
      <c r="AA139" s="964">
        <f t="shared" si="146"/>
        <v>2897.9399999999987</v>
      </c>
      <c r="AB139" s="966">
        <f>+Z139</f>
        <v>20290.78</v>
      </c>
      <c r="AC139" s="967">
        <f t="shared" si="143"/>
        <v>-17392.84</v>
      </c>
      <c r="AD139" s="968">
        <f t="shared" si="132"/>
        <v>0</v>
      </c>
      <c r="AE139" s="937"/>
      <c r="AF139" s="939"/>
      <c r="AG139" s="913"/>
      <c r="AH139" s="913"/>
      <c r="AI139" s="913"/>
    </row>
    <row r="140" spans="1:38" ht="14.1" customHeight="1">
      <c r="A140" s="960"/>
      <c r="B140" s="928"/>
      <c r="C140" s="937"/>
      <c r="D140" s="961"/>
      <c r="E140" s="962"/>
      <c r="F140" s="963"/>
      <c r="G140" s="945"/>
      <c r="H140" s="945"/>
      <c r="I140" s="945"/>
      <c r="J140" s="948"/>
      <c r="K140" s="944"/>
      <c r="L140" s="944"/>
      <c r="M140" s="944"/>
      <c r="N140" s="944"/>
      <c r="O140" s="945"/>
      <c r="P140" s="944"/>
      <c r="Q140" s="1039"/>
      <c r="R140" s="944"/>
      <c r="S140" s="944"/>
      <c r="T140" s="944"/>
      <c r="U140" s="944"/>
      <c r="V140" s="944"/>
      <c r="W140" s="944"/>
      <c r="X140" s="945"/>
      <c r="Y140" s="944"/>
      <c r="Z140" s="944"/>
      <c r="AA140" s="945"/>
      <c r="AB140" s="966"/>
      <c r="AC140" s="967"/>
      <c r="AD140" s="968"/>
      <c r="AE140" s="937"/>
      <c r="AF140" s="939"/>
      <c r="AG140" s="913"/>
      <c r="AH140" s="913"/>
      <c r="AI140" s="913"/>
    </row>
    <row r="141" spans="1:38" ht="15">
      <c r="A141" s="960"/>
      <c r="B141" s="928"/>
      <c r="C141" s="937"/>
      <c r="D141" s="961"/>
      <c r="E141" s="962"/>
      <c r="F141" s="963"/>
      <c r="G141" s="945"/>
      <c r="H141" s="945"/>
      <c r="I141" s="945"/>
      <c r="J141" s="948"/>
      <c r="K141" s="944"/>
      <c r="L141" s="944"/>
      <c r="M141" s="944"/>
      <c r="N141" s="944"/>
      <c r="O141" s="945"/>
      <c r="P141" s="1039"/>
      <c r="Q141" s="1039"/>
      <c r="R141" s="944"/>
      <c r="S141" s="944"/>
      <c r="T141" s="944"/>
      <c r="U141" s="944"/>
      <c r="V141" s="944"/>
      <c r="W141" s="944"/>
      <c r="X141" s="945"/>
      <c r="Y141" s="948"/>
      <c r="Z141" s="948"/>
      <c r="AA141" s="945"/>
      <c r="AB141" s="966">
        <f>+Z141</f>
        <v>0</v>
      </c>
      <c r="AC141" s="967">
        <f t="shared" si="143"/>
        <v>0</v>
      </c>
      <c r="AD141" s="968">
        <f t="shared" si="132"/>
        <v>0</v>
      </c>
      <c r="AE141" s="937"/>
      <c r="AF141" s="939"/>
      <c r="AG141" s="913"/>
      <c r="AH141" s="913"/>
      <c r="AI141" s="913"/>
    </row>
    <row r="142" spans="1:38" ht="15">
      <c r="A142" s="937"/>
      <c r="B142" s="928"/>
      <c r="C142" s="937"/>
      <c r="D142" s="961"/>
      <c r="E142" s="960"/>
      <c r="F142" s="960"/>
      <c r="G142" s="969"/>
      <c r="H142" s="969"/>
      <c r="I142" s="969"/>
      <c r="J142" s="970"/>
      <c r="K142" s="993"/>
      <c r="L142" s="993"/>
      <c r="M142" s="993"/>
      <c r="N142" s="993"/>
      <c r="O142" s="969"/>
      <c r="P142" s="1087"/>
      <c r="Q142" s="1087"/>
      <c r="R142" s="993"/>
      <c r="S142" s="993"/>
      <c r="T142" s="993"/>
      <c r="U142" s="993"/>
      <c r="V142" s="993"/>
      <c r="W142" s="993"/>
      <c r="X142" s="969"/>
      <c r="Y142" s="970"/>
      <c r="Z142" s="970"/>
      <c r="AA142" s="969"/>
      <c r="AB142" s="966">
        <f>+Z142</f>
        <v>0</v>
      </c>
      <c r="AC142" s="967">
        <f t="shared" si="143"/>
        <v>0</v>
      </c>
      <c r="AD142" s="968">
        <f t="shared" si="132"/>
        <v>0</v>
      </c>
      <c r="AE142" s="937"/>
      <c r="AF142" s="939"/>
      <c r="AG142" s="913"/>
      <c r="AH142" s="913"/>
      <c r="AI142" s="913"/>
    </row>
    <row r="143" spans="1:38" ht="15.75" thickBot="1">
      <c r="A143" s="937"/>
      <c r="B143" s="928"/>
      <c r="C143" s="937"/>
      <c r="D143" s="961" t="s">
        <v>140</v>
      </c>
      <c r="E143" s="960"/>
      <c r="F143" s="960"/>
      <c r="G143" s="1088">
        <f t="shared" ref="G143:AA143" si="147">+G13+G20+G28+G36+G42+G48+G53+G59+G66+G82+G116+G121+G136+G139+G97+G126</f>
        <v>330810.76</v>
      </c>
      <c r="H143" s="1088">
        <f t="shared" si="147"/>
        <v>353902.5</v>
      </c>
      <c r="I143" s="1088">
        <f t="shared" si="147"/>
        <v>684713.26</v>
      </c>
      <c r="J143" s="1088">
        <f t="shared" si="147"/>
        <v>179.5</v>
      </c>
      <c r="K143" s="1088">
        <f t="shared" si="147"/>
        <v>3552.3</v>
      </c>
      <c r="L143" s="1088">
        <f t="shared" si="147"/>
        <v>0</v>
      </c>
      <c r="M143" s="1088">
        <f t="shared" si="147"/>
        <v>0</v>
      </c>
      <c r="N143" s="1088">
        <f t="shared" si="147"/>
        <v>0</v>
      </c>
      <c r="O143" s="1088">
        <f t="shared" si="147"/>
        <v>688265.55999999994</v>
      </c>
      <c r="P143" s="1088">
        <f t="shared" si="147"/>
        <v>13052.210000000003</v>
      </c>
      <c r="Q143" s="1898">
        <f t="shared" si="147"/>
        <v>27544.680000000008</v>
      </c>
      <c r="R143" s="1088">
        <f t="shared" si="147"/>
        <v>12311.949999999999</v>
      </c>
      <c r="S143" s="1088">
        <f t="shared" si="147"/>
        <v>894</v>
      </c>
      <c r="T143" s="1088">
        <f t="shared" si="147"/>
        <v>270</v>
      </c>
      <c r="U143" s="1088">
        <f t="shared" si="147"/>
        <v>0</v>
      </c>
      <c r="V143" s="1088">
        <f t="shared" si="147"/>
        <v>9158.75</v>
      </c>
      <c r="W143" s="1088">
        <f t="shared" si="147"/>
        <v>8576.35</v>
      </c>
      <c r="X143" s="1088">
        <f t="shared" si="147"/>
        <v>71807.94</v>
      </c>
      <c r="Y143" s="1088">
        <f t="shared" si="147"/>
        <v>616457.62000000011</v>
      </c>
      <c r="Z143" s="1088">
        <f t="shared" si="147"/>
        <v>328153.60000000003</v>
      </c>
      <c r="AA143" s="1088">
        <f t="shared" si="147"/>
        <v>288304.02</v>
      </c>
      <c r="AB143" s="1089" t="e">
        <f>+AB13+AB20+AB28+AB36+AB42+AB48+AB53+AB59+AB66+AB82+AB116+AB121+AB136+AB139+AB97</f>
        <v>#REF!</v>
      </c>
      <c r="AC143" s="1089" t="e">
        <f>+AC13+AC20+AC28+AC36+AC42+AC48+AC53+AC59+AC66+AC82+AC116+AC121+AC136+AC139+AC97</f>
        <v>#REF!</v>
      </c>
      <c r="AD143" s="1089">
        <f>+AD13+AD20+AD28+AD36+AD42+AD48+AD53+AD59+AD66+AD82+AD116+AD121+AD136+AD139+AD97</f>
        <v>0</v>
      </c>
      <c r="AE143" s="941"/>
      <c r="AF143" s="939"/>
      <c r="AG143" s="913"/>
      <c r="AH143" s="913"/>
      <c r="AI143" s="913"/>
    </row>
    <row r="144" spans="1:38" ht="15.75" thickTop="1">
      <c r="A144" s="937"/>
      <c r="B144" s="928"/>
      <c r="C144" s="937"/>
      <c r="D144" s="961"/>
      <c r="E144" s="960"/>
      <c r="F144" s="960"/>
      <c r="G144" s="1111"/>
      <c r="H144" s="1111"/>
      <c r="I144" s="1111"/>
      <c r="J144" s="1112"/>
      <c r="K144" s="963"/>
      <c r="L144" s="963"/>
      <c r="M144" s="963"/>
      <c r="N144" s="963"/>
      <c r="O144" s="1111"/>
      <c r="P144" s="963"/>
      <c r="Q144" s="982"/>
      <c r="R144" s="963"/>
      <c r="S144" s="963"/>
      <c r="T144" s="963"/>
      <c r="U144" s="963"/>
      <c r="V144" s="963"/>
      <c r="W144" s="963"/>
      <c r="X144" s="1111"/>
      <c r="Y144" s="963"/>
      <c r="Z144" s="963"/>
      <c r="AA144" s="1111"/>
      <c r="AB144" s="963"/>
      <c r="AC144" s="963"/>
      <c r="AD144" s="963"/>
      <c r="AE144" s="941"/>
      <c r="AF144" s="939"/>
      <c r="AG144" s="913"/>
      <c r="AH144" s="913"/>
      <c r="AI144" s="913"/>
    </row>
    <row r="145" spans="1:35" ht="15">
      <c r="A145" s="937"/>
      <c r="B145" s="937"/>
      <c r="C145" s="937"/>
      <c r="D145" s="961"/>
      <c r="E145" s="960"/>
      <c r="F145" s="960"/>
      <c r="G145" s="969"/>
      <c r="H145" s="969"/>
      <c r="I145" s="969"/>
      <c r="J145" s="970"/>
      <c r="K145" s="1090"/>
      <c r="L145" s="1090"/>
      <c r="M145" s="1090"/>
      <c r="N145" s="1090"/>
      <c r="O145" s="969"/>
      <c r="P145" s="1091"/>
      <c r="Q145" s="1091"/>
      <c r="R145" s="1090"/>
      <c r="S145" s="1090"/>
      <c r="T145" s="1090"/>
      <c r="U145" s="1090"/>
      <c r="V145" s="1090"/>
      <c r="W145" s="1090"/>
      <c r="X145" s="969"/>
      <c r="Y145" s="1090"/>
      <c r="Z145" s="1090"/>
      <c r="AA145" s="969"/>
      <c r="AB145" s="966">
        <f>+Z145</f>
        <v>0</v>
      </c>
      <c r="AC145" s="967">
        <f t="shared" si="143"/>
        <v>0</v>
      </c>
      <c r="AD145" s="968">
        <f>+Y145-Z145-AA145</f>
        <v>0</v>
      </c>
      <c r="AE145" s="941"/>
      <c r="AF145" s="939"/>
      <c r="AG145" s="913"/>
      <c r="AH145" s="913"/>
      <c r="AI145" s="913"/>
    </row>
    <row r="146" spans="1:35" s="1139" customFormat="1" ht="15.75">
      <c r="A146" s="1131"/>
      <c r="B146" s="1131"/>
      <c r="C146" s="1131"/>
      <c r="D146" s="1132">
        <f>SUM(D9:D141)</f>
        <v>334363.06000000017</v>
      </c>
      <c r="E146" s="1131"/>
      <c r="F146" s="1131"/>
      <c r="G146" s="1133">
        <f t="shared" ref="G146:AA146" si="148">SUM(G9:G143)-G13-G20-G28-G36-G42-G48-G53-G59-G66-G82-G107-G114-G116-G121-G136-G139-G143-G97-G126</f>
        <v>330810.76</v>
      </c>
      <c r="H146" s="1133">
        <f t="shared" si="148"/>
        <v>353902.49999999977</v>
      </c>
      <c r="I146" s="1133">
        <f t="shared" si="148"/>
        <v>684713.25999999943</v>
      </c>
      <c r="J146" s="1133">
        <f t="shared" si="148"/>
        <v>179.5</v>
      </c>
      <c r="K146" s="1133">
        <f t="shared" si="148"/>
        <v>3552.300000000002</v>
      </c>
      <c r="L146" s="1133">
        <f t="shared" si="148"/>
        <v>0</v>
      </c>
      <c r="M146" s="1133">
        <f t="shared" si="148"/>
        <v>0</v>
      </c>
      <c r="N146" s="1133">
        <f t="shared" si="148"/>
        <v>0</v>
      </c>
      <c r="O146" s="1133">
        <f t="shared" si="148"/>
        <v>688265.56000000029</v>
      </c>
      <c r="P146" s="1133">
        <f t="shared" si="148"/>
        <v>13052.210000000001</v>
      </c>
      <c r="Q146" s="2008">
        <f t="shared" si="148"/>
        <v>27544.679999999971</v>
      </c>
      <c r="R146" s="1133">
        <f t="shared" si="148"/>
        <v>12311.950000000008</v>
      </c>
      <c r="S146" s="1133">
        <f t="shared" si="148"/>
        <v>894</v>
      </c>
      <c r="T146" s="1133">
        <f t="shared" si="148"/>
        <v>270</v>
      </c>
      <c r="U146" s="1133">
        <f t="shared" si="148"/>
        <v>0</v>
      </c>
      <c r="V146" s="1133">
        <f t="shared" si="148"/>
        <v>9158.75</v>
      </c>
      <c r="W146" s="1133">
        <f t="shared" si="148"/>
        <v>8576.35</v>
      </c>
      <c r="X146" s="1133">
        <f t="shared" si="148"/>
        <v>71807.940000000061</v>
      </c>
      <c r="Y146" s="1133">
        <f t="shared" si="148"/>
        <v>616457.62000000023</v>
      </c>
      <c r="Z146" s="1133">
        <f t="shared" si="148"/>
        <v>328153.59999999974</v>
      </c>
      <c r="AA146" s="2219">
        <f t="shared" si="148"/>
        <v>288304.0199999999</v>
      </c>
      <c r="AB146" s="1134">
        <f>+Y143-Z143-AA143</f>
        <v>0</v>
      </c>
      <c r="AC146" s="1135">
        <f t="shared" si="143"/>
        <v>288304.0199999999</v>
      </c>
      <c r="AD146" s="1136">
        <f>+Y146-Z146-AA146</f>
        <v>5.8207660913467407E-10</v>
      </c>
      <c r="AE146" s="1137"/>
      <c r="AF146" s="1138"/>
      <c r="AG146" s="1131"/>
      <c r="AH146" s="1131"/>
      <c r="AI146" s="1131"/>
    </row>
    <row r="147" spans="1:35" ht="15">
      <c r="A147" s="913"/>
      <c r="B147" s="913"/>
      <c r="C147" s="913"/>
      <c r="D147" s="969"/>
      <c r="E147" s="993"/>
      <c r="F147" s="993"/>
      <c r="G147" s="1092">
        <f>ROUND((G146-G143),2)</f>
        <v>0</v>
      </c>
      <c r="H147" s="1092">
        <f>ROUND((H146-H143),2)</f>
        <v>0</v>
      </c>
      <c r="I147" s="1092">
        <f>ROUND((I146-I143),2)</f>
        <v>0</v>
      </c>
      <c r="J147" s="1093">
        <f t="shared" ref="J147:Y147" si="149">ROUND((J146-J143),2)</f>
        <v>0</v>
      </c>
      <c r="K147" s="967">
        <f t="shared" si="149"/>
        <v>0</v>
      </c>
      <c r="L147" s="967">
        <f t="shared" si="149"/>
        <v>0</v>
      </c>
      <c r="M147" s="967">
        <f t="shared" si="149"/>
        <v>0</v>
      </c>
      <c r="N147" s="967">
        <f t="shared" si="149"/>
        <v>0</v>
      </c>
      <c r="O147" s="1092">
        <f t="shared" si="149"/>
        <v>0</v>
      </c>
      <c r="P147" s="967">
        <f t="shared" si="149"/>
        <v>0</v>
      </c>
      <c r="Q147" s="1006">
        <f t="shared" si="149"/>
        <v>0</v>
      </c>
      <c r="R147" s="967">
        <f t="shared" si="149"/>
        <v>0</v>
      </c>
      <c r="S147" s="967">
        <f t="shared" si="149"/>
        <v>0</v>
      </c>
      <c r="T147" s="967">
        <f t="shared" si="149"/>
        <v>0</v>
      </c>
      <c r="U147" s="967">
        <f t="shared" si="149"/>
        <v>0</v>
      </c>
      <c r="V147" s="967">
        <f t="shared" si="149"/>
        <v>0</v>
      </c>
      <c r="W147" s="967">
        <f t="shared" si="149"/>
        <v>0</v>
      </c>
      <c r="X147" s="1092">
        <f t="shared" si="149"/>
        <v>0</v>
      </c>
      <c r="Y147" s="967">
        <f t="shared" si="149"/>
        <v>0</v>
      </c>
      <c r="Z147" s="967">
        <f>ROUND((Z146-Z143),2)</f>
        <v>0</v>
      </c>
      <c r="AA147" s="1094">
        <f>ROUND((AA146-AA143),2)</f>
        <v>0</v>
      </c>
      <c r="AB147" s="1095"/>
      <c r="AC147" s="967">
        <f t="shared" si="143"/>
        <v>0</v>
      </c>
      <c r="AD147" s="968">
        <f>+Y147-Z147-AA147</f>
        <v>0</v>
      </c>
      <c r="AE147" s="941"/>
      <c r="AF147" s="939"/>
      <c r="AG147" s="913"/>
      <c r="AH147" s="913"/>
      <c r="AI147" s="913"/>
    </row>
    <row r="148" spans="1:35" ht="15">
      <c r="A148" s="913"/>
      <c r="B148" s="913"/>
      <c r="C148" s="913"/>
      <c r="D148" s="969"/>
      <c r="E148" s="993"/>
      <c r="F148" s="993"/>
      <c r="G148" s="1096" t="str">
        <f>IF(G147&lt;&gt;0,"Error,  Total general no coincide  con la suma individual","")</f>
        <v/>
      </c>
      <c r="H148" s="1097" t="str">
        <f t="shared" ref="H148:X148" si="150">IF(H147&lt;&gt;0,"Error,  Total general no coincide  con la suma individual","")</f>
        <v/>
      </c>
      <c r="I148" s="1097" t="str">
        <f t="shared" si="150"/>
        <v/>
      </c>
      <c r="J148" s="1098" t="str">
        <f t="shared" si="150"/>
        <v/>
      </c>
      <c r="K148" s="966" t="str">
        <f t="shared" si="150"/>
        <v/>
      </c>
      <c r="L148" s="966" t="str">
        <f t="shared" si="150"/>
        <v/>
      </c>
      <c r="M148" s="966" t="str">
        <f t="shared" si="150"/>
        <v/>
      </c>
      <c r="N148" s="966" t="str">
        <f t="shared" si="150"/>
        <v/>
      </c>
      <c r="O148" s="1097" t="str">
        <f t="shared" si="150"/>
        <v/>
      </c>
      <c r="P148" s="967" t="str">
        <f t="shared" si="150"/>
        <v/>
      </c>
      <c r="Q148" s="1006"/>
      <c r="R148" s="966" t="str">
        <f t="shared" si="150"/>
        <v/>
      </c>
      <c r="S148" s="966" t="str">
        <f t="shared" si="150"/>
        <v/>
      </c>
      <c r="T148" s="966" t="str">
        <f t="shared" si="150"/>
        <v/>
      </c>
      <c r="U148" s="966" t="str">
        <f t="shared" si="150"/>
        <v/>
      </c>
      <c r="V148" s="966" t="str">
        <f t="shared" si="150"/>
        <v/>
      </c>
      <c r="W148" s="966" t="str">
        <f t="shared" si="150"/>
        <v/>
      </c>
      <c r="X148" s="1097" t="str">
        <f t="shared" si="150"/>
        <v/>
      </c>
      <c r="Y148" s="966">
        <f>+Y146-Z146-AA146</f>
        <v>5.8207660913467407E-10</v>
      </c>
      <c r="Z148" s="966"/>
      <c r="AA148" s="966"/>
      <c r="AB148" s="1095"/>
      <c r="AC148" s="1099"/>
      <c r="AD148" s="968"/>
      <c r="AE148" s="941"/>
      <c r="AF148" s="939"/>
      <c r="AG148" s="913"/>
      <c r="AH148" s="913"/>
      <c r="AI148" s="913"/>
    </row>
    <row r="149" spans="1:35">
      <c r="A149" s="913"/>
      <c r="B149" s="913"/>
      <c r="C149" s="913"/>
      <c r="D149" s="969"/>
      <c r="E149" s="993"/>
      <c r="F149" s="993"/>
      <c r="G149" s="1100"/>
      <c r="H149" s="969"/>
      <c r="I149" s="969"/>
      <c r="J149" s="970"/>
      <c r="K149" s="1101"/>
      <c r="L149" s="1101"/>
      <c r="M149" s="1101"/>
      <c r="N149" s="1101"/>
      <c r="O149" s="969"/>
      <c r="P149" s="1102"/>
      <c r="Q149" s="1102"/>
      <c r="R149" s="1101"/>
      <c r="S149" s="1101"/>
      <c r="T149" s="1101"/>
      <c r="U149" s="1101"/>
      <c r="V149" s="1101"/>
      <c r="W149" s="1101"/>
      <c r="X149" s="969"/>
      <c r="Y149" s="970"/>
      <c r="Z149" s="1101"/>
      <c r="AA149" s="1104"/>
      <c r="AB149" s="994"/>
      <c r="AC149" s="994"/>
    </row>
    <row r="150" spans="1:35">
      <c r="A150" s="913"/>
      <c r="B150" s="913"/>
      <c r="C150" s="913"/>
      <c r="D150" s="969"/>
      <c r="E150" s="993"/>
      <c r="F150" s="993"/>
      <c r="G150" s="1100"/>
      <c r="H150" s="969"/>
      <c r="I150" s="969"/>
      <c r="J150" s="970"/>
      <c r="K150" s="1101"/>
      <c r="L150" s="1101"/>
      <c r="M150" s="1101"/>
      <c r="N150" s="1101"/>
      <c r="O150" s="969"/>
      <c r="P150" s="1102"/>
      <c r="Q150" s="1102"/>
      <c r="R150" s="1101"/>
      <c r="S150" s="1101"/>
      <c r="T150" s="1101"/>
      <c r="U150" s="1101"/>
      <c r="V150" s="1101"/>
      <c r="W150" s="1101"/>
      <c r="X150" s="969"/>
      <c r="Y150" s="970"/>
      <c r="Z150" s="1101"/>
      <c r="AA150" s="1104"/>
      <c r="AB150" s="994"/>
      <c r="AC150" s="994"/>
    </row>
    <row r="151" spans="1:35">
      <c r="A151" s="913"/>
      <c r="B151" s="913"/>
      <c r="C151" s="913"/>
      <c r="D151" s="969"/>
      <c r="E151" s="993"/>
      <c r="F151" s="993"/>
      <c r="G151" s="1100"/>
      <c r="H151" s="969"/>
      <c r="I151" s="969"/>
      <c r="J151" s="970"/>
      <c r="K151" s="1101"/>
      <c r="L151" s="1101"/>
      <c r="M151" s="1101"/>
      <c r="N151" s="1101"/>
      <c r="O151" s="969"/>
      <c r="P151" s="1102"/>
      <c r="Q151" s="1102"/>
      <c r="R151" s="1101"/>
      <c r="S151" s="1101"/>
      <c r="T151" s="1101"/>
      <c r="U151" s="1101"/>
      <c r="V151" s="1101"/>
      <c r="W151" s="1101"/>
      <c r="X151" s="969"/>
      <c r="Y151" s="1990" t="s">
        <v>22</v>
      </c>
      <c r="Z151" s="1101"/>
      <c r="AA151" s="1104"/>
      <c r="AB151" s="994"/>
      <c r="AC151" s="994"/>
    </row>
    <row r="152" spans="1:35">
      <c r="A152" s="913"/>
      <c r="B152" s="913"/>
      <c r="C152" s="913"/>
      <c r="D152" s="969"/>
      <c r="E152" s="993"/>
      <c r="F152" s="993"/>
      <c r="G152" s="1100"/>
      <c r="H152" s="969"/>
      <c r="I152" s="969"/>
      <c r="J152" s="970"/>
      <c r="K152" s="1101"/>
      <c r="L152" s="1101"/>
      <c r="M152" s="1101"/>
      <c r="N152" s="1101"/>
      <c r="O152" s="969"/>
      <c r="P152" s="1102"/>
      <c r="Q152" s="1102"/>
      <c r="R152" s="1101"/>
      <c r="S152" s="1101"/>
      <c r="T152" s="1101"/>
      <c r="U152" s="1101"/>
      <c r="V152" s="1101"/>
      <c r="W152" s="1101"/>
      <c r="X152" s="969"/>
      <c r="Y152" s="970"/>
      <c r="Z152" s="1101"/>
      <c r="AA152" s="1104"/>
      <c r="AB152" s="994"/>
      <c r="AC152" s="994"/>
    </row>
    <row r="153" spans="1:35">
      <c r="A153" s="913"/>
      <c r="B153" s="913"/>
      <c r="C153" s="913"/>
      <c r="D153" s="969"/>
      <c r="E153" s="993"/>
      <c r="F153" s="993"/>
      <c r="G153" s="1100"/>
      <c r="H153" s="969"/>
      <c r="I153" s="969"/>
      <c r="J153" s="970"/>
      <c r="K153" s="1101"/>
      <c r="L153" s="1101"/>
      <c r="M153" s="1101"/>
      <c r="N153" s="1101"/>
      <c r="O153" s="969"/>
      <c r="P153" s="1102"/>
      <c r="Q153" s="1102"/>
      <c r="R153" s="1101"/>
      <c r="S153" s="1101"/>
      <c r="T153" s="1101"/>
      <c r="U153" s="1101"/>
      <c r="V153" s="1101"/>
      <c r="W153" s="1101"/>
      <c r="X153" s="969"/>
      <c r="Y153" s="970"/>
      <c r="Z153" s="1101"/>
      <c r="AA153" s="1104"/>
      <c r="AB153" s="994"/>
      <c r="AC153" s="994"/>
    </row>
    <row r="154" spans="1:35">
      <c r="A154" s="913"/>
      <c r="B154" s="913"/>
      <c r="C154" s="913"/>
      <c r="D154" s="969"/>
      <c r="E154" s="993"/>
      <c r="F154" s="993"/>
      <c r="G154" s="1100"/>
      <c r="H154" s="969"/>
      <c r="I154" s="969"/>
      <c r="J154" s="970"/>
      <c r="K154" s="1101"/>
      <c r="L154" s="1101"/>
      <c r="M154" s="1101"/>
      <c r="N154" s="1101"/>
      <c r="O154" s="969"/>
      <c r="P154" s="1102"/>
      <c r="Q154" s="1102"/>
      <c r="R154" s="1101"/>
      <c r="S154" s="1101"/>
      <c r="T154" s="1101"/>
      <c r="U154" s="1101"/>
      <c r="V154" s="1101"/>
      <c r="W154" s="1101"/>
      <c r="X154" s="969"/>
      <c r="Y154" s="970"/>
      <c r="Z154" s="1101"/>
      <c r="AA154" s="1104"/>
      <c r="AB154" s="994"/>
      <c r="AC154" s="994"/>
    </row>
    <row r="155" spans="1:35">
      <c r="A155" s="913"/>
      <c r="B155" s="913"/>
      <c r="C155" s="913"/>
      <c r="D155" s="969"/>
      <c r="E155" s="993"/>
      <c r="F155" s="993"/>
      <c r="G155" s="1100"/>
      <c r="H155" s="969"/>
      <c r="I155" s="969"/>
      <c r="J155" s="970"/>
      <c r="K155" s="1101"/>
      <c r="L155" s="1101"/>
      <c r="M155" s="1101"/>
      <c r="N155" s="1101"/>
      <c r="O155" s="969"/>
      <c r="P155" s="1102"/>
      <c r="Q155" s="1102"/>
      <c r="R155" s="1101"/>
      <c r="S155" s="1101"/>
      <c r="T155" s="1101"/>
      <c r="U155" s="1101"/>
      <c r="V155" s="1101"/>
      <c r="W155" s="1101"/>
      <c r="X155" s="969"/>
      <c r="Y155" s="970"/>
      <c r="Z155" s="1101"/>
      <c r="AA155" s="1104"/>
      <c r="AB155" s="994"/>
      <c r="AC155" s="994"/>
    </row>
    <row r="156" spans="1:35" ht="23.25">
      <c r="A156" s="913"/>
      <c r="B156" s="1114" t="s">
        <v>712</v>
      </c>
      <c r="C156" s="1115"/>
      <c r="D156" s="969"/>
      <c r="E156" s="993"/>
      <c r="F156" s="993"/>
      <c r="G156" s="1100"/>
      <c r="H156" s="969"/>
      <c r="I156" s="969"/>
      <c r="J156" s="970"/>
      <c r="K156" s="1101"/>
      <c r="L156" s="1101"/>
      <c r="M156" s="1101"/>
      <c r="N156" s="1114" t="s">
        <v>713</v>
      </c>
      <c r="O156" s="1116"/>
      <c r="P156" s="1117"/>
      <c r="Q156" s="1117"/>
      <c r="R156" s="1101"/>
      <c r="S156" s="1101"/>
      <c r="T156" s="1101"/>
      <c r="U156" s="1101"/>
      <c r="V156" s="1101"/>
      <c r="W156" s="1101"/>
      <c r="X156" s="969"/>
      <c r="Y156" s="970"/>
      <c r="Z156" s="1101"/>
      <c r="AA156" s="1104"/>
      <c r="AB156" s="994"/>
      <c r="AC156" s="994"/>
    </row>
    <row r="157" spans="1:35" ht="23.25">
      <c r="A157" s="913"/>
      <c r="B157" s="1113"/>
      <c r="C157" s="913"/>
      <c r="D157" s="969"/>
      <c r="E157" s="993"/>
      <c r="F157" s="993"/>
      <c r="G157" s="1100"/>
      <c r="H157" s="969"/>
      <c r="I157" s="969"/>
      <c r="J157" s="970"/>
      <c r="K157" s="1101"/>
      <c r="L157" s="1101"/>
      <c r="M157" s="1101"/>
      <c r="N157" s="1101"/>
      <c r="O157" s="969"/>
      <c r="P157" s="1102"/>
      <c r="Q157" s="1102"/>
      <c r="R157" s="1101"/>
      <c r="S157" s="1101"/>
      <c r="T157" s="1101"/>
      <c r="U157" s="1101"/>
      <c r="V157" s="1101"/>
      <c r="W157" s="1101"/>
      <c r="X157" s="969"/>
      <c r="Y157" s="970"/>
      <c r="Z157" s="1101"/>
      <c r="AA157" s="1104"/>
      <c r="AB157" s="994"/>
      <c r="AC157" s="994"/>
    </row>
    <row r="158" spans="1:35" ht="23.25">
      <c r="A158" s="913"/>
      <c r="B158" s="1113"/>
      <c r="C158" s="913"/>
      <c r="D158" s="969"/>
      <c r="E158" s="993"/>
      <c r="F158" s="993"/>
      <c r="G158" s="1100"/>
      <c r="H158" s="969"/>
      <c r="I158" s="969"/>
      <c r="J158" s="970"/>
      <c r="K158" s="1101"/>
      <c r="L158" s="1101"/>
      <c r="M158" s="1101"/>
      <c r="N158" s="1101"/>
      <c r="O158" s="969"/>
      <c r="P158" s="1102"/>
      <c r="Q158" s="1102"/>
      <c r="R158" s="1101"/>
      <c r="S158" s="1101"/>
      <c r="T158" s="1101"/>
      <c r="U158" s="1101"/>
      <c r="V158" s="1101"/>
      <c r="W158" s="1101"/>
      <c r="X158" s="969"/>
      <c r="Y158" s="970"/>
      <c r="Z158" s="1101"/>
      <c r="AA158" s="1104"/>
      <c r="AB158" s="994"/>
      <c r="AC158" s="994"/>
    </row>
    <row r="159" spans="1:35" ht="23.25">
      <c r="A159" s="913"/>
      <c r="B159" s="1113"/>
      <c r="C159" s="913"/>
      <c r="D159" s="969"/>
      <c r="E159" s="993"/>
      <c r="F159" s="993"/>
      <c r="G159" s="1100"/>
      <c r="H159" s="969"/>
      <c r="I159" s="969"/>
      <c r="J159" s="970"/>
      <c r="K159" s="1101"/>
      <c r="L159" s="1101"/>
      <c r="M159" s="1101"/>
      <c r="N159" s="1101"/>
      <c r="O159" s="969"/>
      <c r="P159" s="1102"/>
      <c r="Q159" s="1102"/>
      <c r="R159" s="1101"/>
      <c r="S159" s="1101"/>
      <c r="T159" s="1101"/>
      <c r="U159" s="1101"/>
      <c r="V159" s="1101"/>
      <c r="W159" s="1101"/>
      <c r="X159" s="969"/>
      <c r="Y159" s="970"/>
      <c r="Z159" s="1101"/>
      <c r="AA159" s="1104"/>
      <c r="AB159" s="994"/>
      <c r="AC159" s="994"/>
    </row>
    <row r="160" spans="1:35" ht="23.25">
      <c r="A160" s="913"/>
      <c r="B160" s="1113"/>
      <c r="C160" s="913"/>
      <c r="D160" s="969"/>
      <c r="E160" s="993"/>
      <c r="F160" s="993"/>
      <c r="G160" s="1100"/>
      <c r="H160" s="969"/>
      <c r="I160" s="969"/>
      <c r="J160" s="970"/>
      <c r="K160" s="1101"/>
      <c r="L160" s="1101"/>
      <c r="M160" s="1101"/>
      <c r="N160" s="1101"/>
      <c r="O160" s="969"/>
      <c r="P160" s="1102"/>
      <c r="Q160" s="1102"/>
      <c r="R160" s="1101"/>
      <c r="S160" s="1101"/>
      <c r="T160" s="1101"/>
      <c r="U160" s="1101"/>
      <c r="V160" s="1101"/>
      <c r="W160" s="1101"/>
      <c r="X160" s="969"/>
      <c r="Y160" s="970"/>
      <c r="Z160" s="1101"/>
      <c r="AA160" s="1104"/>
      <c r="AB160" s="994"/>
      <c r="AC160" s="994"/>
    </row>
    <row r="161" spans="1:29" ht="23.25">
      <c r="A161" s="913"/>
      <c r="B161" s="1113"/>
      <c r="C161" s="913"/>
      <c r="D161" s="969"/>
      <c r="E161" s="993"/>
      <c r="F161" s="993"/>
      <c r="G161" s="1100"/>
      <c r="H161" s="969"/>
      <c r="I161" s="969"/>
      <c r="J161" s="970"/>
      <c r="K161" s="1101"/>
      <c r="L161" s="1101"/>
      <c r="M161" s="1101"/>
      <c r="N161" s="1101"/>
      <c r="O161" s="969"/>
      <c r="P161" s="1102"/>
      <c r="Q161" s="1102"/>
      <c r="R161" s="1101"/>
      <c r="S161" s="1101"/>
      <c r="T161" s="1101"/>
      <c r="U161" s="1101"/>
      <c r="V161" s="1101"/>
      <c r="W161" s="1101"/>
      <c r="X161" s="969"/>
      <c r="Y161" s="970"/>
      <c r="Z161" s="1101"/>
      <c r="AA161" s="1104"/>
      <c r="AB161" s="994"/>
      <c r="AC161" s="994"/>
    </row>
    <row r="162" spans="1:29" ht="23.25">
      <c r="A162" s="913"/>
      <c r="B162" s="1113"/>
      <c r="C162" s="913"/>
      <c r="D162" s="969"/>
      <c r="E162" s="993"/>
      <c r="F162" s="993"/>
      <c r="G162" s="1100"/>
      <c r="H162" s="969"/>
      <c r="I162" s="969"/>
      <c r="J162" s="970"/>
      <c r="K162" s="1101"/>
      <c r="L162" s="1101"/>
      <c r="M162" s="1101"/>
      <c r="N162" s="1101"/>
      <c r="O162" s="969"/>
      <c r="P162" s="1102"/>
      <c r="Q162" s="1102"/>
      <c r="R162" s="1101"/>
      <c r="S162" s="1101"/>
      <c r="T162" s="1101"/>
      <c r="U162" s="1101"/>
      <c r="V162" s="1101"/>
      <c r="W162" s="1101"/>
      <c r="X162" s="969"/>
      <c r="Y162" s="970"/>
      <c r="Z162" s="1101"/>
      <c r="AA162" s="1104"/>
      <c r="AB162" s="994"/>
      <c r="AC162" s="994"/>
    </row>
    <row r="163" spans="1:29" ht="23.25">
      <c r="A163" s="913"/>
      <c r="B163" s="1113"/>
      <c r="C163" s="913"/>
      <c r="D163" s="969"/>
      <c r="E163" s="993"/>
      <c r="F163" s="993"/>
      <c r="G163" s="1100"/>
      <c r="H163" s="969"/>
      <c r="I163" s="969"/>
      <c r="J163" s="970"/>
      <c r="K163" s="1101"/>
      <c r="L163" s="1101"/>
      <c r="M163" s="1101"/>
      <c r="N163" s="1101"/>
      <c r="O163" s="969"/>
      <c r="P163" s="1102"/>
      <c r="Q163" s="1102"/>
      <c r="R163" s="1101"/>
      <c r="S163" s="1101"/>
      <c r="T163" s="1101"/>
      <c r="U163" s="1101"/>
      <c r="V163" s="1101"/>
      <c r="W163" s="1101"/>
      <c r="X163" s="969"/>
      <c r="Y163" s="970"/>
      <c r="Z163" s="1101"/>
      <c r="AA163" s="1104"/>
      <c r="AB163" s="994"/>
      <c r="AC163" s="994"/>
    </row>
    <row r="164" spans="1:29" ht="23.25">
      <c r="A164" s="913"/>
      <c r="B164" s="1114" t="s">
        <v>705</v>
      </c>
      <c r="C164" s="1115"/>
      <c r="D164" s="969"/>
      <c r="E164" s="993"/>
      <c r="F164" s="993"/>
      <c r="G164" s="1100"/>
      <c r="H164" s="969"/>
      <c r="I164" s="969"/>
      <c r="J164" s="970"/>
      <c r="K164" s="1101"/>
      <c r="L164" s="1101"/>
      <c r="M164" s="1101"/>
      <c r="N164" s="1114" t="s">
        <v>703</v>
      </c>
      <c r="O164" s="1116"/>
      <c r="P164" s="1117"/>
      <c r="Q164" s="1117"/>
      <c r="R164" s="1101"/>
      <c r="S164" s="1101"/>
      <c r="T164" s="1101"/>
      <c r="U164" s="1101"/>
      <c r="V164" s="1101"/>
      <c r="W164" s="1101"/>
      <c r="X164" s="969"/>
      <c r="Y164" s="970"/>
      <c r="Z164" s="1101"/>
      <c r="AA164" s="1104"/>
      <c r="AB164" s="994"/>
      <c r="AC164" s="994"/>
    </row>
    <row r="165" spans="1:29">
      <c r="A165" s="913"/>
      <c r="B165" s="913"/>
      <c r="C165" s="913"/>
      <c r="D165" s="969"/>
      <c r="E165" s="993"/>
      <c r="F165" s="993"/>
      <c r="G165" s="1100"/>
      <c r="H165" s="969"/>
      <c r="I165" s="969"/>
      <c r="J165" s="970"/>
      <c r="K165" s="1101"/>
      <c r="L165" s="1101"/>
      <c r="M165" s="1101"/>
      <c r="N165" s="1101"/>
      <c r="O165" s="969"/>
      <c r="P165" s="1102"/>
      <c r="Q165" s="1102"/>
      <c r="R165" s="1101"/>
      <c r="S165" s="1101"/>
      <c r="T165" s="1101"/>
      <c r="U165" s="1101"/>
      <c r="V165" s="1101"/>
      <c r="W165" s="1101"/>
      <c r="X165" s="969"/>
      <c r="Y165" s="970"/>
      <c r="Z165" s="1101"/>
      <c r="AA165" s="1104"/>
      <c r="AB165" s="994"/>
      <c r="AC165" s="994"/>
    </row>
    <row r="166" spans="1:29">
      <c r="A166" s="913"/>
      <c r="B166" s="913"/>
      <c r="C166" s="913"/>
      <c r="D166" s="969"/>
      <c r="E166" s="993"/>
      <c r="F166" s="993"/>
      <c r="G166" s="1100"/>
      <c r="H166" s="969"/>
      <c r="I166" s="969"/>
      <c r="J166" s="970"/>
      <c r="K166" s="1101"/>
      <c r="L166" s="1101"/>
      <c r="M166" s="1101"/>
      <c r="N166" s="1101"/>
      <c r="O166" s="969"/>
      <c r="P166" s="1102"/>
      <c r="Q166" s="1102"/>
      <c r="R166" s="1101"/>
      <c r="S166" s="1101"/>
      <c r="T166" s="1101"/>
      <c r="U166" s="1101"/>
      <c r="V166" s="1101"/>
      <c r="W166" s="1101"/>
      <c r="X166" s="969"/>
      <c r="Y166" s="970"/>
      <c r="Z166" s="1101"/>
      <c r="AA166" s="1104"/>
      <c r="AB166" s="994"/>
      <c r="AC166" s="994"/>
    </row>
    <row r="167" spans="1:29">
      <c r="A167" s="913"/>
      <c r="B167" s="913"/>
      <c r="C167" s="913"/>
      <c r="D167" s="969"/>
      <c r="E167" s="993"/>
      <c r="F167" s="993"/>
      <c r="G167" s="1100"/>
      <c r="H167" s="969"/>
      <c r="I167" s="969"/>
      <c r="J167" s="970"/>
      <c r="K167" s="1101"/>
      <c r="L167" s="1101"/>
      <c r="M167" s="1101"/>
      <c r="N167" s="1101"/>
      <c r="O167" s="969"/>
      <c r="P167" s="1102"/>
      <c r="Q167" s="1102"/>
      <c r="R167" s="1101"/>
      <c r="S167" s="1101"/>
      <c r="T167" s="1101"/>
      <c r="U167" s="1101"/>
      <c r="V167" s="1101"/>
      <c r="W167" s="1101"/>
      <c r="X167" s="969"/>
      <c r="Y167" s="970"/>
      <c r="Z167" s="1101"/>
      <c r="AA167" s="1104"/>
      <c r="AB167" s="994"/>
      <c r="AC167" s="994"/>
    </row>
    <row r="168" spans="1:29">
      <c r="A168" s="913"/>
      <c r="B168" s="913"/>
      <c r="C168" s="913"/>
      <c r="D168" s="969"/>
      <c r="E168" s="993"/>
      <c r="F168" s="993"/>
      <c r="G168" s="1100"/>
      <c r="H168" s="969"/>
      <c r="I168" s="969"/>
      <c r="J168" s="970"/>
      <c r="K168" s="1101"/>
      <c r="L168" s="1101"/>
      <c r="M168" s="1101"/>
      <c r="N168" s="1101"/>
      <c r="O168" s="969"/>
      <c r="P168" s="1102"/>
      <c r="Q168" s="1102"/>
      <c r="R168" s="1101"/>
      <c r="S168" s="1101"/>
      <c r="T168" s="1101"/>
      <c r="U168" s="1101"/>
      <c r="V168" s="1101"/>
      <c r="W168" s="1101"/>
      <c r="X168" s="969"/>
      <c r="Y168" s="970"/>
      <c r="Z168" s="1101"/>
      <c r="AA168" s="1104"/>
      <c r="AB168" s="994"/>
      <c r="AC168" s="994"/>
    </row>
    <row r="169" spans="1:29">
      <c r="A169" s="913"/>
      <c r="B169" s="913"/>
      <c r="C169" s="913"/>
      <c r="D169" s="969"/>
      <c r="E169" s="993"/>
      <c r="F169" s="993"/>
      <c r="G169" s="1100"/>
      <c r="H169" s="969"/>
      <c r="I169" s="969"/>
      <c r="J169" s="970"/>
      <c r="K169" s="1101"/>
      <c r="L169" s="1101"/>
      <c r="M169" s="1101"/>
      <c r="N169" s="1101"/>
      <c r="O169" s="969"/>
      <c r="P169" s="1102"/>
      <c r="Q169" s="1102"/>
      <c r="R169" s="1101"/>
      <c r="S169" s="1101"/>
      <c r="T169" s="1101"/>
      <c r="U169" s="1101"/>
      <c r="V169" s="1101"/>
      <c r="W169" s="1101"/>
      <c r="X169" s="969"/>
      <c r="Y169" s="970"/>
      <c r="Z169" s="1101"/>
      <c r="AA169" s="1104"/>
      <c r="AB169" s="994"/>
      <c r="AC169" s="994"/>
    </row>
    <row r="170" spans="1:29">
      <c r="A170" s="913"/>
      <c r="B170" s="913"/>
      <c r="C170" s="913"/>
      <c r="D170" s="969"/>
      <c r="E170" s="993"/>
      <c r="F170" s="993"/>
      <c r="G170" s="1100"/>
      <c r="H170" s="969"/>
      <c r="I170" s="969"/>
      <c r="J170" s="970"/>
      <c r="K170" s="1101"/>
      <c r="L170" s="1101"/>
      <c r="M170" s="1101"/>
      <c r="N170" s="1101"/>
      <c r="O170" s="969"/>
      <c r="P170" s="1102"/>
      <c r="Q170" s="1102"/>
      <c r="R170" s="1101"/>
      <c r="S170" s="1101"/>
      <c r="T170" s="1101"/>
      <c r="U170" s="1101"/>
      <c r="V170" s="1101"/>
      <c r="W170" s="1101"/>
      <c r="X170" s="969"/>
      <c r="Y170" s="970"/>
      <c r="Z170" s="1101"/>
      <c r="AA170" s="1104"/>
      <c r="AB170" s="994"/>
      <c r="AC170" s="994"/>
    </row>
    <row r="171" spans="1:29">
      <c r="A171" s="913"/>
      <c r="B171" s="913"/>
      <c r="C171" s="913"/>
      <c r="D171" s="969"/>
      <c r="E171" s="993"/>
      <c r="F171" s="993"/>
      <c r="G171" s="1100"/>
      <c r="H171" s="969"/>
      <c r="I171" s="969"/>
      <c r="J171" s="970"/>
      <c r="K171" s="1101"/>
      <c r="L171" s="1101"/>
      <c r="M171" s="1101"/>
      <c r="N171" s="1101"/>
      <c r="O171" s="969"/>
      <c r="P171" s="1102"/>
      <c r="Q171" s="1102"/>
      <c r="R171" s="1101"/>
      <c r="S171" s="1101"/>
      <c r="T171" s="1101"/>
      <c r="U171" s="1101"/>
      <c r="V171" s="1101"/>
      <c r="W171" s="1101"/>
      <c r="X171" s="969"/>
      <c r="Y171" s="970"/>
      <c r="Z171" s="1101"/>
      <c r="AA171" s="1104"/>
      <c r="AB171" s="994"/>
      <c r="AC171" s="994"/>
    </row>
    <row r="172" spans="1:29">
      <c r="A172" s="913"/>
      <c r="B172" s="913"/>
      <c r="C172" s="913"/>
      <c r="D172" s="969"/>
      <c r="E172" s="993"/>
      <c r="F172" s="993"/>
      <c r="G172" s="1100"/>
      <c r="H172" s="969"/>
      <c r="I172" s="969"/>
      <c r="J172" s="970"/>
      <c r="K172" s="1101"/>
      <c r="L172" s="1101"/>
      <c r="M172" s="1101"/>
      <c r="N172" s="1101"/>
      <c r="O172" s="969"/>
      <c r="P172" s="1102"/>
      <c r="Q172" s="1102"/>
      <c r="R172" s="1101"/>
      <c r="S172" s="1101"/>
      <c r="T172" s="1101"/>
      <c r="U172" s="1101"/>
      <c r="V172" s="1101"/>
      <c r="W172" s="1101"/>
      <c r="X172" s="969"/>
      <c r="Y172" s="970"/>
      <c r="Z172" s="1101"/>
      <c r="AA172" s="1104"/>
      <c r="AB172" s="994"/>
      <c r="AC172" s="994"/>
    </row>
    <row r="173" spans="1:29">
      <c r="A173" s="913"/>
      <c r="B173" s="913"/>
      <c r="C173" s="913"/>
      <c r="D173" s="969"/>
      <c r="E173" s="993"/>
      <c r="F173" s="993"/>
      <c r="G173" s="1100"/>
      <c r="H173" s="969"/>
      <c r="I173" s="969"/>
      <c r="J173" s="970"/>
      <c r="K173" s="1101"/>
      <c r="L173" s="1101"/>
      <c r="M173" s="1101"/>
      <c r="N173" s="1101"/>
      <c r="O173" s="969"/>
      <c r="P173" s="1102"/>
      <c r="Q173" s="1102"/>
      <c r="R173" s="1101"/>
      <c r="S173" s="1101"/>
      <c r="T173" s="1101"/>
      <c r="U173" s="1101"/>
      <c r="V173" s="1101"/>
      <c r="W173" s="1101"/>
      <c r="X173" s="969"/>
      <c r="Y173" s="970"/>
      <c r="Z173" s="1101"/>
      <c r="AA173" s="1104"/>
      <c r="AB173" s="994"/>
      <c r="AC173" s="994"/>
    </row>
    <row r="174" spans="1:29">
      <c r="A174" s="913"/>
      <c r="B174" s="913"/>
      <c r="C174" s="913"/>
      <c r="D174" s="969"/>
      <c r="E174" s="993"/>
      <c r="F174" s="993"/>
      <c r="G174" s="1100"/>
      <c r="H174" s="969"/>
      <c r="I174" s="969"/>
      <c r="J174" s="970"/>
      <c r="K174" s="1101"/>
      <c r="L174" s="1101"/>
      <c r="M174" s="1101"/>
      <c r="N174" s="1101"/>
      <c r="O174" s="969"/>
      <c r="P174" s="1102"/>
      <c r="Q174" s="1102"/>
      <c r="R174" s="1101"/>
      <c r="S174" s="1101"/>
      <c r="T174" s="1101"/>
      <c r="U174" s="1101"/>
      <c r="V174" s="1101"/>
      <c r="W174" s="1101"/>
      <c r="X174" s="969"/>
      <c r="Y174" s="970"/>
      <c r="Z174" s="1101"/>
      <c r="AA174" s="1104"/>
      <c r="AB174" s="994"/>
      <c r="AC174" s="994"/>
    </row>
    <row r="175" spans="1:29">
      <c r="A175" s="913"/>
      <c r="B175" s="913"/>
      <c r="C175" s="913"/>
      <c r="D175" s="969"/>
      <c r="E175" s="993"/>
      <c r="F175" s="993"/>
      <c r="G175" s="1100"/>
      <c r="H175" s="969"/>
      <c r="I175" s="969"/>
      <c r="J175" s="970"/>
      <c r="K175" s="1101"/>
      <c r="L175" s="1101"/>
      <c r="M175" s="1101"/>
      <c r="N175" s="1101"/>
      <c r="O175" s="969"/>
      <c r="P175" s="1102"/>
      <c r="Q175" s="1102"/>
      <c r="R175" s="1101"/>
      <c r="S175" s="1101"/>
      <c r="T175" s="1101"/>
      <c r="U175" s="1101"/>
      <c r="V175" s="1101"/>
      <c r="W175" s="1101"/>
      <c r="X175" s="969"/>
      <c r="Y175" s="970"/>
      <c r="Z175" s="1101"/>
      <c r="AA175" s="1104"/>
      <c r="AB175" s="994"/>
      <c r="AC175" s="994"/>
    </row>
    <row r="176" spans="1:29">
      <c r="A176" s="913"/>
      <c r="B176" s="913"/>
      <c r="C176" s="913"/>
      <c r="D176" s="969"/>
      <c r="E176" s="993"/>
      <c r="F176" s="993"/>
      <c r="G176" s="1100"/>
      <c r="H176" s="969"/>
      <c r="I176" s="969"/>
      <c r="J176" s="970"/>
      <c r="K176" s="1101"/>
      <c r="L176" s="1101"/>
      <c r="M176" s="1101"/>
      <c r="N176" s="1101"/>
      <c r="O176" s="969"/>
      <c r="P176" s="1102"/>
      <c r="Q176" s="1102"/>
      <c r="R176" s="1101"/>
      <c r="S176" s="1101"/>
      <c r="T176" s="1101"/>
      <c r="U176" s="1101"/>
      <c r="V176" s="1101"/>
      <c r="W176" s="1101"/>
      <c r="X176" s="969"/>
      <c r="Y176" s="970"/>
      <c r="Z176" s="1101"/>
      <c r="AA176" s="1104"/>
      <c r="AB176" s="994"/>
      <c r="AC176" s="994"/>
    </row>
    <row r="177" spans="1:29">
      <c r="A177" s="913"/>
      <c r="B177" s="913"/>
      <c r="C177" s="913"/>
      <c r="D177" s="969"/>
      <c r="E177" s="993"/>
      <c r="F177" s="993"/>
      <c r="G177" s="1100"/>
      <c r="H177" s="969"/>
      <c r="I177" s="969"/>
      <c r="J177" s="970"/>
      <c r="K177" s="1101"/>
      <c r="L177" s="1101"/>
      <c r="M177" s="1101"/>
      <c r="N177" s="1101"/>
      <c r="O177" s="969"/>
      <c r="P177" s="1102"/>
      <c r="Q177" s="1102"/>
      <c r="R177" s="1101"/>
      <c r="S177" s="1101"/>
      <c r="T177" s="1101"/>
      <c r="U177" s="1101"/>
      <c r="V177" s="1101"/>
      <c r="W177" s="1101"/>
      <c r="X177" s="969"/>
      <c r="Y177" s="970"/>
      <c r="Z177" s="1101"/>
      <c r="AA177" s="1104"/>
      <c r="AB177" s="994"/>
      <c r="AC177" s="994"/>
    </row>
    <row r="178" spans="1:29">
      <c r="A178" s="913"/>
      <c r="B178" s="913"/>
      <c r="C178" s="913"/>
      <c r="D178" s="969"/>
      <c r="E178" s="993"/>
      <c r="F178" s="993"/>
      <c r="G178" s="1100"/>
      <c r="H178" s="969"/>
      <c r="I178" s="969"/>
      <c r="J178" s="970"/>
      <c r="K178" s="1101"/>
      <c r="L178" s="1101"/>
      <c r="M178" s="1101"/>
      <c r="N178" s="1101"/>
      <c r="O178" s="969"/>
      <c r="P178" s="1102"/>
      <c r="Q178" s="1102"/>
      <c r="R178" s="1101"/>
      <c r="S178" s="1101"/>
      <c r="T178" s="1101"/>
      <c r="U178" s="1101"/>
      <c r="V178" s="1101"/>
      <c r="W178" s="1101"/>
      <c r="X178" s="969"/>
      <c r="Y178" s="970"/>
      <c r="Z178" s="1101"/>
      <c r="AA178" s="1104"/>
      <c r="AB178" s="994"/>
      <c r="AC178" s="994"/>
    </row>
    <row r="179" spans="1:29">
      <c r="A179" s="913"/>
      <c r="B179" s="913"/>
      <c r="C179" s="913"/>
      <c r="D179" s="969"/>
      <c r="E179" s="993"/>
      <c r="F179" s="993"/>
      <c r="G179" s="1100"/>
      <c r="H179" s="969"/>
      <c r="I179" s="969"/>
      <c r="J179" s="970"/>
      <c r="K179" s="1101"/>
      <c r="L179" s="1101"/>
      <c r="M179" s="1101"/>
      <c r="N179" s="1101"/>
      <c r="O179" s="969"/>
      <c r="P179" s="1102"/>
      <c r="Q179" s="1102"/>
      <c r="R179" s="1101"/>
      <c r="S179" s="1101"/>
      <c r="T179" s="1101"/>
      <c r="U179" s="1101"/>
      <c r="V179" s="1101"/>
      <c r="W179" s="1101"/>
      <c r="X179" s="969"/>
      <c r="Y179" s="970"/>
      <c r="Z179" s="1101"/>
      <c r="AA179" s="1104"/>
      <c r="AB179" s="994"/>
      <c r="AC179" s="994"/>
    </row>
    <row r="180" spans="1:29">
      <c r="A180" s="913"/>
      <c r="B180" s="913"/>
      <c r="C180" s="913"/>
      <c r="D180" s="969"/>
      <c r="E180" s="993"/>
      <c r="F180" s="993"/>
      <c r="G180" s="1100"/>
      <c r="H180" s="969"/>
      <c r="I180" s="969"/>
      <c r="J180" s="970"/>
      <c r="K180" s="1101"/>
      <c r="L180" s="1101"/>
      <c r="M180" s="1101"/>
      <c r="N180" s="1101"/>
      <c r="O180" s="969"/>
      <c r="P180" s="1102"/>
      <c r="Q180" s="1102"/>
      <c r="R180" s="1101"/>
      <c r="S180" s="1101"/>
      <c r="T180" s="1101"/>
      <c r="U180" s="1101"/>
      <c r="V180" s="1101"/>
      <c r="W180" s="1101"/>
      <c r="X180" s="969"/>
      <c r="Y180" s="970"/>
      <c r="Z180" s="1101"/>
      <c r="AA180" s="1104"/>
      <c r="AB180" s="994"/>
      <c r="AC180" s="994"/>
    </row>
    <row r="181" spans="1:29">
      <c r="A181" s="913"/>
      <c r="B181" s="913"/>
      <c r="C181" s="913"/>
      <c r="D181" s="969"/>
      <c r="E181" s="993"/>
      <c r="F181" s="993"/>
      <c r="G181" s="1100"/>
      <c r="H181" s="969"/>
      <c r="I181" s="969"/>
      <c r="J181" s="970"/>
      <c r="K181" s="1101"/>
      <c r="L181" s="1101"/>
      <c r="M181" s="1101"/>
      <c r="N181" s="1101"/>
      <c r="O181" s="969"/>
      <c r="P181" s="1102"/>
      <c r="Q181" s="1102"/>
      <c r="R181" s="1101"/>
      <c r="S181" s="1101"/>
      <c r="T181" s="1101"/>
      <c r="U181" s="1101"/>
      <c r="V181" s="1101"/>
      <c r="W181" s="1101"/>
      <c r="X181" s="969"/>
      <c r="Y181" s="970"/>
      <c r="Z181" s="1101"/>
      <c r="AA181" s="1104"/>
      <c r="AB181" s="994"/>
      <c r="AC181" s="994"/>
    </row>
    <row r="182" spans="1:29">
      <c r="A182" s="913"/>
      <c r="B182" s="913"/>
      <c r="C182" s="913"/>
      <c r="D182" s="969"/>
      <c r="E182" s="993"/>
      <c r="F182" s="993"/>
      <c r="G182" s="1100"/>
      <c r="H182" s="969"/>
      <c r="I182" s="969"/>
      <c r="J182" s="970"/>
      <c r="K182" s="1101"/>
      <c r="L182" s="1101"/>
      <c r="M182" s="1101"/>
      <c r="N182" s="1101"/>
      <c r="O182" s="969"/>
      <c r="P182" s="1102"/>
      <c r="Q182" s="1102"/>
      <c r="R182" s="1101"/>
      <c r="S182" s="1101"/>
      <c r="T182" s="1101"/>
      <c r="U182" s="1101"/>
      <c r="V182" s="1101"/>
      <c r="W182" s="1101"/>
      <c r="X182" s="969"/>
      <c r="Y182" s="970"/>
      <c r="Z182" s="1101"/>
      <c r="AA182" s="1104"/>
      <c r="AB182" s="994"/>
      <c r="AC182" s="994"/>
    </row>
    <row r="183" spans="1:29">
      <c r="A183" s="913"/>
      <c r="B183" s="913"/>
      <c r="C183" s="913"/>
      <c r="D183" s="969"/>
      <c r="E183" s="993"/>
      <c r="F183" s="993"/>
      <c r="G183" s="1100"/>
      <c r="H183" s="969"/>
      <c r="I183" s="969"/>
      <c r="J183" s="970"/>
      <c r="K183" s="1101"/>
      <c r="L183" s="1101"/>
      <c r="M183" s="1101"/>
      <c r="N183" s="1101"/>
      <c r="O183" s="969"/>
      <c r="P183" s="1102"/>
      <c r="Q183" s="1102"/>
      <c r="R183" s="1101"/>
      <c r="S183" s="1101"/>
      <c r="T183" s="1101"/>
      <c r="U183" s="1101"/>
      <c r="V183" s="1101"/>
      <c r="W183" s="1101"/>
      <c r="X183" s="969"/>
      <c r="Y183" s="970"/>
      <c r="Z183" s="1101"/>
      <c r="AA183" s="1104"/>
      <c r="AB183" s="994"/>
      <c r="AC183" s="994"/>
    </row>
    <row r="184" spans="1:29">
      <c r="A184" s="913"/>
      <c r="B184" s="913"/>
      <c r="C184" s="913"/>
      <c r="D184" s="969"/>
      <c r="E184" s="993"/>
      <c r="F184" s="993"/>
      <c r="G184" s="1100"/>
      <c r="H184" s="969"/>
      <c r="I184" s="969"/>
      <c r="J184" s="970"/>
      <c r="K184" s="1101"/>
      <c r="L184" s="1101"/>
      <c r="M184" s="1101"/>
      <c r="N184" s="1101"/>
      <c r="O184" s="969"/>
      <c r="P184" s="1102"/>
      <c r="Q184" s="1102"/>
      <c r="R184" s="1101"/>
      <c r="S184" s="1101"/>
      <c r="T184" s="1101"/>
      <c r="U184" s="1101"/>
      <c r="V184" s="1101"/>
      <c r="W184" s="1101"/>
      <c r="X184" s="969"/>
      <c r="Y184" s="970"/>
      <c r="Z184" s="1101"/>
      <c r="AA184" s="1104"/>
      <c r="AB184" s="994"/>
      <c r="AC184" s="994"/>
    </row>
    <row r="185" spans="1:29">
      <c r="A185" s="913"/>
      <c r="B185" s="913"/>
      <c r="C185" s="913"/>
      <c r="D185" s="969"/>
      <c r="E185" s="993"/>
      <c r="F185" s="993"/>
      <c r="G185" s="1100"/>
      <c r="H185" s="969"/>
      <c r="I185" s="969"/>
      <c r="J185" s="970"/>
      <c r="K185" s="1101"/>
      <c r="L185" s="1101"/>
      <c r="M185" s="1101"/>
      <c r="N185" s="1101"/>
      <c r="O185" s="969"/>
      <c r="P185" s="1102"/>
      <c r="Q185" s="1102"/>
      <c r="R185" s="1101"/>
      <c r="S185" s="1101"/>
      <c r="T185" s="1101"/>
      <c r="U185" s="1101"/>
      <c r="V185" s="1101"/>
      <c r="W185" s="1101"/>
      <c r="X185" s="969"/>
      <c r="Y185" s="970"/>
      <c r="Z185" s="1101"/>
      <c r="AA185" s="1104"/>
      <c r="AB185" s="994"/>
      <c r="AC185" s="994"/>
    </row>
    <row r="186" spans="1:29">
      <c r="A186" s="913"/>
      <c r="B186" s="913"/>
      <c r="C186" s="913"/>
      <c r="D186" s="969"/>
      <c r="E186" s="993"/>
      <c r="F186" s="993"/>
      <c r="G186" s="1100"/>
      <c r="H186" s="969"/>
      <c r="I186" s="969"/>
      <c r="J186" s="970"/>
      <c r="K186" s="1101"/>
      <c r="L186" s="1101"/>
      <c r="M186" s="1101"/>
      <c r="N186" s="1101"/>
      <c r="O186" s="969"/>
      <c r="P186" s="1102"/>
      <c r="Q186" s="1102"/>
      <c r="R186" s="1101"/>
      <c r="S186" s="1101"/>
      <c r="T186" s="1101"/>
      <c r="U186" s="1101"/>
      <c r="V186" s="1101"/>
      <c r="W186" s="1101"/>
      <c r="X186" s="969"/>
      <c r="Y186" s="970"/>
      <c r="Z186" s="1101"/>
      <c r="AA186" s="1104"/>
      <c r="AB186" s="994"/>
      <c r="AC186" s="994"/>
    </row>
    <row r="187" spans="1:29">
      <c r="A187" s="913"/>
      <c r="B187" s="913"/>
      <c r="C187" s="913"/>
      <c r="D187" s="969"/>
      <c r="E187" s="993"/>
      <c r="F187" s="993"/>
      <c r="G187" s="1100"/>
      <c r="H187" s="969"/>
      <c r="I187" s="969"/>
      <c r="J187" s="970"/>
      <c r="K187" s="1101"/>
      <c r="L187" s="1101"/>
      <c r="M187" s="1101"/>
      <c r="N187" s="1101"/>
      <c r="O187" s="969"/>
      <c r="P187" s="1102"/>
      <c r="Q187" s="1102"/>
      <c r="R187" s="1101"/>
      <c r="S187" s="1101"/>
      <c r="T187" s="1101"/>
      <c r="U187" s="1101"/>
      <c r="V187" s="1101"/>
      <c r="W187" s="1101"/>
      <c r="X187" s="969"/>
      <c r="Y187" s="970"/>
      <c r="Z187" s="1101"/>
      <c r="AA187" s="1104"/>
      <c r="AB187" s="994"/>
      <c r="AC187" s="994"/>
    </row>
    <row r="188" spans="1:29">
      <c r="A188" s="913"/>
      <c r="B188" s="913"/>
      <c r="C188" s="913"/>
      <c r="D188" s="969"/>
      <c r="E188" s="993"/>
      <c r="F188" s="993"/>
      <c r="G188" s="1100"/>
      <c r="H188" s="969"/>
      <c r="I188" s="969"/>
      <c r="J188" s="970"/>
      <c r="K188" s="1101"/>
      <c r="L188" s="1101"/>
      <c r="M188" s="1101"/>
      <c r="N188" s="1101"/>
      <c r="O188" s="969"/>
      <c r="P188" s="1102"/>
      <c r="Q188" s="1102"/>
      <c r="R188" s="1101"/>
      <c r="S188" s="1101"/>
      <c r="T188" s="1101"/>
      <c r="U188" s="1101"/>
      <c r="V188" s="1101"/>
      <c r="W188" s="1101"/>
      <c r="X188" s="969"/>
      <c r="Y188" s="970"/>
      <c r="Z188" s="1101"/>
      <c r="AA188" s="1104"/>
      <c r="AB188" s="994"/>
      <c r="AC188" s="994"/>
    </row>
    <row r="189" spans="1:29">
      <c r="A189" s="913"/>
      <c r="B189" s="913"/>
      <c r="C189" s="913"/>
      <c r="D189" s="969"/>
      <c r="E189" s="993"/>
      <c r="F189" s="993"/>
      <c r="G189" s="1100"/>
      <c r="H189" s="969"/>
      <c r="I189" s="969"/>
      <c r="J189" s="970"/>
      <c r="K189" s="1101"/>
      <c r="L189" s="1101"/>
      <c r="M189" s="1101"/>
      <c r="N189" s="1101"/>
      <c r="O189" s="969"/>
      <c r="P189" s="1102"/>
      <c r="Q189" s="1102"/>
      <c r="R189" s="1101"/>
      <c r="S189" s="1101"/>
      <c r="T189" s="1101"/>
      <c r="U189" s="1101"/>
      <c r="V189" s="1101"/>
      <c r="W189" s="1101"/>
      <c r="X189" s="969"/>
      <c r="Y189" s="970"/>
      <c r="Z189" s="1101"/>
      <c r="AA189" s="1104"/>
      <c r="AB189" s="994"/>
      <c r="AC189" s="994"/>
    </row>
    <row r="190" spans="1:29">
      <c r="A190" s="913"/>
      <c r="B190" s="913"/>
      <c r="C190" s="913"/>
      <c r="D190" s="969"/>
      <c r="E190" s="993"/>
      <c r="F190" s="993"/>
      <c r="G190" s="1100"/>
      <c r="H190" s="969"/>
      <c r="I190" s="969"/>
      <c r="J190" s="970"/>
      <c r="K190" s="1101"/>
      <c r="L190" s="1101"/>
      <c r="M190" s="1101"/>
      <c r="N190" s="1101"/>
      <c r="O190" s="969"/>
      <c r="P190" s="1102"/>
      <c r="Q190" s="1102"/>
      <c r="R190" s="1101"/>
      <c r="S190" s="1101"/>
      <c r="T190" s="1101"/>
      <c r="U190" s="1101"/>
      <c r="V190" s="1101"/>
      <c r="W190" s="1101"/>
      <c r="X190" s="969"/>
      <c r="Y190" s="970"/>
      <c r="Z190" s="1101"/>
      <c r="AA190" s="1104"/>
      <c r="AB190" s="994"/>
      <c r="AC190" s="994"/>
    </row>
    <row r="191" spans="1:29">
      <c r="A191" s="913"/>
      <c r="B191" s="913"/>
      <c r="C191" s="913"/>
      <c r="D191" s="969"/>
      <c r="E191" s="993"/>
      <c r="F191" s="993"/>
      <c r="G191" s="1100"/>
      <c r="H191" s="969"/>
      <c r="I191" s="969"/>
      <c r="J191" s="970"/>
      <c r="K191" s="1101"/>
      <c r="L191" s="1101"/>
      <c r="M191" s="1101"/>
      <c r="N191" s="1101"/>
      <c r="O191" s="969"/>
      <c r="P191" s="1102"/>
      <c r="Q191" s="1102"/>
      <c r="R191" s="1101"/>
      <c r="S191" s="1101"/>
      <c r="T191" s="1101"/>
      <c r="U191" s="1101"/>
      <c r="V191" s="1101"/>
      <c r="W191" s="1101"/>
      <c r="X191" s="969"/>
      <c r="Y191" s="970"/>
      <c r="Z191" s="1101"/>
      <c r="AA191" s="1104"/>
      <c r="AB191" s="994"/>
      <c r="AC191" s="994"/>
    </row>
    <row r="192" spans="1:29">
      <c r="A192" s="913"/>
      <c r="B192" s="913"/>
      <c r="C192" s="913"/>
      <c r="D192" s="969"/>
      <c r="E192" s="993"/>
      <c r="F192" s="993"/>
      <c r="G192" s="1100"/>
      <c r="H192" s="969"/>
      <c r="I192" s="969"/>
      <c r="J192" s="970"/>
      <c r="K192" s="1101"/>
      <c r="L192" s="1101"/>
      <c r="M192" s="1101"/>
      <c r="N192" s="1101"/>
      <c r="O192" s="969"/>
      <c r="P192" s="1102"/>
      <c r="Q192" s="1102"/>
      <c r="R192" s="1101"/>
      <c r="S192" s="1101"/>
      <c r="T192" s="1101"/>
      <c r="U192" s="1101"/>
      <c r="V192" s="1101"/>
      <c r="W192" s="1101"/>
      <c r="X192" s="969"/>
      <c r="Y192" s="970"/>
      <c r="Z192" s="1101"/>
      <c r="AA192" s="1104"/>
      <c r="AB192" s="994"/>
      <c r="AC192" s="994"/>
    </row>
    <row r="193" spans="1:29">
      <c r="A193" s="913"/>
      <c r="B193" s="913"/>
      <c r="C193" s="913"/>
      <c r="D193" s="969"/>
      <c r="E193" s="993"/>
      <c r="F193" s="993"/>
      <c r="G193" s="1100"/>
      <c r="H193" s="969"/>
      <c r="I193" s="969"/>
      <c r="J193" s="970"/>
      <c r="K193" s="1101"/>
      <c r="L193" s="1101"/>
      <c r="M193" s="1101"/>
      <c r="N193" s="1101"/>
      <c r="O193" s="969"/>
      <c r="P193" s="1102"/>
      <c r="Q193" s="1102"/>
      <c r="R193" s="1101"/>
      <c r="S193" s="1101"/>
      <c r="T193" s="1101"/>
      <c r="U193" s="1101"/>
      <c r="V193" s="1101"/>
      <c r="W193" s="1101"/>
      <c r="X193" s="969"/>
      <c r="Y193" s="970"/>
      <c r="Z193" s="1101"/>
      <c r="AA193" s="1104"/>
      <c r="AB193" s="994"/>
      <c r="AC193" s="994"/>
    </row>
    <row r="194" spans="1:29">
      <c r="A194" s="913"/>
      <c r="B194" s="913"/>
      <c r="C194" s="913"/>
      <c r="D194" s="969"/>
      <c r="E194" s="993"/>
      <c r="F194" s="993"/>
      <c r="G194" s="1100"/>
      <c r="H194" s="969"/>
      <c r="I194" s="969"/>
      <c r="J194" s="970"/>
      <c r="K194" s="1101"/>
      <c r="L194" s="1101"/>
      <c r="M194" s="1101"/>
      <c r="N194" s="1101"/>
      <c r="O194" s="969"/>
      <c r="P194" s="1102"/>
      <c r="Q194" s="1102"/>
      <c r="R194" s="1101"/>
      <c r="S194" s="1101"/>
      <c r="T194" s="1101"/>
      <c r="U194" s="1101"/>
      <c r="V194" s="1101"/>
      <c r="W194" s="1101"/>
      <c r="X194" s="969"/>
      <c r="Y194" s="970"/>
      <c r="Z194" s="1101"/>
      <c r="AA194" s="1104"/>
      <c r="AB194" s="994"/>
      <c r="AC194" s="994"/>
    </row>
    <row r="195" spans="1:29">
      <c r="A195" s="913"/>
      <c r="B195" s="913"/>
      <c r="C195" s="913"/>
      <c r="D195" s="969"/>
      <c r="E195" s="993"/>
      <c r="F195" s="993"/>
      <c r="G195" s="1100"/>
      <c r="H195" s="969"/>
      <c r="I195" s="969"/>
      <c r="J195" s="970"/>
      <c r="K195" s="1101"/>
      <c r="L195" s="1101"/>
      <c r="M195" s="1101"/>
      <c r="N195" s="1101"/>
      <c r="O195" s="969"/>
      <c r="P195" s="1102"/>
      <c r="Q195" s="1102"/>
      <c r="R195" s="1101"/>
      <c r="S195" s="1101"/>
      <c r="T195" s="1101"/>
      <c r="U195" s="1101"/>
      <c r="V195" s="1101"/>
      <c r="W195" s="1101"/>
      <c r="X195" s="969"/>
      <c r="Y195" s="970"/>
      <c r="Z195" s="1101"/>
      <c r="AA195" s="1104"/>
      <c r="AB195" s="994"/>
      <c r="AC195" s="994"/>
    </row>
    <row r="196" spans="1:29">
      <c r="A196" s="913"/>
      <c r="B196" s="913"/>
      <c r="C196" s="913"/>
      <c r="D196" s="969"/>
      <c r="E196" s="993"/>
      <c r="F196" s="993"/>
      <c r="G196" s="1100"/>
      <c r="H196" s="969"/>
      <c r="I196" s="969"/>
      <c r="J196" s="970"/>
      <c r="K196" s="1101"/>
      <c r="L196" s="1101"/>
      <c r="M196" s="1101"/>
      <c r="N196" s="1101"/>
      <c r="O196" s="969"/>
      <c r="P196" s="1102"/>
      <c r="Q196" s="1102"/>
      <c r="R196" s="1101"/>
      <c r="S196" s="1101"/>
      <c r="T196" s="1101"/>
      <c r="U196" s="1101"/>
      <c r="V196" s="1101"/>
      <c r="W196" s="1101"/>
      <c r="X196" s="969"/>
      <c r="Y196" s="970"/>
      <c r="Z196" s="1101"/>
      <c r="AA196" s="1104"/>
      <c r="AB196" s="994"/>
      <c r="AC196" s="994"/>
    </row>
    <row r="197" spans="1:29">
      <c r="A197" s="913"/>
      <c r="B197" s="913"/>
      <c r="C197" s="913"/>
      <c r="D197" s="969"/>
      <c r="E197" s="993"/>
      <c r="F197" s="993"/>
      <c r="G197" s="1100"/>
      <c r="H197" s="969"/>
      <c r="I197" s="969"/>
      <c r="J197" s="970"/>
      <c r="K197" s="1101"/>
      <c r="L197" s="1101"/>
      <c r="M197" s="1101"/>
      <c r="N197" s="1101"/>
      <c r="O197" s="969"/>
      <c r="P197" s="1102"/>
      <c r="Q197" s="1102"/>
      <c r="R197" s="1101"/>
      <c r="S197" s="1101"/>
      <c r="T197" s="1101"/>
      <c r="U197" s="1101"/>
      <c r="V197" s="1101"/>
      <c r="W197" s="1101"/>
      <c r="X197" s="969"/>
      <c r="Y197" s="970"/>
      <c r="Z197" s="1101"/>
      <c r="AA197" s="1104"/>
      <c r="AB197" s="994"/>
      <c r="AC197" s="994"/>
    </row>
    <row r="198" spans="1:29">
      <c r="A198" s="913"/>
      <c r="B198" s="913"/>
      <c r="C198" s="913"/>
      <c r="D198" s="969"/>
      <c r="E198" s="993"/>
      <c r="F198" s="993"/>
      <c r="G198" s="1100"/>
      <c r="H198" s="969"/>
      <c r="I198" s="969"/>
      <c r="J198" s="970"/>
      <c r="K198" s="1101"/>
      <c r="L198" s="1101"/>
      <c r="M198" s="1101"/>
      <c r="N198" s="1101"/>
      <c r="O198" s="969"/>
      <c r="P198" s="1102"/>
      <c r="Q198" s="1102"/>
      <c r="R198" s="1101"/>
      <c r="S198" s="1101"/>
      <c r="T198" s="1101"/>
      <c r="U198" s="1101"/>
      <c r="V198" s="1101"/>
      <c r="W198" s="1101"/>
      <c r="X198" s="969"/>
      <c r="Y198" s="970"/>
      <c r="Z198" s="1101"/>
      <c r="AA198" s="1104"/>
      <c r="AB198" s="994"/>
      <c r="AC198" s="994"/>
    </row>
    <row r="199" spans="1:29">
      <c r="A199" s="913"/>
      <c r="B199" s="913"/>
      <c r="C199" s="913"/>
      <c r="D199" s="969"/>
      <c r="E199" s="993"/>
      <c r="F199" s="993"/>
      <c r="G199" s="1100"/>
      <c r="H199" s="969"/>
      <c r="I199" s="969"/>
      <c r="J199" s="970"/>
      <c r="K199" s="1101"/>
      <c r="L199" s="1101"/>
      <c r="M199" s="1101"/>
      <c r="N199" s="1101"/>
      <c r="O199" s="969"/>
      <c r="P199" s="1102"/>
      <c r="Q199" s="1102"/>
      <c r="R199" s="1101"/>
      <c r="S199" s="1101"/>
      <c r="T199" s="1101"/>
      <c r="U199" s="1101"/>
      <c r="V199" s="1101"/>
      <c r="W199" s="1101"/>
      <c r="X199" s="969"/>
      <c r="Y199" s="970"/>
      <c r="Z199" s="1101"/>
      <c r="AA199" s="1104"/>
      <c r="AB199" s="994"/>
      <c r="AC199" s="994"/>
    </row>
    <row r="200" spans="1:29">
      <c r="A200" s="913"/>
      <c r="B200" s="913"/>
      <c r="C200" s="913"/>
      <c r="D200" s="969"/>
      <c r="E200" s="993"/>
      <c r="F200" s="993"/>
      <c r="G200" s="1100"/>
      <c r="H200" s="969"/>
      <c r="I200" s="969"/>
      <c r="J200" s="970"/>
      <c r="K200" s="1101"/>
      <c r="L200" s="1101"/>
      <c r="M200" s="1101"/>
      <c r="N200" s="1101"/>
      <c r="O200" s="969"/>
      <c r="P200" s="1102"/>
      <c r="Q200" s="1102"/>
      <c r="R200" s="1101"/>
      <c r="S200" s="1101"/>
      <c r="T200" s="1101"/>
      <c r="U200" s="1101"/>
      <c r="V200" s="1101"/>
      <c r="W200" s="1101"/>
      <c r="X200" s="969"/>
      <c r="Y200" s="970"/>
      <c r="Z200" s="1101"/>
      <c r="AA200" s="1104"/>
      <c r="AB200" s="994"/>
      <c r="AC200" s="994"/>
    </row>
    <row r="201" spans="1:29">
      <c r="A201" s="913"/>
      <c r="B201" s="913"/>
      <c r="C201" s="913"/>
      <c r="D201" s="969"/>
      <c r="E201" s="993"/>
      <c r="F201" s="993"/>
      <c r="G201" s="1100"/>
      <c r="H201" s="969"/>
      <c r="I201" s="969"/>
      <c r="J201" s="970"/>
      <c r="K201" s="1101"/>
      <c r="L201" s="1101"/>
      <c r="M201" s="1101"/>
      <c r="N201" s="1101"/>
      <c r="O201" s="969"/>
      <c r="P201" s="1102"/>
      <c r="Q201" s="1102"/>
      <c r="R201" s="1101"/>
      <c r="S201" s="1101"/>
      <c r="T201" s="1101"/>
      <c r="U201" s="1101"/>
      <c r="V201" s="1101"/>
      <c r="W201" s="1101"/>
      <c r="X201" s="969"/>
      <c r="Y201" s="970"/>
      <c r="Z201" s="1101"/>
      <c r="AA201" s="1104"/>
      <c r="AB201" s="994"/>
      <c r="AC201" s="994"/>
    </row>
    <row r="202" spans="1:29">
      <c r="A202" s="913"/>
      <c r="B202" s="913"/>
      <c r="C202" s="913"/>
      <c r="D202" s="969"/>
      <c r="E202" s="993"/>
      <c r="F202" s="993"/>
      <c r="G202" s="1100"/>
      <c r="H202" s="969"/>
      <c r="I202" s="969"/>
      <c r="J202" s="970"/>
      <c r="K202" s="1101"/>
      <c r="L202" s="1101"/>
      <c r="M202" s="1101"/>
      <c r="N202" s="1101"/>
      <c r="O202" s="969"/>
      <c r="P202" s="1102"/>
      <c r="Q202" s="1102"/>
      <c r="R202" s="1101"/>
      <c r="S202" s="1101"/>
      <c r="T202" s="1101"/>
      <c r="U202" s="1101"/>
      <c r="V202" s="1101"/>
      <c r="W202" s="1101"/>
      <c r="X202" s="969"/>
      <c r="Y202" s="970"/>
      <c r="Z202" s="1101"/>
      <c r="AA202" s="1104"/>
      <c r="AB202" s="994"/>
      <c r="AC202" s="994"/>
    </row>
    <row r="203" spans="1:29">
      <c r="A203" s="913"/>
      <c r="B203" s="913"/>
      <c r="C203" s="913"/>
      <c r="D203" s="969"/>
      <c r="E203" s="993"/>
      <c r="F203" s="993"/>
      <c r="G203" s="1100"/>
      <c r="H203" s="969"/>
      <c r="I203" s="969"/>
      <c r="J203" s="970"/>
      <c r="K203" s="1101"/>
      <c r="L203" s="1101"/>
      <c r="M203" s="1101"/>
      <c r="N203" s="1101"/>
      <c r="O203" s="969"/>
      <c r="P203" s="1102"/>
      <c r="Q203" s="1102"/>
      <c r="R203" s="1101"/>
      <c r="S203" s="1101"/>
      <c r="T203" s="1101"/>
      <c r="U203" s="1101"/>
      <c r="V203" s="1101"/>
      <c r="W203" s="1101"/>
      <c r="X203" s="969"/>
      <c r="Y203" s="970"/>
      <c r="Z203" s="1101"/>
      <c r="AA203" s="1104"/>
      <c r="AB203" s="994"/>
      <c r="AC203" s="994"/>
    </row>
    <row r="204" spans="1:29">
      <c r="A204" s="913"/>
      <c r="B204" s="913"/>
      <c r="C204" s="913"/>
      <c r="D204" s="969"/>
      <c r="E204" s="993"/>
      <c r="F204" s="993"/>
      <c r="G204" s="1100"/>
      <c r="H204" s="969"/>
      <c r="I204" s="969"/>
      <c r="J204" s="970"/>
      <c r="K204" s="1101"/>
      <c r="L204" s="1101"/>
      <c r="M204" s="1101"/>
      <c r="N204" s="1101"/>
      <c r="O204" s="969"/>
      <c r="P204" s="1102"/>
      <c r="Q204" s="1102"/>
      <c r="R204" s="1101"/>
      <c r="S204" s="1101"/>
      <c r="T204" s="1101"/>
      <c r="U204" s="1101"/>
      <c r="V204" s="1101"/>
      <c r="W204" s="1101"/>
      <c r="X204" s="969"/>
      <c r="Y204" s="970"/>
      <c r="Z204" s="1101"/>
      <c r="AA204" s="1104"/>
      <c r="AB204" s="994"/>
      <c r="AC204" s="994"/>
    </row>
    <row r="205" spans="1:29">
      <c r="A205" s="913"/>
      <c r="B205" s="913"/>
      <c r="C205" s="913"/>
      <c r="D205" s="969"/>
      <c r="E205" s="993"/>
      <c r="F205" s="993"/>
      <c r="G205" s="1100"/>
      <c r="H205" s="969"/>
      <c r="I205" s="969"/>
      <c r="J205" s="970"/>
      <c r="K205" s="1101"/>
      <c r="L205" s="1101"/>
      <c r="M205" s="1101"/>
      <c r="N205" s="1101"/>
      <c r="O205" s="969"/>
      <c r="P205" s="1102"/>
      <c r="Q205" s="1102"/>
      <c r="R205" s="1101"/>
      <c r="S205" s="1101"/>
      <c r="T205" s="1101"/>
      <c r="U205" s="1101"/>
      <c r="V205" s="1101"/>
      <c r="W205" s="1101"/>
      <c r="X205" s="969"/>
      <c r="Y205" s="970"/>
      <c r="Z205" s="1101"/>
      <c r="AA205" s="1104"/>
      <c r="AB205" s="994"/>
      <c r="AC205" s="994"/>
    </row>
    <row r="206" spans="1:29">
      <c r="A206" s="913"/>
      <c r="B206" s="913"/>
      <c r="C206" s="913"/>
      <c r="D206" s="969"/>
      <c r="E206" s="993"/>
      <c r="F206" s="993"/>
      <c r="G206" s="1100"/>
      <c r="H206" s="969"/>
      <c r="I206" s="969"/>
      <c r="J206" s="970"/>
      <c r="K206" s="1101"/>
      <c r="L206" s="1101"/>
      <c r="M206" s="1101"/>
      <c r="N206" s="1101"/>
      <c r="O206" s="969"/>
      <c r="P206" s="1102"/>
      <c r="Q206" s="1102"/>
      <c r="R206" s="1101"/>
      <c r="S206" s="1101"/>
      <c r="T206" s="1101"/>
      <c r="U206" s="1101"/>
      <c r="V206" s="1101"/>
      <c r="W206" s="1101"/>
      <c r="X206" s="969"/>
      <c r="Y206" s="970"/>
      <c r="Z206" s="1101"/>
      <c r="AA206" s="1104"/>
      <c r="AB206" s="994"/>
      <c r="AC206" s="994"/>
    </row>
    <row r="207" spans="1:29">
      <c r="A207" s="913"/>
      <c r="B207" s="913"/>
      <c r="C207" s="913"/>
      <c r="D207" s="969"/>
      <c r="E207" s="993"/>
      <c r="F207" s="993"/>
      <c r="G207" s="1100"/>
      <c r="H207" s="969"/>
      <c r="I207" s="969"/>
      <c r="J207" s="970"/>
      <c r="K207" s="1101"/>
      <c r="L207" s="1101"/>
      <c r="M207" s="1101"/>
      <c r="N207" s="1101"/>
      <c r="O207" s="969"/>
      <c r="P207" s="1102"/>
      <c r="Q207" s="1102"/>
      <c r="R207" s="1101"/>
      <c r="S207" s="1101"/>
      <c r="T207" s="1101"/>
      <c r="U207" s="1101"/>
      <c r="V207" s="1101"/>
      <c r="W207" s="1101"/>
      <c r="X207" s="969"/>
      <c r="Y207" s="970"/>
      <c r="Z207" s="1101"/>
      <c r="AA207" s="1104"/>
      <c r="AB207" s="994"/>
      <c r="AC207" s="994"/>
    </row>
    <row r="208" spans="1:29">
      <c r="A208" s="913"/>
      <c r="B208" s="913"/>
      <c r="C208" s="913"/>
      <c r="D208" s="969"/>
      <c r="E208" s="993"/>
      <c r="F208" s="993"/>
      <c r="G208" s="1100"/>
      <c r="H208" s="969"/>
      <c r="I208" s="969"/>
      <c r="J208" s="970"/>
      <c r="K208" s="1101"/>
      <c r="L208" s="1101"/>
      <c r="M208" s="1101"/>
      <c r="N208" s="1101"/>
      <c r="O208" s="969"/>
      <c r="P208" s="1102"/>
      <c r="Q208" s="1102"/>
      <c r="R208" s="1101"/>
      <c r="S208" s="1101"/>
      <c r="T208" s="1101"/>
      <c r="U208" s="1101"/>
      <c r="V208" s="1101"/>
      <c r="W208" s="1101"/>
      <c r="X208" s="969"/>
      <c r="Y208" s="970"/>
      <c r="Z208" s="1101"/>
      <c r="AA208" s="1104"/>
      <c r="AB208" s="994"/>
      <c r="AC208" s="994"/>
    </row>
    <row r="209" spans="1:29">
      <c r="A209" s="913"/>
      <c r="B209" s="913"/>
      <c r="C209" s="913"/>
      <c r="D209" s="969"/>
      <c r="E209" s="993"/>
      <c r="F209" s="993"/>
      <c r="G209" s="1100"/>
      <c r="H209" s="969"/>
      <c r="I209" s="969"/>
      <c r="J209" s="970"/>
      <c r="K209" s="1101"/>
      <c r="L209" s="1101"/>
      <c r="M209" s="1101"/>
      <c r="N209" s="1101"/>
      <c r="O209" s="969"/>
      <c r="P209" s="1102"/>
      <c r="Q209" s="1102"/>
      <c r="R209" s="1101"/>
      <c r="S209" s="1101"/>
      <c r="T209" s="1101"/>
      <c r="U209" s="1101"/>
      <c r="V209" s="1101"/>
      <c r="W209" s="1101"/>
      <c r="X209" s="969"/>
      <c r="Y209" s="970"/>
      <c r="Z209" s="1101"/>
      <c r="AA209" s="1104"/>
      <c r="AB209" s="994"/>
      <c r="AC209" s="994"/>
    </row>
    <row r="210" spans="1:29">
      <c r="A210" s="913"/>
      <c r="B210" s="913"/>
      <c r="C210" s="913"/>
      <c r="D210" s="969"/>
      <c r="E210" s="993"/>
      <c r="F210" s="993"/>
      <c r="G210" s="1100"/>
      <c r="H210" s="969"/>
      <c r="I210" s="969"/>
      <c r="J210" s="970"/>
      <c r="K210" s="1101"/>
      <c r="L210" s="1101"/>
      <c r="M210" s="1101"/>
      <c r="N210" s="1101"/>
      <c r="O210" s="969"/>
      <c r="P210" s="1102"/>
      <c r="Q210" s="1102"/>
      <c r="R210" s="1101"/>
      <c r="S210" s="1101"/>
      <c r="T210" s="1101"/>
      <c r="U210" s="1101"/>
      <c r="V210" s="1101"/>
      <c r="W210" s="1101"/>
      <c r="X210" s="969"/>
      <c r="Y210" s="970"/>
      <c r="Z210" s="1101"/>
      <c r="AA210" s="1104"/>
      <c r="AB210" s="994"/>
      <c r="AC210" s="994"/>
    </row>
    <row r="211" spans="1:29">
      <c r="A211" s="913"/>
      <c r="B211" s="913"/>
      <c r="C211" s="913"/>
      <c r="D211" s="969"/>
      <c r="E211" s="993"/>
      <c r="F211" s="993"/>
      <c r="G211" s="1100"/>
      <c r="H211" s="969"/>
      <c r="I211" s="969"/>
      <c r="J211" s="970"/>
      <c r="K211" s="1101"/>
      <c r="L211" s="1101"/>
      <c r="M211" s="1101"/>
      <c r="N211" s="1101"/>
      <c r="O211" s="969"/>
      <c r="P211" s="1102"/>
      <c r="Q211" s="1102"/>
      <c r="R211" s="1101"/>
      <c r="S211" s="1101"/>
      <c r="T211" s="1101"/>
      <c r="U211" s="1101"/>
      <c r="V211" s="1101"/>
      <c r="W211" s="1101"/>
      <c r="X211" s="969"/>
      <c r="Y211" s="970"/>
      <c r="Z211" s="1101"/>
      <c r="AA211" s="1104"/>
      <c r="AB211" s="994"/>
      <c r="AC211" s="994"/>
    </row>
    <row r="212" spans="1:29">
      <c r="A212" s="913"/>
      <c r="B212" s="913"/>
      <c r="C212" s="913"/>
      <c r="D212" s="969"/>
      <c r="E212" s="993"/>
      <c r="F212" s="993"/>
      <c r="G212" s="1100"/>
      <c r="H212" s="969"/>
      <c r="I212" s="969"/>
      <c r="J212" s="970"/>
      <c r="K212" s="1101"/>
      <c r="L212" s="1101"/>
      <c r="M212" s="1101"/>
      <c r="N212" s="1101"/>
      <c r="O212" s="969"/>
      <c r="P212" s="1102"/>
      <c r="Q212" s="1102"/>
      <c r="R212" s="1101"/>
      <c r="S212" s="1101"/>
      <c r="T212" s="1101"/>
      <c r="U212" s="1101"/>
      <c r="V212" s="1101"/>
      <c r="W212" s="1101"/>
      <c r="X212" s="969"/>
      <c r="Y212" s="970"/>
      <c r="Z212" s="1101"/>
      <c r="AA212" s="1104"/>
      <c r="AB212" s="994"/>
      <c r="AC212" s="994"/>
    </row>
    <row r="213" spans="1:29">
      <c r="A213" s="913"/>
      <c r="B213" s="913"/>
      <c r="C213" s="913"/>
      <c r="D213" s="1105"/>
      <c r="E213" s="913"/>
      <c r="F213" s="913"/>
      <c r="G213" s="1106"/>
      <c r="H213" s="1105"/>
      <c r="I213" s="1105"/>
      <c r="J213" s="934"/>
      <c r="K213" s="1107"/>
      <c r="L213" s="1107"/>
      <c r="M213" s="1107"/>
      <c r="N213" s="1107"/>
      <c r="O213" s="1105"/>
      <c r="P213" s="1108"/>
      <c r="Q213" s="1108"/>
      <c r="R213" s="1107"/>
      <c r="S213" s="1107"/>
      <c r="T213" s="1107"/>
      <c r="U213" s="1107"/>
      <c r="V213" s="1107"/>
      <c r="W213" s="1107"/>
      <c r="X213" s="1105"/>
      <c r="Y213" s="934"/>
      <c r="Z213" s="1107"/>
    </row>
    <row r="214" spans="1:29">
      <c r="A214" s="913"/>
      <c r="B214" s="913"/>
      <c r="C214" s="913"/>
      <c r="D214" s="1105"/>
      <c r="E214" s="913"/>
      <c r="F214" s="913"/>
      <c r="G214" s="1106"/>
      <c r="H214" s="1105"/>
      <c r="I214" s="1105"/>
      <c r="J214" s="934"/>
      <c r="K214" s="1107"/>
      <c r="L214" s="1107"/>
      <c r="M214" s="1107"/>
      <c r="N214" s="1107"/>
      <c r="O214" s="1105"/>
      <c r="P214" s="1108"/>
      <c r="Q214" s="1108"/>
      <c r="R214" s="1107"/>
      <c r="S214" s="1107"/>
      <c r="T214" s="1107"/>
      <c r="U214" s="1107"/>
      <c r="V214" s="1107"/>
      <c r="W214" s="1107"/>
      <c r="X214" s="1105"/>
      <c r="Y214" s="934"/>
      <c r="Z214" s="1107"/>
    </row>
    <row r="215" spans="1:29">
      <c r="A215" s="913"/>
      <c r="B215" s="913"/>
      <c r="C215" s="913"/>
      <c r="D215" s="1105"/>
      <c r="E215" s="913"/>
      <c r="F215" s="913"/>
      <c r="G215" s="1106"/>
      <c r="H215" s="1105"/>
      <c r="I215" s="1105"/>
      <c r="J215" s="934"/>
      <c r="K215" s="1107"/>
      <c r="L215" s="1107"/>
      <c r="M215" s="1107"/>
      <c r="N215" s="1107"/>
      <c r="O215" s="1105"/>
      <c r="P215" s="1108"/>
      <c r="Q215" s="1108"/>
      <c r="R215" s="1107"/>
      <c r="S215" s="1107"/>
      <c r="T215" s="1107"/>
      <c r="U215" s="1107"/>
      <c r="V215" s="1107"/>
      <c r="W215" s="1107"/>
      <c r="X215" s="1105"/>
      <c r="Y215" s="934"/>
      <c r="Z215" s="1107"/>
    </row>
    <row r="216" spans="1:29">
      <c r="A216" s="913"/>
      <c r="B216" s="913"/>
      <c r="C216" s="913"/>
      <c r="D216" s="1105"/>
      <c r="E216" s="913"/>
      <c r="F216" s="913"/>
      <c r="G216" s="1106"/>
      <c r="H216" s="1105"/>
      <c r="I216" s="1105"/>
      <c r="J216" s="934"/>
      <c r="K216" s="1107"/>
      <c r="L216" s="1107"/>
      <c r="M216" s="1107"/>
      <c r="N216" s="1107"/>
      <c r="O216" s="1105"/>
      <c r="P216" s="1108"/>
      <c r="Q216" s="1108"/>
      <c r="R216" s="1107"/>
      <c r="S216" s="1107"/>
      <c r="T216" s="1107"/>
      <c r="U216" s="1107"/>
      <c r="V216" s="1107"/>
      <c r="W216" s="1107"/>
      <c r="X216" s="1105"/>
      <c r="Y216" s="934"/>
      <c r="Z216" s="1107"/>
    </row>
    <row r="217" spans="1:29">
      <c r="A217" s="913"/>
      <c r="B217" s="913"/>
      <c r="C217" s="913"/>
      <c r="D217" s="1105"/>
      <c r="E217" s="913"/>
      <c r="F217" s="913"/>
      <c r="G217" s="1106"/>
      <c r="H217" s="1105"/>
      <c r="I217" s="1105"/>
      <c r="J217" s="934"/>
      <c r="K217" s="1107"/>
      <c r="L217" s="1107"/>
      <c r="M217" s="1107"/>
      <c r="N217" s="1107"/>
      <c r="O217" s="1105"/>
      <c r="P217" s="1108"/>
      <c r="Q217" s="1108"/>
      <c r="R217" s="1107"/>
      <c r="S217" s="1107"/>
      <c r="T217" s="1107"/>
      <c r="U217" s="1107"/>
      <c r="V217" s="1107"/>
      <c r="W217" s="1107"/>
      <c r="X217" s="1105"/>
      <c r="Y217" s="934"/>
      <c r="Z217" s="1107"/>
    </row>
    <row r="218" spans="1:29">
      <c r="A218" s="913"/>
      <c r="B218" s="913"/>
      <c r="C218" s="913"/>
      <c r="D218" s="1105"/>
      <c r="E218" s="913"/>
      <c r="F218" s="913"/>
      <c r="G218" s="1106"/>
      <c r="H218" s="1105"/>
      <c r="I218" s="1105"/>
      <c r="J218" s="934"/>
      <c r="K218" s="1107"/>
      <c r="L218" s="1107"/>
      <c r="M218" s="1107"/>
      <c r="N218" s="1107"/>
      <c r="O218" s="1105"/>
      <c r="P218" s="1108"/>
      <c r="Q218" s="1108"/>
      <c r="R218" s="1107"/>
      <c r="S218" s="1107"/>
      <c r="T218" s="1107"/>
      <c r="U218" s="1107"/>
      <c r="V218" s="1107"/>
      <c r="W218" s="1107"/>
      <c r="X218" s="1105"/>
      <c r="Y218" s="934"/>
      <c r="Z218" s="1107"/>
    </row>
    <row r="219" spans="1:29">
      <c r="A219" s="913"/>
      <c r="B219" s="913"/>
      <c r="C219" s="913"/>
      <c r="D219" s="1105"/>
      <c r="E219" s="913"/>
      <c r="F219" s="913"/>
      <c r="G219" s="1106"/>
      <c r="H219" s="1105"/>
      <c r="I219" s="1105"/>
      <c r="J219" s="934"/>
      <c r="K219" s="1107"/>
      <c r="L219" s="1107"/>
      <c r="M219" s="1107"/>
      <c r="N219" s="1107"/>
      <c r="O219" s="1105"/>
      <c r="P219" s="1108"/>
      <c r="Q219" s="1108"/>
      <c r="R219" s="1107"/>
      <c r="S219" s="1107"/>
      <c r="T219" s="1107"/>
      <c r="U219" s="1107"/>
      <c r="V219" s="1107"/>
      <c r="W219" s="1107"/>
      <c r="X219" s="1105"/>
      <c r="Y219" s="934"/>
      <c r="Z219" s="1107"/>
    </row>
    <row r="220" spans="1:29">
      <c r="A220" s="913"/>
      <c r="B220" s="913"/>
      <c r="C220" s="913"/>
      <c r="D220" s="1105"/>
      <c r="E220" s="913"/>
      <c r="F220" s="913"/>
      <c r="G220" s="1106"/>
      <c r="H220" s="1105"/>
      <c r="I220" s="1105"/>
      <c r="J220" s="934"/>
      <c r="K220" s="1107"/>
      <c r="L220" s="1107"/>
      <c r="M220" s="1107"/>
      <c r="N220" s="1107"/>
      <c r="O220" s="1105"/>
      <c r="P220" s="1108"/>
      <c r="Q220" s="1108"/>
      <c r="R220" s="1107"/>
      <c r="S220" s="1107"/>
      <c r="T220" s="1107"/>
      <c r="U220" s="1107"/>
      <c r="V220" s="1107"/>
      <c r="W220" s="1107"/>
      <c r="X220" s="1105"/>
      <c r="Y220" s="934"/>
      <c r="Z220" s="1107"/>
    </row>
    <row r="221" spans="1:29">
      <c r="A221" s="913"/>
      <c r="B221" s="913"/>
      <c r="C221" s="913"/>
      <c r="D221" s="1105"/>
      <c r="E221" s="913"/>
      <c r="F221" s="913"/>
      <c r="G221" s="1106"/>
      <c r="H221" s="1105"/>
      <c r="I221" s="1105"/>
      <c r="J221" s="934"/>
      <c r="K221" s="1107"/>
      <c r="L221" s="1107"/>
      <c r="M221" s="1107"/>
      <c r="N221" s="1107"/>
      <c r="O221" s="1105"/>
      <c r="P221" s="1108"/>
      <c r="Q221" s="1108"/>
      <c r="R221" s="1107"/>
      <c r="S221" s="1107"/>
      <c r="T221" s="1107"/>
      <c r="U221" s="1107"/>
      <c r="V221" s="1107"/>
      <c r="W221" s="1107"/>
      <c r="X221" s="1105"/>
      <c r="Y221" s="934"/>
      <c r="Z221" s="1107"/>
    </row>
    <row r="222" spans="1:29">
      <c r="A222" s="913"/>
      <c r="B222" s="913"/>
      <c r="C222" s="913"/>
      <c r="D222" s="1105"/>
      <c r="E222" s="913"/>
      <c r="F222" s="913"/>
      <c r="G222" s="1106"/>
      <c r="H222" s="1105"/>
      <c r="I222" s="1105"/>
      <c r="J222" s="934"/>
      <c r="K222" s="1107"/>
      <c r="L222" s="1107"/>
      <c r="M222" s="1107"/>
      <c r="N222" s="1107"/>
      <c r="O222" s="1105"/>
      <c r="P222" s="1108"/>
      <c r="Q222" s="1108"/>
      <c r="R222" s="1107"/>
      <c r="S222" s="1107"/>
      <c r="T222" s="1107"/>
      <c r="U222" s="1107"/>
      <c r="V222" s="1107"/>
      <c r="W222" s="1107"/>
      <c r="X222" s="1105"/>
      <c r="Y222" s="934"/>
      <c r="Z222" s="1107"/>
    </row>
    <row r="223" spans="1:29">
      <c r="A223" s="913"/>
      <c r="B223" s="913"/>
      <c r="C223" s="913"/>
      <c r="D223" s="1105"/>
      <c r="E223" s="913"/>
      <c r="F223" s="913"/>
      <c r="G223" s="1106"/>
      <c r="H223" s="1105"/>
      <c r="I223" s="1105"/>
      <c r="J223" s="934"/>
      <c r="K223" s="1107"/>
      <c r="L223" s="1107"/>
      <c r="M223" s="1107"/>
      <c r="N223" s="1107"/>
      <c r="O223" s="1105"/>
      <c r="P223" s="1108"/>
      <c r="Q223" s="1108"/>
      <c r="R223" s="1107"/>
      <c r="S223" s="1107"/>
      <c r="T223" s="1107"/>
      <c r="U223" s="1107"/>
      <c r="V223" s="1107"/>
      <c r="W223" s="1107"/>
      <c r="X223" s="1105"/>
      <c r="Y223" s="934"/>
      <c r="Z223" s="1107"/>
    </row>
    <row r="224" spans="1:29">
      <c r="A224" s="913"/>
      <c r="B224" s="913"/>
      <c r="C224" s="913"/>
      <c r="D224" s="1105"/>
      <c r="E224" s="913"/>
      <c r="F224" s="913"/>
      <c r="G224" s="1106"/>
      <c r="H224" s="1105"/>
      <c r="I224" s="1105"/>
      <c r="J224" s="934"/>
      <c r="K224" s="1107"/>
      <c r="L224" s="1107"/>
      <c r="M224" s="1107"/>
      <c r="N224" s="1107"/>
      <c r="O224" s="1105"/>
      <c r="P224" s="1108"/>
      <c r="Q224" s="1108"/>
      <c r="R224" s="1107"/>
      <c r="S224" s="1107"/>
      <c r="T224" s="1107"/>
      <c r="U224" s="1107"/>
      <c r="V224" s="1107"/>
      <c r="W224" s="1107"/>
      <c r="X224" s="1105"/>
      <c r="Y224" s="934"/>
      <c r="Z224" s="1107"/>
    </row>
    <row r="225" spans="1:26">
      <c r="A225" s="913"/>
      <c r="B225" s="913"/>
      <c r="C225" s="913"/>
      <c r="D225" s="1105"/>
      <c r="E225" s="913"/>
      <c r="F225" s="913"/>
      <c r="G225" s="1106"/>
      <c r="H225" s="1105"/>
      <c r="I225" s="1105"/>
      <c r="J225" s="934"/>
      <c r="K225" s="1107"/>
      <c r="L225" s="1107"/>
      <c r="M225" s="1107"/>
      <c r="N225" s="1107"/>
      <c r="O225" s="1105"/>
      <c r="P225" s="1108"/>
      <c r="Q225" s="1108"/>
      <c r="R225" s="1107"/>
      <c r="S225" s="1107"/>
      <c r="T225" s="1107"/>
      <c r="U225" s="1107"/>
      <c r="V225" s="1107"/>
      <c r="W225" s="1107"/>
      <c r="X225" s="1105"/>
      <c r="Y225" s="934"/>
      <c r="Z225" s="1107"/>
    </row>
    <row r="226" spans="1:26">
      <c r="A226" s="913"/>
      <c r="B226" s="913"/>
      <c r="C226" s="913"/>
      <c r="D226" s="1105"/>
      <c r="E226" s="913"/>
      <c r="F226" s="913"/>
      <c r="G226" s="1106"/>
      <c r="H226" s="1105"/>
      <c r="I226" s="1105"/>
      <c r="J226" s="934"/>
      <c r="K226" s="1107"/>
      <c r="L226" s="1107"/>
      <c r="M226" s="1107"/>
      <c r="N226" s="1107"/>
      <c r="O226" s="1105"/>
      <c r="P226" s="1108"/>
      <c r="Q226" s="1108"/>
      <c r="R226" s="1107"/>
      <c r="S226" s="1107"/>
      <c r="T226" s="1107"/>
      <c r="U226" s="1107"/>
      <c r="V226" s="1107"/>
      <c r="W226" s="1107"/>
      <c r="X226" s="1105"/>
      <c r="Y226" s="934"/>
      <c r="Z226" s="1107"/>
    </row>
    <row r="227" spans="1:26">
      <c r="A227" s="913"/>
      <c r="B227" s="913"/>
      <c r="C227" s="913"/>
      <c r="D227" s="1105"/>
      <c r="E227" s="913"/>
      <c r="F227" s="913"/>
      <c r="G227" s="1106"/>
      <c r="H227" s="1105"/>
      <c r="I227" s="1105"/>
      <c r="J227" s="934"/>
      <c r="K227" s="1107"/>
      <c r="L227" s="1107"/>
      <c r="M227" s="1107"/>
      <c r="N227" s="1107"/>
      <c r="O227" s="1105"/>
      <c r="P227" s="1108"/>
      <c r="Q227" s="1108"/>
      <c r="R227" s="1107"/>
      <c r="S227" s="1107"/>
      <c r="T227" s="1107"/>
      <c r="U227" s="1107"/>
      <c r="V227" s="1107"/>
      <c r="W227" s="1107"/>
      <c r="X227" s="1105"/>
      <c r="Y227" s="934"/>
      <c r="Z227" s="1107"/>
    </row>
    <row r="228" spans="1:26">
      <c r="A228" s="913"/>
      <c r="B228" s="913"/>
      <c r="C228" s="913"/>
      <c r="D228" s="1105"/>
      <c r="E228" s="913"/>
      <c r="F228" s="913"/>
      <c r="G228" s="1106"/>
      <c r="H228" s="1105"/>
      <c r="I228" s="1105"/>
      <c r="J228" s="934"/>
      <c r="K228" s="1107"/>
      <c r="L228" s="1107"/>
      <c r="M228" s="1107"/>
      <c r="N228" s="1107"/>
      <c r="O228" s="1105"/>
      <c r="P228" s="1108"/>
      <c r="Q228" s="1108"/>
      <c r="R228" s="1107"/>
      <c r="S228" s="1107"/>
      <c r="T228" s="1107"/>
      <c r="U228" s="1107"/>
      <c r="V228" s="1107"/>
      <c r="W228" s="1107"/>
      <c r="X228" s="1105"/>
      <c r="Y228" s="934"/>
      <c r="Z228" s="1107"/>
    </row>
    <row r="229" spans="1:26">
      <c r="A229" s="913"/>
      <c r="B229" s="913"/>
      <c r="C229" s="913"/>
      <c r="D229" s="1105"/>
      <c r="E229" s="913"/>
      <c r="F229" s="913"/>
      <c r="G229" s="1106"/>
      <c r="H229" s="1105"/>
      <c r="I229" s="1105"/>
      <c r="J229" s="934"/>
      <c r="K229" s="1107"/>
      <c r="L229" s="1107"/>
      <c r="M229" s="1107"/>
      <c r="N229" s="1107"/>
      <c r="O229" s="1105"/>
      <c r="P229" s="1108"/>
      <c r="Q229" s="1108"/>
      <c r="R229" s="1107"/>
      <c r="S229" s="1107"/>
      <c r="T229" s="1107"/>
      <c r="U229" s="1107"/>
      <c r="V229" s="1107"/>
      <c r="W229" s="1107"/>
      <c r="X229" s="1105"/>
      <c r="Y229" s="934"/>
      <c r="Z229" s="1107"/>
    </row>
    <row r="230" spans="1:26">
      <c r="A230" s="913"/>
      <c r="B230" s="913"/>
      <c r="C230" s="913"/>
      <c r="D230" s="1105"/>
      <c r="E230" s="913"/>
      <c r="F230" s="913"/>
      <c r="G230" s="1106"/>
      <c r="H230" s="1105"/>
      <c r="I230" s="1105"/>
      <c r="J230" s="934"/>
      <c r="K230" s="1107"/>
      <c r="L230" s="1107"/>
      <c r="M230" s="1107"/>
      <c r="N230" s="1107"/>
      <c r="O230" s="1105"/>
      <c r="P230" s="1108"/>
      <c r="Q230" s="1108"/>
      <c r="R230" s="1107"/>
      <c r="S230" s="1107"/>
      <c r="T230" s="1107"/>
      <c r="U230" s="1107"/>
      <c r="V230" s="1107"/>
      <c r="W230" s="1107"/>
      <c r="X230" s="1105"/>
      <c r="Y230" s="934"/>
      <c r="Z230" s="1107"/>
    </row>
    <row r="231" spans="1:26">
      <c r="A231" s="913"/>
      <c r="B231" s="913"/>
      <c r="C231" s="913"/>
      <c r="D231" s="1105"/>
      <c r="E231" s="913"/>
      <c r="F231" s="913"/>
      <c r="G231" s="1106"/>
      <c r="H231" s="1105"/>
      <c r="I231" s="1105"/>
      <c r="J231" s="934"/>
      <c r="K231" s="1107"/>
      <c r="L231" s="1107"/>
      <c r="M231" s="1107"/>
      <c r="N231" s="1107"/>
      <c r="O231" s="1105"/>
      <c r="P231" s="1108"/>
      <c r="Q231" s="1108"/>
      <c r="R231" s="1107"/>
      <c r="S231" s="1107"/>
      <c r="T231" s="1107"/>
      <c r="U231" s="1107"/>
      <c r="V231" s="1107"/>
      <c r="W231" s="1107"/>
      <c r="X231" s="1105"/>
      <c r="Y231" s="934"/>
      <c r="Z231" s="1107"/>
    </row>
    <row r="232" spans="1:26">
      <c r="A232" s="913"/>
      <c r="B232" s="913"/>
      <c r="C232" s="913"/>
      <c r="D232" s="1105"/>
      <c r="E232" s="913"/>
      <c r="F232" s="913"/>
      <c r="G232" s="1106"/>
      <c r="H232" s="1105"/>
      <c r="I232" s="1105"/>
      <c r="J232" s="934"/>
      <c r="K232" s="1107"/>
      <c r="L232" s="1107"/>
      <c r="M232" s="1107"/>
      <c r="N232" s="1107"/>
      <c r="O232" s="1105"/>
      <c r="P232" s="1108"/>
      <c r="Q232" s="1108"/>
      <c r="R232" s="1107"/>
      <c r="S232" s="1107"/>
      <c r="T232" s="1107"/>
      <c r="U232" s="1107"/>
      <c r="V232" s="1107"/>
      <c r="W232" s="1107"/>
      <c r="X232" s="1105"/>
      <c r="Y232" s="934"/>
      <c r="Z232" s="1107"/>
    </row>
    <row r="233" spans="1:26">
      <c r="A233" s="913"/>
      <c r="B233" s="913"/>
      <c r="C233" s="913"/>
      <c r="D233" s="1105"/>
      <c r="E233" s="913"/>
      <c r="F233" s="913"/>
      <c r="G233" s="1106"/>
      <c r="H233" s="1105"/>
      <c r="I233" s="1105"/>
      <c r="J233" s="934"/>
      <c r="K233" s="1107"/>
      <c r="L233" s="1107"/>
      <c r="M233" s="1107"/>
      <c r="N233" s="1107"/>
      <c r="O233" s="1105"/>
      <c r="P233" s="1108"/>
      <c r="Q233" s="1108"/>
      <c r="R233" s="1107"/>
      <c r="S233" s="1107"/>
      <c r="T233" s="1107"/>
      <c r="U233" s="1107"/>
      <c r="V233" s="1107"/>
      <c r="W233" s="1107"/>
      <c r="X233" s="1105"/>
      <c r="Y233" s="934"/>
      <c r="Z233" s="1107"/>
    </row>
    <row r="234" spans="1:26">
      <c r="A234" s="913"/>
      <c r="B234" s="913"/>
      <c r="C234" s="913"/>
      <c r="D234" s="1105"/>
      <c r="E234" s="913"/>
      <c r="F234" s="913"/>
      <c r="G234" s="1106"/>
      <c r="H234" s="1105"/>
      <c r="I234" s="1105"/>
      <c r="J234" s="934"/>
      <c r="K234" s="1107"/>
      <c r="L234" s="1107"/>
      <c r="M234" s="1107"/>
      <c r="N234" s="1107"/>
      <c r="O234" s="1105"/>
      <c r="P234" s="1108"/>
      <c r="Q234" s="1108"/>
      <c r="R234" s="1107"/>
      <c r="S234" s="1107"/>
      <c r="T234" s="1107"/>
      <c r="U234" s="1107"/>
      <c r="V234" s="1107"/>
      <c r="W234" s="1107"/>
      <c r="X234" s="1105"/>
      <c r="Y234" s="934"/>
      <c r="Z234" s="1107"/>
    </row>
    <row r="235" spans="1:26">
      <c r="A235" s="913"/>
      <c r="B235" s="913"/>
      <c r="C235" s="913"/>
      <c r="D235" s="1105"/>
      <c r="E235" s="913"/>
      <c r="F235" s="913"/>
      <c r="G235" s="1106"/>
      <c r="H235" s="1105"/>
      <c r="I235" s="1105"/>
      <c r="J235" s="934"/>
      <c r="K235" s="1107"/>
      <c r="L235" s="1107"/>
      <c r="M235" s="1107"/>
      <c r="N235" s="1107"/>
      <c r="O235" s="1105"/>
      <c r="P235" s="1108"/>
      <c r="Q235" s="1108"/>
      <c r="R235" s="1107"/>
      <c r="S235" s="1107"/>
      <c r="T235" s="1107"/>
      <c r="U235" s="1107"/>
      <c r="V235" s="1107"/>
      <c r="W235" s="1107"/>
      <c r="X235" s="1105"/>
      <c r="Y235" s="934"/>
      <c r="Z235" s="1107"/>
    </row>
    <row r="236" spans="1:26">
      <c r="A236" s="913"/>
      <c r="B236" s="913"/>
      <c r="C236" s="913"/>
      <c r="D236" s="1105"/>
      <c r="E236" s="913"/>
      <c r="F236" s="913"/>
      <c r="G236" s="1106"/>
      <c r="H236" s="1105"/>
      <c r="I236" s="1105"/>
      <c r="J236" s="934"/>
      <c r="K236" s="1107"/>
      <c r="L236" s="1107"/>
      <c r="M236" s="1107"/>
      <c r="N236" s="1107"/>
      <c r="O236" s="1105"/>
      <c r="P236" s="1108"/>
      <c r="Q236" s="1108"/>
      <c r="R236" s="1107"/>
      <c r="S236" s="1107"/>
      <c r="T236" s="1107"/>
      <c r="U236" s="1107"/>
      <c r="V236" s="1107"/>
      <c r="W236" s="1107"/>
      <c r="X236" s="1105"/>
      <c r="Y236" s="934"/>
      <c r="Z236" s="1107"/>
    </row>
    <row r="237" spans="1:26">
      <c r="A237" s="913"/>
      <c r="B237" s="913"/>
      <c r="C237" s="913"/>
      <c r="D237" s="1105"/>
      <c r="E237" s="913"/>
      <c r="F237" s="913"/>
      <c r="G237" s="1106"/>
      <c r="H237" s="1105"/>
      <c r="I237" s="1105"/>
      <c r="J237" s="934"/>
      <c r="K237" s="1107"/>
      <c r="L237" s="1107"/>
      <c r="M237" s="1107"/>
      <c r="N237" s="1107"/>
      <c r="O237" s="1105"/>
      <c r="P237" s="1108"/>
      <c r="Q237" s="1108"/>
      <c r="R237" s="1107"/>
      <c r="S237" s="1107"/>
      <c r="T237" s="1107"/>
      <c r="U237" s="1107"/>
      <c r="V237" s="1107"/>
      <c r="W237" s="1107"/>
      <c r="X237" s="1105"/>
      <c r="Y237" s="934"/>
      <c r="Z237" s="1107"/>
    </row>
    <row r="238" spans="1:26">
      <c r="A238" s="913"/>
      <c r="B238" s="913"/>
      <c r="C238" s="913"/>
      <c r="D238" s="1105"/>
      <c r="E238" s="913"/>
      <c r="F238" s="913"/>
      <c r="G238" s="1106"/>
      <c r="H238" s="1105"/>
      <c r="I238" s="1105"/>
      <c r="J238" s="934"/>
      <c r="K238" s="1107"/>
      <c r="L238" s="1107"/>
      <c r="M238" s="1107"/>
      <c r="N238" s="1107"/>
      <c r="O238" s="1105"/>
      <c r="P238" s="1108"/>
      <c r="Q238" s="1108"/>
      <c r="R238" s="1107"/>
      <c r="S238" s="1107"/>
      <c r="T238" s="1107"/>
      <c r="U238" s="1107"/>
      <c r="V238" s="1107"/>
      <c r="W238" s="1107"/>
      <c r="X238" s="1105"/>
      <c r="Y238" s="934"/>
      <c r="Z238" s="1107"/>
    </row>
    <row r="239" spans="1:26">
      <c r="A239" s="913"/>
      <c r="B239" s="913"/>
      <c r="C239" s="913"/>
      <c r="D239" s="1105"/>
      <c r="E239" s="913"/>
      <c r="F239" s="913"/>
      <c r="G239" s="1106"/>
      <c r="H239" s="1105"/>
      <c r="I239" s="1105"/>
      <c r="J239" s="934"/>
      <c r="K239" s="1107"/>
      <c r="L239" s="1107"/>
      <c r="M239" s="1107"/>
      <c r="N239" s="1107"/>
      <c r="O239" s="1105"/>
      <c r="P239" s="1108"/>
      <c r="Q239" s="1108"/>
      <c r="R239" s="1107"/>
      <c r="S239" s="1107"/>
      <c r="T239" s="1107"/>
      <c r="U239" s="1107"/>
      <c r="V239" s="1107"/>
      <c r="W239" s="1107"/>
      <c r="X239" s="1105"/>
      <c r="Y239" s="934"/>
      <c r="Z239" s="1107"/>
    </row>
    <row r="240" spans="1:26">
      <c r="A240" s="913"/>
      <c r="B240" s="913"/>
      <c r="C240" s="913"/>
      <c r="D240" s="1105"/>
      <c r="E240" s="913"/>
      <c r="F240" s="913"/>
      <c r="G240" s="1106"/>
      <c r="H240" s="1105"/>
      <c r="I240" s="1105"/>
      <c r="J240" s="934"/>
      <c r="K240" s="1107"/>
      <c r="L240" s="1107"/>
      <c r="M240" s="1107"/>
      <c r="N240" s="1107"/>
      <c r="O240" s="1105"/>
      <c r="P240" s="1108"/>
      <c r="Q240" s="1108"/>
      <c r="R240" s="1107"/>
      <c r="S240" s="1107"/>
      <c r="T240" s="1107"/>
      <c r="U240" s="1107"/>
      <c r="V240" s="1107"/>
      <c r="W240" s="1107"/>
      <c r="X240" s="1105"/>
      <c r="Y240" s="934"/>
      <c r="Z240" s="1107"/>
    </row>
    <row r="241" spans="1:26">
      <c r="A241" s="913"/>
      <c r="B241" s="913"/>
      <c r="C241" s="913"/>
      <c r="D241" s="1105"/>
      <c r="E241" s="913"/>
      <c r="F241" s="913"/>
      <c r="G241" s="1106"/>
      <c r="H241" s="1105"/>
      <c r="I241" s="1105"/>
      <c r="J241" s="934"/>
      <c r="K241" s="1107"/>
      <c r="L241" s="1107"/>
      <c r="M241" s="1107"/>
      <c r="N241" s="1107"/>
      <c r="O241" s="1105"/>
      <c r="P241" s="1108"/>
      <c r="Q241" s="1108"/>
      <c r="R241" s="1107"/>
      <c r="S241" s="1107"/>
      <c r="T241" s="1107"/>
      <c r="U241" s="1107"/>
      <c r="V241" s="1107"/>
      <c r="W241" s="1107"/>
      <c r="X241" s="1105"/>
      <c r="Y241" s="934"/>
      <c r="Z241" s="1107"/>
    </row>
    <row r="242" spans="1:26">
      <c r="A242" s="913"/>
      <c r="B242" s="913"/>
      <c r="C242" s="913"/>
      <c r="D242" s="1105"/>
      <c r="E242" s="913"/>
      <c r="F242" s="913"/>
      <c r="G242" s="1106"/>
      <c r="H242" s="1105"/>
      <c r="I242" s="1105"/>
      <c r="J242" s="934"/>
      <c r="K242" s="1107"/>
      <c r="L242" s="1107"/>
      <c r="M242" s="1107"/>
      <c r="N242" s="1107"/>
      <c r="O242" s="1105"/>
      <c r="P242" s="1108"/>
      <c r="Q242" s="1108"/>
      <c r="R242" s="1107"/>
      <c r="S242" s="1107"/>
      <c r="T242" s="1107"/>
      <c r="U242" s="1107"/>
      <c r="V242" s="1107"/>
      <c r="W242" s="1107"/>
      <c r="X242" s="1105"/>
      <c r="Y242" s="934"/>
      <c r="Z242" s="1107"/>
    </row>
    <row r="243" spans="1:26">
      <c r="A243" s="913"/>
      <c r="B243" s="913"/>
      <c r="C243" s="913"/>
      <c r="D243" s="1105"/>
      <c r="E243" s="913"/>
      <c r="F243" s="913"/>
      <c r="G243" s="1106"/>
      <c r="H243" s="1105"/>
      <c r="I243" s="1105"/>
      <c r="J243" s="934"/>
      <c r="K243" s="1107"/>
      <c r="L243" s="1107"/>
      <c r="M243" s="1107"/>
      <c r="N243" s="1107"/>
      <c r="O243" s="1105"/>
      <c r="P243" s="1108"/>
      <c r="Q243" s="1108"/>
      <c r="R243" s="1107"/>
      <c r="S243" s="1107"/>
      <c r="T243" s="1107"/>
      <c r="U243" s="1107"/>
      <c r="V243" s="1107"/>
      <c r="W243" s="1107"/>
      <c r="X243" s="1105"/>
      <c r="Y243" s="934"/>
      <c r="Z243" s="1107"/>
    </row>
    <row r="244" spans="1:26">
      <c r="A244" s="913"/>
      <c r="B244" s="913"/>
      <c r="C244" s="913"/>
      <c r="D244" s="1105"/>
      <c r="E244" s="913"/>
      <c r="F244" s="913"/>
      <c r="G244" s="1106"/>
      <c r="H244" s="1105"/>
      <c r="I244" s="1105"/>
      <c r="J244" s="934"/>
      <c r="K244" s="1107"/>
      <c r="L244" s="1107"/>
      <c r="M244" s="1107"/>
      <c r="N244" s="1107"/>
      <c r="O244" s="1105"/>
      <c r="P244" s="1108"/>
      <c r="Q244" s="1108"/>
      <c r="R244" s="1107"/>
      <c r="S244" s="1107"/>
      <c r="T244" s="1107"/>
      <c r="U244" s="1107"/>
      <c r="V244" s="1107"/>
      <c r="W244" s="1107"/>
      <c r="X244" s="1105"/>
      <c r="Y244" s="934"/>
      <c r="Z244" s="1107"/>
    </row>
    <row r="245" spans="1:26">
      <c r="A245" s="913"/>
      <c r="B245" s="913"/>
      <c r="C245" s="913"/>
      <c r="D245" s="1105"/>
      <c r="E245" s="913"/>
      <c r="F245" s="913"/>
      <c r="G245" s="1106"/>
      <c r="H245" s="1105"/>
      <c r="I245" s="1105"/>
      <c r="J245" s="934"/>
      <c r="K245" s="1107"/>
      <c r="L245" s="1107"/>
      <c r="M245" s="1107"/>
      <c r="N245" s="1107"/>
      <c r="O245" s="1105"/>
      <c r="P245" s="1108"/>
      <c r="Q245" s="1108"/>
      <c r="R245" s="1107"/>
      <c r="S245" s="1107"/>
      <c r="T245" s="1107"/>
      <c r="U245" s="1107"/>
      <c r="V245" s="1107"/>
      <c r="W245" s="1107"/>
      <c r="X245" s="1105"/>
      <c r="Y245" s="934"/>
      <c r="Z245" s="1107"/>
    </row>
    <row r="246" spans="1:26">
      <c r="A246" s="913"/>
      <c r="B246" s="913"/>
      <c r="C246" s="913"/>
      <c r="D246" s="1105"/>
      <c r="E246" s="913"/>
      <c r="F246" s="913"/>
      <c r="G246" s="1106"/>
      <c r="H246" s="1105"/>
      <c r="I246" s="1105"/>
      <c r="J246" s="934"/>
      <c r="K246" s="1107"/>
      <c r="L246" s="1107"/>
      <c r="M246" s="1107"/>
      <c r="N246" s="1107"/>
      <c r="O246" s="1105"/>
      <c r="P246" s="1108"/>
      <c r="Q246" s="1108"/>
      <c r="R246" s="1107"/>
      <c r="S246" s="1107"/>
      <c r="T246" s="1107"/>
      <c r="U246" s="1107"/>
      <c r="V246" s="1107"/>
      <c r="W246" s="1107"/>
      <c r="X246" s="1105"/>
      <c r="Y246" s="934"/>
      <c r="Z246" s="1107"/>
    </row>
    <row r="247" spans="1:26">
      <c r="A247" s="913"/>
      <c r="B247" s="913"/>
      <c r="C247" s="913"/>
      <c r="D247" s="1105"/>
      <c r="E247" s="913"/>
      <c r="F247" s="913"/>
      <c r="G247" s="1106"/>
      <c r="H247" s="1105"/>
      <c r="I247" s="1105"/>
      <c r="J247" s="934"/>
      <c r="K247" s="1107"/>
      <c r="L247" s="1107"/>
      <c r="M247" s="1107"/>
      <c r="N247" s="1107"/>
      <c r="O247" s="1105"/>
      <c r="P247" s="1108"/>
      <c r="Q247" s="1108"/>
      <c r="R247" s="1107"/>
      <c r="S247" s="1107"/>
      <c r="T247" s="1107"/>
      <c r="U247" s="1107"/>
      <c r="V247" s="1107"/>
      <c r="W247" s="1107"/>
      <c r="X247" s="1105"/>
      <c r="Y247" s="934"/>
      <c r="Z247" s="1107"/>
    </row>
    <row r="248" spans="1:26">
      <c r="A248" s="913"/>
      <c r="B248" s="913"/>
      <c r="C248" s="913"/>
      <c r="D248" s="1105"/>
      <c r="E248" s="913"/>
      <c r="F248" s="913"/>
      <c r="G248" s="1106"/>
      <c r="H248" s="1105"/>
      <c r="I248" s="1105"/>
      <c r="J248" s="934"/>
      <c r="K248" s="1107"/>
      <c r="L248" s="1107"/>
      <c r="M248" s="1107"/>
      <c r="N248" s="1107"/>
      <c r="O248" s="1105"/>
      <c r="P248" s="1108"/>
      <c r="Q248" s="1108"/>
      <c r="R248" s="1107"/>
      <c r="S248" s="1107"/>
      <c r="T248" s="1107"/>
      <c r="U248" s="1107"/>
      <c r="V248" s="1107"/>
      <c r="W248" s="1107"/>
      <c r="X248" s="1105"/>
      <c r="Y248" s="934"/>
      <c r="Z248" s="1107"/>
    </row>
    <row r="249" spans="1:26">
      <c r="A249" s="913"/>
      <c r="B249" s="913"/>
      <c r="C249" s="913"/>
      <c r="D249" s="1105"/>
      <c r="E249" s="913"/>
      <c r="F249" s="913"/>
      <c r="G249" s="1106"/>
      <c r="H249" s="1105"/>
      <c r="I249" s="1105"/>
      <c r="J249" s="934"/>
      <c r="K249" s="1107"/>
      <c r="L249" s="1107"/>
      <c r="M249" s="1107"/>
      <c r="N249" s="1107"/>
      <c r="O249" s="1105"/>
      <c r="P249" s="1108"/>
      <c r="Q249" s="1108"/>
      <c r="R249" s="1107"/>
      <c r="S249" s="1107"/>
      <c r="T249" s="1107"/>
      <c r="U249" s="1107"/>
      <c r="V249" s="1107"/>
      <c r="W249" s="1107"/>
      <c r="X249" s="1105"/>
      <c r="Y249" s="934"/>
      <c r="Z249" s="1107"/>
    </row>
    <row r="250" spans="1:26">
      <c r="A250" s="913"/>
      <c r="B250" s="913"/>
      <c r="C250" s="913"/>
      <c r="D250" s="1105"/>
      <c r="E250" s="913"/>
      <c r="F250" s="913"/>
      <c r="G250" s="1106"/>
      <c r="H250" s="1105"/>
      <c r="I250" s="1105"/>
      <c r="J250" s="934"/>
      <c r="K250" s="1107"/>
      <c r="L250" s="1107"/>
      <c r="M250" s="1107"/>
      <c r="N250" s="1107"/>
      <c r="O250" s="1105"/>
      <c r="P250" s="1108"/>
      <c r="Q250" s="1108"/>
      <c r="R250" s="1107"/>
      <c r="S250" s="1107"/>
      <c r="T250" s="1107"/>
      <c r="U250" s="1107"/>
      <c r="V250" s="1107"/>
      <c r="W250" s="1107"/>
      <c r="X250" s="1105"/>
      <c r="Y250" s="934"/>
      <c r="Z250" s="1107"/>
    </row>
    <row r="251" spans="1:26">
      <c r="A251" s="913"/>
      <c r="B251" s="913"/>
      <c r="C251" s="913"/>
      <c r="D251" s="1105"/>
      <c r="E251" s="913"/>
      <c r="F251" s="913"/>
      <c r="G251" s="1106"/>
      <c r="H251" s="1105"/>
      <c r="I251" s="1105"/>
      <c r="J251" s="934"/>
      <c r="K251" s="1107"/>
      <c r="L251" s="1107"/>
      <c r="M251" s="1107"/>
      <c r="N251" s="1107"/>
      <c r="O251" s="1105"/>
      <c r="P251" s="1108"/>
      <c r="Q251" s="1108"/>
      <c r="R251" s="1107"/>
      <c r="S251" s="1107"/>
      <c r="T251" s="1107"/>
      <c r="U251" s="1107"/>
      <c r="V251" s="1107"/>
      <c r="W251" s="1107"/>
      <c r="X251" s="1105"/>
      <c r="Y251" s="934"/>
      <c r="Z251" s="1107"/>
    </row>
    <row r="252" spans="1:26">
      <c r="A252" s="913"/>
      <c r="B252" s="913"/>
      <c r="C252" s="913"/>
      <c r="D252" s="1105"/>
      <c r="E252" s="913"/>
      <c r="F252" s="913"/>
      <c r="G252" s="1106"/>
      <c r="H252" s="1105"/>
      <c r="I252" s="1105"/>
      <c r="J252" s="934"/>
      <c r="K252" s="1107"/>
      <c r="L252" s="1107"/>
      <c r="M252" s="1107"/>
      <c r="N252" s="1107"/>
      <c r="O252" s="1105"/>
      <c r="P252" s="1108"/>
      <c r="Q252" s="1108"/>
      <c r="R252" s="1107"/>
      <c r="S252" s="1107"/>
      <c r="T252" s="1107"/>
      <c r="U252" s="1107"/>
      <c r="V252" s="1107"/>
      <c r="W252" s="1107"/>
      <c r="X252" s="1105"/>
      <c r="Y252" s="934"/>
      <c r="Z252" s="1107"/>
    </row>
    <row r="253" spans="1:26">
      <c r="A253" s="913"/>
      <c r="B253" s="913"/>
      <c r="C253" s="913"/>
      <c r="D253" s="1105"/>
      <c r="E253" s="913"/>
      <c r="F253" s="913"/>
      <c r="G253" s="1106"/>
      <c r="H253" s="1105"/>
      <c r="I253" s="1105"/>
      <c r="J253" s="934"/>
      <c r="K253" s="1107"/>
      <c r="L253" s="1107"/>
      <c r="M253" s="1107"/>
      <c r="N253" s="1107"/>
      <c r="O253" s="1105"/>
      <c r="P253" s="1108"/>
      <c r="Q253" s="1108"/>
      <c r="R253" s="1107"/>
      <c r="S253" s="1107"/>
      <c r="T253" s="1107"/>
      <c r="U253" s="1107"/>
      <c r="V253" s="1107"/>
      <c r="W253" s="1107"/>
      <c r="X253" s="1105"/>
      <c r="Y253" s="934"/>
      <c r="Z253" s="1107"/>
    </row>
    <row r="254" spans="1:26">
      <c r="A254" s="913"/>
      <c r="B254" s="913"/>
      <c r="C254" s="913"/>
      <c r="D254" s="1105"/>
      <c r="E254" s="913"/>
      <c r="F254" s="913"/>
      <c r="G254" s="1106"/>
      <c r="H254" s="1105"/>
      <c r="I254" s="1105"/>
      <c r="J254" s="934"/>
      <c r="K254" s="1107"/>
      <c r="L254" s="1107"/>
      <c r="M254" s="1107"/>
      <c r="N254" s="1107"/>
      <c r="O254" s="1105"/>
      <c r="P254" s="1108"/>
      <c r="Q254" s="1108"/>
      <c r="R254" s="1107"/>
      <c r="S254" s="1107"/>
      <c r="T254" s="1107"/>
      <c r="U254" s="1107"/>
      <c r="V254" s="1107"/>
      <c r="W254" s="1107"/>
      <c r="X254" s="1105"/>
      <c r="Y254" s="934"/>
      <c r="Z254" s="1107"/>
    </row>
    <row r="255" spans="1:26">
      <c r="A255" s="913"/>
      <c r="B255" s="913"/>
      <c r="C255" s="913"/>
      <c r="D255" s="1105"/>
      <c r="E255" s="913"/>
      <c r="F255" s="913"/>
      <c r="G255" s="1106"/>
      <c r="H255" s="1105"/>
      <c r="I255" s="1105"/>
      <c r="J255" s="934"/>
      <c r="K255" s="1107"/>
      <c r="L255" s="1107"/>
      <c r="M255" s="1107"/>
      <c r="N255" s="1107"/>
      <c r="O255" s="1105"/>
      <c r="P255" s="1108"/>
      <c r="Q255" s="1108"/>
      <c r="R255" s="1107"/>
      <c r="S255" s="1107"/>
      <c r="T255" s="1107"/>
      <c r="U255" s="1107"/>
      <c r="V255" s="1107"/>
      <c r="W255" s="1107"/>
      <c r="X255" s="1105"/>
      <c r="Y255" s="934"/>
      <c r="Z255" s="1107"/>
    </row>
    <row r="256" spans="1:26">
      <c r="A256" s="913"/>
      <c r="B256" s="913"/>
      <c r="C256" s="913"/>
      <c r="D256" s="1105"/>
      <c r="E256" s="913"/>
      <c r="F256" s="913"/>
      <c r="G256" s="1106"/>
      <c r="H256" s="1105"/>
      <c r="I256" s="1105"/>
      <c r="J256" s="934"/>
      <c r="K256" s="1107"/>
      <c r="L256" s="1107"/>
      <c r="M256" s="1107"/>
      <c r="N256" s="1107"/>
      <c r="O256" s="1105"/>
      <c r="P256" s="1108"/>
      <c r="Q256" s="1108"/>
      <c r="R256" s="1107"/>
      <c r="S256" s="1107"/>
      <c r="T256" s="1107"/>
      <c r="U256" s="1107"/>
      <c r="V256" s="1107"/>
      <c r="W256" s="1107"/>
      <c r="X256" s="1105"/>
      <c r="Y256" s="934"/>
      <c r="Z256" s="1107"/>
    </row>
    <row r="257" spans="1:26">
      <c r="A257" s="913"/>
      <c r="B257" s="913"/>
      <c r="C257" s="913"/>
      <c r="D257" s="1105"/>
      <c r="E257" s="913"/>
      <c r="F257" s="913"/>
      <c r="G257" s="1106"/>
      <c r="H257" s="1105"/>
      <c r="I257" s="1105"/>
      <c r="J257" s="934"/>
      <c r="K257" s="1107"/>
      <c r="L257" s="1107"/>
      <c r="M257" s="1107"/>
      <c r="N257" s="1107"/>
      <c r="O257" s="1105"/>
      <c r="P257" s="1108"/>
      <c r="Q257" s="1108"/>
      <c r="R257" s="1107"/>
      <c r="S257" s="1107"/>
      <c r="T257" s="1107"/>
      <c r="U257" s="1107"/>
      <c r="V257" s="1107"/>
      <c r="W257" s="1107"/>
      <c r="X257" s="1105"/>
      <c r="Y257" s="934"/>
      <c r="Z257" s="1107"/>
    </row>
    <row r="258" spans="1:26">
      <c r="A258" s="913"/>
      <c r="B258" s="913"/>
      <c r="C258" s="913"/>
      <c r="D258" s="1105"/>
      <c r="E258" s="913"/>
      <c r="F258" s="913"/>
      <c r="G258" s="1106"/>
      <c r="H258" s="1105"/>
      <c r="I258" s="1105"/>
      <c r="J258" s="934"/>
      <c r="K258" s="1107"/>
      <c r="L258" s="1107"/>
      <c r="M258" s="1107"/>
      <c r="N258" s="1107"/>
      <c r="O258" s="1105"/>
      <c r="P258" s="1108"/>
      <c r="Q258" s="1108"/>
      <c r="R258" s="1107"/>
      <c r="S258" s="1107"/>
      <c r="T258" s="1107"/>
      <c r="U258" s="1107"/>
      <c r="V258" s="1107"/>
      <c r="W258" s="1107"/>
      <c r="X258" s="1105"/>
      <c r="Y258" s="934"/>
      <c r="Z258" s="1107"/>
    </row>
    <row r="259" spans="1:26">
      <c r="A259" s="913"/>
      <c r="B259" s="913"/>
      <c r="C259" s="913"/>
      <c r="D259" s="1105"/>
      <c r="E259" s="913"/>
      <c r="F259" s="913"/>
      <c r="G259" s="1106"/>
      <c r="H259" s="1105"/>
      <c r="I259" s="1105"/>
      <c r="J259" s="934"/>
      <c r="K259" s="1107"/>
      <c r="L259" s="1107"/>
      <c r="M259" s="1107"/>
      <c r="N259" s="1107"/>
      <c r="O259" s="1105"/>
      <c r="P259" s="1108"/>
      <c r="Q259" s="1108"/>
      <c r="R259" s="1107"/>
      <c r="S259" s="1107"/>
      <c r="T259" s="1107"/>
      <c r="U259" s="1107"/>
      <c r="V259" s="1107"/>
      <c r="W259" s="1107"/>
      <c r="X259" s="1105"/>
      <c r="Y259" s="934"/>
      <c r="Z259" s="1107"/>
    </row>
    <row r="260" spans="1:26">
      <c r="A260" s="913"/>
      <c r="B260" s="913"/>
      <c r="C260" s="913"/>
      <c r="D260" s="1105"/>
      <c r="E260" s="913"/>
      <c r="F260" s="913"/>
      <c r="G260" s="1106"/>
      <c r="H260" s="1105"/>
      <c r="I260" s="1105"/>
      <c r="J260" s="934"/>
      <c r="K260" s="1107"/>
      <c r="L260" s="1107"/>
      <c r="M260" s="1107"/>
      <c r="N260" s="1107"/>
      <c r="O260" s="1105"/>
      <c r="P260" s="1108"/>
      <c r="Q260" s="1108"/>
      <c r="R260" s="1107"/>
      <c r="S260" s="1107"/>
      <c r="T260" s="1107"/>
      <c r="U260" s="1107"/>
      <c r="V260" s="1107"/>
      <c r="W260" s="1107"/>
      <c r="X260" s="1105"/>
      <c r="Y260" s="934"/>
      <c r="Z260" s="1107"/>
    </row>
    <row r="261" spans="1:26">
      <c r="A261" s="913"/>
      <c r="B261" s="913"/>
      <c r="C261" s="913"/>
      <c r="D261" s="1105"/>
      <c r="E261" s="913"/>
      <c r="F261" s="913"/>
      <c r="G261" s="1106"/>
      <c r="H261" s="1105"/>
      <c r="I261" s="1105"/>
      <c r="J261" s="934"/>
      <c r="K261" s="1107"/>
      <c r="L261" s="1107"/>
      <c r="M261" s="1107"/>
      <c r="N261" s="1107"/>
      <c r="O261" s="1105"/>
      <c r="P261" s="1108"/>
      <c r="Q261" s="1108"/>
      <c r="R261" s="1107"/>
      <c r="S261" s="1107"/>
      <c r="T261" s="1107"/>
      <c r="U261" s="1107"/>
      <c r="V261" s="1107"/>
      <c r="W261" s="1107"/>
      <c r="X261" s="1105"/>
      <c r="Y261" s="934"/>
      <c r="Z261" s="1107"/>
    </row>
    <row r="262" spans="1:26">
      <c r="A262" s="913"/>
      <c r="B262" s="913"/>
      <c r="C262" s="913"/>
      <c r="D262" s="1105"/>
      <c r="E262" s="913"/>
      <c r="F262" s="913"/>
      <c r="G262" s="1106"/>
      <c r="H262" s="1105"/>
      <c r="I262" s="1105"/>
      <c r="J262" s="934"/>
      <c r="K262" s="1107"/>
      <c r="L262" s="1107"/>
      <c r="M262" s="1107"/>
      <c r="N262" s="1107"/>
      <c r="O262" s="1105"/>
      <c r="P262" s="1108"/>
      <c r="Q262" s="1108"/>
      <c r="R262" s="1107"/>
      <c r="S262" s="1107"/>
      <c r="T262" s="1107"/>
      <c r="U262" s="1107"/>
      <c r="V262" s="1107"/>
      <c r="W262" s="1107"/>
      <c r="X262" s="1105"/>
      <c r="Y262" s="934"/>
      <c r="Z262" s="1107"/>
    </row>
    <row r="263" spans="1:26">
      <c r="A263" s="913"/>
      <c r="B263" s="913"/>
      <c r="C263" s="913"/>
      <c r="D263" s="1105"/>
      <c r="E263" s="913"/>
      <c r="F263" s="913"/>
      <c r="G263" s="1106"/>
      <c r="H263" s="1105"/>
      <c r="I263" s="1105"/>
      <c r="J263" s="934"/>
      <c r="K263" s="1107"/>
      <c r="L263" s="1107"/>
      <c r="M263" s="1107"/>
      <c r="N263" s="1107"/>
      <c r="O263" s="1105"/>
      <c r="P263" s="1108"/>
      <c r="Q263" s="1108"/>
      <c r="R263" s="1107"/>
      <c r="S263" s="1107"/>
      <c r="T263" s="1107"/>
      <c r="U263" s="1107"/>
      <c r="V263" s="1107"/>
      <c r="W263" s="1107"/>
      <c r="X263" s="1105"/>
      <c r="Y263" s="934"/>
      <c r="Z263" s="1107"/>
    </row>
    <row r="264" spans="1:26">
      <c r="A264" s="913"/>
      <c r="B264" s="913"/>
      <c r="C264" s="913"/>
      <c r="D264" s="1105"/>
      <c r="E264" s="913"/>
      <c r="F264" s="913"/>
      <c r="G264" s="1106"/>
      <c r="H264" s="1105"/>
      <c r="I264" s="1105"/>
      <c r="J264" s="934"/>
      <c r="K264" s="1107"/>
      <c r="L264" s="1107"/>
      <c r="M264" s="1107"/>
      <c r="N264" s="1107"/>
      <c r="O264" s="1105"/>
      <c r="P264" s="1108"/>
      <c r="Q264" s="1108"/>
      <c r="R264" s="1107"/>
      <c r="S264" s="1107"/>
      <c r="T264" s="1107"/>
      <c r="U264" s="1107"/>
      <c r="V264" s="1107"/>
      <c r="W264" s="1107"/>
      <c r="X264" s="1105"/>
      <c r="Y264" s="934"/>
      <c r="Z264" s="1107"/>
    </row>
    <row r="265" spans="1:26">
      <c r="A265" s="913"/>
      <c r="B265" s="913"/>
      <c r="C265" s="913"/>
      <c r="D265" s="1105"/>
      <c r="E265" s="913"/>
      <c r="F265" s="913"/>
      <c r="G265" s="1106"/>
      <c r="H265" s="1105"/>
      <c r="I265" s="1105"/>
      <c r="J265" s="934"/>
      <c r="K265" s="1107"/>
      <c r="L265" s="1107"/>
      <c r="M265" s="1107"/>
      <c r="N265" s="1107"/>
      <c r="O265" s="1105"/>
      <c r="P265" s="1108"/>
      <c r="Q265" s="1108"/>
      <c r="R265" s="1107"/>
      <c r="S265" s="1107"/>
      <c r="T265" s="1107"/>
      <c r="U265" s="1107"/>
      <c r="V265" s="1107"/>
      <c r="W265" s="1107"/>
      <c r="X265" s="1105"/>
      <c r="Y265" s="934"/>
      <c r="Z265" s="1107"/>
    </row>
    <row r="266" spans="1:26">
      <c r="A266" s="913"/>
      <c r="B266" s="913"/>
      <c r="C266" s="913"/>
      <c r="D266" s="1105"/>
      <c r="E266" s="913"/>
      <c r="F266" s="913"/>
      <c r="G266" s="1106"/>
      <c r="H266" s="1105"/>
      <c r="I266" s="1105"/>
      <c r="J266" s="934"/>
      <c r="K266" s="1107"/>
      <c r="L266" s="1107"/>
      <c r="M266" s="1107"/>
      <c r="N266" s="1107"/>
      <c r="O266" s="1105"/>
      <c r="P266" s="1108"/>
      <c r="Q266" s="1108"/>
      <c r="R266" s="1107"/>
      <c r="S266" s="1107"/>
      <c r="T266" s="1107"/>
      <c r="U266" s="1107"/>
      <c r="V266" s="1107"/>
      <c r="W266" s="1107"/>
      <c r="X266" s="1105"/>
      <c r="Y266" s="934"/>
      <c r="Z266" s="1107"/>
    </row>
    <row r="267" spans="1:26">
      <c r="A267" s="913"/>
      <c r="B267" s="913"/>
      <c r="C267" s="913"/>
      <c r="D267" s="1105"/>
      <c r="E267" s="913"/>
      <c r="F267" s="913"/>
      <c r="G267" s="1106"/>
      <c r="H267" s="1105"/>
      <c r="I267" s="1105"/>
      <c r="J267" s="934"/>
      <c r="K267" s="1107"/>
      <c r="L267" s="1107"/>
      <c r="M267" s="1107"/>
      <c r="N267" s="1107"/>
      <c r="O267" s="1105"/>
      <c r="P267" s="1108"/>
      <c r="Q267" s="1108"/>
      <c r="R267" s="1107"/>
      <c r="S267" s="1107"/>
      <c r="T267" s="1107"/>
      <c r="U267" s="1107"/>
      <c r="V267" s="1107"/>
      <c r="W267" s="1107"/>
      <c r="X267" s="1105"/>
      <c r="Y267" s="934"/>
      <c r="Z267" s="1107"/>
    </row>
    <row r="268" spans="1:26">
      <c r="A268" s="913"/>
      <c r="B268" s="913"/>
      <c r="C268" s="913"/>
      <c r="D268" s="1105"/>
      <c r="E268" s="913"/>
      <c r="F268" s="913"/>
      <c r="G268" s="1106"/>
      <c r="H268" s="1105"/>
      <c r="I268" s="1105"/>
      <c r="J268" s="934"/>
      <c r="K268" s="1107"/>
      <c r="L268" s="1107"/>
      <c r="M268" s="1107"/>
      <c r="N268" s="1107"/>
      <c r="O268" s="1105"/>
      <c r="P268" s="1108"/>
      <c r="Q268" s="1108"/>
      <c r="R268" s="1107"/>
      <c r="S268" s="1107"/>
      <c r="T268" s="1107"/>
      <c r="U268" s="1107"/>
      <c r="V268" s="1107"/>
      <c r="W268" s="1107"/>
      <c r="X268" s="1105"/>
      <c r="Y268" s="934"/>
      <c r="Z268" s="1107"/>
    </row>
    <row r="351" spans="3:3">
      <c r="C351" s="921">
        <v>304</v>
      </c>
    </row>
  </sheetData>
  <sheetProtection selectLockedCells="1" selectUnlockedCells="1"/>
  <autoFilter ref="A6:AL148" xr:uid="{00000000-0009-0000-0000-000004000000}"/>
  <mergeCells count="27">
    <mergeCell ref="S4:S6"/>
    <mergeCell ref="T4:T6"/>
    <mergeCell ref="U4:U6"/>
    <mergeCell ref="F4:F6"/>
    <mergeCell ref="A4:A6"/>
    <mergeCell ref="B4:B6"/>
    <mergeCell ref="C4:C6"/>
    <mergeCell ref="D4:D6"/>
    <mergeCell ref="E4:E6"/>
    <mergeCell ref="R4:R6"/>
    <mergeCell ref="G4:G6"/>
    <mergeCell ref="H4:H6"/>
    <mergeCell ref="I4:I6"/>
    <mergeCell ref="J4:J6"/>
    <mergeCell ref="K4:K6"/>
    <mergeCell ref="L4:L6"/>
    <mergeCell ref="M4:M6"/>
    <mergeCell ref="N4:N6"/>
    <mergeCell ref="O4:O6"/>
    <mergeCell ref="P4:P6"/>
    <mergeCell ref="Q4:Q6"/>
    <mergeCell ref="V4:V6"/>
    <mergeCell ref="W4:W6"/>
    <mergeCell ref="Y4:Y6"/>
    <mergeCell ref="Z4:Z6"/>
    <mergeCell ref="AA4:AA6"/>
    <mergeCell ref="X4:X6"/>
  </mergeCells>
  <conditionalFormatting sqref="B82:B86 B1:B30 B35:B40 B42:B50 B53:B78 B88:B1048576">
    <cfRule type="duplicateValues" dxfId="432" priority="51"/>
    <cfRule type="duplicateValues" dxfId="431" priority="52"/>
  </conditionalFormatting>
  <conditionalFormatting sqref="B79">
    <cfRule type="duplicateValues" dxfId="430" priority="50"/>
  </conditionalFormatting>
  <conditionalFormatting sqref="A87 A42:B50 A36:B40 A31:A32 B35 A1:B30 A53:B86 A88:B1048576">
    <cfRule type="duplicateValues" dxfId="429" priority="46"/>
  </conditionalFormatting>
  <conditionalFormatting sqref="B88:B1048576 B53:B86 B42:B50 B35:B40 B1:B30">
    <cfRule type="duplicateValues" dxfId="428" priority="45"/>
  </conditionalFormatting>
  <conditionalFormatting sqref="B41">
    <cfRule type="duplicateValues" dxfId="427" priority="40"/>
    <cfRule type="duplicateValues" dxfId="426" priority="41"/>
  </conditionalFormatting>
  <conditionalFormatting sqref="A41:B41">
    <cfRule type="duplicateValues" dxfId="425" priority="39"/>
  </conditionalFormatting>
  <conditionalFormatting sqref="B41">
    <cfRule type="duplicateValues" dxfId="424" priority="38"/>
  </conditionalFormatting>
  <conditionalFormatting sqref="B51:B52">
    <cfRule type="duplicateValues" dxfId="423" priority="28"/>
    <cfRule type="duplicateValues" dxfId="422" priority="29"/>
  </conditionalFormatting>
  <conditionalFormatting sqref="A51:B52">
    <cfRule type="duplicateValues" dxfId="421" priority="27"/>
  </conditionalFormatting>
  <conditionalFormatting sqref="B51:B52">
    <cfRule type="duplicateValues" dxfId="420" priority="26"/>
  </conditionalFormatting>
  <conditionalFormatting sqref="N156">
    <cfRule type="duplicateValues" dxfId="419" priority="20"/>
    <cfRule type="duplicateValues" dxfId="418" priority="21"/>
  </conditionalFormatting>
  <conditionalFormatting sqref="N156">
    <cfRule type="duplicateValues" dxfId="417" priority="19"/>
  </conditionalFormatting>
  <conditionalFormatting sqref="N156">
    <cfRule type="duplicateValues" dxfId="416" priority="18"/>
  </conditionalFormatting>
  <conditionalFormatting sqref="N164">
    <cfRule type="duplicateValues" dxfId="415" priority="16"/>
    <cfRule type="duplicateValues" dxfId="414" priority="17"/>
  </conditionalFormatting>
  <conditionalFormatting sqref="N164">
    <cfRule type="duplicateValues" dxfId="413" priority="15"/>
  </conditionalFormatting>
  <conditionalFormatting sqref="N164">
    <cfRule type="duplicateValues" dxfId="412" priority="14"/>
  </conditionalFormatting>
  <conditionalFormatting sqref="B87">
    <cfRule type="duplicateValues" dxfId="411" priority="12"/>
    <cfRule type="duplicateValues" dxfId="410" priority="13"/>
  </conditionalFormatting>
  <conditionalFormatting sqref="B87">
    <cfRule type="duplicateValues" dxfId="409" priority="11"/>
  </conditionalFormatting>
  <conditionalFormatting sqref="B87">
    <cfRule type="duplicateValues" dxfId="408" priority="10"/>
  </conditionalFormatting>
  <conditionalFormatting sqref="N87">
    <cfRule type="duplicateValues" dxfId="407" priority="8"/>
    <cfRule type="duplicateValues" dxfId="406" priority="9"/>
  </conditionalFormatting>
  <conditionalFormatting sqref="N87">
    <cfRule type="duplicateValues" dxfId="405" priority="7"/>
  </conditionalFormatting>
  <conditionalFormatting sqref="N87">
    <cfRule type="duplicateValues" dxfId="404" priority="6"/>
  </conditionalFormatting>
  <conditionalFormatting sqref="N91">
    <cfRule type="duplicateValues" dxfId="403" priority="4"/>
    <cfRule type="duplicateValues" dxfId="402" priority="5"/>
  </conditionalFormatting>
  <conditionalFormatting sqref="N91">
    <cfRule type="duplicateValues" dxfId="401" priority="3"/>
  </conditionalFormatting>
  <conditionalFormatting sqref="N91">
    <cfRule type="duplicateValues" dxfId="400" priority="2"/>
  </conditionalFormatting>
  <conditionalFormatting sqref="B80:B81">
    <cfRule type="duplicateValues" dxfId="399" priority="5369"/>
  </conditionalFormatting>
  <conditionalFormatting sqref="B31:B34">
    <cfRule type="duplicateValues" dxfId="398" priority="6491"/>
    <cfRule type="duplicateValues" dxfId="397" priority="6492"/>
  </conditionalFormatting>
  <conditionalFormatting sqref="B31:B34">
    <cfRule type="duplicateValues" dxfId="396" priority="6495"/>
  </conditionalFormatting>
  <conditionalFormatting sqref="A33:A35">
    <cfRule type="duplicateValues" dxfId="395" priority="1"/>
  </conditionalFormatting>
  <pageMargins left="0.43333333333333335" right="0.11805555555555555" top="0.19652777777777777" bottom="0.15763888888888888" header="0.51180555555555551" footer="0.51180555555555551"/>
  <pageSetup paperSize="5" scale="39" firstPageNumber="0" orientation="landscape" horizontalDpi="4294967293" verticalDpi="300" r:id="rId1"/>
  <headerFooter alignWithMargins="0"/>
  <rowBreaks count="2" manualBreakCount="2">
    <brk id="93" max="29" man="1"/>
    <brk id="168" max="29" man="1"/>
  </rowBreaks>
  <ignoredErrors>
    <ignoredError sqref="P17"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3"/>
  <dimension ref="A1:ACP68"/>
  <sheetViews>
    <sheetView topLeftCell="A48" zoomScaleNormal="100" workbookViewId="0">
      <pane xSplit="2" topLeftCell="U1" activePane="topRight" state="frozen"/>
      <selection activeCell="O16" sqref="O16"/>
      <selection pane="topRight" activeCell="AA3" sqref="AA3:AA68"/>
    </sheetView>
  </sheetViews>
  <sheetFormatPr baseColWidth="10" defaultColWidth="11.42578125" defaultRowHeight="15"/>
  <cols>
    <col min="1" max="1" width="6.5703125" style="292" bestFit="1" customWidth="1"/>
    <col min="2" max="2" width="33.140625" style="26" customWidth="1"/>
    <col min="3" max="3" width="33.140625" style="1128" customWidth="1"/>
    <col min="4" max="4" width="20.28515625" style="26" hidden="1" customWidth="1"/>
    <col min="5" max="5" width="36.140625" style="26" customWidth="1"/>
    <col min="6" max="6" width="26.140625" style="26" customWidth="1"/>
    <col min="7" max="7" width="9.42578125" style="26" customWidth="1"/>
    <col min="8" max="8" width="15.5703125" style="26" customWidth="1"/>
    <col min="9" max="9" width="11.42578125" style="26" customWidth="1"/>
    <col min="10" max="10" width="13.140625" style="26" customWidth="1"/>
    <col min="11" max="11" width="18.28515625" style="26" customWidth="1"/>
    <col min="12" max="12" width="12.28515625" style="26" customWidth="1"/>
    <col min="13" max="13" width="17" style="26" customWidth="1"/>
    <col min="14" max="14" width="13.42578125" style="26" customWidth="1"/>
    <col min="15" max="15" width="13" style="26" customWidth="1"/>
    <col min="16" max="17" width="7" style="26" customWidth="1"/>
    <col min="18" max="18" width="7.85546875" style="26" customWidth="1"/>
    <col min="19" max="19" width="7" style="26" customWidth="1"/>
    <col min="20" max="20" width="10.85546875" style="26" customWidth="1"/>
    <col min="21" max="21" width="9.28515625" style="26" customWidth="1"/>
    <col min="22" max="22" width="10.42578125" style="26" customWidth="1"/>
    <col min="23" max="23" width="12.85546875" style="26" customWidth="1"/>
    <col min="24" max="24" width="12.42578125" style="26" customWidth="1"/>
    <col min="25" max="25" width="15.5703125" style="2" customWidth="1"/>
    <col min="26" max="26" width="16.7109375" style="278" customWidth="1"/>
    <col min="27" max="27" width="17.140625" style="139" bestFit="1" customWidth="1"/>
    <col min="28" max="28" width="22.85546875" style="26" hidden="1" customWidth="1"/>
    <col min="29" max="29" width="22.28515625" style="26" hidden="1" customWidth="1"/>
    <col min="30" max="16384" width="11.42578125" style="3"/>
  </cols>
  <sheetData>
    <row r="1" spans="1:770" ht="15.75" thickBot="1">
      <c r="B1" s="26">
        <v>1</v>
      </c>
      <c r="D1" s="26">
        <v>2</v>
      </c>
      <c r="E1" s="26">
        <v>3</v>
      </c>
      <c r="F1" s="26">
        <v>4</v>
      </c>
      <c r="G1" s="26">
        <v>5</v>
      </c>
      <c r="H1" s="26">
        <v>6</v>
      </c>
      <c r="I1" s="26">
        <v>7</v>
      </c>
      <c r="J1" s="26">
        <v>8</v>
      </c>
      <c r="K1" s="26">
        <v>9</v>
      </c>
      <c r="L1" s="26">
        <v>10</v>
      </c>
      <c r="M1" s="26">
        <v>11</v>
      </c>
      <c r="N1" s="26">
        <v>12</v>
      </c>
      <c r="O1" s="26">
        <v>13</v>
      </c>
      <c r="P1" s="26">
        <v>14</v>
      </c>
      <c r="Q1" s="26">
        <v>15</v>
      </c>
      <c r="R1" s="26">
        <v>16</v>
      </c>
      <c r="S1" s="26">
        <v>17</v>
      </c>
      <c r="T1" s="26">
        <v>18</v>
      </c>
      <c r="U1" s="26">
        <v>19</v>
      </c>
      <c r="V1" s="26">
        <v>20</v>
      </c>
      <c r="W1" s="26">
        <v>21</v>
      </c>
      <c r="X1" s="26">
        <v>22</v>
      </c>
      <c r="Y1" s="26">
        <v>23</v>
      </c>
      <c r="Z1" s="398">
        <v>24</v>
      </c>
      <c r="AA1" s="139">
        <v>25</v>
      </c>
      <c r="AB1" s="26">
        <v>26</v>
      </c>
      <c r="AC1" s="26">
        <v>27</v>
      </c>
    </row>
    <row r="2" spans="1:770" s="26" customFormat="1" ht="30" customHeight="1" thickBot="1">
      <c r="A2" s="292"/>
      <c r="B2" s="291" t="s">
        <v>240</v>
      </c>
      <c r="C2" s="1129" t="s">
        <v>666</v>
      </c>
      <c r="D2" s="170" t="s">
        <v>241</v>
      </c>
      <c r="E2" s="170" t="s">
        <v>242</v>
      </c>
      <c r="F2" s="174" t="s">
        <v>243</v>
      </c>
      <c r="G2" s="175" t="s">
        <v>209</v>
      </c>
      <c r="H2" s="175" t="s">
        <v>244</v>
      </c>
      <c r="I2" s="175" t="s">
        <v>245</v>
      </c>
      <c r="J2" s="175" t="s">
        <v>246</v>
      </c>
      <c r="K2" s="190" t="s">
        <v>247</v>
      </c>
      <c r="L2" s="175" t="s">
        <v>248</v>
      </c>
      <c r="M2" s="175" t="s">
        <v>249</v>
      </c>
      <c r="N2" s="186" t="s">
        <v>218</v>
      </c>
      <c r="O2" s="175" t="s">
        <v>250</v>
      </c>
      <c r="P2" s="191" t="s">
        <v>251</v>
      </c>
      <c r="Q2" s="192" t="s">
        <v>252</v>
      </c>
      <c r="R2" s="192" t="s">
        <v>253</v>
      </c>
      <c r="S2" s="192" t="s">
        <v>254</v>
      </c>
      <c r="T2" s="192" t="s">
        <v>35</v>
      </c>
      <c r="U2" s="192" t="s">
        <v>34</v>
      </c>
      <c r="V2" s="192" t="s">
        <v>33</v>
      </c>
      <c r="W2" s="192" t="s">
        <v>255</v>
      </c>
      <c r="X2" s="191" t="s">
        <v>256</v>
      </c>
      <c r="Y2" s="191" t="s">
        <v>224</v>
      </c>
      <c r="Z2" s="275" t="s">
        <v>257</v>
      </c>
      <c r="AA2" s="191" t="s">
        <v>258</v>
      </c>
      <c r="AB2" s="191" t="s">
        <v>259</v>
      </c>
      <c r="AC2" s="175" t="s">
        <v>260</v>
      </c>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row>
    <row r="3" spans="1:770">
      <c r="A3" s="292">
        <v>1</v>
      </c>
      <c r="B3" s="121" t="s">
        <v>500</v>
      </c>
      <c r="C3" s="431">
        <v>16355050196655</v>
      </c>
      <c r="D3" s="282">
        <v>147036247</v>
      </c>
      <c r="E3" s="149" t="s">
        <v>500</v>
      </c>
      <c r="F3" s="121" t="str">
        <f>VLOOKUP(B3,distribucion!B$9:FK$200,2,0)</f>
        <v>Auditor interno</v>
      </c>
      <c r="G3" s="121">
        <f>ROUND((VLOOKUP($B3,'Nomina Proquima'!$B$4:$AB$145,4,0)),2)</f>
        <v>30</v>
      </c>
      <c r="H3" s="238">
        <f>ROUND((VLOOKUP($B3,'Nomina Proquima'!$B$4:$AB$145,6,0)),2)</f>
        <v>6000</v>
      </c>
      <c r="I3" s="238">
        <f>ROUND((VLOOKUP($B3,'Nomina Proquima'!$B$4:$AB$145,7,0)),2)</f>
        <v>4000</v>
      </c>
      <c r="J3" s="238">
        <f>ROUND((VLOOKUP($B3,'Nomina Proquima'!$B$4:$AB$145,9,0)),2)</f>
        <v>0</v>
      </c>
      <c r="K3" s="238">
        <f>ROUND((VLOOKUP($B3,'Nomina Proquima'!$B$4:$AB$145,10,0)),2)</f>
        <v>0</v>
      </c>
      <c r="L3" s="238">
        <f>ROUND((VLOOKUP($B3,'Nomina Proquima'!$B$4:$AB$145,11,0)),2)</f>
        <v>0</v>
      </c>
      <c r="M3" s="238">
        <f>ROUND((VLOOKUP($B3,'Nomina Proquima'!$B$4:$AB$145,12,0)),2)</f>
        <v>0</v>
      </c>
      <c r="N3" s="238">
        <f>ROUND((VLOOKUP($B3,'Nomina Proquima'!$B$4:$AB$145,13,0)),2)</f>
        <v>0</v>
      </c>
      <c r="O3" s="238">
        <f>ROUND((VLOOKUP($B3,'Nomina Proquima'!$B$4:$AB$145,14,0)),2)</f>
        <v>10000</v>
      </c>
      <c r="P3" s="238">
        <f>ROUND((VLOOKUP($B3,'Nomina Proquima'!$B$4:$AB$145,15,0)),2)</f>
        <v>289.8</v>
      </c>
      <c r="Q3" s="238">
        <f>ROUND((VLOOKUP($B3,'Nomina Proquima'!$B$4:$AB$145,16,0)),2)</f>
        <v>285.51</v>
      </c>
      <c r="R3" s="238">
        <f>ROUND((VLOOKUP($B3,'Nomina Proquima'!$B$4:$AB$145,17,0)),2)</f>
        <v>0</v>
      </c>
      <c r="S3" s="238">
        <f>ROUND((VLOOKUP($B3,'Nomina Proquima'!$B$4:$AB$145,18,0)),2)</f>
        <v>0</v>
      </c>
      <c r="T3" s="238">
        <f>ROUND((VLOOKUP($B3,'Nomina Proquima'!$B$4:$AB$145,19,0)),2)</f>
        <v>0</v>
      </c>
      <c r="U3" s="238">
        <f>ROUND((VLOOKUP($B3,'Nomina Proquima'!$B$4:$AB$145,20,0)),2)</f>
        <v>0</v>
      </c>
      <c r="V3" s="238">
        <f>ROUND((VLOOKUP($B3,'Nomina Proquima'!$B$4:$AB$145,21,0)),2)</f>
        <v>0</v>
      </c>
      <c r="W3" s="238">
        <f>ROUND((VLOOKUP($B3,'Nomina Proquima'!$B$4:$AB$145,22,0)),2)</f>
        <v>340</v>
      </c>
      <c r="X3" s="238">
        <f>ROUND((VLOOKUP($B3,'Nomina Proquima'!$B$4:$AB$145,23,0)),2)</f>
        <v>915.31</v>
      </c>
      <c r="Y3" s="232">
        <f>ROUND((VLOOKUP($B3,'Nomina Proquima'!$B$4:$AB$147,24,0)),2)</f>
        <v>9084.69</v>
      </c>
      <c r="Z3" s="276">
        <f>VLOOKUP(B3,'Nomina Proquima'!$B$4:$AA$148,25,0)</f>
        <v>4494.76</v>
      </c>
      <c r="AA3" s="2016">
        <f>ROUND((VLOOKUP($B3,'Nomina Proquima'!$B$4:$AB$145,26,0)),2)</f>
        <v>4589.93</v>
      </c>
      <c r="AB3" s="187" t="e">
        <f t="shared" ref="AB3:AB10" si="0">VLOOKUP($B3,$A$30:$E$457,4,0)</f>
        <v>#N/A</v>
      </c>
      <c r="AC3" s="121">
        <f>+IFERROR(VLOOKUP(B3,'Nomina Proquima'!B:Z,25,0),"")</f>
        <v>4494.76</v>
      </c>
    </row>
    <row r="4" spans="1:770">
      <c r="A4" s="292">
        <v>2</v>
      </c>
      <c r="B4" s="121" t="s">
        <v>501</v>
      </c>
      <c r="C4" s="431">
        <v>16355050194188</v>
      </c>
      <c r="D4" s="282">
        <v>640000414</v>
      </c>
      <c r="E4" s="149" t="s">
        <v>501</v>
      </c>
      <c r="F4" s="121" t="str">
        <f>VLOOKUP(B4,distribucion!B$9:FK$200,2,0)</f>
        <v>Jefe de Informática</v>
      </c>
      <c r="G4" s="121">
        <f>ROUND((VLOOKUP($B4,'Nomina Proquima'!$B$4:$AB$145,4,0)),2)</f>
        <v>30</v>
      </c>
      <c r="H4" s="238">
        <f>ROUND((VLOOKUP($B4,'Nomina Proquima'!$B$4:$AB$145,6,0)),2)</f>
        <v>7000</v>
      </c>
      <c r="I4" s="238">
        <f>ROUND((VLOOKUP($B4,'Nomina Proquima'!$B$4:$AB$145,7,0)),2)</f>
        <v>5250</v>
      </c>
      <c r="J4" s="238">
        <f>ROUND((VLOOKUP($B4,'Nomina Proquima'!$B$4:$AB$145,9,0)),2)</f>
        <v>0</v>
      </c>
      <c r="K4" s="238">
        <f>ROUND((VLOOKUP($B4,'Nomina Proquima'!$B$4:$AB$145,10,0)),2)</f>
        <v>0</v>
      </c>
      <c r="L4" s="238">
        <f>ROUND((VLOOKUP($B4,'Nomina Proquima'!$B$4:$AB$145,11,0)),2)</f>
        <v>0</v>
      </c>
      <c r="M4" s="238">
        <f>ROUND((VLOOKUP($B4,'Nomina Proquima'!$B$4:$AB$145,12,0)),2)</f>
        <v>0</v>
      </c>
      <c r="N4" s="238">
        <f>ROUND((VLOOKUP($B4,'Nomina Proquima'!$B$4:$AB$145,13,0)),2)</f>
        <v>0</v>
      </c>
      <c r="O4" s="238">
        <f>ROUND((VLOOKUP($B4,'Nomina Proquima'!$B$4:$AB$145,14,0)),2)</f>
        <v>12250</v>
      </c>
      <c r="P4" s="238">
        <f>ROUND((VLOOKUP($B4,'Nomina Proquima'!$B$4:$AB$145,15,0)),2)</f>
        <v>338.1</v>
      </c>
      <c r="Q4" s="238">
        <f>ROUND((VLOOKUP($B4,'Nomina Proquima'!$B$4:$AB$145,16,0)),2)</f>
        <v>395.6</v>
      </c>
      <c r="R4" s="238">
        <f>ROUND((VLOOKUP($B4,'Nomina Proquima'!$B$4:$AB$145,17,0)),2)</f>
        <v>1491.76</v>
      </c>
      <c r="S4" s="238">
        <f>ROUND((VLOOKUP($B4,'Nomina Proquima'!$B$4:$AB$145,18,0)),2)</f>
        <v>0</v>
      </c>
      <c r="T4" s="238">
        <f>ROUND((VLOOKUP($B4,'Nomina Proquima'!$B$4:$AB$145,19,0)),2)</f>
        <v>0</v>
      </c>
      <c r="U4" s="238">
        <f>ROUND((VLOOKUP($B4,'Nomina Proquima'!$B$4:$AB$145,20,0)),2)</f>
        <v>0</v>
      </c>
      <c r="V4" s="238">
        <f>ROUND((VLOOKUP($B4,'Nomina Proquima'!$B$4:$AB$145,21,0)),2)</f>
        <v>0</v>
      </c>
      <c r="W4" s="238">
        <f>ROUND((VLOOKUP($B4,'Nomina Proquima'!$B$4:$AB$145,22,0)),2)</f>
        <v>337.5</v>
      </c>
      <c r="X4" s="238">
        <f>ROUND((VLOOKUP($B4,'Nomina Proquima'!$B$4:$AB$145,23,0)),2)</f>
        <v>2562.96</v>
      </c>
      <c r="Y4" s="232">
        <f>ROUND((VLOOKUP($B4,'Nomina Proquima'!$B$4:$AB$147,24,0)),2)</f>
        <v>9687.0400000000009</v>
      </c>
      <c r="Z4" s="276">
        <f>VLOOKUP(B4,'Nomina Proquima'!$B$4:$AA$148,25,0)</f>
        <v>4946.34</v>
      </c>
      <c r="AA4" s="2016">
        <f>ROUND((VLOOKUP($B4,'Nomina Proquima'!$B$4:$AB$145,26,0)),2)</f>
        <v>4740.7</v>
      </c>
      <c r="AB4" s="187" t="e">
        <f t="shared" si="0"/>
        <v>#N/A</v>
      </c>
      <c r="AC4" s="121">
        <f>+IFERROR(VLOOKUP(B4,'Nomina Proquima'!B:Z,25,0),"")</f>
        <v>4946.34</v>
      </c>
    </row>
    <row r="5" spans="1:770">
      <c r="A5" s="292">
        <f>+A4+1</f>
        <v>3</v>
      </c>
      <c r="B5" s="121" t="s">
        <v>502</v>
      </c>
      <c r="C5" s="431">
        <v>16355050194302</v>
      </c>
      <c r="D5" s="282">
        <v>147036429</v>
      </c>
      <c r="E5" s="149" t="s">
        <v>502</v>
      </c>
      <c r="F5" s="121" t="str">
        <f>VLOOKUP(B5,distribucion!B$9:FK$200,2,0)</f>
        <v xml:space="preserve">Asesor   </v>
      </c>
      <c r="G5" s="121">
        <f>ROUND((VLOOKUP($B5,'Nomina Proquima'!$B$4:$AB$145,4,0)),2)</f>
        <v>30</v>
      </c>
      <c r="H5" s="238">
        <f>ROUND((VLOOKUP($B5,'Nomina Proquima'!$B$4:$AB$145,6,0)),2)</f>
        <v>6000</v>
      </c>
      <c r="I5" s="238">
        <f>ROUND((VLOOKUP($B5,'Nomina Proquima'!$B$4:$AB$145,7,0)),2)</f>
        <v>18036.53</v>
      </c>
      <c r="J5" s="238">
        <f>ROUND((VLOOKUP($B5,'Nomina Proquima'!$B$4:$AB$145,9,0)),2)</f>
        <v>0</v>
      </c>
      <c r="K5" s="238">
        <f>ROUND((VLOOKUP($B5,'Nomina Proquima'!$B$4:$AB$145,10,0)),2)</f>
        <v>0</v>
      </c>
      <c r="L5" s="238">
        <f>ROUND((VLOOKUP($B5,'Nomina Proquima'!$B$4:$AB$145,11,0)),2)</f>
        <v>0</v>
      </c>
      <c r="M5" s="238">
        <f>ROUND((VLOOKUP($B5,'Nomina Proquima'!$B$4:$AB$145,12,0)),2)</f>
        <v>0</v>
      </c>
      <c r="N5" s="238">
        <f>ROUND((VLOOKUP($B5,'Nomina Proquima'!$B$4:$AB$145,13,0)),2)</f>
        <v>0</v>
      </c>
      <c r="O5" s="238">
        <f>ROUND((VLOOKUP($B5,'Nomina Proquima'!$B$4:$AB$145,14,0)),2)</f>
        <v>24036.53</v>
      </c>
      <c r="P5" s="238">
        <f>ROUND((VLOOKUP($B5,'Nomina Proquima'!$B$4:$AB$145,15,0)),2)</f>
        <v>289.8</v>
      </c>
      <c r="Q5" s="238">
        <f>ROUND((VLOOKUP($B5,'Nomina Proquima'!$B$4:$AB$145,16,0)),2)</f>
        <v>483.01</v>
      </c>
      <c r="R5" s="238">
        <f>ROUND((VLOOKUP($B5,'Nomina Proquima'!$B$4:$AB$145,17,0)),2)</f>
        <v>0</v>
      </c>
      <c r="S5" s="238">
        <f>ROUND((VLOOKUP($B5,'Nomina Proquima'!$B$4:$AB$145,18,0)),2)</f>
        <v>0</v>
      </c>
      <c r="T5" s="238">
        <f>ROUND((VLOOKUP($B5,'Nomina Proquima'!$B$4:$AB$145,19,0)),2)</f>
        <v>0</v>
      </c>
      <c r="U5" s="238">
        <f>ROUND((VLOOKUP($B5,'Nomina Proquima'!$B$4:$AB$145,20,0)),2)</f>
        <v>0</v>
      </c>
      <c r="V5" s="238">
        <f>ROUND((VLOOKUP($B5,'Nomina Proquima'!$B$4:$AB$145,21,0)),2)</f>
        <v>0</v>
      </c>
      <c r="W5" s="238">
        <f>ROUND((VLOOKUP($B5,'Nomina Proquima'!$B$4:$AB$145,22,0)),2)</f>
        <v>75</v>
      </c>
      <c r="X5" s="238">
        <f>ROUND((VLOOKUP($B5,'Nomina Proquima'!$B$4:$AB$145,23,0)),2)</f>
        <v>847.81</v>
      </c>
      <c r="Y5" s="232">
        <f>ROUND((VLOOKUP($B5,'Nomina Proquima'!$B$4:$AB$147,24,0)),2)</f>
        <v>23188.720000000001</v>
      </c>
      <c r="Z5" s="276">
        <f>VLOOKUP(B5,'Nomina Proquima'!$B$4:$AA$148,25,0)</f>
        <v>20290.78</v>
      </c>
      <c r="AA5" s="2016">
        <f>ROUND((VLOOKUP($B5,'Nomina Proquima'!$B$4:$AB$145,26,0)),2)</f>
        <v>2897.94</v>
      </c>
      <c r="AB5" s="187" t="e">
        <f t="shared" si="0"/>
        <v>#N/A</v>
      </c>
      <c r="AC5" s="121">
        <f>+IFERROR(VLOOKUP(B5,'Nomina Proquima'!B:Z,25,0),"")</f>
        <v>20290.78</v>
      </c>
    </row>
    <row r="6" spans="1:770">
      <c r="A6" s="292">
        <f t="shared" ref="A6:A52" si="1">+A5+1</f>
        <v>4</v>
      </c>
      <c r="B6" s="149" t="s">
        <v>503</v>
      </c>
      <c r="C6" s="432">
        <v>16355050195946</v>
      </c>
      <c r="D6" s="282">
        <v>147036098</v>
      </c>
      <c r="E6" s="149" t="s">
        <v>503</v>
      </c>
      <c r="F6" s="121" t="str">
        <f>VLOOKUP(B6,distribucion!B$9:FK$200,2,0)</f>
        <v>Investigación y Desarrollo</v>
      </c>
      <c r="G6" s="185">
        <f>ROUND((VLOOKUP($B6,'Nomina Proquima'!$B$4:$AB$145,4,0)),2)</f>
        <v>30</v>
      </c>
      <c r="H6" s="238">
        <f>ROUND((VLOOKUP($B6,'Nomina Proquima'!$B$4:$AB$145,6,0)),2)</f>
        <v>8269.49</v>
      </c>
      <c r="I6" s="238">
        <f>ROUND((VLOOKUP($B6,'Nomina Proquima'!$B$4:$AB$145,7,0)),2)</f>
        <v>6789.8</v>
      </c>
      <c r="J6" s="238">
        <f>ROUND((VLOOKUP($B6,'Nomina Proquima'!$B$4:$AB$145,9,0)),2)</f>
        <v>0</v>
      </c>
      <c r="K6" s="238">
        <f>ROUND((VLOOKUP($B6,'Nomina Proquima'!$B$4:$AB$145,10,0)),2)</f>
        <v>0</v>
      </c>
      <c r="L6" s="238">
        <f>ROUND((VLOOKUP($B6,'Nomina Proquima'!$B$4:$AB$145,11,0)),2)</f>
        <v>0</v>
      </c>
      <c r="M6" s="238">
        <f>ROUND((VLOOKUP($B6,'Nomina Proquima'!$B$4:$AB$145,12,0)),2)</f>
        <v>0</v>
      </c>
      <c r="N6" s="238">
        <f>ROUND((VLOOKUP($B6,'Nomina Proquima'!$B$4:$AB$145,13,0)),2)</f>
        <v>0</v>
      </c>
      <c r="O6" s="238">
        <f>ROUND((VLOOKUP($B6,'Nomina Proquima'!$B$4:$AB$145,14,0)),2)</f>
        <v>15059.29</v>
      </c>
      <c r="P6" s="238">
        <f>ROUND((VLOOKUP($B6,'Nomina Proquima'!$B$4:$AB$145,15,0)),2)</f>
        <v>248.08</v>
      </c>
      <c r="Q6" s="238">
        <f>ROUND((VLOOKUP($B6,'Nomina Proquima'!$B$4:$AB$145,16,0)),2)</f>
        <v>540.55999999999995</v>
      </c>
      <c r="R6" s="238">
        <f>ROUND((VLOOKUP($B6,'Nomina Proquima'!$B$4:$AB$145,17,0)),2)</f>
        <v>0</v>
      </c>
      <c r="S6" s="238">
        <f>ROUND((VLOOKUP($B6,'Nomina Proquima'!$B$4:$AB$145,18,0)),2)</f>
        <v>894</v>
      </c>
      <c r="T6" s="238">
        <f>ROUND((VLOOKUP($B6,'Nomina Proquima'!$B$4:$AB$145,19,0)),2)</f>
        <v>0</v>
      </c>
      <c r="U6" s="238">
        <f>ROUND((VLOOKUP($B6,'Nomina Proquima'!$B$4:$AB$145,20,0)),2)</f>
        <v>0</v>
      </c>
      <c r="V6" s="238">
        <f>ROUND((VLOOKUP($B6,'Nomina Proquima'!$B$4:$AB$145,21,0)),2)</f>
        <v>0</v>
      </c>
      <c r="W6" s="238">
        <f>ROUND((VLOOKUP($B6,'Nomina Proquima'!$B$4:$AB$145,22,0)),2)</f>
        <v>0</v>
      </c>
      <c r="X6" s="238">
        <f>ROUND((VLOOKUP($B6,'Nomina Proquima'!$B$4:$AB$145,23,0)),2)</f>
        <v>1682.64</v>
      </c>
      <c r="Y6" s="232">
        <f>ROUND((VLOOKUP($B6,'Nomina Proquima'!$B$4:$AB$147,24,0)),2)</f>
        <v>13376.65</v>
      </c>
      <c r="Z6" s="276">
        <f>VLOOKUP(B6,'Nomina Proquima'!$B$4:$AA$148,25,0)</f>
        <v>6821.73</v>
      </c>
      <c r="AA6" s="2016">
        <f>ROUND((VLOOKUP($B6,'Nomina Proquima'!$B$4:$AB$145,26,0)),2)</f>
        <v>6554.92</v>
      </c>
      <c r="AB6" s="188" t="e">
        <f t="shared" si="0"/>
        <v>#N/A</v>
      </c>
      <c r="AC6" s="121">
        <f>+IFERROR(VLOOKUP(B6,'Nomina Proquima'!B:Z,25,0),"")</f>
        <v>6821.73</v>
      </c>
    </row>
    <row r="7" spans="1:770">
      <c r="A7" s="292">
        <f t="shared" si="1"/>
        <v>5</v>
      </c>
      <c r="B7" s="121" t="s">
        <v>569</v>
      </c>
      <c r="C7" s="431">
        <v>16355050194229</v>
      </c>
      <c r="D7" s="282">
        <v>147036056</v>
      </c>
      <c r="E7" s="149" t="s">
        <v>571</v>
      </c>
      <c r="F7" s="121" t="str">
        <f>VLOOKUP(B7,distribucion!B$9:FK$200,2,0)</f>
        <v>Jefe de Producción</v>
      </c>
      <c r="G7" s="185">
        <f>ROUND((VLOOKUP($B7,'Nomina Proquima'!$B$4:$AB$145,4,0)),2)</f>
        <v>30</v>
      </c>
      <c r="H7" s="238">
        <f>ROUND((VLOOKUP($B7,'Nomina Proquima'!$B$4:$AB$145,6,0)),2)</f>
        <v>6000</v>
      </c>
      <c r="I7" s="238">
        <f>ROUND((VLOOKUP($B7,'Nomina Proquima'!$B$4:$AB$145,7,0)),2)</f>
        <v>7379.33</v>
      </c>
      <c r="J7" s="238">
        <f>ROUND((VLOOKUP($B7,'Nomina Proquima'!$B$4:$AB$145,9,0)),2)</f>
        <v>0</v>
      </c>
      <c r="K7" s="238">
        <f>ROUND((VLOOKUP($B7,'Nomina Proquima'!$B$4:$AB$145,10,0)),2)</f>
        <v>0</v>
      </c>
      <c r="L7" s="238">
        <f>ROUND((VLOOKUP($B7,'Nomina Proquima'!$B$4:$AB$145,11,0)),2)</f>
        <v>0</v>
      </c>
      <c r="M7" s="238">
        <f>ROUND((VLOOKUP($B7,'Nomina Proquima'!$B$4:$AB$145,12,0)),2)</f>
        <v>0</v>
      </c>
      <c r="N7" s="238">
        <f>ROUND((VLOOKUP($B7,'Nomina Proquima'!$B$4:$AB$145,13,0)),2)</f>
        <v>0</v>
      </c>
      <c r="O7" s="238">
        <f>ROUND((VLOOKUP($B7,'Nomina Proquima'!$B$4:$AB$145,14,0)),2)</f>
        <v>13379.33</v>
      </c>
      <c r="P7" s="238">
        <f>ROUND((VLOOKUP($B7,'Nomina Proquima'!$B$4:$AB$145,15,0)),2)</f>
        <v>289.8</v>
      </c>
      <c r="Q7" s="238">
        <f>ROUND((VLOOKUP($B7,'Nomina Proquima'!$B$4:$AB$145,16,0)),2)</f>
        <v>375.61</v>
      </c>
      <c r="R7" s="238">
        <f>ROUND((VLOOKUP($B7,'Nomina Proquima'!$B$4:$AB$145,17,0)),2)</f>
        <v>1054.71</v>
      </c>
      <c r="S7" s="238">
        <f>ROUND((VLOOKUP($B7,'Nomina Proquima'!$B$4:$AB$145,18,0)),2)</f>
        <v>0</v>
      </c>
      <c r="T7" s="238">
        <f>ROUND((VLOOKUP($B7,'Nomina Proquima'!$B$4:$AB$145,19,0)),2)</f>
        <v>0</v>
      </c>
      <c r="U7" s="238">
        <f>ROUND((VLOOKUP($B7,'Nomina Proquima'!$B$4:$AB$145,20,0)),2)</f>
        <v>0</v>
      </c>
      <c r="V7" s="238">
        <f>ROUND((VLOOKUP($B7,'Nomina Proquima'!$B$4:$AB$145,21,0)),2)</f>
        <v>440.5</v>
      </c>
      <c r="W7" s="238">
        <f>ROUND((VLOOKUP($B7,'Nomina Proquima'!$B$4:$AB$145,22,0)),2)</f>
        <v>75</v>
      </c>
      <c r="X7" s="238">
        <f>ROUND((VLOOKUP($B7,'Nomina Proquima'!$B$4:$AB$145,23,0)),2)</f>
        <v>2235.62</v>
      </c>
      <c r="Y7" s="232">
        <f>ROUND((VLOOKUP($B7,'Nomina Proquima'!$B$4:$AB$147,24,0)),2)</f>
        <v>11143.71</v>
      </c>
      <c r="Z7" s="276">
        <f>VLOOKUP(B7,'Nomina Proquima'!$B$4:$AA$148,25,0)</f>
        <v>8502.57</v>
      </c>
      <c r="AA7" s="2016">
        <f>ROUND((VLOOKUP($B7,'Nomina Proquima'!$B$4:$AB$145,26,0)),2)</f>
        <v>2641.14</v>
      </c>
      <c r="AB7" s="188" t="e">
        <f t="shared" si="0"/>
        <v>#N/A</v>
      </c>
      <c r="AC7" s="121">
        <f>+IFERROR(VLOOKUP(B7,'Nomina Proquima'!B:Z,25,0),"")</f>
        <v>8502.57</v>
      </c>
    </row>
    <row r="8" spans="1:770">
      <c r="A8" s="292">
        <f t="shared" si="1"/>
        <v>6</v>
      </c>
      <c r="B8" s="121" t="s">
        <v>504</v>
      </c>
      <c r="C8" s="431">
        <v>16355050192447</v>
      </c>
      <c r="D8" s="282">
        <v>1260048751</v>
      </c>
      <c r="E8" s="149" t="s">
        <v>504</v>
      </c>
      <c r="F8" s="121" t="str">
        <f>VLOOKUP(B8,distribucion!B$9:FK$200,2,0)</f>
        <v>Mecánico</v>
      </c>
      <c r="G8" s="121">
        <f>ROUND((VLOOKUP($B8,'Nomina Proquima'!$B$4:$AB$145,4,0)),2)</f>
        <v>30</v>
      </c>
      <c r="H8" s="238">
        <f>ROUND((VLOOKUP($B8,'Nomina Proquima'!$B$4:$AB$145,6,0)),2)</f>
        <v>5000</v>
      </c>
      <c r="I8" s="238">
        <f>ROUND((VLOOKUP($B8,'Nomina Proquima'!$B$4:$AB$145,7,0)),2)</f>
        <v>4103.1400000000003</v>
      </c>
      <c r="J8" s="238">
        <f>ROUND((VLOOKUP($B8,'Nomina Proquima'!$B$4:$AB$145,9,0)),2)</f>
        <v>0</v>
      </c>
      <c r="K8" s="238">
        <f>ROUND((VLOOKUP($B8,'Nomina Proquima'!$B$4:$AB$145,10,0)),2)</f>
        <v>0</v>
      </c>
      <c r="L8" s="238">
        <f>ROUND((VLOOKUP($B8,'Nomina Proquima'!$B$4:$AB$145,11,0)),2)</f>
        <v>0</v>
      </c>
      <c r="M8" s="238">
        <f>ROUND((VLOOKUP($B8,'Nomina Proquima'!$B$4:$AB$145,12,0)),2)</f>
        <v>0</v>
      </c>
      <c r="N8" s="238">
        <f>ROUND((VLOOKUP($B8,'Nomina Proquima'!$B$4:$AB$145,13,0)),2)</f>
        <v>0</v>
      </c>
      <c r="O8" s="238">
        <f>ROUND((VLOOKUP($B8,'Nomina Proquima'!$B$4:$AB$145,14,0)),2)</f>
        <v>9103.14</v>
      </c>
      <c r="P8" s="238">
        <f>ROUND((VLOOKUP($B8,'Nomina Proquima'!$B$4:$AB$145,15,0)),2)</f>
        <v>241.5</v>
      </c>
      <c r="Q8" s="238">
        <f>ROUND((VLOOKUP($B8,'Nomina Proquima'!$B$4:$AB$145,16,0)),2)</f>
        <v>175.48</v>
      </c>
      <c r="R8" s="238">
        <f>ROUND((VLOOKUP($B8,'Nomina Proquima'!$B$4:$AB$145,17,0)),2)</f>
        <v>0</v>
      </c>
      <c r="S8" s="238">
        <f>ROUND((VLOOKUP($B8,'Nomina Proquima'!$B$4:$AB$145,18,0)),2)</f>
        <v>0</v>
      </c>
      <c r="T8" s="238">
        <f>ROUND((VLOOKUP($B8,'Nomina Proquima'!$B$4:$AB$145,19,0)),2)</f>
        <v>0</v>
      </c>
      <c r="U8" s="238">
        <f>ROUND((VLOOKUP($B8,'Nomina Proquima'!$B$4:$AB$145,20,0)),2)</f>
        <v>0</v>
      </c>
      <c r="V8" s="238">
        <f>ROUND((VLOOKUP($B8,'Nomina Proquima'!$B$4:$AB$145,21,0)),2)</f>
        <v>53.25</v>
      </c>
      <c r="W8" s="238">
        <f>ROUND((VLOOKUP($B8,'Nomina Proquima'!$B$4:$AB$145,22,0)),2)</f>
        <v>290</v>
      </c>
      <c r="X8" s="238">
        <f>ROUND((VLOOKUP($B8,'Nomina Proquima'!$B$4:$AB$145,23,0)),2)</f>
        <v>760.23</v>
      </c>
      <c r="Y8" s="232">
        <f>ROUND((VLOOKUP($B8,'Nomina Proquima'!$B$4:$AB$147,24,0)),2)</f>
        <v>8342.91</v>
      </c>
      <c r="Z8" s="276">
        <f>VLOOKUP(B8,'Nomina Proquima'!$B$4:$AA$148,25,0)</f>
        <v>5844.1399999999994</v>
      </c>
      <c r="AA8" s="2016">
        <f>ROUND((VLOOKUP($B8,'Nomina Proquima'!$B$4:$AB$145,26,0)),2)</f>
        <v>2498.77</v>
      </c>
      <c r="AB8" s="187" t="e">
        <f t="shared" si="0"/>
        <v>#N/A</v>
      </c>
      <c r="AC8" s="121">
        <f>+IFERROR(VLOOKUP(B8,'Nomina Proquima'!B:Z,25,0),"")</f>
        <v>5844.1399999999994</v>
      </c>
    </row>
    <row r="9" spans="1:770">
      <c r="A9" s="292">
        <f t="shared" si="1"/>
        <v>7</v>
      </c>
      <c r="B9" s="121" t="s">
        <v>505</v>
      </c>
      <c r="C9" s="431">
        <v>16355050192421</v>
      </c>
      <c r="D9" s="282">
        <v>300002501</v>
      </c>
      <c r="E9" s="149" t="s">
        <v>505</v>
      </c>
      <c r="F9" s="121" t="str">
        <f>VLOOKUP(B9,distribucion!B$9:FK$200,2,0)</f>
        <v>Mantenimiento</v>
      </c>
      <c r="G9" s="121">
        <f>ROUND((VLOOKUP($B9,'Nomina Proquima'!$B$4:$AB$145,4,0)),2)</f>
        <v>30</v>
      </c>
      <c r="H9" s="238">
        <f>ROUND((VLOOKUP($B9,'Nomina Proquima'!$B$4:$AB$145,6,0)),2)</f>
        <v>3166.38</v>
      </c>
      <c r="I9" s="238">
        <f>ROUND((VLOOKUP($B9,'Nomina Proquima'!$B$4:$AB$145,7,0)),2)</f>
        <v>3600</v>
      </c>
      <c r="J9" s="238">
        <f>ROUND((VLOOKUP($B9,'Nomina Proquima'!$B$4:$AB$145,9,0)),2)</f>
        <v>3</v>
      </c>
      <c r="K9" s="238">
        <f>ROUND((VLOOKUP($B9,'Nomina Proquima'!$B$4:$AB$145,10,0)),2)</f>
        <v>59.37</v>
      </c>
      <c r="L9" s="238">
        <f>ROUND((VLOOKUP($B9,'Nomina Proquima'!$B$4:$AB$145,11,0)),2)</f>
        <v>0</v>
      </c>
      <c r="M9" s="238">
        <f>ROUND((VLOOKUP($B9,'Nomina Proquima'!$B$4:$AB$145,12,0)),2)</f>
        <v>0</v>
      </c>
      <c r="N9" s="238">
        <f>ROUND((VLOOKUP($B9,'Nomina Proquima'!$B$4:$AB$145,13,0)),2)</f>
        <v>0</v>
      </c>
      <c r="O9" s="238">
        <f>ROUND((VLOOKUP($B9,'Nomina Proquima'!$B$4:$AB$145,14,0)),2)</f>
        <v>6825.75</v>
      </c>
      <c r="P9" s="238">
        <f>ROUND((VLOOKUP($B9,'Nomina Proquima'!$B$4:$AB$145,15,0)),2)</f>
        <v>155.80000000000001</v>
      </c>
      <c r="Q9" s="238">
        <f>ROUND((VLOOKUP($B9,'Nomina Proquima'!$B$4:$AB$145,16,0)),2)</f>
        <v>203.17</v>
      </c>
      <c r="R9" s="238">
        <f>ROUND((VLOOKUP($B9,'Nomina Proquima'!$B$4:$AB$145,17,0)),2)</f>
        <v>0</v>
      </c>
      <c r="S9" s="238">
        <f>ROUND((VLOOKUP($B9,'Nomina Proquima'!$B$4:$AB$145,18,0)),2)</f>
        <v>0</v>
      </c>
      <c r="T9" s="238">
        <f>ROUND((VLOOKUP($B9,'Nomina Proquima'!$B$4:$AB$145,19,0)),2)</f>
        <v>0</v>
      </c>
      <c r="U9" s="238">
        <f>ROUND((VLOOKUP($B9,'Nomina Proquima'!$B$4:$AB$145,20,0)),2)</f>
        <v>0</v>
      </c>
      <c r="V9" s="238">
        <f>ROUND((VLOOKUP($B9,'Nomina Proquima'!$B$4:$AB$145,21,0)),2)</f>
        <v>164.5</v>
      </c>
      <c r="W9" s="238">
        <f>ROUND((VLOOKUP($B9,'Nomina Proquima'!$B$4:$AB$145,22,0)),2)</f>
        <v>50</v>
      </c>
      <c r="X9" s="238">
        <f>ROUND((VLOOKUP($B9,'Nomina Proquima'!$B$4:$AB$145,23,0)),2)</f>
        <v>573.47</v>
      </c>
      <c r="Y9" s="232">
        <f>ROUND((VLOOKUP($B9,'Nomina Proquima'!$B$4:$AB$147,24,0)),2)</f>
        <v>6252.28</v>
      </c>
      <c r="Z9" s="276">
        <f>VLOOKUP(B9,'Nomina Proquima'!$B$4:$AA$148,25,0)</f>
        <v>1756.22</v>
      </c>
      <c r="AA9" s="2016">
        <f>ROUND((VLOOKUP($B9,'Nomina Proquima'!$B$4:$AB$145,26,0)),2)</f>
        <v>4496.0600000000004</v>
      </c>
      <c r="AB9" s="187" t="e">
        <f t="shared" si="0"/>
        <v>#N/A</v>
      </c>
      <c r="AC9" s="121">
        <f>+IFERROR(VLOOKUP(B9,'Nomina Proquima'!B:Z,25,0),"")</f>
        <v>1756.22</v>
      </c>
    </row>
    <row r="10" spans="1:770">
      <c r="A10" s="292">
        <f t="shared" si="1"/>
        <v>8</v>
      </c>
      <c r="B10" s="121" t="s">
        <v>506</v>
      </c>
      <c r="C10" s="431">
        <v>16355050198015</v>
      </c>
      <c r="D10" s="283">
        <v>140633644</v>
      </c>
      <c r="E10" s="149" t="s">
        <v>506</v>
      </c>
      <c r="F10" s="121" t="str">
        <f>VLOOKUP(B10,distribucion!B$9:FK$200,2,0)</f>
        <v>Piloto de Presidencia</v>
      </c>
      <c r="G10" s="121">
        <f>ROUND((VLOOKUP($B10,'Nomina Proquima'!$B$4:$AB$145,4,0)),2)</f>
        <v>30</v>
      </c>
      <c r="H10" s="238">
        <f>ROUND((VLOOKUP($B10,'Nomina Proquima'!$B$4:$AB$145,6,0)),2)</f>
        <v>3262.5</v>
      </c>
      <c r="I10" s="238">
        <f>ROUND((VLOOKUP($B10,'Nomina Proquima'!$B$4:$AB$145,7,0)),2)</f>
        <v>2250</v>
      </c>
      <c r="J10" s="238">
        <f>ROUND((VLOOKUP($B10,'Nomina Proquima'!$B$4:$AB$145,9,0)),2)</f>
        <v>0</v>
      </c>
      <c r="K10" s="238">
        <f>ROUND((VLOOKUP($B10,'Nomina Proquima'!$B$4:$AB$145,10,0)),2)</f>
        <v>0</v>
      </c>
      <c r="L10" s="238">
        <f>ROUND((VLOOKUP($B10,'Nomina Proquima'!$B$4:$AB$145,11,0)),2)</f>
        <v>0</v>
      </c>
      <c r="M10" s="238">
        <f>ROUND((VLOOKUP($B10,'Nomina Proquima'!$B$4:$AB$145,12,0)),2)</f>
        <v>0</v>
      </c>
      <c r="N10" s="238">
        <f>ROUND((VLOOKUP($B10,'Nomina Proquima'!$B$4:$AB$145,13,0)),2)</f>
        <v>0</v>
      </c>
      <c r="O10" s="238">
        <f>ROUND((VLOOKUP($B10,'Nomina Proquima'!$B$4:$AB$145,14,0)),2)</f>
        <v>5512.5</v>
      </c>
      <c r="P10" s="238">
        <f>ROUND((VLOOKUP($B10,'Nomina Proquima'!$B$4:$AB$145,15,0)),2)</f>
        <v>157.58000000000001</v>
      </c>
      <c r="Q10" s="238">
        <f>ROUND((VLOOKUP($B10,'Nomina Proquima'!$B$4:$AB$145,16,0)),2)</f>
        <v>67.75</v>
      </c>
      <c r="R10" s="238">
        <f>ROUND((VLOOKUP($B10,'Nomina Proquima'!$B$4:$AB$145,17,0)),2)</f>
        <v>0</v>
      </c>
      <c r="S10" s="238">
        <f>ROUND((VLOOKUP($B10,'Nomina Proquima'!$B$4:$AB$145,18,0)),2)</f>
        <v>0</v>
      </c>
      <c r="T10" s="238">
        <f>ROUND((VLOOKUP($B10,'Nomina Proquima'!$B$4:$AB$145,19,0)),2)</f>
        <v>0</v>
      </c>
      <c r="U10" s="238">
        <f>ROUND((VLOOKUP($B10,'Nomina Proquima'!$B$4:$AB$145,20,0)),2)</f>
        <v>0</v>
      </c>
      <c r="V10" s="238">
        <f>ROUND((VLOOKUP($B10,'Nomina Proquima'!$B$4:$AB$145,21,0)),2)</f>
        <v>0</v>
      </c>
      <c r="W10" s="238">
        <f>ROUND((VLOOKUP($B10,'Nomina Proquima'!$B$4:$AB$145,22,0)),2)</f>
        <v>50</v>
      </c>
      <c r="X10" s="238">
        <f>ROUND((VLOOKUP($B10,'Nomina Proquima'!$B$4:$AB$145,23,0)),2)</f>
        <v>275.33</v>
      </c>
      <c r="Y10" s="232">
        <f>ROUND((VLOOKUP($B10,'Nomina Proquima'!$B$4:$AB$147,24,0)),2)</f>
        <v>5237.17</v>
      </c>
      <c r="Z10" s="276">
        <f>VLOOKUP(B10,'Nomina Proquima'!$B$4:$AA$148,25,0)</f>
        <v>2632.3</v>
      </c>
      <c r="AA10" s="2016">
        <f>ROUND((VLOOKUP($B10,'Nomina Proquima'!$B$4:$AB$145,26,0)),2)</f>
        <v>2604.87</v>
      </c>
      <c r="AB10" s="187" t="e">
        <f t="shared" si="0"/>
        <v>#N/A</v>
      </c>
      <c r="AC10" s="121">
        <f>+IFERROR(VLOOKUP(B10,'Nomina Proquima'!B:Z,25,0),"")</f>
        <v>2632.3</v>
      </c>
    </row>
    <row r="11" spans="1:770">
      <c r="A11" s="292">
        <f t="shared" si="1"/>
        <v>9</v>
      </c>
      <c r="B11" s="121" t="s">
        <v>508</v>
      </c>
      <c r="C11" s="431">
        <v>16355050196621</v>
      </c>
      <c r="D11" s="284" t="s">
        <v>269</v>
      </c>
      <c r="E11" s="149" t="s">
        <v>508</v>
      </c>
      <c r="F11" s="121" t="str">
        <f>VLOOKUP(B11,distribucion!B$9:FK$200,2,0)</f>
        <v>Operador de montacargas</v>
      </c>
      <c r="G11" s="121">
        <f>ROUND((VLOOKUP($B11,'Nomina Proquima'!$B$4:$AB$145,4,0)),2)</f>
        <v>30</v>
      </c>
      <c r="H11" s="238">
        <f>ROUND((VLOOKUP($B11,'Nomina Proquima'!$B$4:$AB$145,6,0)),2)</f>
        <v>3166.38</v>
      </c>
      <c r="I11" s="238">
        <f>ROUND((VLOOKUP($B11,'Nomina Proquima'!$B$4:$AB$145,7,0)),2)</f>
        <v>2970</v>
      </c>
      <c r="J11" s="238">
        <f>ROUND((VLOOKUP($B11,'Nomina Proquima'!$B$4:$AB$145,9,0)),2)</f>
        <v>20</v>
      </c>
      <c r="K11" s="238">
        <f>ROUND((VLOOKUP($B11,'Nomina Proquima'!$B$4:$AB$145,10,0)),2)</f>
        <v>395.8</v>
      </c>
      <c r="L11" s="238">
        <f>ROUND((VLOOKUP($B11,'Nomina Proquima'!$B$4:$AB$145,11,0)),2)</f>
        <v>0</v>
      </c>
      <c r="M11" s="238">
        <f>ROUND((VLOOKUP($B11,'Nomina Proquima'!$B$4:$AB$145,12,0)),2)</f>
        <v>0</v>
      </c>
      <c r="N11" s="238">
        <f>ROUND((VLOOKUP($B11,'Nomina Proquima'!$B$4:$AB$145,13,0)),2)</f>
        <v>0</v>
      </c>
      <c r="O11" s="238">
        <f>ROUND((VLOOKUP($B11,'Nomina Proquima'!$B$4:$AB$145,14,0)),2)</f>
        <v>6532.18</v>
      </c>
      <c r="P11" s="238">
        <f>ROUND((VLOOKUP($B11,'Nomina Proquima'!$B$4:$AB$145,15,0)),2)</f>
        <v>172.05</v>
      </c>
      <c r="Q11" s="238">
        <f>ROUND((VLOOKUP($B11,'Nomina Proquima'!$B$4:$AB$145,16,0)),2)</f>
        <v>143.16999999999999</v>
      </c>
      <c r="R11" s="238">
        <f>ROUND((VLOOKUP($B11,'Nomina Proquima'!$B$4:$AB$145,17,0)),2)</f>
        <v>0</v>
      </c>
      <c r="S11" s="238">
        <f>ROUND((VLOOKUP($B11,'Nomina Proquima'!$B$4:$AB$145,18,0)),2)</f>
        <v>0</v>
      </c>
      <c r="T11" s="238">
        <f>ROUND((VLOOKUP($B11,'Nomina Proquima'!$B$4:$AB$145,19,0)),2)</f>
        <v>0</v>
      </c>
      <c r="U11" s="238">
        <f>ROUND((VLOOKUP($B11,'Nomina Proquima'!$B$4:$AB$145,20,0)),2)</f>
        <v>0</v>
      </c>
      <c r="V11" s="238">
        <f>ROUND((VLOOKUP($B11,'Nomina Proquima'!$B$4:$AB$145,21,0)),2)</f>
        <v>0</v>
      </c>
      <c r="W11" s="238">
        <f>ROUND((VLOOKUP($B11,'Nomina Proquima'!$B$4:$AB$145,22,0)),2)</f>
        <v>0</v>
      </c>
      <c r="X11" s="238">
        <f>ROUND((VLOOKUP($B11,'Nomina Proquima'!$B$4:$AB$145,23,0)),2)</f>
        <v>315.22000000000003</v>
      </c>
      <c r="Y11" s="232">
        <f>ROUND((VLOOKUP($B11,'Nomina Proquima'!$B$4:$AB$147,24,0)),2)</f>
        <v>6216.96</v>
      </c>
      <c r="Z11" s="276">
        <f>VLOOKUP(B11,'Nomina Proquima'!$B$4:$AA$148,25,0)</f>
        <v>1756.72</v>
      </c>
      <c r="AA11" s="2016">
        <f>ROUND((VLOOKUP($B11,'Nomina Proquima'!$B$4:$AB$145,26,0)),2)</f>
        <v>4460.24</v>
      </c>
      <c r="AB11" s="189">
        <v>200900517087</v>
      </c>
      <c r="AC11" s="121">
        <f>+IFERROR(VLOOKUP(B11,'Nomina Proquima'!B:Z,25,0),"")</f>
        <v>1756.72</v>
      </c>
    </row>
    <row r="12" spans="1:770">
      <c r="A12" s="292">
        <f t="shared" si="1"/>
        <v>10</v>
      </c>
      <c r="B12" s="121" t="s">
        <v>509</v>
      </c>
      <c r="C12" s="431">
        <v>16355050194245</v>
      </c>
      <c r="D12" s="284">
        <v>7910001887</v>
      </c>
      <c r="E12" s="149" t="s">
        <v>509</v>
      </c>
      <c r="F12" s="121" t="str">
        <f>VLOOKUP(B12,distribucion!B$9:FK$200,2,0)</f>
        <v>Supervisor Contable</v>
      </c>
      <c r="G12" s="121">
        <f>ROUND((VLOOKUP($B12,'Nomina Proquima'!$B$4:$AB$145,4,0)),2)</f>
        <v>30</v>
      </c>
      <c r="H12" s="238">
        <f>ROUND((VLOOKUP($B12,'Nomina Proquima'!$B$4:$AB$145,6,0)),2)</f>
        <v>3720</v>
      </c>
      <c r="I12" s="238">
        <f>ROUND((VLOOKUP($B12,'Nomina Proquima'!$B$4:$AB$145,7,0)),2)</f>
        <v>2480</v>
      </c>
      <c r="J12" s="238">
        <f>ROUND((VLOOKUP($B12,'Nomina Proquima'!$B$4:$AB$145,9,0)),2)</f>
        <v>0</v>
      </c>
      <c r="K12" s="238">
        <f>ROUND((VLOOKUP($B12,'Nomina Proquima'!$B$4:$AB$145,10,0)),2)</f>
        <v>0</v>
      </c>
      <c r="L12" s="238">
        <f>ROUND((VLOOKUP($B12,'Nomina Proquima'!$B$4:$AB$145,11,0)),2)</f>
        <v>0</v>
      </c>
      <c r="M12" s="238">
        <f>ROUND((VLOOKUP($B12,'Nomina Proquima'!$B$4:$AB$145,12,0)),2)</f>
        <v>0</v>
      </c>
      <c r="N12" s="238">
        <f>ROUND((VLOOKUP($B12,'Nomina Proquima'!$B$4:$AB$145,13,0)),2)</f>
        <v>0</v>
      </c>
      <c r="O12" s="238">
        <f>ROUND((VLOOKUP($B12,'Nomina Proquima'!$B$4:$AB$145,14,0)),2)</f>
        <v>6200</v>
      </c>
      <c r="P12" s="238">
        <f>ROUND((VLOOKUP($B12,'Nomina Proquima'!$B$4:$AB$145,15,0)),2)</f>
        <v>179.68</v>
      </c>
      <c r="Q12" s="238">
        <f>ROUND((VLOOKUP($B12,'Nomina Proquima'!$B$4:$AB$145,16,0)),2)</f>
        <v>101.02</v>
      </c>
      <c r="R12" s="238">
        <f>ROUND((VLOOKUP($B12,'Nomina Proquima'!$B$4:$AB$145,17,0)),2)</f>
        <v>0</v>
      </c>
      <c r="S12" s="238">
        <f>ROUND((VLOOKUP($B12,'Nomina Proquima'!$B$4:$AB$145,18,0)),2)</f>
        <v>0</v>
      </c>
      <c r="T12" s="238">
        <f>ROUND((VLOOKUP($B12,'Nomina Proquima'!$B$4:$AB$145,19,0)),2)</f>
        <v>0</v>
      </c>
      <c r="U12" s="238">
        <f>ROUND((VLOOKUP($B12,'Nomina Proquima'!$B$4:$AB$145,20,0)),2)</f>
        <v>0</v>
      </c>
      <c r="V12" s="238">
        <f>ROUND((VLOOKUP($B12,'Nomina Proquima'!$B$4:$AB$145,21,0)),2)</f>
        <v>51</v>
      </c>
      <c r="W12" s="238">
        <f>ROUND((VLOOKUP($B12,'Nomina Proquima'!$B$4:$AB$145,22,0)),2)</f>
        <v>75</v>
      </c>
      <c r="X12" s="238">
        <f>ROUND((VLOOKUP($B12,'Nomina Proquima'!$B$4:$AB$145,23,0)),2)</f>
        <v>406.7</v>
      </c>
      <c r="Y12" s="232">
        <f>ROUND((VLOOKUP($B12,'Nomina Proquima'!$B$4:$AB$147,24,0)),2)</f>
        <v>5793.3</v>
      </c>
      <c r="Z12" s="276">
        <f>VLOOKUP(B12,'Nomina Proquima'!$B$4:$AA$148,25,0)</f>
        <v>2901.13</v>
      </c>
      <c r="AA12" s="2016">
        <f>ROUND((VLOOKUP($B12,'Nomina Proquima'!$B$4:$AB$145,26,0)),2)</f>
        <v>2892.17</v>
      </c>
      <c r="AB12" s="189">
        <v>289043705</v>
      </c>
      <c r="AC12" s="121">
        <f>+IFERROR(VLOOKUP(B12,'Nomina Proquima'!B:Z,25,0),"")</f>
        <v>2901.13</v>
      </c>
    </row>
    <row r="13" spans="1:770">
      <c r="A13" s="292" t="e">
        <f>+#REF!+1</f>
        <v>#REF!</v>
      </c>
      <c r="B13" s="121" t="s">
        <v>511</v>
      </c>
      <c r="C13" s="431">
        <v>16355050194089</v>
      </c>
      <c r="D13" s="285">
        <v>4540034883</v>
      </c>
      <c r="E13" s="171" t="s">
        <v>511</v>
      </c>
      <c r="F13" s="121" t="str">
        <f>VLOOKUP(B13,distribucion!B$9:FK$200,2,0)</f>
        <v>Auxiliar de Bodega</v>
      </c>
      <c r="G13" s="121">
        <f>ROUND((VLOOKUP($B13,'Nomina Proquima'!$B$4:$AB$145,4,0)),2)</f>
        <v>30</v>
      </c>
      <c r="H13" s="238">
        <f>ROUND((VLOOKUP($B13,'Nomina Proquima'!$B$4:$AB$145,6,0)),2)</f>
        <v>3166.38</v>
      </c>
      <c r="I13" s="238">
        <f>ROUND((VLOOKUP($B13,'Nomina Proquima'!$B$4:$AB$145,7,0)),2)</f>
        <v>150</v>
      </c>
      <c r="J13" s="238">
        <f>ROUND((VLOOKUP($B13,'Nomina Proquima'!$B$4:$AB$145,9,0)),2)</f>
        <v>19</v>
      </c>
      <c r="K13" s="238">
        <f>ROUND((VLOOKUP($B13,'Nomina Proquima'!$B$4:$AB$145,10,0)),2)</f>
        <v>376.01</v>
      </c>
      <c r="L13" s="238">
        <f>ROUND((VLOOKUP($B13,'Nomina Proquima'!$B$4:$AB$145,11,0)),2)</f>
        <v>0</v>
      </c>
      <c r="M13" s="238">
        <f>ROUND((VLOOKUP($B13,'Nomina Proquima'!$B$4:$AB$145,12,0)),2)</f>
        <v>0</v>
      </c>
      <c r="N13" s="238">
        <f>ROUND((VLOOKUP($B13,'Nomina Proquima'!$B$4:$AB$145,13,0)),2)</f>
        <v>0</v>
      </c>
      <c r="O13" s="238">
        <f>ROUND((VLOOKUP($B13,'Nomina Proquima'!$B$4:$AB$145,14,0)),2)</f>
        <v>3692.39</v>
      </c>
      <c r="P13" s="238">
        <f>ROUND((VLOOKUP($B13,'Nomina Proquima'!$B$4:$AB$145,15,0)),2)</f>
        <v>171.1</v>
      </c>
      <c r="Q13" s="238">
        <f>ROUND((VLOOKUP($B13,'Nomina Proquima'!$B$4:$AB$145,16,0)),2)</f>
        <v>0</v>
      </c>
      <c r="R13" s="238">
        <f>ROUND((VLOOKUP($B13,'Nomina Proquima'!$B$4:$AB$145,17,0)),2)</f>
        <v>0</v>
      </c>
      <c r="S13" s="238">
        <f>ROUND((VLOOKUP($B13,'Nomina Proquima'!$B$4:$AB$145,18,0)),2)</f>
        <v>0</v>
      </c>
      <c r="T13" s="238">
        <f>ROUND((VLOOKUP($B13,'Nomina Proquima'!$B$4:$AB$145,19,0)),2)</f>
        <v>0</v>
      </c>
      <c r="U13" s="238">
        <f>ROUND((VLOOKUP($B13,'Nomina Proquima'!$B$4:$AB$145,20,0)),2)</f>
        <v>0</v>
      </c>
      <c r="V13" s="238">
        <f>ROUND((VLOOKUP($B13,'Nomina Proquima'!$B$4:$AB$145,21,0)),2)</f>
        <v>216.5</v>
      </c>
      <c r="W13" s="238">
        <f>ROUND((VLOOKUP($B13,'Nomina Proquima'!$B$4:$AB$145,22,0)),2)</f>
        <v>1315.73</v>
      </c>
      <c r="X13" s="238">
        <f>ROUND((VLOOKUP($B13,'Nomina Proquima'!$B$4:$AB$145,23,0)),2)</f>
        <v>1703.33</v>
      </c>
      <c r="Y13" s="232">
        <f>ROUND((VLOOKUP($B13,'Nomina Proquima'!$B$4:$AB$147,24,0)),2)</f>
        <v>1989.06</v>
      </c>
      <c r="Z13" s="276">
        <f>VLOOKUP(B13,'Nomina Proquima'!$B$4:$AA$148,25,0)</f>
        <v>1031.0999999999999</v>
      </c>
      <c r="AA13" s="2016">
        <f>ROUND((VLOOKUP($B13,'Nomina Proquima'!$B$4:$AB$145,26,0)),2)</f>
        <v>957.96</v>
      </c>
      <c r="AB13" s="187">
        <v>201200793406</v>
      </c>
      <c r="AC13" s="127">
        <f>+IFERROR(VLOOKUP(B13,'Nomina Proquima'!B:Z,25,0),"")</f>
        <v>1031.0999999999999</v>
      </c>
    </row>
    <row r="14" spans="1:770">
      <c r="A14" s="292" t="e">
        <f t="shared" si="1"/>
        <v>#REF!</v>
      </c>
      <c r="B14" s="121" t="s">
        <v>512</v>
      </c>
      <c r="C14" s="431">
        <v>16355050194055</v>
      </c>
      <c r="D14" s="285">
        <v>2100127006</v>
      </c>
      <c r="E14" s="171" t="s">
        <v>512</v>
      </c>
      <c r="F14" s="121" t="str">
        <f>VLOOKUP(B14,distribucion!B$9:FK$200,2,0)</f>
        <v>Auxiliar de Piloto</v>
      </c>
      <c r="G14" s="121">
        <f>ROUND((VLOOKUP($B14,'Nomina Proquima'!$B$4:$AB$145,4,0)),2)</f>
        <v>30</v>
      </c>
      <c r="H14" s="238">
        <f>ROUND((VLOOKUP($B14,'Nomina Proquima'!$B$4:$AB$145,6,0)),2)</f>
        <v>3166.38</v>
      </c>
      <c r="I14" s="238">
        <f>ROUND((VLOOKUP($B14,'Nomina Proquima'!$B$4:$AB$145,7,0)),2)</f>
        <v>750</v>
      </c>
      <c r="J14" s="238">
        <f>ROUND((VLOOKUP($B14,'Nomina Proquima'!$B$4:$AB$145,9,0)),2)</f>
        <v>0</v>
      </c>
      <c r="K14" s="238">
        <f>ROUND((VLOOKUP($B14,'Nomina Proquima'!$B$4:$AB$145,10,0)),2)</f>
        <v>0</v>
      </c>
      <c r="L14" s="238">
        <f>ROUND((VLOOKUP($B14,'Nomina Proquima'!$B$4:$AB$145,11,0)),2)</f>
        <v>0</v>
      </c>
      <c r="M14" s="238">
        <f>ROUND((VLOOKUP($B14,'Nomina Proquima'!$B$4:$AB$145,12,0)),2)</f>
        <v>0</v>
      </c>
      <c r="N14" s="238">
        <f>ROUND((VLOOKUP($B14,'Nomina Proquima'!$B$4:$AB$145,13,0)),2)</f>
        <v>0</v>
      </c>
      <c r="O14" s="238">
        <f>ROUND((VLOOKUP($B14,'Nomina Proquima'!$B$4:$AB$145,14,0)),2)</f>
        <v>3916.38</v>
      </c>
      <c r="P14" s="238">
        <f>ROUND((VLOOKUP($B14,'Nomina Proquima'!$B$4:$AB$145,15,0)),2)</f>
        <v>152.94</v>
      </c>
      <c r="Q14" s="238">
        <f>ROUND((VLOOKUP($B14,'Nomina Proquima'!$B$4:$AB$145,16,0)),2)</f>
        <v>0</v>
      </c>
      <c r="R14" s="238">
        <f>ROUND((VLOOKUP($B14,'Nomina Proquima'!$B$4:$AB$145,17,0)),2)</f>
        <v>0</v>
      </c>
      <c r="S14" s="238">
        <f>ROUND((VLOOKUP($B14,'Nomina Proquima'!$B$4:$AB$145,18,0)),2)</f>
        <v>0</v>
      </c>
      <c r="T14" s="238">
        <f>ROUND((VLOOKUP($B14,'Nomina Proquima'!$B$4:$AB$145,19,0)),2)</f>
        <v>0</v>
      </c>
      <c r="U14" s="238">
        <f>ROUND((VLOOKUP($B14,'Nomina Proquima'!$B$4:$AB$145,20,0)),2)</f>
        <v>0</v>
      </c>
      <c r="V14" s="238">
        <f>ROUND((VLOOKUP($B14,'Nomina Proquima'!$B$4:$AB$145,21,0)),2)</f>
        <v>300</v>
      </c>
      <c r="W14" s="238">
        <f>ROUND((VLOOKUP($B14,'Nomina Proquima'!$B$4:$AB$145,22,0)),2)</f>
        <v>50</v>
      </c>
      <c r="X14" s="238">
        <f>ROUND((VLOOKUP($B14,'Nomina Proquima'!$B$4:$AB$145,23,0)),2)</f>
        <v>502.94</v>
      </c>
      <c r="Y14" s="232">
        <f>ROUND((VLOOKUP($B14,'Nomina Proquima'!$B$4:$AB$147,24,0)),2)</f>
        <v>3413.44</v>
      </c>
      <c r="Z14" s="276">
        <f>VLOOKUP(B14,'Nomina Proquima'!$B$4:$AA$148,25,0)</f>
        <v>1758.72</v>
      </c>
      <c r="AA14" s="2016">
        <f>ROUND((VLOOKUP($B14,'Nomina Proquima'!$B$4:$AB$145,26,0)),2)</f>
        <v>1654.72</v>
      </c>
      <c r="AB14" s="187">
        <v>201500187555</v>
      </c>
      <c r="AC14" s="127">
        <f>+IFERROR(VLOOKUP(B14,'Nomina Proquima'!B:Z,25,0),"")</f>
        <v>1758.72</v>
      </c>
    </row>
    <row r="15" spans="1:770" s="248" customFormat="1">
      <c r="A15" s="292" t="e">
        <f t="shared" si="1"/>
        <v>#REF!</v>
      </c>
      <c r="B15" s="302" t="s">
        <v>514</v>
      </c>
      <c r="C15" s="433">
        <v>16355050198932</v>
      </c>
      <c r="D15" s="288">
        <v>4550071189</v>
      </c>
      <c r="E15" s="302" t="s">
        <v>514</v>
      </c>
      <c r="F15" s="244" t="str">
        <f>VLOOKUP(B15,distribucion!B$9:FK$200,2,0)</f>
        <v>Conserje</v>
      </c>
      <c r="G15" s="244">
        <f>ROUND((VLOOKUP($B15,'Nomina Proquima'!$B$4:$AB$145,4,0)),2)</f>
        <v>30</v>
      </c>
      <c r="H15" s="245">
        <f>ROUND((VLOOKUP($B15,'Nomina Proquima'!$B$4:$AB$145,6,0)),2)</f>
        <v>3166.38</v>
      </c>
      <c r="I15" s="245">
        <f>ROUND((VLOOKUP($B15,'Nomina Proquima'!$B$4:$AB$145,7,0)),2)</f>
        <v>250</v>
      </c>
      <c r="J15" s="245">
        <f>ROUND((VLOOKUP($B15,'Nomina Proquima'!$B$4:$AB$145,9,0)),2)</f>
        <v>0</v>
      </c>
      <c r="K15" s="245">
        <f>ROUND((VLOOKUP($B15,'Nomina Proquima'!$B$4:$AB$145,10,0)),2)</f>
        <v>0</v>
      </c>
      <c r="L15" s="245">
        <f>ROUND((VLOOKUP($B15,'Nomina Proquima'!$B$4:$AB$145,11,0)),2)</f>
        <v>0</v>
      </c>
      <c r="M15" s="245">
        <f>ROUND((VLOOKUP($B15,'Nomina Proquima'!$B$4:$AB$145,12,0)),2)</f>
        <v>0</v>
      </c>
      <c r="N15" s="245">
        <f>ROUND((VLOOKUP($B15,'Nomina Proquima'!$B$4:$AB$145,13,0)),2)</f>
        <v>0</v>
      </c>
      <c r="O15" s="245">
        <f>ROUND((VLOOKUP($B15,'Nomina Proquima'!$B$4:$AB$145,14,0)),2)</f>
        <v>3416.38</v>
      </c>
      <c r="P15" s="245">
        <f>ROUND((VLOOKUP($B15,'Nomina Proquima'!$B$4:$AB$145,15,0)),2)</f>
        <v>152.94</v>
      </c>
      <c r="Q15" s="245">
        <f>ROUND((VLOOKUP($B15,'Nomina Proquima'!$B$4:$AB$145,16,0)),2)</f>
        <v>0</v>
      </c>
      <c r="R15" s="245">
        <f>ROUND((VLOOKUP($B15,'Nomina Proquima'!$B$4:$AB$145,17,0)),2)</f>
        <v>0</v>
      </c>
      <c r="S15" s="245">
        <f>ROUND((VLOOKUP($B15,'Nomina Proquima'!$B$4:$AB$145,18,0)),2)</f>
        <v>0</v>
      </c>
      <c r="T15" s="245">
        <f>ROUND((VLOOKUP($B15,'Nomina Proquima'!$B$4:$AB$145,19,0)),2)</f>
        <v>0</v>
      </c>
      <c r="U15" s="245">
        <f>ROUND((VLOOKUP($B15,'Nomina Proquima'!$B$4:$AB$145,20,0)),2)</f>
        <v>0</v>
      </c>
      <c r="V15" s="245">
        <f>ROUND((VLOOKUP($B15,'Nomina Proquima'!$B$4:$AB$145,21,0)),2)</f>
        <v>0</v>
      </c>
      <c r="W15" s="245">
        <f>ROUND((VLOOKUP($B15,'Nomina Proquima'!$B$4:$AB$145,22,0)),2)</f>
        <v>439.12</v>
      </c>
      <c r="X15" s="245">
        <f>ROUND((VLOOKUP($B15,'Nomina Proquima'!$B$4:$AB$145,23,0)),2)</f>
        <v>592.05999999999995</v>
      </c>
      <c r="Y15" s="234">
        <f>ROUND((VLOOKUP($B15,'Nomina Proquima'!$B$4:$AB$147,24,0)),2)</f>
        <v>2824.32</v>
      </c>
      <c r="Z15" s="255">
        <f>VLOOKUP(B15,'Nomina Proquima'!$B$4:$AA$148,25,0)</f>
        <v>1631.72</v>
      </c>
      <c r="AA15" s="245">
        <f>ROUND((VLOOKUP($B15,'Nomina Proquima'!$B$4:$AB$145,26,0)),2)</f>
        <v>1192.5999999999999</v>
      </c>
      <c r="AB15" s="246">
        <v>161256821</v>
      </c>
      <c r="AC15" s="244">
        <f>+IFERROR(VLOOKUP(B15,'Nomina Proquima'!B:Z,25,0),"")</f>
        <v>1631.72</v>
      </c>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c r="JH15" s="3"/>
      <c r="JI15" s="3"/>
      <c r="JJ15" s="3"/>
      <c r="JK15" s="3"/>
      <c r="JL15" s="3"/>
      <c r="JM15" s="3"/>
      <c r="JN15" s="3"/>
      <c r="JO15" s="3"/>
      <c r="JP15" s="3"/>
      <c r="JQ15" s="3"/>
      <c r="JR15" s="3"/>
      <c r="JS15" s="3"/>
      <c r="JT15" s="3"/>
      <c r="JU15" s="3"/>
      <c r="JV15" s="3"/>
      <c r="JW15" s="3"/>
      <c r="JX15" s="3"/>
      <c r="JY15" s="3"/>
      <c r="JZ15" s="3"/>
      <c r="KA15" s="3"/>
      <c r="KB15" s="3"/>
      <c r="KC15" s="3"/>
      <c r="KD15" s="3"/>
      <c r="KE15" s="3"/>
      <c r="KF15" s="3"/>
      <c r="KG15" s="3"/>
      <c r="KH15" s="3"/>
      <c r="KI15" s="3"/>
      <c r="KJ15" s="3"/>
      <c r="KK15" s="3"/>
      <c r="KL15" s="3"/>
      <c r="KM15" s="3"/>
      <c r="KN15" s="3"/>
      <c r="KO15" s="3"/>
      <c r="KP15" s="3"/>
      <c r="KQ15" s="3"/>
      <c r="KR15" s="3"/>
      <c r="KS15" s="3"/>
      <c r="KT15" s="3"/>
      <c r="KU15" s="3"/>
      <c r="KV15" s="3"/>
      <c r="KW15" s="3"/>
      <c r="KX15" s="3"/>
      <c r="KY15" s="3"/>
      <c r="KZ15" s="3"/>
      <c r="LA15" s="3"/>
      <c r="LB15" s="3"/>
      <c r="LC15" s="3"/>
      <c r="LD15" s="3"/>
      <c r="LE15" s="3"/>
      <c r="LF15" s="3"/>
      <c r="LG15" s="3"/>
      <c r="LH15" s="3"/>
      <c r="LI15" s="3"/>
      <c r="LJ15" s="3"/>
      <c r="LK15" s="3"/>
      <c r="LL15" s="3"/>
      <c r="LM15" s="3"/>
      <c r="LN15" s="3"/>
      <c r="LO15" s="3"/>
      <c r="LP15" s="3"/>
      <c r="LQ15" s="3"/>
      <c r="LR15" s="3"/>
      <c r="LS15" s="3"/>
      <c r="LT15" s="3"/>
      <c r="LU15" s="3"/>
      <c r="LV15" s="3"/>
      <c r="LW15" s="3"/>
      <c r="LX15" s="3"/>
      <c r="LY15" s="3"/>
      <c r="LZ15" s="3"/>
      <c r="MA15" s="3"/>
      <c r="MB15" s="3"/>
      <c r="MC15" s="3"/>
      <c r="MD15" s="3"/>
      <c r="ME15" s="3"/>
      <c r="MF15" s="3"/>
      <c r="MG15" s="3"/>
      <c r="MH15" s="3"/>
      <c r="MI15" s="3"/>
      <c r="MJ15" s="3"/>
      <c r="MK15" s="3"/>
      <c r="ML15" s="3"/>
      <c r="MM15" s="3"/>
      <c r="MN15" s="3"/>
      <c r="MO15" s="3"/>
      <c r="MP15" s="3"/>
      <c r="MQ15" s="3"/>
      <c r="MR15" s="3"/>
      <c r="MS15" s="3"/>
      <c r="MT15" s="3"/>
      <c r="MU15" s="3"/>
      <c r="MV15" s="3"/>
      <c r="MW15" s="3"/>
      <c r="MX15" s="3"/>
      <c r="MY15" s="3"/>
      <c r="MZ15" s="3"/>
      <c r="NA15" s="3"/>
      <c r="NB15" s="3"/>
      <c r="NC15" s="3"/>
      <c r="ND15" s="3"/>
      <c r="NE15" s="3"/>
      <c r="NF15" s="3"/>
      <c r="NG15" s="3"/>
      <c r="NH15" s="3"/>
      <c r="NI15" s="3"/>
      <c r="NJ15" s="3"/>
      <c r="NK15" s="3"/>
      <c r="NL15" s="3"/>
      <c r="NM15" s="3"/>
      <c r="NN15" s="3"/>
      <c r="NO15" s="3"/>
      <c r="NP15" s="3"/>
      <c r="NQ15" s="3"/>
      <c r="NR15" s="3"/>
      <c r="NS15" s="3"/>
      <c r="NT15" s="3"/>
      <c r="NU15" s="3"/>
      <c r="NV15" s="3"/>
      <c r="NW15" s="3"/>
      <c r="NX15" s="3"/>
      <c r="NY15" s="3"/>
      <c r="NZ15" s="3"/>
      <c r="OA15" s="3"/>
      <c r="OB15" s="3"/>
      <c r="OC15" s="3"/>
      <c r="OD15" s="3"/>
      <c r="OE15" s="3"/>
      <c r="OF15" s="3"/>
      <c r="OG15" s="3"/>
      <c r="OH15" s="3"/>
      <c r="OI15" s="3"/>
      <c r="OJ15" s="3"/>
      <c r="OK15" s="3"/>
      <c r="OL15" s="3"/>
      <c r="OM15" s="3"/>
      <c r="ON15" s="3"/>
      <c r="OO15" s="3"/>
      <c r="OP15" s="3"/>
      <c r="OQ15" s="3"/>
      <c r="OR15" s="3"/>
      <c r="OS15" s="3"/>
      <c r="OT15" s="3"/>
      <c r="OU15" s="3"/>
      <c r="OV15" s="3"/>
      <c r="OW15" s="3"/>
      <c r="OX15" s="3"/>
      <c r="OY15" s="3"/>
      <c r="OZ15" s="3"/>
      <c r="PA15" s="3"/>
      <c r="PB15" s="3"/>
      <c r="PC15" s="3"/>
      <c r="PD15" s="3"/>
      <c r="PE15" s="3"/>
      <c r="PF15" s="3"/>
      <c r="PG15" s="3"/>
      <c r="PH15" s="3"/>
      <c r="PI15" s="3"/>
      <c r="PJ15" s="3"/>
      <c r="PK15" s="3"/>
      <c r="PL15" s="3"/>
      <c r="PM15" s="3"/>
      <c r="PN15" s="3"/>
      <c r="PO15" s="3"/>
      <c r="PP15" s="3"/>
      <c r="PQ15" s="3"/>
      <c r="PR15" s="3"/>
      <c r="PS15" s="3"/>
      <c r="PT15" s="3"/>
      <c r="PU15" s="3"/>
      <c r="PV15" s="3"/>
      <c r="PW15" s="3"/>
      <c r="PX15" s="3"/>
      <c r="PY15" s="3"/>
      <c r="PZ15" s="3"/>
      <c r="QA15" s="3"/>
      <c r="QB15" s="3"/>
      <c r="QC15" s="3"/>
      <c r="QD15" s="3"/>
      <c r="QE15" s="3"/>
      <c r="QF15" s="3"/>
      <c r="QG15" s="3"/>
      <c r="QH15" s="3"/>
      <c r="QI15" s="3"/>
      <c r="QJ15" s="3"/>
      <c r="QK15" s="3"/>
      <c r="QL15" s="3"/>
      <c r="QM15" s="3"/>
      <c r="QN15" s="3"/>
      <c r="QO15" s="3"/>
      <c r="QP15" s="3"/>
      <c r="QQ15" s="3"/>
      <c r="QR15" s="3"/>
      <c r="QS15" s="3"/>
      <c r="QT15" s="3"/>
      <c r="QU15" s="3"/>
      <c r="QV15" s="3"/>
      <c r="QW15" s="3"/>
      <c r="QX15" s="3"/>
      <c r="QY15" s="3"/>
      <c r="QZ15" s="3"/>
      <c r="RA15" s="3"/>
      <c r="RB15" s="3"/>
      <c r="RC15" s="3"/>
      <c r="RD15" s="3"/>
      <c r="RE15" s="3"/>
      <c r="RF15" s="3"/>
      <c r="RG15" s="3"/>
      <c r="RH15" s="3"/>
      <c r="RI15" s="3"/>
      <c r="RJ15" s="3"/>
      <c r="RK15" s="3"/>
      <c r="RL15" s="3"/>
      <c r="RM15" s="3"/>
      <c r="RN15" s="3"/>
      <c r="RO15" s="3"/>
      <c r="RP15" s="3"/>
      <c r="RQ15" s="3"/>
      <c r="RR15" s="3"/>
      <c r="RS15" s="3"/>
      <c r="RT15" s="3"/>
      <c r="RU15" s="3"/>
      <c r="RV15" s="3"/>
      <c r="RW15" s="3"/>
      <c r="RX15" s="3"/>
      <c r="RY15" s="3"/>
      <c r="RZ15" s="3"/>
      <c r="SA15" s="3"/>
      <c r="SB15" s="3"/>
      <c r="SC15" s="3"/>
      <c r="SD15" s="3"/>
      <c r="SE15" s="3"/>
      <c r="SF15" s="3"/>
      <c r="SG15" s="3"/>
      <c r="SH15" s="3"/>
      <c r="SI15" s="3"/>
      <c r="SJ15" s="3"/>
      <c r="SK15" s="3"/>
      <c r="SL15" s="3"/>
      <c r="SM15" s="3"/>
      <c r="SN15" s="3"/>
      <c r="SO15" s="3"/>
      <c r="SP15" s="3"/>
      <c r="SQ15" s="3"/>
      <c r="SR15" s="3"/>
      <c r="SS15" s="3"/>
      <c r="ST15" s="3"/>
      <c r="SU15" s="3"/>
      <c r="SV15" s="3"/>
      <c r="SW15" s="3"/>
      <c r="SX15" s="3"/>
      <c r="SY15" s="3"/>
      <c r="SZ15" s="3"/>
      <c r="TA15" s="3"/>
      <c r="TB15" s="3"/>
      <c r="TC15" s="3"/>
      <c r="TD15" s="3"/>
      <c r="TE15" s="3"/>
      <c r="TF15" s="3"/>
      <c r="TG15" s="3"/>
      <c r="TH15" s="3"/>
      <c r="TI15" s="3"/>
      <c r="TJ15" s="3"/>
      <c r="TK15" s="3"/>
      <c r="TL15" s="3"/>
      <c r="TM15" s="3"/>
      <c r="TN15" s="3"/>
      <c r="TO15" s="3"/>
      <c r="TP15" s="3"/>
      <c r="TQ15" s="3"/>
      <c r="TR15" s="3"/>
      <c r="TS15" s="3"/>
      <c r="TT15" s="3"/>
      <c r="TU15" s="3"/>
      <c r="TV15" s="3"/>
      <c r="TW15" s="3"/>
      <c r="TX15" s="3"/>
      <c r="TY15" s="3"/>
      <c r="TZ15" s="3"/>
      <c r="UA15" s="3"/>
      <c r="UB15" s="3"/>
      <c r="UC15" s="3"/>
      <c r="UD15" s="3"/>
      <c r="UE15" s="3"/>
      <c r="UF15" s="3"/>
      <c r="UG15" s="3"/>
      <c r="UH15" s="3"/>
      <c r="UI15" s="3"/>
      <c r="UJ15" s="3"/>
      <c r="UK15" s="3"/>
      <c r="UL15" s="3"/>
      <c r="UM15" s="3"/>
      <c r="UN15" s="3"/>
      <c r="UO15" s="3"/>
      <c r="UP15" s="3"/>
      <c r="UQ15" s="3"/>
      <c r="UR15" s="3"/>
      <c r="US15" s="3"/>
      <c r="UT15" s="3"/>
      <c r="UU15" s="3"/>
      <c r="UV15" s="3"/>
      <c r="UW15" s="3"/>
      <c r="UX15" s="3"/>
      <c r="UY15" s="3"/>
      <c r="UZ15" s="3"/>
      <c r="VA15" s="3"/>
      <c r="VB15" s="3"/>
      <c r="VC15" s="3"/>
      <c r="VD15" s="3"/>
      <c r="VE15" s="3"/>
      <c r="VF15" s="3"/>
      <c r="VG15" s="3"/>
      <c r="VH15" s="3"/>
      <c r="VI15" s="3"/>
      <c r="VJ15" s="3"/>
      <c r="VK15" s="3"/>
      <c r="VL15" s="3"/>
      <c r="VM15" s="3"/>
      <c r="VN15" s="3"/>
      <c r="VO15" s="3"/>
      <c r="VP15" s="3"/>
      <c r="VQ15" s="3"/>
      <c r="VR15" s="3"/>
      <c r="VS15" s="3"/>
      <c r="VT15" s="3"/>
      <c r="VU15" s="3"/>
      <c r="VV15" s="3"/>
      <c r="VW15" s="3"/>
      <c r="VX15" s="3"/>
      <c r="VY15" s="3"/>
      <c r="VZ15" s="3"/>
      <c r="WA15" s="3"/>
      <c r="WB15" s="3"/>
      <c r="WC15" s="3"/>
      <c r="WD15" s="3"/>
      <c r="WE15" s="3"/>
      <c r="WF15" s="3"/>
      <c r="WG15" s="3"/>
      <c r="WH15" s="3"/>
      <c r="WI15" s="3"/>
      <c r="WJ15" s="3"/>
      <c r="WK15" s="3"/>
      <c r="WL15" s="3"/>
      <c r="WM15" s="3"/>
      <c r="WN15" s="3"/>
      <c r="WO15" s="3"/>
      <c r="WP15" s="3"/>
      <c r="WQ15" s="3"/>
      <c r="WR15" s="3"/>
      <c r="WS15" s="3"/>
      <c r="WT15" s="3"/>
      <c r="WU15" s="3"/>
      <c r="WV15" s="3"/>
      <c r="WW15" s="3"/>
      <c r="WX15" s="3"/>
      <c r="WY15" s="3"/>
      <c r="WZ15" s="3"/>
      <c r="XA15" s="3"/>
      <c r="XB15" s="3"/>
      <c r="XC15" s="3"/>
      <c r="XD15" s="3"/>
      <c r="XE15" s="3"/>
      <c r="XF15" s="3"/>
      <c r="XG15" s="3"/>
      <c r="XH15" s="3"/>
      <c r="XI15" s="3"/>
      <c r="XJ15" s="3"/>
      <c r="XK15" s="3"/>
      <c r="XL15" s="3"/>
      <c r="XM15" s="3"/>
      <c r="XN15" s="3"/>
      <c r="XO15" s="3"/>
      <c r="XP15" s="3"/>
      <c r="XQ15" s="3"/>
      <c r="XR15" s="3"/>
      <c r="XS15" s="3"/>
      <c r="XT15" s="3"/>
      <c r="XU15" s="3"/>
      <c r="XV15" s="3"/>
      <c r="XW15" s="3"/>
      <c r="XX15" s="3"/>
      <c r="XY15" s="3"/>
      <c r="XZ15" s="3"/>
      <c r="YA15" s="3"/>
      <c r="YB15" s="3"/>
      <c r="YC15" s="3"/>
      <c r="YD15" s="3"/>
      <c r="YE15" s="3"/>
      <c r="YF15" s="3"/>
      <c r="YG15" s="3"/>
      <c r="YH15" s="3"/>
      <c r="YI15" s="3"/>
      <c r="YJ15" s="3"/>
      <c r="YK15" s="3"/>
      <c r="YL15" s="3"/>
      <c r="YM15" s="3"/>
      <c r="YN15" s="3"/>
      <c r="YO15" s="3"/>
      <c r="YP15" s="3"/>
      <c r="YQ15" s="3"/>
      <c r="YR15" s="3"/>
      <c r="YS15" s="3"/>
      <c r="YT15" s="3"/>
      <c r="YU15" s="3"/>
      <c r="YV15" s="3"/>
      <c r="YW15" s="3"/>
      <c r="YX15" s="3"/>
      <c r="YY15" s="3"/>
      <c r="YZ15" s="3"/>
      <c r="ZA15" s="3"/>
      <c r="ZB15" s="3"/>
      <c r="ZC15" s="3"/>
      <c r="ZD15" s="3"/>
      <c r="ZE15" s="3"/>
      <c r="ZF15" s="3"/>
      <c r="ZG15" s="3"/>
      <c r="ZH15" s="3"/>
      <c r="ZI15" s="3"/>
      <c r="ZJ15" s="3"/>
      <c r="ZK15" s="3"/>
      <c r="ZL15" s="3"/>
      <c r="ZM15" s="3"/>
      <c r="ZN15" s="3"/>
      <c r="ZO15" s="3"/>
      <c r="ZP15" s="3"/>
      <c r="ZQ15" s="3"/>
      <c r="ZR15" s="3"/>
      <c r="ZS15" s="3"/>
      <c r="ZT15" s="3"/>
      <c r="ZU15" s="3"/>
      <c r="ZV15" s="3"/>
      <c r="ZW15" s="3"/>
      <c r="ZX15" s="3"/>
      <c r="ZY15" s="3"/>
      <c r="ZZ15" s="3"/>
      <c r="AAA15" s="3"/>
      <c r="AAB15" s="3"/>
      <c r="AAC15" s="3"/>
      <c r="AAD15" s="3"/>
      <c r="AAE15" s="3"/>
      <c r="AAF15" s="3"/>
      <c r="AAG15" s="3"/>
      <c r="AAH15" s="3"/>
      <c r="AAI15" s="3"/>
      <c r="AAJ15" s="3"/>
      <c r="AAK15" s="3"/>
      <c r="AAL15" s="3"/>
      <c r="AAM15" s="3"/>
      <c r="AAN15" s="3"/>
      <c r="AAO15" s="3"/>
      <c r="AAP15" s="3"/>
      <c r="AAQ15" s="3"/>
      <c r="AAR15" s="3"/>
      <c r="AAS15" s="3"/>
      <c r="AAT15" s="3"/>
      <c r="AAU15" s="3"/>
      <c r="AAV15" s="3"/>
      <c r="AAW15" s="3"/>
      <c r="AAX15" s="3"/>
      <c r="AAY15" s="3"/>
      <c r="AAZ15" s="3"/>
      <c r="ABA15" s="3"/>
      <c r="ABB15" s="3"/>
      <c r="ABC15" s="3"/>
      <c r="ABD15" s="3"/>
      <c r="ABE15" s="3"/>
      <c r="ABF15" s="3"/>
      <c r="ABG15" s="3"/>
      <c r="ABH15" s="3"/>
      <c r="ABI15" s="3"/>
      <c r="ABJ15" s="3"/>
      <c r="ABK15" s="3"/>
      <c r="ABL15" s="3"/>
      <c r="ABM15" s="3"/>
      <c r="ABN15" s="3"/>
      <c r="ABO15" s="3"/>
      <c r="ABP15" s="3"/>
      <c r="ABQ15" s="3"/>
      <c r="ABR15" s="3"/>
      <c r="ABS15" s="3"/>
      <c r="ABT15" s="3"/>
      <c r="ABU15" s="3"/>
      <c r="ABV15" s="3"/>
      <c r="ABW15" s="3"/>
      <c r="ABX15" s="3"/>
      <c r="ABY15" s="3"/>
      <c r="ABZ15" s="3"/>
      <c r="ACA15" s="3"/>
      <c r="ACB15" s="3"/>
      <c r="ACC15" s="3"/>
      <c r="ACD15" s="3"/>
      <c r="ACE15" s="3"/>
      <c r="ACF15" s="3"/>
      <c r="ACG15" s="3"/>
      <c r="ACH15" s="3"/>
      <c r="ACI15" s="3"/>
      <c r="ACJ15" s="3"/>
      <c r="ACK15" s="3"/>
      <c r="ACL15" s="3"/>
      <c r="ACM15" s="3"/>
      <c r="ACN15" s="3"/>
      <c r="ACO15" s="3"/>
      <c r="ACP15" s="3"/>
    </row>
    <row r="16" spans="1:770">
      <c r="A16" s="292" t="e">
        <f t="shared" si="1"/>
        <v>#REF!</v>
      </c>
      <c r="B16" s="171" t="s">
        <v>515</v>
      </c>
      <c r="C16" s="434">
        <v>16355050196233</v>
      </c>
      <c r="D16" s="286">
        <v>1440065074</v>
      </c>
      <c r="E16" s="171" t="s">
        <v>515</v>
      </c>
      <c r="F16" s="121" t="str">
        <f>VLOOKUP(B16,distribucion!B$9:FK$200,2,0)</f>
        <v>Mensajero</v>
      </c>
      <c r="G16" s="121">
        <f>ROUND((VLOOKUP($B16,'Nomina Proquima'!$B$4:$AB$145,4,0)),2)</f>
        <v>30</v>
      </c>
      <c r="H16" s="238">
        <f>ROUND((VLOOKUP($B16,'Nomina Proquima'!$B$4:$AB$145,6,0)),2)</f>
        <v>3166.38</v>
      </c>
      <c r="I16" s="238">
        <f>ROUND((VLOOKUP($B16,'Nomina Proquima'!$B$4:$AB$145,7,0)),2)</f>
        <v>370</v>
      </c>
      <c r="J16" s="238">
        <f>ROUND((VLOOKUP($B16,'Nomina Proquima'!$B$4:$AB$145,9,0)),2)</f>
        <v>0</v>
      </c>
      <c r="K16" s="238">
        <f>ROUND((VLOOKUP($B16,'Nomina Proquima'!$B$4:$AB$145,10,0)),2)</f>
        <v>0</v>
      </c>
      <c r="L16" s="238">
        <f>ROUND((VLOOKUP($B16,'Nomina Proquima'!$B$4:$AB$145,11,0)),2)</f>
        <v>0</v>
      </c>
      <c r="M16" s="238">
        <f>ROUND((VLOOKUP($B16,'Nomina Proquima'!$B$4:$AB$145,12,0)),2)</f>
        <v>0</v>
      </c>
      <c r="N16" s="238">
        <f>ROUND((VLOOKUP($B16,'Nomina Proquima'!$B$4:$AB$145,13,0)),2)</f>
        <v>0</v>
      </c>
      <c r="O16" s="238">
        <f>ROUND((VLOOKUP($B16,'Nomina Proquima'!$B$4:$AB$145,14,0)),2)</f>
        <v>3536.38</v>
      </c>
      <c r="P16" s="238">
        <f>ROUND((VLOOKUP($B16,'Nomina Proquima'!$B$4:$AB$145,15,0)),2)</f>
        <v>152.94</v>
      </c>
      <c r="Q16" s="238">
        <f>ROUND((VLOOKUP($B16,'Nomina Proquima'!$B$4:$AB$145,16,0)),2)</f>
        <v>0</v>
      </c>
      <c r="R16" s="238">
        <f>ROUND((VLOOKUP($B16,'Nomina Proquima'!$B$4:$AB$145,17,0)),2)</f>
        <v>0</v>
      </c>
      <c r="S16" s="238">
        <f>ROUND((VLOOKUP($B16,'Nomina Proquima'!$B$4:$AB$145,18,0)),2)</f>
        <v>0</v>
      </c>
      <c r="T16" s="238">
        <f>ROUND((VLOOKUP($B16,'Nomina Proquima'!$B$4:$AB$145,19,0)),2)</f>
        <v>0</v>
      </c>
      <c r="U16" s="238">
        <f>ROUND((VLOOKUP($B16,'Nomina Proquima'!$B$4:$AB$145,20,0)),2)</f>
        <v>0</v>
      </c>
      <c r="V16" s="238">
        <f>ROUND((VLOOKUP($B16,'Nomina Proquima'!$B$4:$AB$145,21,0)),2)</f>
        <v>0</v>
      </c>
      <c r="W16" s="238">
        <f>ROUND((VLOOKUP($B16,'Nomina Proquima'!$B$4:$AB$145,22,0)),2)</f>
        <v>450</v>
      </c>
      <c r="X16" s="238">
        <f>ROUND((VLOOKUP($B16,'Nomina Proquima'!$B$4:$AB$145,23,0)),2)</f>
        <v>602.94000000000005</v>
      </c>
      <c r="Y16" s="232">
        <f>ROUND((VLOOKUP($B16,'Nomina Proquima'!$B$4:$AB$147,24,0)),2)</f>
        <v>2933.44</v>
      </c>
      <c r="Z16" s="276">
        <f>VLOOKUP(B16,'Nomina Proquima'!$B$4:$AA$148,25,0)</f>
        <v>1691.72</v>
      </c>
      <c r="AA16" s="2016">
        <f>ROUND((VLOOKUP($B16,'Nomina Proquima'!$B$4:$AB$145,26,0)),2)</f>
        <v>1241.72</v>
      </c>
      <c r="AB16" s="187">
        <v>178262762</v>
      </c>
      <c r="AC16" s="127">
        <f>+IFERROR(VLOOKUP(B16,'Nomina Proquima'!B:Z,25,0),"")</f>
        <v>1691.72</v>
      </c>
    </row>
    <row r="17" spans="1:770">
      <c r="A17" s="292" t="e">
        <f t="shared" si="1"/>
        <v>#REF!</v>
      </c>
      <c r="B17" s="121" t="s">
        <v>520</v>
      </c>
      <c r="C17" s="431">
        <v>16355050198073</v>
      </c>
      <c r="D17" s="286">
        <v>660157819</v>
      </c>
      <c r="E17" s="171" t="s">
        <v>520</v>
      </c>
      <c r="F17" s="121" t="str">
        <f>VLOOKUP(B17,distribucion!B$9:FK$200,2,0)</f>
        <v>Mensajero</v>
      </c>
      <c r="G17" s="121">
        <f>ROUND((VLOOKUP($B17,'Nomina Proquima'!$B$4:$AB$145,4,0)),2)</f>
        <v>30</v>
      </c>
      <c r="H17" s="238">
        <f>ROUND((VLOOKUP($B17,'Nomina Proquima'!$B$4:$AB$145,6,0)),2)</f>
        <v>3166.38</v>
      </c>
      <c r="I17" s="238">
        <f>ROUND((VLOOKUP($B17,'Nomina Proquima'!$B$4:$AB$145,7,0)),2)</f>
        <v>370</v>
      </c>
      <c r="J17" s="238">
        <f>ROUND((VLOOKUP($B17,'Nomina Proquima'!$B$4:$AB$145,9,0)),2)</f>
        <v>0</v>
      </c>
      <c r="K17" s="238">
        <f>ROUND((VLOOKUP($B17,'Nomina Proquima'!$B$4:$AB$145,10,0)),2)</f>
        <v>0</v>
      </c>
      <c r="L17" s="238">
        <f>ROUND((VLOOKUP($B17,'Nomina Proquima'!$B$4:$AB$145,11,0)),2)</f>
        <v>0</v>
      </c>
      <c r="M17" s="238">
        <f>ROUND((VLOOKUP($B17,'Nomina Proquima'!$B$4:$AB$145,12,0)),2)</f>
        <v>0</v>
      </c>
      <c r="N17" s="238">
        <f>ROUND((VLOOKUP($B17,'Nomina Proquima'!$B$4:$AB$145,13,0)),2)</f>
        <v>0</v>
      </c>
      <c r="O17" s="238">
        <f>ROUND((VLOOKUP($B17,'Nomina Proquima'!$B$4:$AB$145,14,0)),2)</f>
        <v>3536.38</v>
      </c>
      <c r="P17" s="238">
        <f>ROUND((VLOOKUP($B17,'Nomina Proquima'!$B$4:$AB$145,15,0)),2)</f>
        <v>152.94</v>
      </c>
      <c r="Q17" s="238">
        <f>ROUND((VLOOKUP($B17,'Nomina Proquima'!$B$4:$AB$145,16,0)),2)</f>
        <v>0</v>
      </c>
      <c r="R17" s="238">
        <f>ROUND((VLOOKUP($B17,'Nomina Proquima'!$B$4:$AB$145,17,0)),2)</f>
        <v>0</v>
      </c>
      <c r="S17" s="238">
        <f>ROUND((VLOOKUP($B17,'Nomina Proquima'!$B$4:$AB$145,18,0)),2)</f>
        <v>0</v>
      </c>
      <c r="T17" s="238">
        <f>ROUND((VLOOKUP($B17,'Nomina Proquima'!$B$4:$AB$145,19,0)),2)</f>
        <v>0</v>
      </c>
      <c r="U17" s="238">
        <f>ROUND((VLOOKUP($B17,'Nomina Proquima'!$B$4:$AB$145,20,0)),2)</f>
        <v>0</v>
      </c>
      <c r="V17" s="238">
        <f>ROUND((VLOOKUP($B17,'Nomina Proquima'!$B$4:$AB$145,21,0)),2)</f>
        <v>0</v>
      </c>
      <c r="W17" s="238">
        <f>ROUND((VLOOKUP($B17,'Nomina Proquima'!$B$4:$AB$145,22,0)),2)</f>
        <v>0</v>
      </c>
      <c r="X17" s="238">
        <f>ROUND((VLOOKUP($B17,'Nomina Proquima'!$B$4:$AB$145,23,0)),2)</f>
        <v>152.94</v>
      </c>
      <c r="Y17" s="232">
        <f>ROUND((VLOOKUP($B17,'Nomina Proquima'!$B$4:$AB$147,24,0)),2)</f>
        <v>3383.44</v>
      </c>
      <c r="Z17" s="276">
        <f>VLOOKUP(B17,'Nomina Proquima'!$B$4:$AA$148,25,0)</f>
        <v>1691.72</v>
      </c>
      <c r="AA17" s="2016">
        <f>ROUND((VLOOKUP($B17,'Nomina Proquima'!$B$4:$AB$145,26,0)),2)</f>
        <v>1691.72</v>
      </c>
      <c r="AB17" s="187">
        <v>171281678</v>
      </c>
      <c r="AC17" s="127">
        <f>+IFERROR(VLOOKUP(B17,'Nomina Proquima'!B:Z,25,0),"")</f>
        <v>1691.72</v>
      </c>
    </row>
    <row r="18" spans="1:770">
      <c r="A18" s="292" t="e">
        <f t="shared" si="1"/>
        <v>#REF!</v>
      </c>
      <c r="B18" s="121" t="s">
        <v>521</v>
      </c>
      <c r="C18" s="431">
        <v>16355050194112</v>
      </c>
      <c r="D18" s="286">
        <v>1830083208</v>
      </c>
      <c r="E18" s="171" t="s">
        <v>521</v>
      </c>
      <c r="F18" s="121" t="str">
        <f>VLOOKUP(B18,distribucion!B$9:FK$200,2,0)</f>
        <v>Piloto</v>
      </c>
      <c r="G18" s="121">
        <f>ROUND((VLOOKUP($B18,'Nomina Proquima'!$B$4:$AB$145,4,0)),2)</f>
        <v>30</v>
      </c>
      <c r="H18" s="238">
        <f>ROUND((VLOOKUP($B18,'Nomina Proquima'!$B$4:$AB$145,6,0)),2)</f>
        <v>3166.38</v>
      </c>
      <c r="I18" s="238">
        <f>ROUND((VLOOKUP($B18,'Nomina Proquima'!$B$4:$AB$145,7,0)),2)</f>
        <v>1400</v>
      </c>
      <c r="J18" s="238">
        <f>ROUND((VLOOKUP($B18,'Nomina Proquima'!$B$4:$AB$145,9,0)),2)</f>
        <v>0</v>
      </c>
      <c r="K18" s="238">
        <f>ROUND((VLOOKUP($B18,'Nomina Proquima'!$B$4:$AB$145,10,0)),2)</f>
        <v>0</v>
      </c>
      <c r="L18" s="238">
        <f>ROUND((VLOOKUP($B18,'Nomina Proquima'!$B$4:$AB$145,11,0)),2)</f>
        <v>0</v>
      </c>
      <c r="M18" s="238">
        <f>ROUND((VLOOKUP($B18,'Nomina Proquima'!$B$4:$AB$145,12,0)),2)</f>
        <v>0</v>
      </c>
      <c r="N18" s="238">
        <f>ROUND((VLOOKUP($B18,'Nomina Proquima'!$B$4:$AB$145,13,0)),2)</f>
        <v>0</v>
      </c>
      <c r="O18" s="238">
        <f>ROUND((VLOOKUP($B18,'Nomina Proquima'!$B$4:$AB$145,14,0)),2)</f>
        <v>4566.38</v>
      </c>
      <c r="P18" s="238">
        <f>ROUND((VLOOKUP($B18,'Nomina Proquima'!$B$4:$AB$145,15,0)),2)</f>
        <v>152.94</v>
      </c>
      <c r="Q18" s="238">
        <f>ROUND((VLOOKUP($B18,'Nomina Proquima'!$B$4:$AB$145,16,0)),2)</f>
        <v>36.770000000000003</v>
      </c>
      <c r="R18" s="238">
        <f>ROUND((VLOOKUP($B18,'Nomina Proquima'!$B$4:$AB$145,17,0)),2)</f>
        <v>0</v>
      </c>
      <c r="S18" s="238">
        <f>ROUND((VLOOKUP($B18,'Nomina Proquima'!$B$4:$AB$145,18,0)),2)</f>
        <v>0</v>
      </c>
      <c r="T18" s="238">
        <f>ROUND((VLOOKUP($B18,'Nomina Proquima'!$B$4:$AB$145,19,0)),2)</f>
        <v>0</v>
      </c>
      <c r="U18" s="238">
        <f>ROUND((VLOOKUP($B18,'Nomina Proquima'!$B$4:$AB$145,20,0)),2)</f>
        <v>0</v>
      </c>
      <c r="V18" s="238">
        <f>ROUND((VLOOKUP($B18,'Nomina Proquima'!$B$4:$AB$145,21,0)),2)</f>
        <v>177.75</v>
      </c>
      <c r="W18" s="238">
        <f>ROUND((VLOOKUP($B18,'Nomina Proquima'!$B$4:$AB$145,22,0)),2)</f>
        <v>290</v>
      </c>
      <c r="X18" s="238">
        <f>ROUND((VLOOKUP($B18,'Nomina Proquima'!$B$4:$AB$145,23,0)),2)</f>
        <v>657.46</v>
      </c>
      <c r="Y18" s="232">
        <f>ROUND((VLOOKUP($B18,'Nomina Proquima'!$B$4:$AB$147,24,0)),2)</f>
        <v>3908.92</v>
      </c>
      <c r="Z18" s="276">
        <f>VLOOKUP(B18,'Nomina Proquima'!$B$4:$AA$148,25,0)</f>
        <v>2008.22</v>
      </c>
      <c r="AA18" s="2016">
        <f>ROUND((VLOOKUP($B18,'Nomina Proquima'!$B$4:$AB$145,26,0)),2)</f>
        <v>1900.7</v>
      </c>
      <c r="AB18" s="187">
        <v>171216336</v>
      </c>
      <c r="AC18" s="127">
        <f>+IFERROR(VLOOKUP(B18,'Nomina Proquima'!B:Z,25,0),"")</f>
        <v>2008.22</v>
      </c>
    </row>
    <row r="19" spans="1:770" s="218" customFormat="1">
      <c r="A19" s="292" t="e">
        <f>+#REF!+1</f>
        <v>#REF!</v>
      </c>
      <c r="B19" s="214" t="s">
        <v>523</v>
      </c>
      <c r="C19" s="435">
        <v>16355050196126</v>
      </c>
      <c r="D19" s="287">
        <v>205396098</v>
      </c>
      <c r="E19" s="215" t="s">
        <v>523</v>
      </c>
      <c r="F19" s="214" t="str">
        <f>VLOOKUP(B19,distribucion!B$9:FK$200,2,0)</f>
        <v>Gerente de Operaciones</v>
      </c>
      <c r="G19" s="214">
        <f>ROUND((VLOOKUP($B19,'Nomina Proquima'!$B$4:$AB$145,4,0)),2)</f>
        <v>30</v>
      </c>
      <c r="H19" s="241">
        <f>ROUND((VLOOKUP($B19,'Nomina Proquima'!$B$4:$AB$145,6,0)),2)</f>
        <v>13000</v>
      </c>
      <c r="I19" s="241">
        <f>ROUND((VLOOKUP($B19,'Nomina Proquima'!$B$4:$AB$145,7,0)),2)</f>
        <v>14217.86</v>
      </c>
      <c r="J19" s="241">
        <f>ROUND((VLOOKUP($B19,'Nomina Proquima'!$B$4:$AB$145,9,0)),2)</f>
        <v>0</v>
      </c>
      <c r="K19" s="241">
        <f>ROUND((VLOOKUP($B19,'Nomina Proquima'!$B$4:$AB$145,10,0)),2)</f>
        <v>0</v>
      </c>
      <c r="L19" s="241">
        <f>ROUND((VLOOKUP($B19,'Nomina Proquima'!$B$4:$AB$145,11,0)),2)</f>
        <v>0</v>
      </c>
      <c r="M19" s="241">
        <f>ROUND((VLOOKUP($B19,'Nomina Proquima'!$B$4:$AB$145,12,0)),2)</f>
        <v>0</v>
      </c>
      <c r="N19" s="241">
        <f>ROUND((VLOOKUP($B19,'Nomina Proquima'!$B$4:$AB$145,13,0)),2)</f>
        <v>0</v>
      </c>
      <c r="O19" s="241">
        <f>ROUND((VLOOKUP($B19,'Nomina Proquima'!$B$4:$AB$145,14,0)),2)</f>
        <v>27217.86</v>
      </c>
      <c r="P19" s="241">
        <f>ROUND((VLOOKUP($B19,'Nomina Proquima'!$B$4:$AB$145,15,0)),2)</f>
        <v>627.9</v>
      </c>
      <c r="Q19" s="241">
        <f>ROUND((VLOOKUP($B19,'Nomina Proquima'!$B$4:$AB$145,16,0)),2)</f>
        <v>943.61</v>
      </c>
      <c r="R19" s="241">
        <f>ROUND((VLOOKUP($B19,'Nomina Proquima'!$B$4:$AB$145,17,0)),2)</f>
        <v>0</v>
      </c>
      <c r="S19" s="241">
        <f>ROUND((VLOOKUP($B19,'Nomina Proquima'!$B$4:$AB$145,18,0)),2)</f>
        <v>0</v>
      </c>
      <c r="T19" s="241">
        <f>ROUND((VLOOKUP($B19,'Nomina Proquima'!$B$4:$AB$145,19,0)),2)</f>
        <v>0</v>
      </c>
      <c r="U19" s="241">
        <f>ROUND((VLOOKUP($B19,'Nomina Proquima'!$B$4:$AB$145,20,0)),2)</f>
        <v>0</v>
      </c>
      <c r="V19" s="241">
        <f>ROUND((VLOOKUP($B19,'Nomina Proquima'!$B$4:$AB$145,21,0)),2)</f>
        <v>0</v>
      </c>
      <c r="W19" s="241">
        <f>ROUND((VLOOKUP($B19,'Nomina Proquima'!$B$4:$AB$145,22,0)),2)</f>
        <v>150</v>
      </c>
      <c r="X19" s="241">
        <f>ROUND((VLOOKUP($B19,'Nomina Proquima'!$B$4:$AB$145,23,0)),2)</f>
        <v>1721.51</v>
      </c>
      <c r="Y19" s="233">
        <f>ROUND((VLOOKUP($B19,'Nomina Proquima'!$B$4:$AB$147,24,0)),2)</f>
        <v>25496.35</v>
      </c>
      <c r="Z19" s="277">
        <f>VLOOKUP(B19,'Nomina Proquima'!$B$4:$AA$148,25,0)</f>
        <v>15292.69</v>
      </c>
      <c r="AA19" s="2019">
        <f>ROUND((VLOOKUP($B19,'Nomina Proquima'!$B$4:$AB$145,26,0)),2)</f>
        <v>10203.66</v>
      </c>
      <c r="AB19" s="216"/>
      <c r="AC19" s="217">
        <f>+IFERROR(VLOOKUP(B19,'Nomina Proquima'!B:Z,25,0),"")</f>
        <v>15292.69</v>
      </c>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c r="NP19" s="3"/>
      <c r="NQ19" s="3"/>
      <c r="NR19" s="3"/>
      <c r="NS19" s="3"/>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3"/>
      <c r="OU19" s="3"/>
      <c r="OV19" s="3"/>
      <c r="OW19" s="3"/>
      <c r="OX19" s="3"/>
      <c r="OY19" s="3"/>
      <c r="OZ19" s="3"/>
      <c r="PA19" s="3"/>
      <c r="PB19" s="3"/>
      <c r="PC19" s="3"/>
      <c r="PD19" s="3"/>
      <c r="PE19" s="3"/>
      <c r="PF19" s="3"/>
      <c r="PG19" s="3"/>
      <c r="PH19" s="3"/>
      <c r="PI19" s="3"/>
      <c r="PJ19" s="3"/>
      <c r="PK19" s="3"/>
      <c r="PL19" s="3"/>
      <c r="PM19" s="3"/>
      <c r="PN19" s="3"/>
      <c r="PO19" s="3"/>
      <c r="PP19" s="3"/>
      <c r="PQ19" s="3"/>
      <c r="PR19" s="3"/>
      <c r="PS19" s="3"/>
      <c r="PT19" s="3"/>
      <c r="PU19" s="3"/>
      <c r="PV19" s="3"/>
      <c r="PW19" s="3"/>
      <c r="PX19" s="3"/>
      <c r="PY19" s="3"/>
      <c r="PZ19" s="3"/>
      <c r="QA19" s="3"/>
      <c r="QB19" s="3"/>
      <c r="QC19" s="3"/>
      <c r="QD19" s="3"/>
      <c r="QE19" s="3"/>
      <c r="QF19" s="3"/>
      <c r="QG19" s="3"/>
      <c r="QH19" s="3"/>
      <c r="QI19" s="3"/>
      <c r="QJ19" s="3"/>
      <c r="QK19" s="3"/>
      <c r="QL19" s="3"/>
      <c r="QM19" s="3"/>
      <c r="QN19" s="3"/>
      <c r="QO19" s="3"/>
      <c r="QP19" s="3"/>
      <c r="QQ19" s="3"/>
      <c r="QR19" s="3"/>
      <c r="QS19" s="3"/>
      <c r="QT19" s="3"/>
      <c r="QU19" s="3"/>
      <c r="QV19" s="3"/>
      <c r="QW19" s="3"/>
      <c r="QX19" s="3"/>
      <c r="QY19" s="3"/>
      <c r="QZ19" s="3"/>
      <c r="RA19" s="3"/>
      <c r="RB19" s="3"/>
      <c r="RC19" s="3"/>
      <c r="RD19" s="3"/>
      <c r="RE19" s="3"/>
      <c r="RF19" s="3"/>
      <c r="RG19" s="3"/>
      <c r="RH19" s="3"/>
      <c r="RI19" s="3"/>
      <c r="RJ19" s="3"/>
      <c r="RK19" s="3"/>
      <c r="RL19" s="3"/>
      <c r="RM19" s="3"/>
      <c r="RN19" s="3"/>
      <c r="RO19" s="3"/>
      <c r="RP19" s="3"/>
      <c r="RQ19" s="3"/>
      <c r="RR19" s="3"/>
      <c r="RS19" s="3"/>
      <c r="RT19" s="3"/>
      <c r="RU19" s="3"/>
      <c r="RV19" s="3"/>
      <c r="RW19" s="3"/>
      <c r="RX19" s="3"/>
      <c r="RY19" s="3"/>
      <c r="RZ19" s="3"/>
      <c r="SA19" s="3"/>
      <c r="SB19" s="3"/>
      <c r="SC19" s="3"/>
      <c r="SD19" s="3"/>
      <c r="SE19" s="3"/>
      <c r="SF19" s="3"/>
      <c r="SG19" s="3"/>
      <c r="SH19" s="3"/>
      <c r="SI19" s="3"/>
      <c r="SJ19" s="3"/>
      <c r="SK19" s="3"/>
      <c r="SL19" s="3"/>
      <c r="SM19" s="3"/>
      <c r="SN19" s="3"/>
      <c r="SO19" s="3"/>
      <c r="SP19" s="3"/>
      <c r="SQ19" s="3"/>
      <c r="SR19" s="3"/>
      <c r="SS19" s="3"/>
      <c r="ST19" s="3"/>
      <c r="SU19" s="3"/>
      <c r="SV19" s="3"/>
      <c r="SW19" s="3"/>
      <c r="SX19" s="3"/>
      <c r="SY19" s="3"/>
      <c r="SZ19" s="3"/>
      <c r="TA19" s="3"/>
      <c r="TB19" s="3"/>
      <c r="TC19" s="3"/>
      <c r="TD19" s="3"/>
      <c r="TE19" s="3"/>
      <c r="TF19" s="3"/>
      <c r="TG19" s="3"/>
      <c r="TH19" s="3"/>
      <c r="TI19" s="3"/>
      <c r="TJ19" s="3"/>
      <c r="TK19" s="3"/>
      <c r="TL19" s="3"/>
      <c r="TM19" s="3"/>
      <c r="TN19" s="3"/>
      <c r="TO19" s="3"/>
      <c r="TP19" s="3"/>
      <c r="TQ19" s="3"/>
      <c r="TR19" s="3"/>
      <c r="TS19" s="3"/>
      <c r="TT19" s="3"/>
      <c r="TU19" s="3"/>
      <c r="TV19" s="3"/>
      <c r="TW19" s="3"/>
      <c r="TX19" s="3"/>
      <c r="TY19" s="3"/>
      <c r="TZ19" s="3"/>
      <c r="UA19" s="3"/>
      <c r="UB19" s="3"/>
      <c r="UC19" s="3"/>
      <c r="UD19" s="3"/>
      <c r="UE19" s="3"/>
      <c r="UF19" s="3"/>
      <c r="UG19" s="3"/>
      <c r="UH19" s="3"/>
      <c r="UI19" s="3"/>
      <c r="UJ19" s="3"/>
      <c r="UK19" s="3"/>
      <c r="UL19" s="3"/>
      <c r="UM19" s="3"/>
      <c r="UN19" s="3"/>
      <c r="UO19" s="3"/>
      <c r="UP19" s="3"/>
      <c r="UQ19" s="3"/>
      <c r="UR19" s="3"/>
      <c r="US19" s="3"/>
      <c r="UT19" s="3"/>
      <c r="UU19" s="3"/>
      <c r="UV19" s="3"/>
      <c r="UW19" s="3"/>
      <c r="UX19" s="3"/>
      <c r="UY19" s="3"/>
      <c r="UZ19" s="3"/>
      <c r="VA19" s="3"/>
      <c r="VB19" s="3"/>
      <c r="VC19" s="3"/>
      <c r="VD19" s="3"/>
      <c r="VE19" s="3"/>
      <c r="VF19" s="3"/>
      <c r="VG19" s="3"/>
      <c r="VH19" s="3"/>
      <c r="VI19" s="3"/>
      <c r="VJ19" s="3"/>
      <c r="VK19" s="3"/>
      <c r="VL19" s="3"/>
      <c r="VM19" s="3"/>
      <c r="VN19" s="3"/>
      <c r="VO19" s="3"/>
      <c r="VP19" s="3"/>
      <c r="VQ19" s="3"/>
      <c r="VR19" s="3"/>
      <c r="VS19" s="3"/>
      <c r="VT19" s="3"/>
      <c r="VU19" s="3"/>
      <c r="VV19" s="3"/>
      <c r="VW19" s="3"/>
      <c r="VX19" s="3"/>
      <c r="VY19" s="3"/>
      <c r="VZ19" s="3"/>
      <c r="WA19" s="3"/>
      <c r="WB19" s="3"/>
      <c r="WC19" s="3"/>
      <c r="WD19" s="3"/>
      <c r="WE19" s="3"/>
      <c r="WF19" s="3"/>
      <c r="WG19" s="3"/>
      <c r="WH19" s="3"/>
      <c r="WI19" s="3"/>
      <c r="WJ19" s="3"/>
      <c r="WK19" s="3"/>
      <c r="WL19" s="3"/>
      <c r="WM19" s="3"/>
      <c r="WN19" s="3"/>
      <c r="WO19" s="3"/>
      <c r="WP19" s="3"/>
      <c r="WQ19" s="3"/>
      <c r="WR19" s="3"/>
      <c r="WS19" s="3"/>
      <c r="WT19" s="3"/>
      <c r="WU19" s="3"/>
      <c r="WV19" s="3"/>
      <c r="WW19" s="3"/>
      <c r="WX19" s="3"/>
      <c r="WY19" s="3"/>
      <c r="WZ19" s="3"/>
      <c r="XA19" s="3"/>
      <c r="XB19" s="3"/>
      <c r="XC19" s="3"/>
      <c r="XD19" s="3"/>
      <c r="XE19" s="3"/>
      <c r="XF19" s="3"/>
      <c r="XG19" s="3"/>
      <c r="XH19" s="3"/>
      <c r="XI19" s="3"/>
      <c r="XJ19" s="3"/>
      <c r="XK19" s="3"/>
      <c r="XL19" s="3"/>
      <c r="XM19" s="3"/>
      <c r="XN19" s="3"/>
      <c r="XO19" s="3"/>
      <c r="XP19" s="3"/>
      <c r="XQ19" s="3"/>
      <c r="XR19" s="3"/>
      <c r="XS19" s="3"/>
      <c r="XT19" s="3"/>
      <c r="XU19" s="3"/>
      <c r="XV19" s="3"/>
      <c r="XW19" s="3"/>
      <c r="XX19" s="3"/>
      <c r="XY19" s="3"/>
      <c r="XZ19" s="3"/>
      <c r="YA19" s="3"/>
      <c r="YB19" s="3"/>
      <c r="YC19" s="3"/>
      <c r="YD19" s="3"/>
      <c r="YE19" s="3"/>
      <c r="YF19" s="3"/>
      <c r="YG19" s="3"/>
      <c r="YH19" s="3"/>
      <c r="YI19" s="3"/>
      <c r="YJ19" s="3"/>
      <c r="YK19" s="3"/>
      <c r="YL19" s="3"/>
      <c r="YM19" s="3"/>
      <c r="YN19" s="3"/>
      <c r="YO19" s="3"/>
      <c r="YP19" s="3"/>
      <c r="YQ19" s="3"/>
      <c r="YR19" s="3"/>
      <c r="YS19" s="3"/>
      <c r="YT19" s="3"/>
      <c r="YU19" s="3"/>
      <c r="YV19" s="3"/>
      <c r="YW19" s="3"/>
      <c r="YX19" s="3"/>
      <c r="YY19" s="3"/>
      <c r="YZ19" s="3"/>
      <c r="ZA19" s="3"/>
      <c r="ZB19" s="3"/>
      <c r="ZC19" s="3"/>
      <c r="ZD19" s="3"/>
      <c r="ZE19" s="3"/>
      <c r="ZF19" s="3"/>
      <c r="ZG19" s="3"/>
      <c r="ZH19" s="3"/>
      <c r="ZI19" s="3"/>
      <c r="ZJ19" s="3"/>
      <c r="ZK19" s="3"/>
      <c r="ZL19" s="3"/>
      <c r="ZM19" s="3"/>
      <c r="ZN19" s="3"/>
      <c r="ZO19" s="3"/>
      <c r="ZP19" s="3"/>
      <c r="ZQ19" s="3"/>
      <c r="ZR19" s="3"/>
      <c r="ZS19" s="3"/>
      <c r="ZT19" s="3"/>
      <c r="ZU19" s="3"/>
      <c r="ZV19" s="3"/>
      <c r="ZW19" s="3"/>
      <c r="ZX19" s="3"/>
      <c r="ZY19" s="3"/>
      <c r="ZZ19" s="3"/>
      <c r="AAA19" s="3"/>
      <c r="AAB19" s="3"/>
      <c r="AAC19" s="3"/>
      <c r="AAD19" s="3"/>
      <c r="AAE19" s="3"/>
      <c r="AAF19" s="3"/>
      <c r="AAG19" s="3"/>
      <c r="AAH19" s="3"/>
      <c r="AAI19" s="3"/>
      <c r="AAJ19" s="3"/>
      <c r="AAK19" s="3"/>
      <c r="AAL19" s="3"/>
      <c r="AAM19" s="3"/>
      <c r="AAN19" s="3"/>
      <c r="AAO19" s="3"/>
      <c r="AAP19" s="3"/>
      <c r="AAQ19" s="3"/>
      <c r="AAR19" s="3"/>
      <c r="AAS19" s="3"/>
      <c r="AAT19" s="3"/>
      <c r="AAU19" s="3"/>
      <c r="AAV19" s="3"/>
      <c r="AAW19" s="3"/>
      <c r="AAX19" s="3"/>
      <c r="AAY19" s="3"/>
      <c r="AAZ19" s="3"/>
      <c r="ABA19" s="3"/>
      <c r="ABB19" s="3"/>
      <c r="ABC19" s="3"/>
      <c r="ABD19" s="3"/>
      <c r="ABE19" s="3"/>
      <c r="ABF19" s="3"/>
      <c r="ABG19" s="3"/>
      <c r="ABH19" s="3"/>
      <c r="ABI19" s="3"/>
      <c r="ABJ19" s="3"/>
      <c r="ABK19" s="3"/>
      <c r="ABL19" s="3"/>
      <c r="ABM19" s="3"/>
      <c r="ABN19" s="3"/>
      <c r="ABO19" s="3"/>
      <c r="ABP19" s="3"/>
      <c r="ABQ19" s="3"/>
      <c r="ABR19" s="3"/>
      <c r="ABS19" s="3"/>
      <c r="ABT19" s="3"/>
      <c r="ABU19" s="3"/>
      <c r="ABV19" s="3"/>
      <c r="ABW19" s="3"/>
      <c r="ABX19" s="3"/>
      <c r="ABY19" s="3"/>
      <c r="ABZ19" s="3"/>
      <c r="ACA19" s="3"/>
      <c r="ACB19" s="3"/>
      <c r="ACC19" s="3"/>
      <c r="ACD19" s="3"/>
      <c r="ACE19" s="3"/>
      <c r="ACF19" s="3"/>
      <c r="ACG19" s="3"/>
      <c r="ACH19" s="3"/>
      <c r="ACI19" s="3"/>
      <c r="ACJ19" s="3"/>
      <c r="ACK19" s="3"/>
      <c r="ACL19" s="3"/>
      <c r="ACM19" s="3"/>
      <c r="ACN19" s="3"/>
      <c r="ACO19" s="3"/>
      <c r="ACP19" s="3"/>
    </row>
    <row r="20" spans="1:770" s="205" customFormat="1">
      <c r="A20" s="292" t="e">
        <f t="shared" si="1"/>
        <v>#REF!</v>
      </c>
      <c r="B20" s="202" t="s">
        <v>524</v>
      </c>
      <c r="C20" s="436">
        <v>16355050194171</v>
      </c>
      <c r="D20" s="288">
        <v>1260131386</v>
      </c>
      <c r="E20" s="207" t="s">
        <v>524</v>
      </c>
      <c r="F20" s="202" t="str">
        <f>VLOOKUP(B20,distribucion!B$9:FK$200,2,0)</f>
        <v>Supervisor</v>
      </c>
      <c r="G20" s="202">
        <f>ROUND((VLOOKUP($B20,'Nomina Proquima'!$B$4:$AB$145,4,0)),2)</f>
        <v>30</v>
      </c>
      <c r="H20" s="240">
        <f>ROUND((VLOOKUP($B20,'Nomina Proquima'!$B$4:$AB$145,6,0)),2)</f>
        <v>3450</v>
      </c>
      <c r="I20" s="240">
        <f>ROUND((VLOOKUP($B20,'Nomina Proquima'!$B$4:$AB$145,7,0)),2)</f>
        <v>4706.6899999999996</v>
      </c>
      <c r="J20" s="240">
        <f>ROUND((VLOOKUP($B20,'Nomina Proquima'!$B$4:$AB$145,9,0)),2)</f>
        <v>0</v>
      </c>
      <c r="K20" s="240">
        <f>ROUND((VLOOKUP($B20,'Nomina Proquima'!$B$4:$AB$145,10,0)),2)</f>
        <v>0</v>
      </c>
      <c r="L20" s="240">
        <f>ROUND((VLOOKUP($B20,'Nomina Proquima'!$B$4:$AB$145,11,0)),2)</f>
        <v>0</v>
      </c>
      <c r="M20" s="240">
        <f>ROUND((VLOOKUP($B20,'Nomina Proquima'!$B$4:$AB$145,12,0)),2)</f>
        <v>0</v>
      </c>
      <c r="N20" s="240">
        <f>ROUND((VLOOKUP($B20,'Nomina Proquima'!$B$4:$AB$145,13,0)),2)</f>
        <v>0</v>
      </c>
      <c r="O20" s="240">
        <f>ROUND((VLOOKUP($B20,'Nomina Proquima'!$B$4:$AB$145,14,0)),2)</f>
        <v>8156.69</v>
      </c>
      <c r="P20" s="240">
        <f>ROUND((VLOOKUP($B20,'Nomina Proquima'!$B$4:$AB$145,15,0)),2)</f>
        <v>166.64</v>
      </c>
      <c r="Q20" s="240">
        <f>ROUND((VLOOKUP($B20,'Nomina Proquima'!$B$4:$AB$145,16,0)),2)</f>
        <v>211.67</v>
      </c>
      <c r="R20" s="240">
        <f>ROUND((VLOOKUP($B20,'Nomina Proquima'!$B$4:$AB$145,17,0)),2)</f>
        <v>2877.72</v>
      </c>
      <c r="S20" s="240">
        <f>ROUND((VLOOKUP($B20,'Nomina Proquima'!$B$4:$AB$145,18,0)),2)</f>
        <v>0</v>
      </c>
      <c r="T20" s="240">
        <f>ROUND((VLOOKUP($B20,'Nomina Proquima'!$B$4:$AB$145,19,0)),2)</f>
        <v>0</v>
      </c>
      <c r="U20" s="240">
        <f>ROUND((VLOOKUP($B20,'Nomina Proquima'!$B$4:$AB$145,20,0)),2)</f>
        <v>0</v>
      </c>
      <c r="V20" s="240">
        <f>ROUND((VLOOKUP($B20,'Nomina Proquima'!$B$4:$AB$145,21,0)),2)</f>
        <v>0</v>
      </c>
      <c r="W20" s="240">
        <f>ROUND((VLOOKUP($B20,'Nomina Proquima'!$B$4:$AB$145,22,0)),2)</f>
        <v>50</v>
      </c>
      <c r="X20" s="240">
        <f>ROUND((VLOOKUP($B20,'Nomina Proquima'!$B$4:$AB$145,23,0)),2)</f>
        <v>3306.03</v>
      </c>
      <c r="Y20" s="236">
        <f>ROUND((VLOOKUP($B20,'Nomina Proquima'!$B$4:$AB$147,24,0)),2)</f>
        <v>4850.66</v>
      </c>
      <c r="Z20" s="255">
        <f>VLOOKUP(B20,'Nomina Proquima'!$B$4:$AA$148,25,0)</f>
        <v>1659.5100000000002</v>
      </c>
      <c r="AA20" s="2017">
        <f>ROUND((VLOOKUP($B20,'Nomina Proquima'!$B$4:$AB$145,26,0)),2)</f>
        <v>3191.15</v>
      </c>
      <c r="AB20" s="203"/>
      <c r="AC20" s="204">
        <f>+IFERROR(VLOOKUP(B20,'Nomina Proquima'!B:Z,25,0),"")</f>
        <v>1659.5100000000002</v>
      </c>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c r="IZ20" s="3"/>
      <c r="JA20" s="3"/>
      <c r="JB20" s="3"/>
      <c r="JC20" s="3"/>
      <c r="JD20" s="3"/>
      <c r="JE20" s="3"/>
      <c r="JF20" s="3"/>
      <c r="JG20" s="3"/>
      <c r="JH20" s="3"/>
      <c r="JI20" s="3"/>
      <c r="JJ20" s="3"/>
      <c r="JK20" s="3"/>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c r="LL20" s="3"/>
      <c r="LM20" s="3"/>
      <c r="LN20" s="3"/>
      <c r="LO20" s="3"/>
      <c r="LP20" s="3"/>
      <c r="LQ20" s="3"/>
      <c r="LR20" s="3"/>
      <c r="LS20" s="3"/>
      <c r="LT20" s="3"/>
      <c r="LU20" s="3"/>
      <c r="LV20" s="3"/>
      <c r="LW20" s="3"/>
      <c r="LX20" s="3"/>
      <c r="LY20" s="3"/>
      <c r="LZ20" s="3"/>
      <c r="MA20" s="3"/>
      <c r="MB20" s="3"/>
      <c r="MC20" s="3"/>
      <c r="MD20" s="3"/>
      <c r="ME20" s="3"/>
      <c r="MF20" s="3"/>
      <c r="MG20" s="3"/>
      <c r="MH20" s="3"/>
      <c r="MI20" s="3"/>
      <c r="MJ20" s="3"/>
      <c r="MK20" s="3"/>
      <c r="ML20" s="3"/>
      <c r="MM20" s="3"/>
      <c r="MN20" s="3"/>
      <c r="MO20" s="3"/>
      <c r="MP20" s="3"/>
      <c r="MQ20" s="3"/>
      <c r="MR20" s="3"/>
      <c r="MS20" s="3"/>
      <c r="MT20" s="3"/>
      <c r="MU20" s="3"/>
      <c r="MV20" s="3"/>
      <c r="MW20" s="3"/>
      <c r="MX20" s="3"/>
      <c r="MY20" s="3"/>
      <c r="MZ20" s="3"/>
      <c r="NA20" s="3"/>
      <c r="NB20" s="3"/>
      <c r="NC20" s="3"/>
      <c r="ND20" s="3"/>
      <c r="NE20" s="3"/>
      <c r="NF20" s="3"/>
      <c r="NG20" s="3"/>
      <c r="NH20" s="3"/>
      <c r="NI20" s="3"/>
      <c r="NJ20" s="3"/>
      <c r="NK20" s="3"/>
      <c r="NL20" s="3"/>
      <c r="NM20" s="3"/>
      <c r="NN20" s="3"/>
      <c r="NO20" s="3"/>
      <c r="NP20" s="3"/>
      <c r="NQ20" s="3"/>
      <c r="NR20" s="3"/>
      <c r="NS20" s="3"/>
      <c r="NT20" s="3"/>
      <c r="NU20" s="3"/>
      <c r="NV20" s="3"/>
      <c r="NW20" s="3"/>
      <c r="NX20" s="3"/>
      <c r="NY20" s="3"/>
      <c r="NZ20" s="3"/>
      <c r="OA20" s="3"/>
      <c r="OB20" s="3"/>
      <c r="OC20" s="3"/>
      <c r="OD20" s="3"/>
      <c r="OE20" s="3"/>
      <c r="OF20" s="3"/>
      <c r="OG20" s="3"/>
      <c r="OH20" s="3"/>
      <c r="OI20" s="3"/>
      <c r="OJ20" s="3"/>
      <c r="OK20" s="3"/>
      <c r="OL20" s="3"/>
      <c r="OM20" s="3"/>
      <c r="ON20" s="3"/>
      <c r="OO20" s="3"/>
      <c r="OP20" s="3"/>
      <c r="OQ20" s="3"/>
      <c r="OR20" s="3"/>
      <c r="OS20" s="3"/>
      <c r="OT20" s="3"/>
      <c r="OU20" s="3"/>
      <c r="OV20" s="3"/>
      <c r="OW20" s="3"/>
      <c r="OX20" s="3"/>
      <c r="OY20" s="3"/>
      <c r="OZ20" s="3"/>
      <c r="PA20" s="3"/>
      <c r="PB20" s="3"/>
      <c r="PC20" s="3"/>
      <c r="PD20" s="3"/>
      <c r="PE20" s="3"/>
      <c r="PF20" s="3"/>
      <c r="PG20" s="3"/>
      <c r="PH20" s="3"/>
      <c r="PI20" s="3"/>
      <c r="PJ20" s="3"/>
      <c r="PK20" s="3"/>
      <c r="PL20" s="3"/>
      <c r="PM20" s="3"/>
      <c r="PN20" s="3"/>
      <c r="PO20" s="3"/>
      <c r="PP20" s="3"/>
      <c r="PQ20" s="3"/>
      <c r="PR20" s="3"/>
      <c r="PS20" s="3"/>
      <c r="PT20" s="3"/>
      <c r="PU20" s="3"/>
      <c r="PV20" s="3"/>
      <c r="PW20" s="3"/>
      <c r="PX20" s="3"/>
      <c r="PY20" s="3"/>
      <c r="PZ20" s="3"/>
      <c r="QA20" s="3"/>
      <c r="QB20" s="3"/>
      <c r="QC20" s="3"/>
      <c r="QD20" s="3"/>
      <c r="QE20" s="3"/>
      <c r="QF20" s="3"/>
      <c r="QG20" s="3"/>
      <c r="QH20" s="3"/>
      <c r="QI20" s="3"/>
      <c r="QJ20" s="3"/>
      <c r="QK20" s="3"/>
      <c r="QL20" s="3"/>
      <c r="QM20" s="3"/>
      <c r="QN20" s="3"/>
      <c r="QO20" s="3"/>
      <c r="QP20" s="3"/>
      <c r="QQ20" s="3"/>
      <c r="QR20" s="3"/>
      <c r="QS20" s="3"/>
      <c r="QT20" s="3"/>
      <c r="QU20" s="3"/>
      <c r="QV20" s="3"/>
      <c r="QW20" s="3"/>
      <c r="QX20" s="3"/>
      <c r="QY20" s="3"/>
      <c r="QZ20" s="3"/>
      <c r="RA20" s="3"/>
      <c r="RB20" s="3"/>
      <c r="RC20" s="3"/>
      <c r="RD20" s="3"/>
      <c r="RE20" s="3"/>
      <c r="RF20" s="3"/>
      <c r="RG20" s="3"/>
      <c r="RH20" s="3"/>
      <c r="RI20" s="3"/>
      <c r="RJ20" s="3"/>
      <c r="RK20" s="3"/>
      <c r="RL20" s="3"/>
      <c r="RM20" s="3"/>
      <c r="RN20" s="3"/>
      <c r="RO20" s="3"/>
      <c r="RP20" s="3"/>
      <c r="RQ20" s="3"/>
      <c r="RR20" s="3"/>
      <c r="RS20" s="3"/>
      <c r="RT20" s="3"/>
      <c r="RU20" s="3"/>
      <c r="RV20" s="3"/>
      <c r="RW20" s="3"/>
      <c r="RX20" s="3"/>
      <c r="RY20" s="3"/>
      <c r="RZ20" s="3"/>
      <c r="SA20" s="3"/>
      <c r="SB20" s="3"/>
      <c r="SC20" s="3"/>
      <c r="SD20" s="3"/>
      <c r="SE20" s="3"/>
      <c r="SF20" s="3"/>
      <c r="SG20" s="3"/>
      <c r="SH20" s="3"/>
      <c r="SI20" s="3"/>
      <c r="SJ20" s="3"/>
      <c r="SK20" s="3"/>
      <c r="SL20" s="3"/>
      <c r="SM20" s="3"/>
      <c r="SN20" s="3"/>
      <c r="SO20" s="3"/>
      <c r="SP20" s="3"/>
      <c r="SQ20" s="3"/>
      <c r="SR20" s="3"/>
      <c r="SS20" s="3"/>
      <c r="ST20" s="3"/>
      <c r="SU20" s="3"/>
      <c r="SV20" s="3"/>
      <c r="SW20" s="3"/>
      <c r="SX20" s="3"/>
      <c r="SY20" s="3"/>
      <c r="SZ20" s="3"/>
      <c r="TA20" s="3"/>
      <c r="TB20" s="3"/>
      <c r="TC20" s="3"/>
      <c r="TD20" s="3"/>
      <c r="TE20" s="3"/>
      <c r="TF20" s="3"/>
      <c r="TG20" s="3"/>
      <c r="TH20" s="3"/>
      <c r="TI20" s="3"/>
      <c r="TJ20" s="3"/>
      <c r="TK20" s="3"/>
      <c r="TL20" s="3"/>
      <c r="TM20" s="3"/>
      <c r="TN20" s="3"/>
      <c r="TO20" s="3"/>
      <c r="TP20" s="3"/>
      <c r="TQ20" s="3"/>
      <c r="TR20" s="3"/>
      <c r="TS20" s="3"/>
      <c r="TT20" s="3"/>
      <c r="TU20" s="3"/>
      <c r="TV20" s="3"/>
      <c r="TW20" s="3"/>
      <c r="TX20" s="3"/>
      <c r="TY20" s="3"/>
      <c r="TZ20" s="3"/>
      <c r="UA20" s="3"/>
      <c r="UB20" s="3"/>
      <c r="UC20" s="3"/>
      <c r="UD20" s="3"/>
      <c r="UE20" s="3"/>
      <c r="UF20" s="3"/>
      <c r="UG20" s="3"/>
      <c r="UH20" s="3"/>
      <c r="UI20" s="3"/>
      <c r="UJ20" s="3"/>
      <c r="UK20" s="3"/>
      <c r="UL20" s="3"/>
      <c r="UM20" s="3"/>
      <c r="UN20" s="3"/>
      <c r="UO20" s="3"/>
      <c r="UP20" s="3"/>
      <c r="UQ20" s="3"/>
      <c r="UR20" s="3"/>
      <c r="US20" s="3"/>
      <c r="UT20" s="3"/>
      <c r="UU20" s="3"/>
      <c r="UV20" s="3"/>
      <c r="UW20" s="3"/>
      <c r="UX20" s="3"/>
      <c r="UY20" s="3"/>
      <c r="UZ20" s="3"/>
      <c r="VA20" s="3"/>
      <c r="VB20" s="3"/>
      <c r="VC20" s="3"/>
      <c r="VD20" s="3"/>
      <c r="VE20" s="3"/>
      <c r="VF20" s="3"/>
      <c r="VG20" s="3"/>
      <c r="VH20" s="3"/>
      <c r="VI20" s="3"/>
      <c r="VJ20" s="3"/>
      <c r="VK20" s="3"/>
      <c r="VL20" s="3"/>
      <c r="VM20" s="3"/>
      <c r="VN20" s="3"/>
      <c r="VO20" s="3"/>
      <c r="VP20" s="3"/>
      <c r="VQ20" s="3"/>
      <c r="VR20" s="3"/>
      <c r="VS20" s="3"/>
      <c r="VT20" s="3"/>
      <c r="VU20" s="3"/>
      <c r="VV20" s="3"/>
      <c r="VW20" s="3"/>
      <c r="VX20" s="3"/>
      <c r="VY20" s="3"/>
      <c r="VZ20" s="3"/>
      <c r="WA20" s="3"/>
      <c r="WB20" s="3"/>
      <c r="WC20" s="3"/>
      <c r="WD20" s="3"/>
      <c r="WE20" s="3"/>
      <c r="WF20" s="3"/>
      <c r="WG20" s="3"/>
      <c r="WH20" s="3"/>
      <c r="WI20" s="3"/>
      <c r="WJ20" s="3"/>
      <c r="WK20" s="3"/>
      <c r="WL20" s="3"/>
      <c r="WM20" s="3"/>
      <c r="WN20" s="3"/>
      <c r="WO20" s="3"/>
      <c r="WP20" s="3"/>
      <c r="WQ20" s="3"/>
      <c r="WR20" s="3"/>
      <c r="WS20" s="3"/>
      <c r="WT20" s="3"/>
      <c r="WU20" s="3"/>
      <c r="WV20" s="3"/>
      <c r="WW20" s="3"/>
      <c r="WX20" s="3"/>
      <c r="WY20" s="3"/>
      <c r="WZ20" s="3"/>
      <c r="XA20" s="3"/>
      <c r="XB20" s="3"/>
      <c r="XC20" s="3"/>
      <c r="XD20" s="3"/>
      <c r="XE20" s="3"/>
      <c r="XF20" s="3"/>
      <c r="XG20" s="3"/>
      <c r="XH20" s="3"/>
      <c r="XI20" s="3"/>
      <c r="XJ20" s="3"/>
      <c r="XK20" s="3"/>
      <c r="XL20" s="3"/>
      <c r="XM20" s="3"/>
      <c r="XN20" s="3"/>
      <c r="XO20" s="3"/>
      <c r="XP20" s="3"/>
      <c r="XQ20" s="3"/>
      <c r="XR20" s="3"/>
      <c r="XS20" s="3"/>
      <c r="XT20" s="3"/>
      <c r="XU20" s="3"/>
      <c r="XV20" s="3"/>
      <c r="XW20" s="3"/>
      <c r="XX20" s="3"/>
      <c r="XY20" s="3"/>
      <c r="XZ20" s="3"/>
      <c r="YA20" s="3"/>
      <c r="YB20" s="3"/>
      <c r="YC20" s="3"/>
      <c r="YD20" s="3"/>
      <c r="YE20" s="3"/>
      <c r="YF20" s="3"/>
      <c r="YG20" s="3"/>
      <c r="YH20" s="3"/>
      <c r="YI20" s="3"/>
      <c r="YJ20" s="3"/>
      <c r="YK20" s="3"/>
      <c r="YL20" s="3"/>
      <c r="YM20" s="3"/>
      <c r="YN20" s="3"/>
      <c r="YO20" s="3"/>
      <c r="YP20" s="3"/>
      <c r="YQ20" s="3"/>
      <c r="YR20" s="3"/>
      <c r="YS20" s="3"/>
      <c r="YT20" s="3"/>
      <c r="YU20" s="3"/>
      <c r="YV20" s="3"/>
      <c r="YW20" s="3"/>
      <c r="YX20" s="3"/>
      <c r="YY20" s="3"/>
      <c r="YZ20" s="3"/>
      <c r="ZA20" s="3"/>
      <c r="ZB20" s="3"/>
      <c r="ZC20" s="3"/>
      <c r="ZD20" s="3"/>
      <c r="ZE20" s="3"/>
      <c r="ZF20" s="3"/>
      <c r="ZG20" s="3"/>
      <c r="ZH20" s="3"/>
      <c r="ZI20" s="3"/>
      <c r="ZJ20" s="3"/>
      <c r="ZK20" s="3"/>
      <c r="ZL20" s="3"/>
      <c r="ZM20" s="3"/>
      <c r="ZN20" s="3"/>
      <c r="ZO20" s="3"/>
      <c r="ZP20" s="3"/>
      <c r="ZQ20" s="3"/>
      <c r="ZR20" s="3"/>
      <c r="ZS20" s="3"/>
      <c r="ZT20" s="3"/>
      <c r="ZU20" s="3"/>
      <c r="ZV20" s="3"/>
      <c r="ZW20" s="3"/>
      <c r="ZX20" s="3"/>
      <c r="ZY20" s="3"/>
      <c r="ZZ20" s="3"/>
      <c r="AAA20" s="3"/>
      <c r="AAB20" s="3"/>
      <c r="AAC20" s="3"/>
      <c r="AAD20" s="3"/>
      <c r="AAE20" s="3"/>
      <c r="AAF20" s="3"/>
      <c r="AAG20" s="3"/>
      <c r="AAH20" s="3"/>
      <c r="AAI20" s="3"/>
      <c r="AAJ20" s="3"/>
      <c r="AAK20" s="3"/>
      <c r="AAL20" s="3"/>
      <c r="AAM20" s="3"/>
      <c r="AAN20" s="3"/>
      <c r="AAO20" s="3"/>
      <c r="AAP20" s="3"/>
      <c r="AAQ20" s="3"/>
      <c r="AAR20" s="3"/>
      <c r="AAS20" s="3"/>
      <c r="AAT20" s="3"/>
      <c r="AAU20" s="3"/>
      <c r="AAV20" s="3"/>
      <c r="AAW20" s="3"/>
      <c r="AAX20" s="3"/>
      <c r="AAY20" s="3"/>
      <c r="AAZ20" s="3"/>
      <c r="ABA20" s="3"/>
      <c r="ABB20" s="3"/>
      <c r="ABC20" s="3"/>
      <c r="ABD20" s="3"/>
      <c r="ABE20" s="3"/>
      <c r="ABF20" s="3"/>
      <c r="ABG20" s="3"/>
      <c r="ABH20" s="3"/>
      <c r="ABI20" s="3"/>
      <c r="ABJ20" s="3"/>
      <c r="ABK20" s="3"/>
      <c r="ABL20" s="3"/>
      <c r="ABM20" s="3"/>
      <c r="ABN20" s="3"/>
      <c r="ABO20" s="3"/>
      <c r="ABP20" s="3"/>
      <c r="ABQ20" s="3"/>
      <c r="ABR20" s="3"/>
      <c r="ABS20" s="3"/>
      <c r="ABT20" s="3"/>
      <c r="ABU20" s="3"/>
      <c r="ABV20" s="3"/>
      <c r="ABW20" s="3"/>
      <c r="ABX20" s="3"/>
      <c r="ABY20" s="3"/>
      <c r="ABZ20" s="3"/>
      <c r="ACA20" s="3"/>
      <c r="ACB20" s="3"/>
      <c r="ACC20" s="3"/>
      <c r="ACD20" s="3"/>
      <c r="ACE20" s="3"/>
      <c r="ACF20" s="3"/>
      <c r="ACG20" s="3"/>
      <c r="ACH20" s="3"/>
      <c r="ACI20" s="3"/>
      <c r="ACJ20" s="3"/>
      <c r="ACK20" s="3"/>
      <c r="ACL20" s="3"/>
      <c r="ACM20" s="3"/>
      <c r="ACN20" s="3"/>
      <c r="ACO20" s="3"/>
      <c r="ACP20" s="3"/>
    </row>
    <row r="21" spans="1:770">
      <c r="A21" s="292" t="e">
        <f t="shared" si="1"/>
        <v>#REF!</v>
      </c>
      <c r="B21" s="121" t="s">
        <v>525</v>
      </c>
      <c r="C21" s="431">
        <v>16355050194071</v>
      </c>
      <c r="D21" s="289">
        <v>60287901</v>
      </c>
      <c r="E21" s="171" t="s">
        <v>525</v>
      </c>
      <c r="F21" s="121" t="str">
        <f>VLOOKUP(B21,distribucion!B$9:FK$200,2,0)</f>
        <v>Operario</v>
      </c>
      <c r="G21" s="121">
        <f>ROUND((VLOOKUP($B21,'Nomina Proquima'!$B$4:$AB$145,4,0)),2)</f>
        <v>30</v>
      </c>
      <c r="H21" s="238">
        <f>ROUND((VLOOKUP($B21,'Nomina Proquima'!$B$4:$AB$145,6,0)),2)</f>
        <v>3166.38</v>
      </c>
      <c r="I21" s="238">
        <f>ROUND((VLOOKUP($B21,'Nomina Proquima'!$B$4:$AB$145,7,0)),2)</f>
        <v>1375</v>
      </c>
      <c r="J21" s="238">
        <f>ROUND((VLOOKUP($B21,'Nomina Proquima'!$B$4:$AB$145,9,0)),2)</f>
        <v>0</v>
      </c>
      <c r="K21" s="238">
        <f>ROUND((VLOOKUP($B21,'Nomina Proquima'!$B$4:$AB$145,10,0)),2)</f>
        <v>0</v>
      </c>
      <c r="L21" s="238">
        <f>ROUND((VLOOKUP($B21,'Nomina Proquima'!$B$4:$AB$145,11,0)),2)</f>
        <v>0</v>
      </c>
      <c r="M21" s="238">
        <f>ROUND((VLOOKUP($B21,'Nomina Proquima'!$B$4:$AB$145,12,0)),2)</f>
        <v>0</v>
      </c>
      <c r="N21" s="238">
        <f>ROUND((VLOOKUP($B21,'Nomina Proquima'!$B$4:$AB$145,13,0)),2)</f>
        <v>0</v>
      </c>
      <c r="O21" s="238">
        <f>ROUND((VLOOKUP($B21,'Nomina Proquima'!$B$4:$AB$145,14,0)),2)</f>
        <v>4541.38</v>
      </c>
      <c r="P21" s="238">
        <f>ROUND((VLOOKUP($B21,'Nomina Proquima'!$B$4:$AB$145,15,0)),2)</f>
        <v>152.94</v>
      </c>
      <c r="Q21" s="238">
        <f>ROUND((VLOOKUP($B21,'Nomina Proquima'!$B$4:$AB$145,16,0)),2)</f>
        <v>113.97</v>
      </c>
      <c r="R21" s="238">
        <f>ROUND((VLOOKUP($B21,'Nomina Proquima'!$B$4:$AB$145,17,0)),2)</f>
        <v>762.59</v>
      </c>
      <c r="S21" s="238">
        <f>ROUND((VLOOKUP($B21,'Nomina Proquima'!$B$4:$AB$145,18,0)),2)</f>
        <v>0</v>
      </c>
      <c r="T21" s="238">
        <f>ROUND((VLOOKUP($B21,'Nomina Proquima'!$B$4:$AB$145,19,0)),2)</f>
        <v>0</v>
      </c>
      <c r="U21" s="238">
        <f>ROUND((VLOOKUP($B21,'Nomina Proquima'!$B$4:$AB$145,20,0)),2)</f>
        <v>0</v>
      </c>
      <c r="V21" s="238">
        <f>ROUND((VLOOKUP($B21,'Nomina Proquima'!$B$4:$AB$145,21,0)),2)</f>
        <v>370</v>
      </c>
      <c r="W21" s="238">
        <f>ROUND((VLOOKUP($B21,'Nomina Proquima'!$B$4:$AB$145,22,0)),2)</f>
        <v>50</v>
      </c>
      <c r="X21" s="238">
        <f>ROUND((VLOOKUP($B21,'Nomina Proquima'!$B$4:$AB$145,23,0)),2)</f>
        <v>1449.5</v>
      </c>
      <c r="Y21" s="232">
        <f>ROUND((VLOOKUP($B21,'Nomina Proquima'!$B$4:$AB$147,24,0)),2)</f>
        <v>3091.88</v>
      </c>
      <c r="Z21" s="276">
        <f>VLOOKUP(B21,'Nomina Proquima'!$B$4:$AA$148,25,0)</f>
        <v>880.42000000000007</v>
      </c>
      <c r="AA21" s="2016">
        <f>ROUND((VLOOKUP($B21,'Nomina Proquima'!$B$4:$AB$145,26,0)),2)</f>
        <v>2211.46</v>
      </c>
      <c r="AB21" s="187">
        <v>2665150611805</v>
      </c>
      <c r="AC21" s="127">
        <f>+IFERROR(VLOOKUP(B21,'Nomina Proquima'!B:Z,25,0),"")</f>
        <v>880.42000000000007</v>
      </c>
    </row>
    <row r="22" spans="1:770" s="172" customFormat="1">
      <c r="A22" s="292" t="e">
        <f t="shared" si="1"/>
        <v>#REF!</v>
      </c>
      <c r="B22" s="173" t="s">
        <v>526</v>
      </c>
      <c r="C22" s="437">
        <v>16355050193974</v>
      </c>
      <c r="D22" s="303">
        <v>4050058611</v>
      </c>
      <c r="E22" s="304" t="s">
        <v>526</v>
      </c>
      <c r="F22" s="173" t="str">
        <f>VLOOKUP(B22,distribucion!B$9:FK$200,2,0)</f>
        <v>Operario</v>
      </c>
      <c r="G22" s="173">
        <f>ROUND((VLOOKUP($B22,'Nomina Proquima'!$B$4:$AB$145,4,0)),2)</f>
        <v>30</v>
      </c>
      <c r="H22" s="239">
        <f>ROUND((VLOOKUP($B22,'Nomina Proquima'!$B$4:$AB$145,6,0)),2)</f>
        <v>3166.38</v>
      </c>
      <c r="I22" s="239">
        <f>ROUND((VLOOKUP($B22,'Nomina Proquima'!$B$4:$AB$145,7,0)),2)</f>
        <v>1375</v>
      </c>
      <c r="J22" s="239">
        <f>ROUND((VLOOKUP($B22,'Nomina Proquima'!$B$4:$AB$145,9,0)),2)</f>
        <v>0</v>
      </c>
      <c r="K22" s="239">
        <f>ROUND((VLOOKUP($B22,'Nomina Proquima'!$B$4:$AB$145,10,0)),2)</f>
        <v>0</v>
      </c>
      <c r="L22" s="239">
        <f>ROUND((VLOOKUP($B22,'Nomina Proquima'!$B$4:$AB$145,11,0)),2)</f>
        <v>0</v>
      </c>
      <c r="M22" s="239">
        <f>ROUND((VLOOKUP($B22,'Nomina Proquima'!$B$4:$AB$145,12,0)),2)</f>
        <v>0</v>
      </c>
      <c r="N22" s="239">
        <f>ROUND((VLOOKUP($B22,'Nomina Proquima'!$B$4:$AB$145,13,0)),2)</f>
        <v>0</v>
      </c>
      <c r="O22" s="239">
        <f>ROUND((VLOOKUP($B22,'Nomina Proquima'!$B$4:$AB$145,14,0)),2)</f>
        <v>4541.38</v>
      </c>
      <c r="P22" s="239">
        <f>ROUND((VLOOKUP($B22,'Nomina Proquima'!$B$4:$AB$145,15,0)),2)</f>
        <v>152.94</v>
      </c>
      <c r="Q22" s="239">
        <f>ROUND((VLOOKUP($B22,'Nomina Proquima'!$B$4:$AB$145,16,0)),2)</f>
        <v>98.17</v>
      </c>
      <c r="R22" s="239">
        <f>ROUND((VLOOKUP($B22,'Nomina Proquima'!$B$4:$AB$145,17,0)),2)</f>
        <v>746.75</v>
      </c>
      <c r="S22" s="239">
        <f>ROUND((VLOOKUP($B22,'Nomina Proquima'!$B$4:$AB$145,18,0)),2)</f>
        <v>0</v>
      </c>
      <c r="T22" s="239">
        <f>ROUND((VLOOKUP($B22,'Nomina Proquima'!$B$4:$AB$145,19,0)),2)</f>
        <v>0</v>
      </c>
      <c r="U22" s="239">
        <f>ROUND((VLOOKUP($B22,'Nomina Proquima'!$B$4:$AB$145,20,0)),2)</f>
        <v>0</v>
      </c>
      <c r="V22" s="239">
        <f>ROUND((VLOOKUP($B22,'Nomina Proquima'!$B$4:$AB$145,21,0)),2)</f>
        <v>600.5</v>
      </c>
      <c r="W22" s="239">
        <f>ROUND((VLOOKUP($B22,'Nomina Proquima'!$B$4:$AB$145,22,0)),2)</f>
        <v>50</v>
      </c>
      <c r="X22" s="239">
        <f>ROUND((VLOOKUP($B22,'Nomina Proquima'!$B$4:$AB$145,23,0)),2)</f>
        <v>1648.36</v>
      </c>
      <c r="Y22" s="237">
        <f>ROUND((VLOOKUP($B22,'Nomina Proquima'!$B$4:$AB$147,24,0)),2)</f>
        <v>2893.02</v>
      </c>
      <c r="Z22" s="276">
        <f>VLOOKUP(B22,'Nomina Proquima'!$B$4:$AA$148,25,0)</f>
        <v>981.59</v>
      </c>
      <c r="AA22" s="2018">
        <f>ROUND((VLOOKUP($B22,'Nomina Proquima'!$B$4:$AB$145,26,0)),2)</f>
        <v>1911.43</v>
      </c>
      <c r="AB22" s="249">
        <v>201501146161</v>
      </c>
      <c r="AC22" s="250">
        <f>+IFERROR(VLOOKUP(B22,'Nomina Proquima'!B:Z,25,0),"")</f>
        <v>981.59</v>
      </c>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3"/>
      <c r="PB22" s="3"/>
      <c r="PC22" s="3"/>
      <c r="PD22" s="3"/>
      <c r="PE22" s="3"/>
      <c r="PF22" s="3"/>
      <c r="PG22" s="3"/>
      <c r="PH22" s="3"/>
      <c r="PI22" s="3"/>
      <c r="PJ22" s="3"/>
      <c r="PK22" s="3"/>
      <c r="PL22" s="3"/>
      <c r="PM22" s="3"/>
      <c r="PN22" s="3"/>
      <c r="PO22" s="3"/>
      <c r="PP22" s="3"/>
      <c r="PQ22" s="3"/>
      <c r="PR22" s="3"/>
      <c r="PS22" s="3"/>
      <c r="PT22" s="3"/>
      <c r="PU22" s="3"/>
      <c r="PV22" s="3"/>
      <c r="PW22" s="3"/>
      <c r="PX22" s="3"/>
      <c r="PY22" s="3"/>
      <c r="PZ22" s="3"/>
      <c r="QA22" s="3"/>
      <c r="QB22" s="3"/>
      <c r="QC22" s="3"/>
      <c r="QD22" s="3"/>
      <c r="QE22" s="3"/>
      <c r="QF22" s="3"/>
      <c r="QG22" s="3"/>
      <c r="QH22" s="3"/>
      <c r="QI22" s="3"/>
      <c r="QJ22" s="3"/>
      <c r="QK22" s="3"/>
      <c r="QL22" s="3"/>
      <c r="QM22" s="3"/>
      <c r="QN22" s="3"/>
      <c r="QO22" s="3"/>
      <c r="QP22" s="3"/>
      <c r="QQ22" s="3"/>
      <c r="QR22" s="3"/>
      <c r="QS22" s="3"/>
      <c r="QT22" s="3"/>
      <c r="QU22" s="3"/>
      <c r="QV22" s="3"/>
      <c r="QW22" s="3"/>
      <c r="QX22" s="3"/>
      <c r="QY22" s="3"/>
      <c r="QZ22" s="3"/>
      <c r="RA22" s="3"/>
      <c r="RB22" s="3"/>
      <c r="RC22" s="3"/>
      <c r="RD22" s="3"/>
      <c r="RE22" s="3"/>
      <c r="RF22" s="3"/>
      <c r="RG22" s="3"/>
      <c r="RH22" s="3"/>
      <c r="RI22" s="3"/>
      <c r="RJ22" s="3"/>
      <c r="RK22" s="3"/>
      <c r="RL22" s="3"/>
      <c r="RM22" s="3"/>
      <c r="RN22" s="3"/>
      <c r="RO22" s="3"/>
      <c r="RP22" s="3"/>
      <c r="RQ22" s="3"/>
      <c r="RR22" s="3"/>
      <c r="RS22" s="3"/>
      <c r="RT22" s="3"/>
      <c r="RU22" s="3"/>
      <c r="RV22" s="3"/>
      <c r="RW22" s="3"/>
      <c r="RX22" s="3"/>
      <c r="RY22" s="3"/>
      <c r="RZ22" s="3"/>
      <c r="SA22" s="3"/>
      <c r="SB22" s="3"/>
      <c r="SC22" s="3"/>
      <c r="SD22" s="3"/>
      <c r="SE22" s="3"/>
      <c r="SF22" s="3"/>
      <c r="SG22" s="3"/>
      <c r="SH22" s="3"/>
      <c r="SI22" s="3"/>
      <c r="SJ22" s="3"/>
      <c r="SK22" s="3"/>
      <c r="SL22" s="3"/>
      <c r="SM22" s="3"/>
      <c r="SN22" s="3"/>
      <c r="SO22" s="3"/>
      <c r="SP22" s="3"/>
      <c r="SQ22" s="3"/>
      <c r="SR22" s="3"/>
      <c r="SS22" s="3"/>
      <c r="ST22" s="3"/>
      <c r="SU22" s="3"/>
      <c r="SV22" s="3"/>
      <c r="SW22" s="3"/>
      <c r="SX22" s="3"/>
      <c r="SY22" s="3"/>
      <c r="SZ22" s="3"/>
      <c r="TA22" s="3"/>
      <c r="TB22" s="3"/>
      <c r="TC22" s="3"/>
      <c r="TD22" s="3"/>
      <c r="TE22" s="3"/>
      <c r="TF22" s="3"/>
      <c r="TG22" s="3"/>
      <c r="TH22" s="3"/>
      <c r="TI22" s="3"/>
      <c r="TJ22" s="3"/>
      <c r="TK22" s="3"/>
      <c r="TL22" s="3"/>
      <c r="TM22" s="3"/>
      <c r="TN22" s="3"/>
      <c r="TO22" s="3"/>
      <c r="TP22" s="3"/>
      <c r="TQ22" s="3"/>
      <c r="TR22" s="3"/>
      <c r="TS22" s="3"/>
      <c r="TT22" s="3"/>
      <c r="TU22" s="3"/>
      <c r="TV22" s="3"/>
      <c r="TW22" s="3"/>
      <c r="TX22" s="3"/>
      <c r="TY22" s="3"/>
      <c r="TZ22" s="3"/>
      <c r="UA22" s="3"/>
      <c r="UB22" s="3"/>
      <c r="UC22" s="3"/>
      <c r="UD22" s="3"/>
      <c r="UE22" s="3"/>
      <c r="UF22" s="3"/>
      <c r="UG22" s="3"/>
      <c r="UH22" s="3"/>
      <c r="UI22" s="3"/>
      <c r="UJ22" s="3"/>
      <c r="UK22" s="3"/>
      <c r="UL22" s="3"/>
      <c r="UM22" s="3"/>
      <c r="UN22" s="3"/>
      <c r="UO22" s="3"/>
      <c r="UP22" s="3"/>
      <c r="UQ22" s="3"/>
      <c r="UR22" s="3"/>
      <c r="US22" s="3"/>
      <c r="UT22" s="3"/>
      <c r="UU22" s="3"/>
      <c r="UV22" s="3"/>
      <c r="UW22" s="3"/>
      <c r="UX22" s="3"/>
      <c r="UY22" s="3"/>
      <c r="UZ22" s="3"/>
      <c r="VA22" s="3"/>
      <c r="VB22" s="3"/>
      <c r="VC22" s="3"/>
      <c r="VD22" s="3"/>
      <c r="VE22" s="3"/>
      <c r="VF22" s="3"/>
      <c r="VG22" s="3"/>
      <c r="VH22" s="3"/>
      <c r="VI22" s="3"/>
      <c r="VJ22" s="3"/>
      <c r="VK22" s="3"/>
      <c r="VL22" s="3"/>
      <c r="VM22" s="3"/>
      <c r="VN22" s="3"/>
      <c r="VO22" s="3"/>
      <c r="VP22" s="3"/>
      <c r="VQ22" s="3"/>
      <c r="VR22" s="3"/>
      <c r="VS22" s="3"/>
      <c r="VT22" s="3"/>
      <c r="VU22" s="3"/>
      <c r="VV22" s="3"/>
      <c r="VW22" s="3"/>
      <c r="VX22" s="3"/>
      <c r="VY22" s="3"/>
      <c r="VZ22" s="3"/>
      <c r="WA22" s="3"/>
      <c r="WB22" s="3"/>
      <c r="WC22" s="3"/>
      <c r="WD22" s="3"/>
      <c r="WE22" s="3"/>
      <c r="WF22" s="3"/>
      <c r="WG22" s="3"/>
      <c r="WH22" s="3"/>
      <c r="WI22" s="3"/>
      <c r="WJ22" s="3"/>
      <c r="WK22" s="3"/>
      <c r="WL22" s="3"/>
      <c r="WM22" s="3"/>
      <c r="WN22" s="3"/>
      <c r="WO22" s="3"/>
      <c r="WP22" s="3"/>
      <c r="WQ22" s="3"/>
      <c r="WR22" s="3"/>
      <c r="WS22" s="3"/>
      <c r="WT22" s="3"/>
      <c r="WU22" s="3"/>
      <c r="WV22" s="3"/>
      <c r="WW22" s="3"/>
      <c r="WX22" s="3"/>
      <c r="WY22" s="3"/>
      <c r="WZ22" s="3"/>
      <c r="XA22" s="3"/>
      <c r="XB22" s="3"/>
      <c r="XC22" s="3"/>
      <c r="XD22" s="3"/>
      <c r="XE22" s="3"/>
      <c r="XF22" s="3"/>
      <c r="XG22" s="3"/>
      <c r="XH22" s="3"/>
      <c r="XI22" s="3"/>
      <c r="XJ22" s="3"/>
      <c r="XK22" s="3"/>
      <c r="XL22" s="3"/>
      <c r="XM22" s="3"/>
      <c r="XN22" s="3"/>
      <c r="XO22" s="3"/>
      <c r="XP22" s="3"/>
      <c r="XQ22" s="3"/>
      <c r="XR22" s="3"/>
      <c r="XS22" s="3"/>
      <c r="XT22" s="3"/>
      <c r="XU22" s="3"/>
      <c r="XV22" s="3"/>
      <c r="XW22" s="3"/>
      <c r="XX22" s="3"/>
      <c r="XY22" s="3"/>
      <c r="XZ22" s="3"/>
      <c r="YA22" s="3"/>
      <c r="YB22" s="3"/>
      <c r="YC22" s="3"/>
      <c r="YD22" s="3"/>
      <c r="YE22" s="3"/>
      <c r="YF22" s="3"/>
      <c r="YG22" s="3"/>
      <c r="YH22" s="3"/>
      <c r="YI22" s="3"/>
      <c r="YJ22" s="3"/>
      <c r="YK22" s="3"/>
      <c r="YL22" s="3"/>
      <c r="YM22" s="3"/>
      <c r="YN22" s="3"/>
      <c r="YO22" s="3"/>
      <c r="YP22" s="3"/>
      <c r="YQ22" s="3"/>
      <c r="YR22" s="3"/>
      <c r="YS22" s="3"/>
      <c r="YT22" s="3"/>
      <c r="YU22" s="3"/>
      <c r="YV22" s="3"/>
      <c r="YW22" s="3"/>
      <c r="YX22" s="3"/>
      <c r="YY22" s="3"/>
      <c r="YZ22" s="3"/>
      <c r="ZA22" s="3"/>
      <c r="ZB22" s="3"/>
      <c r="ZC22" s="3"/>
      <c r="ZD22" s="3"/>
      <c r="ZE22" s="3"/>
      <c r="ZF22" s="3"/>
      <c r="ZG22" s="3"/>
      <c r="ZH22" s="3"/>
      <c r="ZI22" s="3"/>
      <c r="ZJ22" s="3"/>
      <c r="ZK22" s="3"/>
      <c r="ZL22" s="3"/>
      <c r="ZM22" s="3"/>
      <c r="ZN22" s="3"/>
      <c r="ZO22" s="3"/>
      <c r="ZP22" s="3"/>
      <c r="ZQ22" s="3"/>
      <c r="ZR22" s="3"/>
      <c r="ZS22" s="3"/>
      <c r="ZT22" s="3"/>
      <c r="ZU22" s="3"/>
      <c r="ZV22" s="3"/>
      <c r="ZW22" s="3"/>
      <c r="ZX22" s="3"/>
      <c r="ZY22" s="3"/>
      <c r="ZZ22" s="3"/>
      <c r="AAA22" s="3"/>
      <c r="AAB22" s="3"/>
      <c r="AAC22" s="3"/>
      <c r="AAD22" s="3"/>
      <c r="AAE22" s="3"/>
      <c r="AAF22" s="3"/>
      <c r="AAG22" s="3"/>
      <c r="AAH22" s="3"/>
      <c r="AAI22" s="3"/>
      <c r="AAJ22" s="3"/>
      <c r="AAK22" s="3"/>
      <c r="AAL22" s="3"/>
      <c r="AAM22" s="3"/>
      <c r="AAN22" s="3"/>
      <c r="AAO22" s="3"/>
      <c r="AAP22" s="3"/>
      <c r="AAQ22" s="3"/>
      <c r="AAR22" s="3"/>
      <c r="AAS22" s="3"/>
      <c r="AAT22" s="3"/>
      <c r="AAU22" s="3"/>
      <c r="AAV22" s="3"/>
      <c r="AAW22" s="3"/>
      <c r="AAX22" s="3"/>
      <c r="AAY22" s="3"/>
      <c r="AAZ22" s="3"/>
      <c r="ABA22" s="3"/>
      <c r="ABB22" s="3"/>
      <c r="ABC22" s="3"/>
      <c r="ABD22" s="3"/>
      <c r="ABE22" s="3"/>
      <c r="ABF22" s="3"/>
      <c r="ABG22" s="3"/>
      <c r="ABH22" s="3"/>
      <c r="ABI22" s="3"/>
      <c r="ABJ22" s="3"/>
      <c r="ABK22" s="3"/>
      <c r="ABL22" s="3"/>
      <c r="ABM22" s="3"/>
      <c r="ABN22" s="3"/>
      <c r="ABO22" s="3"/>
      <c r="ABP22" s="3"/>
      <c r="ABQ22" s="3"/>
      <c r="ABR22" s="3"/>
      <c r="ABS22" s="3"/>
      <c r="ABT22" s="3"/>
      <c r="ABU22" s="3"/>
      <c r="ABV22" s="3"/>
      <c r="ABW22" s="3"/>
      <c r="ABX22" s="3"/>
      <c r="ABY22" s="3"/>
      <c r="ABZ22" s="3"/>
      <c r="ACA22" s="3"/>
      <c r="ACB22" s="3"/>
      <c r="ACC22" s="3"/>
      <c r="ACD22" s="3"/>
      <c r="ACE22" s="3"/>
      <c r="ACF22" s="3"/>
      <c r="ACG22" s="3"/>
      <c r="ACH22" s="3"/>
      <c r="ACI22" s="3"/>
      <c r="ACJ22" s="3"/>
      <c r="ACK22" s="3"/>
      <c r="ACL22" s="3"/>
      <c r="ACM22" s="3"/>
      <c r="ACN22" s="3"/>
      <c r="ACO22" s="3"/>
      <c r="ACP22" s="3"/>
    </row>
    <row r="23" spans="1:770">
      <c r="A23" s="292" t="e">
        <f t="shared" si="1"/>
        <v>#REF!</v>
      </c>
      <c r="B23" s="169" t="s">
        <v>527</v>
      </c>
      <c r="C23" s="437">
        <v>16355050198148</v>
      </c>
      <c r="D23" s="286">
        <v>5510003139</v>
      </c>
      <c r="E23" s="169" t="s">
        <v>527</v>
      </c>
      <c r="F23" s="121" t="str">
        <f>VLOOKUP(B23,distribucion!B$9:FK$200,2,0)</f>
        <v>Asistente de Import-compras Internaciuonales</v>
      </c>
      <c r="G23" s="121">
        <f>ROUND((VLOOKUP($B23,'Nomina Proquima'!$B$4:$AB$145,4,0)),2)</f>
        <v>30</v>
      </c>
      <c r="H23" s="238">
        <f>ROUND((VLOOKUP($B23,'Nomina Proquima'!$B$4:$AB$145,6,0)),2)</f>
        <v>4550</v>
      </c>
      <c r="I23" s="238">
        <f>ROUND((VLOOKUP($B23,'Nomina Proquima'!$B$4:$AB$145,7,0)),2)</f>
        <v>1000</v>
      </c>
      <c r="J23" s="238">
        <f>ROUND((VLOOKUP($B23,'Nomina Proquima'!$B$4:$AB$145,9,0)),2)</f>
        <v>0</v>
      </c>
      <c r="K23" s="238">
        <f>ROUND((VLOOKUP($B23,'Nomina Proquima'!$B$4:$AB$145,10,0)),2)</f>
        <v>0</v>
      </c>
      <c r="L23" s="238">
        <f>ROUND((VLOOKUP($B23,'Nomina Proquima'!$B$4:$AB$145,11,0)),2)</f>
        <v>0</v>
      </c>
      <c r="M23" s="238">
        <f>ROUND((VLOOKUP($B23,'Nomina Proquima'!$B$4:$AB$145,12,0)),2)</f>
        <v>0</v>
      </c>
      <c r="N23" s="238">
        <f>ROUND((VLOOKUP($B23,'Nomina Proquima'!$B$4:$AB$145,13,0)),2)</f>
        <v>0</v>
      </c>
      <c r="O23" s="238">
        <f>ROUND((VLOOKUP($B23,'Nomina Proquima'!$B$4:$AB$145,14,0)),2)</f>
        <v>5550</v>
      </c>
      <c r="P23" s="238">
        <f>ROUND((VLOOKUP($B23,'Nomina Proquima'!$B$4:$AB$145,15,0)),2)</f>
        <v>219.77</v>
      </c>
      <c r="Q23" s="238">
        <f>ROUND((VLOOKUP($B23,'Nomina Proquima'!$B$4:$AB$145,16,0)),2)</f>
        <v>64.010000000000005</v>
      </c>
      <c r="R23" s="238">
        <f>ROUND((VLOOKUP($B23,'Nomina Proquima'!$B$4:$AB$145,17,0)),2)</f>
        <v>0</v>
      </c>
      <c r="S23" s="238">
        <f>ROUND((VLOOKUP($B23,'Nomina Proquima'!$B$4:$AB$145,18,0)),2)</f>
        <v>0</v>
      </c>
      <c r="T23" s="238">
        <f>ROUND((VLOOKUP($B23,'Nomina Proquima'!$B$4:$AB$145,19,0)),2)</f>
        <v>0</v>
      </c>
      <c r="U23" s="238">
        <f>ROUND((VLOOKUP($B23,'Nomina Proquima'!$B$4:$AB$145,20,0)),2)</f>
        <v>0</v>
      </c>
      <c r="V23" s="238">
        <f>ROUND((VLOOKUP($B23,'Nomina Proquima'!$B$4:$AB$145,21,0)),2)</f>
        <v>123</v>
      </c>
      <c r="W23" s="238">
        <f>ROUND((VLOOKUP($B23,'Nomina Proquima'!$B$4:$AB$145,22,0)),2)</f>
        <v>50</v>
      </c>
      <c r="X23" s="238">
        <f>ROUND((VLOOKUP($B23,'Nomina Proquima'!$B$4:$AB$145,23,0)),2)</f>
        <v>456.78</v>
      </c>
      <c r="Y23" s="232">
        <f>ROUND((VLOOKUP($B23,'Nomina Proquima'!$B$4:$AB$147,24,0)),2)</f>
        <v>5093.22</v>
      </c>
      <c r="Z23" s="276">
        <f>VLOOKUP(B23,'Nomina Proquima'!$B$4:$AA$148,25,0)</f>
        <v>2597.12</v>
      </c>
      <c r="AA23" s="2016">
        <f>ROUND((VLOOKUP($B23,'Nomina Proquima'!$B$4:$AB$145,26,0)),2)</f>
        <v>2496.1</v>
      </c>
      <c r="AB23" s="187">
        <v>3003343380101</v>
      </c>
      <c r="AC23" s="127">
        <f>+IFERROR(VLOOKUP(B23,'Nomina Proquima'!B:Z,25,0),"")</f>
        <v>2597.12</v>
      </c>
    </row>
    <row r="24" spans="1:770" s="205" customFormat="1">
      <c r="A24" s="292" t="e">
        <f t="shared" si="1"/>
        <v>#REF!</v>
      </c>
      <c r="B24" s="220" t="s">
        <v>426</v>
      </c>
      <c r="C24" s="437">
        <v>16355050194203</v>
      </c>
      <c r="D24" s="288">
        <v>660135922</v>
      </c>
      <c r="E24" s="220" t="s">
        <v>426</v>
      </c>
      <c r="F24" s="202" t="str">
        <f>VLOOKUP(B24,distribucion!B$9:FK$200,2,0)</f>
        <v>Asesor JR Comercial</v>
      </c>
      <c r="G24" s="202">
        <f>ROUND((VLOOKUP($B24,'Nomina Proquima'!$B$4:$AB$145,4,0)),2)</f>
        <v>30</v>
      </c>
      <c r="H24" s="240">
        <f>ROUND((VLOOKUP($B24,'Nomina Proquima'!$B$4:$AB$145,6,0)),2)</f>
        <v>5000</v>
      </c>
      <c r="I24" s="240">
        <f>ROUND((VLOOKUP($B24,'Nomina Proquima'!$B$4:$AB$145,7,0)),2)</f>
        <v>17875.43</v>
      </c>
      <c r="J24" s="240">
        <f>ROUND((VLOOKUP($B24,'Nomina Proquima'!$B$4:$AB$145,9,0)),2)</f>
        <v>0</v>
      </c>
      <c r="K24" s="240">
        <f>ROUND((VLOOKUP($B24,'Nomina Proquima'!$B$4:$AB$145,10,0)),2)</f>
        <v>0</v>
      </c>
      <c r="L24" s="240">
        <f>ROUND((VLOOKUP($B24,'Nomina Proquima'!$B$4:$AB$145,11,0)),2)</f>
        <v>0</v>
      </c>
      <c r="M24" s="240">
        <f>ROUND((VLOOKUP($B24,'Nomina Proquima'!$B$4:$AB$145,12,0)),2)</f>
        <v>0</v>
      </c>
      <c r="N24" s="240">
        <f>ROUND((VLOOKUP($B24,'Nomina Proquima'!$B$4:$AB$145,13,0)),2)</f>
        <v>0</v>
      </c>
      <c r="O24" s="240">
        <f>ROUND((VLOOKUP($B24,'Nomina Proquima'!$B$4:$AB$145,14,0)),2)</f>
        <v>22875.43</v>
      </c>
      <c r="P24" s="240">
        <f>ROUND((VLOOKUP($B24,'Nomina Proquima'!$B$4:$AB$145,15,0)),2)</f>
        <v>241.5</v>
      </c>
      <c r="Q24" s="240">
        <f>ROUND((VLOOKUP($B24,'Nomina Proquima'!$B$4:$AB$145,16,0)),2)</f>
        <v>381.68</v>
      </c>
      <c r="R24" s="240">
        <f>ROUND((VLOOKUP($B24,'Nomina Proquima'!$B$4:$AB$145,17,0)),2)</f>
        <v>0</v>
      </c>
      <c r="S24" s="240">
        <f>ROUND((VLOOKUP($B24,'Nomina Proquima'!$B$4:$AB$145,18,0)),2)</f>
        <v>0</v>
      </c>
      <c r="T24" s="240">
        <f>ROUND((VLOOKUP($B24,'Nomina Proquima'!$B$4:$AB$145,19,0)),2)</f>
        <v>0</v>
      </c>
      <c r="U24" s="240">
        <f>ROUND((VLOOKUP($B24,'Nomina Proquima'!$B$4:$AB$145,20,0)),2)</f>
        <v>0</v>
      </c>
      <c r="V24" s="240">
        <f>ROUND((VLOOKUP($B24,'Nomina Proquima'!$B$4:$AB$145,21,0)),2)</f>
        <v>92</v>
      </c>
      <c r="W24" s="240">
        <f>ROUND((VLOOKUP($B24,'Nomina Proquima'!$B$4:$AB$145,22,0)),2)</f>
        <v>50</v>
      </c>
      <c r="X24" s="240">
        <f>ROUND((VLOOKUP($B24,'Nomina Proquima'!$B$4:$AB$145,23,0)),2)</f>
        <v>765.18</v>
      </c>
      <c r="Y24" s="236">
        <f>ROUND((VLOOKUP($B24,'Nomina Proquima'!$B$4:$AB$147,24,0)),2)</f>
        <v>22110.25</v>
      </c>
      <c r="Z24" s="255">
        <f>VLOOKUP(B24,'Nomina Proquima'!$B$4:$AA$148,25,0)</f>
        <v>17349.830000000002</v>
      </c>
      <c r="AA24" s="2017">
        <f>ROUND((VLOOKUP($B24,'Nomina Proquima'!$B$4:$AB$145,26,0)),2)</f>
        <v>4760.42</v>
      </c>
      <c r="AB24" s="203"/>
      <c r="AC24" s="204">
        <f>+IFERROR(VLOOKUP(B24,'Nomina Proquima'!B:Z,25,0),"")</f>
        <v>17349.830000000002</v>
      </c>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c r="NP24" s="3"/>
      <c r="NQ24" s="3"/>
      <c r="NR24" s="3"/>
      <c r="NS24" s="3"/>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3"/>
      <c r="OU24" s="3"/>
      <c r="OV24" s="3"/>
      <c r="OW24" s="3"/>
      <c r="OX24" s="3"/>
      <c r="OY24" s="3"/>
      <c r="OZ24" s="3"/>
      <c r="PA24" s="3"/>
      <c r="PB24" s="3"/>
      <c r="PC24" s="3"/>
      <c r="PD24" s="3"/>
      <c r="PE24" s="3"/>
      <c r="PF24" s="3"/>
      <c r="PG24" s="3"/>
      <c r="PH24" s="3"/>
      <c r="PI24" s="3"/>
      <c r="PJ24" s="3"/>
      <c r="PK24" s="3"/>
      <c r="PL24" s="3"/>
      <c r="PM24" s="3"/>
      <c r="PN24" s="3"/>
      <c r="PO24" s="3"/>
      <c r="PP24" s="3"/>
      <c r="PQ24" s="3"/>
      <c r="PR24" s="3"/>
      <c r="PS24" s="3"/>
      <c r="PT24" s="3"/>
      <c r="PU24" s="3"/>
      <c r="PV24" s="3"/>
      <c r="PW24" s="3"/>
      <c r="PX24" s="3"/>
      <c r="PY24" s="3"/>
      <c r="PZ24" s="3"/>
      <c r="QA24" s="3"/>
      <c r="QB24" s="3"/>
      <c r="QC24" s="3"/>
      <c r="QD24" s="3"/>
      <c r="QE24" s="3"/>
      <c r="QF24" s="3"/>
      <c r="QG24" s="3"/>
      <c r="QH24" s="3"/>
      <c r="QI24" s="3"/>
      <c r="QJ24" s="3"/>
      <c r="QK24" s="3"/>
      <c r="QL24" s="3"/>
      <c r="QM24" s="3"/>
      <c r="QN24" s="3"/>
      <c r="QO24" s="3"/>
      <c r="QP24" s="3"/>
      <c r="QQ24" s="3"/>
      <c r="QR24" s="3"/>
      <c r="QS24" s="3"/>
      <c r="QT24" s="3"/>
      <c r="QU24" s="3"/>
      <c r="QV24" s="3"/>
      <c r="QW24" s="3"/>
      <c r="QX24" s="3"/>
      <c r="QY24" s="3"/>
      <c r="QZ24" s="3"/>
      <c r="RA24" s="3"/>
      <c r="RB24" s="3"/>
      <c r="RC24" s="3"/>
      <c r="RD24" s="3"/>
      <c r="RE24" s="3"/>
      <c r="RF24" s="3"/>
      <c r="RG24" s="3"/>
      <c r="RH24" s="3"/>
      <c r="RI24" s="3"/>
      <c r="RJ24" s="3"/>
      <c r="RK24" s="3"/>
      <c r="RL24" s="3"/>
      <c r="RM24" s="3"/>
      <c r="RN24" s="3"/>
      <c r="RO24" s="3"/>
      <c r="RP24" s="3"/>
      <c r="RQ24" s="3"/>
      <c r="RR24" s="3"/>
      <c r="RS24" s="3"/>
      <c r="RT24" s="3"/>
      <c r="RU24" s="3"/>
      <c r="RV24" s="3"/>
      <c r="RW24" s="3"/>
      <c r="RX24" s="3"/>
      <c r="RY24" s="3"/>
      <c r="RZ24" s="3"/>
      <c r="SA24" s="3"/>
      <c r="SB24" s="3"/>
      <c r="SC24" s="3"/>
      <c r="SD24" s="3"/>
      <c r="SE24" s="3"/>
      <c r="SF24" s="3"/>
      <c r="SG24" s="3"/>
      <c r="SH24" s="3"/>
      <c r="SI24" s="3"/>
      <c r="SJ24" s="3"/>
      <c r="SK24" s="3"/>
      <c r="SL24" s="3"/>
      <c r="SM24" s="3"/>
      <c r="SN24" s="3"/>
      <c r="SO24" s="3"/>
      <c r="SP24" s="3"/>
      <c r="SQ24" s="3"/>
      <c r="SR24" s="3"/>
      <c r="SS24" s="3"/>
      <c r="ST24" s="3"/>
      <c r="SU24" s="3"/>
      <c r="SV24" s="3"/>
      <c r="SW24" s="3"/>
      <c r="SX24" s="3"/>
      <c r="SY24" s="3"/>
      <c r="SZ24" s="3"/>
      <c r="TA24" s="3"/>
      <c r="TB24" s="3"/>
      <c r="TC24" s="3"/>
      <c r="TD24" s="3"/>
      <c r="TE24" s="3"/>
      <c r="TF24" s="3"/>
      <c r="TG24" s="3"/>
      <c r="TH24" s="3"/>
      <c r="TI24" s="3"/>
      <c r="TJ24" s="3"/>
      <c r="TK24" s="3"/>
      <c r="TL24" s="3"/>
      <c r="TM24" s="3"/>
      <c r="TN24" s="3"/>
      <c r="TO24" s="3"/>
      <c r="TP24" s="3"/>
      <c r="TQ24" s="3"/>
      <c r="TR24" s="3"/>
      <c r="TS24" s="3"/>
      <c r="TT24" s="3"/>
      <c r="TU24" s="3"/>
      <c r="TV24" s="3"/>
      <c r="TW24" s="3"/>
      <c r="TX24" s="3"/>
      <c r="TY24" s="3"/>
      <c r="TZ24" s="3"/>
      <c r="UA24" s="3"/>
      <c r="UB24" s="3"/>
      <c r="UC24" s="3"/>
      <c r="UD24" s="3"/>
      <c r="UE24" s="3"/>
      <c r="UF24" s="3"/>
      <c r="UG24" s="3"/>
      <c r="UH24" s="3"/>
      <c r="UI24" s="3"/>
      <c r="UJ24" s="3"/>
      <c r="UK24" s="3"/>
      <c r="UL24" s="3"/>
      <c r="UM24" s="3"/>
      <c r="UN24" s="3"/>
      <c r="UO24" s="3"/>
      <c r="UP24" s="3"/>
      <c r="UQ24" s="3"/>
      <c r="UR24" s="3"/>
      <c r="US24" s="3"/>
      <c r="UT24" s="3"/>
      <c r="UU24" s="3"/>
      <c r="UV24" s="3"/>
      <c r="UW24" s="3"/>
      <c r="UX24" s="3"/>
      <c r="UY24" s="3"/>
      <c r="UZ24" s="3"/>
      <c r="VA24" s="3"/>
      <c r="VB24" s="3"/>
      <c r="VC24" s="3"/>
      <c r="VD24" s="3"/>
      <c r="VE24" s="3"/>
      <c r="VF24" s="3"/>
      <c r="VG24" s="3"/>
      <c r="VH24" s="3"/>
      <c r="VI24" s="3"/>
      <c r="VJ24" s="3"/>
      <c r="VK24" s="3"/>
      <c r="VL24" s="3"/>
      <c r="VM24" s="3"/>
      <c r="VN24" s="3"/>
      <c r="VO24" s="3"/>
      <c r="VP24" s="3"/>
      <c r="VQ24" s="3"/>
      <c r="VR24" s="3"/>
      <c r="VS24" s="3"/>
      <c r="VT24" s="3"/>
      <c r="VU24" s="3"/>
      <c r="VV24" s="3"/>
      <c r="VW24" s="3"/>
      <c r="VX24" s="3"/>
      <c r="VY24" s="3"/>
      <c r="VZ24" s="3"/>
      <c r="WA24" s="3"/>
      <c r="WB24" s="3"/>
      <c r="WC24" s="3"/>
      <c r="WD24" s="3"/>
      <c r="WE24" s="3"/>
      <c r="WF24" s="3"/>
      <c r="WG24" s="3"/>
      <c r="WH24" s="3"/>
      <c r="WI24" s="3"/>
      <c r="WJ24" s="3"/>
      <c r="WK24" s="3"/>
      <c r="WL24" s="3"/>
      <c r="WM24" s="3"/>
      <c r="WN24" s="3"/>
      <c r="WO24" s="3"/>
      <c r="WP24" s="3"/>
      <c r="WQ24" s="3"/>
      <c r="WR24" s="3"/>
      <c r="WS24" s="3"/>
      <c r="WT24" s="3"/>
      <c r="WU24" s="3"/>
      <c r="WV24" s="3"/>
      <c r="WW24" s="3"/>
      <c r="WX24" s="3"/>
      <c r="WY24" s="3"/>
      <c r="WZ24" s="3"/>
      <c r="XA24" s="3"/>
      <c r="XB24" s="3"/>
      <c r="XC24" s="3"/>
      <c r="XD24" s="3"/>
      <c r="XE24" s="3"/>
      <c r="XF24" s="3"/>
      <c r="XG24" s="3"/>
      <c r="XH24" s="3"/>
      <c r="XI24" s="3"/>
      <c r="XJ24" s="3"/>
      <c r="XK24" s="3"/>
      <c r="XL24" s="3"/>
      <c r="XM24" s="3"/>
      <c r="XN24" s="3"/>
      <c r="XO24" s="3"/>
      <c r="XP24" s="3"/>
      <c r="XQ24" s="3"/>
      <c r="XR24" s="3"/>
      <c r="XS24" s="3"/>
      <c r="XT24" s="3"/>
      <c r="XU24" s="3"/>
      <c r="XV24" s="3"/>
      <c r="XW24" s="3"/>
      <c r="XX24" s="3"/>
      <c r="XY24" s="3"/>
      <c r="XZ24" s="3"/>
      <c r="YA24" s="3"/>
      <c r="YB24" s="3"/>
      <c r="YC24" s="3"/>
      <c r="YD24" s="3"/>
      <c r="YE24" s="3"/>
      <c r="YF24" s="3"/>
      <c r="YG24" s="3"/>
      <c r="YH24" s="3"/>
      <c r="YI24" s="3"/>
      <c r="YJ24" s="3"/>
      <c r="YK24" s="3"/>
      <c r="YL24" s="3"/>
      <c r="YM24" s="3"/>
      <c r="YN24" s="3"/>
      <c r="YO24" s="3"/>
      <c r="YP24" s="3"/>
      <c r="YQ24" s="3"/>
      <c r="YR24" s="3"/>
      <c r="YS24" s="3"/>
      <c r="YT24" s="3"/>
      <c r="YU24" s="3"/>
      <c r="YV24" s="3"/>
      <c r="YW24" s="3"/>
      <c r="YX24" s="3"/>
      <c r="YY24" s="3"/>
      <c r="YZ24" s="3"/>
      <c r="ZA24" s="3"/>
      <c r="ZB24" s="3"/>
      <c r="ZC24" s="3"/>
      <c r="ZD24" s="3"/>
      <c r="ZE24" s="3"/>
      <c r="ZF24" s="3"/>
      <c r="ZG24" s="3"/>
      <c r="ZH24" s="3"/>
      <c r="ZI24" s="3"/>
      <c r="ZJ24" s="3"/>
      <c r="ZK24" s="3"/>
      <c r="ZL24" s="3"/>
      <c r="ZM24" s="3"/>
      <c r="ZN24" s="3"/>
      <c r="ZO24" s="3"/>
      <c r="ZP24" s="3"/>
      <c r="ZQ24" s="3"/>
      <c r="ZR24" s="3"/>
      <c r="ZS24" s="3"/>
      <c r="ZT24" s="3"/>
      <c r="ZU24" s="3"/>
      <c r="ZV24" s="3"/>
      <c r="ZW24" s="3"/>
      <c r="ZX24" s="3"/>
      <c r="ZY24" s="3"/>
      <c r="ZZ24" s="3"/>
      <c r="AAA24" s="3"/>
      <c r="AAB24" s="3"/>
      <c r="AAC24" s="3"/>
      <c r="AAD24" s="3"/>
      <c r="AAE24" s="3"/>
      <c r="AAF24" s="3"/>
      <c r="AAG24" s="3"/>
      <c r="AAH24" s="3"/>
      <c r="AAI24" s="3"/>
      <c r="AAJ24" s="3"/>
      <c r="AAK24" s="3"/>
      <c r="AAL24" s="3"/>
      <c r="AAM24" s="3"/>
      <c r="AAN24" s="3"/>
      <c r="AAO24" s="3"/>
      <c r="AAP24" s="3"/>
      <c r="AAQ24" s="3"/>
      <c r="AAR24" s="3"/>
      <c r="AAS24" s="3"/>
      <c r="AAT24" s="3"/>
      <c r="AAU24" s="3"/>
      <c r="AAV24" s="3"/>
      <c r="AAW24" s="3"/>
      <c r="AAX24" s="3"/>
      <c r="AAY24" s="3"/>
      <c r="AAZ24" s="3"/>
      <c r="ABA24" s="3"/>
      <c r="ABB24" s="3"/>
      <c r="ABC24" s="3"/>
      <c r="ABD24" s="3"/>
      <c r="ABE24" s="3"/>
      <c r="ABF24" s="3"/>
      <c r="ABG24" s="3"/>
      <c r="ABH24" s="3"/>
      <c r="ABI24" s="3"/>
      <c r="ABJ24" s="3"/>
      <c r="ABK24" s="3"/>
      <c r="ABL24" s="3"/>
      <c r="ABM24" s="3"/>
      <c r="ABN24" s="3"/>
      <c r="ABO24" s="3"/>
      <c r="ABP24" s="3"/>
      <c r="ABQ24" s="3"/>
      <c r="ABR24" s="3"/>
      <c r="ABS24" s="3"/>
      <c r="ABT24" s="3"/>
      <c r="ABU24" s="3"/>
      <c r="ABV24" s="3"/>
      <c r="ABW24" s="3"/>
      <c r="ABX24" s="3"/>
      <c r="ABY24" s="3"/>
      <c r="ABZ24" s="3"/>
      <c r="ACA24" s="3"/>
      <c r="ACB24" s="3"/>
      <c r="ACC24" s="3"/>
      <c r="ACD24" s="3"/>
      <c r="ACE24" s="3"/>
      <c r="ACF24" s="3"/>
      <c r="ACG24" s="3"/>
      <c r="ACH24" s="3"/>
      <c r="ACI24" s="3"/>
      <c r="ACJ24" s="3"/>
      <c r="ACK24" s="3"/>
      <c r="ACL24" s="3"/>
      <c r="ACM24" s="3"/>
      <c r="ACN24" s="3"/>
      <c r="ACO24" s="3"/>
      <c r="ACP24" s="3"/>
    </row>
    <row r="25" spans="1:770">
      <c r="A25" s="292" t="e">
        <f>+#REF!+1</f>
        <v>#REF!</v>
      </c>
      <c r="B25" s="169" t="s">
        <v>530</v>
      </c>
      <c r="C25" s="1130">
        <v>16355050205844</v>
      </c>
      <c r="D25" s="283">
        <v>16355050205844</v>
      </c>
      <c r="E25" s="169" t="s">
        <v>530</v>
      </c>
      <c r="F25" s="121" t="str">
        <f>VLOOKUP(B25,distribucion!B$9:FK$200,2,0)</f>
        <v>Coordinador de Produccion</v>
      </c>
      <c r="G25" s="121">
        <f>ROUND((VLOOKUP($B25,'Nomina Proquima'!$B$4:$AB$145,4,0)),2)</f>
        <v>30</v>
      </c>
      <c r="H25" s="238">
        <f>ROUND((VLOOKUP($B25,'Nomina Proquima'!$B$4:$AB$145,6,0)),2)</f>
        <v>4000</v>
      </c>
      <c r="I25" s="238">
        <f>ROUND((VLOOKUP($B25,'Nomina Proquima'!$B$4:$AB$145,7,0)),2)</f>
        <v>3689.67</v>
      </c>
      <c r="J25" s="238">
        <f>ROUND((VLOOKUP($B25,'Nomina Proquima'!$B$4:$AB$145,9,0)),2)</f>
        <v>0</v>
      </c>
      <c r="K25" s="238">
        <f>ROUND((VLOOKUP($B25,'Nomina Proquima'!$B$4:$AB$145,10,0)),2)</f>
        <v>0</v>
      </c>
      <c r="L25" s="238">
        <f>ROUND((VLOOKUP($B25,'Nomina Proquima'!$B$4:$AB$145,11,0)),2)</f>
        <v>0</v>
      </c>
      <c r="M25" s="238">
        <f>ROUND((VLOOKUP($B25,'Nomina Proquima'!$B$4:$AB$145,12,0)),2)</f>
        <v>0</v>
      </c>
      <c r="N25" s="238">
        <f>ROUND((VLOOKUP($B25,'Nomina Proquima'!$B$4:$AB$145,13,0)),2)</f>
        <v>0</v>
      </c>
      <c r="O25" s="238">
        <f>ROUND((VLOOKUP($B25,'Nomina Proquima'!$B$4:$AB$145,14,0)),2)</f>
        <v>7689.67</v>
      </c>
      <c r="P25" s="238">
        <f>ROUND((VLOOKUP($B25,'Nomina Proquima'!$B$4:$AB$145,15,0)),2)</f>
        <v>193.2</v>
      </c>
      <c r="Q25" s="238">
        <f>ROUND((VLOOKUP($B25,'Nomina Proquima'!$B$4:$AB$145,16,0)),2)</f>
        <v>135.34</v>
      </c>
      <c r="R25" s="238">
        <f>ROUND((VLOOKUP($B25,'Nomina Proquima'!$B$4:$AB$145,17,0)),2)</f>
        <v>992.95</v>
      </c>
      <c r="S25" s="238">
        <f>ROUND((VLOOKUP($B25,'Nomina Proquima'!$B$4:$AB$145,18,0)),2)</f>
        <v>0</v>
      </c>
      <c r="T25" s="238">
        <f>ROUND((VLOOKUP($B25,'Nomina Proquima'!$B$4:$AB$145,19,0)),2)</f>
        <v>0</v>
      </c>
      <c r="U25" s="238">
        <f>ROUND((VLOOKUP($B25,'Nomina Proquima'!$B$4:$AB$145,20,0)),2)</f>
        <v>0</v>
      </c>
      <c r="V25" s="238">
        <f>ROUND((VLOOKUP($B25,'Nomina Proquima'!$B$4:$AB$145,21,0)),2)</f>
        <v>386.25</v>
      </c>
      <c r="W25" s="238">
        <f>ROUND((VLOOKUP($B25,'Nomina Proquima'!$B$4:$AB$145,22,0)),2)</f>
        <v>50</v>
      </c>
      <c r="X25" s="238">
        <f>ROUND((VLOOKUP($B25,'Nomina Proquima'!$B$4:$AB$145,23,0)),2)</f>
        <v>1757.74</v>
      </c>
      <c r="Y25" s="232">
        <f>ROUND((VLOOKUP($B25,'Nomina Proquima'!$B$4:$AB$147,24,0)),2)</f>
        <v>5931.93</v>
      </c>
      <c r="Z25" s="276">
        <f>VLOOKUP(B25,'Nomina Proquima'!$B$4:$AA$148,25,0)</f>
        <v>4403.34</v>
      </c>
      <c r="AA25" s="2016">
        <f>ROUND((VLOOKUP($B25,'Nomina Proquima'!$B$4:$AB$145,26,0)),2)</f>
        <v>1528.59</v>
      </c>
      <c r="AB25" s="187">
        <v>201300370370</v>
      </c>
      <c r="AC25" s="127">
        <f>+IFERROR(VLOOKUP(B25,'Nomina Proquima'!B:Z,25,0),"")</f>
        <v>4403.34</v>
      </c>
    </row>
    <row r="26" spans="1:770">
      <c r="A26" s="292" t="e">
        <f t="shared" si="1"/>
        <v>#REF!</v>
      </c>
      <c r="B26" s="169" t="s">
        <v>531</v>
      </c>
      <c r="C26" s="1130">
        <v>16355050206678</v>
      </c>
      <c r="D26" s="283">
        <v>16355050206678</v>
      </c>
      <c r="E26" s="169" t="s">
        <v>531</v>
      </c>
      <c r="F26" s="121" t="str">
        <f>VLOOKUP(B26,distribucion!B$9:FK$200,2,0)</f>
        <v>Operario</v>
      </c>
      <c r="G26" s="121">
        <f>ROUND((VLOOKUP($B26,'Nomina Proquima'!$B$4:$AB$145,4,0)),2)</f>
        <v>30</v>
      </c>
      <c r="H26" s="238">
        <f>ROUND((VLOOKUP($B26,'Nomina Proquima'!$B$4:$AB$145,6,0)),2)</f>
        <v>3166.38</v>
      </c>
      <c r="I26" s="238">
        <f>ROUND((VLOOKUP($B26,'Nomina Proquima'!$B$4:$AB$145,7,0)),2)</f>
        <v>1375</v>
      </c>
      <c r="J26" s="238">
        <f>ROUND((VLOOKUP($B26,'Nomina Proquima'!$B$4:$AB$145,9,0)),2)</f>
        <v>0</v>
      </c>
      <c r="K26" s="238">
        <f>ROUND((VLOOKUP($B26,'Nomina Proquima'!$B$4:$AB$145,10,0)),2)</f>
        <v>0</v>
      </c>
      <c r="L26" s="238">
        <f>ROUND((VLOOKUP($B26,'Nomina Proquima'!$B$4:$AB$145,11,0)),2)</f>
        <v>0</v>
      </c>
      <c r="M26" s="238">
        <f>ROUND((VLOOKUP($B26,'Nomina Proquima'!$B$4:$AB$145,12,0)),2)</f>
        <v>0</v>
      </c>
      <c r="N26" s="238">
        <f>ROUND((VLOOKUP($B26,'Nomina Proquima'!$B$4:$AB$145,13,0)),2)</f>
        <v>0</v>
      </c>
      <c r="O26" s="238">
        <f>ROUND((VLOOKUP($B26,'Nomina Proquima'!$B$4:$AB$145,14,0)),2)</f>
        <v>4541.38</v>
      </c>
      <c r="P26" s="238">
        <f>ROUND((VLOOKUP($B26,'Nomina Proquima'!$B$4:$AB$145,15,0)),2)</f>
        <v>152.94</v>
      </c>
      <c r="Q26" s="238">
        <f>ROUND((VLOOKUP($B26,'Nomina Proquima'!$B$4:$AB$145,16,0)),2)</f>
        <v>38.17</v>
      </c>
      <c r="R26" s="238">
        <f>ROUND((VLOOKUP($B26,'Nomina Proquima'!$B$4:$AB$145,17,0)),2)</f>
        <v>2124.64</v>
      </c>
      <c r="S26" s="238">
        <f>ROUND((VLOOKUP($B26,'Nomina Proquima'!$B$4:$AB$145,18,0)),2)</f>
        <v>0</v>
      </c>
      <c r="T26" s="238">
        <f>ROUND((VLOOKUP($B26,'Nomina Proquima'!$B$4:$AB$145,19,0)),2)</f>
        <v>0</v>
      </c>
      <c r="U26" s="238">
        <f>ROUND((VLOOKUP($B26,'Nomina Proquima'!$B$4:$AB$145,20,0)),2)</f>
        <v>0</v>
      </c>
      <c r="V26" s="238">
        <f>ROUND((VLOOKUP($B26,'Nomina Proquima'!$B$4:$AB$145,21,0)),2)</f>
        <v>431.25</v>
      </c>
      <c r="W26" s="238">
        <f>ROUND((VLOOKUP($B26,'Nomina Proquima'!$B$4:$AB$145,22,0)),2)</f>
        <v>50</v>
      </c>
      <c r="X26" s="238">
        <f>ROUND((VLOOKUP($B26,'Nomina Proquima'!$B$4:$AB$145,23,0)),2)</f>
        <v>2797</v>
      </c>
      <c r="Y26" s="232">
        <f>ROUND((VLOOKUP($B26,'Nomina Proquima'!$B$4:$AB$147,24,0)),2)</f>
        <v>1744.38</v>
      </c>
      <c r="Z26" s="276">
        <f>VLOOKUP(B26,'Nomina Proquima'!$B$4:$AA$148,25,0)</f>
        <v>396.15000000000009</v>
      </c>
      <c r="AA26" s="2016">
        <f>ROUND((VLOOKUP($B26,'Nomina Proquima'!$B$4:$AB$145,26,0)),2)</f>
        <v>1348.23</v>
      </c>
      <c r="AB26" s="187">
        <v>0</v>
      </c>
      <c r="AC26" s="127">
        <f>+IFERROR(VLOOKUP(B26,'Nomina Proquima'!B:Z,25,0),"")</f>
        <v>396.15000000000009</v>
      </c>
    </row>
    <row r="27" spans="1:770">
      <c r="A27" s="292" t="e">
        <f t="shared" si="1"/>
        <v>#REF!</v>
      </c>
      <c r="B27" s="169" t="s">
        <v>533</v>
      </c>
      <c r="C27" s="1130">
        <v>16355050206743</v>
      </c>
      <c r="D27" s="283">
        <v>16355050206743</v>
      </c>
      <c r="E27" s="169" t="s">
        <v>533</v>
      </c>
      <c r="F27" s="121" t="str">
        <f>VLOOKUP(B27,distribucion!B$9:FK$200,2,0)</f>
        <v>Operario</v>
      </c>
      <c r="G27" s="121">
        <f>ROUND((VLOOKUP($B27,'Nomina Proquima'!$B$4:$AB$145,4,0)),2)</f>
        <v>3</v>
      </c>
      <c r="H27" s="238">
        <f>ROUND((VLOOKUP($B27,'Nomina Proquima'!$B$4:$AB$145,6,0)),2)</f>
        <v>316.64</v>
      </c>
      <c r="I27" s="238">
        <f>ROUND((VLOOKUP($B27,'Nomina Proquima'!$B$4:$AB$145,7,0)),2)</f>
        <v>700</v>
      </c>
      <c r="J27" s="238">
        <f>ROUND((VLOOKUP($B27,'Nomina Proquima'!$B$4:$AB$145,9,0)),2)</f>
        <v>0</v>
      </c>
      <c r="K27" s="238">
        <f>ROUND((VLOOKUP($B27,'Nomina Proquima'!$B$4:$AB$145,10,0)),2)</f>
        <v>0</v>
      </c>
      <c r="L27" s="238">
        <f>ROUND((VLOOKUP($B27,'Nomina Proquima'!$B$4:$AB$145,11,0)),2)</f>
        <v>0</v>
      </c>
      <c r="M27" s="238">
        <f>ROUND((VLOOKUP($B27,'Nomina Proquima'!$B$4:$AB$145,12,0)),2)</f>
        <v>0</v>
      </c>
      <c r="N27" s="238">
        <f>ROUND((VLOOKUP($B27,'Nomina Proquima'!$B$4:$AB$145,13,0)),2)</f>
        <v>0</v>
      </c>
      <c r="O27" s="238">
        <f>ROUND((VLOOKUP($B27,'Nomina Proquima'!$B$4:$AB$145,14,0)),2)</f>
        <v>1016.64</v>
      </c>
      <c r="P27" s="238">
        <f>ROUND((VLOOKUP($B27,'Nomina Proquima'!$B$4:$AB$145,15,0)),2)</f>
        <v>15.29</v>
      </c>
      <c r="Q27" s="238">
        <f>ROUND((VLOOKUP($B27,'Nomina Proquima'!$B$4:$AB$145,16,0)),2)</f>
        <v>0</v>
      </c>
      <c r="R27" s="238">
        <f>ROUND((VLOOKUP($B27,'Nomina Proquima'!$B$4:$AB$145,17,0)),2)</f>
        <v>477.58</v>
      </c>
      <c r="S27" s="238">
        <f>ROUND((VLOOKUP($B27,'Nomina Proquima'!$B$4:$AB$145,18,0)),2)</f>
        <v>0</v>
      </c>
      <c r="T27" s="238">
        <f>ROUND((VLOOKUP($B27,'Nomina Proquima'!$B$4:$AB$145,19,0)),2)</f>
        <v>0</v>
      </c>
      <c r="U27" s="238">
        <f>ROUND((VLOOKUP($B27,'Nomina Proquima'!$B$4:$AB$145,20,0)),2)</f>
        <v>0</v>
      </c>
      <c r="V27" s="238">
        <f>ROUND((VLOOKUP($B27,'Nomina Proquima'!$B$4:$AB$145,21,0)),2)</f>
        <v>0</v>
      </c>
      <c r="W27" s="238">
        <f>ROUND((VLOOKUP($B27,'Nomina Proquima'!$B$4:$AB$145,22,0)),2)</f>
        <v>0</v>
      </c>
      <c r="X27" s="238">
        <f>ROUND((VLOOKUP($B27,'Nomina Proquima'!$B$4:$AB$145,23,0)),2)</f>
        <v>492.87</v>
      </c>
      <c r="Y27" s="232">
        <f>ROUND((VLOOKUP($B27,'Nomina Proquima'!$B$4:$AB$147,24,0)),2)</f>
        <v>523.77</v>
      </c>
      <c r="Z27" s="276">
        <f>VLOOKUP(B27,'Nomina Proquima'!$B$4:$AA$148,25,0)</f>
        <v>523.77</v>
      </c>
      <c r="AA27" s="2016">
        <f>ROUND((VLOOKUP($B27,'Nomina Proquima'!$B$4:$AB$145,26,0)),2)</f>
        <v>0</v>
      </c>
      <c r="AB27" s="187"/>
      <c r="AC27" s="127">
        <f>+IFERROR(VLOOKUP(B27,'Nomina Proquima'!B:Z,25,0),"")</f>
        <v>523.77</v>
      </c>
    </row>
    <row r="28" spans="1:770">
      <c r="A28" s="292" t="e">
        <f t="shared" si="1"/>
        <v>#REF!</v>
      </c>
      <c r="B28" s="169" t="s">
        <v>534</v>
      </c>
      <c r="C28" s="1130">
        <v>16355050207395</v>
      </c>
      <c r="D28" s="283">
        <v>16355050207395</v>
      </c>
      <c r="E28" s="169" t="s">
        <v>534</v>
      </c>
      <c r="F28" s="121" t="str">
        <f>VLOOKUP(B28,distribucion!B$9:FK$200,2,0)</f>
        <v>Operario</v>
      </c>
      <c r="G28" s="121">
        <f>ROUND((VLOOKUP($B28,'Nomina Proquima'!$B$4:$AB$145,4,0)),2)</f>
        <v>9</v>
      </c>
      <c r="H28" s="238">
        <f>ROUND((VLOOKUP($B28,'Nomina Proquima'!$B$4:$AB$145,6,0)),2)</f>
        <v>949.91</v>
      </c>
      <c r="I28" s="238">
        <f>ROUND((VLOOKUP($B28,'Nomina Proquima'!$B$4:$AB$145,7,0)),2)</f>
        <v>525</v>
      </c>
      <c r="J28" s="238">
        <f>ROUND((VLOOKUP($B28,'Nomina Proquima'!$B$4:$AB$145,9,0)),2)</f>
        <v>1</v>
      </c>
      <c r="K28" s="238">
        <f>ROUND((VLOOKUP($B28,'Nomina Proquima'!$B$4:$AB$145,10,0)),2)</f>
        <v>19.79</v>
      </c>
      <c r="L28" s="238">
        <f>ROUND((VLOOKUP($B28,'Nomina Proquima'!$B$4:$AB$145,11,0)),2)</f>
        <v>0</v>
      </c>
      <c r="M28" s="238">
        <f>ROUND((VLOOKUP($B28,'Nomina Proquima'!$B$4:$AB$145,12,0)),2)</f>
        <v>0</v>
      </c>
      <c r="N28" s="238">
        <f>ROUND((VLOOKUP($B28,'Nomina Proquima'!$B$4:$AB$145,13,0)),2)</f>
        <v>0</v>
      </c>
      <c r="O28" s="238">
        <f>ROUND((VLOOKUP($B28,'Nomina Proquima'!$B$4:$AB$145,14,0)),2)</f>
        <v>1494.7</v>
      </c>
      <c r="P28" s="238">
        <f>ROUND((VLOOKUP($B28,'Nomina Proquima'!$B$4:$AB$145,15,0)),2)</f>
        <v>46.84</v>
      </c>
      <c r="Q28" s="238">
        <f>ROUND((VLOOKUP($B28,'Nomina Proquima'!$B$4:$AB$145,16,0)),2)</f>
        <v>56.99</v>
      </c>
      <c r="R28" s="238">
        <f>ROUND((VLOOKUP($B28,'Nomina Proquima'!$B$4:$AB$145,17,0)),2)</f>
        <v>591.05999999999995</v>
      </c>
      <c r="S28" s="238">
        <f>ROUND((VLOOKUP($B28,'Nomina Proquima'!$B$4:$AB$145,18,0)),2)</f>
        <v>0</v>
      </c>
      <c r="T28" s="238">
        <f>ROUND((VLOOKUP($B28,'Nomina Proquima'!$B$4:$AB$145,19,0)),2)</f>
        <v>0</v>
      </c>
      <c r="U28" s="238">
        <f>ROUND((VLOOKUP($B28,'Nomina Proquima'!$B$4:$AB$145,20,0)),2)</f>
        <v>0</v>
      </c>
      <c r="V28" s="238">
        <f>ROUND((VLOOKUP($B28,'Nomina Proquima'!$B$4:$AB$145,21,0)),2)</f>
        <v>212</v>
      </c>
      <c r="W28" s="238">
        <f>ROUND((VLOOKUP($B28,'Nomina Proquima'!$B$4:$AB$145,22,0)),2)</f>
        <v>25</v>
      </c>
      <c r="X28" s="238">
        <f>ROUND((VLOOKUP($B28,'Nomina Proquima'!$B$4:$AB$145,23,0)),2)</f>
        <v>931.89</v>
      </c>
      <c r="Y28" s="232">
        <f>ROUND((VLOOKUP($B28,'Nomina Proquima'!$B$4:$AB$147,24,0)),2)</f>
        <v>562.80999999999995</v>
      </c>
      <c r="Z28" s="276">
        <f>VLOOKUP(B28,'Nomina Proquima'!$B$4:$AA$148,25,0)</f>
        <v>531.49999999999989</v>
      </c>
      <c r="AA28" s="2016">
        <f>ROUND((VLOOKUP($B28,'Nomina Proquima'!$B$4:$AB$145,26,0)),2)</f>
        <v>31.31</v>
      </c>
      <c r="AB28" s="187"/>
      <c r="AC28" s="127">
        <f>+IFERROR(VLOOKUP(B28,'Nomina Proquima'!B:Z,25,0),"")</f>
        <v>531.49999999999989</v>
      </c>
    </row>
    <row r="29" spans="1:770" s="252" customFormat="1">
      <c r="A29" s="292" t="e">
        <f t="shared" si="1"/>
        <v>#REF!</v>
      </c>
      <c r="B29" s="308" t="s">
        <v>535</v>
      </c>
      <c r="C29" s="288">
        <v>12055050256417</v>
      </c>
      <c r="D29" s="290">
        <v>12055050256417</v>
      </c>
      <c r="E29" s="254" t="s">
        <v>535</v>
      </c>
      <c r="F29" s="244" t="str">
        <f>VLOOKUP(B29,distribucion!B$9:FK$200,2,0)</f>
        <v>Analista Programador</v>
      </c>
      <c r="G29" s="244">
        <f>ROUND((VLOOKUP($B29,'Nomina Proquima'!$B$4:$AB$145,4,0)),2)</f>
        <v>30</v>
      </c>
      <c r="H29" s="245">
        <f>ROUND((VLOOKUP($B29,'Nomina Proquima'!$B$4:$AB$145,6,0)),2)</f>
        <v>4750</v>
      </c>
      <c r="I29" s="245">
        <f>ROUND((VLOOKUP($B29,'Nomina Proquima'!$B$4:$AB$145,7,0)),2)</f>
        <v>1250</v>
      </c>
      <c r="J29" s="245">
        <f>ROUND((VLOOKUP($B29,'Nomina Proquima'!$B$4:$AB$145,9,0)),2)</f>
        <v>0</v>
      </c>
      <c r="K29" s="245">
        <f>ROUND((VLOOKUP($B29,'Nomina Proquima'!$B$4:$AB$145,10,0)),2)</f>
        <v>0</v>
      </c>
      <c r="L29" s="245">
        <f>ROUND((VLOOKUP($B29,'Nomina Proquima'!$B$4:$AB$145,11,0)),2)</f>
        <v>0</v>
      </c>
      <c r="M29" s="245">
        <f>ROUND((VLOOKUP($B29,'Nomina Proquima'!$B$4:$AB$145,12,0)),2)</f>
        <v>0</v>
      </c>
      <c r="N29" s="245">
        <f>ROUND((VLOOKUP($B29,'Nomina Proquima'!$B$4:$AB$145,13,0)),2)</f>
        <v>0</v>
      </c>
      <c r="O29" s="245">
        <f>ROUND((VLOOKUP($B29,'Nomina Proquima'!$B$4:$AB$145,14,0)),2)</f>
        <v>6000</v>
      </c>
      <c r="P29" s="245">
        <f>ROUND((VLOOKUP($B29,'Nomina Proquima'!$B$4:$AB$145,15,0)),2)</f>
        <v>229.43</v>
      </c>
      <c r="Q29" s="245">
        <f>ROUND((VLOOKUP($B29,'Nomina Proquima'!$B$4:$AB$145,16,0)),2)</f>
        <v>88.53</v>
      </c>
      <c r="R29" s="245">
        <f>ROUND((VLOOKUP($B29,'Nomina Proquima'!$B$4:$AB$145,17,0)),2)</f>
        <v>0</v>
      </c>
      <c r="S29" s="245">
        <f>ROUND((VLOOKUP($B29,'Nomina Proquima'!$B$4:$AB$145,18,0)),2)</f>
        <v>0</v>
      </c>
      <c r="T29" s="245">
        <f>ROUND((VLOOKUP($B29,'Nomina Proquima'!$B$4:$AB$145,19,0)),2)</f>
        <v>0</v>
      </c>
      <c r="U29" s="245">
        <f>ROUND((VLOOKUP($B29,'Nomina Proquima'!$B$4:$AB$145,20,0)),2)</f>
        <v>0</v>
      </c>
      <c r="V29" s="245">
        <f>ROUND((VLOOKUP($B29,'Nomina Proquima'!$B$4:$AB$145,21,0)),2)</f>
        <v>0</v>
      </c>
      <c r="W29" s="245">
        <f>ROUND((VLOOKUP($B29,'Nomina Proquima'!$B$4:$AB$145,22,0)),2)</f>
        <v>0</v>
      </c>
      <c r="X29" s="245">
        <f>ROUND((VLOOKUP($B29,'Nomina Proquima'!$B$4:$AB$145,23,0)),2)</f>
        <v>317.95999999999998</v>
      </c>
      <c r="Y29" s="234">
        <f>ROUND((VLOOKUP($B29,'Nomina Proquima'!$B$4:$AB$147,24,0)),2)</f>
        <v>5682.04</v>
      </c>
      <c r="Z29" s="255">
        <f>VLOOKUP(B29,'Nomina Proquima'!$B$4:$AA$148,25,0)</f>
        <v>2528.4</v>
      </c>
      <c r="AA29" s="245">
        <f>ROUND((VLOOKUP($B29,'Nomina Proquima'!$B$4:$AB$145,26,0)),2)</f>
        <v>3153.64</v>
      </c>
      <c r="AB29" s="246"/>
      <c r="AC29" s="247">
        <f>+IFERROR(VLOOKUP(B29,'Nomina Proquima'!B:Z,25,0),"")</f>
        <v>2528.4</v>
      </c>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c r="NP29" s="3"/>
      <c r="NQ29" s="3"/>
      <c r="NR29" s="3"/>
      <c r="NS29" s="3"/>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3"/>
      <c r="OU29" s="3"/>
      <c r="OV29" s="3"/>
      <c r="OW29" s="3"/>
      <c r="OX29" s="3"/>
      <c r="OY29" s="3"/>
      <c r="OZ29" s="3"/>
      <c r="PA29" s="3"/>
      <c r="PB29" s="3"/>
      <c r="PC29" s="3"/>
      <c r="PD29" s="3"/>
      <c r="PE29" s="3"/>
      <c r="PF29" s="3"/>
      <c r="PG29" s="3"/>
      <c r="PH29" s="3"/>
      <c r="PI29" s="3"/>
      <c r="PJ29" s="3"/>
      <c r="PK29" s="3"/>
      <c r="PL29" s="3"/>
      <c r="PM29" s="3"/>
      <c r="PN29" s="3"/>
      <c r="PO29" s="3"/>
      <c r="PP29" s="3"/>
      <c r="PQ29" s="3"/>
      <c r="PR29" s="3"/>
      <c r="PS29" s="3"/>
      <c r="PT29" s="3"/>
      <c r="PU29" s="3"/>
      <c r="PV29" s="3"/>
      <c r="PW29" s="3"/>
      <c r="PX29" s="3"/>
      <c r="PY29" s="3"/>
      <c r="PZ29" s="3"/>
      <c r="QA29" s="3"/>
      <c r="QB29" s="3"/>
      <c r="QC29" s="3"/>
      <c r="QD29" s="3"/>
      <c r="QE29" s="3"/>
      <c r="QF29" s="3"/>
      <c r="QG29" s="3"/>
      <c r="QH29" s="3"/>
      <c r="QI29" s="3"/>
      <c r="QJ29" s="3"/>
      <c r="QK29" s="3"/>
      <c r="QL29" s="3"/>
      <c r="QM29" s="3"/>
      <c r="QN29" s="3"/>
      <c r="QO29" s="3"/>
      <c r="QP29" s="3"/>
      <c r="QQ29" s="3"/>
      <c r="QR29" s="3"/>
      <c r="QS29" s="3"/>
      <c r="QT29" s="3"/>
      <c r="QU29" s="3"/>
      <c r="QV29" s="3"/>
      <c r="QW29" s="3"/>
      <c r="QX29" s="3"/>
      <c r="QY29" s="3"/>
      <c r="QZ29" s="3"/>
      <c r="RA29" s="3"/>
      <c r="RB29" s="3"/>
      <c r="RC29" s="3"/>
      <c r="RD29" s="3"/>
      <c r="RE29" s="3"/>
      <c r="RF29" s="3"/>
      <c r="RG29" s="3"/>
      <c r="RH29" s="3"/>
      <c r="RI29" s="3"/>
      <c r="RJ29" s="3"/>
      <c r="RK29" s="3"/>
      <c r="RL29" s="3"/>
      <c r="RM29" s="3"/>
      <c r="RN29" s="3"/>
      <c r="RO29" s="3"/>
      <c r="RP29" s="3"/>
      <c r="RQ29" s="3"/>
      <c r="RR29" s="3"/>
      <c r="RS29" s="3"/>
      <c r="RT29" s="3"/>
      <c r="RU29" s="3"/>
      <c r="RV29" s="3"/>
      <c r="RW29" s="3"/>
      <c r="RX29" s="3"/>
      <c r="RY29" s="3"/>
      <c r="RZ29" s="3"/>
      <c r="SA29" s="3"/>
      <c r="SB29" s="3"/>
      <c r="SC29" s="3"/>
      <c r="SD29" s="3"/>
      <c r="SE29" s="3"/>
      <c r="SF29" s="3"/>
      <c r="SG29" s="3"/>
      <c r="SH29" s="3"/>
      <c r="SI29" s="3"/>
      <c r="SJ29" s="3"/>
      <c r="SK29" s="3"/>
      <c r="SL29" s="3"/>
      <c r="SM29" s="3"/>
      <c r="SN29" s="3"/>
      <c r="SO29" s="3"/>
      <c r="SP29" s="3"/>
      <c r="SQ29" s="3"/>
      <c r="SR29" s="3"/>
      <c r="SS29" s="3"/>
      <c r="ST29" s="3"/>
      <c r="SU29" s="3"/>
      <c r="SV29" s="3"/>
      <c r="SW29" s="3"/>
      <c r="SX29" s="3"/>
      <c r="SY29" s="3"/>
      <c r="SZ29" s="3"/>
      <c r="TA29" s="3"/>
      <c r="TB29" s="3"/>
      <c r="TC29" s="3"/>
      <c r="TD29" s="3"/>
      <c r="TE29" s="3"/>
      <c r="TF29" s="3"/>
      <c r="TG29" s="3"/>
      <c r="TH29" s="3"/>
      <c r="TI29" s="3"/>
      <c r="TJ29" s="3"/>
      <c r="TK29" s="3"/>
      <c r="TL29" s="3"/>
      <c r="TM29" s="3"/>
      <c r="TN29" s="3"/>
      <c r="TO29" s="3"/>
      <c r="TP29" s="3"/>
      <c r="TQ29" s="3"/>
      <c r="TR29" s="3"/>
      <c r="TS29" s="3"/>
      <c r="TT29" s="3"/>
      <c r="TU29" s="3"/>
      <c r="TV29" s="3"/>
      <c r="TW29" s="3"/>
      <c r="TX29" s="3"/>
      <c r="TY29" s="3"/>
      <c r="TZ29" s="3"/>
      <c r="UA29" s="3"/>
      <c r="UB29" s="3"/>
      <c r="UC29" s="3"/>
      <c r="UD29" s="3"/>
      <c r="UE29" s="3"/>
      <c r="UF29" s="3"/>
      <c r="UG29" s="3"/>
      <c r="UH29" s="3"/>
      <c r="UI29" s="3"/>
      <c r="UJ29" s="3"/>
      <c r="UK29" s="3"/>
      <c r="UL29" s="3"/>
      <c r="UM29" s="3"/>
      <c r="UN29" s="3"/>
      <c r="UO29" s="3"/>
      <c r="UP29" s="3"/>
      <c r="UQ29" s="3"/>
      <c r="UR29" s="3"/>
      <c r="US29" s="3"/>
      <c r="UT29" s="3"/>
      <c r="UU29" s="3"/>
      <c r="UV29" s="3"/>
      <c r="UW29" s="3"/>
      <c r="UX29" s="3"/>
      <c r="UY29" s="3"/>
      <c r="UZ29" s="3"/>
      <c r="VA29" s="3"/>
      <c r="VB29" s="3"/>
      <c r="VC29" s="3"/>
      <c r="VD29" s="3"/>
      <c r="VE29" s="3"/>
      <c r="VF29" s="3"/>
      <c r="VG29" s="3"/>
      <c r="VH29" s="3"/>
      <c r="VI29" s="3"/>
      <c r="VJ29" s="3"/>
      <c r="VK29" s="3"/>
      <c r="VL29" s="3"/>
      <c r="VM29" s="3"/>
      <c r="VN29" s="3"/>
      <c r="VO29" s="3"/>
      <c r="VP29" s="3"/>
      <c r="VQ29" s="3"/>
      <c r="VR29" s="3"/>
      <c r="VS29" s="3"/>
      <c r="VT29" s="3"/>
      <c r="VU29" s="3"/>
      <c r="VV29" s="3"/>
      <c r="VW29" s="3"/>
      <c r="VX29" s="3"/>
      <c r="VY29" s="3"/>
      <c r="VZ29" s="3"/>
      <c r="WA29" s="3"/>
      <c r="WB29" s="3"/>
      <c r="WC29" s="3"/>
      <c r="WD29" s="3"/>
      <c r="WE29" s="3"/>
      <c r="WF29" s="3"/>
      <c r="WG29" s="3"/>
      <c r="WH29" s="3"/>
      <c r="WI29" s="3"/>
      <c r="WJ29" s="3"/>
      <c r="WK29" s="3"/>
      <c r="WL29" s="3"/>
      <c r="WM29" s="3"/>
      <c r="WN29" s="3"/>
      <c r="WO29" s="3"/>
      <c r="WP29" s="3"/>
      <c r="WQ29" s="3"/>
      <c r="WR29" s="3"/>
      <c r="WS29" s="3"/>
      <c r="WT29" s="3"/>
      <c r="WU29" s="3"/>
      <c r="WV29" s="3"/>
      <c r="WW29" s="3"/>
      <c r="WX29" s="3"/>
      <c r="WY29" s="3"/>
      <c r="WZ29" s="3"/>
      <c r="XA29" s="3"/>
      <c r="XB29" s="3"/>
      <c r="XC29" s="3"/>
      <c r="XD29" s="3"/>
      <c r="XE29" s="3"/>
      <c r="XF29" s="3"/>
      <c r="XG29" s="3"/>
      <c r="XH29" s="3"/>
      <c r="XI29" s="3"/>
      <c r="XJ29" s="3"/>
      <c r="XK29" s="3"/>
      <c r="XL29" s="3"/>
      <c r="XM29" s="3"/>
      <c r="XN29" s="3"/>
      <c r="XO29" s="3"/>
      <c r="XP29" s="3"/>
      <c r="XQ29" s="3"/>
      <c r="XR29" s="3"/>
      <c r="XS29" s="3"/>
      <c r="XT29" s="3"/>
      <c r="XU29" s="3"/>
      <c r="XV29" s="3"/>
      <c r="XW29" s="3"/>
      <c r="XX29" s="3"/>
      <c r="XY29" s="3"/>
      <c r="XZ29" s="3"/>
      <c r="YA29" s="3"/>
      <c r="YB29" s="3"/>
      <c r="YC29" s="3"/>
      <c r="YD29" s="3"/>
      <c r="YE29" s="3"/>
      <c r="YF29" s="3"/>
      <c r="YG29" s="3"/>
      <c r="YH29" s="3"/>
      <c r="YI29" s="3"/>
      <c r="YJ29" s="3"/>
      <c r="YK29" s="3"/>
      <c r="YL29" s="3"/>
      <c r="YM29" s="3"/>
      <c r="YN29" s="3"/>
      <c r="YO29" s="3"/>
      <c r="YP29" s="3"/>
      <c r="YQ29" s="3"/>
      <c r="YR29" s="3"/>
      <c r="YS29" s="3"/>
      <c r="YT29" s="3"/>
      <c r="YU29" s="3"/>
      <c r="YV29" s="3"/>
      <c r="YW29" s="3"/>
      <c r="YX29" s="3"/>
      <c r="YY29" s="3"/>
      <c r="YZ29" s="3"/>
      <c r="ZA29" s="3"/>
      <c r="ZB29" s="3"/>
      <c r="ZC29" s="3"/>
      <c r="ZD29" s="3"/>
      <c r="ZE29" s="3"/>
      <c r="ZF29" s="3"/>
      <c r="ZG29" s="3"/>
      <c r="ZH29" s="3"/>
      <c r="ZI29" s="3"/>
      <c r="ZJ29" s="3"/>
      <c r="ZK29" s="3"/>
      <c r="ZL29" s="3"/>
      <c r="ZM29" s="3"/>
      <c r="ZN29" s="3"/>
      <c r="ZO29" s="3"/>
      <c r="ZP29" s="3"/>
      <c r="ZQ29" s="3"/>
      <c r="ZR29" s="3"/>
      <c r="ZS29" s="3"/>
      <c r="ZT29" s="3"/>
      <c r="ZU29" s="3"/>
      <c r="ZV29" s="3"/>
      <c r="ZW29" s="3"/>
      <c r="ZX29" s="3"/>
      <c r="ZY29" s="3"/>
      <c r="ZZ29" s="3"/>
      <c r="AAA29" s="3"/>
      <c r="AAB29" s="3"/>
      <c r="AAC29" s="3"/>
      <c r="AAD29" s="3"/>
      <c r="AAE29" s="3"/>
      <c r="AAF29" s="3"/>
      <c r="AAG29" s="3"/>
      <c r="AAH29" s="3"/>
      <c r="AAI29" s="3"/>
      <c r="AAJ29" s="3"/>
      <c r="AAK29" s="3"/>
      <c r="AAL29" s="3"/>
      <c r="AAM29" s="3"/>
      <c r="AAN29" s="3"/>
      <c r="AAO29" s="3"/>
      <c r="AAP29" s="3"/>
      <c r="AAQ29" s="3"/>
      <c r="AAR29" s="3"/>
      <c r="AAS29" s="3"/>
      <c r="AAT29" s="3"/>
      <c r="AAU29" s="3"/>
      <c r="AAV29" s="3"/>
      <c r="AAW29" s="3"/>
      <c r="AAX29" s="3"/>
      <c r="AAY29" s="3"/>
      <c r="AAZ29" s="3"/>
      <c r="ABA29" s="3"/>
      <c r="ABB29" s="3"/>
      <c r="ABC29" s="3"/>
      <c r="ABD29" s="3"/>
      <c r="ABE29" s="3"/>
      <c r="ABF29" s="3"/>
      <c r="ABG29" s="3"/>
      <c r="ABH29" s="3"/>
      <c r="ABI29" s="3"/>
      <c r="ABJ29" s="3"/>
      <c r="ABK29" s="3"/>
      <c r="ABL29" s="3"/>
      <c r="ABM29" s="3"/>
      <c r="ABN29" s="3"/>
      <c r="ABO29" s="3"/>
      <c r="ABP29" s="3"/>
      <c r="ABQ29" s="3"/>
      <c r="ABR29" s="3"/>
      <c r="ABS29" s="3"/>
      <c r="ABT29" s="3"/>
      <c r="ABU29" s="3"/>
      <c r="ABV29" s="3"/>
      <c r="ABW29" s="3"/>
      <c r="ABX29" s="3"/>
      <c r="ABY29" s="3"/>
      <c r="ABZ29" s="3"/>
      <c r="ACA29" s="3"/>
      <c r="ACB29" s="3"/>
      <c r="ACC29" s="3"/>
      <c r="ACD29" s="3"/>
      <c r="ACE29" s="3"/>
      <c r="ACF29" s="3"/>
      <c r="ACG29" s="3"/>
      <c r="ACH29" s="3"/>
      <c r="ACI29" s="3"/>
      <c r="ACJ29" s="3"/>
      <c r="ACK29" s="3"/>
      <c r="ACL29" s="3"/>
      <c r="ACM29" s="3"/>
      <c r="ACN29" s="3"/>
      <c r="ACO29" s="3"/>
      <c r="ACP29" s="3"/>
    </row>
    <row r="30" spans="1:770" s="205" customFormat="1">
      <c r="A30" s="292" t="e">
        <f t="shared" si="1"/>
        <v>#REF!</v>
      </c>
      <c r="B30" s="253" t="s">
        <v>507</v>
      </c>
      <c r="C30" s="206">
        <v>16355050193916</v>
      </c>
      <c r="D30" s="206">
        <v>16355050193916</v>
      </c>
      <c r="E30" s="253" t="s">
        <v>507</v>
      </c>
      <c r="F30" s="202" t="str">
        <f>VLOOKUP(B30,distribucion!B$9:FK$200,2,0)</f>
        <v>Auxiliar de control de calidad</v>
      </c>
      <c r="G30" s="244">
        <f>ROUND((VLOOKUP($B30,'Nomina Proquima'!$B$4:$AB$145,4,0)),2)</f>
        <v>30</v>
      </c>
      <c r="H30" s="240">
        <f>ROUND((VLOOKUP($B30,'Nomina Proquima'!$B$4:$AB$145,6,0)),2)</f>
        <v>3166.38</v>
      </c>
      <c r="I30" s="240">
        <f>ROUND((VLOOKUP($B30,'Nomina Proquima'!$B$4:$AB$145,7,0)),2)</f>
        <v>600</v>
      </c>
      <c r="J30" s="240">
        <f>ROUND((VLOOKUP($B30,'Nomina Proquima'!$B$4:$AB$145,9,0)),2)</f>
        <v>1</v>
      </c>
      <c r="K30" s="240">
        <f>ROUND((VLOOKUP($B30,'Nomina Proquima'!$B$4:$AB$145,10,0)),2)</f>
        <v>19.79</v>
      </c>
      <c r="L30" s="240">
        <f>ROUND((VLOOKUP($B30,'Nomina Proquima'!$B$4:$AB$145,11,0)),2)</f>
        <v>0</v>
      </c>
      <c r="M30" s="240">
        <f>ROUND((VLOOKUP($B30,'Nomina Proquima'!$B$4:$AB$145,12,0)),2)</f>
        <v>0</v>
      </c>
      <c r="N30" s="240">
        <f>ROUND((VLOOKUP($B30,'Nomina Proquima'!$B$4:$AB$145,13,0)),2)</f>
        <v>0</v>
      </c>
      <c r="O30" s="240">
        <f>ROUND((VLOOKUP($B30,'Nomina Proquima'!$B$4:$AB$145,14,0)),2)</f>
        <v>3786.17</v>
      </c>
      <c r="P30" s="240">
        <f>ROUND((VLOOKUP($B30,'Nomina Proquima'!$B$4:$AB$145,15,0)),2)</f>
        <v>153.88999999999999</v>
      </c>
      <c r="Q30" s="240">
        <f>ROUND((VLOOKUP($B30,'Nomina Proquima'!$B$4:$AB$145,16,0)),2)</f>
        <v>0</v>
      </c>
      <c r="R30" s="240">
        <f>ROUND((VLOOKUP($B30,'Nomina Proquima'!$B$4:$AB$145,17,0)),2)</f>
        <v>702.56</v>
      </c>
      <c r="S30" s="240">
        <f>ROUND((VLOOKUP($B30,'Nomina Proquima'!$B$4:$AB$145,18,0)),2)</f>
        <v>0</v>
      </c>
      <c r="T30" s="240">
        <f>ROUND((VLOOKUP($B30,'Nomina Proquima'!$B$4:$AB$145,19,0)),2)</f>
        <v>0</v>
      </c>
      <c r="U30" s="240">
        <f>ROUND((VLOOKUP($B30,'Nomina Proquima'!$B$4:$AB$145,20,0)),2)</f>
        <v>0</v>
      </c>
      <c r="V30" s="240">
        <f>ROUND((VLOOKUP($B30,'Nomina Proquima'!$B$4:$AB$145,21,0)),2)</f>
        <v>131.75</v>
      </c>
      <c r="W30" s="240">
        <f>ROUND((VLOOKUP($B30,'Nomina Proquima'!$B$4:$AB$145,22,0)),2)</f>
        <v>317.5</v>
      </c>
      <c r="X30" s="240">
        <f>ROUND((VLOOKUP($B30,'Nomina Proquima'!$B$4:$AB$145,23,0)),2)</f>
        <v>1305.7</v>
      </c>
      <c r="Y30" s="236">
        <f>ROUND((VLOOKUP($B30,'Nomina Proquima'!$B$4:$AB$147,24,0)),2)</f>
        <v>2480.4699999999998</v>
      </c>
      <c r="Z30" s="255">
        <f>VLOOKUP(B30,'Nomina Proquima'!$B$4:$AA$148,25,0)</f>
        <v>1303.19</v>
      </c>
      <c r="AA30" s="245">
        <f>ROUND((VLOOKUP($B30,'Nomina Proquima'!$B$4:$AB$145,26,0)),2)</f>
        <v>1177.28</v>
      </c>
      <c r="AB30" s="203"/>
      <c r="AC30" s="204">
        <f>+IFERROR(VLOOKUP(B30,'Nomina Proquima'!B:Z,25,0),"")</f>
        <v>1303.19</v>
      </c>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c r="NP30" s="3"/>
      <c r="NQ30" s="3"/>
      <c r="NR30" s="3"/>
      <c r="NS30" s="3"/>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3"/>
      <c r="OU30" s="3"/>
      <c r="OV30" s="3"/>
      <c r="OW30" s="3"/>
      <c r="OX30" s="3"/>
      <c r="OY30" s="3"/>
      <c r="OZ30" s="3"/>
      <c r="PA30" s="3"/>
      <c r="PB30" s="3"/>
      <c r="PC30" s="3"/>
      <c r="PD30" s="3"/>
      <c r="PE30" s="3"/>
      <c r="PF30" s="3"/>
      <c r="PG30" s="3"/>
      <c r="PH30" s="3"/>
      <c r="PI30" s="3"/>
      <c r="PJ30" s="3"/>
      <c r="PK30" s="3"/>
      <c r="PL30" s="3"/>
      <c r="PM30" s="3"/>
      <c r="PN30" s="3"/>
      <c r="PO30" s="3"/>
      <c r="PP30" s="3"/>
      <c r="PQ30" s="3"/>
      <c r="PR30" s="3"/>
      <c r="PS30" s="3"/>
      <c r="PT30" s="3"/>
      <c r="PU30" s="3"/>
      <c r="PV30" s="3"/>
      <c r="PW30" s="3"/>
      <c r="PX30" s="3"/>
      <c r="PY30" s="3"/>
      <c r="PZ30" s="3"/>
      <c r="QA30" s="3"/>
      <c r="QB30" s="3"/>
      <c r="QC30" s="3"/>
      <c r="QD30" s="3"/>
      <c r="QE30" s="3"/>
      <c r="QF30" s="3"/>
      <c r="QG30" s="3"/>
      <c r="QH30" s="3"/>
      <c r="QI30" s="3"/>
      <c r="QJ30" s="3"/>
      <c r="QK30" s="3"/>
      <c r="QL30" s="3"/>
      <c r="QM30" s="3"/>
      <c r="QN30" s="3"/>
      <c r="QO30" s="3"/>
      <c r="QP30" s="3"/>
      <c r="QQ30" s="3"/>
      <c r="QR30" s="3"/>
      <c r="QS30" s="3"/>
      <c r="QT30" s="3"/>
      <c r="QU30" s="3"/>
      <c r="QV30" s="3"/>
      <c r="QW30" s="3"/>
      <c r="QX30" s="3"/>
      <c r="QY30" s="3"/>
      <c r="QZ30" s="3"/>
      <c r="RA30" s="3"/>
      <c r="RB30" s="3"/>
      <c r="RC30" s="3"/>
      <c r="RD30" s="3"/>
      <c r="RE30" s="3"/>
      <c r="RF30" s="3"/>
      <c r="RG30" s="3"/>
      <c r="RH30" s="3"/>
      <c r="RI30" s="3"/>
      <c r="RJ30" s="3"/>
      <c r="RK30" s="3"/>
      <c r="RL30" s="3"/>
      <c r="RM30" s="3"/>
      <c r="RN30" s="3"/>
      <c r="RO30" s="3"/>
      <c r="RP30" s="3"/>
      <c r="RQ30" s="3"/>
      <c r="RR30" s="3"/>
      <c r="RS30" s="3"/>
      <c r="RT30" s="3"/>
      <c r="RU30" s="3"/>
      <c r="RV30" s="3"/>
      <c r="RW30" s="3"/>
      <c r="RX30" s="3"/>
      <c r="RY30" s="3"/>
      <c r="RZ30" s="3"/>
      <c r="SA30" s="3"/>
      <c r="SB30" s="3"/>
      <c r="SC30" s="3"/>
      <c r="SD30" s="3"/>
      <c r="SE30" s="3"/>
      <c r="SF30" s="3"/>
      <c r="SG30" s="3"/>
      <c r="SH30" s="3"/>
      <c r="SI30" s="3"/>
      <c r="SJ30" s="3"/>
      <c r="SK30" s="3"/>
      <c r="SL30" s="3"/>
      <c r="SM30" s="3"/>
      <c r="SN30" s="3"/>
      <c r="SO30" s="3"/>
      <c r="SP30" s="3"/>
      <c r="SQ30" s="3"/>
      <c r="SR30" s="3"/>
      <c r="SS30" s="3"/>
      <c r="ST30" s="3"/>
      <c r="SU30" s="3"/>
      <c r="SV30" s="3"/>
      <c r="SW30" s="3"/>
      <c r="SX30" s="3"/>
      <c r="SY30" s="3"/>
      <c r="SZ30" s="3"/>
      <c r="TA30" s="3"/>
      <c r="TB30" s="3"/>
      <c r="TC30" s="3"/>
      <c r="TD30" s="3"/>
      <c r="TE30" s="3"/>
      <c r="TF30" s="3"/>
      <c r="TG30" s="3"/>
      <c r="TH30" s="3"/>
      <c r="TI30" s="3"/>
      <c r="TJ30" s="3"/>
      <c r="TK30" s="3"/>
      <c r="TL30" s="3"/>
      <c r="TM30" s="3"/>
      <c r="TN30" s="3"/>
      <c r="TO30" s="3"/>
      <c r="TP30" s="3"/>
      <c r="TQ30" s="3"/>
      <c r="TR30" s="3"/>
      <c r="TS30" s="3"/>
      <c r="TT30" s="3"/>
      <c r="TU30" s="3"/>
      <c r="TV30" s="3"/>
      <c r="TW30" s="3"/>
      <c r="TX30" s="3"/>
      <c r="TY30" s="3"/>
      <c r="TZ30" s="3"/>
      <c r="UA30" s="3"/>
      <c r="UB30" s="3"/>
      <c r="UC30" s="3"/>
      <c r="UD30" s="3"/>
      <c r="UE30" s="3"/>
      <c r="UF30" s="3"/>
      <c r="UG30" s="3"/>
      <c r="UH30" s="3"/>
      <c r="UI30" s="3"/>
      <c r="UJ30" s="3"/>
      <c r="UK30" s="3"/>
      <c r="UL30" s="3"/>
      <c r="UM30" s="3"/>
      <c r="UN30" s="3"/>
      <c r="UO30" s="3"/>
      <c r="UP30" s="3"/>
      <c r="UQ30" s="3"/>
      <c r="UR30" s="3"/>
      <c r="US30" s="3"/>
      <c r="UT30" s="3"/>
      <c r="UU30" s="3"/>
      <c r="UV30" s="3"/>
      <c r="UW30" s="3"/>
      <c r="UX30" s="3"/>
      <c r="UY30" s="3"/>
      <c r="UZ30" s="3"/>
      <c r="VA30" s="3"/>
      <c r="VB30" s="3"/>
      <c r="VC30" s="3"/>
      <c r="VD30" s="3"/>
      <c r="VE30" s="3"/>
      <c r="VF30" s="3"/>
      <c r="VG30" s="3"/>
      <c r="VH30" s="3"/>
      <c r="VI30" s="3"/>
      <c r="VJ30" s="3"/>
      <c r="VK30" s="3"/>
      <c r="VL30" s="3"/>
      <c r="VM30" s="3"/>
      <c r="VN30" s="3"/>
      <c r="VO30" s="3"/>
      <c r="VP30" s="3"/>
      <c r="VQ30" s="3"/>
      <c r="VR30" s="3"/>
      <c r="VS30" s="3"/>
      <c r="VT30" s="3"/>
      <c r="VU30" s="3"/>
      <c r="VV30" s="3"/>
      <c r="VW30" s="3"/>
      <c r="VX30" s="3"/>
      <c r="VY30" s="3"/>
      <c r="VZ30" s="3"/>
      <c r="WA30" s="3"/>
      <c r="WB30" s="3"/>
      <c r="WC30" s="3"/>
      <c r="WD30" s="3"/>
      <c r="WE30" s="3"/>
      <c r="WF30" s="3"/>
      <c r="WG30" s="3"/>
      <c r="WH30" s="3"/>
      <c r="WI30" s="3"/>
      <c r="WJ30" s="3"/>
      <c r="WK30" s="3"/>
      <c r="WL30" s="3"/>
      <c r="WM30" s="3"/>
      <c r="WN30" s="3"/>
      <c r="WO30" s="3"/>
      <c r="WP30" s="3"/>
      <c r="WQ30" s="3"/>
      <c r="WR30" s="3"/>
      <c r="WS30" s="3"/>
      <c r="WT30" s="3"/>
      <c r="WU30" s="3"/>
      <c r="WV30" s="3"/>
      <c r="WW30" s="3"/>
      <c r="WX30" s="3"/>
      <c r="WY30" s="3"/>
      <c r="WZ30" s="3"/>
      <c r="XA30" s="3"/>
      <c r="XB30" s="3"/>
      <c r="XC30" s="3"/>
      <c r="XD30" s="3"/>
      <c r="XE30" s="3"/>
      <c r="XF30" s="3"/>
      <c r="XG30" s="3"/>
      <c r="XH30" s="3"/>
      <c r="XI30" s="3"/>
      <c r="XJ30" s="3"/>
      <c r="XK30" s="3"/>
      <c r="XL30" s="3"/>
      <c r="XM30" s="3"/>
      <c r="XN30" s="3"/>
      <c r="XO30" s="3"/>
      <c r="XP30" s="3"/>
      <c r="XQ30" s="3"/>
      <c r="XR30" s="3"/>
      <c r="XS30" s="3"/>
      <c r="XT30" s="3"/>
      <c r="XU30" s="3"/>
      <c r="XV30" s="3"/>
      <c r="XW30" s="3"/>
      <c r="XX30" s="3"/>
      <c r="XY30" s="3"/>
      <c r="XZ30" s="3"/>
      <c r="YA30" s="3"/>
      <c r="YB30" s="3"/>
      <c r="YC30" s="3"/>
      <c r="YD30" s="3"/>
      <c r="YE30" s="3"/>
      <c r="YF30" s="3"/>
      <c r="YG30" s="3"/>
      <c r="YH30" s="3"/>
      <c r="YI30" s="3"/>
      <c r="YJ30" s="3"/>
      <c r="YK30" s="3"/>
      <c r="YL30" s="3"/>
      <c r="YM30" s="3"/>
      <c r="YN30" s="3"/>
      <c r="YO30" s="3"/>
      <c r="YP30" s="3"/>
      <c r="YQ30" s="3"/>
      <c r="YR30" s="3"/>
      <c r="YS30" s="3"/>
      <c r="YT30" s="3"/>
      <c r="YU30" s="3"/>
      <c r="YV30" s="3"/>
      <c r="YW30" s="3"/>
      <c r="YX30" s="3"/>
      <c r="YY30" s="3"/>
      <c r="YZ30" s="3"/>
      <c r="ZA30" s="3"/>
      <c r="ZB30" s="3"/>
      <c r="ZC30" s="3"/>
      <c r="ZD30" s="3"/>
      <c r="ZE30" s="3"/>
      <c r="ZF30" s="3"/>
      <c r="ZG30" s="3"/>
      <c r="ZH30" s="3"/>
      <c r="ZI30" s="3"/>
      <c r="ZJ30" s="3"/>
      <c r="ZK30" s="3"/>
      <c r="ZL30" s="3"/>
      <c r="ZM30" s="3"/>
      <c r="ZN30" s="3"/>
      <c r="ZO30" s="3"/>
      <c r="ZP30" s="3"/>
      <c r="ZQ30" s="3"/>
      <c r="ZR30" s="3"/>
      <c r="ZS30" s="3"/>
      <c r="ZT30" s="3"/>
      <c r="ZU30" s="3"/>
      <c r="ZV30" s="3"/>
      <c r="ZW30" s="3"/>
      <c r="ZX30" s="3"/>
      <c r="ZY30" s="3"/>
      <c r="ZZ30" s="3"/>
      <c r="AAA30" s="3"/>
      <c r="AAB30" s="3"/>
      <c r="AAC30" s="3"/>
      <c r="AAD30" s="3"/>
      <c r="AAE30" s="3"/>
      <c r="AAF30" s="3"/>
      <c r="AAG30" s="3"/>
      <c r="AAH30" s="3"/>
      <c r="AAI30" s="3"/>
      <c r="AAJ30" s="3"/>
      <c r="AAK30" s="3"/>
      <c r="AAL30" s="3"/>
      <c r="AAM30" s="3"/>
      <c r="AAN30" s="3"/>
      <c r="AAO30" s="3"/>
      <c r="AAP30" s="3"/>
      <c r="AAQ30" s="3"/>
      <c r="AAR30" s="3"/>
      <c r="AAS30" s="3"/>
      <c r="AAT30" s="3"/>
      <c r="AAU30" s="3"/>
      <c r="AAV30" s="3"/>
      <c r="AAW30" s="3"/>
      <c r="AAX30" s="3"/>
      <c r="AAY30" s="3"/>
      <c r="AAZ30" s="3"/>
      <c r="ABA30" s="3"/>
      <c r="ABB30" s="3"/>
      <c r="ABC30" s="3"/>
      <c r="ABD30" s="3"/>
      <c r="ABE30" s="3"/>
      <c r="ABF30" s="3"/>
      <c r="ABG30" s="3"/>
      <c r="ABH30" s="3"/>
      <c r="ABI30" s="3"/>
      <c r="ABJ30" s="3"/>
      <c r="ABK30" s="3"/>
      <c r="ABL30" s="3"/>
      <c r="ABM30" s="3"/>
      <c r="ABN30" s="3"/>
      <c r="ABO30" s="3"/>
      <c r="ABP30" s="3"/>
      <c r="ABQ30" s="3"/>
      <c r="ABR30" s="3"/>
      <c r="ABS30" s="3"/>
      <c r="ABT30" s="3"/>
      <c r="ABU30" s="3"/>
      <c r="ABV30" s="3"/>
      <c r="ABW30" s="3"/>
      <c r="ABX30" s="3"/>
      <c r="ABY30" s="3"/>
      <c r="ABZ30" s="3"/>
      <c r="ACA30" s="3"/>
      <c r="ACB30" s="3"/>
      <c r="ACC30" s="3"/>
      <c r="ACD30" s="3"/>
      <c r="ACE30" s="3"/>
      <c r="ACF30" s="3"/>
      <c r="ACG30" s="3"/>
      <c r="ACH30" s="3"/>
      <c r="ACI30" s="3"/>
      <c r="ACJ30" s="3"/>
      <c r="ACK30" s="3"/>
      <c r="ACL30" s="3"/>
      <c r="ACM30" s="3"/>
      <c r="ACN30" s="3"/>
      <c r="ACO30" s="3"/>
      <c r="ACP30" s="3"/>
    </row>
    <row r="31" spans="1:770" s="224" customFormat="1">
      <c r="A31" s="292" t="e">
        <f>+#REF!+1</f>
        <v>#REF!</v>
      </c>
      <c r="B31" s="253" t="s">
        <v>554</v>
      </c>
      <c r="C31" s="309">
        <v>12495050279732</v>
      </c>
      <c r="D31" s="309">
        <v>12495050279732</v>
      </c>
      <c r="E31" s="310" t="s">
        <v>554</v>
      </c>
      <c r="F31" s="244" t="str">
        <f>VLOOKUP(B31,distribucion!B$9:FK$200,2,0)</f>
        <v>Empacadora</v>
      </c>
      <c r="G31" s="244">
        <f>ROUND((VLOOKUP($B31,'Nomina Proquima'!$B$4:$AB$145,4,0)),2)</f>
        <v>30</v>
      </c>
      <c r="H31" s="245">
        <f>ROUND((VLOOKUP($B31,'Nomina Proquima'!$B$4:$AB$145,6,0)),2)</f>
        <v>3166.38</v>
      </c>
      <c r="I31" s="245">
        <f>ROUND((VLOOKUP($B31,'Nomina Proquima'!$B$4:$AB$145,7,0)),2)</f>
        <v>1375</v>
      </c>
      <c r="J31" s="245">
        <f>ROUND((VLOOKUP($B31,'Nomina Proquima'!$B$4:$AB$145,9,0)),2)</f>
        <v>0</v>
      </c>
      <c r="K31" s="245">
        <f>ROUND((VLOOKUP($B31,'Nomina Proquima'!$B$4:$AB$145,10,0)),2)</f>
        <v>0</v>
      </c>
      <c r="L31" s="245">
        <f>ROUND((VLOOKUP($B31,'Nomina Proquima'!$B$4:$AB$145,11,0)),2)</f>
        <v>0</v>
      </c>
      <c r="M31" s="245">
        <f>ROUND((VLOOKUP($B31,'Nomina Proquima'!$B$4:$AB$145,12,0)),2)</f>
        <v>0</v>
      </c>
      <c r="N31" s="245">
        <f>ROUND((VLOOKUP($B31,'Nomina Proquima'!$B$4:$AB$145,13,0)),2)</f>
        <v>0</v>
      </c>
      <c r="O31" s="245">
        <f>ROUND((VLOOKUP($B31,'Nomina Proquima'!$B$4:$AB$145,14,0)),2)</f>
        <v>4541.38</v>
      </c>
      <c r="P31" s="245">
        <f>ROUND((VLOOKUP($B31,'Nomina Proquima'!$B$4:$AB$145,15,0)),2)</f>
        <v>152.94</v>
      </c>
      <c r="Q31" s="245">
        <f>ROUND((VLOOKUP($B31,'Nomina Proquima'!$B$4:$AB$145,16,0)),2)</f>
        <v>0</v>
      </c>
      <c r="R31" s="245">
        <f>ROUND((VLOOKUP($B31,'Nomina Proquima'!$B$4:$AB$145,17,0)),2)</f>
        <v>0</v>
      </c>
      <c r="S31" s="245">
        <f>ROUND((VLOOKUP($B31,'Nomina Proquima'!$B$4:$AB$145,18,0)),2)</f>
        <v>0</v>
      </c>
      <c r="T31" s="245">
        <f>ROUND((VLOOKUP($B31,'Nomina Proquima'!$B$4:$AB$145,19,0)),2)</f>
        <v>0</v>
      </c>
      <c r="U31" s="245">
        <f>ROUND((VLOOKUP($B31,'Nomina Proquima'!$B$4:$AB$145,20,0)),2)</f>
        <v>0</v>
      </c>
      <c r="V31" s="245">
        <f>ROUND((VLOOKUP($B31,'Nomina Proquima'!$B$4:$AB$145,21,0)),2)</f>
        <v>0</v>
      </c>
      <c r="W31" s="245">
        <f>ROUND((VLOOKUP($B31,'Nomina Proquima'!$B$4:$AB$145,22,0)),2)</f>
        <v>50</v>
      </c>
      <c r="X31" s="245">
        <f>ROUND((VLOOKUP($B31,'Nomina Proquima'!$B$4:$AB$145,23,0)),2)</f>
        <v>202.94</v>
      </c>
      <c r="Y31" s="234">
        <f>ROUND((VLOOKUP($B31,'Nomina Proquima'!$B$4:$AB$147,24,0)),2)</f>
        <v>4338.4399999999996</v>
      </c>
      <c r="Z31" s="255">
        <f>VLOOKUP(B31,'Nomina Proquima'!$B$4:$AA$148,25,0)</f>
        <v>1631.72</v>
      </c>
      <c r="AA31" s="245">
        <f>ROUND((VLOOKUP($B31,'Nomina Proquima'!$B$4:$AB$145,26,0)),2)</f>
        <v>2706.72</v>
      </c>
      <c r="AB31" s="246"/>
      <c r="AC31" s="247">
        <f>+IFERROR(VLOOKUP(B31,'Nomina Proquima'!B:Z,25,0),"")</f>
        <v>1631.72</v>
      </c>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c r="MU31" s="3"/>
      <c r="MV31" s="3"/>
      <c r="MW31" s="3"/>
      <c r="MX31" s="3"/>
      <c r="MY31" s="3"/>
      <c r="MZ31" s="3"/>
      <c r="NA31" s="3"/>
      <c r="NB31" s="3"/>
      <c r="NC31" s="3"/>
      <c r="ND31" s="3"/>
      <c r="NE31" s="3"/>
      <c r="NF31" s="3"/>
      <c r="NG31" s="3"/>
      <c r="NH31" s="3"/>
      <c r="NI31" s="3"/>
      <c r="NJ31" s="3"/>
      <c r="NK31" s="3"/>
      <c r="NL31" s="3"/>
      <c r="NM31" s="3"/>
      <c r="NN31" s="3"/>
      <c r="NO31" s="3"/>
      <c r="NP31" s="3"/>
      <c r="NQ31" s="3"/>
      <c r="NR31" s="3"/>
      <c r="NS31" s="3"/>
      <c r="NT31" s="3"/>
      <c r="NU31" s="3"/>
      <c r="NV31" s="3"/>
      <c r="NW31" s="3"/>
      <c r="NX31" s="3"/>
      <c r="NY31" s="3"/>
      <c r="NZ31" s="3"/>
      <c r="OA31" s="3"/>
      <c r="OB31" s="3"/>
      <c r="OC31" s="3"/>
      <c r="OD31" s="3"/>
      <c r="OE31" s="3"/>
      <c r="OF31" s="3"/>
      <c r="OG31" s="3"/>
      <c r="OH31" s="3"/>
      <c r="OI31" s="3"/>
      <c r="OJ31" s="3"/>
      <c r="OK31" s="3"/>
      <c r="OL31" s="3"/>
      <c r="OM31" s="3"/>
      <c r="ON31" s="3"/>
      <c r="OO31" s="3"/>
      <c r="OP31" s="3"/>
      <c r="OQ31" s="3"/>
      <c r="OR31" s="3"/>
      <c r="OS31" s="3"/>
      <c r="OT31" s="3"/>
      <c r="OU31" s="3"/>
      <c r="OV31" s="3"/>
      <c r="OW31" s="3"/>
      <c r="OX31" s="3"/>
      <c r="OY31" s="3"/>
      <c r="OZ31" s="3"/>
      <c r="PA31" s="3"/>
      <c r="PB31" s="3"/>
      <c r="PC31" s="3"/>
      <c r="PD31" s="3"/>
      <c r="PE31" s="3"/>
      <c r="PF31" s="3"/>
      <c r="PG31" s="3"/>
      <c r="PH31" s="3"/>
      <c r="PI31" s="3"/>
      <c r="PJ31" s="3"/>
      <c r="PK31" s="3"/>
      <c r="PL31" s="3"/>
      <c r="PM31" s="3"/>
      <c r="PN31" s="3"/>
      <c r="PO31" s="3"/>
      <c r="PP31" s="3"/>
      <c r="PQ31" s="3"/>
      <c r="PR31" s="3"/>
      <c r="PS31" s="3"/>
      <c r="PT31" s="3"/>
      <c r="PU31" s="3"/>
      <c r="PV31" s="3"/>
      <c r="PW31" s="3"/>
      <c r="PX31" s="3"/>
      <c r="PY31" s="3"/>
      <c r="PZ31" s="3"/>
      <c r="QA31" s="3"/>
      <c r="QB31" s="3"/>
      <c r="QC31" s="3"/>
      <c r="QD31" s="3"/>
      <c r="QE31" s="3"/>
      <c r="QF31" s="3"/>
      <c r="QG31" s="3"/>
      <c r="QH31" s="3"/>
      <c r="QI31" s="3"/>
      <c r="QJ31" s="3"/>
      <c r="QK31" s="3"/>
      <c r="QL31" s="3"/>
      <c r="QM31" s="3"/>
      <c r="QN31" s="3"/>
      <c r="QO31" s="3"/>
      <c r="QP31" s="3"/>
      <c r="QQ31" s="3"/>
      <c r="QR31" s="3"/>
      <c r="QS31" s="3"/>
      <c r="QT31" s="3"/>
      <c r="QU31" s="3"/>
      <c r="QV31" s="3"/>
      <c r="QW31" s="3"/>
      <c r="QX31" s="3"/>
      <c r="QY31" s="3"/>
      <c r="QZ31" s="3"/>
      <c r="RA31" s="3"/>
      <c r="RB31" s="3"/>
      <c r="RC31" s="3"/>
      <c r="RD31" s="3"/>
      <c r="RE31" s="3"/>
      <c r="RF31" s="3"/>
      <c r="RG31" s="3"/>
      <c r="RH31" s="3"/>
      <c r="RI31" s="3"/>
      <c r="RJ31" s="3"/>
      <c r="RK31" s="3"/>
      <c r="RL31" s="3"/>
      <c r="RM31" s="3"/>
      <c r="RN31" s="3"/>
      <c r="RO31" s="3"/>
      <c r="RP31" s="3"/>
      <c r="RQ31" s="3"/>
      <c r="RR31" s="3"/>
      <c r="RS31" s="3"/>
      <c r="RT31" s="3"/>
      <c r="RU31" s="3"/>
      <c r="RV31" s="3"/>
      <c r="RW31" s="3"/>
      <c r="RX31" s="3"/>
      <c r="RY31" s="3"/>
      <c r="RZ31" s="3"/>
      <c r="SA31" s="3"/>
      <c r="SB31" s="3"/>
      <c r="SC31" s="3"/>
      <c r="SD31" s="3"/>
      <c r="SE31" s="3"/>
      <c r="SF31" s="3"/>
      <c r="SG31" s="3"/>
      <c r="SH31" s="3"/>
      <c r="SI31" s="3"/>
      <c r="SJ31" s="3"/>
      <c r="SK31" s="3"/>
      <c r="SL31" s="3"/>
      <c r="SM31" s="3"/>
      <c r="SN31" s="3"/>
      <c r="SO31" s="3"/>
      <c r="SP31" s="3"/>
      <c r="SQ31" s="3"/>
      <c r="SR31" s="3"/>
      <c r="SS31" s="3"/>
      <c r="ST31" s="3"/>
      <c r="SU31" s="3"/>
      <c r="SV31" s="3"/>
      <c r="SW31" s="3"/>
      <c r="SX31" s="3"/>
      <c r="SY31" s="3"/>
      <c r="SZ31" s="3"/>
      <c r="TA31" s="3"/>
      <c r="TB31" s="3"/>
      <c r="TC31" s="3"/>
      <c r="TD31" s="3"/>
      <c r="TE31" s="3"/>
      <c r="TF31" s="3"/>
      <c r="TG31" s="3"/>
      <c r="TH31" s="3"/>
      <c r="TI31" s="3"/>
      <c r="TJ31" s="3"/>
      <c r="TK31" s="3"/>
      <c r="TL31" s="3"/>
      <c r="TM31" s="3"/>
      <c r="TN31" s="3"/>
      <c r="TO31" s="3"/>
      <c r="TP31" s="3"/>
      <c r="TQ31" s="3"/>
      <c r="TR31" s="3"/>
      <c r="TS31" s="3"/>
      <c r="TT31" s="3"/>
      <c r="TU31" s="3"/>
      <c r="TV31" s="3"/>
      <c r="TW31" s="3"/>
      <c r="TX31" s="3"/>
      <c r="TY31" s="3"/>
      <c r="TZ31" s="3"/>
      <c r="UA31" s="3"/>
      <c r="UB31" s="3"/>
      <c r="UC31" s="3"/>
      <c r="UD31" s="3"/>
      <c r="UE31" s="3"/>
      <c r="UF31" s="3"/>
      <c r="UG31" s="3"/>
      <c r="UH31" s="3"/>
      <c r="UI31" s="3"/>
      <c r="UJ31" s="3"/>
      <c r="UK31" s="3"/>
      <c r="UL31" s="3"/>
      <c r="UM31" s="3"/>
      <c r="UN31" s="3"/>
      <c r="UO31" s="3"/>
      <c r="UP31" s="3"/>
      <c r="UQ31" s="3"/>
      <c r="UR31" s="3"/>
      <c r="US31" s="3"/>
      <c r="UT31" s="3"/>
      <c r="UU31" s="3"/>
      <c r="UV31" s="3"/>
      <c r="UW31" s="3"/>
      <c r="UX31" s="3"/>
      <c r="UY31" s="3"/>
      <c r="UZ31" s="3"/>
      <c r="VA31" s="3"/>
      <c r="VB31" s="3"/>
      <c r="VC31" s="3"/>
      <c r="VD31" s="3"/>
      <c r="VE31" s="3"/>
      <c r="VF31" s="3"/>
      <c r="VG31" s="3"/>
      <c r="VH31" s="3"/>
      <c r="VI31" s="3"/>
      <c r="VJ31" s="3"/>
      <c r="VK31" s="3"/>
      <c r="VL31" s="3"/>
      <c r="VM31" s="3"/>
      <c r="VN31" s="3"/>
      <c r="VO31" s="3"/>
      <c r="VP31" s="3"/>
      <c r="VQ31" s="3"/>
      <c r="VR31" s="3"/>
      <c r="VS31" s="3"/>
      <c r="VT31" s="3"/>
      <c r="VU31" s="3"/>
      <c r="VV31" s="3"/>
      <c r="VW31" s="3"/>
      <c r="VX31" s="3"/>
      <c r="VY31" s="3"/>
      <c r="VZ31" s="3"/>
      <c r="WA31" s="3"/>
      <c r="WB31" s="3"/>
      <c r="WC31" s="3"/>
      <c r="WD31" s="3"/>
      <c r="WE31" s="3"/>
      <c r="WF31" s="3"/>
      <c r="WG31" s="3"/>
      <c r="WH31" s="3"/>
      <c r="WI31" s="3"/>
      <c r="WJ31" s="3"/>
      <c r="WK31" s="3"/>
      <c r="WL31" s="3"/>
      <c r="WM31" s="3"/>
      <c r="WN31" s="3"/>
      <c r="WO31" s="3"/>
      <c r="WP31" s="3"/>
      <c r="WQ31" s="3"/>
      <c r="WR31" s="3"/>
      <c r="WS31" s="3"/>
      <c r="WT31" s="3"/>
      <c r="WU31" s="3"/>
      <c r="WV31" s="3"/>
      <c r="WW31" s="3"/>
      <c r="WX31" s="3"/>
      <c r="WY31" s="3"/>
      <c r="WZ31" s="3"/>
      <c r="XA31" s="3"/>
      <c r="XB31" s="3"/>
      <c r="XC31" s="3"/>
      <c r="XD31" s="3"/>
      <c r="XE31" s="3"/>
      <c r="XF31" s="3"/>
      <c r="XG31" s="3"/>
      <c r="XH31" s="3"/>
      <c r="XI31" s="3"/>
      <c r="XJ31" s="3"/>
      <c r="XK31" s="3"/>
      <c r="XL31" s="3"/>
      <c r="XM31" s="3"/>
      <c r="XN31" s="3"/>
      <c r="XO31" s="3"/>
      <c r="XP31" s="3"/>
      <c r="XQ31" s="3"/>
      <c r="XR31" s="3"/>
      <c r="XS31" s="3"/>
      <c r="XT31" s="3"/>
      <c r="XU31" s="3"/>
      <c r="XV31" s="3"/>
      <c r="XW31" s="3"/>
      <c r="XX31" s="3"/>
      <c r="XY31" s="3"/>
      <c r="XZ31" s="3"/>
      <c r="YA31" s="3"/>
      <c r="YB31" s="3"/>
      <c r="YC31" s="3"/>
      <c r="YD31" s="3"/>
      <c r="YE31" s="3"/>
      <c r="YF31" s="3"/>
      <c r="YG31" s="3"/>
      <c r="YH31" s="3"/>
      <c r="YI31" s="3"/>
      <c r="YJ31" s="3"/>
      <c r="YK31" s="3"/>
      <c r="YL31" s="3"/>
      <c r="YM31" s="3"/>
      <c r="YN31" s="3"/>
      <c r="YO31" s="3"/>
      <c r="YP31" s="3"/>
      <c r="YQ31" s="3"/>
      <c r="YR31" s="3"/>
      <c r="YS31" s="3"/>
      <c r="YT31" s="3"/>
      <c r="YU31" s="3"/>
      <c r="YV31" s="3"/>
      <c r="YW31" s="3"/>
      <c r="YX31" s="3"/>
      <c r="YY31" s="3"/>
      <c r="YZ31" s="3"/>
      <c r="ZA31" s="3"/>
      <c r="ZB31" s="3"/>
      <c r="ZC31" s="3"/>
      <c r="ZD31" s="3"/>
      <c r="ZE31" s="3"/>
      <c r="ZF31" s="3"/>
      <c r="ZG31" s="3"/>
      <c r="ZH31" s="3"/>
      <c r="ZI31" s="3"/>
      <c r="ZJ31" s="3"/>
      <c r="ZK31" s="3"/>
      <c r="ZL31" s="3"/>
      <c r="ZM31" s="3"/>
      <c r="ZN31" s="3"/>
      <c r="ZO31" s="3"/>
      <c r="ZP31" s="3"/>
      <c r="ZQ31" s="3"/>
      <c r="ZR31" s="3"/>
      <c r="ZS31" s="3"/>
      <c r="ZT31" s="3"/>
      <c r="ZU31" s="3"/>
      <c r="ZV31" s="3"/>
      <c r="ZW31" s="3"/>
      <c r="ZX31" s="3"/>
      <c r="ZY31" s="3"/>
      <c r="ZZ31" s="3"/>
      <c r="AAA31" s="3"/>
      <c r="AAB31" s="3"/>
      <c r="AAC31" s="3"/>
      <c r="AAD31" s="3"/>
      <c r="AAE31" s="3"/>
      <c r="AAF31" s="3"/>
      <c r="AAG31" s="3"/>
      <c r="AAH31" s="3"/>
      <c r="AAI31" s="3"/>
      <c r="AAJ31" s="3"/>
      <c r="AAK31" s="3"/>
      <c r="AAL31" s="3"/>
      <c r="AAM31" s="3"/>
      <c r="AAN31" s="3"/>
      <c r="AAO31" s="3"/>
      <c r="AAP31" s="3"/>
      <c r="AAQ31" s="3"/>
      <c r="AAR31" s="3"/>
      <c r="AAS31" s="3"/>
      <c r="AAT31" s="3"/>
      <c r="AAU31" s="3"/>
      <c r="AAV31" s="3"/>
      <c r="AAW31" s="3"/>
      <c r="AAX31" s="3"/>
      <c r="AAY31" s="3"/>
      <c r="AAZ31" s="3"/>
      <c r="ABA31" s="3"/>
      <c r="ABB31" s="3"/>
      <c r="ABC31" s="3"/>
      <c r="ABD31" s="3"/>
      <c r="ABE31" s="3"/>
      <c r="ABF31" s="3"/>
      <c r="ABG31" s="3"/>
      <c r="ABH31" s="3"/>
      <c r="ABI31" s="3"/>
      <c r="ABJ31" s="3"/>
      <c r="ABK31" s="3"/>
      <c r="ABL31" s="3"/>
      <c r="ABM31" s="3"/>
      <c r="ABN31" s="3"/>
      <c r="ABO31" s="3"/>
      <c r="ABP31" s="3"/>
      <c r="ABQ31" s="3"/>
      <c r="ABR31" s="3"/>
      <c r="ABS31" s="3"/>
      <c r="ABT31" s="3"/>
      <c r="ABU31" s="3"/>
      <c r="ABV31" s="3"/>
      <c r="ABW31" s="3"/>
      <c r="ABX31" s="3"/>
      <c r="ABY31" s="3"/>
      <c r="ABZ31" s="3"/>
      <c r="ACA31" s="3"/>
      <c r="ACB31" s="3"/>
      <c r="ACC31" s="3"/>
      <c r="ACD31" s="3"/>
      <c r="ACE31" s="3"/>
      <c r="ACF31" s="3"/>
      <c r="ACG31" s="3"/>
      <c r="ACH31" s="3"/>
      <c r="ACI31" s="3"/>
      <c r="ACJ31" s="3"/>
      <c r="ACK31" s="3"/>
      <c r="ACL31" s="3"/>
      <c r="ACM31" s="3"/>
      <c r="ACN31" s="3"/>
      <c r="ACO31" s="3"/>
      <c r="ACP31" s="3"/>
    </row>
    <row r="32" spans="1:770" s="224" customFormat="1">
      <c r="A32" s="292" t="e">
        <f t="shared" si="1"/>
        <v>#REF!</v>
      </c>
      <c r="B32" s="253" t="s">
        <v>629</v>
      </c>
      <c r="C32" s="309">
        <v>12595050280143</v>
      </c>
      <c r="D32" s="309">
        <v>12595050280143</v>
      </c>
      <c r="E32" s="310" t="s">
        <v>576</v>
      </c>
      <c r="F32" s="244" t="str">
        <f>VLOOKUP(B32,distribucion!B$9:FK$200,2,0)</f>
        <v>Auxiliar de Limpieza</v>
      </c>
      <c r="G32" s="244">
        <f>ROUND((VLOOKUP($B32,'Nomina Proquima'!$B$4:$AB$145,4,0)),2)</f>
        <v>30</v>
      </c>
      <c r="H32" s="245">
        <f>ROUND((VLOOKUP($B32,'Nomina Proquima'!$B$4:$AB$145,6,0)),2)</f>
        <v>3166.38</v>
      </c>
      <c r="I32" s="245">
        <f>ROUND((VLOOKUP($B32,'Nomina Proquima'!$B$4:$AB$145,7,0)),2)</f>
        <v>475</v>
      </c>
      <c r="J32" s="245">
        <f>ROUND((VLOOKUP($B32,'Nomina Proquima'!$B$4:$AB$145,9,0)),2)</f>
        <v>0</v>
      </c>
      <c r="K32" s="245">
        <f>ROUND((VLOOKUP($B32,'Nomina Proquima'!$B$4:$AB$145,10,0)),2)</f>
        <v>0</v>
      </c>
      <c r="L32" s="245">
        <f>ROUND((VLOOKUP($B32,'Nomina Proquima'!$B$4:$AB$145,11,0)),2)</f>
        <v>0</v>
      </c>
      <c r="M32" s="245">
        <f>ROUND((VLOOKUP($B32,'Nomina Proquima'!$B$4:$AB$145,12,0)),2)</f>
        <v>0</v>
      </c>
      <c r="N32" s="245">
        <f>ROUND((VLOOKUP($B32,'Nomina Proquima'!$B$4:$AB$145,13,0)),2)</f>
        <v>0</v>
      </c>
      <c r="O32" s="245">
        <f>ROUND((VLOOKUP($B32,'Nomina Proquima'!$B$4:$AB$145,14,0)),2)</f>
        <v>3641.38</v>
      </c>
      <c r="P32" s="245">
        <f>ROUND((VLOOKUP($B32,'Nomina Proquima'!$B$4:$AB$145,15,0)),2)</f>
        <v>152.94</v>
      </c>
      <c r="Q32" s="245">
        <f>ROUND((VLOOKUP($B32,'Nomina Proquima'!$B$4:$AB$145,16,0)),2)</f>
        <v>0</v>
      </c>
      <c r="R32" s="245">
        <f>ROUND((VLOOKUP($B32,'Nomina Proquima'!$B$4:$AB$145,17,0)),2)</f>
        <v>489.63</v>
      </c>
      <c r="S32" s="245">
        <f>ROUND((VLOOKUP($B32,'Nomina Proquima'!$B$4:$AB$145,18,0)),2)</f>
        <v>0</v>
      </c>
      <c r="T32" s="245">
        <f>ROUND((VLOOKUP($B32,'Nomina Proquima'!$B$4:$AB$145,19,0)),2)</f>
        <v>0</v>
      </c>
      <c r="U32" s="245">
        <f>ROUND((VLOOKUP($B32,'Nomina Proquima'!$B$4:$AB$145,20,0)),2)</f>
        <v>0</v>
      </c>
      <c r="V32" s="245">
        <f>ROUND((VLOOKUP($B32,'Nomina Proquima'!$B$4:$AB$145,21,0)),2)</f>
        <v>345</v>
      </c>
      <c r="W32" s="245">
        <f>ROUND((VLOOKUP($B32,'Nomina Proquima'!$B$4:$AB$145,22,0)),2)</f>
        <v>50</v>
      </c>
      <c r="X32" s="245">
        <f>ROUND((VLOOKUP($B32,'Nomina Proquima'!$B$4:$AB$145,23,0)),2)</f>
        <v>1037.57</v>
      </c>
      <c r="Y32" s="234">
        <f>ROUND((VLOOKUP($B32,'Nomina Proquima'!$B$4:$AB$147,24,0)),2)</f>
        <v>2603.81</v>
      </c>
      <c r="Z32" s="255">
        <f>VLOOKUP(B32,'Nomina Proquima'!$B$4:$AA$148,25,0)</f>
        <v>1237.4000000000001</v>
      </c>
      <c r="AA32" s="245">
        <f>ROUND((VLOOKUP($B32,'Nomina Proquima'!$B$4:$AB$145,26,0)),2)</f>
        <v>1366.41</v>
      </c>
      <c r="AB32" s="246"/>
      <c r="AC32" s="247">
        <f>+IFERROR(VLOOKUP(B32,'Nomina Proquima'!B:Z,25,0),"")</f>
        <v>1237.4000000000001</v>
      </c>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c r="KS32" s="3"/>
      <c r="KT32" s="3"/>
      <c r="KU32" s="3"/>
      <c r="KV32" s="3"/>
      <c r="KW32" s="3"/>
      <c r="KX32" s="3"/>
      <c r="KY32" s="3"/>
      <c r="KZ32" s="3"/>
      <c r="LA32" s="3"/>
      <c r="LB32" s="3"/>
      <c r="LC32" s="3"/>
      <c r="LD32" s="3"/>
      <c r="LE32" s="3"/>
      <c r="LF32" s="3"/>
      <c r="LG32" s="3"/>
      <c r="LH32" s="3"/>
      <c r="LI32" s="3"/>
      <c r="LJ32" s="3"/>
      <c r="LK32" s="3"/>
      <c r="LL32" s="3"/>
      <c r="LM32" s="3"/>
      <c r="LN32" s="3"/>
      <c r="LO32" s="3"/>
      <c r="LP32" s="3"/>
      <c r="LQ32" s="3"/>
      <c r="LR32" s="3"/>
      <c r="LS32" s="3"/>
      <c r="LT32" s="3"/>
      <c r="LU32" s="3"/>
      <c r="LV32" s="3"/>
      <c r="LW32" s="3"/>
      <c r="LX32" s="3"/>
      <c r="LY32" s="3"/>
      <c r="LZ32" s="3"/>
      <c r="MA32" s="3"/>
      <c r="MB32" s="3"/>
      <c r="MC32" s="3"/>
      <c r="MD32" s="3"/>
      <c r="ME32" s="3"/>
      <c r="MF32" s="3"/>
      <c r="MG32" s="3"/>
      <c r="MH32" s="3"/>
      <c r="MI32" s="3"/>
      <c r="MJ32" s="3"/>
      <c r="MK32" s="3"/>
      <c r="ML32" s="3"/>
      <c r="MM32" s="3"/>
      <c r="MN32" s="3"/>
      <c r="MO32" s="3"/>
      <c r="MP32" s="3"/>
      <c r="MQ32" s="3"/>
      <c r="MR32" s="3"/>
      <c r="MS32" s="3"/>
      <c r="MT32" s="3"/>
      <c r="MU32" s="3"/>
      <c r="MV32" s="3"/>
      <c r="MW32" s="3"/>
      <c r="MX32" s="3"/>
      <c r="MY32" s="3"/>
      <c r="MZ32" s="3"/>
      <c r="NA32" s="3"/>
      <c r="NB32" s="3"/>
      <c r="NC32" s="3"/>
      <c r="ND32" s="3"/>
      <c r="NE32" s="3"/>
      <c r="NF32" s="3"/>
      <c r="NG32" s="3"/>
      <c r="NH32" s="3"/>
      <c r="NI32" s="3"/>
      <c r="NJ32" s="3"/>
      <c r="NK32" s="3"/>
      <c r="NL32" s="3"/>
      <c r="NM32" s="3"/>
      <c r="NN32" s="3"/>
      <c r="NO32" s="3"/>
      <c r="NP32" s="3"/>
      <c r="NQ32" s="3"/>
      <c r="NR32" s="3"/>
      <c r="NS32" s="3"/>
      <c r="NT32" s="3"/>
      <c r="NU32" s="3"/>
      <c r="NV32" s="3"/>
      <c r="NW32" s="3"/>
      <c r="NX32" s="3"/>
      <c r="NY32" s="3"/>
      <c r="NZ32" s="3"/>
      <c r="OA32" s="3"/>
      <c r="OB32" s="3"/>
      <c r="OC32" s="3"/>
      <c r="OD32" s="3"/>
      <c r="OE32" s="3"/>
      <c r="OF32" s="3"/>
      <c r="OG32" s="3"/>
      <c r="OH32" s="3"/>
      <c r="OI32" s="3"/>
      <c r="OJ32" s="3"/>
      <c r="OK32" s="3"/>
      <c r="OL32" s="3"/>
      <c r="OM32" s="3"/>
      <c r="ON32" s="3"/>
      <c r="OO32" s="3"/>
      <c r="OP32" s="3"/>
      <c r="OQ32" s="3"/>
      <c r="OR32" s="3"/>
      <c r="OS32" s="3"/>
      <c r="OT32" s="3"/>
      <c r="OU32" s="3"/>
      <c r="OV32" s="3"/>
      <c r="OW32" s="3"/>
      <c r="OX32" s="3"/>
      <c r="OY32" s="3"/>
      <c r="OZ32" s="3"/>
      <c r="PA32" s="3"/>
      <c r="PB32" s="3"/>
      <c r="PC32" s="3"/>
      <c r="PD32" s="3"/>
      <c r="PE32" s="3"/>
      <c r="PF32" s="3"/>
      <c r="PG32" s="3"/>
      <c r="PH32" s="3"/>
      <c r="PI32" s="3"/>
      <c r="PJ32" s="3"/>
      <c r="PK32" s="3"/>
      <c r="PL32" s="3"/>
      <c r="PM32" s="3"/>
      <c r="PN32" s="3"/>
      <c r="PO32" s="3"/>
      <c r="PP32" s="3"/>
      <c r="PQ32" s="3"/>
      <c r="PR32" s="3"/>
      <c r="PS32" s="3"/>
      <c r="PT32" s="3"/>
      <c r="PU32" s="3"/>
      <c r="PV32" s="3"/>
      <c r="PW32" s="3"/>
      <c r="PX32" s="3"/>
      <c r="PY32" s="3"/>
      <c r="PZ32" s="3"/>
      <c r="QA32" s="3"/>
      <c r="QB32" s="3"/>
      <c r="QC32" s="3"/>
      <c r="QD32" s="3"/>
      <c r="QE32" s="3"/>
      <c r="QF32" s="3"/>
      <c r="QG32" s="3"/>
      <c r="QH32" s="3"/>
      <c r="QI32" s="3"/>
      <c r="QJ32" s="3"/>
      <c r="QK32" s="3"/>
      <c r="QL32" s="3"/>
      <c r="QM32" s="3"/>
      <c r="QN32" s="3"/>
      <c r="QO32" s="3"/>
      <c r="QP32" s="3"/>
      <c r="QQ32" s="3"/>
      <c r="QR32" s="3"/>
      <c r="QS32" s="3"/>
      <c r="QT32" s="3"/>
      <c r="QU32" s="3"/>
      <c r="QV32" s="3"/>
      <c r="QW32" s="3"/>
      <c r="QX32" s="3"/>
      <c r="QY32" s="3"/>
      <c r="QZ32" s="3"/>
      <c r="RA32" s="3"/>
      <c r="RB32" s="3"/>
      <c r="RC32" s="3"/>
      <c r="RD32" s="3"/>
      <c r="RE32" s="3"/>
      <c r="RF32" s="3"/>
      <c r="RG32" s="3"/>
      <c r="RH32" s="3"/>
      <c r="RI32" s="3"/>
      <c r="RJ32" s="3"/>
      <c r="RK32" s="3"/>
      <c r="RL32" s="3"/>
      <c r="RM32" s="3"/>
      <c r="RN32" s="3"/>
      <c r="RO32" s="3"/>
      <c r="RP32" s="3"/>
      <c r="RQ32" s="3"/>
      <c r="RR32" s="3"/>
      <c r="RS32" s="3"/>
      <c r="RT32" s="3"/>
      <c r="RU32" s="3"/>
      <c r="RV32" s="3"/>
      <c r="RW32" s="3"/>
      <c r="RX32" s="3"/>
      <c r="RY32" s="3"/>
      <c r="RZ32" s="3"/>
      <c r="SA32" s="3"/>
      <c r="SB32" s="3"/>
      <c r="SC32" s="3"/>
      <c r="SD32" s="3"/>
      <c r="SE32" s="3"/>
      <c r="SF32" s="3"/>
      <c r="SG32" s="3"/>
      <c r="SH32" s="3"/>
      <c r="SI32" s="3"/>
      <c r="SJ32" s="3"/>
      <c r="SK32" s="3"/>
      <c r="SL32" s="3"/>
      <c r="SM32" s="3"/>
      <c r="SN32" s="3"/>
      <c r="SO32" s="3"/>
      <c r="SP32" s="3"/>
      <c r="SQ32" s="3"/>
      <c r="SR32" s="3"/>
      <c r="SS32" s="3"/>
      <c r="ST32" s="3"/>
      <c r="SU32" s="3"/>
      <c r="SV32" s="3"/>
      <c r="SW32" s="3"/>
      <c r="SX32" s="3"/>
      <c r="SY32" s="3"/>
      <c r="SZ32" s="3"/>
      <c r="TA32" s="3"/>
      <c r="TB32" s="3"/>
      <c r="TC32" s="3"/>
      <c r="TD32" s="3"/>
      <c r="TE32" s="3"/>
      <c r="TF32" s="3"/>
      <c r="TG32" s="3"/>
      <c r="TH32" s="3"/>
      <c r="TI32" s="3"/>
      <c r="TJ32" s="3"/>
      <c r="TK32" s="3"/>
      <c r="TL32" s="3"/>
      <c r="TM32" s="3"/>
      <c r="TN32" s="3"/>
      <c r="TO32" s="3"/>
      <c r="TP32" s="3"/>
      <c r="TQ32" s="3"/>
      <c r="TR32" s="3"/>
      <c r="TS32" s="3"/>
      <c r="TT32" s="3"/>
      <c r="TU32" s="3"/>
      <c r="TV32" s="3"/>
      <c r="TW32" s="3"/>
      <c r="TX32" s="3"/>
      <c r="TY32" s="3"/>
      <c r="TZ32" s="3"/>
      <c r="UA32" s="3"/>
      <c r="UB32" s="3"/>
      <c r="UC32" s="3"/>
      <c r="UD32" s="3"/>
      <c r="UE32" s="3"/>
      <c r="UF32" s="3"/>
      <c r="UG32" s="3"/>
      <c r="UH32" s="3"/>
      <c r="UI32" s="3"/>
      <c r="UJ32" s="3"/>
      <c r="UK32" s="3"/>
      <c r="UL32" s="3"/>
      <c r="UM32" s="3"/>
      <c r="UN32" s="3"/>
      <c r="UO32" s="3"/>
      <c r="UP32" s="3"/>
      <c r="UQ32" s="3"/>
      <c r="UR32" s="3"/>
      <c r="US32" s="3"/>
      <c r="UT32" s="3"/>
      <c r="UU32" s="3"/>
      <c r="UV32" s="3"/>
      <c r="UW32" s="3"/>
      <c r="UX32" s="3"/>
      <c r="UY32" s="3"/>
      <c r="UZ32" s="3"/>
      <c r="VA32" s="3"/>
      <c r="VB32" s="3"/>
      <c r="VC32" s="3"/>
      <c r="VD32" s="3"/>
      <c r="VE32" s="3"/>
      <c r="VF32" s="3"/>
      <c r="VG32" s="3"/>
      <c r="VH32" s="3"/>
      <c r="VI32" s="3"/>
      <c r="VJ32" s="3"/>
      <c r="VK32" s="3"/>
      <c r="VL32" s="3"/>
      <c r="VM32" s="3"/>
      <c r="VN32" s="3"/>
      <c r="VO32" s="3"/>
      <c r="VP32" s="3"/>
      <c r="VQ32" s="3"/>
      <c r="VR32" s="3"/>
      <c r="VS32" s="3"/>
      <c r="VT32" s="3"/>
      <c r="VU32" s="3"/>
      <c r="VV32" s="3"/>
      <c r="VW32" s="3"/>
      <c r="VX32" s="3"/>
      <c r="VY32" s="3"/>
      <c r="VZ32" s="3"/>
      <c r="WA32" s="3"/>
      <c r="WB32" s="3"/>
      <c r="WC32" s="3"/>
      <c r="WD32" s="3"/>
      <c r="WE32" s="3"/>
      <c r="WF32" s="3"/>
      <c r="WG32" s="3"/>
      <c r="WH32" s="3"/>
      <c r="WI32" s="3"/>
      <c r="WJ32" s="3"/>
      <c r="WK32" s="3"/>
      <c r="WL32" s="3"/>
      <c r="WM32" s="3"/>
      <c r="WN32" s="3"/>
      <c r="WO32" s="3"/>
      <c r="WP32" s="3"/>
      <c r="WQ32" s="3"/>
      <c r="WR32" s="3"/>
      <c r="WS32" s="3"/>
      <c r="WT32" s="3"/>
      <c r="WU32" s="3"/>
      <c r="WV32" s="3"/>
      <c r="WW32" s="3"/>
      <c r="WX32" s="3"/>
      <c r="WY32" s="3"/>
      <c r="WZ32" s="3"/>
      <c r="XA32" s="3"/>
      <c r="XB32" s="3"/>
      <c r="XC32" s="3"/>
      <c r="XD32" s="3"/>
      <c r="XE32" s="3"/>
      <c r="XF32" s="3"/>
      <c r="XG32" s="3"/>
      <c r="XH32" s="3"/>
      <c r="XI32" s="3"/>
      <c r="XJ32" s="3"/>
      <c r="XK32" s="3"/>
      <c r="XL32" s="3"/>
      <c r="XM32" s="3"/>
      <c r="XN32" s="3"/>
      <c r="XO32" s="3"/>
      <c r="XP32" s="3"/>
      <c r="XQ32" s="3"/>
      <c r="XR32" s="3"/>
      <c r="XS32" s="3"/>
      <c r="XT32" s="3"/>
      <c r="XU32" s="3"/>
      <c r="XV32" s="3"/>
      <c r="XW32" s="3"/>
      <c r="XX32" s="3"/>
      <c r="XY32" s="3"/>
      <c r="XZ32" s="3"/>
      <c r="YA32" s="3"/>
      <c r="YB32" s="3"/>
      <c r="YC32" s="3"/>
      <c r="YD32" s="3"/>
      <c r="YE32" s="3"/>
      <c r="YF32" s="3"/>
      <c r="YG32" s="3"/>
      <c r="YH32" s="3"/>
      <c r="YI32" s="3"/>
      <c r="YJ32" s="3"/>
      <c r="YK32" s="3"/>
      <c r="YL32" s="3"/>
      <c r="YM32" s="3"/>
      <c r="YN32" s="3"/>
      <c r="YO32" s="3"/>
      <c r="YP32" s="3"/>
      <c r="YQ32" s="3"/>
      <c r="YR32" s="3"/>
      <c r="YS32" s="3"/>
      <c r="YT32" s="3"/>
      <c r="YU32" s="3"/>
      <c r="YV32" s="3"/>
      <c r="YW32" s="3"/>
      <c r="YX32" s="3"/>
      <c r="YY32" s="3"/>
      <c r="YZ32" s="3"/>
      <c r="ZA32" s="3"/>
      <c r="ZB32" s="3"/>
      <c r="ZC32" s="3"/>
      <c r="ZD32" s="3"/>
      <c r="ZE32" s="3"/>
      <c r="ZF32" s="3"/>
      <c r="ZG32" s="3"/>
      <c r="ZH32" s="3"/>
      <c r="ZI32" s="3"/>
      <c r="ZJ32" s="3"/>
      <c r="ZK32" s="3"/>
      <c r="ZL32" s="3"/>
      <c r="ZM32" s="3"/>
      <c r="ZN32" s="3"/>
      <c r="ZO32" s="3"/>
      <c r="ZP32" s="3"/>
      <c r="ZQ32" s="3"/>
      <c r="ZR32" s="3"/>
      <c r="ZS32" s="3"/>
      <c r="ZT32" s="3"/>
      <c r="ZU32" s="3"/>
      <c r="ZV32" s="3"/>
      <c r="ZW32" s="3"/>
      <c r="ZX32" s="3"/>
      <c r="ZY32" s="3"/>
      <c r="ZZ32" s="3"/>
      <c r="AAA32" s="3"/>
      <c r="AAB32" s="3"/>
      <c r="AAC32" s="3"/>
      <c r="AAD32" s="3"/>
      <c r="AAE32" s="3"/>
      <c r="AAF32" s="3"/>
      <c r="AAG32" s="3"/>
      <c r="AAH32" s="3"/>
      <c r="AAI32" s="3"/>
      <c r="AAJ32" s="3"/>
      <c r="AAK32" s="3"/>
      <c r="AAL32" s="3"/>
      <c r="AAM32" s="3"/>
      <c r="AAN32" s="3"/>
      <c r="AAO32" s="3"/>
      <c r="AAP32" s="3"/>
      <c r="AAQ32" s="3"/>
      <c r="AAR32" s="3"/>
      <c r="AAS32" s="3"/>
      <c r="AAT32" s="3"/>
      <c r="AAU32" s="3"/>
      <c r="AAV32" s="3"/>
      <c r="AAW32" s="3"/>
      <c r="AAX32" s="3"/>
      <c r="AAY32" s="3"/>
      <c r="AAZ32" s="3"/>
      <c r="ABA32" s="3"/>
      <c r="ABB32" s="3"/>
      <c r="ABC32" s="3"/>
      <c r="ABD32" s="3"/>
      <c r="ABE32" s="3"/>
      <c r="ABF32" s="3"/>
      <c r="ABG32" s="3"/>
      <c r="ABH32" s="3"/>
      <c r="ABI32" s="3"/>
      <c r="ABJ32" s="3"/>
      <c r="ABK32" s="3"/>
      <c r="ABL32" s="3"/>
      <c r="ABM32" s="3"/>
      <c r="ABN32" s="3"/>
      <c r="ABO32" s="3"/>
      <c r="ABP32" s="3"/>
      <c r="ABQ32" s="3"/>
      <c r="ABR32" s="3"/>
      <c r="ABS32" s="3"/>
      <c r="ABT32" s="3"/>
      <c r="ABU32" s="3"/>
      <c r="ABV32" s="3"/>
      <c r="ABW32" s="3"/>
      <c r="ABX32" s="3"/>
      <c r="ABY32" s="3"/>
      <c r="ABZ32" s="3"/>
      <c r="ACA32" s="3"/>
      <c r="ACB32" s="3"/>
      <c r="ACC32" s="3"/>
      <c r="ACD32" s="3"/>
      <c r="ACE32" s="3"/>
      <c r="ACF32" s="3"/>
      <c r="ACG32" s="3"/>
      <c r="ACH32" s="3"/>
      <c r="ACI32" s="3"/>
      <c r="ACJ32" s="3"/>
      <c r="ACK32" s="3"/>
      <c r="ACL32" s="3"/>
      <c r="ACM32" s="3"/>
      <c r="ACN32" s="3"/>
      <c r="ACO32" s="3"/>
      <c r="ACP32" s="3"/>
    </row>
    <row r="33" spans="1:770" s="224" customFormat="1">
      <c r="A33" s="292" t="e">
        <f t="shared" si="1"/>
        <v>#REF!</v>
      </c>
      <c r="B33" s="253" t="s">
        <v>604</v>
      </c>
      <c r="C33" s="373">
        <v>12275050285432</v>
      </c>
      <c r="D33" s="373">
        <v>7591049482</v>
      </c>
      <c r="E33" s="310" t="s">
        <v>604</v>
      </c>
      <c r="F33" s="244" t="str">
        <f>VLOOKUP(B33,distribucion!B$9:FK$200,2,0)</f>
        <v>Gerente Comercial</v>
      </c>
      <c r="G33" s="244">
        <f>ROUND((VLOOKUP($B33,'Nomina Proquima'!$B$4:$AB$145,4,0)),2)</f>
        <v>30</v>
      </c>
      <c r="H33" s="245">
        <f>ROUND((VLOOKUP($B33,'Nomina Proquima'!$B$4:$AB$145,6,0)),2)</f>
        <v>13000</v>
      </c>
      <c r="I33" s="245">
        <f>ROUND((VLOOKUP($B33,'Nomina Proquima'!$B$4:$AB$145,7,0)),2)</f>
        <v>12919.57</v>
      </c>
      <c r="J33" s="245">
        <f>ROUND((VLOOKUP($B33,'Nomina Proquima'!$B$4:$AB$145,9,0)),2)</f>
        <v>0</v>
      </c>
      <c r="K33" s="245">
        <f>ROUND((VLOOKUP($B33,'Nomina Proquima'!$B$4:$AB$145,10,0)),2)</f>
        <v>0</v>
      </c>
      <c r="L33" s="245">
        <f>ROUND((VLOOKUP($B33,'Nomina Proquima'!$B$4:$AB$145,11,0)),2)</f>
        <v>0</v>
      </c>
      <c r="M33" s="245">
        <f>ROUND((VLOOKUP($B33,'Nomina Proquima'!$B$4:$AB$145,12,0)),2)</f>
        <v>0</v>
      </c>
      <c r="N33" s="245">
        <f>ROUND((VLOOKUP($B33,'Nomina Proquima'!$B$4:$AB$145,13,0)),2)</f>
        <v>0</v>
      </c>
      <c r="O33" s="245">
        <f>ROUND((VLOOKUP($B33,'Nomina Proquima'!$B$4:$AB$145,14,0)),2)</f>
        <v>25919.57</v>
      </c>
      <c r="P33" s="245">
        <f>ROUND((VLOOKUP($B33,'Nomina Proquima'!$B$4:$AB$145,15,0)),2)</f>
        <v>627.9</v>
      </c>
      <c r="Q33" s="245">
        <f>ROUND((VLOOKUP($B33,'Nomina Proquima'!$B$4:$AB$145,16,0)),2)</f>
        <v>1071.1099999999999</v>
      </c>
      <c r="R33" s="245">
        <f>ROUND((VLOOKUP($B33,'Nomina Proquima'!$B$4:$AB$145,17,0)),2)</f>
        <v>0</v>
      </c>
      <c r="S33" s="245">
        <f>ROUND((VLOOKUP($B33,'Nomina Proquima'!$B$4:$AB$145,18,0)),2)</f>
        <v>0</v>
      </c>
      <c r="T33" s="245">
        <f>ROUND((VLOOKUP($B33,'Nomina Proquima'!$B$4:$AB$145,19,0)),2)</f>
        <v>0</v>
      </c>
      <c r="U33" s="245">
        <f>ROUND((VLOOKUP($B33,'Nomina Proquima'!$B$4:$AB$145,20,0)),2)</f>
        <v>0</v>
      </c>
      <c r="V33" s="245">
        <f>ROUND((VLOOKUP($B33,'Nomina Proquima'!$B$4:$AB$145,21,0)),2)</f>
        <v>0</v>
      </c>
      <c r="W33" s="245">
        <f>ROUND((VLOOKUP($B33,'Nomina Proquima'!$B$4:$AB$145,22,0)),2)</f>
        <v>150</v>
      </c>
      <c r="X33" s="245">
        <f>ROUND((VLOOKUP($B33,'Nomina Proquima'!$B$4:$AB$145,23,0)),2)</f>
        <v>1849.01</v>
      </c>
      <c r="Y33" s="234">
        <f>ROUND((VLOOKUP($B33,'Nomina Proquima'!$B$4:$AB$147,24,0)),2)</f>
        <v>24070.560000000001</v>
      </c>
      <c r="Z33" s="255">
        <f>VLOOKUP(B33,'Nomina Proquima'!$B$4:$AA$148,25,0)</f>
        <v>16431.849999999999</v>
      </c>
      <c r="AA33" s="245">
        <f>ROUND((VLOOKUP($B33,'Nomina Proquima'!$B$4:$AB$145,26,0)),2)</f>
        <v>7638.71</v>
      </c>
      <c r="AB33" s="251"/>
      <c r="AC33" s="247">
        <f>+IFERROR(VLOOKUP(B33,'Nomina Proquima'!B:Z,25,0),"")</f>
        <v>16431.849999999999</v>
      </c>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c r="NP33" s="3"/>
      <c r="NQ33" s="3"/>
      <c r="NR33" s="3"/>
      <c r="NS33" s="3"/>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3"/>
      <c r="OV33" s="3"/>
      <c r="OW33" s="3"/>
      <c r="OX33" s="3"/>
      <c r="OY33" s="3"/>
      <c r="OZ33" s="3"/>
      <c r="PA33" s="3"/>
      <c r="PB33" s="3"/>
      <c r="PC33" s="3"/>
      <c r="PD33" s="3"/>
      <c r="PE33" s="3"/>
      <c r="PF33" s="3"/>
      <c r="PG33" s="3"/>
      <c r="PH33" s="3"/>
      <c r="PI33" s="3"/>
      <c r="PJ33" s="3"/>
      <c r="PK33" s="3"/>
      <c r="PL33" s="3"/>
      <c r="PM33" s="3"/>
      <c r="PN33" s="3"/>
      <c r="PO33" s="3"/>
      <c r="PP33" s="3"/>
      <c r="PQ33" s="3"/>
      <c r="PR33" s="3"/>
      <c r="PS33" s="3"/>
      <c r="PT33" s="3"/>
      <c r="PU33" s="3"/>
      <c r="PV33" s="3"/>
      <c r="PW33" s="3"/>
      <c r="PX33" s="3"/>
      <c r="PY33" s="3"/>
      <c r="PZ33" s="3"/>
      <c r="QA33" s="3"/>
      <c r="QB33" s="3"/>
      <c r="QC33" s="3"/>
      <c r="QD33" s="3"/>
      <c r="QE33" s="3"/>
      <c r="QF33" s="3"/>
      <c r="QG33" s="3"/>
      <c r="QH33" s="3"/>
      <c r="QI33" s="3"/>
      <c r="QJ33" s="3"/>
      <c r="QK33" s="3"/>
      <c r="QL33" s="3"/>
      <c r="QM33" s="3"/>
      <c r="QN33" s="3"/>
      <c r="QO33" s="3"/>
      <c r="QP33" s="3"/>
      <c r="QQ33" s="3"/>
      <c r="QR33" s="3"/>
      <c r="QS33" s="3"/>
      <c r="QT33" s="3"/>
      <c r="QU33" s="3"/>
      <c r="QV33" s="3"/>
      <c r="QW33" s="3"/>
      <c r="QX33" s="3"/>
      <c r="QY33" s="3"/>
      <c r="QZ33" s="3"/>
      <c r="RA33" s="3"/>
      <c r="RB33" s="3"/>
      <c r="RC33" s="3"/>
      <c r="RD33" s="3"/>
      <c r="RE33" s="3"/>
      <c r="RF33" s="3"/>
      <c r="RG33" s="3"/>
      <c r="RH33" s="3"/>
      <c r="RI33" s="3"/>
      <c r="RJ33" s="3"/>
      <c r="RK33" s="3"/>
      <c r="RL33" s="3"/>
      <c r="RM33" s="3"/>
      <c r="RN33" s="3"/>
      <c r="RO33" s="3"/>
      <c r="RP33" s="3"/>
      <c r="RQ33" s="3"/>
      <c r="RR33" s="3"/>
      <c r="RS33" s="3"/>
      <c r="RT33" s="3"/>
      <c r="RU33" s="3"/>
      <c r="RV33" s="3"/>
      <c r="RW33" s="3"/>
      <c r="RX33" s="3"/>
      <c r="RY33" s="3"/>
      <c r="RZ33" s="3"/>
      <c r="SA33" s="3"/>
      <c r="SB33" s="3"/>
      <c r="SC33" s="3"/>
      <c r="SD33" s="3"/>
      <c r="SE33" s="3"/>
      <c r="SF33" s="3"/>
      <c r="SG33" s="3"/>
      <c r="SH33" s="3"/>
      <c r="SI33" s="3"/>
      <c r="SJ33" s="3"/>
      <c r="SK33" s="3"/>
      <c r="SL33" s="3"/>
      <c r="SM33" s="3"/>
      <c r="SN33" s="3"/>
      <c r="SO33" s="3"/>
      <c r="SP33" s="3"/>
      <c r="SQ33" s="3"/>
      <c r="SR33" s="3"/>
      <c r="SS33" s="3"/>
      <c r="ST33" s="3"/>
      <c r="SU33" s="3"/>
      <c r="SV33" s="3"/>
      <c r="SW33" s="3"/>
      <c r="SX33" s="3"/>
      <c r="SY33" s="3"/>
      <c r="SZ33" s="3"/>
      <c r="TA33" s="3"/>
      <c r="TB33" s="3"/>
      <c r="TC33" s="3"/>
      <c r="TD33" s="3"/>
      <c r="TE33" s="3"/>
      <c r="TF33" s="3"/>
      <c r="TG33" s="3"/>
      <c r="TH33" s="3"/>
      <c r="TI33" s="3"/>
      <c r="TJ33" s="3"/>
      <c r="TK33" s="3"/>
      <c r="TL33" s="3"/>
      <c r="TM33" s="3"/>
      <c r="TN33" s="3"/>
      <c r="TO33" s="3"/>
      <c r="TP33" s="3"/>
      <c r="TQ33" s="3"/>
      <c r="TR33" s="3"/>
      <c r="TS33" s="3"/>
      <c r="TT33" s="3"/>
      <c r="TU33" s="3"/>
      <c r="TV33" s="3"/>
      <c r="TW33" s="3"/>
      <c r="TX33" s="3"/>
      <c r="TY33" s="3"/>
      <c r="TZ33" s="3"/>
      <c r="UA33" s="3"/>
      <c r="UB33" s="3"/>
      <c r="UC33" s="3"/>
      <c r="UD33" s="3"/>
      <c r="UE33" s="3"/>
      <c r="UF33" s="3"/>
      <c r="UG33" s="3"/>
      <c r="UH33" s="3"/>
      <c r="UI33" s="3"/>
      <c r="UJ33" s="3"/>
      <c r="UK33" s="3"/>
      <c r="UL33" s="3"/>
      <c r="UM33" s="3"/>
      <c r="UN33" s="3"/>
      <c r="UO33" s="3"/>
      <c r="UP33" s="3"/>
      <c r="UQ33" s="3"/>
      <c r="UR33" s="3"/>
      <c r="US33" s="3"/>
      <c r="UT33" s="3"/>
      <c r="UU33" s="3"/>
      <c r="UV33" s="3"/>
      <c r="UW33" s="3"/>
      <c r="UX33" s="3"/>
      <c r="UY33" s="3"/>
      <c r="UZ33" s="3"/>
      <c r="VA33" s="3"/>
      <c r="VB33" s="3"/>
      <c r="VC33" s="3"/>
      <c r="VD33" s="3"/>
      <c r="VE33" s="3"/>
      <c r="VF33" s="3"/>
      <c r="VG33" s="3"/>
      <c r="VH33" s="3"/>
      <c r="VI33" s="3"/>
      <c r="VJ33" s="3"/>
      <c r="VK33" s="3"/>
      <c r="VL33" s="3"/>
      <c r="VM33" s="3"/>
      <c r="VN33" s="3"/>
      <c r="VO33" s="3"/>
      <c r="VP33" s="3"/>
      <c r="VQ33" s="3"/>
      <c r="VR33" s="3"/>
      <c r="VS33" s="3"/>
      <c r="VT33" s="3"/>
      <c r="VU33" s="3"/>
      <c r="VV33" s="3"/>
      <c r="VW33" s="3"/>
      <c r="VX33" s="3"/>
      <c r="VY33" s="3"/>
      <c r="VZ33" s="3"/>
      <c r="WA33" s="3"/>
      <c r="WB33" s="3"/>
      <c r="WC33" s="3"/>
      <c r="WD33" s="3"/>
      <c r="WE33" s="3"/>
      <c r="WF33" s="3"/>
      <c r="WG33" s="3"/>
      <c r="WH33" s="3"/>
      <c r="WI33" s="3"/>
      <c r="WJ33" s="3"/>
      <c r="WK33" s="3"/>
      <c r="WL33" s="3"/>
      <c r="WM33" s="3"/>
      <c r="WN33" s="3"/>
      <c r="WO33" s="3"/>
      <c r="WP33" s="3"/>
      <c r="WQ33" s="3"/>
      <c r="WR33" s="3"/>
      <c r="WS33" s="3"/>
      <c r="WT33" s="3"/>
      <c r="WU33" s="3"/>
      <c r="WV33" s="3"/>
      <c r="WW33" s="3"/>
      <c r="WX33" s="3"/>
      <c r="WY33" s="3"/>
      <c r="WZ33" s="3"/>
      <c r="XA33" s="3"/>
      <c r="XB33" s="3"/>
      <c r="XC33" s="3"/>
      <c r="XD33" s="3"/>
      <c r="XE33" s="3"/>
      <c r="XF33" s="3"/>
      <c r="XG33" s="3"/>
      <c r="XH33" s="3"/>
      <c r="XI33" s="3"/>
      <c r="XJ33" s="3"/>
      <c r="XK33" s="3"/>
      <c r="XL33" s="3"/>
      <c r="XM33" s="3"/>
      <c r="XN33" s="3"/>
      <c r="XO33" s="3"/>
      <c r="XP33" s="3"/>
      <c r="XQ33" s="3"/>
      <c r="XR33" s="3"/>
      <c r="XS33" s="3"/>
      <c r="XT33" s="3"/>
      <c r="XU33" s="3"/>
      <c r="XV33" s="3"/>
      <c r="XW33" s="3"/>
      <c r="XX33" s="3"/>
      <c r="XY33" s="3"/>
      <c r="XZ33" s="3"/>
      <c r="YA33" s="3"/>
      <c r="YB33" s="3"/>
      <c r="YC33" s="3"/>
      <c r="YD33" s="3"/>
      <c r="YE33" s="3"/>
      <c r="YF33" s="3"/>
      <c r="YG33" s="3"/>
      <c r="YH33" s="3"/>
      <c r="YI33" s="3"/>
      <c r="YJ33" s="3"/>
      <c r="YK33" s="3"/>
      <c r="YL33" s="3"/>
      <c r="YM33" s="3"/>
      <c r="YN33" s="3"/>
      <c r="YO33" s="3"/>
      <c r="YP33" s="3"/>
      <c r="YQ33" s="3"/>
      <c r="YR33" s="3"/>
      <c r="YS33" s="3"/>
      <c r="YT33" s="3"/>
      <c r="YU33" s="3"/>
      <c r="YV33" s="3"/>
      <c r="YW33" s="3"/>
      <c r="YX33" s="3"/>
      <c r="YY33" s="3"/>
      <c r="YZ33" s="3"/>
      <c r="ZA33" s="3"/>
      <c r="ZB33" s="3"/>
      <c r="ZC33" s="3"/>
      <c r="ZD33" s="3"/>
      <c r="ZE33" s="3"/>
      <c r="ZF33" s="3"/>
      <c r="ZG33" s="3"/>
      <c r="ZH33" s="3"/>
      <c r="ZI33" s="3"/>
      <c r="ZJ33" s="3"/>
      <c r="ZK33" s="3"/>
      <c r="ZL33" s="3"/>
      <c r="ZM33" s="3"/>
      <c r="ZN33" s="3"/>
      <c r="ZO33" s="3"/>
      <c r="ZP33" s="3"/>
      <c r="ZQ33" s="3"/>
      <c r="ZR33" s="3"/>
      <c r="ZS33" s="3"/>
      <c r="ZT33" s="3"/>
      <c r="ZU33" s="3"/>
      <c r="ZV33" s="3"/>
      <c r="ZW33" s="3"/>
      <c r="ZX33" s="3"/>
      <c r="ZY33" s="3"/>
      <c r="ZZ33" s="3"/>
      <c r="AAA33" s="3"/>
      <c r="AAB33" s="3"/>
      <c r="AAC33" s="3"/>
      <c r="AAD33" s="3"/>
      <c r="AAE33" s="3"/>
      <c r="AAF33" s="3"/>
      <c r="AAG33" s="3"/>
      <c r="AAH33" s="3"/>
      <c r="AAI33" s="3"/>
      <c r="AAJ33" s="3"/>
      <c r="AAK33" s="3"/>
      <c r="AAL33" s="3"/>
      <c r="AAM33" s="3"/>
      <c r="AAN33" s="3"/>
      <c r="AAO33" s="3"/>
      <c r="AAP33" s="3"/>
      <c r="AAQ33" s="3"/>
      <c r="AAR33" s="3"/>
      <c r="AAS33" s="3"/>
      <c r="AAT33" s="3"/>
      <c r="AAU33" s="3"/>
      <c r="AAV33" s="3"/>
      <c r="AAW33" s="3"/>
      <c r="AAX33" s="3"/>
      <c r="AAY33" s="3"/>
      <c r="AAZ33" s="3"/>
      <c r="ABA33" s="3"/>
      <c r="ABB33" s="3"/>
      <c r="ABC33" s="3"/>
      <c r="ABD33" s="3"/>
      <c r="ABE33" s="3"/>
      <c r="ABF33" s="3"/>
      <c r="ABG33" s="3"/>
      <c r="ABH33" s="3"/>
      <c r="ABI33" s="3"/>
      <c r="ABJ33" s="3"/>
      <c r="ABK33" s="3"/>
      <c r="ABL33" s="3"/>
      <c r="ABM33" s="3"/>
      <c r="ABN33" s="3"/>
      <c r="ABO33" s="3"/>
      <c r="ABP33" s="3"/>
      <c r="ABQ33" s="3"/>
      <c r="ABR33" s="3"/>
      <c r="ABS33" s="3"/>
      <c r="ABT33" s="3"/>
      <c r="ABU33" s="3"/>
      <c r="ABV33" s="3"/>
      <c r="ABW33" s="3"/>
      <c r="ABX33" s="3"/>
      <c r="ABY33" s="3"/>
      <c r="ABZ33" s="3"/>
      <c r="ACA33" s="3"/>
      <c r="ACB33" s="3"/>
      <c r="ACC33" s="3"/>
      <c r="ACD33" s="3"/>
      <c r="ACE33" s="3"/>
      <c r="ACF33" s="3"/>
      <c r="ACG33" s="3"/>
      <c r="ACH33" s="3"/>
      <c r="ACI33" s="3"/>
      <c r="ACJ33" s="3"/>
      <c r="ACK33" s="3"/>
      <c r="ACL33" s="3"/>
      <c r="ACM33" s="3"/>
      <c r="ACN33" s="3"/>
      <c r="ACO33" s="3"/>
      <c r="ACP33" s="3"/>
    </row>
    <row r="34" spans="1:770" s="248" customFormat="1">
      <c r="A34" s="292" t="e">
        <f t="shared" si="1"/>
        <v>#REF!</v>
      </c>
      <c r="B34" s="253" t="s">
        <v>610</v>
      </c>
      <c r="C34" s="367" t="s">
        <v>611</v>
      </c>
      <c r="D34" s="367" t="s">
        <v>611</v>
      </c>
      <c r="E34" s="310" t="s">
        <v>609</v>
      </c>
      <c r="F34" s="244" t="str">
        <f>VLOOKUP(B34,distribucion!B$9:FK$200,2,0)</f>
        <v>Jefe I &amp; D</v>
      </c>
      <c r="G34" s="244">
        <f>ROUND((VLOOKUP($B34,'Nomina Proquima'!$B$4:$AB$145,4,0)),2)</f>
        <v>30</v>
      </c>
      <c r="H34" s="245">
        <f>ROUND((VLOOKUP($B34,'Nomina Proquima'!$B$4:$AB$145,6,0)),2)</f>
        <v>8000</v>
      </c>
      <c r="I34" s="245">
        <f>ROUND((VLOOKUP($B34,'Nomina Proquima'!$B$4:$AB$145,7,0)),2)</f>
        <v>3000</v>
      </c>
      <c r="J34" s="245">
        <f>ROUND((VLOOKUP($B34,'Nomina Proquima'!$B$4:$AB$145,9,0)),2)</f>
        <v>0</v>
      </c>
      <c r="K34" s="245">
        <f>ROUND((VLOOKUP($B34,'Nomina Proquima'!$B$4:$AB$145,10,0)),2)</f>
        <v>0</v>
      </c>
      <c r="L34" s="245">
        <f>ROUND((VLOOKUP($B34,'Nomina Proquima'!$B$4:$AB$145,11,0)),2)</f>
        <v>0</v>
      </c>
      <c r="M34" s="245">
        <f>ROUND((VLOOKUP($B34,'Nomina Proquima'!$B$4:$AB$145,12,0)),2)</f>
        <v>0</v>
      </c>
      <c r="N34" s="245">
        <f>ROUND((VLOOKUP($B34,'Nomina Proquima'!$B$4:$AB$145,13,0)),2)</f>
        <v>0</v>
      </c>
      <c r="O34" s="245">
        <f>ROUND((VLOOKUP($B34,'Nomina Proquima'!$B$4:$AB$145,14,0)),2)</f>
        <v>11000</v>
      </c>
      <c r="P34" s="245">
        <f>ROUND((VLOOKUP($B34,'Nomina Proquima'!$B$4:$AB$145,15,0)),2)</f>
        <v>386.4</v>
      </c>
      <c r="Q34" s="245">
        <f>ROUND((VLOOKUP($B34,'Nomina Proquima'!$B$4:$AB$145,16,0)),2)</f>
        <v>330.68</v>
      </c>
      <c r="R34" s="245">
        <f>ROUND((VLOOKUP($B34,'Nomina Proquima'!$B$4:$AB$145,17,0)),2)</f>
        <v>0</v>
      </c>
      <c r="S34" s="245">
        <f>ROUND((VLOOKUP($B34,'Nomina Proquima'!$B$4:$AB$145,18,0)),2)</f>
        <v>0</v>
      </c>
      <c r="T34" s="245">
        <f>ROUND((VLOOKUP($B34,'Nomina Proquima'!$B$4:$AB$145,19,0)),2)</f>
        <v>0</v>
      </c>
      <c r="U34" s="245">
        <f>ROUND((VLOOKUP($B34,'Nomina Proquima'!$B$4:$AB$145,20,0)),2)</f>
        <v>0</v>
      </c>
      <c r="V34" s="245">
        <f>ROUND((VLOOKUP($B34,'Nomina Proquima'!$B$4:$AB$145,21,0)),2)</f>
        <v>30</v>
      </c>
      <c r="W34" s="245">
        <f>ROUND((VLOOKUP($B34,'Nomina Proquima'!$B$4:$AB$145,22,0)),2)</f>
        <v>340</v>
      </c>
      <c r="X34" s="245">
        <f>ROUND((VLOOKUP($B34,'Nomina Proquima'!$B$4:$AB$145,23,0)),2)</f>
        <v>1087.08</v>
      </c>
      <c r="Y34" s="234">
        <f>ROUND((VLOOKUP($B34,'Nomina Proquima'!$B$4:$AB$147,24,0)),2)</f>
        <v>9912.92</v>
      </c>
      <c r="Z34" s="255">
        <f>VLOOKUP(B34,'Nomina Proquima'!$B$4:$AA$148,25,0)</f>
        <v>4956.7700000000004</v>
      </c>
      <c r="AA34" s="245">
        <f>ROUND((VLOOKUP($B34,'Nomina Proquima'!$B$4:$AB$145,26,0)),2)</f>
        <v>4956.1499999999996</v>
      </c>
      <c r="AB34" s="251"/>
      <c r="AC34" s="247">
        <f>+IFERROR(VLOOKUP(B34,'Nomina Proquima'!B:Z,25,0),"")</f>
        <v>4956.7700000000004</v>
      </c>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c r="NP34" s="3"/>
      <c r="NQ34" s="3"/>
      <c r="NR34" s="3"/>
      <c r="NS34" s="3"/>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3"/>
      <c r="OU34" s="3"/>
      <c r="OV34" s="3"/>
      <c r="OW34" s="3"/>
      <c r="OX34" s="3"/>
      <c r="OY34" s="3"/>
      <c r="OZ34" s="3"/>
      <c r="PA34" s="3"/>
      <c r="PB34" s="3"/>
      <c r="PC34" s="3"/>
      <c r="PD34" s="3"/>
      <c r="PE34" s="3"/>
      <c r="PF34" s="3"/>
      <c r="PG34" s="3"/>
      <c r="PH34" s="3"/>
      <c r="PI34" s="3"/>
      <c r="PJ34" s="3"/>
      <c r="PK34" s="3"/>
      <c r="PL34" s="3"/>
      <c r="PM34" s="3"/>
      <c r="PN34" s="3"/>
      <c r="PO34" s="3"/>
      <c r="PP34" s="3"/>
      <c r="PQ34" s="3"/>
      <c r="PR34" s="3"/>
      <c r="PS34" s="3"/>
      <c r="PT34" s="3"/>
      <c r="PU34" s="3"/>
      <c r="PV34" s="3"/>
      <c r="PW34" s="3"/>
      <c r="PX34" s="3"/>
      <c r="PY34" s="3"/>
      <c r="PZ34" s="3"/>
      <c r="QA34" s="3"/>
      <c r="QB34" s="3"/>
      <c r="QC34" s="3"/>
      <c r="QD34" s="3"/>
      <c r="QE34" s="3"/>
      <c r="QF34" s="3"/>
      <c r="QG34" s="3"/>
      <c r="QH34" s="3"/>
      <c r="QI34" s="3"/>
      <c r="QJ34" s="3"/>
      <c r="QK34" s="3"/>
      <c r="QL34" s="3"/>
      <c r="QM34" s="3"/>
      <c r="QN34" s="3"/>
      <c r="QO34" s="3"/>
      <c r="QP34" s="3"/>
      <c r="QQ34" s="3"/>
      <c r="QR34" s="3"/>
      <c r="QS34" s="3"/>
      <c r="QT34" s="3"/>
      <c r="QU34" s="3"/>
      <c r="QV34" s="3"/>
      <c r="QW34" s="3"/>
      <c r="QX34" s="3"/>
      <c r="QY34" s="3"/>
      <c r="QZ34" s="3"/>
      <c r="RA34" s="3"/>
      <c r="RB34" s="3"/>
      <c r="RC34" s="3"/>
      <c r="RD34" s="3"/>
      <c r="RE34" s="3"/>
      <c r="RF34" s="3"/>
      <c r="RG34" s="3"/>
      <c r="RH34" s="3"/>
      <c r="RI34" s="3"/>
      <c r="RJ34" s="3"/>
      <c r="RK34" s="3"/>
      <c r="RL34" s="3"/>
      <c r="RM34" s="3"/>
      <c r="RN34" s="3"/>
      <c r="RO34" s="3"/>
      <c r="RP34" s="3"/>
      <c r="RQ34" s="3"/>
      <c r="RR34" s="3"/>
      <c r="RS34" s="3"/>
      <c r="RT34" s="3"/>
      <c r="RU34" s="3"/>
      <c r="RV34" s="3"/>
      <c r="RW34" s="3"/>
      <c r="RX34" s="3"/>
      <c r="RY34" s="3"/>
      <c r="RZ34" s="3"/>
      <c r="SA34" s="3"/>
      <c r="SB34" s="3"/>
      <c r="SC34" s="3"/>
      <c r="SD34" s="3"/>
      <c r="SE34" s="3"/>
      <c r="SF34" s="3"/>
      <c r="SG34" s="3"/>
      <c r="SH34" s="3"/>
      <c r="SI34" s="3"/>
      <c r="SJ34" s="3"/>
      <c r="SK34" s="3"/>
      <c r="SL34" s="3"/>
      <c r="SM34" s="3"/>
      <c r="SN34" s="3"/>
      <c r="SO34" s="3"/>
      <c r="SP34" s="3"/>
      <c r="SQ34" s="3"/>
      <c r="SR34" s="3"/>
      <c r="SS34" s="3"/>
      <c r="ST34" s="3"/>
      <c r="SU34" s="3"/>
      <c r="SV34" s="3"/>
      <c r="SW34" s="3"/>
      <c r="SX34" s="3"/>
      <c r="SY34" s="3"/>
      <c r="SZ34" s="3"/>
      <c r="TA34" s="3"/>
      <c r="TB34" s="3"/>
      <c r="TC34" s="3"/>
      <c r="TD34" s="3"/>
      <c r="TE34" s="3"/>
      <c r="TF34" s="3"/>
      <c r="TG34" s="3"/>
      <c r="TH34" s="3"/>
      <c r="TI34" s="3"/>
      <c r="TJ34" s="3"/>
      <c r="TK34" s="3"/>
      <c r="TL34" s="3"/>
      <c r="TM34" s="3"/>
      <c r="TN34" s="3"/>
      <c r="TO34" s="3"/>
      <c r="TP34" s="3"/>
      <c r="TQ34" s="3"/>
      <c r="TR34" s="3"/>
      <c r="TS34" s="3"/>
      <c r="TT34" s="3"/>
      <c r="TU34" s="3"/>
      <c r="TV34" s="3"/>
      <c r="TW34" s="3"/>
      <c r="TX34" s="3"/>
      <c r="TY34" s="3"/>
      <c r="TZ34" s="3"/>
      <c r="UA34" s="3"/>
      <c r="UB34" s="3"/>
      <c r="UC34" s="3"/>
      <c r="UD34" s="3"/>
      <c r="UE34" s="3"/>
      <c r="UF34" s="3"/>
      <c r="UG34" s="3"/>
      <c r="UH34" s="3"/>
      <c r="UI34" s="3"/>
      <c r="UJ34" s="3"/>
      <c r="UK34" s="3"/>
      <c r="UL34" s="3"/>
      <c r="UM34" s="3"/>
      <c r="UN34" s="3"/>
      <c r="UO34" s="3"/>
      <c r="UP34" s="3"/>
      <c r="UQ34" s="3"/>
      <c r="UR34" s="3"/>
      <c r="US34" s="3"/>
      <c r="UT34" s="3"/>
      <c r="UU34" s="3"/>
      <c r="UV34" s="3"/>
      <c r="UW34" s="3"/>
      <c r="UX34" s="3"/>
      <c r="UY34" s="3"/>
      <c r="UZ34" s="3"/>
      <c r="VA34" s="3"/>
      <c r="VB34" s="3"/>
      <c r="VC34" s="3"/>
      <c r="VD34" s="3"/>
      <c r="VE34" s="3"/>
      <c r="VF34" s="3"/>
      <c r="VG34" s="3"/>
      <c r="VH34" s="3"/>
      <c r="VI34" s="3"/>
      <c r="VJ34" s="3"/>
      <c r="VK34" s="3"/>
      <c r="VL34" s="3"/>
      <c r="VM34" s="3"/>
      <c r="VN34" s="3"/>
      <c r="VO34" s="3"/>
      <c r="VP34" s="3"/>
      <c r="VQ34" s="3"/>
      <c r="VR34" s="3"/>
      <c r="VS34" s="3"/>
      <c r="VT34" s="3"/>
      <c r="VU34" s="3"/>
      <c r="VV34" s="3"/>
      <c r="VW34" s="3"/>
      <c r="VX34" s="3"/>
      <c r="VY34" s="3"/>
      <c r="VZ34" s="3"/>
      <c r="WA34" s="3"/>
      <c r="WB34" s="3"/>
      <c r="WC34" s="3"/>
      <c r="WD34" s="3"/>
      <c r="WE34" s="3"/>
      <c r="WF34" s="3"/>
      <c r="WG34" s="3"/>
      <c r="WH34" s="3"/>
      <c r="WI34" s="3"/>
      <c r="WJ34" s="3"/>
      <c r="WK34" s="3"/>
      <c r="WL34" s="3"/>
      <c r="WM34" s="3"/>
      <c r="WN34" s="3"/>
      <c r="WO34" s="3"/>
      <c r="WP34" s="3"/>
      <c r="WQ34" s="3"/>
      <c r="WR34" s="3"/>
      <c r="WS34" s="3"/>
      <c r="WT34" s="3"/>
      <c r="WU34" s="3"/>
      <c r="WV34" s="3"/>
      <c r="WW34" s="3"/>
      <c r="WX34" s="3"/>
      <c r="WY34" s="3"/>
      <c r="WZ34" s="3"/>
      <c r="XA34" s="3"/>
      <c r="XB34" s="3"/>
      <c r="XC34" s="3"/>
      <c r="XD34" s="3"/>
      <c r="XE34" s="3"/>
      <c r="XF34" s="3"/>
      <c r="XG34" s="3"/>
      <c r="XH34" s="3"/>
      <c r="XI34" s="3"/>
      <c r="XJ34" s="3"/>
      <c r="XK34" s="3"/>
      <c r="XL34" s="3"/>
      <c r="XM34" s="3"/>
      <c r="XN34" s="3"/>
      <c r="XO34" s="3"/>
      <c r="XP34" s="3"/>
      <c r="XQ34" s="3"/>
      <c r="XR34" s="3"/>
      <c r="XS34" s="3"/>
      <c r="XT34" s="3"/>
      <c r="XU34" s="3"/>
      <c r="XV34" s="3"/>
      <c r="XW34" s="3"/>
      <c r="XX34" s="3"/>
      <c r="XY34" s="3"/>
      <c r="XZ34" s="3"/>
      <c r="YA34" s="3"/>
      <c r="YB34" s="3"/>
      <c r="YC34" s="3"/>
      <c r="YD34" s="3"/>
      <c r="YE34" s="3"/>
      <c r="YF34" s="3"/>
      <c r="YG34" s="3"/>
      <c r="YH34" s="3"/>
      <c r="YI34" s="3"/>
      <c r="YJ34" s="3"/>
      <c r="YK34" s="3"/>
      <c r="YL34" s="3"/>
      <c r="YM34" s="3"/>
      <c r="YN34" s="3"/>
      <c r="YO34" s="3"/>
      <c r="YP34" s="3"/>
      <c r="YQ34" s="3"/>
      <c r="YR34" s="3"/>
      <c r="YS34" s="3"/>
      <c r="YT34" s="3"/>
      <c r="YU34" s="3"/>
      <c r="YV34" s="3"/>
      <c r="YW34" s="3"/>
      <c r="YX34" s="3"/>
      <c r="YY34" s="3"/>
      <c r="YZ34" s="3"/>
      <c r="ZA34" s="3"/>
      <c r="ZB34" s="3"/>
      <c r="ZC34" s="3"/>
      <c r="ZD34" s="3"/>
      <c r="ZE34" s="3"/>
      <c r="ZF34" s="3"/>
      <c r="ZG34" s="3"/>
      <c r="ZH34" s="3"/>
      <c r="ZI34" s="3"/>
      <c r="ZJ34" s="3"/>
      <c r="ZK34" s="3"/>
      <c r="ZL34" s="3"/>
      <c r="ZM34" s="3"/>
      <c r="ZN34" s="3"/>
      <c r="ZO34" s="3"/>
      <c r="ZP34" s="3"/>
      <c r="ZQ34" s="3"/>
      <c r="ZR34" s="3"/>
      <c r="ZS34" s="3"/>
      <c r="ZT34" s="3"/>
      <c r="ZU34" s="3"/>
      <c r="ZV34" s="3"/>
      <c r="ZW34" s="3"/>
      <c r="ZX34" s="3"/>
      <c r="ZY34" s="3"/>
      <c r="ZZ34" s="3"/>
      <c r="AAA34" s="3"/>
      <c r="AAB34" s="3"/>
      <c r="AAC34" s="3"/>
      <c r="AAD34" s="3"/>
      <c r="AAE34" s="3"/>
      <c r="AAF34" s="3"/>
      <c r="AAG34" s="3"/>
      <c r="AAH34" s="3"/>
      <c r="AAI34" s="3"/>
      <c r="AAJ34" s="3"/>
      <c r="AAK34" s="3"/>
      <c r="AAL34" s="3"/>
      <c r="AAM34" s="3"/>
      <c r="AAN34" s="3"/>
      <c r="AAO34" s="3"/>
      <c r="AAP34" s="3"/>
      <c r="AAQ34" s="3"/>
      <c r="AAR34" s="3"/>
      <c r="AAS34" s="3"/>
      <c r="AAT34" s="3"/>
      <c r="AAU34" s="3"/>
      <c r="AAV34" s="3"/>
      <c r="AAW34" s="3"/>
      <c r="AAX34" s="3"/>
      <c r="AAY34" s="3"/>
      <c r="AAZ34" s="3"/>
      <c r="ABA34" s="3"/>
      <c r="ABB34" s="3"/>
      <c r="ABC34" s="3"/>
      <c r="ABD34" s="3"/>
      <c r="ABE34" s="3"/>
      <c r="ABF34" s="3"/>
      <c r="ABG34" s="3"/>
      <c r="ABH34" s="3"/>
      <c r="ABI34" s="3"/>
      <c r="ABJ34" s="3"/>
      <c r="ABK34" s="3"/>
      <c r="ABL34" s="3"/>
      <c r="ABM34" s="3"/>
      <c r="ABN34" s="3"/>
      <c r="ABO34" s="3"/>
      <c r="ABP34" s="3"/>
      <c r="ABQ34" s="3"/>
      <c r="ABR34" s="3"/>
      <c r="ABS34" s="3"/>
      <c r="ABT34" s="3"/>
      <c r="ABU34" s="3"/>
      <c r="ABV34" s="3"/>
      <c r="ABW34" s="3"/>
      <c r="ABX34" s="3"/>
      <c r="ABY34" s="3"/>
      <c r="ABZ34" s="3"/>
      <c r="ACA34" s="3"/>
      <c r="ACB34" s="3"/>
      <c r="ACC34" s="3"/>
      <c r="ACD34" s="3"/>
      <c r="ACE34" s="3"/>
      <c r="ACF34" s="3"/>
      <c r="ACG34" s="3"/>
      <c r="ACH34" s="3"/>
      <c r="ACI34" s="3"/>
      <c r="ACJ34" s="3"/>
      <c r="ACK34" s="3"/>
      <c r="ACL34" s="3"/>
      <c r="ACM34" s="3"/>
      <c r="ACN34" s="3"/>
      <c r="ACO34" s="3"/>
      <c r="ACP34" s="3"/>
    </row>
    <row r="35" spans="1:770" s="248" customFormat="1">
      <c r="A35" s="292" t="e">
        <f t="shared" si="1"/>
        <v>#REF!</v>
      </c>
      <c r="B35" s="253" t="s">
        <v>613</v>
      </c>
      <c r="C35" s="367">
        <v>13275050308242</v>
      </c>
      <c r="D35" s="375">
        <v>13275050308242</v>
      </c>
      <c r="E35" s="310" t="s">
        <v>613</v>
      </c>
      <c r="F35" s="244" t="str">
        <f>VLOOKUP(B35,distribucion!B$9:FK$200,2,0)</f>
        <v>Auxiliar de Bodega</v>
      </c>
      <c r="G35" s="244">
        <f>ROUND((VLOOKUP($B35,'Nomina Proquima'!$B$4:$AB$145,4,0)),2)</f>
        <v>30</v>
      </c>
      <c r="H35" s="245">
        <f>ROUND((VLOOKUP($B35,'Nomina Proquima'!$B$4:$AB$145,6,0)),2)</f>
        <v>3166.38</v>
      </c>
      <c r="I35" s="245">
        <f>ROUND((VLOOKUP($B35,'Nomina Proquima'!$B$4:$AB$145,7,0)),2)</f>
        <v>340</v>
      </c>
      <c r="J35" s="245">
        <f>ROUND((VLOOKUP($B35,'Nomina Proquima'!$B$4:$AB$145,9,0)),2)</f>
        <v>39</v>
      </c>
      <c r="K35" s="245">
        <f>ROUND((VLOOKUP($B35,'Nomina Proquima'!$B$4:$AB$145,10,0)),2)</f>
        <v>771.81</v>
      </c>
      <c r="L35" s="245">
        <f>ROUND((VLOOKUP($B35,'Nomina Proquima'!$B$4:$AB$145,11,0)),2)</f>
        <v>0</v>
      </c>
      <c r="M35" s="245">
        <f>ROUND((VLOOKUP($B35,'Nomina Proquima'!$B$4:$AB$145,12,0)),2)</f>
        <v>0</v>
      </c>
      <c r="N35" s="245">
        <f>ROUND((VLOOKUP($B35,'Nomina Proquima'!$B$4:$AB$145,13,0)),2)</f>
        <v>0</v>
      </c>
      <c r="O35" s="245">
        <f>ROUND((VLOOKUP($B35,'Nomina Proquima'!$B$4:$AB$145,14,0)),2)</f>
        <v>4278.1899999999996</v>
      </c>
      <c r="P35" s="245">
        <f>ROUND((VLOOKUP($B35,'Nomina Proquima'!$B$4:$AB$145,15,0)),2)</f>
        <v>190.21</v>
      </c>
      <c r="Q35" s="245">
        <f>ROUND((VLOOKUP($B35,'Nomina Proquima'!$B$4:$AB$145,16,0)),2)</f>
        <v>0</v>
      </c>
      <c r="R35" s="245">
        <f>ROUND((VLOOKUP($B35,'Nomina Proquima'!$B$4:$AB$145,17,0)),2)</f>
        <v>0</v>
      </c>
      <c r="S35" s="245">
        <f>ROUND((VLOOKUP($B35,'Nomina Proquima'!$B$4:$AB$145,18,0)),2)</f>
        <v>0</v>
      </c>
      <c r="T35" s="245">
        <f>ROUND((VLOOKUP($B35,'Nomina Proquima'!$B$4:$AB$145,19,0)),2)</f>
        <v>0</v>
      </c>
      <c r="U35" s="245">
        <f>ROUND((VLOOKUP($B35,'Nomina Proquima'!$B$4:$AB$145,20,0)),2)</f>
        <v>0</v>
      </c>
      <c r="V35" s="245">
        <f>ROUND((VLOOKUP($B35,'Nomina Proquima'!$B$4:$AB$145,21,0)),2)</f>
        <v>276.5</v>
      </c>
      <c r="W35" s="245">
        <f>ROUND((VLOOKUP($B35,'Nomina Proquima'!$B$4:$AB$145,22,0)),2)</f>
        <v>200</v>
      </c>
      <c r="X35" s="245">
        <f>ROUND((VLOOKUP($B35,'Nomina Proquima'!$B$4:$AB$145,23,0)),2)</f>
        <v>666.71</v>
      </c>
      <c r="Y35" s="234">
        <f>ROUND((VLOOKUP($B35,'Nomina Proquima'!$B$4:$AB$147,24,0)),2)</f>
        <v>3611.48</v>
      </c>
      <c r="Z35" s="255">
        <f>VLOOKUP(B35,'Nomina Proquima'!$B$4:$AA$148,25,0)</f>
        <v>1444.22</v>
      </c>
      <c r="AA35" s="279">
        <f>ROUND((VLOOKUP($B35,'Nomina Proquima'!$B$4:$AB$145,26,0)),2)</f>
        <v>2167.2600000000002</v>
      </c>
      <c r="AB35" s="246"/>
      <c r="AC35" s="247">
        <f>+IFERROR(VLOOKUP(B35,'Nomina Proquima'!B:Z,25,0),"")</f>
        <v>1444.22</v>
      </c>
      <c r="AD35" s="205"/>
      <c r="AE35" s="205"/>
      <c r="AF35" s="205"/>
      <c r="AG35" s="205"/>
      <c r="AH35" s="205"/>
      <c r="AI35" s="205"/>
      <c r="AJ35" s="205"/>
      <c r="AK35" s="205"/>
      <c r="AL35" s="205"/>
      <c r="AM35" s="205"/>
      <c r="AN35" s="205"/>
      <c r="AO35" s="205"/>
      <c r="AP35" s="205"/>
      <c r="AQ35" s="205"/>
      <c r="AR35" s="205"/>
      <c r="AS35" s="205"/>
      <c r="AT35" s="205"/>
      <c r="AU35" s="205"/>
      <c r="AV35" s="205"/>
      <c r="AW35" s="205"/>
      <c r="AX35" s="205"/>
      <c r="AY35" s="205"/>
      <c r="AZ35" s="205"/>
      <c r="BA35" s="205"/>
      <c r="BB35" s="205"/>
      <c r="BC35" s="205"/>
      <c r="BD35" s="205"/>
      <c r="BE35" s="205"/>
      <c r="BF35" s="205"/>
      <c r="BG35" s="205"/>
      <c r="BH35" s="205"/>
      <c r="BI35" s="205"/>
      <c r="BJ35" s="205"/>
      <c r="BK35" s="205"/>
      <c r="BL35" s="205"/>
      <c r="BM35" s="205"/>
      <c r="BN35" s="205"/>
      <c r="BO35" s="205"/>
      <c r="BP35" s="205"/>
      <c r="BQ35" s="205"/>
      <c r="BR35" s="205"/>
      <c r="BS35" s="205"/>
      <c r="BT35" s="205"/>
      <c r="BU35" s="205"/>
      <c r="BV35" s="205"/>
      <c r="BW35" s="205"/>
      <c r="BX35" s="205"/>
      <c r="BY35" s="205"/>
      <c r="BZ35" s="205"/>
      <c r="CA35" s="205"/>
      <c r="CB35" s="205"/>
      <c r="CC35" s="205"/>
      <c r="CD35" s="205"/>
      <c r="CE35" s="205"/>
      <c r="CF35" s="205"/>
      <c r="CG35" s="205"/>
      <c r="CH35" s="205"/>
      <c r="CI35" s="205"/>
      <c r="CJ35" s="205"/>
      <c r="CK35" s="205"/>
      <c r="CL35" s="205"/>
      <c r="CM35" s="205"/>
      <c r="CN35" s="205"/>
      <c r="CO35" s="205"/>
      <c r="CP35" s="205"/>
      <c r="CQ35" s="205"/>
      <c r="CR35" s="205"/>
      <c r="CS35" s="205"/>
      <c r="CT35" s="205"/>
      <c r="CU35" s="205"/>
      <c r="CV35" s="205"/>
      <c r="CW35" s="205"/>
      <c r="CX35" s="205"/>
      <c r="CY35" s="205"/>
      <c r="CZ35" s="205"/>
      <c r="DA35" s="205"/>
      <c r="DB35" s="205"/>
      <c r="DC35" s="205"/>
      <c r="DD35" s="205"/>
      <c r="DE35" s="205"/>
      <c r="DF35" s="205"/>
      <c r="DG35" s="205"/>
      <c r="DH35" s="205"/>
      <c r="DI35" s="205"/>
      <c r="DJ35" s="205"/>
      <c r="DK35" s="205"/>
      <c r="DL35" s="205"/>
      <c r="DM35" s="205"/>
      <c r="DN35" s="205"/>
      <c r="DO35" s="205"/>
      <c r="DP35" s="205"/>
      <c r="DQ35" s="205"/>
      <c r="DR35" s="205"/>
      <c r="DS35" s="205"/>
      <c r="DT35" s="205"/>
      <c r="DU35" s="205"/>
      <c r="DV35" s="205"/>
      <c r="DW35" s="205"/>
      <c r="DX35" s="205"/>
      <c r="DY35" s="205"/>
      <c r="DZ35" s="205"/>
      <c r="EA35" s="205"/>
      <c r="EB35" s="205"/>
      <c r="EC35" s="205"/>
      <c r="ED35" s="205"/>
      <c r="EE35" s="205"/>
      <c r="EF35" s="205"/>
      <c r="EG35" s="205"/>
      <c r="EH35" s="205"/>
      <c r="EI35" s="205"/>
      <c r="EJ35" s="205"/>
      <c r="EK35" s="205"/>
      <c r="EL35" s="205"/>
      <c r="EM35" s="205"/>
      <c r="EN35" s="205"/>
      <c r="EO35" s="205"/>
      <c r="EP35" s="205"/>
      <c r="EQ35" s="205"/>
      <c r="ER35" s="205"/>
      <c r="ES35" s="205"/>
      <c r="ET35" s="205"/>
      <c r="EU35" s="205"/>
      <c r="EV35" s="205"/>
      <c r="EW35" s="205"/>
      <c r="EX35" s="205"/>
      <c r="EY35" s="205"/>
      <c r="EZ35" s="205"/>
      <c r="FA35" s="205"/>
      <c r="FB35" s="205"/>
      <c r="FC35" s="205"/>
      <c r="FD35" s="205"/>
      <c r="FE35" s="205"/>
      <c r="FF35" s="205"/>
      <c r="FG35" s="205"/>
      <c r="FH35" s="205"/>
      <c r="FI35" s="205"/>
      <c r="FJ35" s="205"/>
      <c r="FK35" s="205"/>
      <c r="FL35" s="205"/>
      <c r="FM35" s="205"/>
      <c r="FN35" s="205"/>
      <c r="FO35" s="205"/>
      <c r="FP35" s="205"/>
      <c r="FQ35" s="205"/>
      <c r="FR35" s="205"/>
      <c r="FS35" s="205"/>
      <c r="FT35" s="205"/>
      <c r="FU35" s="205"/>
      <c r="FV35" s="205"/>
      <c r="FW35" s="205"/>
      <c r="FX35" s="205"/>
      <c r="FY35" s="205"/>
      <c r="FZ35" s="205"/>
      <c r="GA35" s="205"/>
      <c r="GB35" s="205"/>
      <c r="GC35" s="205"/>
      <c r="GD35" s="205"/>
      <c r="GE35" s="205"/>
      <c r="GF35" s="205"/>
      <c r="GG35" s="205"/>
      <c r="GH35" s="205"/>
      <c r="GI35" s="205"/>
      <c r="GJ35" s="205"/>
      <c r="GK35" s="205"/>
      <c r="GL35" s="205"/>
      <c r="GM35" s="205"/>
      <c r="GN35" s="205"/>
      <c r="GO35" s="205"/>
      <c r="GP35" s="205"/>
      <c r="GQ35" s="205"/>
      <c r="GR35" s="205"/>
      <c r="GS35" s="205"/>
      <c r="GT35" s="205"/>
      <c r="GU35" s="205"/>
      <c r="GV35" s="205"/>
      <c r="GW35" s="205"/>
      <c r="GX35" s="205"/>
      <c r="GY35" s="205"/>
      <c r="GZ35" s="205"/>
      <c r="HA35" s="205"/>
      <c r="HB35" s="205"/>
      <c r="HC35" s="205"/>
      <c r="HD35" s="205"/>
      <c r="HE35" s="205"/>
      <c r="HF35" s="205"/>
      <c r="HG35" s="205"/>
      <c r="HH35" s="205"/>
      <c r="HI35" s="205"/>
      <c r="HJ35" s="205"/>
      <c r="HK35" s="205"/>
      <c r="HL35" s="205"/>
      <c r="HM35" s="205"/>
      <c r="HN35" s="205"/>
      <c r="HO35" s="205"/>
      <c r="HP35" s="205"/>
      <c r="HQ35" s="205"/>
      <c r="HR35" s="205"/>
      <c r="HS35" s="205"/>
      <c r="HT35" s="205"/>
      <c r="HU35" s="205"/>
      <c r="HV35" s="205"/>
      <c r="HW35" s="205"/>
      <c r="HX35" s="205"/>
      <c r="HY35" s="205"/>
      <c r="HZ35" s="205"/>
      <c r="IA35" s="205"/>
      <c r="IB35" s="205"/>
      <c r="IC35" s="205"/>
      <c r="ID35" s="205"/>
      <c r="IE35" s="205"/>
      <c r="IF35" s="205"/>
      <c r="IG35" s="205"/>
      <c r="IH35" s="205"/>
      <c r="II35" s="205"/>
      <c r="IJ35" s="205"/>
      <c r="IK35" s="205"/>
      <c r="IL35" s="205"/>
      <c r="IM35" s="205"/>
      <c r="IN35" s="205"/>
      <c r="IO35" s="205"/>
      <c r="IP35" s="205"/>
      <c r="IQ35" s="205"/>
      <c r="IR35" s="205"/>
      <c r="IS35" s="205"/>
      <c r="IT35" s="205"/>
      <c r="IU35" s="205"/>
      <c r="IV35" s="205"/>
      <c r="IW35" s="205"/>
      <c r="IX35" s="205"/>
      <c r="IY35" s="205"/>
      <c r="IZ35" s="205"/>
      <c r="JA35" s="205"/>
      <c r="JB35" s="205"/>
      <c r="JC35" s="205"/>
      <c r="JD35" s="205"/>
      <c r="JE35" s="205"/>
      <c r="JF35" s="205"/>
      <c r="JG35" s="205"/>
      <c r="JH35" s="205"/>
      <c r="JI35" s="205"/>
      <c r="JJ35" s="205"/>
      <c r="JK35" s="205"/>
      <c r="JL35" s="205"/>
      <c r="JM35" s="205"/>
      <c r="JN35" s="205"/>
      <c r="JO35" s="205"/>
      <c r="JP35" s="205"/>
      <c r="JQ35" s="205"/>
      <c r="JR35" s="205"/>
      <c r="JS35" s="205"/>
      <c r="JT35" s="205"/>
      <c r="JU35" s="205"/>
      <c r="JV35" s="205"/>
      <c r="JW35" s="205"/>
      <c r="JX35" s="205"/>
      <c r="JY35" s="205"/>
      <c r="JZ35" s="205"/>
      <c r="KA35" s="205"/>
      <c r="KB35" s="205"/>
      <c r="KC35" s="205"/>
      <c r="KD35" s="205"/>
      <c r="KE35" s="205"/>
      <c r="KF35" s="205"/>
      <c r="KG35" s="205"/>
      <c r="KH35" s="205"/>
      <c r="KI35" s="205"/>
      <c r="KJ35" s="205"/>
      <c r="KK35" s="205"/>
      <c r="KL35" s="205"/>
      <c r="KM35" s="205"/>
      <c r="KN35" s="205"/>
      <c r="KO35" s="205"/>
      <c r="KP35" s="205"/>
      <c r="KQ35" s="205"/>
      <c r="KR35" s="205"/>
      <c r="KS35" s="205"/>
      <c r="KT35" s="205"/>
      <c r="KU35" s="205"/>
      <c r="KV35" s="205"/>
      <c r="KW35" s="205"/>
      <c r="KX35" s="205"/>
      <c r="KY35" s="205"/>
      <c r="KZ35" s="205"/>
      <c r="LA35" s="205"/>
      <c r="LB35" s="205"/>
      <c r="LC35" s="205"/>
      <c r="LD35" s="205"/>
      <c r="LE35" s="205"/>
      <c r="LF35" s="205"/>
      <c r="LG35" s="205"/>
      <c r="LH35" s="205"/>
      <c r="LI35" s="205"/>
      <c r="LJ35" s="205"/>
      <c r="LK35" s="205"/>
      <c r="LL35" s="205"/>
      <c r="LM35" s="205"/>
      <c r="LN35" s="205"/>
      <c r="LO35" s="205"/>
      <c r="LP35" s="205"/>
      <c r="LQ35" s="205"/>
      <c r="LR35" s="205"/>
      <c r="LS35" s="205"/>
      <c r="LT35" s="205"/>
      <c r="LU35" s="205"/>
      <c r="LV35" s="205"/>
      <c r="LW35" s="205"/>
      <c r="LX35" s="205"/>
      <c r="LY35" s="205"/>
      <c r="LZ35" s="205"/>
      <c r="MA35" s="205"/>
      <c r="MB35" s="205"/>
      <c r="MC35" s="205"/>
      <c r="MD35" s="205"/>
      <c r="ME35" s="205"/>
      <c r="MF35" s="205"/>
      <c r="MG35" s="205"/>
      <c r="MH35" s="205"/>
      <c r="MI35" s="205"/>
      <c r="MJ35" s="205"/>
      <c r="MK35" s="205"/>
      <c r="ML35" s="205"/>
      <c r="MM35" s="205"/>
      <c r="MN35" s="205"/>
      <c r="MO35" s="205"/>
      <c r="MP35" s="205"/>
      <c r="MQ35" s="205"/>
      <c r="MR35" s="205"/>
      <c r="MS35" s="205"/>
      <c r="MT35" s="205"/>
      <c r="MU35" s="205"/>
      <c r="MV35" s="205"/>
      <c r="MW35" s="205"/>
      <c r="MX35" s="205"/>
      <c r="MY35" s="205"/>
      <c r="MZ35" s="205"/>
      <c r="NA35" s="205"/>
      <c r="NB35" s="205"/>
      <c r="NC35" s="205"/>
      <c r="ND35" s="205"/>
      <c r="NE35" s="205"/>
      <c r="NF35" s="205"/>
      <c r="NG35" s="205"/>
      <c r="NH35" s="205"/>
      <c r="NI35" s="205"/>
      <c r="NJ35" s="205"/>
      <c r="NK35" s="205"/>
      <c r="NL35" s="205"/>
      <c r="NM35" s="205"/>
      <c r="NN35" s="205"/>
      <c r="NO35" s="205"/>
      <c r="NP35" s="205"/>
      <c r="NQ35" s="205"/>
      <c r="NR35" s="205"/>
      <c r="NS35" s="205"/>
      <c r="NT35" s="205"/>
      <c r="NU35" s="205"/>
      <c r="NV35" s="205"/>
      <c r="NW35" s="205"/>
      <c r="NX35" s="205"/>
      <c r="NY35" s="205"/>
      <c r="NZ35" s="205"/>
      <c r="OA35" s="205"/>
      <c r="OB35" s="205"/>
      <c r="OC35" s="205"/>
      <c r="OD35" s="205"/>
      <c r="OE35" s="205"/>
      <c r="OF35" s="205"/>
      <c r="OG35" s="205"/>
      <c r="OH35" s="205"/>
      <c r="OI35" s="205"/>
      <c r="OJ35" s="205"/>
      <c r="OK35" s="205"/>
      <c r="OL35" s="205"/>
      <c r="OM35" s="205"/>
      <c r="ON35" s="205"/>
      <c r="OO35" s="205"/>
      <c r="OP35" s="205"/>
      <c r="OQ35" s="205"/>
      <c r="OR35" s="205"/>
      <c r="OS35" s="205"/>
      <c r="OT35" s="205"/>
      <c r="OU35" s="205"/>
      <c r="OV35" s="205"/>
      <c r="OW35" s="205"/>
      <c r="OX35" s="205"/>
      <c r="OY35" s="205"/>
      <c r="OZ35" s="205"/>
      <c r="PA35" s="205"/>
      <c r="PB35" s="205"/>
      <c r="PC35" s="205"/>
      <c r="PD35" s="205"/>
      <c r="PE35" s="205"/>
      <c r="PF35" s="205"/>
      <c r="PG35" s="205"/>
      <c r="PH35" s="205"/>
      <c r="PI35" s="205"/>
      <c r="PJ35" s="205"/>
      <c r="PK35" s="205"/>
      <c r="PL35" s="205"/>
      <c r="PM35" s="205"/>
      <c r="PN35" s="205"/>
      <c r="PO35" s="205"/>
      <c r="PP35" s="205"/>
      <c r="PQ35" s="205"/>
      <c r="PR35" s="205"/>
      <c r="PS35" s="205"/>
      <c r="PT35" s="205"/>
      <c r="PU35" s="205"/>
      <c r="PV35" s="205"/>
      <c r="PW35" s="205"/>
      <c r="PX35" s="205"/>
      <c r="PY35" s="205"/>
      <c r="PZ35" s="205"/>
      <c r="QA35" s="205"/>
      <c r="QB35" s="205"/>
      <c r="QC35" s="205"/>
      <c r="QD35" s="205"/>
      <c r="QE35" s="205"/>
      <c r="QF35" s="205"/>
      <c r="QG35" s="205"/>
      <c r="QH35" s="205"/>
      <c r="QI35" s="205"/>
      <c r="QJ35" s="205"/>
      <c r="QK35" s="205"/>
      <c r="QL35" s="205"/>
      <c r="QM35" s="205"/>
      <c r="QN35" s="205"/>
      <c r="QO35" s="205"/>
      <c r="QP35" s="205"/>
      <c r="QQ35" s="205"/>
      <c r="QR35" s="205"/>
      <c r="QS35" s="205"/>
      <c r="QT35" s="205"/>
      <c r="QU35" s="205"/>
      <c r="QV35" s="205"/>
      <c r="QW35" s="205"/>
      <c r="QX35" s="205"/>
      <c r="QY35" s="205"/>
      <c r="QZ35" s="205"/>
      <c r="RA35" s="205"/>
      <c r="RB35" s="205"/>
      <c r="RC35" s="205"/>
      <c r="RD35" s="205"/>
      <c r="RE35" s="205"/>
      <c r="RF35" s="205"/>
      <c r="RG35" s="205"/>
      <c r="RH35" s="205"/>
      <c r="RI35" s="205"/>
      <c r="RJ35" s="205"/>
      <c r="RK35" s="205"/>
      <c r="RL35" s="205"/>
      <c r="RM35" s="205"/>
      <c r="RN35" s="205"/>
      <c r="RO35" s="205"/>
      <c r="RP35" s="205"/>
      <c r="RQ35" s="205"/>
      <c r="RR35" s="205"/>
      <c r="RS35" s="205"/>
      <c r="RT35" s="205"/>
      <c r="RU35" s="205"/>
      <c r="RV35" s="205"/>
      <c r="RW35" s="205"/>
      <c r="RX35" s="205"/>
      <c r="RY35" s="205"/>
      <c r="RZ35" s="205"/>
      <c r="SA35" s="205"/>
      <c r="SB35" s="205"/>
      <c r="SC35" s="205"/>
      <c r="SD35" s="205"/>
      <c r="SE35" s="205"/>
      <c r="SF35" s="205"/>
      <c r="SG35" s="205"/>
      <c r="SH35" s="205"/>
      <c r="SI35" s="205"/>
      <c r="SJ35" s="205"/>
      <c r="SK35" s="205"/>
      <c r="SL35" s="205"/>
      <c r="SM35" s="205"/>
      <c r="SN35" s="205"/>
      <c r="SO35" s="205"/>
      <c r="SP35" s="205"/>
      <c r="SQ35" s="205"/>
      <c r="SR35" s="205"/>
      <c r="SS35" s="205"/>
      <c r="ST35" s="205"/>
      <c r="SU35" s="205"/>
      <c r="SV35" s="205"/>
      <c r="SW35" s="205"/>
      <c r="SX35" s="205"/>
      <c r="SY35" s="205"/>
      <c r="SZ35" s="205"/>
      <c r="TA35" s="205"/>
      <c r="TB35" s="205"/>
      <c r="TC35" s="205"/>
      <c r="TD35" s="205"/>
      <c r="TE35" s="205"/>
      <c r="TF35" s="205"/>
      <c r="TG35" s="205"/>
      <c r="TH35" s="205"/>
      <c r="TI35" s="205"/>
      <c r="TJ35" s="205"/>
      <c r="TK35" s="205"/>
      <c r="TL35" s="205"/>
      <c r="TM35" s="205"/>
      <c r="TN35" s="205"/>
      <c r="TO35" s="205"/>
      <c r="TP35" s="205"/>
      <c r="TQ35" s="205"/>
      <c r="TR35" s="205"/>
      <c r="TS35" s="205"/>
      <c r="TT35" s="205"/>
      <c r="TU35" s="205"/>
      <c r="TV35" s="205"/>
      <c r="TW35" s="205"/>
      <c r="TX35" s="205"/>
      <c r="TY35" s="205"/>
      <c r="TZ35" s="205"/>
      <c r="UA35" s="205"/>
      <c r="UB35" s="205"/>
      <c r="UC35" s="205"/>
      <c r="UD35" s="205"/>
      <c r="UE35" s="205"/>
      <c r="UF35" s="205"/>
      <c r="UG35" s="205"/>
      <c r="UH35" s="205"/>
      <c r="UI35" s="205"/>
      <c r="UJ35" s="205"/>
      <c r="UK35" s="205"/>
      <c r="UL35" s="205"/>
      <c r="UM35" s="205"/>
      <c r="UN35" s="205"/>
      <c r="UO35" s="205"/>
      <c r="UP35" s="205"/>
      <c r="UQ35" s="205"/>
      <c r="UR35" s="205"/>
      <c r="US35" s="205"/>
      <c r="UT35" s="205"/>
      <c r="UU35" s="205"/>
      <c r="UV35" s="205"/>
      <c r="UW35" s="205"/>
      <c r="UX35" s="205"/>
      <c r="UY35" s="205"/>
      <c r="UZ35" s="205"/>
      <c r="VA35" s="205"/>
      <c r="VB35" s="205"/>
      <c r="VC35" s="205"/>
      <c r="VD35" s="205"/>
      <c r="VE35" s="205"/>
      <c r="VF35" s="205"/>
      <c r="VG35" s="205"/>
      <c r="VH35" s="205"/>
      <c r="VI35" s="205"/>
      <c r="VJ35" s="205"/>
      <c r="VK35" s="205"/>
      <c r="VL35" s="205"/>
      <c r="VM35" s="205"/>
      <c r="VN35" s="205"/>
      <c r="VO35" s="205"/>
      <c r="VP35" s="205"/>
      <c r="VQ35" s="205"/>
      <c r="VR35" s="205"/>
      <c r="VS35" s="205"/>
      <c r="VT35" s="205"/>
      <c r="VU35" s="205"/>
      <c r="VV35" s="205"/>
      <c r="VW35" s="205"/>
      <c r="VX35" s="205"/>
      <c r="VY35" s="205"/>
      <c r="VZ35" s="205"/>
      <c r="WA35" s="205"/>
      <c r="WB35" s="205"/>
      <c r="WC35" s="205"/>
      <c r="WD35" s="205"/>
      <c r="WE35" s="205"/>
      <c r="WF35" s="205"/>
      <c r="WG35" s="205"/>
      <c r="WH35" s="205"/>
      <c r="WI35" s="205"/>
      <c r="WJ35" s="205"/>
      <c r="WK35" s="205"/>
      <c r="WL35" s="205"/>
      <c r="WM35" s="205"/>
      <c r="WN35" s="205"/>
      <c r="WO35" s="205"/>
      <c r="WP35" s="205"/>
      <c r="WQ35" s="205"/>
      <c r="WR35" s="205"/>
      <c r="WS35" s="205"/>
      <c r="WT35" s="205"/>
      <c r="WU35" s="205"/>
      <c r="WV35" s="205"/>
      <c r="WW35" s="205"/>
      <c r="WX35" s="205"/>
      <c r="WY35" s="205"/>
      <c r="WZ35" s="205"/>
      <c r="XA35" s="205"/>
      <c r="XB35" s="205"/>
      <c r="XC35" s="205"/>
      <c r="XD35" s="205"/>
      <c r="XE35" s="205"/>
      <c r="XF35" s="205"/>
      <c r="XG35" s="205"/>
      <c r="XH35" s="205"/>
      <c r="XI35" s="205"/>
      <c r="XJ35" s="205"/>
      <c r="XK35" s="205"/>
      <c r="XL35" s="205"/>
      <c r="XM35" s="205"/>
      <c r="XN35" s="205"/>
      <c r="XO35" s="205"/>
      <c r="XP35" s="205"/>
      <c r="XQ35" s="205"/>
      <c r="XR35" s="205"/>
      <c r="XS35" s="205"/>
      <c r="XT35" s="205"/>
      <c r="XU35" s="205"/>
      <c r="XV35" s="205"/>
      <c r="XW35" s="205"/>
      <c r="XX35" s="205"/>
      <c r="XY35" s="205"/>
      <c r="XZ35" s="205"/>
      <c r="YA35" s="205"/>
      <c r="YB35" s="205"/>
      <c r="YC35" s="205"/>
      <c r="YD35" s="205"/>
      <c r="YE35" s="205"/>
      <c r="YF35" s="205"/>
      <c r="YG35" s="205"/>
      <c r="YH35" s="205"/>
      <c r="YI35" s="205"/>
      <c r="YJ35" s="205"/>
      <c r="YK35" s="205"/>
      <c r="YL35" s="205"/>
      <c r="YM35" s="205"/>
      <c r="YN35" s="205"/>
      <c r="YO35" s="205"/>
      <c r="YP35" s="205"/>
      <c r="YQ35" s="205"/>
      <c r="YR35" s="205"/>
      <c r="YS35" s="205"/>
      <c r="YT35" s="205"/>
      <c r="YU35" s="205"/>
      <c r="YV35" s="205"/>
      <c r="YW35" s="205"/>
      <c r="YX35" s="205"/>
      <c r="YY35" s="205"/>
      <c r="YZ35" s="205"/>
      <c r="ZA35" s="205"/>
      <c r="ZB35" s="205"/>
      <c r="ZC35" s="205"/>
      <c r="ZD35" s="205"/>
      <c r="ZE35" s="205"/>
      <c r="ZF35" s="205"/>
      <c r="ZG35" s="205"/>
      <c r="ZH35" s="205"/>
      <c r="ZI35" s="205"/>
      <c r="ZJ35" s="205"/>
      <c r="ZK35" s="205"/>
      <c r="ZL35" s="205"/>
      <c r="ZM35" s="205"/>
      <c r="ZN35" s="205"/>
      <c r="ZO35" s="205"/>
      <c r="ZP35" s="205"/>
      <c r="ZQ35" s="205"/>
      <c r="ZR35" s="205"/>
      <c r="ZS35" s="205"/>
      <c r="ZT35" s="205"/>
      <c r="ZU35" s="205"/>
      <c r="ZV35" s="205"/>
      <c r="ZW35" s="205"/>
      <c r="ZX35" s="205"/>
      <c r="ZY35" s="205"/>
      <c r="ZZ35" s="205"/>
      <c r="AAA35" s="205"/>
      <c r="AAB35" s="205"/>
      <c r="AAC35" s="205"/>
      <c r="AAD35" s="205"/>
      <c r="AAE35" s="205"/>
      <c r="AAF35" s="205"/>
      <c r="AAG35" s="205"/>
      <c r="AAH35" s="205"/>
      <c r="AAI35" s="205"/>
      <c r="AAJ35" s="205"/>
      <c r="AAK35" s="205"/>
      <c r="AAL35" s="205"/>
      <c r="AAM35" s="205"/>
      <c r="AAN35" s="205"/>
      <c r="AAO35" s="205"/>
      <c r="AAP35" s="205"/>
      <c r="AAQ35" s="205"/>
      <c r="AAR35" s="205"/>
      <c r="AAS35" s="205"/>
      <c r="AAT35" s="205"/>
      <c r="AAU35" s="205"/>
      <c r="AAV35" s="205"/>
      <c r="AAW35" s="205"/>
      <c r="AAX35" s="205"/>
      <c r="AAY35" s="205"/>
      <c r="AAZ35" s="205"/>
      <c r="ABA35" s="205"/>
      <c r="ABB35" s="205"/>
      <c r="ABC35" s="205"/>
      <c r="ABD35" s="205"/>
      <c r="ABE35" s="205"/>
      <c r="ABF35" s="205"/>
      <c r="ABG35" s="205"/>
      <c r="ABH35" s="205"/>
      <c r="ABI35" s="205"/>
      <c r="ABJ35" s="205"/>
      <c r="ABK35" s="205"/>
      <c r="ABL35" s="205"/>
      <c r="ABM35" s="205"/>
      <c r="ABN35" s="205"/>
      <c r="ABO35" s="205"/>
      <c r="ABP35" s="205"/>
      <c r="ABQ35" s="205"/>
      <c r="ABR35" s="205"/>
      <c r="ABS35" s="205"/>
      <c r="ABT35" s="205"/>
      <c r="ABU35" s="205"/>
      <c r="ABV35" s="205"/>
      <c r="ABW35" s="205"/>
      <c r="ABX35" s="205"/>
      <c r="ABY35" s="205"/>
      <c r="ABZ35" s="205"/>
      <c r="ACA35" s="205"/>
      <c r="ACB35" s="205"/>
      <c r="ACC35" s="205"/>
      <c r="ACD35" s="205"/>
      <c r="ACE35" s="205"/>
      <c r="ACF35" s="205"/>
      <c r="ACG35" s="205"/>
      <c r="ACH35" s="205"/>
      <c r="ACI35" s="205"/>
      <c r="ACJ35" s="205"/>
      <c r="ACK35" s="205"/>
      <c r="ACL35" s="205"/>
      <c r="ACM35" s="205"/>
      <c r="ACN35" s="205"/>
      <c r="ACO35" s="205"/>
      <c r="ACP35" s="205"/>
    </row>
    <row r="36" spans="1:770" s="248" customFormat="1">
      <c r="A36" s="292" t="e">
        <f t="shared" si="1"/>
        <v>#REF!</v>
      </c>
      <c r="B36" s="253" t="s">
        <v>617</v>
      </c>
      <c r="C36" s="367">
        <v>12275050348834</v>
      </c>
      <c r="D36" s="375">
        <v>12275050348834</v>
      </c>
      <c r="E36" s="310" t="s">
        <v>617</v>
      </c>
      <c r="F36" s="244" t="str">
        <f>VLOOKUP(B36,distribucion!B$9:FK$200,2,0)</f>
        <v>Operario</v>
      </c>
      <c r="G36" s="244">
        <f>ROUND((VLOOKUP($B36,'Nomina Proquima'!$B$4:$AB$145,4,0)),2)</f>
        <v>30</v>
      </c>
      <c r="H36" s="245">
        <f>ROUND((VLOOKUP($B36,'Nomina Proquima'!$B$4:$AB$145,6,0)),2)</f>
        <v>3166.38</v>
      </c>
      <c r="I36" s="245">
        <f>ROUND((VLOOKUP($B36,'Nomina Proquima'!$B$4:$AB$145,7,0)),2)</f>
        <v>1600</v>
      </c>
      <c r="J36" s="245">
        <f>ROUND((VLOOKUP($B36,'Nomina Proquima'!$B$4:$AB$145,9,0)),2)</f>
        <v>1</v>
      </c>
      <c r="K36" s="245">
        <f>ROUND((VLOOKUP($B36,'Nomina Proquima'!$B$4:$AB$145,10,0)),2)</f>
        <v>19.79</v>
      </c>
      <c r="L36" s="245">
        <f>ROUND((VLOOKUP($B36,'Nomina Proquima'!$B$4:$AB$145,11,0)),2)</f>
        <v>0</v>
      </c>
      <c r="M36" s="245">
        <f>ROUND((VLOOKUP($B36,'Nomina Proquima'!$B$4:$AB$145,12,0)),2)</f>
        <v>0</v>
      </c>
      <c r="N36" s="245">
        <f>ROUND((VLOOKUP($B36,'Nomina Proquima'!$B$4:$AB$145,13,0)),2)</f>
        <v>0</v>
      </c>
      <c r="O36" s="245">
        <f>ROUND((VLOOKUP($B36,'Nomina Proquima'!$B$4:$AB$145,14,0)),2)</f>
        <v>4786.17</v>
      </c>
      <c r="P36" s="245">
        <f>ROUND((VLOOKUP($B36,'Nomina Proquima'!$B$4:$AB$145,15,0)),2)</f>
        <v>153.88999999999999</v>
      </c>
      <c r="Q36" s="245">
        <f>ROUND((VLOOKUP($B36,'Nomina Proquima'!$B$4:$AB$145,16,0)),2)</f>
        <v>60.67</v>
      </c>
      <c r="R36" s="245">
        <f>ROUND((VLOOKUP($B36,'Nomina Proquima'!$B$4:$AB$145,17,0)),2)</f>
        <v>0</v>
      </c>
      <c r="S36" s="245">
        <f>ROUND((VLOOKUP($B36,'Nomina Proquima'!$B$4:$AB$145,18,0)),2)</f>
        <v>0</v>
      </c>
      <c r="T36" s="245">
        <f>ROUND((VLOOKUP($B36,'Nomina Proquima'!$B$4:$AB$145,19,0)),2)</f>
        <v>0</v>
      </c>
      <c r="U36" s="245">
        <f>ROUND((VLOOKUP($B36,'Nomina Proquima'!$B$4:$AB$145,20,0)),2)</f>
        <v>0</v>
      </c>
      <c r="V36" s="245">
        <f>ROUND((VLOOKUP($B36,'Nomina Proquima'!$B$4:$AB$145,21,0)),2)</f>
        <v>0</v>
      </c>
      <c r="W36" s="245">
        <f>ROUND((VLOOKUP($B36,'Nomina Proquima'!$B$4:$AB$145,22,0)),2)</f>
        <v>50</v>
      </c>
      <c r="X36" s="245">
        <f>ROUND((VLOOKUP($B36,'Nomina Proquima'!$B$4:$AB$145,23,0)),2)</f>
        <v>264.56</v>
      </c>
      <c r="Y36" s="234">
        <f>ROUND((VLOOKUP($B36,'Nomina Proquima'!$B$4:$AB$147,24,0)),2)</f>
        <v>4521.6099999999997</v>
      </c>
      <c r="Z36" s="255">
        <f>VLOOKUP(B36,'Nomina Proquima'!$B$4:$AA$148,25,0)</f>
        <v>1631.72</v>
      </c>
      <c r="AA36" s="279">
        <f>ROUND((VLOOKUP($B36,'Nomina Proquima'!$B$4:$AB$145,26,0)),2)</f>
        <v>2889.89</v>
      </c>
      <c r="AB36" s="246"/>
      <c r="AC36" s="247">
        <f>+IFERROR(VLOOKUP(B36,'Nomina Proquima'!B:Z,25,0),"")</f>
        <v>1631.72</v>
      </c>
      <c r="AD36" s="205"/>
      <c r="AE36" s="205"/>
      <c r="AF36" s="205"/>
      <c r="AG36" s="205"/>
      <c r="AH36" s="205"/>
      <c r="AI36" s="205"/>
      <c r="AJ36" s="205"/>
      <c r="AK36" s="205"/>
      <c r="AL36" s="205"/>
      <c r="AM36" s="205"/>
      <c r="AN36" s="205"/>
      <c r="AO36" s="205"/>
      <c r="AP36" s="205"/>
      <c r="AQ36" s="205"/>
      <c r="AR36" s="205"/>
      <c r="AS36" s="205"/>
      <c r="AT36" s="205"/>
      <c r="AU36" s="205"/>
      <c r="AV36" s="205"/>
      <c r="AW36" s="205"/>
      <c r="AX36" s="205"/>
      <c r="AY36" s="205"/>
      <c r="AZ36" s="205"/>
      <c r="BA36" s="205"/>
      <c r="BB36" s="205"/>
      <c r="BC36" s="205"/>
      <c r="BD36" s="205"/>
      <c r="BE36" s="205"/>
      <c r="BF36" s="205"/>
      <c r="BG36" s="205"/>
      <c r="BH36" s="205"/>
      <c r="BI36" s="205"/>
      <c r="BJ36" s="205"/>
      <c r="BK36" s="205"/>
      <c r="BL36" s="205"/>
      <c r="BM36" s="205"/>
      <c r="BN36" s="205"/>
      <c r="BO36" s="205"/>
      <c r="BP36" s="205"/>
      <c r="BQ36" s="205"/>
      <c r="BR36" s="205"/>
      <c r="BS36" s="205"/>
      <c r="BT36" s="205"/>
      <c r="BU36" s="205"/>
      <c r="BV36" s="205"/>
      <c r="BW36" s="205"/>
      <c r="BX36" s="205"/>
      <c r="BY36" s="205"/>
      <c r="BZ36" s="205"/>
      <c r="CA36" s="205"/>
      <c r="CB36" s="205"/>
      <c r="CC36" s="205"/>
      <c r="CD36" s="205"/>
      <c r="CE36" s="205"/>
      <c r="CF36" s="205"/>
      <c r="CG36" s="205"/>
      <c r="CH36" s="205"/>
      <c r="CI36" s="205"/>
      <c r="CJ36" s="205"/>
      <c r="CK36" s="205"/>
      <c r="CL36" s="205"/>
      <c r="CM36" s="205"/>
      <c r="CN36" s="205"/>
      <c r="CO36" s="205"/>
      <c r="CP36" s="205"/>
      <c r="CQ36" s="205"/>
      <c r="CR36" s="205"/>
      <c r="CS36" s="205"/>
      <c r="CT36" s="205"/>
      <c r="CU36" s="205"/>
      <c r="CV36" s="205"/>
      <c r="CW36" s="205"/>
      <c r="CX36" s="205"/>
      <c r="CY36" s="205"/>
      <c r="CZ36" s="205"/>
      <c r="DA36" s="205"/>
      <c r="DB36" s="205"/>
      <c r="DC36" s="205"/>
      <c r="DD36" s="205"/>
      <c r="DE36" s="205"/>
      <c r="DF36" s="205"/>
      <c r="DG36" s="205"/>
      <c r="DH36" s="205"/>
      <c r="DI36" s="205"/>
      <c r="DJ36" s="205"/>
      <c r="DK36" s="205"/>
      <c r="DL36" s="205"/>
      <c r="DM36" s="205"/>
      <c r="DN36" s="205"/>
      <c r="DO36" s="205"/>
      <c r="DP36" s="205"/>
      <c r="DQ36" s="205"/>
      <c r="DR36" s="205"/>
      <c r="DS36" s="205"/>
      <c r="DT36" s="205"/>
      <c r="DU36" s="205"/>
      <c r="DV36" s="205"/>
      <c r="DW36" s="205"/>
      <c r="DX36" s="205"/>
      <c r="DY36" s="205"/>
      <c r="DZ36" s="205"/>
      <c r="EA36" s="205"/>
      <c r="EB36" s="205"/>
      <c r="EC36" s="205"/>
      <c r="ED36" s="205"/>
      <c r="EE36" s="205"/>
      <c r="EF36" s="205"/>
      <c r="EG36" s="205"/>
      <c r="EH36" s="205"/>
      <c r="EI36" s="205"/>
      <c r="EJ36" s="205"/>
      <c r="EK36" s="205"/>
      <c r="EL36" s="205"/>
      <c r="EM36" s="205"/>
      <c r="EN36" s="205"/>
      <c r="EO36" s="205"/>
      <c r="EP36" s="205"/>
      <c r="EQ36" s="205"/>
      <c r="ER36" s="205"/>
      <c r="ES36" s="205"/>
      <c r="ET36" s="205"/>
      <c r="EU36" s="205"/>
      <c r="EV36" s="205"/>
      <c r="EW36" s="205"/>
      <c r="EX36" s="205"/>
      <c r="EY36" s="205"/>
      <c r="EZ36" s="205"/>
      <c r="FA36" s="205"/>
      <c r="FB36" s="205"/>
      <c r="FC36" s="205"/>
      <c r="FD36" s="205"/>
      <c r="FE36" s="205"/>
      <c r="FF36" s="205"/>
      <c r="FG36" s="205"/>
      <c r="FH36" s="205"/>
      <c r="FI36" s="205"/>
      <c r="FJ36" s="205"/>
      <c r="FK36" s="205"/>
      <c r="FL36" s="205"/>
      <c r="FM36" s="205"/>
      <c r="FN36" s="205"/>
      <c r="FO36" s="205"/>
      <c r="FP36" s="205"/>
      <c r="FQ36" s="205"/>
      <c r="FR36" s="205"/>
      <c r="FS36" s="205"/>
      <c r="FT36" s="205"/>
      <c r="FU36" s="205"/>
      <c r="FV36" s="205"/>
      <c r="FW36" s="205"/>
      <c r="FX36" s="205"/>
      <c r="FY36" s="205"/>
      <c r="FZ36" s="205"/>
      <c r="GA36" s="205"/>
      <c r="GB36" s="205"/>
      <c r="GC36" s="205"/>
      <c r="GD36" s="205"/>
      <c r="GE36" s="205"/>
      <c r="GF36" s="205"/>
      <c r="GG36" s="205"/>
      <c r="GH36" s="205"/>
      <c r="GI36" s="205"/>
      <c r="GJ36" s="205"/>
      <c r="GK36" s="205"/>
      <c r="GL36" s="205"/>
      <c r="GM36" s="205"/>
      <c r="GN36" s="205"/>
      <c r="GO36" s="205"/>
      <c r="GP36" s="205"/>
      <c r="GQ36" s="205"/>
      <c r="GR36" s="205"/>
      <c r="GS36" s="205"/>
      <c r="GT36" s="205"/>
      <c r="GU36" s="205"/>
      <c r="GV36" s="205"/>
      <c r="GW36" s="205"/>
      <c r="GX36" s="205"/>
      <c r="GY36" s="205"/>
      <c r="GZ36" s="205"/>
      <c r="HA36" s="205"/>
      <c r="HB36" s="205"/>
      <c r="HC36" s="205"/>
      <c r="HD36" s="205"/>
      <c r="HE36" s="205"/>
      <c r="HF36" s="205"/>
      <c r="HG36" s="205"/>
      <c r="HH36" s="205"/>
      <c r="HI36" s="205"/>
      <c r="HJ36" s="205"/>
      <c r="HK36" s="205"/>
      <c r="HL36" s="205"/>
      <c r="HM36" s="205"/>
      <c r="HN36" s="205"/>
      <c r="HO36" s="205"/>
      <c r="HP36" s="205"/>
      <c r="HQ36" s="205"/>
      <c r="HR36" s="205"/>
      <c r="HS36" s="205"/>
      <c r="HT36" s="205"/>
      <c r="HU36" s="205"/>
      <c r="HV36" s="205"/>
      <c r="HW36" s="205"/>
      <c r="HX36" s="205"/>
      <c r="HY36" s="205"/>
      <c r="HZ36" s="205"/>
      <c r="IA36" s="205"/>
      <c r="IB36" s="205"/>
      <c r="IC36" s="205"/>
      <c r="ID36" s="205"/>
      <c r="IE36" s="205"/>
      <c r="IF36" s="205"/>
      <c r="IG36" s="205"/>
      <c r="IH36" s="205"/>
      <c r="II36" s="205"/>
      <c r="IJ36" s="205"/>
      <c r="IK36" s="205"/>
      <c r="IL36" s="205"/>
      <c r="IM36" s="205"/>
      <c r="IN36" s="205"/>
      <c r="IO36" s="205"/>
      <c r="IP36" s="205"/>
      <c r="IQ36" s="205"/>
      <c r="IR36" s="205"/>
      <c r="IS36" s="205"/>
      <c r="IT36" s="205"/>
      <c r="IU36" s="205"/>
      <c r="IV36" s="205"/>
      <c r="IW36" s="205"/>
      <c r="IX36" s="205"/>
      <c r="IY36" s="205"/>
      <c r="IZ36" s="205"/>
      <c r="JA36" s="205"/>
      <c r="JB36" s="205"/>
      <c r="JC36" s="205"/>
      <c r="JD36" s="205"/>
      <c r="JE36" s="205"/>
      <c r="JF36" s="205"/>
      <c r="JG36" s="205"/>
      <c r="JH36" s="205"/>
      <c r="JI36" s="205"/>
      <c r="JJ36" s="205"/>
      <c r="JK36" s="205"/>
      <c r="JL36" s="205"/>
      <c r="JM36" s="205"/>
      <c r="JN36" s="205"/>
      <c r="JO36" s="205"/>
      <c r="JP36" s="205"/>
      <c r="JQ36" s="205"/>
      <c r="JR36" s="205"/>
      <c r="JS36" s="205"/>
      <c r="JT36" s="205"/>
      <c r="JU36" s="205"/>
      <c r="JV36" s="205"/>
      <c r="JW36" s="205"/>
      <c r="JX36" s="205"/>
      <c r="JY36" s="205"/>
      <c r="JZ36" s="205"/>
      <c r="KA36" s="205"/>
      <c r="KB36" s="205"/>
      <c r="KC36" s="205"/>
      <c r="KD36" s="205"/>
      <c r="KE36" s="205"/>
      <c r="KF36" s="205"/>
      <c r="KG36" s="205"/>
      <c r="KH36" s="205"/>
      <c r="KI36" s="205"/>
      <c r="KJ36" s="205"/>
      <c r="KK36" s="205"/>
      <c r="KL36" s="205"/>
      <c r="KM36" s="205"/>
      <c r="KN36" s="205"/>
      <c r="KO36" s="205"/>
      <c r="KP36" s="205"/>
      <c r="KQ36" s="205"/>
      <c r="KR36" s="205"/>
      <c r="KS36" s="205"/>
      <c r="KT36" s="205"/>
      <c r="KU36" s="205"/>
      <c r="KV36" s="205"/>
      <c r="KW36" s="205"/>
      <c r="KX36" s="205"/>
      <c r="KY36" s="205"/>
      <c r="KZ36" s="205"/>
      <c r="LA36" s="205"/>
      <c r="LB36" s="205"/>
      <c r="LC36" s="205"/>
      <c r="LD36" s="205"/>
      <c r="LE36" s="205"/>
      <c r="LF36" s="205"/>
      <c r="LG36" s="205"/>
      <c r="LH36" s="205"/>
      <c r="LI36" s="205"/>
      <c r="LJ36" s="205"/>
      <c r="LK36" s="205"/>
      <c r="LL36" s="205"/>
      <c r="LM36" s="205"/>
      <c r="LN36" s="205"/>
      <c r="LO36" s="205"/>
      <c r="LP36" s="205"/>
      <c r="LQ36" s="205"/>
      <c r="LR36" s="205"/>
      <c r="LS36" s="205"/>
      <c r="LT36" s="205"/>
      <c r="LU36" s="205"/>
      <c r="LV36" s="205"/>
      <c r="LW36" s="205"/>
      <c r="LX36" s="205"/>
      <c r="LY36" s="205"/>
      <c r="LZ36" s="205"/>
      <c r="MA36" s="205"/>
      <c r="MB36" s="205"/>
      <c r="MC36" s="205"/>
      <c r="MD36" s="205"/>
      <c r="ME36" s="205"/>
      <c r="MF36" s="205"/>
      <c r="MG36" s="205"/>
      <c r="MH36" s="205"/>
      <c r="MI36" s="205"/>
      <c r="MJ36" s="205"/>
      <c r="MK36" s="205"/>
      <c r="ML36" s="205"/>
      <c r="MM36" s="205"/>
      <c r="MN36" s="205"/>
      <c r="MO36" s="205"/>
      <c r="MP36" s="205"/>
      <c r="MQ36" s="205"/>
      <c r="MR36" s="205"/>
      <c r="MS36" s="205"/>
      <c r="MT36" s="205"/>
      <c r="MU36" s="205"/>
      <c r="MV36" s="205"/>
      <c r="MW36" s="205"/>
      <c r="MX36" s="205"/>
      <c r="MY36" s="205"/>
      <c r="MZ36" s="205"/>
      <c r="NA36" s="205"/>
      <c r="NB36" s="205"/>
      <c r="NC36" s="205"/>
      <c r="ND36" s="205"/>
      <c r="NE36" s="205"/>
      <c r="NF36" s="205"/>
      <c r="NG36" s="205"/>
      <c r="NH36" s="205"/>
      <c r="NI36" s="205"/>
      <c r="NJ36" s="205"/>
      <c r="NK36" s="205"/>
      <c r="NL36" s="205"/>
      <c r="NM36" s="205"/>
      <c r="NN36" s="205"/>
      <c r="NO36" s="205"/>
      <c r="NP36" s="205"/>
      <c r="NQ36" s="205"/>
      <c r="NR36" s="205"/>
      <c r="NS36" s="205"/>
      <c r="NT36" s="205"/>
      <c r="NU36" s="205"/>
      <c r="NV36" s="205"/>
      <c r="NW36" s="205"/>
      <c r="NX36" s="205"/>
      <c r="NY36" s="205"/>
      <c r="NZ36" s="205"/>
      <c r="OA36" s="205"/>
      <c r="OB36" s="205"/>
      <c r="OC36" s="205"/>
      <c r="OD36" s="205"/>
      <c r="OE36" s="205"/>
      <c r="OF36" s="205"/>
      <c r="OG36" s="205"/>
      <c r="OH36" s="205"/>
      <c r="OI36" s="205"/>
      <c r="OJ36" s="205"/>
      <c r="OK36" s="205"/>
      <c r="OL36" s="205"/>
      <c r="OM36" s="205"/>
      <c r="ON36" s="205"/>
      <c r="OO36" s="205"/>
      <c r="OP36" s="205"/>
      <c r="OQ36" s="205"/>
      <c r="OR36" s="205"/>
      <c r="OS36" s="205"/>
      <c r="OT36" s="205"/>
      <c r="OU36" s="205"/>
      <c r="OV36" s="205"/>
      <c r="OW36" s="205"/>
      <c r="OX36" s="205"/>
      <c r="OY36" s="205"/>
      <c r="OZ36" s="205"/>
      <c r="PA36" s="205"/>
      <c r="PB36" s="205"/>
      <c r="PC36" s="205"/>
      <c r="PD36" s="205"/>
      <c r="PE36" s="205"/>
      <c r="PF36" s="205"/>
      <c r="PG36" s="205"/>
      <c r="PH36" s="205"/>
      <c r="PI36" s="205"/>
      <c r="PJ36" s="205"/>
      <c r="PK36" s="205"/>
      <c r="PL36" s="205"/>
      <c r="PM36" s="205"/>
      <c r="PN36" s="205"/>
      <c r="PO36" s="205"/>
      <c r="PP36" s="205"/>
      <c r="PQ36" s="205"/>
      <c r="PR36" s="205"/>
      <c r="PS36" s="205"/>
      <c r="PT36" s="205"/>
      <c r="PU36" s="205"/>
      <c r="PV36" s="205"/>
      <c r="PW36" s="205"/>
      <c r="PX36" s="205"/>
      <c r="PY36" s="205"/>
      <c r="PZ36" s="205"/>
      <c r="QA36" s="205"/>
      <c r="QB36" s="205"/>
      <c r="QC36" s="205"/>
      <c r="QD36" s="205"/>
      <c r="QE36" s="205"/>
      <c r="QF36" s="205"/>
      <c r="QG36" s="205"/>
      <c r="QH36" s="205"/>
      <c r="QI36" s="205"/>
      <c r="QJ36" s="205"/>
      <c r="QK36" s="205"/>
      <c r="QL36" s="205"/>
      <c r="QM36" s="205"/>
      <c r="QN36" s="205"/>
      <c r="QO36" s="205"/>
      <c r="QP36" s="205"/>
      <c r="QQ36" s="205"/>
      <c r="QR36" s="205"/>
      <c r="QS36" s="205"/>
      <c r="QT36" s="205"/>
      <c r="QU36" s="205"/>
      <c r="QV36" s="205"/>
      <c r="QW36" s="205"/>
      <c r="QX36" s="205"/>
      <c r="QY36" s="205"/>
      <c r="QZ36" s="205"/>
      <c r="RA36" s="205"/>
      <c r="RB36" s="205"/>
      <c r="RC36" s="205"/>
      <c r="RD36" s="205"/>
      <c r="RE36" s="205"/>
      <c r="RF36" s="205"/>
      <c r="RG36" s="205"/>
      <c r="RH36" s="205"/>
      <c r="RI36" s="205"/>
      <c r="RJ36" s="205"/>
      <c r="RK36" s="205"/>
      <c r="RL36" s="205"/>
      <c r="RM36" s="205"/>
      <c r="RN36" s="205"/>
      <c r="RO36" s="205"/>
      <c r="RP36" s="205"/>
      <c r="RQ36" s="205"/>
      <c r="RR36" s="205"/>
      <c r="RS36" s="205"/>
      <c r="RT36" s="205"/>
      <c r="RU36" s="205"/>
      <c r="RV36" s="205"/>
      <c r="RW36" s="205"/>
      <c r="RX36" s="205"/>
      <c r="RY36" s="205"/>
      <c r="RZ36" s="205"/>
      <c r="SA36" s="205"/>
      <c r="SB36" s="205"/>
      <c r="SC36" s="205"/>
      <c r="SD36" s="205"/>
      <c r="SE36" s="205"/>
      <c r="SF36" s="205"/>
      <c r="SG36" s="205"/>
      <c r="SH36" s="205"/>
      <c r="SI36" s="205"/>
      <c r="SJ36" s="205"/>
      <c r="SK36" s="205"/>
      <c r="SL36" s="205"/>
      <c r="SM36" s="205"/>
      <c r="SN36" s="205"/>
      <c r="SO36" s="205"/>
      <c r="SP36" s="205"/>
      <c r="SQ36" s="205"/>
      <c r="SR36" s="205"/>
      <c r="SS36" s="205"/>
      <c r="ST36" s="205"/>
      <c r="SU36" s="205"/>
      <c r="SV36" s="205"/>
      <c r="SW36" s="205"/>
      <c r="SX36" s="205"/>
      <c r="SY36" s="205"/>
      <c r="SZ36" s="205"/>
      <c r="TA36" s="205"/>
      <c r="TB36" s="205"/>
      <c r="TC36" s="205"/>
      <c r="TD36" s="205"/>
      <c r="TE36" s="205"/>
      <c r="TF36" s="205"/>
      <c r="TG36" s="205"/>
      <c r="TH36" s="205"/>
      <c r="TI36" s="205"/>
      <c r="TJ36" s="205"/>
      <c r="TK36" s="205"/>
      <c r="TL36" s="205"/>
      <c r="TM36" s="205"/>
      <c r="TN36" s="205"/>
      <c r="TO36" s="205"/>
      <c r="TP36" s="205"/>
      <c r="TQ36" s="205"/>
      <c r="TR36" s="205"/>
      <c r="TS36" s="205"/>
      <c r="TT36" s="205"/>
      <c r="TU36" s="205"/>
      <c r="TV36" s="205"/>
      <c r="TW36" s="205"/>
      <c r="TX36" s="205"/>
      <c r="TY36" s="205"/>
      <c r="TZ36" s="205"/>
      <c r="UA36" s="205"/>
      <c r="UB36" s="205"/>
      <c r="UC36" s="205"/>
      <c r="UD36" s="205"/>
      <c r="UE36" s="205"/>
      <c r="UF36" s="205"/>
      <c r="UG36" s="205"/>
      <c r="UH36" s="205"/>
      <c r="UI36" s="205"/>
      <c r="UJ36" s="205"/>
      <c r="UK36" s="205"/>
      <c r="UL36" s="205"/>
      <c r="UM36" s="205"/>
      <c r="UN36" s="205"/>
      <c r="UO36" s="205"/>
      <c r="UP36" s="205"/>
      <c r="UQ36" s="205"/>
      <c r="UR36" s="205"/>
      <c r="US36" s="205"/>
      <c r="UT36" s="205"/>
      <c r="UU36" s="205"/>
      <c r="UV36" s="205"/>
      <c r="UW36" s="205"/>
      <c r="UX36" s="205"/>
      <c r="UY36" s="205"/>
      <c r="UZ36" s="205"/>
      <c r="VA36" s="205"/>
      <c r="VB36" s="205"/>
      <c r="VC36" s="205"/>
      <c r="VD36" s="205"/>
      <c r="VE36" s="205"/>
      <c r="VF36" s="205"/>
      <c r="VG36" s="205"/>
      <c r="VH36" s="205"/>
      <c r="VI36" s="205"/>
      <c r="VJ36" s="205"/>
      <c r="VK36" s="205"/>
      <c r="VL36" s="205"/>
      <c r="VM36" s="205"/>
      <c r="VN36" s="205"/>
      <c r="VO36" s="205"/>
      <c r="VP36" s="205"/>
      <c r="VQ36" s="205"/>
      <c r="VR36" s="205"/>
      <c r="VS36" s="205"/>
      <c r="VT36" s="205"/>
      <c r="VU36" s="205"/>
      <c r="VV36" s="205"/>
      <c r="VW36" s="205"/>
      <c r="VX36" s="205"/>
      <c r="VY36" s="205"/>
      <c r="VZ36" s="205"/>
      <c r="WA36" s="205"/>
      <c r="WB36" s="205"/>
      <c r="WC36" s="205"/>
      <c r="WD36" s="205"/>
      <c r="WE36" s="205"/>
      <c r="WF36" s="205"/>
      <c r="WG36" s="205"/>
      <c r="WH36" s="205"/>
      <c r="WI36" s="205"/>
      <c r="WJ36" s="205"/>
      <c r="WK36" s="205"/>
      <c r="WL36" s="205"/>
      <c r="WM36" s="205"/>
      <c r="WN36" s="205"/>
      <c r="WO36" s="205"/>
      <c r="WP36" s="205"/>
      <c r="WQ36" s="205"/>
      <c r="WR36" s="205"/>
      <c r="WS36" s="205"/>
      <c r="WT36" s="205"/>
      <c r="WU36" s="205"/>
      <c r="WV36" s="205"/>
      <c r="WW36" s="205"/>
      <c r="WX36" s="205"/>
      <c r="WY36" s="205"/>
      <c r="WZ36" s="205"/>
      <c r="XA36" s="205"/>
      <c r="XB36" s="205"/>
      <c r="XC36" s="205"/>
      <c r="XD36" s="205"/>
      <c r="XE36" s="205"/>
      <c r="XF36" s="205"/>
      <c r="XG36" s="205"/>
      <c r="XH36" s="205"/>
      <c r="XI36" s="205"/>
      <c r="XJ36" s="205"/>
      <c r="XK36" s="205"/>
      <c r="XL36" s="205"/>
      <c r="XM36" s="205"/>
      <c r="XN36" s="205"/>
      <c r="XO36" s="205"/>
      <c r="XP36" s="205"/>
      <c r="XQ36" s="205"/>
      <c r="XR36" s="205"/>
      <c r="XS36" s="205"/>
      <c r="XT36" s="205"/>
      <c r="XU36" s="205"/>
      <c r="XV36" s="205"/>
      <c r="XW36" s="205"/>
      <c r="XX36" s="205"/>
      <c r="XY36" s="205"/>
      <c r="XZ36" s="205"/>
      <c r="YA36" s="205"/>
      <c r="YB36" s="205"/>
      <c r="YC36" s="205"/>
      <c r="YD36" s="205"/>
      <c r="YE36" s="205"/>
      <c r="YF36" s="205"/>
      <c r="YG36" s="205"/>
      <c r="YH36" s="205"/>
      <c r="YI36" s="205"/>
      <c r="YJ36" s="205"/>
      <c r="YK36" s="205"/>
      <c r="YL36" s="205"/>
      <c r="YM36" s="205"/>
      <c r="YN36" s="205"/>
      <c r="YO36" s="205"/>
      <c r="YP36" s="205"/>
      <c r="YQ36" s="205"/>
      <c r="YR36" s="205"/>
      <c r="YS36" s="205"/>
      <c r="YT36" s="205"/>
      <c r="YU36" s="205"/>
      <c r="YV36" s="205"/>
      <c r="YW36" s="205"/>
      <c r="YX36" s="205"/>
      <c r="YY36" s="205"/>
      <c r="YZ36" s="205"/>
      <c r="ZA36" s="205"/>
      <c r="ZB36" s="205"/>
      <c r="ZC36" s="205"/>
      <c r="ZD36" s="205"/>
      <c r="ZE36" s="205"/>
      <c r="ZF36" s="205"/>
      <c r="ZG36" s="205"/>
      <c r="ZH36" s="205"/>
      <c r="ZI36" s="205"/>
      <c r="ZJ36" s="205"/>
      <c r="ZK36" s="205"/>
      <c r="ZL36" s="205"/>
      <c r="ZM36" s="205"/>
      <c r="ZN36" s="205"/>
      <c r="ZO36" s="205"/>
      <c r="ZP36" s="205"/>
      <c r="ZQ36" s="205"/>
      <c r="ZR36" s="205"/>
      <c r="ZS36" s="205"/>
      <c r="ZT36" s="205"/>
      <c r="ZU36" s="205"/>
      <c r="ZV36" s="205"/>
      <c r="ZW36" s="205"/>
      <c r="ZX36" s="205"/>
      <c r="ZY36" s="205"/>
      <c r="ZZ36" s="205"/>
      <c r="AAA36" s="205"/>
      <c r="AAB36" s="205"/>
      <c r="AAC36" s="205"/>
      <c r="AAD36" s="205"/>
      <c r="AAE36" s="205"/>
      <c r="AAF36" s="205"/>
      <c r="AAG36" s="205"/>
      <c r="AAH36" s="205"/>
      <c r="AAI36" s="205"/>
      <c r="AAJ36" s="205"/>
      <c r="AAK36" s="205"/>
      <c r="AAL36" s="205"/>
      <c r="AAM36" s="205"/>
      <c r="AAN36" s="205"/>
      <c r="AAO36" s="205"/>
      <c r="AAP36" s="205"/>
      <c r="AAQ36" s="205"/>
      <c r="AAR36" s="205"/>
      <c r="AAS36" s="205"/>
      <c r="AAT36" s="205"/>
      <c r="AAU36" s="205"/>
      <c r="AAV36" s="205"/>
      <c r="AAW36" s="205"/>
      <c r="AAX36" s="205"/>
      <c r="AAY36" s="205"/>
      <c r="AAZ36" s="205"/>
      <c r="ABA36" s="205"/>
      <c r="ABB36" s="205"/>
      <c r="ABC36" s="205"/>
      <c r="ABD36" s="205"/>
      <c r="ABE36" s="205"/>
      <c r="ABF36" s="205"/>
      <c r="ABG36" s="205"/>
      <c r="ABH36" s="205"/>
      <c r="ABI36" s="205"/>
      <c r="ABJ36" s="205"/>
      <c r="ABK36" s="205"/>
      <c r="ABL36" s="205"/>
      <c r="ABM36" s="205"/>
      <c r="ABN36" s="205"/>
      <c r="ABO36" s="205"/>
      <c r="ABP36" s="205"/>
      <c r="ABQ36" s="205"/>
      <c r="ABR36" s="205"/>
      <c r="ABS36" s="205"/>
      <c r="ABT36" s="205"/>
      <c r="ABU36" s="205"/>
      <c r="ABV36" s="205"/>
      <c r="ABW36" s="205"/>
      <c r="ABX36" s="205"/>
      <c r="ABY36" s="205"/>
      <c r="ABZ36" s="205"/>
      <c r="ACA36" s="205"/>
      <c r="ACB36" s="205"/>
      <c r="ACC36" s="205"/>
      <c r="ACD36" s="205"/>
      <c r="ACE36" s="205"/>
      <c r="ACF36" s="205"/>
      <c r="ACG36" s="205"/>
      <c r="ACH36" s="205"/>
      <c r="ACI36" s="205"/>
      <c r="ACJ36" s="205"/>
      <c r="ACK36" s="205"/>
      <c r="ACL36" s="205"/>
      <c r="ACM36" s="205"/>
      <c r="ACN36" s="205"/>
      <c r="ACO36" s="205"/>
      <c r="ACP36" s="205"/>
    </row>
    <row r="37" spans="1:770" s="248" customFormat="1">
      <c r="A37" s="292" t="e">
        <f t="shared" si="1"/>
        <v>#REF!</v>
      </c>
      <c r="B37" s="253" t="s">
        <v>619</v>
      </c>
      <c r="C37" s="367">
        <v>16265050461909</v>
      </c>
      <c r="D37" s="372" t="s">
        <v>262</v>
      </c>
      <c r="E37" s="310" t="s">
        <v>619</v>
      </c>
      <c r="F37" s="244" t="str">
        <f>VLOOKUP(B37,distribucion!B$9:FK$200,2,0)</f>
        <v>Auxiliar de control de calidad</v>
      </c>
      <c r="G37" s="244">
        <f>ROUND((VLOOKUP($B37,'Nomina Proquima'!$B$4:$AB$145,4,0)),2)</f>
        <v>30</v>
      </c>
      <c r="H37" s="245">
        <f>ROUND((VLOOKUP($B37,'Nomina Proquima'!$B$4:$AB$145,6,0)),2)</f>
        <v>3166.38</v>
      </c>
      <c r="I37" s="245">
        <f>ROUND((VLOOKUP($B37,'Nomina Proquima'!$B$4:$AB$145,7,0)),2)</f>
        <v>750</v>
      </c>
      <c r="J37" s="245">
        <f>ROUND((VLOOKUP($B37,'Nomina Proquima'!$B$4:$AB$145,9,0)),2)</f>
        <v>12.5</v>
      </c>
      <c r="K37" s="245">
        <f>ROUND((VLOOKUP($B37,'Nomina Proquima'!$B$4:$AB$145,10,0)),2)</f>
        <v>247.37</v>
      </c>
      <c r="L37" s="245">
        <f>ROUND((VLOOKUP($B37,'Nomina Proquima'!$B$4:$AB$145,11,0)),2)</f>
        <v>0</v>
      </c>
      <c r="M37" s="245">
        <f>ROUND((VLOOKUP($B37,'Nomina Proquima'!$B$4:$AB$145,12,0)),2)</f>
        <v>0</v>
      </c>
      <c r="N37" s="245">
        <f>ROUND((VLOOKUP($B37,'Nomina Proquima'!$B$4:$AB$145,13,0)),2)</f>
        <v>0</v>
      </c>
      <c r="O37" s="245">
        <f>ROUND((VLOOKUP($B37,'Nomina Proquima'!$B$4:$AB$145,14,0)),2)</f>
        <v>4163.75</v>
      </c>
      <c r="P37" s="245">
        <f>ROUND((VLOOKUP($B37,'Nomina Proquima'!$B$4:$AB$145,15,0)),2)</f>
        <v>164.88</v>
      </c>
      <c r="Q37" s="245">
        <f>ROUND((VLOOKUP($B37,'Nomina Proquima'!$B$4:$AB$145,16,0)),2)</f>
        <v>0</v>
      </c>
      <c r="R37" s="245">
        <f>ROUND((VLOOKUP($B37,'Nomina Proquima'!$B$4:$AB$145,17,0)),2)</f>
        <v>0</v>
      </c>
      <c r="S37" s="245">
        <f>ROUND((VLOOKUP($B37,'Nomina Proquima'!$B$4:$AB$145,18,0)),2)</f>
        <v>0</v>
      </c>
      <c r="T37" s="245">
        <f>ROUND((VLOOKUP($B37,'Nomina Proquima'!$B$4:$AB$145,19,0)),2)</f>
        <v>0</v>
      </c>
      <c r="U37" s="245">
        <f>ROUND((VLOOKUP($B37,'Nomina Proquima'!$B$4:$AB$145,20,0)),2)</f>
        <v>0</v>
      </c>
      <c r="V37" s="245">
        <f>ROUND((VLOOKUP($B37,'Nomina Proquima'!$B$4:$AB$145,21,0)),2)</f>
        <v>352.5</v>
      </c>
      <c r="W37" s="245">
        <f>ROUND((VLOOKUP($B37,'Nomina Proquima'!$B$4:$AB$145,22,0)),2)</f>
        <v>50</v>
      </c>
      <c r="X37" s="245">
        <f>ROUND((VLOOKUP($B37,'Nomina Proquima'!$B$4:$AB$145,23,0)),2)</f>
        <v>567.38</v>
      </c>
      <c r="Y37" s="234">
        <f>ROUND((VLOOKUP($B37,'Nomina Proquima'!$B$4:$AB$147,24,0)),2)</f>
        <v>3596.37</v>
      </c>
      <c r="Z37" s="382">
        <f>VLOOKUP(B37,'Nomina Proquima'!$B$4:$AA$148,25,0)</f>
        <v>1799.22</v>
      </c>
      <c r="AA37" s="383">
        <f>ROUND((VLOOKUP($B37,'Nomina Proquima'!$B$4:$AB$145,26,0)),2)</f>
        <v>1797.15</v>
      </c>
      <c r="AB37" s="246"/>
      <c r="AC37" s="247">
        <f>+IFERROR(VLOOKUP(B37,'Nomina Proquima'!B:Z,25,0),"")</f>
        <v>1799.22</v>
      </c>
      <c r="AD37" s="205"/>
      <c r="AE37" s="205"/>
      <c r="AF37" s="205"/>
      <c r="AG37" s="205"/>
      <c r="AH37" s="205"/>
      <c r="AI37" s="205"/>
      <c r="AJ37" s="205"/>
      <c r="AK37" s="205"/>
      <c r="AL37" s="205"/>
      <c r="AM37" s="205"/>
      <c r="AN37" s="205"/>
      <c r="AO37" s="205"/>
      <c r="AP37" s="205"/>
      <c r="AQ37" s="205"/>
      <c r="AR37" s="205"/>
      <c r="AS37" s="205"/>
      <c r="AT37" s="205"/>
      <c r="AU37" s="205"/>
      <c r="AV37" s="205"/>
      <c r="AW37" s="205"/>
      <c r="AX37" s="205"/>
      <c r="AY37" s="205"/>
      <c r="AZ37" s="205"/>
      <c r="BA37" s="205"/>
      <c r="BB37" s="205"/>
      <c r="BC37" s="205"/>
      <c r="BD37" s="205"/>
      <c r="BE37" s="205"/>
      <c r="BF37" s="205"/>
      <c r="BG37" s="205"/>
      <c r="BH37" s="205"/>
      <c r="BI37" s="205"/>
      <c r="BJ37" s="205"/>
      <c r="BK37" s="205"/>
      <c r="BL37" s="205"/>
      <c r="BM37" s="205"/>
      <c r="BN37" s="205"/>
      <c r="BO37" s="205"/>
      <c r="BP37" s="205"/>
      <c r="BQ37" s="205"/>
      <c r="BR37" s="205"/>
      <c r="BS37" s="205"/>
      <c r="BT37" s="205"/>
      <c r="BU37" s="205"/>
      <c r="BV37" s="205"/>
      <c r="BW37" s="205"/>
      <c r="BX37" s="205"/>
      <c r="BY37" s="205"/>
      <c r="BZ37" s="205"/>
      <c r="CA37" s="205"/>
      <c r="CB37" s="205"/>
      <c r="CC37" s="205"/>
      <c r="CD37" s="205"/>
      <c r="CE37" s="205"/>
      <c r="CF37" s="205"/>
      <c r="CG37" s="205"/>
      <c r="CH37" s="205"/>
      <c r="CI37" s="205"/>
      <c r="CJ37" s="205"/>
      <c r="CK37" s="205"/>
      <c r="CL37" s="205"/>
      <c r="CM37" s="205"/>
      <c r="CN37" s="205"/>
      <c r="CO37" s="205"/>
      <c r="CP37" s="205"/>
      <c r="CQ37" s="205"/>
      <c r="CR37" s="205"/>
      <c r="CS37" s="205"/>
      <c r="CT37" s="205"/>
      <c r="CU37" s="205"/>
      <c r="CV37" s="205"/>
      <c r="CW37" s="205"/>
      <c r="CX37" s="205"/>
      <c r="CY37" s="205"/>
      <c r="CZ37" s="205"/>
      <c r="DA37" s="205"/>
      <c r="DB37" s="205"/>
      <c r="DC37" s="205"/>
      <c r="DD37" s="205"/>
      <c r="DE37" s="205"/>
      <c r="DF37" s="205"/>
      <c r="DG37" s="205"/>
      <c r="DH37" s="205"/>
      <c r="DI37" s="205"/>
      <c r="DJ37" s="205"/>
      <c r="DK37" s="205"/>
      <c r="DL37" s="205"/>
      <c r="DM37" s="205"/>
      <c r="DN37" s="205"/>
      <c r="DO37" s="205"/>
      <c r="DP37" s="205"/>
      <c r="DQ37" s="205"/>
      <c r="DR37" s="205"/>
      <c r="DS37" s="205"/>
      <c r="DT37" s="205"/>
      <c r="DU37" s="205"/>
      <c r="DV37" s="205"/>
      <c r="DW37" s="205"/>
      <c r="DX37" s="205"/>
      <c r="DY37" s="205"/>
      <c r="DZ37" s="205"/>
      <c r="EA37" s="205"/>
      <c r="EB37" s="205"/>
      <c r="EC37" s="205"/>
      <c r="ED37" s="205"/>
      <c r="EE37" s="205"/>
      <c r="EF37" s="205"/>
      <c r="EG37" s="205"/>
      <c r="EH37" s="205"/>
      <c r="EI37" s="205"/>
      <c r="EJ37" s="205"/>
      <c r="EK37" s="205"/>
      <c r="EL37" s="205"/>
      <c r="EM37" s="205"/>
      <c r="EN37" s="205"/>
      <c r="EO37" s="205"/>
      <c r="EP37" s="205"/>
      <c r="EQ37" s="205"/>
      <c r="ER37" s="205"/>
      <c r="ES37" s="205"/>
      <c r="ET37" s="205"/>
      <c r="EU37" s="205"/>
      <c r="EV37" s="205"/>
      <c r="EW37" s="205"/>
      <c r="EX37" s="205"/>
      <c r="EY37" s="205"/>
      <c r="EZ37" s="205"/>
      <c r="FA37" s="205"/>
      <c r="FB37" s="205"/>
      <c r="FC37" s="205"/>
      <c r="FD37" s="205"/>
      <c r="FE37" s="205"/>
      <c r="FF37" s="205"/>
      <c r="FG37" s="205"/>
      <c r="FH37" s="205"/>
      <c r="FI37" s="205"/>
      <c r="FJ37" s="205"/>
      <c r="FK37" s="205"/>
      <c r="FL37" s="205"/>
      <c r="FM37" s="205"/>
      <c r="FN37" s="205"/>
      <c r="FO37" s="205"/>
      <c r="FP37" s="205"/>
      <c r="FQ37" s="205"/>
      <c r="FR37" s="205"/>
      <c r="FS37" s="205"/>
      <c r="FT37" s="205"/>
      <c r="FU37" s="205"/>
      <c r="FV37" s="205"/>
      <c r="FW37" s="205"/>
      <c r="FX37" s="205"/>
      <c r="FY37" s="205"/>
      <c r="FZ37" s="205"/>
      <c r="GA37" s="205"/>
      <c r="GB37" s="205"/>
      <c r="GC37" s="205"/>
      <c r="GD37" s="205"/>
      <c r="GE37" s="205"/>
      <c r="GF37" s="205"/>
      <c r="GG37" s="205"/>
      <c r="GH37" s="205"/>
      <c r="GI37" s="205"/>
      <c r="GJ37" s="205"/>
      <c r="GK37" s="205"/>
      <c r="GL37" s="205"/>
      <c r="GM37" s="205"/>
      <c r="GN37" s="205"/>
      <c r="GO37" s="205"/>
      <c r="GP37" s="205"/>
      <c r="GQ37" s="205"/>
      <c r="GR37" s="205"/>
      <c r="GS37" s="205"/>
      <c r="GT37" s="205"/>
      <c r="GU37" s="205"/>
      <c r="GV37" s="205"/>
      <c r="GW37" s="205"/>
      <c r="GX37" s="205"/>
      <c r="GY37" s="205"/>
      <c r="GZ37" s="205"/>
      <c r="HA37" s="205"/>
      <c r="HB37" s="205"/>
      <c r="HC37" s="205"/>
      <c r="HD37" s="205"/>
      <c r="HE37" s="205"/>
      <c r="HF37" s="205"/>
      <c r="HG37" s="205"/>
      <c r="HH37" s="205"/>
      <c r="HI37" s="205"/>
      <c r="HJ37" s="205"/>
      <c r="HK37" s="205"/>
      <c r="HL37" s="205"/>
      <c r="HM37" s="205"/>
      <c r="HN37" s="205"/>
      <c r="HO37" s="205"/>
      <c r="HP37" s="205"/>
      <c r="HQ37" s="205"/>
      <c r="HR37" s="205"/>
      <c r="HS37" s="205"/>
      <c r="HT37" s="205"/>
      <c r="HU37" s="205"/>
      <c r="HV37" s="205"/>
      <c r="HW37" s="205"/>
      <c r="HX37" s="205"/>
      <c r="HY37" s="205"/>
      <c r="HZ37" s="205"/>
      <c r="IA37" s="205"/>
      <c r="IB37" s="205"/>
      <c r="IC37" s="205"/>
      <c r="ID37" s="205"/>
      <c r="IE37" s="205"/>
      <c r="IF37" s="205"/>
      <c r="IG37" s="205"/>
      <c r="IH37" s="205"/>
      <c r="II37" s="205"/>
      <c r="IJ37" s="205"/>
      <c r="IK37" s="205"/>
      <c r="IL37" s="205"/>
      <c r="IM37" s="205"/>
      <c r="IN37" s="205"/>
      <c r="IO37" s="205"/>
      <c r="IP37" s="205"/>
      <c r="IQ37" s="205"/>
      <c r="IR37" s="205"/>
      <c r="IS37" s="205"/>
      <c r="IT37" s="205"/>
      <c r="IU37" s="205"/>
      <c r="IV37" s="205"/>
      <c r="IW37" s="205"/>
      <c r="IX37" s="205"/>
      <c r="IY37" s="205"/>
      <c r="IZ37" s="205"/>
      <c r="JA37" s="205"/>
      <c r="JB37" s="205"/>
      <c r="JC37" s="205"/>
      <c r="JD37" s="205"/>
      <c r="JE37" s="205"/>
      <c r="JF37" s="205"/>
      <c r="JG37" s="205"/>
      <c r="JH37" s="205"/>
      <c r="JI37" s="205"/>
      <c r="JJ37" s="205"/>
      <c r="JK37" s="205"/>
      <c r="JL37" s="205"/>
      <c r="JM37" s="205"/>
      <c r="JN37" s="205"/>
      <c r="JO37" s="205"/>
      <c r="JP37" s="205"/>
      <c r="JQ37" s="205"/>
      <c r="JR37" s="205"/>
      <c r="JS37" s="205"/>
      <c r="JT37" s="205"/>
      <c r="JU37" s="205"/>
      <c r="JV37" s="205"/>
      <c r="JW37" s="205"/>
      <c r="JX37" s="205"/>
      <c r="JY37" s="205"/>
      <c r="JZ37" s="205"/>
      <c r="KA37" s="205"/>
      <c r="KB37" s="205"/>
      <c r="KC37" s="205"/>
      <c r="KD37" s="205"/>
      <c r="KE37" s="205"/>
      <c r="KF37" s="205"/>
      <c r="KG37" s="205"/>
      <c r="KH37" s="205"/>
      <c r="KI37" s="205"/>
      <c r="KJ37" s="205"/>
      <c r="KK37" s="205"/>
      <c r="KL37" s="205"/>
      <c r="KM37" s="205"/>
      <c r="KN37" s="205"/>
      <c r="KO37" s="205"/>
      <c r="KP37" s="205"/>
      <c r="KQ37" s="205"/>
      <c r="KR37" s="205"/>
      <c r="KS37" s="205"/>
      <c r="KT37" s="205"/>
      <c r="KU37" s="205"/>
      <c r="KV37" s="205"/>
      <c r="KW37" s="205"/>
      <c r="KX37" s="205"/>
      <c r="KY37" s="205"/>
      <c r="KZ37" s="205"/>
      <c r="LA37" s="205"/>
      <c r="LB37" s="205"/>
      <c r="LC37" s="205"/>
      <c r="LD37" s="205"/>
      <c r="LE37" s="205"/>
      <c r="LF37" s="205"/>
      <c r="LG37" s="205"/>
      <c r="LH37" s="205"/>
      <c r="LI37" s="205"/>
      <c r="LJ37" s="205"/>
      <c r="LK37" s="205"/>
      <c r="LL37" s="205"/>
      <c r="LM37" s="205"/>
      <c r="LN37" s="205"/>
      <c r="LO37" s="205"/>
      <c r="LP37" s="205"/>
      <c r="LQ37" s="205"/>
      <c r="LR37" s="205"/>
      <c r="LS37" s="205"/>
      <c r="LT37" s="205"/>
      <c r="LU37" s="205"/>
      <c r="LV37" s="205"/>
      <c r="LW37" s="205"/>
      <c r="LX37" s="205"/>
      <c r="LY37" s="205"/>
      <c r="LZ37" s="205"/>
      <c r="MA37" s="205"/>
      <c r="MB37" s="205"/>
      <c r="MC37" s="205"/>
      <c r="MD37" s="205"/>
      <c r="ME37" s="205"/>
      <c r="MF37" s="205"/>
      <c r="MG37" s="205"/>
      <c r="MH37" s="205"/>
      <c r="MI37" s="205"/>
      <c r="MJ37" s="205"/>
      <c r="MK37" s="205"/>
      <c r="ML37" s="205"/>
      <c r="MM37" s="205"/>
      <c r="MN37" s="205"/>
      <c r="MO37" s="205"/>
      <c r="MP37" s="205"/>
      <c r="MQ37" s="205"/>
      <c r="MR37" s="205"/>
      <c r="MS37" s="205"/>
      <c r="MT37" s="205"/>
      <c r="MU37" s="205"/>
      <c r="MV37" s="205"/>
      <c r="MW37" s="205"/>
      <c r="MX37" s="205"/>
      <c r="MY37" s="205"/>
      <c r="MZ37" s="205"/>
      <c r="NA37" s="205"/>
      <c r="NB37" s="205"/>
      <c r="NC37" s="205"/>
      <c r="ND37" s="205"/>
      <c r="NE37" s="205"/>
      <c r="NF37" s="205"/>
      <c r="NG37" s="205"/>
      <c r="NH37" s="205"/>
      <c r="NI37" s="205"/>
      <c r="NJ37" s="205"/>
      <c r="NK37" s="205"/>
      <c r="NL37" s="205"/>
      <c r="NM37" s="205"/>
      <c r="NN37" s="205"/>
      <c r="NO37" s="205"/>
      <c r="NP37" s="205"/>
      <c r="NQ37" s="205"/>
      <c r="NR37" s="205"/>
      <c r="NS37" s="205"/>
      <c r="NT37" s="205"/>
      <c r="NU37" s="205"/>
      <c r="NV37" s="205"/>
      <c r="NW37" s="205"/>
      <c r="NX37" s="205"/>
      <c r="NY37" s="205"/>
      <c r="NZ37" s="205"/>
      <c r="OA37" s="205"/>
      <c r="OB37" s="205"/>
      <c r="OC37" s="205"/>
      <c r="OD37" s="205"/>
      <c r="OE37" s="205"/>
      <c r="OF37" s="205"/>
      <c r="OG37" s="205"/>
      <c r="OH37" s="205"/>
      <c r="OI37" s="205"/>
      <c r="OJ37" s="205"/>
      <c r="OK37" s="205"/>
      <c r="OL37" s="205"/>
      <c r="OM37" s="205"/>
      <c r="ON37" s="205"/>
      <c r="OO37" s="205"/>
      <c r="OP37" s="205"/>
      <c r="OQ37" s="205"/>
      <c r="OR37" s="205"/>
      <c r="OS37" s="205"/>
      <c r="OT37" s="205"/>
      <c r="OU37" s="205"/>
      <c r="OV37" s="205"/>
      <c r="OW37" s="205"/>
      <c r="OX37" s="205"/>
      <c r="OY37" s="205"/>
      <c r="OZ37" s="205"/>
      <c r="PA37" s="205"/>
      <c r="PB37" s="205"/>
      <c r="PC37" s="205"/>
      <c r="PD37" s="205"/>
      <c r="PE37" s="205"/>
      <c r="PF37" s="205"/>
      <c r="PG37" s="205"/>
      <c r="PH37" s="205"/>
      <c r="PI37" s="205"/>
      <c r="PJ37" s="205"/>
      <c r="PK37" s="205"/>
      <c r="PL37" s="205"/>
      <c r="PM37" s="205"/>
      <c r="PN37" s="205"/>
      <c r="PO37" s="205"/>
      <c r="PP37" s="205"/>
      <c r="PQ37" s="205"/>
      <c r="PR37" s="205"/>
      <c r="PS37" s="205"/>
      <c r="PT37" s="205"/>
      <c r="PU37" s="205"/>
      <c r="PV37" s="205"/>
      <c r="PW37" s="205"/>
      <c r="PX37" s="205"/>
      <c r="PY37" s="205"/>
      <c r="PZ37" s="205"/>
      <c r="QA37" s="205"/>
      <c r="QB37" s="205"/>
      <c r="QC37" s="205"/>
      <c r="QD37" s="205"/>
      <c r="QE37" s="205"/>
      <c r="QF37" s="205"/>
      <c r="QG37" s="205"/>
      <c r="QH37" s="205"/>
      <c r="QI37" s="205"/>
      <c r="QJ37" s="205"/>
      <c r="QK37" s="205"/>
      <c r="QL37" s="205"/>
      <c r="QM37" s="205"/>
      <c r="QN37" s="205"/>
      <c r="QO37" s="205"/>
      <c r="QP37" s="205"/>
      <c r="QQ37" s="205"/>
      <c r="QR37" s="205"/>
      <c r="QS37" s="205"/>
      <c r="QT37" s="205"/>
      <c r="QU37" s="205"/>
      <c r="QV37" s="205"/>
      <c r="QW37" s="205"/>
      <c r="QX37" s="205"/>
      <c r="QY37" s="205"/>
      <c r="QZ37" s="205"/>
      <c r="RA37" s="205"/>
      <c r="RB37" s="205"/>
      <c r="RC37" s="205"/>
      <c r="RD37" s="205"/>
      <c r="RE37" s="205"/>
      <c r="RF37" s="205"/>
      <c r="RG37" s="205"/>
      <c r="RH37" s="205"/>
      <c r="RI37" s="205"/>
      <c r="RJ37" s="205"/>
      <c r="RK37" s="205"/>
      <c r="RL37" s="205"/>
      <c r="RM37" s="205"/>
      <c r="RN37" s="205"/>
      <c r="RO37" s="205"/>
      <c r="RP37" s="205"/>
      <c r="RQ37" s="205"/>
      <c r="RR37" s="205"/>
      <c r="RS37" s="205"/>
      <c r="RT37" s="205"/>
      <c r="RU37" s="205"/>
      <c r="RV37" s="205"/>
      <c r="RW37" s="205"/>
      <c r="RX37" s="205"/>
      <c r="RY37" s="205"/>
      <c r="RZ37" s="205"/>
      <c r="SA37" s="205"/>
      <c r="SB37" s="205"/>
      <c r="SC37" s="205"/>
      <c r="SD37" s="205"/>
      <c r="SE37" s="205"/>
      <c r="SF37" s="205"/>
      <c r="SG37" s="205"/>
      <c r="SH37" s="205"/>
      <c r="SI37" s="205"/>
      <c r="SJ37" s="205"/>
      <c r="SK37" s="205"/>
      <c r="SL37" s="205"/>
      <c r="SM37" s="205"/>
      <c r="SN37" s="205"/>
      <c r="SO37" s="205"/>
      <c r="SP37" s="205"/>
      <c r="SQ37" s="205"/>
      <c r="SR37" s="205"/>
      <c r="SS37" s="205"/>
      <c r="ST37" s="205"/>
      <c r="SU37" s="205"/>
      <c r="SV37" s="205"/>
      <c r="SW37" s="205"/>
      <c r="SX37" s="205"/>
      <c r="SY37" s="205"/>
      <c r="SZ37" s="205"/>
      <c r="TA37" s="205"/>
      <c r="TB37" s="205"/>
      <c r="TC37" s="205"/>
      <c r="TD37" s="205"/>
      <c r="TE37" s="205"/>
      <c r="TF37" s="205"/>
      <c r="TG37" s="205"/>
      <c r="TH37" s="205"/>
      <c r="TI37" s="205"/>
      <c r="TJ37" s="205"/>
      <c r="TK37" s="205"/>
      <c r="TL37" s="205"/>
      <c r="TM37" s="205"/>
      <c r="TN37" s="205"/>
      <c r="TO37" s="205"/>
      <c r="TP37" s="205"/>
      <c r="TQ37" s="205"/>
      <c r="TR37" s="205"/>
      <c r="TS37" s="205"/>
      <c r="TT37" s="205"/>
      <c r="TU37" s="205"/>
      <c r="TV37" s="205"/>
      <c r="TW37" s="205"/>
      <c r="TX37" s="205"/>
      <c r="TY37" s="205"/>
      <c r="TZ37" s="205"/>
      <c r="UA37" s="205"/>
      <c r="UB37" s="205"/>
      <c r="UC37" s="205"/>
      <c r="UD37" s="205"/>
      <c r="UE37" s="205"/>
      <c r="UF37" s="205"/>
      <c r="UG37" s="205"/>
      <c r="UH37" s="205"/>
      <c r="UI37" s="205"/>
      <c r="UJ37" s="205"/>
      <c r="UK37" s="205"/>
      <c r="UL37" s="205"/>
      <c r="UM37" s="205"/>
      <c r="UN37" s="205"/>
      <c r="UO37" s="205"/>
      <c r="UP37" s="205"/>
      <c r="UQ37" s="205"/>
      <c r="UR37" s="205"/>
      <c r="US37" s="205"/>
      <c r="UT37" s="205"/>
      <c r="UU37" s="205"/>
      <c r="UV37" s="205"/>
      <c r="UW37" s="205"/>
      <c r="UX37" s="205"/>
      <c r="UY37" s="205"/>
      <c r="UZ37" s="205"/>
      <c r="VA37" s="205"/>
      <c r="VB37" s="205"/>
      <c r="VC37" s="205"/>
      <c r="VD37" s="205"/>
      <c r="VE37" s="205"/>
      <c r="VF37" s="205"/>
      <c r="VG37" s="205"/>
      <c r="VH37" s="205"/>
      <c r="VI37" s="205"/>
      <c r="VJ37" s="205"/>
      <c r="VK37" s="205"/>
      <c r="VL37" s="205"/>
      <c r="VM37" s="205"/>
      <c r="VN37" s="205"/>
      <c r="VO37" s="205"/>
      <c r="VP37" s="205"/>
      <c r="VQ37" s="205"/>
      <c r="VR37" s="205"/>
      <c r="VS37" s="205"/>
      <c r="VT37" s="205"/>
      <c r="VU37" s="205"/>
      <c r="VV37" s="205"/>
      <c r="VW37" s="205"/>
      <c r="VX37" s="205"/>
      <c r="VY37" s="205"/>
      <c r="VZ37" s="205"/>
      <c r="WA37" s="205"/>
      <c r="WB37" s="205"/>
      <c r="WC37" s="205"/>
      <c r="WD37" s="205"/>
      <c r="WE37" s="205"/>
      <c r="WF37" s="205"/>
      <c r="WG37" s="205"/>
      <c r="WH37" s="205"/>
      <c r="WI37" s="205"/>
      <c r="WJ37" s="205"/>
      <c r="WK37" s="205"/>
      <c r="WL37" s="205"/>
      <c r="WM37" s="205"/>
      <c r="WN37" s="205"/>
      <c r="WO37" s="205"/>
      <c r="WP37" s="205"/>
      <c r="WQ37" s="205"/>
      <c r="WR37" s="205"/>
      <c r="WS37" s="205"/>
      <c r="WT37" s="205"/>
      <c r="WU37" s="205"/>
      <c r="WV37" s="205"/>
      <c r="WW37" s="205"/>
      <c r="WX37" s="205"/>
      <c r="WY37" s="205"/>
      <c r="WZ37" s="205"/>
      <c r="XA37" s="205"/>
      <c r="XB37" s="205"/>
      <c r="XC37" s="205"/>
      <c r="XD37" s="205"/>
      <c r="XE37" s="205"/>
      <c r="XF37" s="205"/>
      <c r="XG37" s="205"/>
      <c r="XH37" s="205"/>
      <c r="XI37" s="205"/>
      <c r="XJ37" s="205"/>
      <c r="XK37" s="205"/>
      <c r="XL37" s="205"/>
      <c r="XM37" s="205"/>
      <c r="XN37" s="205"/>
      <c r="XO37" s="205"/>
      <c r="XP37" s="205"/>
      <c r="XQ37" s="205"/>
      <c r="XR37" s="205"/>
      <c r="XS37" s="205"/>
      <c r="XT37" s="205"/>
      <c r="XU37" s="205"/>
      <c r="XV37" s="205"/>
      <c r="XW37" s="205"/>
      <c r="XX37" s="205"/>
      <c r="XY37" s="205"/>
      <c r="XZ37" s="205"/>
      <c r="YA37" s="205"/>
      <c r="YB37" s="205"/>
      <c r="YC37" s="205"/>
      <c r="YD37" s="205"/>
      <c r="YE37" s="205"/>
      <c r="YF37" s="205"/>
      <c r="YG37" s="205"/>
      <c r="YH37" s="205"/>
      <c r="YI37" s="205"/>
      <c r="YJ37" s="205"/>
      <c r="YK37" s="205"/>
      <c r="YL37" s="205"/>
      <c r="YM37" s="205"/>
      <c r="YN37" s="205"/>
      <c r="YO37" s="205"/>
      <c r="YP37" s="205"/>
      <c r="YQ37" s="205"/>
      <c r="YR37" s="205"/>
      <c r="YS37" s="205"/>
      <c r="YT37" s="205"/>
      <c r="YU37" s="205"/>
      <c r="YV37" s="205"/>
      <c r="YW37" s="205"/>
      <c r="YX37" s="205"/>
      <c r="YY37" s="205"/>
      <c r="YZ37" s="205"/>
      <c r="ZA37" s="205"/>
      <c r="ZB37" s="205"/>
      <c r="ZC37" s="205"/>
      <c r="ZD37" s="205"/>
      <c r="ZE37" s="205"/>
      <c r="ZF37" s="205"/>
      <c r="ZG37" s="205"/>
      <c r="ZH37" s="205"/>
      <c r="ZI37" s="205"/>
      <c r="ZJ37" s="205"/>
      <c r="ZK37" s="205"/>
      <c r="ZL37" s="205"/>
      <c r="ZM37" s="205"/>
      <c r="ZN37" s="205"/>
      <c r="ZO37" s="205"/>
      <c r="ZP37" s="205"/>
      <c r="ZQ37" s="205"/>
      <c r="ZR37" s="205"/>
      <c r="ZS37" s="205"/>
      <c r="ZT37" s="205"/>
      <c r="ZU37" s="205"/>
      <c r="ZV37" s="205"/>
      <c r="ZW37" s="205"/>
      <c r="ZX37" s="205"/>
      <c r="ZY37" s="205"/>
      <c r="ZZ37" s="205"/>
      <c r="AAA37" s="205"/>
      <c r="AAB37" s="205"/>
      <c r="AAC37" s="205"/>
      <c r="AAD37" s="205"/>
      <c r="AAE37" s="205"/>
      <c r="AAF37" s="205"/>
      <c r="AAG37" s="205"/>
      <c r="AAH37" s="205"/>
      <c r="AAI37" s="205"/>
      <c r="AAJ37" s="205"/>
      <c r="AAK37" s="205"/>
      <c r="AAL37" s="205"/>
      <c r="AAM37" s="205"/>
      <c r="AAN37" s="205"/>
      <c r="AAO37" s="205"/>
      <c r="AAP37" s="205"/>
      <c r="AAQ37" s="205"/>
      <c r="AAR37" s="205"/>
      <c r="AAS37" s="205"/>
      <c r="AAT37" s="205"/>
      <c r="AAU37" s="205"/>
      <c r="AAV37" s="205"/>
      <c r="AAW37" s="205"/>
      <c r="AAX37" s="205"/>
      <c r="AAY37" s="205"/>
      <c r="AAZ37" s="205"/>
      <c r="ABA37" s="205"/>
      <c r="ABB37" s="205"/>
      <c r="ABC37" s="205"/>
      <c r="ABD37" s="205"/>
      <c r="ABE37" s="205"/>
      <c r="ABF37" s="205"/>
      <c r="ABG37" s="205"/>
      <c r="ABH37" s="205"/>
      <c r="ABI37" s="205"/>
      <c r="ABJ37" s="205"/>
      <c r="ABK37" s="205"/>
      <c r="ABL37" s="205"/>
      <c r="ABM37" s="205"/>
      <c r="ABN37" s="205"/>
      <c r="ABO37" s="205"/>
      <c r="ABP37" s="205"/>
      <c r="ABQ37" s="205"/>
      <c r="ABR37" s="205"/>
      <c r="ABS37" s="205"/>
      <c r="ABT37" s="205"/>
      <c r="ABU37" s="205"/>
      <c r="ABV37" s="205"/>
      <c r="ABW37" s="205"/>
      <c r="ABX37" s="205"/>
      <c r="ABY37" s="205"/>
      <c r="ABZ37" s="205"/>
      <c r="ACA37" s="205"/>
      <c r="ACB37" s="205"/>
      <c r="ACC37" s="205"/>
      <c r="ACD37" s="205"/>
      <c r="ACE37" s="205"/>
      <c r="ACF37" s="205"/>
      <c r="ACG37" s="205"/>
      <c r="ACH37" s="205"/>
      <c r="ACI37" s="205"/>
      <c r="ACJ37" s="205"/>
      <c r="ACK37" s="205"/>
      <c r="ACL37" s="205"/>
      <c r="ACM37" s="205"/>
      <c r="ACN37" s="205"/>
      <c r="ACO37" s="205"/>
      <c r="ACP37" s="205"/>
    </row>
    <row r="38" spans="1:770" s="248" customFormat="1">
      <c r="A38" s="292" t="e">
        <f>+#REF!+1</f>
        <v>#REF!</v>
      </c>
      <c r="B38" s="253" t="s">
        <v>621</v>
      </c>
      <c r="C38" s="367">
        <v>12275050322713</v>
      </c>
      <c r="D38" s="375">
        <v>12275050322713</v>
      </c>
      <c r="E38" s="310" t="s">
        <v>621</v>
      </c>
      <c r="F38" s="244" t="str">
        <f>VLOOKUP(B38,distribucion!B$9:FK$200,2,0)</f>
        <v>Operario</v>
      </c>
      <c r="G38" s="244">
        <f>ROUND((VLOOKUP($B38,'Nomina Proquima'!$B$4:$AB$145,4,0)),2)</f>
        <v>30</v>
      </c>
      <c r="H38" s="245">
        <f>ROUND((VLOOKUP($B38,'Nomina Proquima'!$B$4:$AB$145,6,0)),2)</f>
        <v>3166.38</v>
      </c>
      <c r="I38" s="245">
        <f>ROUND((VLOOKUP($B38,'Nomina Proquima'!$B$4:$AB$145,7,0)),2)</f>
        <v>2500</v>
      </c>
      <c r="J38" s="245">
        <f>ROUND((VLOOKUP($B38,'Nomina Proquima'!$B$4:$AB$145,9,0)),2)</f>
        <v>2</v>
      </c>
      <c r="K38" s="245">
        <f>ROUND((VLOOKUP($B38,'Nomina Proquima'!$B$4:$AB$145,10,0)),2)</f>
        <v>39.58</v>
      </c>
      <c r="L38" s="245">
        <f>ROUND((VLOOKUP($B38,'Nomina Proquima'!$B$4:$AB$145,11,0)),2)</f>
        <v>0</v>
      </c>
      <c r="M38" s="245">
        <f>ROUND((VLOOKUP($B38,'Nomina Proquima'!$B$4:$AB$145,12,0)),2)</f>
        <v>0</v>
      </c>
      <c r="N38" s="245">
        <f>ROUND((VLOOKUP($B38,'Nomina Proquima'!$B$4:$AB$145,13,0)),2)</f>
        <v>0</v>
      </c>
      <c r="O38" s="245">
        <f>ROUND((VLOOKUP($B38,'Nomina Proquima'!$B$4:$AB$145,14,0)),2)</f>
        <v>5705.96</v>
      </c>
      <c r="P38" s="245">
        <f>ROUND((VLOOKUP($B38,'Nomina Proquima'!$B$4:$AB$145,15,0)),2)</f>
        <v>154.85</v>
      </c>
      <c r="Q38" s="245">
        <f>ROUND((VLOOKUP($B38,'Nomina Proquima'!$B$4:$AB$145,16,0)),2)</f>
        <v>128.16999999999999</v>
      </c>
      <c r="R38" s="245">
        <f>ROUND((VLOOKUP($B38,'Nomina Proquima'!$B$4:$AB$145,17,0)),2)</f>
        <v>0</v>
      </c>
      <c r="S38" s="245">
        <f>ROUND((VLOOKUP($B38,'Nomina Proquima'!$B$4:$AB$145,18,0)),2)</f>
        <v>0</v>
      </c>
      <c r="T38" s="245">
        <f>ROUND((VLOOKUP($B38,'Nomina Proquima'!$B$4:$AB$145,19,0)),2)</f>
        <v>0</v>
      </c>
      <c r="U38" s="245">
        <f>ROUND((VLOOKUP($B38,'Nomina Proquima'!$B$4:$AB$145,20,0)),2)</f>
        <v>0</v>
      </c>
      <c r="V38" s="245">
        <f>ROUND((VLOOKUP($B38,'Nomina Proquima'!$B$4:$AB$145,21,0)),2)</f>
        <v>694.75</v>
      </c>
      <c r="W38" s="245">
        <f>ROUND((VLOOKUP($B38,'Nomina Proquima'!$B$4:$AB$145,22,0)),2)</f>
        <v>50</v>
      </c>
      <c r="X38" s="245">
        <f>ROUND((VLOOKUP($B38,'Nomina Proquima'!$B$4:$AB$145,23,0)),2)</f>
        <v>1027.77</v>
      </c>
      <c r="Y38" s="234">
        <f>ROUND((VLOOKUP($B38,'Nomina Proquima'!$B$4:$AB$147,24,0)),2)</f>
        <v>4678.1899999999996</v>
      </c>
      <c r="Z38" s="255">
        <f>VLOOKUP(B38,'Nomina Proquima'!$B$4:$AA$148,25,0)</f>
        <v>1277.97</v>
      </c>
      <c r="AA38" s="279">
        <f>ROUND((VLOOKUP($B38,'Nomina Proquima'!$B$4:$AB$145,26,0)),2)</f>
        <v>3400.22</v>
      </c>
      <c r="AB38" s="246"/>
      <c r="AC38" s="247">
        <f>+IFERROR(VLOOKUP(B38,'Nomina Proquima'!B:Z,25,0),"")</f>
        <v>1277.97</v>
      </c>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c r="IY38" s="3"/>
      <c r="IZ38" s="3"/>
      <c r="JA38" s="3"/>
      <c r="JB38" s="3"/>
      <c r="JC38" s="3"/>
      <c r="JD38" s="3"/>
      <c r="JE38" s="3"/>
      <c r="JF38" s="3"/>
      <c r="JG38" s="3"/>
      <c r="JH38" s="3"/>
      <c r="JI38" s="3"/>
      <c r="JJ38" s="3"/>
      <c r="JK38" s="3"/>
      <c r="JL38" s="3"/>
      <c r="JM38" s="3"/>
      <c r="JN38" s="3"/>
      <c r="JO38" s="3"/>
      <c r="JP38" s="3"/>
      <c r="JQ38" s="3"/>
      <c r="JR38" s="3"/>
      <c r="JS38" s="3"/>
      <c r="JT38" s="3"/>
      <c r="JU38" s="3"/>
      <c r="JV38" s="3"/>
      <c r="JW38" s="3"/>
      <c r="JX38" s="3"/>
      <c r="JY38" s="3"/>
      <c r="JZ38" s="3"/>
      <c r="KA38" s="3"/>
      <c r="KB38" s="3"/>
      <c r="KC38" s="3"/>
      <c r="KD38" s="3"/>
      <c r="KE38" s="3"/>
      <c r="KF38" s="3"/>
      <c r="KG38" s="3"/>
      <c r="KH38" s="3"/>
      <c r="KI38" s="3"/>
      <c r="KJ38" s="3"/>
      <c r="KK38" s="3"/>
      <c r="KL38" s="3"/>
      <c r="KM38" s="3"/>
      <c r="KN38" s="3"/>
      <c r="KO38" s="3"/>
      <c r="KP38" s="3"/>
      <c r="KQ38" s="3"/>
      <c r="KR38" s="3"/>
      <c r="KS38" s="3"/>
      <c r="KT38" s="3"/>
      <c r="KU38" s="3"/>
      <c r="KV38" s="3"/>
      <c r="KW38" s="3"/>
      <c r="KX38" s="3"/>
      <c r="KY38" s="3"/>
      <c r="KZ38" s="3"/>
      <c r="LA38" s="3"/>
      <c r="LB38" s="3"/>
      <c r="LC38" s="3"/>
      <c r="LD38" s="3"/>
      <c r="LE38" s="3"/>
      <c r="LF38" s="3"/>
      <c r="LG38" s="3"/>
      <c r="LH38" s="3"/>
      <c r="LI38" s="3"/>
      <c r="LJ38" s="3"/>
      <c r="LK38" s="3"/>
      <c r="LL38" s="3"/>
      <c r="LM38" s="3"/>
      <c r="LN38" s="3"/>
      <c r="LO38" s="3"/>
      <c r="LP38" s="3"/>
      <c r="LQ38" s="3"/>
      <c r="LR38" s="3"/>
      <c r="LS38" s="3"/>
      <c r="LT38" s="3"/>
      <c r="LU38" s="3"/>
      <c r="LV38" s="3"/>
      <c r="LW38" s="3"/>
      <c r="LX38" s="3"/>
      <c r="LY38" s="3"/>
      <c r="LZ38" s="3"/>
      <c r="MA38" s="3"/>
      <c r="MB38" s="3"/>
      <c r="MC38" s="3"/>
      <c r="MD38" s="3"/>
      <c r="ME38" s="3"/>
      <c r="MF38" s="3"/>
      <c r="MG38" s="3"/>
      <c r="MH38" s="3"/>
      <c r="MI38" s="3"/>
      <c r="MJ38" s="3"/>
      <c r="MK38" s="3"/>
      <c r="ML38" s="3"/>
      <c r="MM38" s="3"/>
      <c r="MN38" s="3"/>
      <c r="MO38" s="3"/>
      <c r="MP38" s="3"/>
      <c r="MQ38" s="3"/>
      <c r="MR38" s="3"/>
      <c r="MS38" s="3"/>
      <c r="MT38" s="3"/>
      <c r="MU38" s="3"/>
      <c r="MV38" s="3"/>
      <c r="MW38" s="3"/>
      <c r="MX38" s="3"/>
      <c r="MY38" s="3"/>
      <c r="MZ38" s="3"/>
      <c r="NA38" s="3"/>
      <c r="NB38" s="3"/>
      <c r="NC38" s="3"/>
      <c r="ND38" s="3"/>
      <c r="NE38" s="3"/>
      <c r="NF38" s="3"/>
      <c r="NG38" s="3"/>
      <c r="NH38" s="3"/>
      <c r="NI38" s="3"/>
      <c r="NJ38" s="3"/>
      <c r="NK38" s="3"/>
      <c r="NL38" s="3"/>
      <c r="NM38" s="3"/>
      <c r="NN38" s="3"/>
      <c r="NO38" s="3"/>
      <c r="NP38" s="3"/>
      <c r="NQ38" s="3"/>
      <c r="NR38" s="3"/>
      <c r="NS38" s="3"/>
      <c r="NT38" s="3"/>
      <c r="NU38" s="3"/>
      <c r="NV38" s="3"/>
      <c r="NW38" s="3"/>
      <c r="NX38" s="3"/>
      <c r="NY38" s="3"/>
      <c r="NZ38" s="3"/>
      <c r="OA38" s="3"/>
      <c r="OB38" s="3"/>
      <c r="OC38" s="3"/>
      <c r="OD38" s="3"/>
      <c r="OE38" s="3"/>
      <c r="OF38" s="3"/>
      <c r="OG38" s="3"/>
      <c r="OH38" s="3"/>
      <c r="OI38" s="3"/>
      <c r="OJ38" s="3"/>
      <c r="OK38" s="3"/>
      <c r="OL38" s="3"/>
      <c r="OM38" s="3"/>
      <c r="ON38" s="3"/>
      <c r="OO38" s="3"/>
      <c r="OP38" s="3"/>
      <c r="OQ38" s="3"/>
      <c r="OR38" s="3"/>
      <c r="OS38" s="3"/>
      <c r="OT38" s="3"/>
      <c r="OU38" s="3"/>
      <c r="OV38" s="3"/>
      <c r="OW38" s="3"/>
      <c r="OX38" s="3"/>
      <c r="OY38" s="3"/>
      <c r="OZ38" s="3"/>
      <c r="PA38" s="3"/>
      <c r="PB38" s="3"/>
      <c r="PC38" s="3"/>
      <c r="PD38" s="3"/>
      <c r="PE38" s="3"/>
      <c r="PF38" s="3"/>
      <c r="PG38" s="3"/>
      <c r="PH38" s="3"/>
      <c r="PI38" s="3"/>
      <c r="PJ38" s="3"/>
      <c r="PK38" s="3"/>
      <c r="PL38" s="3"/>
      <c r="PM38" s="3"/>
      <c r="PN38" s="3"/>
      <c r="PO38" s="3"/>
      <c r="PP38" s="3"/>
      <c r="PQ38" s="3"/>
      <c r="PR38" s="3"/>
      <c r="PS38" s="3"/>
      <c r="PT38" s="3"/>
      <c r="PU38" s="3"/>
      <c r="PV38" s="3"/>
      <c r="PW38" s="3"/>
      <c r="PX38" s="3"/>
      <c r="PY38" s="3"/>
      <c r="PZ38" s="3"/>
      <c r="QA38" s="3"/>
      <c r="QB38" s="3"/>
      <c r="QC38" s="3"/>
      <c r="QD38" s="3"/>
      <c r="QE38" s="3"/>
      <c r="QF38" s="3"/>
      <c r="QG38" s="3"/>
      <c r="QH38" s="3"/>
      <c r="QI38" s="3"/>
      <c r="QJ38" s="3"/>
      <c r="QK38" s="3"/>
      <c r="QL38" s="3"/>
      <c r="QM38" s="3"/>
      <c r="QN38" s="3"/>
      <c r="QO38" s="3"/>
      <c r="QP38" s="3"/>
      <c r="QQ38" s="3"/>
      <c r="QR38" s="3"/>
      <c r="QS38" s="3"/>
      <c r="QT38" s="3"/>
      <c r="QU38" s="3"/>
      <c r="QV38" s="3"/>
      <c r="QW38" s="3"/>
      <c r="QX38" s="3"/>
      <c r="QY38" s="3"/>
      <c r="QZ38" s="3"/>
      <c r="RA38" s="3"/>
      <c r="RB38" s="3"/>
      <c r="RC38" s="3"/>
      <c r="RD38" s="3"/>
      <c r="RE38" s="3"/>
      <c r="RF38" s="3"/>
      <c r="RG38" s="3"/>
      <c r="RH38" s="3"/>
      <c r="RI38" s="3"/>
      <c r="RJ38" s="3"/>
      <c r="RK38" s="3"/>
      <c r="RL38" s="3"/>
      <c r="RM38" s="3"/>
      <c r="RN38" s="3"/>
      <c r="RO38" s="3"/>
      <c r="RP38" s="3"/>
      <c r="RQ38" s="3"/>
      <c r="RR38" s="3"/>
      <c r="RS38" s="3"/>
      <c r="RT38" s="3"/>
      <c r="RU38" s="3"/>
      <c r="RV38" s="3"/>
      <c r="RW38" s="3"/>
      <c r="RX38" s="3"/>
      <c r="RY38" s="3"/>
      <c r="RZ38" s="3"/>
      <c r="SA38" s="3"/>
      <c r="SB38" s="3"/>
      <c r="SC38" s="3"/>
      <c r="SD38" s="3"/>
      <c r="SE38" s="3"/>
      <c r="SF38" s="3"/>
      <c r="SG38" s="3"/>
      <c r="SH38" s="3"/>
      <c r="SI38" s="3"/>
      <c r="SJ38" s="3"/>
      <c r="SK38" s="3"/>
      <c r="SL38" s="3"/>
      <c r="SM38" s="3"/>
      <c r="SN38" s="3"/>
      <c r="SO38" s="3"/>
      <c r="SP38" s="3"/>
      <c r="SQ38" s="3"/>
      <c r="SR38" s="3"/>
      <c r="SS38" s="3"/>
      <c r="ST38" s="3"/>
      <c r="SU38" s="3"/>
      <c r="SV38" s="3"/>
      <c r="SW38" s="3"/>
      <c r="SX38" s="3"/>
      <c r="SY38" s="3"/>
      <c r="SZ38" s="3"/>
      <c r="TA38" s="3"/>
      <c r="TB38" s="3"/>
      <c r="TC38" s="3"/>
      <c r="TD38" s="3"/>
      <c r="TE38" s="3"/>
      <c r="TF38" s="3"/>
      <c r="TG38" s="3"/>
      <c r="TH38" s="3"/>
      <c r="TI38" s="3"/>
      <c r="TJ38" s="3"/>
      <c r="TK38" s="3"/>
      <c r="TL38" s="3"/>
      <c r="TM38" s="3"/>
      <c r="TN38" s="3"/>
      <c r="TO38" s="3"/>
      <c r="TP38" s="3"/>
      <c r="TQ38" s="3"/>
      <c r="TR38" s="3"/>
      <c r="TS38" s="3"/>
      <c r="TT38" s="3"/>
      <c r="TU38" s="3"/>
      <c r="TV38" s="3"/>
      <c r="TW38" s="3"/>
      <c r="TX38" s="3"/>
      <c r="TY38" s="3"/>
      <c r="TZ38" s="3"/>
      <c r="UA38" s="3"/>
      <c r="UB38" s="3"/>
      <c r="UC38" s="3"/>
      <c r="UD38" s="3"/>
      <c r="UE38" s="3"/>
      <c r="UF38" s="3"/>
      <c r="UG38" s="3"/>
      <c r="UH38" s="3"/>
      <c r="UI38" s="3"/>
      <c r="UJ38" s="3"/>
      <c r="UK38" s="3"/>
      <c r="UL38" s="3"/>
      <c r="UM38" s="3"/>
      <c r="UN38" s="3"/>
      <c r="UO38" s="3"/>
      <c r="UP38" s="3"/>
      <c r="UQ38" s="3"/>
      <c r="UR38" s="3"/>
      <c r="US38" s="3"/>
      <c r="UT38" s="3"/>
      <c r="UU38" s="3"/>
      <c r="UV38" s="3"/>
      <c r="UW38" s="3"/>
      <c r="UX38" s="3"/>
      <c r="UY38" s="3"/>
      <c r="UZ38" s="3"/>
      <c r="VA38" s="3"/>
      <c r="VB38" s="3"/>
      <c r="VC38" s="3"/>
      <c r="VD38" s="3"/>
      <c r="VE38" s="3"/>
      <c r="VF38" s="3"/>
      <c r="VG38" s="3"/>
      <c r="VH38" s="3"/>
      <c r="VI38" s="3"/>
      <c r="VJ38" s="3"/>
      <c r="VK38" s="3"/>
      <c r="VL38" s="3"/>
      <c r="VM38" s="3"/>
      <c r="VN38" s="3"/>
      <c r="VO38" s="3"/>
      <c r="VP38" s="3"/>
      <c r="VQ38" s="3"/>
      <c r="VR38" s="3"/>
      <c r="VS38" s="3"/>
      <c r="VT38" s="3"/>
      <c r="VU38" s="3"/>
      <c r="VV38" s="3"/>
      <c r="VW38" s="3"/>
      <c r="VX38" s="3"/>
      <c r="VY38" s="3"/>
      <c r="VZ38" s="3"/>
      <c r="WA38" s="3"/>
      <c r="WB38" s="3"/>
      <c r="WC38" s="3"/>
      <c r="WD38" s="3"/>
      <c r="WE38" s="3"/>
      <c r="WF38" s="3"/>
      <c r="WG38" s="3"/>
      <c r="WH38" s="3"/>
      <c r="WI38" s="3"/>
      <c r="WJ38" s="3"/>
      <c r="WK38" s="3"/>
      <c r="WL38" s="3"/>
      <c r="WM38" s="3"/>
      <c r="WN38" s="3"/>
      <c r="WO38" s="3"/>
      <c r="WP38" s="3"/>
      <c r="WQ38" s="3"/>
      <c r="WR38" s="3"/>
      <c r="WS38" s="3"/>
      <c r="WT38" s="3"/>
      <c r="WU38" s="3"/>
      <c r="WV38" s="3"/>
      <c r="WW38" s="3"/>
      <c r="WX38" s="3"/>
      <c r="WY38" s="3"/>
      <c r="WZ38" s="3"/>
      <c r="XA38" s="3"/>
      <c r="XB38" s="3"/>
      <c r="XC38" s="3"/>
      <c r="XD38" s="3"/>
      <c r="XE38" s="3"/>
      <c r="XF38" s="3"/>
      <c r="XG38" s="3"/>
      <c r="XH38" s="3"/>
      <c r="XI38" s="3"/>
      <c r="XJ38" s="3"/>
      <c r="XK38" s="3"/>
      <c r="XL38" s="3"/>
      <c r="XM38" s="3"/>
      <c r="XN38" s="3"/>
      <c r="XO38" s="3"/>
      <c r="XP38" s="3"/>
      <c r="XQ38" s="3"/>
      <c r="XR38" s="3"/>
      <c r="XS38" s="3"/>
      <c r="XT38" s="3"/>
      <c r="XU38" s="3"/>
      <c r="XV38" s="3"/>
      <c r="XW38" s="3"/>
      <c r="XX38" s="3"/>
      <c r="XY38" s="3"/>
      <c r="XZ38" s="3"/>
      <c r="YA38" s="3"/>
      <c r="YB38" s="3"/>
      <c r="YC38" s="3"/>
      <c r="YD38" s="3"/>
      <c r="YE38" s="3"/>
      <c r="YF38" s="3"/>
      <c r="YG38" s="3"/>
      <c r="YH38" s="3"/>
      <c r="YI38" s="3"/>
      <c r="YJ38" s="3"/>
      <c r="YK38" s="3"/>
      <c r="YL38" s="3"/>
      <c r="YM38" s="3"/>
      <c r="YN38" s="3"/>
      <c r="YO38" s="3"/>
      <c r="YP38" s="3"/>
      <c r="YQ38" s="3"/>
      <c r="YR38" s="3"/>
      <c r="YS38" s="3"/>
      <c r="YT38" s="3"/>
      <c r="YU38" s="3"/>
      <c r="YV38" s="3"/>
      <c r="YW38" s="3"/>
      <c r="YX38" s="3"/>
      <c r="YY38" s="3"/>
      <c r="YZ38" s="3"/>
      <c r="ZA38" s="3"/>
      <c r="ZB38" s="3"/>
      <c r="ZC38" s="3"/>
      <c r="ZD38" s="3"/>
      <c r="ZE38" s="3"/>
      <c r="ZF38" s="3"/>
      <c r="ZG38" s="3"/>
      <c r="ZH38" s="3"/>
      <c r="ZI38" s="3"/>
      <c r="ZJ38" s="3"/>
      <c r="ZK38" s="3"/>
      <c r="ZL38" s="3"/>
      <c r="ZM38" s="3"/>
      <c r="ZN38" s="3"/>
      <c r="ZO38" s="3"/>
      <c r="ZP38" s="3"/>
      <c r="ZQ38" s="3"/>
      <c r="ZR38" s="3"/>
      <c r="ZS38" s="3"/>
      <c r="ZT38" s="3"/>
      <c r="ZU38" s="3"/>
      <c r="ZV38" s="3"/>
      <c r="ZW38" s="3"/>
      <c r="ZX38" s="3"/>
      <c r="ZY38" s="3"/>
      <c r="ZZ38" s="3"/>
      <c r="AAA38" s="3"/>
      <c r="AAB38" s="3"/>
      <c r="AAC38" s="3"/>
      <c r="AAD38" s="3"/>
      <c r="AAE38" s="3"/>
      <c r="AAF38" s="3"/>
      <c r="AAG38" s="3"/>
      <c r="AAH38" s="3"/>
      <c r="AAI38" s="3"/>
      <c r="AAJ38" s="3"/>
      <c r="AAK38" s="3"/>
      <c r="AAL38" s="3"/>
      <c r="AAM38" s="3"/>
      <c r="AAN38" s="3"/>
      <c r="AAO38" s="3"/>
      <c r="AAP38" s="3"/>
      <c r="AAQ38" s="3"/>
      <c r="AAR38" s="3"/>
      <c r="AAS38" s="3"/>
      <c r="AAT38" s="3"/>
      <c r="AAU38" s="3"/>
      <c r="AAV38" s="3"/>
      <c r="AAW38" s="3"/>
      <c r="AAX38" s="3"/>
      <c r="AAY38" s="3"/>
      <c r="AAZ38" s="3"/>
      <c r="ABA38" s="3"/>
      <c r="ABB38" s="3"/>
      <c r="ABC38" s="3"/>
      <c r="ABD38" s="3"/>
      <c r="ABE38" s="3"/>
      <c r="ABF38" s="3"/>
      <c r="ABG38" s="3"/>
      <c r="ABH38" s="3"/>
      <c r="ABI38" s="3"/>
      <c r="ABJ38" s="3"/>
      <c r="ABK38" s="3"/>
      <c r="ABL38" s="3"/>
      <c r="ABM38" s="3"/>
      <c r="ABN38" s="3"/>
      <c r="ABO38" s="3"/>
      <c r="ABP38" s="3"/>
      <c r="ABQ38" s="3"/>
      <c r="ABR38" s="3"/>
      <c r="ABS38" s="3"/>
      <c r="ABT38" s="3"/>
      <c r="ABU38" s="3"/>
      <c r="ABV38" s="3"/>
      <c r="ABW38" s="3"/>
      <c r="ABX38" s="3"/>
      <c r="ABY38" s="3"/>
      <c r="ABZ38" s="3"/>
      <c r="ACA38" s="3"/>
      <c r="ACB38" s="3"/>
      <c r="ACC38" s="3"/>
      <c r="ACD38" s="3"/>
      <c r="ACE38" s="3"/>
      <c r="ACF38" s="3"/>
      <c r="ACG38" s="3"/>
      <c r="ACH38" s="3"/>
      <c r="ACI38" s="3"/>
      <c r="ACJ38" s="3"/>
      <c r="ACK38" s="3"/>
      <c r="ACL38" s="3"/>
      <c r="ACM38" s="3"/>
      <c r="ACN38" s="3"/>
      <c r="ACO38" s="3"/>
      <c r="ACP38" s="3"/>
    </row>
    <row r="39" spans="1:770" s="248" customFormat="1">
      <c r="A39" s="292" t="e">
        <f>+#REF!+1</f>
        <v>#REF!</v>
      </c>
      <c r="B39" s="419" t="str">
        <f>+'Nomina Proquima'!B51</f>
        <v>Perez Menendez Mayra Alejandra</v>
      </c>
      <c r="C39" s="367">
        <v>16265050355699</v>
      </c>
      <c r="D39" s="375">
        <v>16265050355699</v>
      </c>
      <c r="E39" s="419" t="str">
        <f>+'Nomina Proquima'!B51</f>
        <v>Perez Menendez Mayra Alejandra</v>
      </c>
      <c r="F39" s="244" t="str">
        <f>VLOOKUP(B39,distribucion!B$9:FK$200,2,0)</f>
        <v>Asistente de Recursos Humanos</v>
      </c>
      <c r="G39" s="244">
        <f>ROUND((VLOOKUP($B39,'Nomina Proquima'!$B$4:$AB$145,4,0)),2)</f>
        <v>30</v>
      </c>
      <c r="H39" s="245">
        <f>ROUND((VLOOKUP($B39,'Nomina Proquima'!$B$4:$AB$145,6,0)),2)</f>
        <v>3500</v>
      </c>
      <c r="I39" s="245">
        <f>ROUND((VLOOKUP($B39,'Nomina Proquima'!$B$4:$AB$145,7,0)),2)</f>
        <v>825</v>
      </c>
      <c r="J39" s="245">
        <f>ROUND((VLOOKUP($B39,'Nomina Proquima'!$B$4:$AB$145,9,0)),2)</f>
        <v>0</v>
      </c>
      <c r="K39" s="245">
        <f>ROUND((VLOOKUP($B39,'Nomina Proquima'!$B$4:$AB$145,10,0)),2)</f>
        <v>0</v>
      </c>
      <c r="L39" s="245">
        <f>ROUND((VLOOKUP($B39,'Nomina Proquima'!$B$4:$AB$145,11,0)),2)</f>
        <v>0</v>
      </c>
      <c r="M39" s="245">
        <f>ROUND((VLOOKUP($B39,'Nomina Proquima'!$B$4:$AB$145,12,0)),2)</f>
        <v>0</v>
      </c>
      <c r="N39" s="245">
        <f>ROUND((VLOOKUP($B39,'Nomina Proquima'!$B$4:$AB$145,13,0)),2)</f>
        <v>0</v>
      </c>
      <c r="O39" s="245">
        <f>ROUND((VLOOKUP($B39,'Nomina Proquima'!$B$4:$AB$145,14,0)),2)</f>
        <v>4325</v>
      </c>
      <c r="P39" s="245">
        <f>ROUND((VLOOKUP($B39,'Nomina Proquima'!$B$4:$AB$145,15,0)),2)</f>
        <v>169.05</v>
      </c>
      <c r="Q39" s="245">
        <f>ROUND((VLOOKUP($B39,'Nomina Proquima'!$B$4:$AB$145,16,0)),2)</f>
        <v>7.8</v>
      </c>
      <c r="R39" s="245">
        <f>ROUND((VLOOKUP($B39,'Nomina Proquima'!$B$4:$AB$145,17,0)),2)</f>
        <v>0</v>
      </c>
      <c r="S39" s="245">
        <f>ROUND((VLOOKUP($B39,'Nomina Proquima'!$B$4:$AB$145,18,0)),2)</f>
        <v>0</v>
      </c>
      <c r="T39" s="245">
        <f>ROUND((VLOOKUP($B39,'Nomina Proquima'!$B$4:$AB$145,19,0)),2)</f>
        <v>0</v>
      </c>
      <c r="U39" s="245">
        <f>ROUND((VLOOKUP($B39,'Nomina Proquima'!$B$4:$AB$145,20,0)),2)</f>
        <v>0</v>
      </c>
      <c r="V39" s="245">
        <f>ROUND((VLOOKUP($B39,'Nomina Proquima'!$B$4:$AB$145,21,0)),2)</f>
        <v>18</v>
      </c>
      <c r="W39" s="245">
        <f>ROUND((VLOOKUP($B39,'Nomina Proquima'!$B$4:$AB$145,22,0)),2)</f>
        <v>290</v>
      </c>
      <c r="X39" s="245">
        <f>ROUND((VLOOKUP($B39,'Nomina Proquima'!$B$4:$AB$145,23,0)),2)</f>
        <v>484.85</v>
      </c>
      <c r="Y39" s="234">
        <f>ROUND((VLOOKUP($B39,'Nomina Proquima'!$B$4:$AB$147,24,0)),2)</f>
        <v>3840.15</v>
      </c>
      <c r="Z39" s="399">
        <f>VLOOKUP(B39,'Nomina Proquima'!$B$4:$AA$148,25,0)</f>
        <v>1952.77</v>
      </c>
      <c r="AA39" s="405">
        <f>ROUND((VLOOKUP($B39,'Nomina Proquima'!$B$4:$AB$145,26,0)),2)</f>
        <v>1887.38</v>
      </c>
      <c r="AB39" s="246"/>
      <c r="AC39" s="247">
        <f>+IFERROR(VLOOKUP(B39,'Nomina Proquima'!B:Z,25,0),"")</f>
        <v>1952.77</v>
      </c>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c r="IW39" s="3"/>
      <c r="IX39" s="3"/>
      <c r="IY39" s="3"/>
      <c r="IZ39" s="3"/>
      <c r="JA39" s="3"/>
      <c r="JB39" s="3"/>
      <c r="JC39" s="3"/>
      <c r="JD39" s="3"/>
      <c r="JE39" s="3"/>
      <c r="JF39" s="3"/>
      <c r="JG39" s="3"/>
      <c r="JH39" s="3"/>
      <c r="JI39" s="3"/>
      <c r="JJ39" s="3"/>
      <c r="JK39" s="3"/>
      <c r="JL39" s="3"/>
      <c r="JM39" s="3"/>
      <c r="JN39" s="3"/>
      <c r="JO39" s="3"/>
      <c r="JP39" s="3"/>
      <c r="JQ39" s="3"/>
      <c r="JR39" s="3"/>
      <c r="JS39" s="3"/>
      <c r="JT39" s="3"/>
      <c r="JU39" s="3"/>
      <c r="JV39" s="3"/>
      <c r="JW39" s="3"/>
      <c r="JX39" s="3"/>
      <c r="JY39" s="3"/>
      <c r="JZ39" s="3"/>
      <c r="KA39" s="3"/>
      <c r="KB39" s="3"/>
      <c r="KC39" s="3"/>
      <c r="KD39" s="3"/>
      <c r="KE39" s="3"/>
      <c r="KF39" s="3"/>
      <c r="KG39" s="3"/>
      <c r="KH39" s="3"/>
      <c r="KI39" s="3"/>
      <c r="KJ39" s="3"/>
      <c r="KK39" s="3"/>
      <c r="KL39" s="3"/>
      <c r="KM39" s="3"/>
      <c r="KN39" s="3"/>
      <c r="KO39" s="3"/>
      <c r="KP39" s="3"/>
      <c r="KQ39" s="3"/>
      <c r="KR39" s="3"/>
      <c r="KS39" s="3"/>
      <c r="KT39" s="3"/>
      <c r="KU39" s="3"/>
      <c r="KV39" s="3"/>
      <c r="KW39" s="3"/>
      <c r="KX39" s="3"/>
      <c r="KY39" s="3"/>
      <c r="KZ39" s="3"/>
      <c r="LA39" s="3"/>
      <c r="LB39" s="3"/>
      <c r="LC39" s="3"/>
      <c r="LD39" s="3"/>
      <c r="LE39" s="3"/>
      <c r="LF39" s="3"/>
      <c r="LG39" s="3"/>
      <c r="LH39" s="3"/>
      <c r="LI39" s="3"/>
      <c r="LJ39" s="3"/>
      <c r="LK39" s="3"/>
      <c r="LL39" s="3"/>
      <c r="LM39" s="3"/>
      <c r="LN39" s="3"/>
      <c r="LO39" s="3"/>
      <c r="LP39" s="3"/>
      <c r="LQ39" s="3"/>
      <c r="LR39" s="3"/>
      <c r="LS39" s="3"/>
      <c r="LT39" s="3"/>
      <c r="LU39" s="3"/>
      <c r="LV39" s="3"/>
      <c r="LW39" s="3"/>
      <c r="LX39" s="3"/>
      <c r="LY39" s="3"/>
      <c r="LZ39" s="3"/>
      <c r="MA39" s="3"/>
      <c r="MB39" s="3"/>
      <c r="MC39" s="3"/>
      <c r="MD39" s="3"/>
      <c r="ME39" s="3"/>
      <c r="MF39" s="3"/>
      <c r="MG39" s="3"/>
      <c r="MH39" s="3"/>
      <c r="MI39" s="3"/>
      <c r="MJ39" s="3"/>
      <c r="MK39" s="3"/>
      <c r="ML39" s="3"/>
      <c r="MM39" s="3"/>
      <c r="MN39" s="3"/>
      <c r="MO39" s="3"/>
      <c r="MP39" s="3"/>
      <c r="MQ39" s="3"/>
      <c r="MR39" s="3"/>
      <c r="MS39" s="3"/>
      <c r="MT39" s="3"/>
      <c r="MU39" s="3"/>
      <c r="MV39" s="3"/>
      <c r="MW39" s="3"/>
      <c r="MX39" s="3"/>
      <c r="MY39" s="3"/>
      <c r="MZ39" s="3"/>
      <c r="NA39" s="3"/>
      <c r="NB39" s="3"/>
      <c r="NC39" s="3"/>
      <c r="ND39" s="3"/>
      <c r="NE39" s="3"/>
      <c r="NF39" s="3"/>
      <c r="NG39" s="3"/>
      <c r="NH39" s="3"/>
      <c r="NI39" s="3"/>
      <c r="NJ39" s="3"/>
      <c r="NK39" s="3"/>
      <c r="NL39" s="3"/>
      <c r="NM39" s="3"/>
      <c r="NN39" s="3"/>
      <c r="NO39" s="3"/>
      <c r="NP39" s="3"/>
      <c r="NQ39" s="3"/>
      <c r="NR39" s="3"/>
      <c r="NS39" s="3"/>
      <c r="NT39" s="3"/>
      <c r="NU39" s="3"/>
      <c r="NV39" s="3"/>
      <c r="NW39" s="3"/>
      <c r="NX39" s="3"/>
      <c r="NY39" s="3"/>
      <c r="NZ39" s="3"/>
      <c r="OA39" s="3"/>
      <c r="OB39" s="3"/>
      <c r="OC39" s="3"/>
      <c r="OD39" s="3"/>
      <c r="OE39" s="3"/>
      <c r="OF39" s="3"/>
      <c r="OG39" s="3"/>
      <c r="OH39" s="3"/>
      <c r="OI39" s="3"/>
      <c r="OJ39" s="3"/>
      <c r="OK39" s="3"/>
      <c r="OL39" s="3"/>
      <c r="OM39" s="3"/>
      <c r="ON39" s="3"/>
      <c r="OO39" s="3"/>
      <c r="OP39" s="3"/>
      <c r="OQ39" s="3"/>
      <c r="OR39" s="3"/>
      <c r="OS39" s="3"/>
      <c r="OT39" s="3"/>
      <c r="OU39" s="3"/>
      <c r="OV39" s="3"/>
      <c r="OW39" s="3"/>
      <c r="OX39" s="3"/>
      <c r="OY39" s="3"/>
      <c r="OZ39" s="3"/>
      <c r="PA39" s="3"/>
      <c r="PB39" s="3"/>
      <c r="PC39" s="3"/>
      <c r="PD39" s="3"/>
      <c r="PE39" s="3"/>
      <c r="PF39" s="3"/>
      <c r="PG39" s="3"/>
      <c r="PH39" s="3"/>
      <c r="PI39" s="3"/>
      <c r="PJ39" s="3"/>
      <c r="PK39" s="3"/>
      <c r="PL39" s="3"/>
      <c r="PM39" s="3"/>
      <c r="PN39" s="3"/>
      <c r="PO39" s="3"/>
      <c r="PP39" s="3"/>
      <c r="PQ39" s="3"/>
      <c r="PR39" s="3"/>
      <c r="PS39" s="3"/>
      <c r="PT39" s="3"/>
      <c r="PU39" s="3"/>
      <c r="PV39" s="3"/>
      <c r="PW39" s="3"/>
      <c r="PX39" s="3"/>
      <c r="PY39" s="3"/>
      <c r="PZ39" s="3"/>
      <c r="QA39" s="3"/>
      <c r="QB39" s="3"/>
      <c r="QC39" s="3"/>
      <c r="QD39" s="3"/>
      <c r="QE39" s="3"/>
      <c r="QF39" s="3"/>
      <c r="QG39" s="3"/>
      <c r="QH39" s="3"/>
      <c r="QI39" s="3"/>
      <c r="QJ39" s="3"/>
      <c r="QK39" s="3"/>
      <c r="QL39" s="3"/>
      <c r="QM39" s="3"/>
      <c r="QN39" s="3"/>
      <c r="QO39" s="3"/>
      <c r="QP39" s="3"/>
      <c r="QQ39" s="3"/>
      <c r="QR39" s="3"/>
      <c r="QS39" s="3"/>
      <c r="QT39" s="3"/>
      <c r="QU39" s="3"/>
      <c r="QV39" s="3"/>
      <c r="QW39" s="3"/>
      <c r="QX39" s="3"/>
      <c r="QY39" s="3"/>
      <c r="QZ39" s="3"/>
      <c r="RA39" s="3"/>
      <c r="RB39" s="3"/>
      <c r="RC39" s="3"/>
      <c r="RD39" s="3"/>
      <c r="RE39" s="3"/>
      <c r="RF39" s="3"/>
      <c r="RG39" s="3"/>
      <c r="RH39" s="3"/>
      <c r="RI39" s="3"/>
      <c r="RJ39" s="3"/>
      <c r="RK39" s="3"/>
      <c r="RL39" s="3"/>
      <c r="RM39" s="3"/>
      <c r="RN39" s="3"/>
      <c r="RO39" s="3"/>
      <c r="RP39" s="3"/>
      <c r="RQ39" s="3"/>
      <c r="RR39" s="3"/>
      <c r="RS39" s="3"/>
      <c r="RT39" s="3"/>
      <c r="RU39" s="3"/>
      <c r="RV39" s="3"/>
      <c r="RW39" s="3"/>
      <c r="RX39" s="3"/>
      <c r="RY39" s="3"/>
      <c r="RZ39" s="3"/>
      <c r="SA39" s="3"/>
      <c r="SB39" s="3"/>
      <c r="SC39" s="3"/>
      <c r="SD39" s="3"/>
      <c r="SE39" s="3"/>
      <c r="SF39" s="3"/>
      <c r="SG39" s="3"/>
      <c r="SH39" s="3"/>
      <c r="SI39" s="3"/>
      <c r="SJ39" s="3"/>
      <c r="SK39" s="3"/>
      <c r="SL39" s="3"/>
      <c r="SM39" s="3"/>
      <c r="SN39" s="3"/>
      <c r="SO39" s="3"/>
      <c r="SP39" s="3"/>
      <c r="SQ39" s="3"/>
      <c r="SR39" s="3"/>
      <c r="SS39" s="3"/>
      <c r="ST39" s="3"/>
      <c r="SU39" s="3"/>
      <c r="SV39" s="3"/>
      <c r="SW39" s="3"/>
      <c r="SX39" s="3"/>
      <c r="SY39" s="3"/>
      <c r="SZ39" s="3"/>
      <c r="TA39" s="3"/>
      <c r="TB39" s="3"/>
      <c r="TC39" s="3"/>
      <c r="TD39" s="3"/>
      <c r="TE39" s="3"/>
      <c r="TF39" s="3"/>
      <c r="TG39" s="3"/>
      <c r="TH39" s="3"/>
      <c r="TI39" s="3"/>
      <c r="TJ39" s="3"/>
      <c r="TK39" s="3"/>
      <c r="TL39" s="3"/>
      <c r="TM39" s="3"/>
      <c r="TN39" s="3"/>
      <c r="TO39" s="3"/>
      <c r="TP39" s="3"/>
      <c r="TQ39" s="3"/>
      <c r="TR39" s="3"/>
      <c r="TS39" s="3"/>
      <c r="TT39" s="3"/>
      <c r="TU39" s="3"/>
      <c r="TV39" s="3"/>
      <c r="TW39" s="3"/>
      <c r="TX39" s="3"/>
      <c r="TY39" s="3"/>
      <c r="TZ39" s="3"/>
      <c r="UA39" s="3"/>
      <c r="UB39" s="3"/>
      <c r="UC39" s="3"/>
      <c r="UD39" s="3"/>
      <c r="UE39" s="3"/>
      <c r="UF39" s="3"/>
      <c r="UG39" s="3"/>
      <c r="UH39" s="3"/>
      <c r="UI39" s="3"/>
      <c r="UJ39" s="3"/>
      <c r="UK39" s="3"/>
      <c r="UL39" s="3"/>
      <c r="UM39" s="3"/>
      <c r="UN39" s="3"/>
      <c r="UO39" s="3"/>
      <c r="UP39" s="3"/>
      <c r="UQ39" s="3"/>
      <c r="UR39" s="3"/>
      <c r="US39" s="3"/>
      <c r="UT39" s="3"/>
      <c r="UU39" s="3"/>
      <c r="UV39" s="3"/>
      <c r="UW39" s="3"/>
      <c r="UX39" s="3"/>
      <c r="UY39" s="3"/>
      <c r="UZ39" s="3"/>
      <c r="VA39" s="3"/>
      <c r="VB39" s="3"/>
      <c r="VC39" s="3"/>
      <c r="VD39" s="3"/>
      <c r="VE39" s="3"/>
      <c r="VF39" s="3"/>
      <c r="VG39" s="3"/>
      <c r="VH39" s="3"/>
      <c r="VI39" s="3"/>
      <c r="VJ39" s="3"/>
      <c r="VK39" s="3"/>
      <c r="VL39" s="3"/>
      <c r="VM39" s="3"/>
      <c r="VN39" s="3"/>
      <c r="VO39" s="3"/>
      <c r="VP39" s="3"/>
      <c r="VQ39" s="3"/>
      <c r="VR39" s="3"/>
      <c r="VS39" s="3"/>
      <c r="VT39" s="3"/>
      <c r="VU39" s="3"/>
      <c r="VV39" s="3"/>
      <c r="VW39" s="3"/>
      <c r="VX39" s="3"/>
      <c r="VY39" s="3"/>
      <c r="VZ39" s="3"/>
      <c r="WA39" s="3"/>
      <c r="WB39" s="3"/>
      <c r="WC39" s="3"/>
      <c r="WD39" s="3"/>
      <c r="WE39" s="3"/>
      <c r="WF39" s="3"/>
      <c r="WG39" s="3"/>
      <c r="WH39" s="3"/>
      <c r="WI39" s="3"/>
      <c r="WJ39" s="3"/>
      <c r="WK39" s="3"/>
      <c r="WL39" s="3"/>
      <c r="WM39" s="3"/>
      <c r="WN39" s="3"/>
      <c r="WO39" s="3"/>
      <c r="WP39" s="3"/>
      <c r="WQ39" s="3"/>
      <c r="WR39" s="3"/>
      <c r="WS39" s="3"/>
      <c r="WT39" s="3"/>
      <c r="WU39" s="3"/>
      <c r="WV39" s="3"/>
      <c r="WW39" s="3"/>
      <c r="WX39" s="3"/>
      <c r="WY39" s="3"/>
      <c r="WZ39" s="3"/>
      <c r="XA39" s="3"/>
      <c r="XB39" s="3"/>
      <c r="XC39" s="3"/>
      <c r="XD39" s="3"/>
      <c r="XE39" s="3"/>
      <c r="XF39" s="3"/>
      <c r="XG39" s="3"/>
      <c r="XH39" s="3"/>
      <c r="XI39" s="3"/>
      <c r="XJ39" s="3"/>
      <c r="XK39" s="3"/>
      <c r="XL39" s="3"/>
      <c r="XM39" s="3"/>
      <c r="XN39" s="3"/>
      <c r="XO39" s="3"/>
      <c r="XP39" s="3"/>
      <c r="XQ39" s="3"/>
      <c r="XR39" s="3"/>
      <c r="XS39" s="3"/>
      <c r="XT39" s="3"/>
      <c r="XU39" s="3"/>
      <c r="XV39" s="3"/>
      <c r="XW39" s="3"/>
      <c r="XX39" s="3"/>
      <c r="XY39" s="3"/>
      <c r="XZ39" s="3"/>
      <c r="YA39" s="3"/>
      <c r="YB39" s="3"/>
      <c r="YC39" s="3"/>
      <c r="YD39" s="3"/>
      <c r="YE39" s="3"/>
      <c r="YF39" s="3"/>
      <c r="YG39" s="3"/>
      <c r="YH39" s="3"/>
      <c r="YI39" s="3"/>
      <c r="YJ39" s="3"/>
      <c r="YK39" s="3"/>
      <c r="YL39" s="3"/>
      <c r="YM39" s="3"/>
      <c r="YN39" s="3"/>
      <c r="YO39" s="3"/>
      <c r="YP39" s="3"/>
      <c r="YQ39" s="3"/>
      <c r="YR39" s="3"/>
      <c r="YS39" s="3"/>
      <c r="YT39" s="3"/>
      <c r="YU39" s="3"/>
      <c r="YV39" s="3"/>
      <c r="YW39" s="3"/>
      <c r="YX39" s="3"/>
      <c r="YY39" s="3"/>
      <c r="YZ39" s="3"/>
      <c r="ZA39" s="3"/>
      <c r="ZB39" s="3"/>
      <c r="ZC39" s="3"/>
      <c r="ZD39" s="3"/>
      <c r="ZE39" s="3"/>
      <c r="ZF39" s="3"/>
      <c r="ZG39" s="3"/>
      <c r="ZH39" s="3"/>
      <c r="ZI39" s="3"/>
      <c r="ZJ39" s="3"/>
      <c r="ZK39" s="3"/>
      <c r="ZL39" s="3"/>
      <c r="ZM39" s="3"/>
      <c r="ZN39" s="3"/>
      <c r="ZO39" s="3"/>
      <c r="ZP39" s="3"/>
      <c r="ZQ39" s="3"/>
      <c r="ZR39" s="3"/>
      <c r="ZS39" s="3"/>
      <c r="ZT39" s="3"/>
      <c r="ZU39" s="3"/>
      <c r="ZV39" s="3"/>
      <c r="ZW39" s="3"/>
      <c r="ZX39" s="3"/>
      <c r="ZY39" s="3"/>
      <c r="ZZ39" s="3"/>
      <c r="AAA39" s="3"/>
      <c r="AAB39" s="3"/>
      <c r="AAC39" s="3"/>
      <c r="AAD39" s="3"/>
      <c r="AAE39" s="3"/>
      <c r="AAF39" s="3"/>
      <c r="AAG39" s="3"/>
      <c r="AAH39" s="3"/>
      <c r="AAI39" s="3"/>
      <c r="AAJ39" s="3"/>
      <c r="AAK39" s="3"/>
      <c r="AAL39" s="3"/>
      <c r="AAM39" s="3"/>
      <c r="AAN39" s="3"/>
      <c r="AAO39" s="3"/>
      <c r="AAP39" s="3"/>
      <c r="AAQ39" s="3"/>
      <c r="AAR39" s="3"/>
      <c r="AAS39" s="3"/>
      <c r="AAT39" s="3"/>
      <c r="AAU39" s="3"/>
      <c r="AAV39" s="3"/>
      <c r="AAW39" s="3"/>
      <c r="AAX39" s="3"/>
      <c r="AAY39" s="3"/>
      <c r="AAZ39" s="3"/>
      <c r="ABA39" s="3"/>
      <c r="ABB39" s="3"/>
      <c r="ABC39" s="3"/>
      <c r="ABD39" s="3"/>
      <c r="ABE39" s="3"/>
      <c r="ABF39" s="3"/>
      <c r="ABG39" s="3"/>
      <c r="ABH39" s="3"/>
      <c r="ABI39" s="3"/>
      <c r="ABJ39" s="3"/>
      <c r="ABK39" s="3"/>
      <c r="ABL39" s="3"/>
      <c r="ABM39" s="3"/>
      <c r="ABN39" s="3"/>
      <c r="ABO39" s="3"/>
      <c r="ABP39" s="3"/>
      <c r="ABQ39" s="3"/>
      <c r="ABR39" s="3"/>
      <c r="ABS39" s="3"/>
      <c r="ABT39" s="3"/>
      <c r="ABU39" s="3"/>
      <c r="ABV39" s="3"/>
      <c r="ABW39" s="3"/>
      <c r="ABX39" s="3"/>
      <c r="ABY39" s="3"/>
      <c r="ABZ39" s="3"/>
      <c r="ACA39" s="3"/>
      <c r="ACB39" s="3"/>
      <c r="ACC39" s="3"/>
      <c r="ACD39" s="3"/>
      <c r="ACE39" s="3"/>
      <c r="ACF39" s="3"/>
      <c r="ACG39" s="3"/>
      <c r="ACH39" s="3"/>
      <c r="ACI39" s="3"/>
      <c r="ACJ39" s="3"/>
      <c r="ACK39" s="3"/>
      <c r="ACL39" s="3"/>
      <c r="ACM39" s="3"/>
      <c r="ACN39" s="3"/>
      <c r="ACO39" s="3"/>
      <c r="ACP39" s="3"/>
    </row>
    <row r="40" spans="1:770" s="248" customFormat="1">
      <c r="A40" s="292" t="e">
        <f t="shared" si="1"/>
        <v>#REF!</v>
      </c>
      <c r="B40" s="419" t="str">
        <f>+'Nomina Proquima'!B34</f>
        <v>Castro Aceituno Rodrigo Jose</v>
      </c>
      <c r="C40" s="367">
        <v>16355050359823</v>
      </c>
      <c r="D40" s="401" t="s">
        <v>262</v>
      </c>
      <c r="E40" s="419" t="str">
        <f>+'Nomina Proquima'!B34</f>
        <v>Castro Aceituno Rodrigo Jose</v>
      </c>
      <c r="F40" s="244" t="str">
        <f>VLOOKUP(B40,distribucion!B$9:FK$200,2,0)</f>
        <v>Asistente de  Investigacion y Desarrollo</v>
      </c>
      <c r="G40" s="244">
        <f>ROUND((VLOOKUP($B40,'Nomina Proquima'!$B$4:$AB$145,4,0)),2)</f>
        <v>30</v>
      </c>
      <c r="H40" s="245">
        <f>ROUND((VLOOKUP($B40,'Nomina Proquima'!$B$4:$AB$145,6,0)),2)</f>
        <v>4000</v>
      </c>
      <c r="I40" s="245">
        <f>ROUND((VLOOKUP($B40,'Nomina Proquima'!$B$4:$AB$145,7,0)),2)</f>
        <v>1000</v>
      </c>
      <c r="J40" s="245">
        <f>ROUND((VLOOKUP($B40,'Nomina Proquima'!$B$4:$AB$145,9,0)),2)</f>
        <v>0</v>
      </c>
      <c r="K40" s="245">
        <f>ROUND((VLOOKUP($B40,'Nomina Proquima'!$B$4:$AB$145,10,0)),2)</f>
        <v>0</v>
      </c>
      <c r="L40" s="245">
        <f>ROUND((VLOOKUP($B40,'Nomina Proquima'!$B$4:$AB$145,11,0)),2)</f>
        <v>0</v>
      </c>
      <c r="M40" s="245">
        <f>ROUND((VLOOKUP($B40,'Nomina Proquima'!$B$4:$AB$145,12,0)),2)</f>
        <v>0</v>
      </c>
      <c r="N40" s="245">
        <f>ROUND((VLOOKUP($B40,'Nomina Proquima'!$B$4:$AB$145,13,0)),2)</f>
        <v>0</v>
      </c>
      <c r="O40" s="245">
        <f>ROUND((VLOOKUP($B40,'Nomina Proquima'!$B$4:$AB$145,14,0)),2)</f>
        <v>5000</v>
      </c>
      <c r="P40" s="245">
        <f>ROUND((VLOOKUP($B40,'Nomina Proquima'!$B$4:$AB$145,15,0)),2)</f>
        <v>193.2</v>
      </c>
      <c r="Q40" s="245">
        <f>ROUND((VLOOKUP($B40,'Nomina Proquima'!$B$4:$AB$145,16,0)),2)</f>
        <v>40.340000000000003</v>
      </c>
      <c r="R40" s="245">
        <f>ROUND((VLOOKUP($B40,'Nomina Proquima'!$B$4:$AB$145,17,0)),2)</f>
        <v>0</v>
      </c>
      <c r="S40" s="245">
        <f>ROUND((VLOOKUP($B40,'Nomina Proquima'!$B$4:$AB$145,18,0)),2)</f>
        <v>0</v>
      </c>
      <c r="T40" s="245">
        <f>ROUND((VLOOKUP($B40,'Nomina Proquima'!$B$4:$AB$145,19,0)),2)</f>
        <v>0</v>
      </c>
      <c r="U40" s="245">
        <f>ROUND((VLOOKUP($B40,'Nomina Proquima'!$B$4:$AB$145,20,0)),2)</f>
        <v>0</v>
      </c>
      <c r="V40" s="245">
        <f>ROUND((VLOOKUP($B40,'Nomina Proquima'!$B$4:$AB$145,21,0)),2)</f>
        <v>0</v>
      </c>
      <c r="W40" s="245">
        <f>ROUND((VLOOKUP($B40,'Nomina Proquima'!$B$4:$AB$145,22,0)),2)</f>
        <v>290</v>
      </c>
      <c r="X40" s="245">
        <f>ROUND((VLOOKUP($B40,'Nomina Proquima'!$B$4:$AB$145,23,0)),2)</f>
        <v>523.54</v>
      </c>
      <c r="Y40" s="234">
        <f>ROUND((VLOOKUP($B40,'Nomina Proquima'!$B$4:$AB$147,24,0)),2)</f>
        <v>4476.46</v>
      </c>
      <c r="Z40" s="399">
        <f>VLOOKUP(B40,'Nomina Proquima'!$B$4:$AA$148,25,0)</f>
        <v>2283.4</v>
      </c>
      <c r="AA40" s="405">
        <f>ROUND((VLOOKUP($B40,'Nomina Proquima'!$B$4:$AB$145,26,0)),2)</f>
        <v>2193.06</v>
      </c>
      <c r="AB40" s="246"/>
      <c r="AC40" s="247"/>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c r="JH40" s="3"/>
      <c r="JI40" s="3"/>
      <c r="JJ40" s="3"/>
      <c r="JK40" s="3"/>
      <c r="JL40" s="3"/>
      <c r="JM40" s="3"/>
      <c r="JN40" s="3"/>
      <c r="JO40" s="3"/>
      <c r="JP40" s="3"/>
      <c r="JQ40" s="3"/>
      <c r="JR40" s="3"/>
      <c r="JS40" s="3"/>
      <c r="JT40" s="3"/>
      <c r="JU40" s="3"/>
      <c r="JV40" s="3"/>
      <c r="JW40" s="3"/>
      <c r="JX40" s="3"/>
      <c r="JY40" s="3"/>
      <c r="JZ40" s="3"/>
      <c r="KA40" s="3"/>
      <c r="KB40" s="3"/>
      <c r="KC40" s="3"/>
      <c r="KD40" s="3"/>
      <c r="KE40" s="3"/>
      <c r="KF40" s="3"/>
      <c r="KG40" s="3"/>
      <c r="KH40" s="3"/>
      <c r="KI40" s="3"/>
      <c r="KJ40" s="3"/>
      <c r="KK40" s="3"/>
      <c r="KL40" s="3"/>
      <c r="KM40" s="3"/>
      <c r="KN40" s="3"/>
      <c r="KO40" s="3"/>
      <c r="KP40" s="3"/>
      <c r="KQ40" s="3"/>
      <c r="KR40" s="3"/>
      <c r="KS40" s="3"/>
      <c r="KT40" s="3"/>
      <c r="KU40" s="3"/>
      <c r="KV40" s="3"/>
      <c r="KW40" s="3"/>
      <c r="KX40" s="3"/>
      <c r="KY40" s="3"/>
      <c r="KZ40" s="3"/>
      <c r="LA40" s="3"/>
      <c r="LB40" s="3"/>
      <c r="LC40" s="3"/>
      <c r="LD40" s="3"/>
      <c r="LE40" s="3"/>
      <c r="LF40" s="3"/>
      <c r="LG40" s="3"/>
      <c r="LH40" s="3"/>
      <c r="LI40" s="3"/>
      <c r="LJ40" s="3"/>
      <c r="LK40" s="3"/>
      <c r="LL40" s="3"/>
      <c r="LM40" s="3"/>
      <c r="LN40" s="3"/>
      <c r="LO40" s="3"/>
      <c r="LP40" s="3"/>
      <c r="LQ40" s="3"/>
      <c r="LR40" s="3"/>
      <c r="LS40" s="3"/>
      <c r="LT40" s="3"/>
      <c r="LU40" s="3"/>
      <c r="LV40" s="3"/>
      <c r="LW40" s="3"/>
      <c r="LX40" s="3"/>
      <c r="LY40" s="3"/>
      <c r="LZ40" s="3"/>
      <c r="MA40" s="3"/>
      <c r="MB40" s="3"/>
      <c r="MC40" s="3"/>
      <c r="MD40" s="3"/>
      <c r="ME40" s="3"/>
      <c r="MF40" s="3"/>
      <c r="MG40" s="3"/>
      <c r="MH40" s="3"/>
      <c r="MI40" s="3"/>
      <c r="MJ40" s="3"/>
      <c r="MK40" s="3"/>
      <c r="ML40" s="3"/>
      <c r="MM40" s="3"/>
      <c r="MN40" s="3"/>
      <c r="MO40" s="3"/>
      <c r="MP40" s="3"/>
      <c r="MQ40" s="3"/>
      <c r="MR40" s="3"/>
      <c r="MS40" s="3"/>
      <c r="MT40" s="3"/>
      <c r="MU40" s="3"/>
      <c r="MV40" s="3"/>
      <c r="MW40" s="3"/>
      <c r="MX40" s="3"/>
      <c r="MY40" s="3"/>
      <c r="MZ40" s="3"/>
      <c r="NA40" s="3"/>
      <c r="NB40" s="3"/>
      <c r="NC40" s="3"/>
      <c r="ND40" s="3"/>
      <c r="NE40" s="3"/>
      <c r="NF40" s="3"/>
      <c r="NG40" s="3"/>
      <c r="NH40" s="3"/>
      <c r="NI40" s="3"/>
      <c r="NJ40" s="3"/>
      <c r="NK40" s="3"/>
      <c r="NL40" s="3"/>
      <c r="NM40" s="3"/>
      <c r="NN40" s="3"/>
      <c r="NO40" s="3"/>
      <c r="NP40" s="3"/>
      <c r="NQ40" s="3"/>
      <c r="NR40" s="3"/>
      <c r="NS40" s="3"/>
      <c r="NT40" s="3"/>
      <c r="NU40" s="3"/>
      <c r="NV40" s="3"/>
      <c r="NW40" s="3"/>
      <c r="NX40" s="3"/>
      <c r="NY40" s="3"/>
      <c r="NZ40" s="3"/>
      <c r="OA40" s="3"/>
      <c r="OB40" s="3"/>
      <c r="OC40" s="3"/>
      <c r="OD40" s="3"/>
      <c r="OE40" s="3"/>
      <c r="OF40" s="3"/>
      <c r="OG40" s="3"/>
      <c r="OH40" s="3"/>
      <c r="OI40" s="3"/>
      <c r="OJ40" s="3"/>
      <c r="OK40" s="3"/>
      <c r="OL40" s="3"/>
      <c r="OM40" s="3"/>
      <c r="ON40" s="3"/>
      <c r="OO40" s="3"/>
      <c r="OP40" s="3"/>
      <c r="OQ40" s="3"/>
      <c r="OR40" s="3"/>
      <c r="OS40" s="3"/>
      <c r="OT40" s="3"/>
      <c r="OU40" s="3"/>
      <c r="OV40" s="3"/>
      <c r="OW40" s="3"/>
      <c r="OX40" s="3"/>
      <c r="OY40" s="3"/>
      <c r="OZ40" s="3"/>
      <c r="PA40" s="3"/>
      <c r="PB40" s="3"/>
      <c r="PC40" s="3"/>
      <c r="PD40" s="3"/>
      <c r="PE40" s="3"/>
      <c r="PF40" s="3"/>
      <c r="PG40" s="3"/>
      <c r="PH40" s="3"/>
      <c r="PI40" s="3"/>
      <c r="PJ40" s="3"/>
      <c r="PK40" s="3"/>
      <c r="PL40" s="3"/>
      <c r="PM40" s="3"/>
      <c r="PN40" s="3"/>
      <c r="PO40" s="3"/>
      <c r="PP40" s="3"/>
      <c r="PQ40" s="3"/>
      <c r="PR40" s="3"/>
      <c r="PS40" s="3"/>
      <c r="PT40" s="3"/>
      <c r="PU40" s="3"/>
      <c r="PV40" s="3"/>
      <c r="PW40" s="3"/>
      <c r="PX40" s="3"/>
      <c r="PY40" s="3"/>
      <c r="PZ40" s="3"/>
      <c r="QA40" s="3"/>
      <c r="QB40" s="3"/>
      <c r="QC40" s="3"/>
      <c r="QD40" s="3"/>
      <c r="QE40" s="3"/>
      <c r="QF40" s="3"/>
      <c r="QG40" s="3"/>
      <c r="QH40" s="3"/>
      <c r="QI40" s="3"/>
      <c r="QJ40" s="3"/>
      <c r="QK40" s="3"/>
      <c r="QL40" s="3"/>
      <c r="QM40" s="3"/>
      <c r="QN40" s="3"/>
      <c r="QO40" s="3"/>
      <c r="QP40" s="3"/>
      <c r="QQ40" s="3"/>
      <c r="QR40" s="3"/>
      <c r="QS40" s="3"/>
      <c r="QT40" s="3"/>
      <c r="QU40" s="3"/>
      <c r="QV40" s="3"/>
      <c r="QW40" s="3"/>
      <c r="QX40" s="3"/>
      <c r="QY40" s="3"/>
      <c r="QZ40" s="3"/>
      <c r="RA40" s="3"/>
      <c r="RB40" s="3"/>
      <c r="RC40" s="3"/>
      <c r="RD40" s="3"/>
      <c r="RE40" s="3"/>
      <c r="RF40" s="3"/>
      <c r="RG40" s="3"/>
      <c r="RH40" s="3"/>
      <c r="RI40" s="3"/>
      <c r="RJ40" s="3"/>
      <c r="RK40" s="3"/>
      <c r="RL40" s="3"/>
      <c r="RM40" s="3"/>
      <c r="RN40" s="3"/>
      <c r="RO40" s="3"/>
      <c r="RP40" s="3"/>
      <c r="RQ40" s="3"/>
      <c r="RR40" s="3"/>
      <c r="RS40" s="3"/>
      <c r="RT40" s="3"/>
      <c r="RU40" s="3"/>
      <c r="RV40" s="3"/>
      <c r="RW40" s="3"/>
      <c r="RX40" s="3"/>
      <c r="RY40" s="3"/>
      <c r="RZ40" s="3"/>
      <c r="SA40" s="3"/>
      <c r="SB40" s="3"/>
      <c r="SC40" s="3"/>
      <c r="SD40" s="3"/>
      <c r="SE40" s="3"/>
      <c r="SF40" s="3"/>
      <c r="SG40" s="3"/>
      <c r="SH40" s="3"/>
      <c r="SI40" s="3"/>
      <c r="SJ40" s="3"/>
      <c r="SK40" s="3"/>
      <c r="SL40" s="3"/>
      <c r="SM40" s="3"/>
      <c r="SN40" s="3"/>
      <c r="SO40" s="3"/>
      <c r="SP40" s="3"/>
      <c r="SQ40" s="3"/>
      <c r="SR40" s="3"/>
      <c r="SS40" s="3"/>
      <c r="ST40" s="3"/>
      <c r="SU40" s="3"/>
      <c r="SV40" s="3"/>
      <c r="SW40" s="3"/>
      <c r="SX40" s="3"/>
      <c r="SY40" s="3"/>
      <c r="SZ40" s="3"/>
      <c r="TA40" s="3"/>
      <c r="TB40" s="3"/>
      <c r="TC40" s="3"/>
      <c r="TD40" s="3"/>
      <c r="TE40" s="3"/>
      <c r="TF40" s="3"/>
      <c r="TG40" s="3"/>
      <c r="TH40" s="3"/>
      <c r="TI40" s="3"/>
      <c r="TJ40" s="3"/>
      <c r="TK40" s="3"/>
      <c r="TL40" s="3"/>
      <c r="TM40" s="3"/>
      <c r="TN40" s="3"/>
      <c r="TO40" s="3"/>
      <c r="TP40" s="3"/>
      <c r="TQ40" s="3"/>
      <c r="TR40" s="3"/>
      <c r="TS40" s="3"/>
      <c r="TT40" s="3"/>
      <c r="TU40" s="3"/>
      <c r="TV40" s="3"/>
      <c r="TW40" s="3"/>
      <c r="TX40" s="3"/>
      <c r="TY40" s="3"/>
      <c r="TZ40" s="3"/>
      <c r="UA40" s="3"/>
      <c r="UB40" s="3"/>
      <c r="UC40" s="3"/>
      <c r="UD40" s="3"/>
      <c r="UE40" s="3"/>
      <c r="UF40" s="3"/>
      <c r="UG40" s="3"/>
      <c r="UH40" s="3"/>
      <c r="UI40" s="3"/>
      <c r="UJ40" s="3"/>
      <c r="UK40" s="3"/>
      <c r="UL40" s="3"/>
      <c r="UM40" s="3"/>
      <c r="UN40" s="3"/>
      <c r="UO40" s="3"/>
      <c r="UP40" s="3"/>
      <c r="UQ40" s="3"/>
      <c r="UR40" s="3"/>
      <c r="US40" s="3"/>
      <c r="UT40" s="3"/>
      <c r="UU40" s="3"/>
      <c r="UV40" s="3"/>
      <c r="UW40" s="3"/>
      <c r="UX40" s="3"/>
      <c r="UY40" s="3"/>
      <c r="UZ40" s="3"/>
      <c r="VA40" s="3"/>
      <c r="VB40" s="3"/>
      <c r="VC40" s="3"/>
      <c r="VD40" s="3"/>
      <c r="VE40" s="3"/>
      <c r="VF40" s="3"/>
      <c r="VG40" s="3"/>
      <c r="VH40" s="3"/>
      <c r="VI40" s="3"/>
      <c r="VJ40" s="3"/>
      <c r="VK40" s="3"/>
      <c r="VL40" s="3"/>
      <c r="VM40" s="3"/>
      <c r="VN40" s="3"/>
      <c r="VO40" s="3"/>
      <c r="VP40" s="3"/>
      <c r="VQ40" s="3"/>
      <c r="VR40" s="3"/>
      <c r="VS40" s="3"/>
      <c r="VT40" s="3"/>
      <c r="VU40" s="3"/>
      <c r="VV40" s="3"/>
      <c r="VW40" s="3"/>
      <c r="VX40" s="3"/>
      <c r="VY40" s="3"/>
      <c r="VZ40" s="3"/>
      <c r="WA40" s="3"/>
      <c r="WB40" s="3"/>
      <c r="WC40" s="3"/>
      <c r="WD40" s="3"/>
      <c r="WE40" s="3"/>
      <c r="WF40" s="3"/>
      <c r="WG40" s="3"/>
      <c r="WH40" s="3"/>
      <c r="WI40" s="3"/>
      <c r="WJ40" s="3"/>
      <c r="WK40" s="3"/>
      <c r="WL40" s="3"/>
      <c r="WM40" s="3"/>
      <c r="WN40" s="3"/>
      <c r="WO40" s="3"/>
      <c r="WP40" s="3"/>
      <c r="WQ40" s="3"/>
      <c r="WR40" s="3"/>
      <c r="WS40" s="3"/>
      <c r="WT40" s="3"/>
      <c r="WU40" s="3"/>
      <c r="WV40" s="3"/>
      <c r="WW40" s="3"/>
      <c r="WX40" s="3"/>
      <c r="WY40" s="3"/>
      <c r="WZ40" s="3"/>
      <c r="XA40" s="3"/>
      <c r="XB40" s="3"/>
      <c r="XC40" s="3"/>
      <c r="XD40" s="3"/>
      <c r="XE40" s="3"/>
      <c r="XF40" s="3"/>
      <c r="XG40" s="3"/>
      <c r="XH40" s="3"/>
      <c r="XI40" s="3"/>
      <c r="XJ40" s="3"/>
      <c r="XK40" s="3"/>
      <c r="XL40" s="3"/>
      <c r="XM40" s="3"/>
      <c r="XN40" s="3"/>
      <c r="XO40" s="3"/>
      <c r="XP40" s="3"/>
      <c r="XQ40" s="3"/>
      <c r="XR40" s="3"/>
      <c r="XS40" s="3"/>
      <c r="XT40" s="3"/>
      <c r="XU40" s="3"/>
      <c r="XV40" s="3"/>
      <c r="XW40" s="3"/>
      <c r="XX40" s="3"/>
      <c r="XY40" s="3"/>
      <c r="XZ40" s="3"/>
      <c r="YA40" s="3"/>
      <c r="YB40" s="3"/>
      <c r="YC40" s="3"/>
      <c r="YD40" s="3"/>
      <c r="YE40" s="3"/>
      <c r="YF40" s="3"/>
      <c r="YG40" s="3"/>
      <c r="YH40" s="3"/>
      <c r="YI40" s="3"/>
      <c r="YJ40" s="3"/>
      <c r="YK40" s="3"/>
      <c r="YL40" s="3"/>
      <c r="YM40" s="3"/>
      <c r="YN40" s="3"/>
      <c r="YO40" s="3"/>
      <c r="YP40" s="3"/>
      <c r="YQ40" s="3"/>
      <c r="YR40" s="3"/>
      <c r="YS40" s="3"/>
      <c r="YT40" s="3"/>
      <c r="YU40" s="3"/>
      <c r="YV40" s="3"/>
      <c r="YW40" s="3"/>
      <c r="YX40" s="3"/>
      <c r="YY40" s="3"/>
      <c r="YZ40" s="3"/>
      <c r="ZA40" s="3"/>
      <c r="ZB40" s="3"/>
      <c r="ZC40" s="3"/>
      <c r="ZD40" s="3"/>
      <c r="ZE40" s="3"/>
      <c r="ZF40" s="3"/>
      <c r="ZG40" s="3"/>
      <c r="ZH40" s="3"/>
      <c r="ZI40" s="3"/>
      <c r="ZJ40" s="3"/>
      <c r="ZK40" s="3"/>
      <c r="ZL40" s="3"/>
      <c r="ZM40" s="3"/>
      <c r="ZN40" s="3"/>
      <c r="ZO40" s="3"/>
      <c r="ZP40" s="3"/>
      <c r="ZQ40" s="3"/>
      <c r="ZR40" s="3"/>
      <c r="ZS40" s="3"/>
      <c r="ZT40" s="3"/>
      <c r="ZU40" s="3"/>
      <c r="ZV40" s="3"/>
      <c r="ZW40" s="3"/>
      <c r="ZX40" s="3"/>
      <c r="ZY40" s="3"/>
      <c r="ZZ40" s="3"/>
      <c r="AAA40" s="3"/>
      <c r="AAB40" s="3"/>
      <c r="AAC40" s="3"/>
      <c r="AAD40" s="3"/>
      <c r="AAE40" s="3"/>
      <c r="AAF40" s="3"/>
      <c r="AAG40" s="3"/>
      <c r="AAH40" s="3"/>
      <c r="AAI40" s="3"/>
      <c r="AAJ40" s="3"/>
      <c r="AAK40" s="3"/>
      <c r="AAL40" s="3"/>
      <c r="AAM40" s="3"/>
      <c r="AAN40" s="3"/>
      <c r="AAO40" s="3"/>
      <c r="AAP40" s="3"/>
      <c r="AAQ40" s="3"/>
      <c r="AAR40" s="3"/>
      <c r="AAS40" s="3"/>
      <c r="AAT40" s="3"/>
      <c r="AAU40" s="3"/>
      <c r="AAV40" s="3"/>
      <c r="AAW40" s="3"/>
      <c r="AAX40" s="3"/>
      <c r="AAY40" s="3"/>
      <c r="AAZ40" s="3"/>
      <c r="ABA40" s="3"/>
      <c r="ABB40" s="3"/>
      <c r="ABC40" s="3"/>
      <c r="ABD40" s="3"/>
      <c r="ABE40" s="3"/>
      <c r="ABF40" s="3"/>
      <c r="ABG40" s="3"/>
      <c r="ABH40" s="3"/>
      <c r="ABI40" s="3"/>
      <c r="ABJ40" s="3"/>
      <c r="ABK40" s="3"/>
      <c r="ABL40" s="3"/>
      <c r="ABM40" s="3"/>
      <c r="ABN40" s="3"/>
      <c r="ABO40" s="3"/>
      <c r="ABP40" s="3"/>
      <c r="ABQ40" s="3"/>
      <c r="ABR40" s="3"/>
      <c r="ABS40" s="3"/>
      <c r="ABT40" s="3"/>
      <c r="ABU40" s="3"/>
      <c r="ABV40" s="3"/>
      <c r="ABW40" s="3"/>
      <c r="ABX40" s="3"/>
      <c r="ABY40" s="3"/>
      <c r="ABZ40" s="3"/>
      <c r="ACA40" s="3"/>
      <c r="ACB40" s="3"/>
      <c r="ACC40" s="3"/>
      <c r="ACD40" s="3"/>
      <c r="ACE40" s="3"/>
      <c r="ACF40" s="3"/>
      <c r="ACG40" s="3"/>
      <c r="ACH40" s="3"/>
      <c r="ACI40" s="3"/>
      <c r="ACJ40" s="3"/>
      <c r="ACK40" s="3"/>
      <c r="ACL40" s="3"/>
      <c r="ACM40" s="3"/>
      <c r="ACN40" s="3"/>
      <c r="ACO40" s="3"/>
      <c r="ACP40" s="3"/>
    </row>
    <row r="41" spans="1:770" s="248" customFormat="1">
      <c r="A41" s="292" t="e">
        <f>+#REF!+1</f>
        <v>#REF!</v>
      </c>
      <c r="B41" s="419" t="str">
        <f>+'Nomina Proquima'!B52</f>
        <v>Zarate De Leon Enma Yaneth</v>
      </c>
      <c r="C41" s="367">
        <v>16265050364723</v>
      </c>
      <c r="D41" s="401"/>
      <c r="E41" s="419" t="str">
        <f>+'Nomina Proquima'!B52</f>
        <v>Zarate De Leon Enma Yaneth</v>
      </c>
      <c r="F41" s="244" t="str">
        <f>VLOOKUP(B41,distribucion!B$9:FK$200,2,0)</f>
        <v>Asistente de Reclutamiento</v>
      </c>
      <c r="G41" s="244">
        <f>ROUND((VLOOKUP($B41,'Nomina Proquima'!$B$4:$AB$145,4,0)),2)</f>
        <v>30</v>
      </c>
      <c r="H41" s="245">
        <f>ROUND((VLOOKUP($B41,'Nomina Proquima'!$B$4:$AB$145,6,0)),2)</f>
        <v>3750</v>
      </c>
      <c r="I41" s="245">
        <f>ROUND((VLOOKUP($B41,'Nomina Proquima'!$B$4:$AB$145,7,0)),2)</f>
        <v>250</v>
      </c>
      <c r="J41" s="245">
        <f>ROUND((VLOOKUP($B41,'Nomina Proquima'!$B$4:$AB$145,9,0)),2)</f>
        <v>0</v>
      </c>
      <c r="K41" s="245">
        <f>ROUND((VLOOKUP($B41,'Nomina Proquima'!$B$4:$AB$145,10,0)),2)</f>
        <v>0</v>
      </c>
      <c r="L41" s="245">
        <f>ROUND((VLOOKUP($B41,'Nomina Proquima'!$B$4:$AB$145,11,0)),2)</f>
        <v>0</v>
      </c>
      <c r="M41" s="245">
        <f>ROUND((VLOOKUP($B41,'Nomina Proquima'!$B$4:$AB$145,12,0)),2)</f>
        <v>0</v>
      </c>
      <c r="N41" s="245">
        <f>ROUND((VLOOKUP($B41,'Nomina Proquima'!$B$4:$AB$145,13,0)),2)</f>
        <v>0</v>
      </c>
      <c r="O41" s="245">
        <f>ROUND((VLOOKUP($B41,'Nomina Proquima'!$B$4:$AB$145,14,0)),2)</f>
        <v>4000</v>
      </c>
      <c r="P41" s="245">
        <f>ROUND((VLOOKUP($B41,'Nomina Proquima'!$B$4:$AB$145,15,0)),2)</f>
        <v>181.13</v>
      </c>
      <c r="Q41" s="245">
        <f>ROUND((VLOOKUP($B41,'Nomina Proquima'!$B$4:$AB$145,16,0)),2)</f>
        <v>0</v>
      </c>
      <c r="R41" s="245">
        <f>ROUND((VLOOKUP($B41,'Nomina Proquima'!$B$4:$AB$145,17,0)),2)</f>
        <v>0</v>
      </c>
      <c r="S41" s="245">
        <f>ROUND((VLOOKUP($B41,'Nomina Proquima'!$B$4:$AB$145,18,0)),2)</f>
        <v>0</v>
      </c>
      <c r="T41" s="245">
        <f>ROUND((VLOOKUP($B41,'Nomina Proquima'!$B$4:$AB$145,19,0)),2)</f>
        <v>0</v>
      </c>
      <c r="U41" s="245">
        <f>ROUND((VLOOKUP($B41,'Nomina Proquima'!$B$4:$AB$145,20,0)),2)</f>
        <v>0</v>
      </c>
      <c r="V41" s="245">
        <f>ROUND((VLOOKUP($B41,'Nomina Proquima'!$B$4:$AB$145,21,0)),2)</f>
        <v>11</v>
      </c>
      <c r="W41" s="245">
        <f>ROUND((VLOOKUP($B41,'Nomina Proquima'!$B$4:$AB$145,22,0)),2)</f>
        <v>50</v>
      </c>
      <c r="X41" s="245">
        <f>ROUND((VLOOKUP($B41,'Nomina Proquima'!$B$4:$AB$145,23,0)),2)</f>
        <v>242.13</v>
      </c>
      <c r="Y41" s="234">
        <f>ROUND((VLOOKUP($B41,'Nomina Proquima'!$B$4:$AB$147,24,0)),2)</f>
        <v>3757.87</v>
      </c>
      <c r="Z41" s="399">
        <f>VLOOKUP(B41,'Nomina Proquima'!$B$4:$AA$148,25,0)</f>
        <v>1909.44</v>
      </c>
      <c r="AA41" s="405">
        <f>ROUND((VLOOKUP($B41,'Nomina Proquima'!$B$4:$AB$145,26,0)),2)</f>
        <v>1848.43</v>
      </c>
      <c r="AB41" s="246"/>
      <c r="AC41" s="247"/>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c r="IY41" s="3"/>
      <c r="IZ41" s="3"/>
      <c r="JA41" s="3"/>
      <c r="JB41" s="3"/>
      <c r="JC41" s="3"/>
      <c r="JD41" s="3"/>
      <c r="JE41" s="3"/>
      <c r="JF41" s="3"/>
      <c r="JG41" s="3"/>
      <c r="JH41" s="3"/>
      <c r="JI41" s="3"/>
      <c r="JJ41" s="3"/>
      <c r="JK41" s="3"/>
      <c r="JL41" s="3"/>
      <c r="JM41" s="3"/>
      <c r="JN41" s="3"/>
      <c r="JO41" s="3"/>
      <c r="JP41" s="3"/>
      <c r="JQ41" s="3"/>
      <c r="JR41" s="3"/>
      <c r="JS41" s="3"/>
      <c r="JT41" s="3"/>
      <c r="JU41" s="3"/>
      <c r="JV41" s="3"/>
      <c r="JW41" s="3"/>
      <c r="JX41" s="3"/>
      <c r="JY41" s="3"/>
      <c r="JZ41" s="3"/>
      <c r="KA41" s="3"/>
      <c r="KB41" s="3"/>
      <c r="KC41" s="3"/>
      <c r="KD41" s="3"/>
      <c r="KE41" s="3"/>
      <c r="KF41" s="3"/>
      <c r="KG41" s="3"/>
      <c r="KH41" s="3"/>
      <c r="KI41" s="3"/>
      <c r="KJ41" s="3"/>
      <c r="KK41" s="3"/>
      <c r="KL41" s="3"/>
      <c r="KM41" s="3"/>
      <c r="KN41" s="3"/>
      <c r="KO41" s="3"/>
      <c r="KP41" s="3"/>
      <c r="KQ41" s="3"/>
      <c r="KR41" s="3"/>
      <c r="KS41" s="3"/>
      <c r="KT41" s="3"/>
      <c r="KU41" s="3"/>
      <c r="KV41" s="3"/>
      <c r="KW41" s="3"/>
      <c r="KX41" s="3"/>
      <c r="KY41" s="3"/>
      <c r="KZ41" s="3"/>
      <c r="LA41" s="3"/>
      <c r="LB41" s="3"/>
      <c r="LC41" s="3"/>
      <c r="LD41" s="3"/>
      <c r="LE41" s="3"/>
      <c r="LF41" s="3"/>
      <c r="LG41" s="3"/>
      <c r="LH41" s="3"/>
      <c r="LI41" s="3"/>
      <c r="LJ41" s="3"/>
      <c r="LK41" s="3"/>
      <c r="LL41" s="3"/>
      <c r="LM41" s="3"/>
      <c r="LN41" s="3"/>
      <c r="LO41" s="3"/>
      <c r="LP41" s="3"/>
      <c r="LQ41" s="3"/>
      <c r="LR41" s="3"/>
      <c r="LS41" s="3"/>
      <c r="LT41" s="3"/>
      <c r="LU41" s="3"/>
      <c r="LV41" s="3"/>
      <c r="LW41" s="3"/>
      <c r="LX41" s="3"/>
      <c r="LY41" s="3"/>
      <c r="LZ41" s="3"/>
      <c r="MA41" s="3"/>
      <c r="MB41" s="3"/>
      <c r="MC41" s="3"/>
      <c r="MD41" s="3"/>
      <c r="ME41" s="3"/>
      <c r="MF41" s="3"/>
      <c r="MG41" s="3"/>
      <c r="MH41" s="3"/>
      <c r="MI41" s="3"/>
      <c r="MJ41" s="3"/>
      <c r="MK41" s="3"/>
      <c r="ML41" s="3"/>
      <c r="MM41" s="3"/>
      <c r="MN41" s="3"/>
      <c r="MO41" s="3"/>
      <c r="MP41" s="3"/>
      <c r="MQ41" s="3"/>
      <c r="MR41" s="3"/>
      <c r="MS41" s="3"/>
      <c r="MT41" s="3"/>
      <c r="MU41" s="3"/>
      <c r="MV41" s="3"/>
      <c r="MW41" s="3"/>
      <c r="MX41" s="3"/>
      <c r="MY41" s="3"/>
      <c r="MZ41" s="3"/>
      <c r="NA41" s="3"/>
      <c r="NB41" s="3"/>
      <c r="NC41" s="3"/>
      <c r="ND41" s="3"/>
      <c r="NE41" s="3"/>
      <c r="NF41" s="3"/>
      <c r="NG41" s="3"/>
      <c r="NH41" s="3"/>
      <c r="NI41" s="3"/>
      <c r="NJ41" s="3"/>
      <c r="NK41" s="3"/>
      <c r="NL41" s="3"/>
      <c r="NM41" s="3"/>
      <c r="NN41" s="3"/>
      <c r="NO41" s="3"/>
      <c r="NP41" s="3"/>
      <c r="NQ41" s="3"/>
      <c r="NR41" s="3"/>
      <c r="NS41" s="3"/>
      <c r="NT41" s="3"/>
      <c r="NU41" s="3"/>
      <c r="NV41" s="3"/>
      <c r="NW41" s="3"/>
      <c r="NX41" s="3"/>
      <c r="NY41" s="3"/>
      <c r="NZ41" s="3"/>
      <c r="OA41" s="3"/>
      <c r="OB41" s="3"/>
      <c r="OC41" s="3"/>
      <c r="OD41" s="3"/>
      <c r="OE41" s="3"/>
      <c r="OF41" s="3"/>
      <c r="OG41" s="3"/>
      <c r="OH41" s="3"/>
      <c r="OI41" s="3"/>
      <c r="OJ41" s="3"/>
      <c r="OK41" s="3"/>
      <c r="OL41" s="3"/>
      <c r="OM41" s="3"/>
      <c r="ON41" s="3"/>
      <c r="OO41" s="3"/>
      <c r="OP41" s="3"/>
      <c r="OQ41" s="3"/>
      <c r="OR41" s="3"/>
      <c r="OS41" s="3"/>
      <c r="OT41" s="3"/>
      <c r="OU41" s="3"/>
      <c r="OV41" s="3"/>
      <c r="OW41" s="3"/>
      <c r="OX41" s="3"/>
      <c r="OY41" s="3"/>
      <c r="OZ41" s="3"/>
      <c r="PA41" s="3"/>
      <c r="PB41" s="3"/>
      <c r="PC41" s="3"/>
      <c r="PD41" s="3"/>
      <c r="PE41" s="3"/>
      <c r="PF41" s="3"/>
      <c r="PG41" s="3"/>
      <c r="PH41" s="3"/>
      <c r="PI41" s="3"/>
      <c r="PJ41" s="3"/>
      <c r="PK41" s="3"/>
      <c r="PL41" s="3"/>
      <c r="PM41" s="3"/>
      <c r="PN41" s="3"/>
      <c r="PO41" s="3"/>
      <c r="PP41" s="3"/>
      <c r="PQ41" s="3"/>
      <c r="PR41" s="3"/>
      <c r="PS41" s="3"/>
      <c r="PT41" s="3"/>
      <c r="PU41" s="3"/>
      <c r="PV41" s="3"/>
      <c r="PW41" s="3"/>
      <c r="PX41" s="3"/>
      <c r="PY41" s="3"/>
      <c r="PZ41" s="3"/>
      <c r="QA41" s="3"/>
      <c r="QB41" s="3"/>
      <c r="QC41" s="3"/>
      <c r="QD41" s="3"/>
      <c r="QE41" s="3"/>
      <c r="QF41" s="3"/>
      <c r="QG41" s="3"/>
      <c r="QH41" s="3"/>
      <c r="QI41" s="3"/>
      <c r="QJ41" s="3"/>
      <c r="QK41" s="3"/>
      <c r="QL41" s="3"/>
      <c r="QM41" s="3"/>
      <c r="QN41" s="3"/>
      <c r="QO41" s="3"/>
      <c r="QP41" s="3"/>
      <c r="QQ41" s="3"/>
      <c r="QR41" s="3"/>
      <c r="QS41" s="3"/>
      <c r="QT41" s="3"/>
      <c r="QU41" s="3"/>
      <c r="QV41" s="3"/>
      <c r="QW41" s="3"/>
      <c r="QX41" s="3"/>
      <c r="QY41" s="3"/>
      <c r="QZ41" s="3"/>
      <c r="RA41" s="3"/>
      <c r="RB41" s="3"/>
      <c r="RC41" s="3"/>
      <c r="RD41" s="3"/>
      <c r="RE41" s="3"/>
      <c r="RF41" s="3"/>
      <c r="RG41" s="3"/>
      <c r="RH41" s="3"/>
      <c r="RI41" s="3"/>
      <c r="RJ41" s="3"/>
      <c r="RK41" s="3"/>
      <c r="RL41" s="3"/>
      <c r="RM41" s="3"/>
      <c r="RN41" s="3"/>
      <c r="RO41" s="3"/>
      <c r="RP41" s="3"/>
      <c r="RQ41" s="3"/>
      <c r="RR41" s="3"/>
      <c r="RS41" s="3"/>
      <c r="RT41" s="3"/>
      <c r="RU41" s="3"/>
      <c r="RV41" s="3"/>
      <c r="RW41" s="3"/>
      <c r="RX41" s="3"/>
      <c r="RY41" s="3"/>
      <c r="RZ41" s="3"/>
      <c r="SA41" s="3"/>
      <c r="SB41" s="3"/>
      <c r="SC41" s="3"/>
      <c r="SD41" s="3"/>
      <c r="SE41" s="3"/>
      <c r="SF41" s="3"/>
      <c r="SG41" s="3"/>
      <c r="SH41" s="3"/>
      <c r="SI41" s="3"/>
      <c r="SJ41" s="3"/>
      <c r="SK41" s="3"/>
      <c r="SL41" s="3"/>
      <c r="SM41" s="3"/>
      <c r="SN41" s="3"/>
      <c r="SO41" s="3"/>
      <c r="SP41" s="3"/>
      <c r="SQ41" s="3"/>
      <c r="SR41" s="3"/>
      <c r="SS41" s="3"/>
      <c r="ST41" s="3"/>
      <c r="SU41" s="3"/>
      <c r="SV41" s="3"/>
      <c r="SW41" s="3"/>
      <c r="SX41" s="3"/>
      <c r="SY41" s="3"/>
      <c r="SZ41" s="3"/>
      <c r="TA41" s="3"/>
      <c r="TB41" s="3"/>
      <c r="TC41" s="3"/>
      <c r="TD41" s="3"/>
      <c r="TE41" s="3"/>
      <c r="TF41" s="3"/>
      <c r="TG41" s="3"/>
      <c r="TH41" s="3"/>
      <c r="TI41" s="3"/>
      <c r="TJ41" s="3"/>
      <c r="TK41" s="3"/>
      <c r="TL41" s="3"/>
      <c r="TM41" s="3"/>
      <c r="TN41" s="3"/>
      <c r="TO41" s="3"/>
      <c r="TP41" s="3"/>
      <c r="TQ41" s="3"/>
      <c r="TR41" s="3"/>
      <c r="TS41" s="3"/>
      <c r="TT41" s="3"/>
      <c r="TU41" s="3"/>
      <c r="TV41" s="3"/>
      <c r="TW41" s="3"/>
      <c r="TX41" s="3"/>
      <c r="TY41" s="3"/>
      <c r="TZ41" s="3"/>
      <c r="UA41" s="3"/>
      <c r="UB41" s="3"/>
      <c r="UC41" s="3"/>
      <c r="UD41" s="3"/>
      <c r="UE41" s="3"/>
      <c r="UF41" s="3"/>
      <c r="UG41" s="3"/>
      <c r="UH41" s="3"/>
      <c r="UI41" s="3"/>
      <c r="UJ41" s="3"/>
      <c r="UK41" s="3"/>
      <c r="UL41" s="3"/>
      <c r="UM41" s="3"/>
      <c r="UN41" s="3"/>
      <c r="UO41" s="3"/>
      <c r="UP41" s="3"/>
      <c r="UQ41" s="3"/>
      <c r="UR41" s="3"/>
      <c r="US41" s="3"/>
      <c r="UT41" s="3"/>
      <c r="UU41" s="3"/>
      <c r="UV41" s="3"/>
      <c r="UW41" s="3"/>
      <c r="UX41" s="3"/>
      <c r="UY41" s="3"/>
      <c r="UZ41" s="3"/>
      <c r="VA41" s="3"/>
      <c r="VB41" s="3"/>
      <c r="VC41" s="3"/>
      <c r="VD41" s="3"/>
      <c r="VE41" s="3"/>
      <c r="VF41" s="3"/>
      <c r="VG41" s="3"/>
      <c r="VH41" s="3"/>
      <c r="VI41" s="3"/>
      <c r="VJ41" s="3"/>
      <c r="VK41" s="3"/>
      <c r="VL41" s="3"/>
      <c r="VM41" s="3"/>
      <c r="VN41" s="3"/>
      <c r="VO41" s="3"/>
      <c r="VP41" s="3"/>
      <c r="VQ41" s="3"/>
      <c r="VR41" s="3"/>
      <c r="VS41" s="3"/>
      <c r="VT41" s="3"/>
      <c r="VU41" s="3"/>
      <c r="VV41" s="3"/>
      <c r="VW41" s="3"/>
      <c r="VX41" s="3"/>
      <c r="VY41" s="3"/>
      <c r="VZ41" s="3"/>
      <c r="WA41" s="3"/>
      <c r="WB41" s="3"/>
      <c r="WC41" s="3"/>
      <c r="WD41" s="3"/>
      <c r="WE41" s="3"/>
      <c r="WF41" s="3"/>
      <c r="WG41" s="3"/>
      <c r="WH41" s="3"/>
      <c r="WI41" s="3"/>
      <c r="WJ41" s="3"/>
      <c r="WK41" s="3"/>
      <c r="WL41" s="3"/>
      <c r="WM41" s="3"/>
      <c r="WN41" s="3"/>
      <c r="WO41" s="3"/>
      <c r="WP41" s="3"/>
      <c r="WQ41" s="3"/>
      <c r="WR41" s="3"/>
      <c r="WS41" s="3"/>
      <c r="WT41" s="3"/>
      <c r="WU41" s="3"/>
      <c r="WV41" s="3"/>
      <c r="WW41" s="3"/>
      <c r="WX41" s="3"/>
      <c r="WY41" s="3"/>
      <c r="WZ41" s="3"/>
      <c r="XA41" s="3"/>
      <c r="XB41" s="3"/>
      <c r="XC41" s="3"/>
      <c r="XD41" s="3"/>
      <c r="XE41" s="3"/>
      <c r="XF41" s="3"/>
      <c r="XG41" s="3"/>
      <c r="XH41" s="3"/>
      <c r="XI41" s="3"/>
      <c r="XJ41" s="3"/>
      <c r="XK41" s="3"/>
      <c r="XL41" s="3"/>
      <c r="XM41" s="3"/>
      <c r="XN41" s="3"/>
      <c r="XO41" s="3"/>
      <c r="XP41" s="3"/>
      <c r="XQ41" s="3"/>
      <c r="XR41" s="3"/>
      <c r="XS41" s="3"/>
      <c r="XT41" s="3"/>
      <c r="XU41" s="3"/>
      <c r="XV41" s="3"/>
      <c r="XW41" s="3"/>
      <c r="XX41" s="3"/>
      <c r="XY41" s="3"/>
      <c r="XZ41" s="3"/>
      <c r="YA41" s="3"/>
      <c r="YB41" s="3"/>
      <c r="YC41" s="3"/>
      <c r="YD41" s="3"/>
      <c r="YE41" s="3"/>
      <c r="YF41" s="3"/>
      <c r="YG41" s="3"/>
      <c r="YH41" s="3"/>
      <c r="YI41" s="3"/>
      <c r="YJ41" s="3"/>
      <c r="YK41" s="3"/>
      <c r="YL41" s="3"/>
      <c r="YM41" s="3"/>
      <c r="YN41" s="3"/>
      <c r="YO41" s="3"/>
      <c r="YP41" s="3"/>
      <c r="YQ41" s="3"/>
      <c r="YR41" s="3"/>
      <c r="YS41" s="3"/>
      <c r="YT41" s="3"/>
      <c r="YU41" s="3"/>
      <c r="YV41" s="3"/>
      <c r="YW41" s="3"/>
      <c r="YX41" s="3"/>
      <c r="YY41" s="3"/>
      <c r="YZ41" s="3"/>
      <c r="ZA41" s="3"/>
      <c r="ZB41" s="3"/>
      <c r="ZC41" s="3"/>
      <c r="ZD41" s="3"/>
      <c r="ZE41" s="3"/>
      <c r="ZF41" s="3"/>
      <c r="ZG41" s="3"/>
      <c r="ZH41" s="3"/>
      <c r="ZI41" s="3"/>
      <c r="ZJ41" s="3"/>
      <c r="ZK41" s="3"/>
      <c r="ZL41" s="3"/>
      <c r="ZM41" s="3"/>
      <c r="ZN41" s="3"/>
      <c r="ZO41" s="3"/>
      <c r="ZP41" s="3"/>
      <c r="ZQ41" s="3"/>
      <c r="ZR41" s="3"/>
      <c r="ZS41" s="3"/>
      <c r="ZT41" s="3"/>
      <c r="ZU41" s="3"/>
      <c r="ZV41" s="3"/>
      <c r="ZW41" s="3"/>
      <c r="ZX41" s="3"/>
      <c r="ZY41" s="3"/>
      <c r="ZZ41" s="3"/>
      <c r="AAA41" s="3"/>
      <c r="AAB41" s="3"/>
      <c r="AAC41" s="3"/>
      <c r="AAD41" s="3"/>
      <c r="AAE41" s="3"/>
      <c r="AAF41" s="3"/>
      <c r="AAG41" s="3"/>
      <c r="AAH41" s="3"/>
      <c r="AAI41" s="3"/>
      <c r="AAJ41" s="3"/>
      <c r="AAK41" s="3"/>
      <c r="AAL41" s="3"/>
      <c r="AAM41" s="3"/>
      <c r="AAN41" s="3"/>
      <c r="AAO41" s="3"/>
      <c r="AAP41" s="3"/>
      <c r="AAQ41" s="3"/>
      <c r="AAR41" s="3"/>
      <c r="AAS41" s="3"/>
      <c r="AAT41" s="3"/>
      <c r="AAU41" s="3"/>
      <c r="AAV41" s="3"/>
      <c r="AAW41" s="3"/>
      <c r="AAX41" s="3"/>
      <c r="AAY41" s="3"/>
      <c r="AAZ41" s="3"/>
      <c r="ABA41" s="3"/>
      <c r="ABB41" s="3"/>
      <c r="ABC41" s="3"/>
      <c r="ABD41" s="3"/>
      <c r="ABE41" s="3"/>
      <c r="ABF41" s="3"/>
      <c r="ABG41" s="3"/>
      <c r="ABH41" s="3"/>
      <c r="ABI41" s="3"/>
      <c r="ABJ41" s="3"/>
      <c r="ABK41" s="3"/>
      <c r="ABL41" s="3"/>
      <c r="ABM41" s="3"/>
      <c r="ABN41" s="3"/>
      <c r="ABO41" s="3"/>
      <c r="ABP41" s="3"/>
      <c r="ABQ41" s="3"/>
      <c r="ABR41" s="3"/>
      <c r="ABS41" s="3"/>
      <c r="ABT41" s="3"/>
      <c r="ABU41" s="3"/>
      <c r="ABV41" s="3"/>
      <c r="ABW41" s="3"/>
      <c r="ABX41" s="3"/>
      <c r="ABY41" s="3"/>
      <c r="ABZ41" s="3"/>
      <c r="ACA41" s="3"/>
      <c r="ACB41" s="3"/>
      <c r="ACC41" s="3"/>
      <c r="ACD41" s="3"/>
      <c r="ACE41" s="3"/>
      <c r="ACF41" s="3"/>
      <c r="ACG41" s="3"/>
      <c r="ACH41" s="3"/>
      <c r="ACI41" s="3"/>
      <c r="ACJ41" s="3"/>
      <c r="ACK41" s="3"/>
      <c r="ACL41" s="3"/>
      <c r="ACM41" s="3"/>
      <c r="ACN41" s="3"/>
      <c r="ACO41" s="3"/>
      <c r="ACP41" s="3"/>
    </row>
    <row r="42" spans="1:770" s="248" customFormat="1">
      <c r="A42" s="292" t="e">
        <f t="shared" si="1"/>
        <v>#REF!</v>
      </c>
      <c r="B42" s="419" t="str">
        <f>+'Nomina Proquima'!B9</f>
        <v>Estrada Robles Juan Pablo</v>
      </c>
      <c r="C42" s="367" t="s">
        <v>266</v>
      </c>
      <c r="D42" s="401"/>
      <c r="E42" s="419" t="str">
        <f>+'Nomina Proquima'!B9</f>
        <v>Estrada Robles Juan Pablo</v>
      </c>
      <c r="F42" s="244" t="str">
        <f>VLOOKUP(B42,distribucion!B$9:FK$200,2,0)</f>
        <v xml:space="preserve">Asesor   </v>
      </c>
      <c r="G42" s="244">
        <f>ROUND((VLOOKUP($B42,'Nomina Proquima'!$B$4:$AB$145,4,0)),2)</f>
        <v>30</v>
      </c>
      <c r="H42" s="245">
        <f>ROUND((VLOOKUP($B42,'Nomina Proquima'!$B$4:$AB$145,6,0)),2)</f>
        <v>15000</v>
      </c>
      <c r="I42" s="245">
        <f>ROUND((VLOOKUP($B42,'Nomina Proquima'!$B$4:$AB$145,7,0)),2)</f>
        <v>169568.87</v>
      </c>
      <c r="J42" s="245">
        <f>ROUND((VLOOKUP($B42,'Nomina Proquima'!$B$4:$AB$145,9,0)),2)</f>
        <v>0</v>
      </c>
      <c r="K42" s="245">
        <f>ROUND((VLOOKUP($B42,'Nomina Proquima'!$B$4:$AB$145,10,0)),2)</f>
        <v>0</v>
      </c>
      <c r="L42" s="245">
        <f>ROUND((VLOOKUP($B42,'Nomina Proquima'!$B$4:$AB$145,11,0)),2)</f>
        <v>0</v>
      </c>
      <c r="M42" s="245">
        <f>ROUND((VLOOKUP($B42,'Nomina Proquima'!$B$4:$AB$145,12,0)),2)</f>
        <v>0</v>
      </c>
      <c r="N42" s="245">
        <f>ROUND((VLOOKUP($B42,'Nomina Proquima'!$B$4:$AB$145,13,0)),2)</f>
        <v>0</v>
      </c>
      <c r="O42" s="245">
        <f>ROUND((VLOOKUP($B42,'Nomina Proquima'!$B$4:$AB$145,14,0)),2)</f>
        <v>184568.87</v>
      </c>
      <c r="P42" s="245">
        <f>ROUND((VLOOKUP($B42,'Nomina Proquima'!$B$4:$AB$145,15,0)),2)</f>
        <v>724.5</v>
      </c>
      <c r="Q42" s="245">
        <f>ROUND((VLOOKUP($B42,'Nomina Proquima'!$B$4:$AB$145,16,0)),2)</f>
        <v>15719.44</v>
      </c>
      <c r="R42" s="245">
        <f>ROUND((VLOOKUP($B42,'Nomina Proquima'!$B$4:$AB$145,17,0)),2)</f>
        <v>0</v>
      </c>
      <c r="S42" s="245">
        <f>ROUND((VLOOKUP($B42,'Nomina Proquima'!$B$4:$AB$145,18,0)),2)</f>
        <v>0</v>
      </c>
      <c r="T42" s="245">
        <f>ROUND((VLOOKUP($B42,'Nomina Proquima'!$B$4:$AB$145,19,0)),2)</f>
        <v>0</v>
      </c>
      <c r="U42" s="245">
        <f>ROUND((VLOOKUP($B42,'Nomina Proquima'!$B$4:$AB$145,20,0)),2)</f>
        <v>0</v>
      </c>
      <c r="V42" s="245">
        <f>ROUND((VLOOKUP($B42,'Nomina Proquima'!$B$4:$AB$145,21,0)),2)</f>
        <v>0</v>
      </c>
      <c r="W42" s="245">
        <f>ROUND((VLOOKUP($B42,'Nomina Proquima'!$B$4:$AB$145,22,0)),2)</f>
        <v>0</v>
      </c>
      <c r="X42" s="245">
        <f>ROUND((VLOOKUP($B42,'Nomina Proquima'!$B$4:$AB$145,23,0)),2)</f>
        <v>16443.939999999999</v>
      </c>
      <c r="Y42" s="234">
        <f>ROUND((VLOOKUP($B42,'Nomina Proquima'!$B$4:$AB$147,24,0)),2)</f>
        <v>168124.93</v>
      </c>
      <c r="Z42" s="399">
        <f>VLOOKUP(B42,'Nomina Proquima'!$B$4:$AA$148,25,0)</f>
        <v>87233.45</v>
      </c>
      <c r="AA42" s="405">
        <f>ROUND((VLOOKUP($B42,'Nomina Proquima'!$B$4:$AB$145,26,0)),2)</f>
        <v>80891.48</v>
      </c>
      <c r="AB42" s="246"/>
      <c r="AC42" s="247"/>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c r="JF42" s="3"/>
      <c r="JG42" s="3"/>
      <c r="JH42" s="3"/>
      <c r="JI42" s="3"/>
      <c r="JJ42" s="3"/>
      <c r="JK42" s="3"/>
      <c r="JL42" s="3"/>
      <c r="JM42" s="3"/>
      <c r="JN42" s="3"/>
      <c r="JO42" s="3"/>
      <c r="JP42" s="3"/>
      <c r="JQ42" s="3"/>
      <c r="JR42" s="3"/>
      <c r="JS42" s="3"/>
      <c r="JT42" s="3"/>
      <c r="JU42" s="3"/>
      <c r="JV42" s="3"/>
      <c r="JW42" s="3"/>
      <c r="JX42" s="3"/>
      <c r="JY42" s="3"/>
      <c r="JZ42" s="3"/>
      <c r="KA42" s="3"/>
      <c r="KB42" s="3"/>
      <c r="KC42" s="3"/>
      <c r="KD42" s="3"/>
      <c r="KE42" s="3"/>
      <c r="KF42" s="3"/>
      <c r="KG42" s="3"/>
      <c r="KH42" s="3"/>
      <c r="KI42" s="3"/>
      <c r="KJ42" s="3"/>
      <c r="KK42" s="3"/>
      <c r="KL42" s="3"/>
      <c r="KM42" s="3"/>
      <c r="KN42" s="3"/>
      <c r="KO42" s="3"/>
      <c r="KP42" s="3"/>
      <c r="KQ42" s="3"/>
      <c r="KR42" s="3"/>
      <c r="KS42" s="3"/>
      <c r="KT42" s="3"/>
      <c r="KU42" s="3"/>
      <c r="KV42" s="3"/>
      <c r="KW42" s="3"/>
      <c r="KX42" s="3"/>
      <c r="KY42" s="3"/>
      <c r="KZ42" s="3"/>
      <c r="LA42" s="3"/>
      <c r="LB42" s="3"/>
      <c r="LC42" s="3"/>
      <c r="LD42" s="3"/>
      <c r="LE42" s="3"/>
      <c r="LF42" s="3"/>
      <c r="LG42" s="3"/>
      <c r="LH42" s="3"/>
      <c r="LI42" s="3"/>
      <c r="LJ42" s="3"/>
      <c r="LK42" s="3"/>
      <c r="LL42" s="3"/>
      <c r="LM42" s="3"/>
      <c r="LN42" s="3"/>
      <c r="LO42" s="3"/>
      <c r="LP42" s="3"/>
      <c r="LQ42" s="3"/>
      <c r="LR42" s="3"/>
      <c r="LS42" s="3"/>
      <c r="LT42" s="3"/>
      <c r="LU42" s="3"/>
      <c r="LV42" s="3"/>
      <c r="LW42" s="3"/>
      <c r="LX42" s="3"/>
      <c r="LY42" s="3"/>
      <c r="LZ42" s="3"/>
      <c r="MA42" s="3"/>
      <c r="MB42" s="3"/>
      <c r="MC42" s="3"/>
      <c r="MD42" s="3"/>
      <c r="ME42" s="3"/>
      <c r="MF42" s="3"/>
      <c r="MG42" s="3"/>
      <c r="MH42" s="3"/>
      <c r="MI42" s="3"/>
      <c r="MJ42" s="3"/>
      <c r="MK42" s="3"/>
      <c r="ML42" s="3"/>
      <c r="MM42" s="3"/>
      <c r="MN42" s="3"/>
      <c r="MO42" s="3"/>
      <c r="MP42" s="3"/>
      <c r="MQ42" s="3"/>
      <c r="MR42" s="3"/>
      <c r="MS42" s="3"/>
      <c r="MT42" s="3"/>
      <c r="MU42" s="3"/>
      <c r="MV42" s="3"/>
      <c r="MW42" s="3"/>
      <c r="MX42" s="3"/>
      <c r="MY42" s="3"/>
      <c r="MZ42" s="3"/>
      <c r="NA42" s="3"/>
      <c r="NB42" s="3"/>
      <c r="NC42" s="3"/>
      <c r="ND42" s="3"/>
      <c r="NE42" s="3"/>
      <c r="NF42" s="3"/>
      <c r="NG42" s="3"/>
      <c r="NH42" s="3"/>
      <c r="NI42" s="3"/>
      <c r="NJ42" s="3"/>
      <c r="NK42" s="3"/>
      <c r="NL42" s="3"/>
      <c r="NM42" s="3"/>
      <c r="NN42" s="3"/>
      <c r="NO42" s="3"/>
      <c r="NP42" s="3"/>
      <c r="NQ42" s="3"/>
      <c r="NR42" s="3"/>
      <c r="NS42" s="3"/>
      <c r="NT42" s="3"/>
      <c r="NU42" s="3"/>
      <c r="NV42" s="3"/>
      <c r="NW42" s="3"/>
      <c r="NX42" s="3"/>
      <c r="NY42" s="3"/>
      <c r="NZ42" s="3"/>
      <c r="OA42" s="3"/>
      <c r="OB42" s="3"/>
      <c r="OC42" s="3"/>
      <c r="OD42" s="3"/>
      <c r="OE42" s="3"/>
      <c r="OF42" s="3"/>
      <c r="OG42" s="3"/>
      <c r="OH42" s="3"/>
      <c r="OI42" s="3"/>
      <c r="OJ42" s="3"/>
      <c r="OK42" s="3"/>
      <c r="OL42" s="3"/>
      <c r="OM42" s="3"/>
      <c r="ON42" s="3"/>
      <c r="OO42" s="3"/>
      <c r="OP42" s="3"/>
      <c r="OQ42" s="3"/>
      <c r="OR42" s="3"/>
      <c r="OS42" s="3"/>
      <c r="OT42" s="3"/>
      <c r="OU42" s="3"/>
      <c r="OV42" s="3"/>
      <c r="OW42" s="3"/>
      <c r="OX42" s="3"/>
      <c r="OY42" s="3"/>
      <c r="OZ42" s="3"/>
      <c r="PA42" s="3"/>
      <c r="PB42" s="3"/>
      <c r="PC42" s="3"/>
      <c r="PD42" s="3"/>
      <c r="PE42" s="3"/>
      <c r="PF42" s="3"/>
      <c r="PG42" s="3"/>
      <c r="PH42" s="3"/>
      <c r="PI42" s="3"/>
      <c r="PJ42" s="3"/>
      <c r="PK42" s="3"/>
      <c r="PL42" s="3"/>
      <c r="PM42" s="3"/>
      <c r="PN42" s="3"/>
      <c r="PO42" s="3"/>
      <c r="PP42" s="3"/>
      <c r="PQ42" s="3"/>
      <c r="PR42" s="3"/>
      <c r="PS42" s="3"/>
      <c r="PT42" s="3"/>
      <c r="PU42" s="3"/>
      <c r="PV42" s="3"/>
      <c r="PW42" s="3"/>
      <c r="PX42" s="3"/>
      <c r="PY42" s="3"/>
      <c r="PZ42" s="3"/>
      <c r="QA42" s="3"/>
      <c r="QB42" s="3"/>
      <c r="QC42" s="3"/>
      <c r="QD42" s="3"/>
      <c r="QE42" s="3"/>
      <c r="QF42" s="3"/>
      <c r="QG42" s="3"/>
      <c r="QH42" s="3"/>
      <c r="QI42" s="3"/>
      <c r="QJ42" s="3"/>
      <c r="QK42" s="3"/>
      <c r="QL42" s="3"/>
      <c r="QM42" s="3"/>
      <c r="QN42" s="3"/>
      <c r="QO42" s="3"/>
      <c r="QP42" s="3"/>
      <c r="QQ42" s="3"/>
      <c r="QR42" s="3"/>
      <c r="QS42" s="3"/>
      <c r="QT42" s="3"/>
      <c r="QU42" s="3"/>
      <c r="QV42" s="3"/>
      <c r="QW42" s="3"/>
      <c r="QX42" s="3"/>
      <c r="QY42" s="3"/>
      <c r="QZ42" s="3"/>
      <c r="RA42" s="3"/>
      <c r="RB42" s="3"/>
      <c r="RC42" s="3"/>
      <c r="RD42" s="3"/>
      <c r="RE42" s="3"/>
      <c r="RF42" s="3"/>
      <c r="RG42" s="3"/>
      <c r="RH42" s="3"/>
      <c r="RI42" s="3"/>
      <c r="RJ42" s="3"/>
      <c r="RK42" s="3"/>
      <c r="RL42" s="3"/>
      <c r="RM42" s="3"/>
      <c r="RN42" s="3"/>
      <c r="RO42" s="3"/>
      <c r="RP42" s="3"/>
      <c r="RQ42" s="3"/>
      <c r="RR42" s="3"/>
      <c r="RS42" s="3"/>
      <c r="RT42" s="3"/>
      <c r="RU42" s="3"/>
      <c r="RV42" s="3"/>
      <c r="RW42" s="3"/>
      <c r="RX42" s="3"/>
      <c r="RY42" s="3"/>
      <c r="RZ42" s="3"/>
      <c r="SA42" s="3"/>
      <c r="SB42" s="3"/>
      <c r="SC42" s="3"/>
      <c r="SD42" s="3"/>
      <c r="SE42" s="3"/>
      <c r="SF42" s="3"/>
      <c r="SG42" s="3"/>
      <c r="SH42" s="3"/>
      <c r="SI42" s="3"/>
      <c r="SJ42" s="3"/>
      <c r="SK42" s="3"/>
      <c r="SL42" s="3"/>
      <c r="SM42" s="3"/>
      <c r="SN42" s="3"/>
      <c r="SO42" s="3"/>
      <c r="SP42" s="3"/>
      <c r="SQ42" s="3"/>
      <c r="SR42" s="3"/>
      <c r="SS42" s="3"/>
      <c r="ST42" s="3"/>
      <c r="SU42" s="3"/>
      <c r="SV42" s="3"/>
      <c r="SW42" s="3"/>
      <c r="SX42" s="3"/>
      <c r="SY42" s="3"/>
      <c r="SZ42" s="3"/>
      <c r="TA42" s="3"/>
      <c r="TB42" s="3"/>
      <c r="TC42" s="3"/>
      <c r="TD42" s="3"/>
      <c r="TE42" s="3"/>
      <c r="TF42" s="3"/>
      <c r="TG42" s="3"/>
      <c r="TH42" s="3"/>
      <c r="TI42" s="3"/>
      <c r="TJ42" s="3"/>
      <c r="TK42" s="3"/>
      <c r="TL42" s="3"/>
      <c r="TM42" s="3"/>
      <c r="TN42" s="3"/>
      <c r="TO42" s="3"/>
      <c r="TP42" s="3"/>
      <c r="TQ42" s="3"/>
      <c r="TR42" s="3"/>
      <c r="TS42" s="3"/>
      <c r="TT42" s="3"/>
      <c r="TU42" s="3"/>
      <c r="TV42" s="3"/>
      <c r="TW42" s="3"/>
      <c r="TX42" s="3"/>
      <c r="TY42" s="3"/>
      <c r="TZ42" s="3"/>
      <c r="UA42" s="3"/>
      <c r="UB42" s="3"/>
      <c r="UC42" s="3"/>
      <c r="UD42" s="3"/>
      <c r="UE42" s="3"/>
      <c r="UF42" s="3"/>
      <c r="UG42" s="3"/>
      <c r="UH42" s="3"/>
      <c r="UI42" s="3"/>
      <c r="UJ42" s="3"/>
      <c r="UK42" s="3"/>
      <c r="UL42" s="3"/>
      <c r="UM42" s="3"/>
      <c r="UN42" s="3"/>
      <c r="UO42" s="3"/>
      <c r="UP42" s="3"/>
      <c r="UQ42" s="3"/>
      <c r="UR42" s="3"/>
      <c r="US42" s="3"/>
      <c r="UT42" s="3"/>
      <c r="UU42" s="3"/>
      <c r="UV42" s="3"/>
      <c r="UW42" s="3"/>
      <c r="UX42" s="3"/>
      <c r="UY42" s="3"/>
      <c r="UZ42" s="3"/>
      <c r="VA42" s="3"/>
      <c r="VB42" s="3"/>
      <c r="VC42" s="3"/>
      <c r="VD42" s="3"/>
      <c r="VE42" s="3"/>
      <c r="VF42" s="3"/>
      <c r="VG42" s="3"/>
      <c r="VH42" s="3"/>
      <c r="VI42" s="3"/>
      <c r="VJ42" s="3"/>
      <c r="VK42" s="3"/>
      <c r="VL42" s="3"/>
      <c r="VM42" s="3"/>
      <c r="VN42" s="3"/>
      <c r="VO42" s="3"/>
      <c r="VP42" s="3"/>
      <c r="VQ42" s="3"/>
      <c r="VR42" s="3"/>
      <c r="VS42" s="3"/>
      <c r="VT42" s="3"/>
      <c r="VU42" s="3"/>
      <c r="VV42" s="3"/>
      <c r="VW42" s="3"/>
      <c r="VX42" s="3"/>
      <c r="VY42" s="3"/>
      <c r="VZ42" s="3"/>
      <c r="WA42" s="3"/>
      <c r="WB42" s="3"/>
      <c r="WC42" s="3"/>
      <c r="WD42" s="3"/>
      <c r="WE42" s="3"/>
      <c r="WF42" s="3"/>
      <c r="WG42" s="3"/>
      <c r="WH42" s="3"/>
      <c r="WI42" s="3"/>
      <c r="WJ42" s="3"/>
      <c r="WK42" s="3"/>
      <c r="WL42" s="3"/>
      <c r="WM42" s="3"/>
      <c r="WN42" s="3"/>
      <c r="WO42" s="3"/>
      <c r="WP42" s="3"/>
      <c r="WQ42" s="3"/>
      <c r="WR42" s="3"/>
      <c r="WS42" s="3"/>
      <c r="WT42" s="3"/>
      <c r="WU42" s="3"/>
      <c r="WV42" s="3"/>
      <c r="WW42" s="3"/>
      <c r="WX42" s="3"/>
      <c r="WY42" s="3"/>
      <c r="WZ42" s="3"/>
      <c r="XA42" s="3"/>
      <c r="XB42" s="3"/>
      <c r="XC42" s="3"/>
      <c r="XD42" s="3"/>
      <c r="XE42" s="3"/>
      <c r="XF42" s="3"/>
      <c r="XG42" s="3"/>
      <c r="XH42" s="3"/>
      <c r="XI42" s="3"/>
      <c r="XJ42" s="3"/>
      <c r="XK42" s="3"/>
      <c r="XL42" s="3"/>
      <c r="XM42" s="3"/>
      <c r="XN42" s="3"/>
      <c r="XO42" s="3"/>
      <c r="XP42" s="3"/>
      <c r="XQ42" s="3"/>
      <c r="XR42" s="3"/>
      <c r="XS42" s="3"/>
      <c r="XT42" s="3"/>
      <c r="XU42" s="3"/>
      <c r="XV42" s="3"/>
      <c r="XW42" s="3"/>
      <c r="XX42" s="3"/>
      <c r="XY42" s="3"/>
      <c r="XZ42" s="3"/>
      <c r="YA42" s="3"/>
      <c r="YB42" s="3"/>
      <c r="YC42" s="3"/>
      <c r="YD42" s="3"/>
      <c r="YE42" s="3"/>
      <c r="YF42" s="3"/>
      <c r="YG42" s="3"/>
      <c r="YH42" s="3"/>
      <c r="YI42" s="3"/>
      <c r="YJ42" s="3"/>
      <c r="YK42" s="3"/>
      <c r="YL42" s="3"/>
      <c r="YM42" s="3"/>
      <c r="YN42" s="3"/>
      <c r="YO42" s="3"/>
      <c r="YP42" s="3"/>
      <c r="YQ42" s="3"/>
      <c r="YR42" s="3"/>
      <c r="YS42" s="3"/>
      <c r="YT42" s="3"/>
      <c r="YU42" s="3"/>
      <c r="YV42" s="3"/>
      <c r="YW42" s="3"/>
      <c r="YX42" s="3"/>
      <c r="YY42" s="3"/>
      <c r="YZ42" s="3"/>
      <c r="ZA42" s="3"/>
      <c r="ZB42" s="3"/>
      <c r="ZC42" s="3"/>
      <c r="ZD42" s="3"/>
      <c r="ZE42" s="3"/>
      <c r="ZF42" s="3"/>
      <c r="ZG42" s="3"/>
      <c r="ZH42" s="3"/>
      <c r="ZI42" s="3"/>
      <c r="ZJ42" s="3"/>
      <c r="ZK42" s="3"/>
      <c r="ZL42" s="3"/>
      <c r="ZM42" s="3"/>
      <c r="ZN42" s="3"/>
      <c r="ZO42" s="3"/>
      <c r="ZP42" s="3"/>
      <c r="ZQ42" s="3"/>
      <c r="ZR42" s="3"/>
      <c r="ZS42" s="3"/>
      <c r="ZT42" s="3"/>
      <c r="ZU42" s="3"/>
      <c r="ZV42" s="3"/>
      <c r="ZW42" s="3"/>
      <c r="ZX42" s="3"/>
      <c r="ZY42" s="3"/>
      <c r="ZZ42" s="3"/>
      <c r="AAA42" s="3"/>
      <c r="AAB42" s="3"/>
      <c r="AAC42" s="3"/>
      <c r="AAD42" s="3"/>
      <c r="AAE42" s="3"/>
      <c r="AAF42" s="3"/>
      <c r="AAG42" s="3"/>
      <c r="AAH42" s="3"/>
      <c r="AAI42" s="3"/>
      <c r="AAJ42" s="3"/>
      <c r="AAK42" s="3"/>
      <c r="AAL42" s="3"/>
      <c r="AAM42" s="3"/>
      <c r="AAN42" s="3"/>
      <c r="AAO42" s="3"/>
      <c r="AAP42" s="3"/>
      <c r="AAQ42" s="3"/>
      <c r="AAR42" s="3"/>
      <c r="AAS42" s="3"/>
      <c r="AAT42" s="3"/>
      <c r="AAU42" s="3"/>
      <c r="AAV42" s="3"/>
      <c r="AAW42" s="3"/>
      <c r="AAX42" s="3"/>
      <c r="AAY42" s="3"/>
      <c r="AAZ42" s="3"/>
      <c r="ABA42" s="3"/>
      <c r="ABB42" s="3"/>
      <c r="ABC42" s="3"/>
      <c r="ABD42" s="3"/>
      <c r="ABE42" s="3"/>
      <c r="ABF42" s="3"/>
      <c r="ABG42" s="3"/>
      <c r="ABH42" s="3"/>
      <c r="ABI42" s="3"/>
      <c r="ABJ42" s="3"/>
      <c r="ABK42" s="3"/>
      <c r="ABL42" s="3"/>
      <c r="ABM42" s="3"/>
      <c r="ABN42" s="3"/>
      <c r="ABO42" s="3"/>
      <c r="ABP42" s="3"/>
      <c r="ABQ42" s="3"/>
      <c r="ABR42" s="3"/>
      <c r="ABS42" s="3"/>
      <c r="ABT42" s="3"/>
      <c r="ABU42" s="3"/>
      <c r="ABV42" s="3"/>
      <c r="ABW42" s="3"/>
      <c r="ABX42" s="3"/>
      <c r="ABY42" s="3"/>
      <c r="ABZ42" s="3"/>
      <c r="ACA42" s="3"/>
      <c r="ACB42" s="3"/>
      <c r="ACC42" s="3"/>
      <c r="ACD42" s="3"/>
      <c r="ACE42" s="3"/>
      <c r="ACF42" s="3"/>
      <c r="ACG42" s="3"/>
      <c r="ACH42" s="3"/>
      <c r="ACI42" s="3"/>
      <c r="ACJ42" s="3"/>
      <c r="ACK42" s="3"/>
      <c r="ACL42" s="3"/>
      <c r="ACM42" s="3"/>
      <c r="ACN42" s="3"/>
      <c r="ACO42" s="3"/>
      <c r="ACP42" s="3"/>
    </row>
    <row r="43" spans="1:770" s="248" customFormat="1">
      <c r="A43" s="292" t="e">
        <f>+#REF!+1</f>
        <v>#REF!</v>
      </c>
      <c r="B43" s="419" t="str">
        <f>+'Nomina Proquima'!B74</f>
        <v>Guerra Tobar Melvin Esleiter</v>
      </c>
      <c r="C43" s="367">
        <v>16265050383418</v>
      </c>
      <c r="D43" s="401"/>
      <c r="E43" s="419" t="str">
        <f>+'Nomina Proquima'!B74</f>
        <v>Guerra Tobar Melvin Esleiter</v>
      </c>
      <c r="F43" s="244" t="str">
        <f>VLOOKUP(B43,distribucion!B$9:FK$200,2,0)</f>
        <v>Operario  Sobres</v>
      </c>
      <c r="G43" s="244">
        <f>ROUND((VLOOKUP($B43,'Nomina Proquima'!$B$4:$AB$145,4,0)),2)</f>
        <v>30</v>
      </c>
      <c r="H43" s="245">
        <f>ROUND((VLOOKUP($B43,'Nomina Proquima'!$B$4:$AB$145,6,0)),2)</f>
        <v>3166.38</v>
      </c>
      <c r="I43" s="245">
        <f>ROUND((VLOOKUP($B43,'Nomina Proquima'!$B$4:$AB$145,7,0)),2)</f>
        <v>2725</v>
      </c>
      <c r="J43" s="245">
        <f>ROUND((VLOOKUP($B43,'Nomina Proquima'!$B$4:$AB$145,9,0)),2)</f>
        <v>0</v>
      </c>
      <c r="K43" s="245">
        <f>ROUND((VLOOKUP($B43,'Nomina Proquima'!$B$4:$AB$145,10,0)),2)</f>
        <v>0</v>
      </c>
      <c r="L43" s="245">
        <f>ROUND((VLOOKUP($B43,'Nomina Proquima'!$B$4:$AB$145,11,0)),2)</f>
        <v>0</v>
      </c>
      <c r="M43" s="245">
        <f>ROUND((VLOOKUP($B43,'Nomina Proquima'!$B$4:$AB$145,12,0)),2)</f>
        <v>0</v>
      </c>
      <c r="N43" s="245">
        <f>ROUND((VLOOKUP($B43,'Nomina Proquima'!$B$4:$AB$145,13,0)),2)</f>
        <v>0</v>
      </c>
      <c r="O43" s="245">
        <f>ROUND((VLOOKUP($B43,'Nomina Proquima'!$B$4:$AB$145,14,0)),2)</f>
        <v>5891.38</v>
      </c>
      <c r="P43" s="245">
        <f>ROUND((VLOOKUP($B43,'Nomina Proquima'!$B$4:$AB$145,15,0)),2)</f>
        <v>152.94</v>
      </c>
      <c r="Q43" s="245">
        <f>ROUND((VLOOKUP($B43,'Nomina Proquima'!$B$4:$AB$145,16,0)),2)</f>
        <v>78.17</v>
      </c>
      <c r="R43" s="245">
        <f>ROUND((VLOOKUP($B43,'Nomina Proquima'!$B$4:$AB$145,17,0)),2)</f>
        <v>0</v>
      </c>
      <c r="S43" s="245">
        <f>ROUND((VLOOKUP($B43,'Nomina Proquima'!$B$4:$AB$145,18,0)),2)</f>
        <v>0</v>
      </c>
      <c r="T43" s="245">
        <f>ROUND((VLOOKUP($B43,'Nomina Proquima'!$B$4:$AB$145,19,0)),2)</f>
        <v>0</v>
      </c>
      <c r="U43" s="245">
        <f>ROUND((VLOOKUP($B43,'Nomina Proquima'!$B$4:$AB$145,20,0)),2)</f>
        <v>0</v>
      </c>
      <c r="V43" s="245">
        <f>ROUND((VLOOKUP($B43,'Nomina Proquima'!$B$4:$AB$145,21,0)),2)</f>
        <v>350.5</v>
      </c>
      <c r="W43" s="245">
        <f>ROUND((VLOOKUP($B43,'Nomina Proquima'!$B$4:$AB$145,22,0)),2)</f>
        <v>50</v>
      </c>
      <c r="X43" s="245">
        <f>ROUND((VLOOKUP($B43,'Nomina Proquima'!$B$4:$AB$145,23,0)),2)</f>
        <v>631.61</v>
      </c>
      <c r="Y43" s="234">
        <f>ROUND((VLOOKUP($B43,'Nomina Proquima'!$B$4:$AB$147,24,0)),2)</f>
        <v>5259.77</v>
      </c>
      <c r="Z43" s="399">
        <f>VLOOKUP(B43,'Nomina Proquima'!$B$4:$AA$148,25,0)</f>
        <v>1475.47</v>
      </c>
      <c r="AA43" s="405">
        <f>ROUND((VLOOKUP($B43,'Nomina Proquima'!$B$4:$AB$145,26,0)),2)</f>
        <v>3784.3</v>
      </c>
      <c r="AB43" s="246"/>
      <c r="AC43" s="247"/>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c r="JH43" s="3"/>
      <c r="JI43" s="3"/>
      <c r="JJ43" s="3"/>
      <c r="JK43" s="3"/>
      <c r="JL43" s="3"/>
      <c r="JM43" s="3"/>
      <c r="JN43" s="3"/>
      <c r="JO43" s="3"/>
      <c r="JP43" s="3"/>
      <c r="JQ43" s="3"/>
      <c r="JR43" s="3"/>
      <c r="JS43" s="3"/>
      <c r="JT43" s="3"/>
      <c r="JU43" s="3"/>
      <c r="JV43" s="3"/>
      <c r="JW43" s="3"/>
      <c r="JX43" s="3"/>
      <c r="JY43" s="3"/>
      <c r="JZ43" s="3"/>
      <c r="KA43" s="3"/>
      <c r="KB43" s="3"/>
      <c r="KC43" s="3"/>
      <c r="KD43" s="3"/>
      <c r="KE43" s="3"/>
      <c r="KF43" s="3"/>
      <c r="KG43" s="3"/>
      <c r="KH43" s="3"/>
      <c r="KI43" s="3"/>
      <c r="KJ43" s="3"/>
      <c r="KK43" s="3"/>
      <c r="KL43" s="3"/>
      <c r="KM43" s="3"/>
      <c r="KN43" s="3"/>
      <c r="KO43" s="3"/>
      <c r="KP43" s="3"/>
      <c r="KQ43" s="3"/>
      <c r="KR43" s="3"/>
      <c r="KS43" s="3"/>
      <c r="KT43" s="3"/>
      <c r="KU43" s="3"/>
      <c r="KV43" s="3"/>
      <c r="KW43" s="3"/>
      <c r="KX43" s="3"/>
      <c r="KY43" s="3"/>
      <c r="KZ43" s="3"/>
      <c r="LA43" s="3"/>
      <c r="LB43" s="3"/>
      <c r="LC43" s="3"/>
      <c r="LD43" s="3"/>
      <c r="LE43" s="3"/>
      <c r="LF43" s="3"/>
      <c r="LG43" s="3"/>
      <c r="LH43" s="3"/>
      <c r="LI43" s="3"/>
      <c r="LJ43" s="3"/>
      <c r="LK43" s="3"/>
      <c r="LL43" s="3"/>
      <c r="LM43" s="3"/>
      <c r="LN43" s="3"/>
      <c r="LO43" s="3"/>
      <c r="LP43" s="3"/>
      <c r="LQ43" s="3"/>
      <c r="LR43" s="3"/>
      <c r="LS43" s="3"/>
      <c r="LT43" s="3"/>
      <c r="LU43" s="3"/>
      <c r="LV43" s="3"/>
      <c r="LW43" s="3"/>
      <c r="LX43" s="3"/>
      <c r="LY43" s="3"/>
      <c r="LZ43" s="3"/>
      <c r="MA43" s="3"/>
      <c r="MB43" s="3"/>
      <c r="MC43" s="3"/>
      <c r="MD43" s="3"/>
      <c r="ME43" s="3"/>
      <c r="MF43" s="3"/>
      <c r="MG43" s="3"/>
      <c r="MH43" s="3"/>
      <c r="MI43" s="3"/>
      <c r="MJ43" s="3"/>
      <c r="MK43" s="3"/>
      <c r="ML43" s="3"/>
      <c r="MM43" s="3"/>
      <c r="MN43" s="3"/>
      <c r="MO43" s="3"/>
      <c r="MP43" s="3"/>
      <c r="MQ43" s="3"/>
      <c r="MR43" s="3"/>
      <c r="MS43" s="3"/>
      <c r="MT43" s="3"/>
      <c r="MU43" s="3"/>
      <c r="MV43" s="3"/>
      <c r="MW43" s="3"/>
      <c r="MX43" s="3"/>
      <c r="MY43" s="3"/>
      <c r="MZ43" s="3"/>
      <c r="NA43" s="3"/>
      <c r="NB43" s="3"/>
      <c r="NC43" s="3"/>
      <c r="ND43" s="3"/>
      <c r="NE43" s="3"/>
      <c r="NF43" s="3"/>
      <c r="NG43" s="3"/>
      <c r="NH43" s="3"/>
      <c r="NI43" s="3"/>
      <c r="NJ43" s="3"/>
      <c r="NK43" s="3"/>
      <c r="NL43" s="3"/>
      <c r="NM43" s="3"/>
      <c r="NN43" s="3"/>
      <c r="NO43" s="3"/>
      <c r="NP43" s="3"/>
      <c r="NQ43" s="3"/>
      <c r="NR43" s="3"/>
      <c r="NS43" s="3"/>
      <c r="NT43" s="3"/>
      <c r="NU43" s="3"/>
      <c r="NV43" s="3"/>
      <c r="NW43" s="3"/>
      <c r="NX43" s="3"/>
      <c r="NY43" s="3"/>
      <c r="NZ43" s="3"/>
      <c r="OA43" s="3"/>
      <c r="OB43" s="3"/>
      <c r="OC43" s="3"/>
      <c r="OD43" s="3"/>
      <c r="OE43" s="3"/>
      <c r="OF43" s="3"/>
      <c r="OG43" s="3"/>
      <c r="OH43" s="3"/>
      <c r="OI43" s="3"/>
      <c r="OJ43" s="3"/>
      <c r="OK43" s="3"/>
      <c r="OL43" s="3"/>
      <c r="OM43" s="3"/>
      <c r="ON43" s="3"/>
      <c r="OO43" s="3"/>
      <c r="OP43" s="3"/>
      <c r="OQ43" s="3"/>
      <c r="OR43" s="3"/>
      <c r="OS43" s="3"/>
      <c r="OT43" s="3"/>
      <c r="OU43" s="3"/>
      <c r="OV43" s="3"/>
      <c r="OW43" s="3"/>
      <c r="OX43" s="3"/>
      <c r="OY43" s="3"/>
      <c r="OZ43" s="3"/>
      <c r="PA43" s="3"/>
      <c r="PB43" s="3"/>
      <c r="PC43" s="3"/>
      <c r="PD43" s="3"/>
      <c r="PE43" s="3"/>
      <c r="PF43" s="3"/>
      <c r="PG43" s="3"/>
      <c r="PH43" s="3"/>
      <c r="PI43" s="3"/>
      <c r="PJ43" s="3"/>
      <c r="PK43" s="3"/>
      <c r="PL43" s="3"/>
      <c r="PM43" s="3"/>
      <c r="PN43" s="3"/>
      <c r="PO43" s="3"/>
      <c r="PP43" s="3"/>
      <c r="PQ43" s="3"/>
      <c r="PR43" s="3"/>
      <c r="PS43" s="3"/>
      <c r="PT43" s="3"/>
      <c r="PU43" s="3"/>
      <c r="PV43" s="3"/>
      <c r="PW43" s="3"/>
      <c r="PX43" s="3"/>
      <c r="PY43" s="3"/>
      <c r="PZ43" s="3"/>
      <c r="QA43" s="3"/>
      <c r="QB43" s="3"/>
      <c r="QC43" s="3"/>
      <c r="QD43" s="3"/>
      <c r="QE43" s="3"/>
      <c r="QF43" s="3"/>
      <c r="QG43" s="3"/>
      <c r="QH43" s="3"/>
      <c r="QI43" s="3"/>
      <c r="QJ43" s="3"/>
      <c r="QK43" s="3"/>
      <c r="QL43" s="3"/>
      <c r="QM43" s="3"/>
      <c r="QN43" s="3"/>
      <c r="QO43" s="3"/>
      <c r="QP43" s="3"/>
      <c r="QQ43" s="3"/>
      <c r="QR43" s="3"/>
      <c r="QS43" s="3"/>
      <c r="QT43" s="3"/>
      <c r="QU43" s="3"/>
      <c r="QV43" s="3"/>
      <c r="QW43" s="3"/>
      <c r="QX43" s="3"/>
      <c r="QY43" s="3"/>
      <c r="QZ43" s="3"/>
      <c r="RA43" s="3"/>
      <c r="RB43" s="3"/>
      <c r="RC43" s="3"/>
      <c r="RD43" s="3"/>
      <c r="RE43" s="3"/>
      <c r="RF43" s="3"/>
      <c r="RG43" s="3"/>
      <c r="RH43" s="3"/>
      <c r="RI43" s="3"/>
      <c r="RJ43" s="3"/>
      <c r="RK43" s="3"/>
      <c r="RL43" s="3"/>
      <c r="RM43" s="3"/>
      <c r="RN43" s="3"/>
      <c r="RO43" s="3"/>
      <c r="RP43" s="3"/>
      <c r="RQ43" s="3"/>
      <c r="RR43" s="3"/>
      <c r="RS43" s="3"/>
      <c r="RT43" s="3"/>
      <c r="RU43" s="3"/>
      <c r="RV43" s="3"/>
      <c r="RW43" s="3"/>
      <c r="RX43" s="3"/>
      <c r="RY43" s="3"/>
      <c r="RZ43" s="3"/>
      <c r="SA43" s="3"/>
      <c r="SB43" s="3"/>
      <c r="SC43" s="3"/>
      <c r="SD43" s="3"/>
      <c r="SE43" s="3"/>
      <c r="SF43" s="3"/>
      <c r="SG43" s="3"/>
      <c r="SH43" s="3"/>
      <c r="SI43" s="3"/>
      <c r="SJ43" s="3"/>
      <c r="SK43" s="3"/>
      <c r="SL43" s="3"/>
      <c r="SM43" s="3"/>
      <c r="SN43" s="3"/>
      <c r="SO43" s="3"/>
      <c r="SP43" s="3"/>
      <c r="SQ43" s="3"/>
      <c r="SR43" s="3"/>
      <c r="SS43" s="3"/>
      <c r="ST43" s="3"/>
      <c r="SU43" s="3"/>
      <c r="SV43" s="3"/>
      <c r="SW43" s="3"/>
      <c r="SX43" s="3"/>
      <c r="SY43" s="3"/>
      <c r="SZ43" s="3"/>
      <c r="TA43" s="3"/>
      <c r="TB43" s="3"/>
      <c r="TC43" s="3"/>
      <c r="TD43" s="3"/>
      <c r="TE43" s="3"/>
      <c r="TF43" s="3"/>
      <c r="TG43" s="3"/>
      <c r="TH43" s="3"/>
      <c r="TI43" s="3"/>
      <c r="TJ43" s="3"/>
      <c r="TK43" s="3"/>
      <c r="TL43" s="3"/>
      <c r="TM43" s="3"/>
      <c r="TN43" s="3"/>
      <c r="TO43" s="3"/>
      <c r="TP43" s="3"/>
      <c r="TQ43" s="3"/>
      <c r="TR43" s="3"/>
      <c r="TS43" s="3"/>
      <c r="TT43" s="3"/>
      <c r="TU43" s="3"/>
      <c r="TV43" s="3"/>
      <c r="TW43" s="3"/>
      <c r="TX43" s="3"/>
      <c r="TY43" s="3"/>
      <c r="TZ43" s="3"/>
      <c r="UA43" s="3"/>
      <c r="UB43" s="3"/>
      <c r="UC43" s="3"/>
      <c r="UD43" s="3"/>
      <c r="UE43" s="3"/>
      <c r="UF43" s="3"/>
      <c r="UG43" s="3"/>
      <c r="UH43" s="3"/>
      <c r="UI43" s="3"/>
      <c r="UJ43" s="3"/>
      <c r="UK43" s="3"/>
      <c r="UL43" s="3"/>
      <c r="UM43" s="3"/>
      <c r="UN43" s="3"/>
      <c r="UO43" s="3"/>
      <c r="UP43" s="3"/>
      <c r="UQ43" s="3"/>
      <c r="UR43" s="3"/>
      <c r="US43" s="3"/>
      <c r="UT43" s="3"/>
      <c r="UU43" s="3"/>
      <c r="UV43" s="3"/>
      <c r="UW43" s="3"/>
      <c r="UX43" s="3"/>
      <c r="UY43" s="3"/>
      <c r="UZ43" s="3"/>
      <c r="VA43" s="3"/>
      <c r="VB43" s="3"/>
      <c r="VC43" s="3"/>
      <c r="VD43" s="3"/>
      <c r="VE43" s="3"/>
      <c r="VF43" s="3"/>
      <c r="VG43" s="3"/>
      <c r="VH43" s="3"/>
      <c r="VI43" s="3"/>
      <c r="VJ43" s="3"/>
      <c r="VK43" s="3"/>
      <c r="VL43" s="3"/>
      <c r="VM43" s="3"/>
      <c r="VN43" s="3"/>
      <c r="VO43" s="3"/>
      <c r="VP43" s="3"/>
      <c r="VQ43" s="3"/>
      <c r="VR43" s="3"/>
      <c r="VS43" s="3"/>
      <c r="VT43" s="3"/>
      <c r="VU43" s="3"/>
      <c r="VV43" s="3"/>
      <c r="VW43" s="3"/>
      <c r="VX43" s="3"/>
      <c r="VY43" s="3"/>
      <c r="VZ43" s="3"/>
      <c r="WA43" s="3"/>
      <c r="WB43" s="3"/>
      <c r="WC43" s="3"/>
      <c r="WD43" s="3"/>
      <c r="WE43" s="3"/>
      <c r="WF43" s="3"/>
      <c r="WG43" s="3"/>
      <c r="WH43" s="3"/>
      <c r="WI43" s="3"/>
      <c r="WJ43" s="3"/>
      <c r="WK43" s="3"/>
      <c r="WL43" s="3"/>
      <c r="WM43" s="3"/>
      <c r="WN43" s="3"/>
      <c r="WO43" s="3"/>
      <c r="WP43" s="3"/>
      <c r="WQ43" s="3"/>
      <c r="WR43" s="3"/>
      <c r="WS43" s="3"/>
      <c r="WT43" s="3"/>
      <c r="WU43" s="3"/>
      <c r="WV43" s="3"/>
      <c r="WW43" s="3"/>
      <c r="WX43" s="3"/>
      <c r="WY43" s="3"/>
      <c r="WZ43" s="3"/>
      <c r="XA43" s="3"/>
      <c r="XB43" s="3"/>
      <c r="XC43" s="3"/>
      <c r="XD43" s="3"/>
      <c r="XE43" s="3"/>
      <c r="XF43" s="3"/>
      <c r="XG43" s="3"/>
      <c r="XH43" s="3"/>
      <c r="XI43" s="3"/>
      <c r="XJ43" s="3"/>
      <c r="XK43" s="3"/>
      <c r="XL43" s="3"/>
      <c r="XM43" s="3"/>
      <c r="XN43" s="3"/>
      <c r="XO43" s="3"/>
      <c r="XP43" s="3"/>
      <c r="XQ43" s="3"/>
      <c r="XR43" s="3"/>
      <c r="XS43" s="3"/>
      <c r="XT43" s="3"/>
      <c r="XU43" s="3"/>
      <c r="XV43" s="3"/>
      <c r="XW43" s="3"/>
      <c r="XX43" s="3"/>
      <c r="XY43" s="3"/>
      <c r="XZ43" s="3"/>
      <c r="YA43" s="3"/>
      <c r="YB43" s="3"/>
      <c r="YC43" s="3"/>
      <c r="YD43" s="3"/>
      <c r="YE43" s="3"/>
      <c r="YF43" s="3"/>
      <c r="YG43" s="3"/>
      <c r="YH43" s="3"/>
      <c r="YI43" s="3"/>
      <c r="YJ43" s="3"/>
      <c r="YK43" s="3"/>
      <c r="YL43" s="3"/>
      <c r="YM43" s="3"/>
      <c r="YN43" s="3"/>
      <c r="YO43" s="3"/>
      <c r="YP43" s="3"/>
      <c r="YQ43" s="3"/>
      <c r="YR43" s="3"/>
      <c r="YS43" s="3"/>
      <c r="YT43" s="3"/>
      <c r="YU43" s="3"/>
      <c r="YV43" s="3"/>
      <c r="YW43" s="3"/>
      <c r="YX43" s="3"/>
      <c r="YY43" s="3"/>
      <c r="YZ43" s="3"/>
      <c r="ZA43" s="3"/>
      <c r="ZB43" s="3"/>
      <c r="ZC43" s="3"/>
      <c r="ZD43" s="3"/>
      <c r="ZE43" s="3"/>
      <c r="ZF43" s="3"/>
      <c r="ZG43" s="3"/>
      <c r="ZH43" s="3"/>
      <c r="ZI43" s="3"/>
      <c r="ZJ43" s="3"/>
      <c r="ZK43" s="3"/>
      <c r="ZL43" s="3"/>
      <c r="ZM43" s="3"/>
      <c r="ZN43" s="3"/>
      <c r="ZO43" s="3"/>
      <c r="ZP43" s="3"/>
      <c r="ZQ43" s="3"/>
      <c r="ZR43" s="3"/>
      <c r="ZS43" s="3"/>
      <c r="ZT43" s="3"/>
      <c r="ZU43" s="3"/>
      <c r="ZV43" s="3"/>
      <c r="ZW43" s="3"/>
      <c r="ZX43" s="3"/>
      <c r="ZY43" s="3"/>
      <c r="ZZ43" s="3"/>
      <c r="AAA43" s="3"/>
      <c r="AAB43" s="3"/>
      <c r="AAC43" s="3"/>
      <c r="AAD43" s="3"/>
      <c r="AAE43" s="3"/>
      <c r="AAF43" s="3"/>
      <c r="AAG43" s="3"/>
      <c r="AAH43" s="3"/>
      <c r="AAI43" s="3"/>
      <c r="AAJ43" s="3"/>
      <c r="AAK43" s="3"/>
      <c r="AAL43" s="3"/>
      <c r="AAM43" s="3"/>
      <c r="AAN43" s="3"/>
      <c r="AAO43" s="3"/>
      <c r="AAP43" s="3"/>
      <c r="AAQ43" s="3"/>
      <c r="AAR43" s="3"/>
      <c r="AAS43" s="3"/>
      <c r="AAT43" s="3"/>
      <c r="AAU43" s="3"/>
      <c r="AAV43" s="3"/>
      <c r="AAW43" s="3"/>
      <c r="AAX43" s="3"/>
      <c r="AAY43" s="3"/>
      <c r="AAZ43" s="3"/>
      <c r="ABA43" s="3"/>
      <c r="ABB43" s="3"/>
      <c r="ABC43" s="3"/>
      <c r="ABD43" s="3"/>
      <c r="ABE43" s="3"/>
      <c r="ABF43" s="3"/>
      <c r="ABG43" s="3"/>
      <c r="ABH43" s="3"/>
      <c r="ABI43" s="3"/>
      <c r="ABJ43" s="3"/>
      <c r="ABK43" s="3"/>
      <c r="ABL43" s="3"/>
      <c r="ABM43" s="3"/>
      <c r="ABN43" s="3"/>
      <c r="ABO43" s="3"/>
      <c r="ABP43" s="3"/>
      <c r="ABQ43" s="3"/>
      <c r="ABR43" s="3"/>
      <c r="ABS43" s="3"/>
      <c r="ABT43" s="3"/>
      <c r="ABU43" s="3"/>
      <c r="ABV43" s="3"/>
      <c r="ABW43" s="3"/>
      <c r="ABX43" s="3"/>
      <c r="ABY43" s="3"/>
      <c r="ABZ43" s="3"/>
      <c r="ACA43" s="3"/>
      <c r="ACB43" s="3"/>
      <c r="ACC43" s="3"/>
      <c r="ACD43" s="3"/>
      <c r="ACE43" s="3"/>
      <c r="ACF43" s="3"/>
      <c r="ACG43" s="3"/>
      <c r="ACH43" s="3"/>
      <c r="ACI43" s="3"/>
      <c r="ACJ43" s="3"/>
      <c r="ACK43" s="3"/>
      <c r="ACL43" s="3"/>
      <c r="ACM43" s="3"/>
      <c r="ACN43" s="3"/>
      <c r="ACO43" s="3"/>
      <c r="ACP43" s="3"/>
    </row>
    <row r="44" spans="1:770" s="248" customFormat="1">
      <c r="A44" s="292" t="e">
        <f t="shared" si="1"/>
        <v>#REF!</v>
      </c>
      <c r="B44" s="419" t="str">
        <f>+distribucion!B63</f>
        <v>Cabrera Guzman Javier Antonio</v>
      </c>
      <c r="C44" s="367">
        <v>16265050383401</v>
      </c>
      <c r="D44" s="401"/>
      <c r="E44" s="419" t="str">
        <f>+'Nomina Proquima'!B46</f>
        <v>Cabrera Guzman Javier Antonio</v>
      </c>
      <c r="F44" s="244" t="str">
        <f>VLOOKUP(B44,distribucion!B$9:FK$200,2,0)</f>
        <v>Analista Programador</v>
      </c>
      <c r="G44" s="244">
        <f>ROUND((VLOOKUP($B44,'Nomina Proquima'!$B$4:$AB$145,4,0)),2)</f>
        <v>30</v>
      </c>
      <c r="H44" s="245">
        <f>ROUND((VLOOKUP($B44,'Nomina Proquima'!$B$4:$AB$145,6,0)),2)</f>
        <v>3459.24</v>
      </c>
      <c r="I44" s="245">
        <f>ROUND((VLOOKUP($B44,'Nomina Proquima'!$B$4:$AB$145,7,0)),2)</f>
        <v>1250</v>
      </c>
      <c r="J44" s="245">
        <f>ROUND((VLOOKUP($B44,'Nomina Proquima'!$B$4:$AB$145,9,0)),2)</f>
        <v>0</v>
      </c>
      <c r="K44" s="245">
        <f>ROUND((VLOOKUP($B44,'Nomina Proquima'!$B$4:$AB$145,10,0)),2)</f>
        <v>0</v>
      </c>
      <c r="L44" s="245">
        <f>ROUND((VLOOKUP($B44,'Nomina Proquima'!$B$4:$AB$145,11,0)),2)</f>
        <v>0</v>
      </c>
      <c r="M44" s="245">
        <f>ROUND((VLOOKUP($B44,'Nomina Proquima'!$B$4:$AB$145,12,0)),2)</f>
        <v>0</v>
      </c>
      <c r="N44" s="245">
        <f>ROUND((VLOOKUP($B44,'Nomina Proquima'!$B$4:$AB$145,13,0)),2)</f>
        <v>0</v>
      </c>
      <c r="O44" s="245">
        <f>ROUND((VLOOKUP($B44,'Nomina Proquima'!$B$4:$AB$145,14,0)),2)</f>
        <v>4709.24</v>
      </c>
      <c r="P44" s="245">
        <f>ROUND((VLOOKUP($B44,'Nomina Proquima'!$B$4:$AB$145,15,0)),2)</f>
        <v>167.08</v>
      </c>
      <c r="Q44" s="245">
        <f>ROUND((VLOOKUP($B44,'Nomina Proquima'!$B$4:$AB$145,16,0)),2)</f>
        <v>27.11</v>
      </c>
      <c r="R44" s="245">
        <f>ROUND((VLOOKUP($B44,'Nomina Proquima'!$B$4:$AB$145,17,0)),2)</f>
        <v>0</v>
      </c>
      <c r="S44" s="245">
        <f>ROUND((VLOOKUP($B44,'Nomina Proquima'!$B$4:$AB$145,18,0)),2)</f>
        <v>0</v>
      </c>
      <c r="T44" s="245">
        <f>ROUND((VLOOKUP($B44,'Nomina Proquima'!$B$4:$AB$145,19,0)),2)</f>
        <v>0</v>
      </c>
      <c r="U44" s="245">
        <f>ROUND((VLOOKUP($B44,'Nomina Proquima'!$B$4:$AB$145,20,0)),2)</f>
        <v>0</v>
      </c>
      <c r="V44" s="245">
        <f>ROUND((VLOOKUP($B44,'Nomina Proquima'!$B$4:$AB$145,21,0)),2)</f>
        <v>445.5</v>
      </c>
      <c r="W44" s="245">
        <f>ROUND((VLOOKUP($B44,'Nomina Proquima'!$B$4:$AB$145,22,0)),2)</f>
        <v>50</v>
      </c>
      <c r="X44" s="245">
        <f>ROUND((VLOOKUP($B44,'Nomina Proquima'!$B$4:$AB$145,23,0)),2)</f>
        <v>689.69</v>
      </c>
      <c r="Y44" s="234">
        <f>ROUND((VLOOKUP($B44,'Nomina Proquima'!$B$4:$AB$147,24,0)),2)</f>
        <v>4019.55</v>
      </c>
      <c r="Z44" s="399">
        <f>VLOOKUP(B44,'Nomina Proquima'!$B$4:$AA$148,25,0)</f>
        <v>1992.72</v>
      </c>
      <c r="AA44" s="405">
        <f>ROUND((VLOOKUP($B44,'Nomina Proquima'!$B$4:$AB$145,26,0)),2)</f>
        <v>2026.83</v>
      </c>
      <c r="AB44" s="246"/>
      <c r="AC44" s="247"/>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c r="IW44" s="3"/>
      <c r="IX44" s="3"/>
      <c r="IY44" s="3"/>
      <c r="IZ44" s="3"/>
      <c r="JA44" s="3"/>
      <c r="JB44" s="3"/>
      <c r="JC44" s="3"/>
      <c r="JD44" s="3"/>
      <c r="JE44" s="3"/>
      <c r="JF44" s="3"/>
      <c r="JG44" s="3"/>
      <c r="JH44" s="3"/>
      <c r="JI44" s="3"/>
      <c r="JJ44" s="3"/>
      <c r="JK44" s="3"/>
      <c r="JL44" s="3"/>
      <c r="JM44" s="3"/>
      <c r="JN44" s="3"/>
      <c r="JO44" s="3"/>
      <c r="JP44" s="3"/>
      <c r="JQ44" s="3"/>
      <c r="JR44" s="3"/>
      <c r="JS44" s="3"/>
      <c r="JT44" s="3"/>
      <c r="JU44" s="3"/>
      <c r="JV44" s="3"/>
      <c r="JW44" s="3"/>
      <c r="JX44" s="3"/>
      <c r="JY44" s="3"/>
      <c r="JZ44" s="3"/>
      <c r="KA44" s="3"/>
      <c r="KB44" s="3"/>
      <c r="KC44" s="3"/>
      <c r="KD44" s="3"/>
      <c r="KE44" s="3"/>
      <c r="KF44" s="3"/>
      <c r="KG44" s="3"/>
      <c r="KH44" s="3"/>
      <c r="KI44" s="3"/>
      <c r="KJ44" s="3"/>
      <c r="KK44" s="3"/>
      <c r="KL44" s="3"/>
      <c r="KM44" s="3"/>
      <c r="KN44" s="3"/>
      <c r="KO44" s="3"/>
      <c r="KP44" s="3"/>
      <c r="KQ44" s="3"/>
      <c r="KR44" s="3"/>
      <c r="KS44" s="3"/>
      <c r="KT44" s="3"/>
      <c r="KU44" s="3"/>
      <c r="KV44" s="3"/>
      <c r="KW44" s="3"/>
      <c r="KX44" s="3"/>
      <c r="KY44" s="3"/>
      <c r="KZ44" s="3"/>
      <c r="LA44" s="3"/>
      <c r="LB44" s="3"/>
      <c r="LC44" s="3"/>
      <c r="LD44" s="3"/>
      <c r="LE44" s="3"/>
      <c r="LF44" s="3"/>
      <c r="LG44" s="3"/>
      <c r="LH44" s="3"/>
      <c r="LI44" s="3"/>
      <c r="LJ44" s="3"/>
      <c r="LK44" s="3"/>
      <c r="LL44" s="3"/>
      <c r="LM44" s="3"/>
      <c r="LN44" s="3"/>
      <c r="LO44" s="3"/>
      <c r="LP44" s="3"/>
      <c r="LQ44" s="3"/>
      <c r="LR44" s="3"/>
      <c r="LS44" s="3"/>
      <c r="LT44" s="3"/>
      <c r="LU44" s="3"/>
      <c r="LV44" s="3"/>
      <c r="LW44" s="3"/>
      <c r="LX44" s="3"/>
      <c r="LY44" s="3"/>
      <c r="LZ44" s="3"/>
      <c r="MA44" s="3"/>
      <c r="MB44" s="3"/>
      <c r="MC44" s="3"/>
      <c r="MD44" s="3"/>
      <c r="ME44" s="3"/>
      <c r="MF44" s="3"/>
      <c r="MG44" s="3"/>
      <c r="MH44" s="3"/>
      <c r="MI44" s="3"/>
      <c r="MJ44" s="3"/>
      <c r="MK44" s="3"/>
      <c r="ML44" s="3"/>
      <c r="MM44" s="3"/>
      <c r="MN44" s="3"/>
      <c r="MO44" s="3"/>
      <c r="MP44" s="3"/>
      <c r="MQ44" s="3"/>
      <c r="MR44" s="3"/>
      <c r="MS44" s="3"/>
      <c r="MT44" s="3"/>
      <c r="MU44" s="3"/>
      <c r="MV44" s="3"/>
      <c r="MW44" s="3"/>
      <c r="MX44" s="3"/>
      <c r="MY44" s="3"/>
      <c r="MZ44" s="3"/>
      <c r="NA44" s="3"/>
      <c r="NB44" s="3"/>
      <c r="NC44" s="3"/>
      <c r="ND44" s="3"/>
      <c r="NE44" s="3"/>
      <c r="NF44" s="3"/>
      <c r="NG44" s="3"/>
      <c r="NH44" s="3"/>
      <c r="NI44" s="3"/>
      <c r="NJ44" s="3"/>
      <c r="NK44" s="3"/>
      <c r="NL44" s="3"/>
      <c r="NM44" s="3"/>
      <c r="NN44" s="3"/>
      <c r="NO44" s="3"/>
      <c r="NP44" s="3"/>
      <c r="NQ44" s="3"/>
      <c r="NR44" s="3"/>
      <c r="NS44" s="3"/>
      <c r="NT44" s="3"/>
      <c r="NU44" s="3"/>
      <c r="NV44" s="3"/>
      <c r="NW44" s="3"/>
      <c r="NX44" s="3"/>
      <c r="NY44" s="3"/>
      <c r="NZ44" s="3"/>
      <c r="OA44" s="3"/>
      <c r="OB44" s="3"/>
      <c r="OC44" s="3"/>
      <c r="OD44" s="3"/>
      <c r="OE44" s="3"/>
      <c r="OF44" s="3"/>
      <c r="OG44" s="3"/>
      <c r="OH44" s="3"/>
      <c r="OI44" s="3"/>
      <c r="OJ44" s="3"/>
      <c r="OK44" s="3"/>
      <c r="OL44" s="3"/>
      <c r="OM44" s="3"/>
      <c r="ON44" s="3"/>
      <c r="OO44" s="3"/>
      <c r="OP44" s="3"/>
      <c r="OQ44" s="3"/>
      <c r="OR44" s="3"/>
      <c r="OS44" s="3"/>
      <c r="OT44" s="3"/>
      <c r="OU44" s="3"/>
      <c r="OV44" s="3"/>
      <c r="OW44" s="3"/>
      <c r="OX44" s="3"/>
      <c r="OY44" s="3"/>
      <c r="OZ44" s="3"/>
      <c r="PA44" s="3"/>
      <c r="PB44" s="3"/>
      <c r="PC44" s="3"/>
      <c r="PD44" s="3"/>
      <c r="PE44" s="3"/>
      <c r="PF44" s="3"/>
      <c r="PG44" s="3"/>
      <c r="PH44" s="3"/>
      <c r="PI44" s="3"/>
      <c r="PJ44" s="3"/>
      <c r="PK44" s="3"/>
      <c r="PL44" s="3"/>
      <c r="PM44" s="3"/>
      <c r="PN44" s="3"/>
      <c r="PO44" s="3"/>
      <c r="PP44" s="3"/>
      <c r="PQ44" s="3"/>
      <c r="PR44" s="3"/>
      <c r="PS44" s="3"/>
      <c r="PT44" s="3"/>
      <c r="PU44" s="3"/>
      <c r="PV44" s="3"/>
      <c r="PW44" s="3"/>
      <c r="PX44" s="3"/>
      <c r="PY44" s="3"/>
      <c r="PZ44" s="3"/>
      <c r="QA44" s="3"/>
      <c r="QB44" s="3"/>
      <c r="QC44" s="3"/>
      <c r="QD44" s="3"/>
      <c r="QE44" s="3"/>
      <c r="QF44" s="3"/>
      <c r="QG44" s="3"/>
      <c r="QH44" s="3"/>
      <c r="QI44" s="3"/>
      <c r="QJ44" s="3"/>
      <c r="QK44" s="3"/>
      <c r="QL44" s="3"/>
      <c r="QM44" s="3"/>
      <c r="QN44" s="3"/>
      <c r="QO44" s="3"/>
      <c r="QP44" s="3"/>
      <c r="QQ44" s="3"/>
      <c r="QR44" s="3"/>
      <c r="QS44" s="3"/>
      <c r="QT44" s="3"/>
      <c r="QU44" s="3"/>
      <c r="QV44" s="3"/>
      <c r="QW44" s="3"/>
      <c r="QX44" s="3"/>
      <c r="QY44" s="3"/>
      <c r="QZ44" s="3"/>
      <c r="RA44" s="3"/>
      <c r="RB44" s="3"/>
      <c r="RC44" s="3"/>
      <c r="RD44" s="3"/>
      <c r="RE44" s="3"/>
      <c r="RF44" s="3"/>
      <c r="RG44" s="3"/>
      <c r="RH44" s="3"/>
      <c r="RI44" s="3"/>
      <c r="RJ44" s="3"/>
      <c r="RK44" s="3"/>
      <c r="RL44" s="3"/>
      <c r="RM44" s="3"/>
      <c r="RN44" s="3"/>
      <c r="RO44" s="3"/>
      <c r="RP44" s="3"/>
      <c r="RQ44" s="3"/>
      <c r="RR44" s="3"/>
      <c r="RS44" s="3"/>
      <c r="RT44" s="3"/>
      <c r="RU44" s="3"/>
      <c r="RV44" s="3"/>
      <c r="RW44" s="3"/>
      <c r="RX44" s="3"/>
      <c r="RY44" s="3"/>
      <c r="RZ44" s="3"/>
      <c r="SA44" s="3"/>
      <c r="SB44" s="3"/>
      <c r="SC44" s="3"/>
      <c r="SD44" s="3"/>
      <c r="SE44" s="3"/>
      <c r="SF44" s="3"/>
      <c r="SG44" s="3"/>
      <c r="SH44" s="3"/>
      <c r="SI44" s="3"/>
      <c r="SJ44" s="3"/>
      <c r="SK44" s="3"/>
      <c r="SL44" s="3"/>
      <c r="SM44" s="3"/>
      <c r="SN44" s="3"/>
      <c r="SO44" s="3"/>
      <c r="SP44" s="3"/>
      <c r="SQ44" s="3"/>
      <c r="SR44" s="3"/>
      <c r="SS44" s="3"/>
      <c r="ST44" s="3"/>
      <c r="SU44" s="3"/>
      <c r="SV44" s="3"/>
      <c r="SW44" s="3"/>
      <c r="SX44" s="3"/>
      <c r="SY44" s="3"/>
      <c r="SZ44" s="3"/>
      <c r="TA44" s="3"/>
      <c r="TB44" s="3"/>
      <c r="TC44" s="3"/>
      <c r="TD44" s="3"/>
      <c r="TE44" s="3"/>
      <c r="TF44" s="3"/>
      <c r="TG44" s="3"/>
      <c r="TH44" s="3"/>
      <c r="TI44" s="3"/>
      <c r="TJ44" s="3"/>
      <c r="TK44" s="3"/>
      <c r="TL44" s="3"/>
      <c r="TM44" s="3"/>
      <c r="TN44" s="3"/>
      <c r="TO44" s="3"/>
      <c r="TP44" s="3"/>
      <c r="TQ44" s="3"/>
      <c r="TR44" s="3"/>
      <c r="TS44" s="3"/>
      <c r="TT44" s="3"/>
      <c r="TU44" s="3"/>
      <c r="TV44" s="3"/>
      <c r="TW44" s="3"/>
      <c r="TX44" s="3"/>
      <c r="TY44" s="3"/>
      <c r="TZ44" s="3"/>
      <c r="UA44" s="3"/>
      <c r="UB44" s="3"/>
      <c r="UC44" s="3"/>
      <c r="UD44" s="3"/>
      <c r="UE44" s="3"/>
      <c r="UF44" s="3"/>
      <c r="UG44" s="3"/>
      <c r="UH44" s="3"/>
      <c r="UI44" s="3"/>
      <c r="UJ44" s="3"/>
      <c r="UK44" s="3"/>
      <c r="UL44" s="3"/>
      <c r="UM44" s="3"/>
      <c r="UN44" s="3"/>
      <c r="UO44" s="3"/>
      <c r="UP44" s="3"/>
      <c r="UQ44" s="3"/>
      <c r="UR44" s="3"/>
      <c r="US44" s="3"/>
      <c r="UT44" s="3"/>
      <c r="UU44" s="3"/>
      <c r="UV44" s="3"/>
      <c r="UW44" s="3"/>
      <c r="UX44" s="3"/>
      <c r="UY44" s="3"/>
      <c r="UZ44" s="3"/>
      <c r="VA44" s="3"/>
      <c r="VB44" s="3"/>
      <c r="VC44" s="3"/>
      <c r="VD44" s="3"/>
      <c r="VE44" s="3"/>
      <c r="VF44" s="3"/>
      <c r="VG44" s="3"/>
      <c r="VH44" s="3"/>
      <c r="VI44" s="3"/>
      <c r="VJ44" s="3"/>
      <c r="VK44" s="3"/>
      <c r="VL44" s="3"/>
      <c r="VM44" s="3"/>
      <c r="VN44" s="3"/>
      <c r="VO44" s="3"/>
      <c r="VP44" s="3"/>
      <c r="VQ44" s="3"/>
      <c r="VR44" s="3"/>
      <c r="VS44" s="3"/>
      <c r="VT44" s="3"/>
      <c r="VU44" s="3"/>
      <c r="VV44" s="3"/>
      <c r="VW44" s="3"/>
      <c r="VX44" s="3"/>
      <c r="VY44" s="3"/>
      <c r="VZ44" s="3"/>
      <c r="WA44" s="3"/>
      <c r="WB44" s="3"/>
      <c r="WC44" s="3"/>
      <c r="WD44" s="3"/>
      <c r="WE44" s="3"/>
      <c r="WF44" s="3"/>
      <c r="WG44" s="3"/>
      <c r="WH44" s="3"/>
      <c r="WI44" s="3"/>
      <c r="WJ44" s="3"/>
      <c r="WK44" s="3"/>
      <c r="WL44" s="3"/>
      <c r="WM44" s="3"/>
      <c r="WN44" s="3"/>
      <c r="WO44" s="3"/>
      <c r="WP44" s="3"/>
      <c r="WQ44" s="3"/>
      <c r="WR44" s="3"/>
      <c r="WS44" s="3"/>
      <c r="WT44" s="3"/>
      <c r="WU44" s="3"/>
      <c r="WV44" s="3"/>
      <c r="WW44" s="3"/>
      <c r="WX44" s="3"/>
      <c r="WY44" s="3"/>
      <c r="WZ44" s="3"/>
      <c r="XA44" s="3"/>
      <c r="XB44" s="3"/>
      <c r="XC44" s="3"/>
      <c r="XD44" s="3"/>
      <c r="XE44" s="3"/>
      <c r="XF44" s="3"/>
      <c r="XG44" s="3"/>
      <c r="XH44" s="3"/>
      <c r="XI44" s="3"/>
      <c r="XJ44" s="3"/>
      <c r="XK44" s="3"/>
      <c r="XL44" s="3"/>
      <c r="XM44" s="3"/>
      <c r="XN44" s="3"/>
      <c r="XO44" s="3"/>
      <c r="XP44" s="3"/>
      <c r="XQ44" s="3"/>
      <c r="XR44" s="3"/>
      <c r="XS44" s="3"/>
      <c r="XT44" s="3"/>
      <c r="XU44" s="3"/>
      <c r="XV44" s="3"/>
      <c r="XW44" s="3"/>
      <c r="XX44" s="3"/>
      <c r="XY44" s="3"/>
      <c r="XZ44" s="3"/>
      <c r="YA44" s="3"/>
      <c r="YB44" s="3"/>
      <c r="YC44" s="3"/>
      <c r="YD44" s="3"/>
      <c r="YE44" s="3"/>
      <c r="YF44" s="3"/>
      <c r="YG44" s="3"/>
      <c r="YH44" s="3"/>
      <c r="YI44" s="3"/>
      <c r="YJ44" s="3"/>
      <c r="YK44" s="3"/>
      <c r="YL44" s="3"/>
      <c r="YM44" s="3"/>
      <c r="YN44" s="3"/>
      <c r="YO44" s="3"/>
      <c r="YP44" s="3"/>
      <c r="YQ44" s="3"/>
      <c r="YR44" s="3"/>
      <c r="YS44" s="3"/>
      <c r="YT44" s="3"/>
      <c r="YU44" s="3"/>
      <c r="YV44" s="3"/>
      <c r="YW44" s="3"/>
      <c r="YX44" s="3"/>
      <c r="YY44" s="3"/>
      <c r="YZ44" s="3"/>
      <c r="ZA44" s="3"/>
      <c r="ZB44" s="3"/>
      <c r="ZC44" s="3"/>
      <c r="ZD44" s="3"/>
      <c r="ZE44" s="3"/>
      <c r="ZF44" s="3"/>
      <c r="ZG44" s="3"/>
      <c r="ZH44" s="3"/>
      <c r="ZI44" s="3"/>
      <c r="ZJ44" s="3"/>
      <c r="ZK44" s="3"/>
      <c r="ZL44" s="3"/>
      <c r="ZM44" s="3"/>
      <c r="ZN44" s="3"/>
      <c r="ZO44" s="3"/>
      <c r="ZP44" s="3"/>
      <c r="ZQ44" s="3"/>
      <c r="ZR44" s="3"/>
      <c r="ZS44" s="3"/>
      <c r="ZT44" s="3"/>
      <c r="ZU44" s="3"/>
      <c r="ZV44" s="3"/>
      <c r="ZW44" s="3"/>
      <c r="ZX44" s="3"/>
      <c r="ZY44" s="3"/>
      <c r="ZZ44" s="3"/>
      <c r="AAA44" s="3"/>
      <c r="AAB44" s="3"/>
      <c r="AAC44" s="3"/>
      <c r="AAD44" s="3"/>
      <c r="AAE44" s="3"/>
      <c r="AAF44" s="3"/>
      <c r="AAG44" s="3"/>
      <c r="AAH44" s="3"/>
      <c r="AAI44" s="3"/>
      <c r="AAJ44" s="3"/>
      <c r="AAK44" s="3"/>
      <c r="AAL44" s="3"/>
      <c r="AAM44" s="3"/>
      <c r="AAN44" s="3"/>
      <c r="AAO44" s="3"/>
      <c r="AAP44" s="3"/>
      <c r="AAQ44" s="3"/>
      <c r="AAR44" s="3"/>
      <c r="AAS44" s="3"/>
      <c r="AAT44" s="3"/>
      <c r="AAU44" s="3"/>
      <c r="AAV44" s="3"/>
      <c r="AAW44" s="3"/>
      <c r="AAX44" s="3"/>
      <c r="AAY44" s="3"/>
      <c r="AAZ44" s="3"/>
      <c r="ABA44" s="3"/>
      <c r="ABB44" s="3"/>
      <c r="ABC44" s="3"/>
      <c r="ABD44" s="3"/>
      <c r="ABE44" s="3"/>
      <c r="ABF44" s="3"/>
      <c r="ABG44" s="3"/>
      <c r="ABH44" s="3"/>
      <c r="ABI44" s="3"/>
      <c r="ABJ44" s="3"/>
      <c r="ABK44" s="3"/>
      <c r="ABL44" s="3"/>
      <c r="ABM44" s="3"/>
      <c r="ABN44" s="3"/>
      <c r="ABO44" s="3"/>
      <c r="ABP44" s="3"/>
      <c r="ABQ44" s="3"/>
      <c r="ABR44" s="3"/>
      <c r="ABS44" s="3"/>
      <c r="ABT44" s="3"/>
      <c r="ABU44" s="3"/>
      <c r="ABV44" s="3"/>
      <c r="ABW44" s="3"/>
      <c r="ABX44" s="3"/>
      <c r="ABY44" s="3"/>
      <c r="ABZ44" s="3"/>
      <c r="ACA44" s="3"/>
      <c r="ACB44" s="3"/>
      <c r="ACC44" s="3"/>
      <c r="ACD44" s="3"/>
      <c r="ACE44" s="3"/>
      <c r="ACF44" s="3"/>
      <c r="ACG44" s="3"/>
      <c r="ACH44" s="3"/>
      <c r="ACI44" s="3"/>
      <c r="ACJ44" s="3"/>
      <c r="ACK44" s="3"/>
      <c r="ACL44" s="3"/>
      <c r="ACM44" s="3"/>
      <c r="ACN44" s="3"/>
      <c r="ACO44" s="3"/>
      <c r="ACP44" s="3"/>
    </row>
    <row r="45" spans="1:770" s="248" customFormat="1">
      <c r="A45" s="292" t="e">
        <f t="shared" si="1"/>
        <v>#REF!</v>
      </c>
      <c r="B45" s="419" t="str">
        <f>+'Nomina Proquima'!B72</f>
        <v>Zapata Hernandez Francisco Javier</v>
      </c>
      <c r="C45" s="367">
        <v>16265050383393</v>
      </c>
      <c r="D45" s="401"/>
      <c r="E45" s="419" t="str">
        <f>+'Nomina Proquima'!B72</f>
        <v>Zapata Hernandez Francisco Javier</v>
      </c>
      <c r="F45" s="244" t="str">
        <f>VLOOKUP(B45,distribucion!B$9:FK$200,2,0)</f>
        <v>operador</v>
      </c>
      <c r="G45" s="244">
        <f>ROUND((VLOOKUP($B45,'Nomina Proquima'!$B$4:$AB$145,4,0)),2)</f>
        <v>30</v>
      </c>
      <c r="H45" s="245">
        <f>ROUND((VLOOKUP($B45,'Nomina Proquima'!$B$4:$AB$145,6,0)),2)</f>
        <v>3166.38</v>
      </c>
      <c r="I45" s="245">
        <f>ROUND((VLOOKUP($B45,'Nomina Proquima'!$B$4:$AB$145,7,0)),2)</f>
        <v>700</v>
      </c>
      <c r="J45" s="245">
        <f>ROUND((VLOOKUP($B45,'Nomina Proquima'!$B$4:$AB$145,9,0)),2)</f>
        <v>0</v>
      </c>
      <c r="K45" s="245">
        <f>ROUND((VLOOKUP($B45,'Nomina Proquima'!$B$4:$AB$145,10,0)),2)</f>
        <v>0</v>
      </c>
      <c r="L45" s="245">
        <f>ROUND((VLOOKUP($B45,'Nomina Proquima'!$B$4:$AB$145,11,0)),2)</f>
        <v>0</v>
      </c>
      <c r="M45" s="245">
        <f>ROUND((VLOOKUP($B45,'Nomina Proquima'!$B$4:$AB$145,12,0)),2)</f>
        <v>0</v>
      </c>
      <c r="N45" s="245">
        <f>ROUND((VLOOKUP($B45,'Nomina Proquima'!$B$4:$AB$145,13,0)),2)</f>
        <v>0</v>
      </c>
      <c r="O45" s="245">
        <f>ROUND((VLOOKUP($B45,'Nomina Proquima'!$B$4:$AB$145,14,0)),2)</f>
        <v>3866.38</v>
      </c>
      <c r="P45" s="245">
        <f>ROUND((VLOOKUP($B45,'Nomina Proquima'!$B$4:$AB$145,15,0)),2)</f>
        <v>152.94</v>
      </c>
      <c r="Q45" s="245">
        <f>ROUND((VLOOKUP($B45,'Nomina Proquima'!$B$4:$AB$145,16,0)),2)</f>
        <v>0</v>
      </c>
      <c r="R45" s="245">
        <f>ROUND((VLOOKUP($B45,'Nomina Proquima'!$B$4:$AB$145,17,0)),2)</f>
        <v>0</v>
      </c>
      <c r="S45" s="245">
        <f>ROUND((VLOOKUP($B45,'Nomina Proquima'!$B$4:$AB$145,18,0)),2)</f>
        <v>0</v>
      </c>
      <c r="T45" s="245">
        <f>ROUND((VLOOKUP($B45,'Nomina Proquima'!$B$4:$AB$145,19,0)),2)</f>
        <v>0</v>
      </c>
      <c r="U45" s="245">
        <f>ROUND((VLOOKUP($B45,'Nomina Proquima'!$B$4:$AB$145,20,0)),2)</f>
        <v>0</v>
      </c>
      <c r="V45" s="245">
        <f>ROUND((VLOOKUP($B45,'Nomina Proquima'!$B$4:$AB$145,21,0)),2)</f>
        <v>697</v>
      </c>
      <c r="W45" s="245">
        <f>ROUND((VLOOKUP($B45,'Nomina Proquima'!$B$4:$AB$145,22,0)),2)</f>
        <v>50</v>
      </c>
      <c r="X45" s="245">
        <f>ROUND((VLOOKUP($B45,'Nomina Proquima'!$B$4:$AB$145,23,0)),2)</f>
        <v>899.94</v>
      </c>
      <c r="Y45" s="234">
        <f>ROUND((VLOOKUP($B45,'Nomina Proquima'!$B$4:$AB$147,24,0)),2)</f>
        <v>2966.44</v>
      </c>
      <c r="Z45" s="399">
        <f>VLOOKUP(B45,'Nomina Proquima'!$B$4:$AA$148,25,0)</f>
        <v>1275.22</v>
      </c>
      <c r="AA45" s="405">
        <f>ROUND((VLOOKUP($B45,'Nomina Proquima'!$B$4:$AB$145,26,0)),2)</f>
        <v>1691.22</v>
      </c>
      <c r="AB45" s="246"/>
      <c r="AC45" s="247"/>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c r="IW45" s="3"/>
      <c r="IX45" s="3"/>
      <c r="IY45" s="3"/>
      <c r="IZ45" s="3"/>
      <c r="JA45" s="3"/>
      <c r="JB45" s="3"/>
      <c r="JC45" s="3"/>
      <c r="JD45" s="3"/>
      <c r="JE45" s="3"/>
      <c r="JF45" s="3"/>
      <c r="JG45" s="3"/>
      <c r="JH45" s="3"/>
      <c r="JI45" s="3"/>
      <c r="JJ45" s="3"/>
      <c r="JK45" s="3"/>
      <c r="JL45" s="3"/>
      <c r="JM45" s="3"/>
      <c r="JN45" s="3"/>
      <c r="JO45" s="3"/>
      <c r="JP45" s="3"/>
      <c r="JQ45" s="3"/>
      <c r="JR45" s="3"/>
      <c r="JS45" s="3"/>
      <c r="JT45" s="3"/>
      <c r="JU45" s="3"/>
      <c r="JV45" s="3"/>
      <c r="JW45" s="3"/>
      <c r="JX45" s="3"/>
      <c r="JY45" s="3"/>
      <c r="JZ45" s="3"/>
      <c r="KA45" s="3"/>
      <c r="KB45" s="3"/>
      <c r="KC45" s="3"/>
      <c r="KD45" s="3"/>
      <c r="KE45" s="3"/>
      <c r="KF45" s="3"/>
      <c r="KG45" s="3"/>
      <c r="KH45" s="3"/>
      <c r="KI45" s="3"/>
      <c r="KJ45" s="3"/>
      <c r="KK45" s="3"/>
      <c r="KL45" s="3"/>
      <c r="KM45" s="3"/>
      <c r="KN45" s="3"/>
      <c r="KO45" s="3"/>
      <c r="KP45" s="3"/>
      <c r="KQ45" s="3"/>
      <c r="KR45" s="3"/>
      <c r="KS45" s="3"/>
      <c r="KT45" s="3"/>
      <c r="KU45" s="3"/>
      <c r="KV45" s="3"/>
      <c r="KW45" s="3"/>
      <c r="KX45" s="3"/>
      <c r="KY45" s="3"/>
      <c r="KZ45" s="3"/>
      <c r="LA45" s="3"/>
      <c r="LB45" s="3"/>
      <c r="LC45" s="3"/>
      <c r="LD45" s="3"/>
      <c r="LE45" s="3"/>
      <c r="LF45" s="3"/>
      <c r="LG45" s="3"/>
      <c r="LH45" s="3"/>
      <c r="LI45" s="3"/>
      <c r="LJ45" s="3"/>
      <c r="LK45" s="3"/>
      <c r="LL45" s="3"/>
      <c r="LM45" s="3"/>
      <c r="LN45" s="3"/>
      <c r="LO45" s="3"/>
      <c r="LP45" s="3"/>
      <c r="LQ45" s="3"/>
      <c r="LR45" s="3"/>
      <c r="LS45" s="3"/>
      <c r="LT45" s="3"/>
      <c r="LU45" s="3"/>
      <c r="LV45" s="3"/>
      <c r="LW45" s="3"/>
      <c r="LX45" s="3"/>
      <c r="LY45" s="3"/>
      <c r="LZ45" s="3"/>
      <c r="MA45" s="3"/>
      <c r="MB45" s="3"/>
      <c r="MC45" s="3"/>
      <c r="MD45" s="3"/>
      <c r="ME45" s="3"/>
      <c r="MF45" s="3"/>
      <c r="MG45" s="3"/>
      <c r="MH45" s="3"/>
      <c r="MI45" s="3"/>
      <c r="MJ45" s="3"/>
      <c r="MK45" s="3"/>
      <c r="ML45" s="3"/>
      <c r="MM45" s="3"/>
      <c r="MN45" s="3"/>
      <c r="MO45" s="3"/>
      <c r="MP45" s="3"/>
      <c r="MQ45" s="3"/>
      <c r="MR45" s="3"/>
      <c r="MS45" s="3"/>
      <c r="MT45" s="3"/>
      <c r="MU45" s="3"/>
      <c r="MV45" s="3"/>
      <c r="MW45" s="3"/>
      <c r="MX45" s="3"/>
      <c r="MY45" s="3"/>
      <c r="MZ45" s="3"/>
      <c r="NA45" s="3"/>
      <c r="NB45" s="3"/>
      <c r="NC45" s="3"/>
      <c r="ND45" s="3"/>
      <c r="NE45" s="3"/>
      <c r="NF45" s="3"/>
      <c r="NG45" s="3"/>
      <c r="NH45" s="3"/>
      <c r="NI45" s="3"/>
      <c r="NJ45" s="3"/>
      <c r="NK45" s="3"/>
      <c r="NL45" s="3"/>
      <c r="NM45" s="3"/>
      <c r="NN45" s="3"/>
      <c r="NO45" s="3"/>
      <c r="NP45" s="3"/>
      <c r="NQ45" s="3"/>
      <c r="NR45" s="3"/>
      <c r="NS45" s="3"/>
      <c r="NT45" s="3"/>
      <c r="NU45" s="3"/>
      <c r="NV45" s="3"/>
      <c r="NW45" s="3"/>
      <c r="NX45" s="3"/>
      <c r="NY45" s="3"/>
      <c r="NZ45" s="3"/>
      <c r="OA45" s="3"/>
      <c r="OB45" s="3"/>
      <c r="OC45" s="3"/>
      <c r="OD45" s="3"/>
      <c r="OE45" s="3"/>
      <c r="OF45" s="3"/>
      <c r="OG45" s="3"/>
      <c r="OH45" s="3"/>
      <c r="OI45" s="3"/>
      <c r="OJ45" s="3"/>
      <c r="OK45" s="3"/>
      <c r="OL45" s="3"/>
      <c r="OM45" s="3"/>
      <c r="ON45" s="3"/>
      <c r="OO45" s="3"/>
      <c r="OP45" s="3"/>
      <c r="OQ45" s="3"/>
      <c r="OR45" s="3"/>
      <c r="OS45" s="3"/>
      <c r="OT45" s="3"/>
      <c r="OU45" s="3"/>
      <c r="OV45" s="3"/>
      <c r="OW45" s="3"/>
      <c r="OX45" s="3"/>
      <c r="OY45" s="3"/>
      <c r="OZ45" s="3"/>
      <c r="PA45" s="3"/>
      <c r="PB45" s="3"/>
      <c r="PC45" s="3"/>
      <c r="PD45" s="3"/>
      <c r="PE45" s="3"/>
      <c r="PF45" s="3"/>
      <c r="PG45" s="3"/>
      <c r="PH45" s="3"/>
      <c r="PI45" s="3"/>
      <c r="PJ45" s="3"/>
      <c r="PK45" s="3"/>
      <c r="PL45" s="3"/>
      <c r="PM45" s="3"/>
      <c r="PN45" s="3"/>
      <c r="PO45" s="3"/>
      <c r="PP45" s="3"/>
      <c r="PQ45" s="3"/>
      <c r="PR45" s="3"/>
      <c r="PS45" s="3"/>
      <c r="PT45" s="3"/>
      <c r="PU45" s="3"/>
      <c r="PV45" s="3"/>
      <c r="PW45" s="3"/>
      <c r="PX45" s="3"/>
      <c r="PY45" s="3"/>
      <c r="PZ45" s="3"/>
      <c r="QA45" s="3"/>
      <c r="QB45" s="3"/>
      <c r="QC45" s="3"/>
      <c r="QD45" s="3"/>
      <c r="QE45" s="3"/>
      <c r="QF45" s="3"/>
      <c r="QG45" s="3"/>
      <c r="QH45" s="3"/>
      <c r="QI45" s="3"/>
      <c r="QJ45" s="3"/>
      <c r="QK45" s="3"/>
      <c r="QL45" s="3"/>
      <c r="QM45" s="3"/>
      <c r="QN45" s="3"/>
      <c r="QO45" s="3"/>
      <c r="QP45" s="3"/>
      <c r="QQ45" s="3"/>
      <c r="QR45" s="3"/>
      <c r="QS45" s="3"/>
      <c r="QT45" s="3"/>
      <c r="QU45" s="3"/>
      <c r="QV45" s="3"/>
      <c r="QW45" s="3"/>
      <c r="QX45" s="3"/>
      <c r="QY45" s="3"/>
      <c r="QZ45" s="3"/>
      <c r="RA45" s="3"/>
      <c r="RB45" s="3"/>
      <c r="RC45" s="3"/>
      <c r="RD45" s="3"/>
      <c r="RE45" s="3"/>
      <c r="RF45" s="3"/>
      <c r="RG45" s="3"/>
      <c r="RH45" s="3"/>
      <c r="RI45" s="3"/>
      <c r="RJ45" s="3"/>
      <c r="RK45" s="3"/>
      <c r="RL45" s="3"/>
      <c r="RM45" s="3"/>
      <c r="RN45" s="3"/>
      <c r="RO45" s="3"/>
      <c r="RP45" s="3"/>
      <c r="RQ45" s="3"/>
      <c r="RR45" s="3"/>
      <c r="RS45" s="3"/>
      <c r="RT45" s="3"/>
      <c r="RU45" s="3"/>
      <c r="RV45" s="3"/>
      <c r="RW45" s="3"/>
      <c r="RX45" s="3"/>
      <c r="RY45" s="3"/>
      <c r="RZ45" s="3"/>
      <c r="SA45" s="3"/>
      <c r="SB45" s="3"/>
      <c r="SC45" s="3"/>
      <c r="SD45" s="3"/>
      <c r="SE45" s="3"/>
      <c r="SF45" s="3"/>
      <c r="SG45" s="3"/>
      <c r="SH45" s="3"/>
      <c r="SI45" s="3"/>
      <c r="SJ45" s="3"/>
      <c r="SK45" s="3"/>
      <c r="SL45" s="3"/>
      <c r="SM45" s="3"/>
      <c r="SN45" s="3"/>
      <c r="SO45" s="3"/>
      <c r="SP45" s="3"/>
      <c r="SQ45" s="3"/>
      <c r="SR45" s="3"/>
      <c r="SS45" s="3"/>
      <c r="ST45" s="3"/>
      <c r="SU45" s="3"/>
      <c r="SV45" s="3"/>
      <c r="SW45" s="3"/>
      <c r="SX45" s="3"/>
      <c r="SY45" s="3"/>
      <c r="SZ45" s="3"/>
      <c r="TA45" s="3"/>
      <c r="TB45" s="3"/>
      <c r="TC45" s="3"/>
      <c r="TD45" s="3"/>
      <c r="TE45" s="3"/>
      <c r="TF45" s="3"/>
      <c r="TG45" s="3"/>
      <c r="TH45" s="3"/>
      <c r="TI45" s="3"/>
      <c r="TJ45" s="3"/>
      <c r="TK45" s="3"/>
      <c r="TL45" s="3"/>
      <c r="TM45" s="3"/>
      <c r="TN45" s="3"/>
      <c r="TO45" s="3"/>
      <c r="TP45" s="3"/>
      <c r="TQ45" s="3"/>
      <c r="TR45" s="3"/>
      <c r="TS45" s="3"/>
      <c r="TT45" s="3"/>
      <c r="TU45" s="3"/>
      <c r="TV45" s="3"/>
      <c r="TW45" s="3"/>
      <c r="TX45" s="3"/>
      <c r="TY45" s="3"/>
      <c r="TZ45" s="3"/>
      <c r="UA45" s="3"/>
      <c r="UB45" s="3"/>
      <c r="UC45" s="3"/>
      <c r="UD45" s="3"/>
      <c r="UE45" s="3"/>
      <c r="UF45" s="3"/>
      <c r="UG45" s="3"/>
      <c r="UH45" s="3"/>
      <c r="UI45" s="3"/>
      <c r="UJ45" s="3"/>
      <c r="UK45" s="3"/>
      <c r="UL45" s="3"/>
      <c r="UM45" s="3"/>
      <c r="UN45" s="3"/>
      <c r="UO45" s="3"/>
      <c r="UP45" s="3"/>
      <c r="UQ45" s="3"/>
      <c r="UR45" s="3"/>
      <c r="US45" s="3"/>
      <c r="UT45" s="3"/>
      <c r="UU45" s="3"/>
      <c r="UV45" s="3"/>
      <c r="UW45" s="3"/>
      <c r="UX45" s="3"/>
      <c r="UY45" s="3"/>
      <c r="UZ45" s="3"/>
      <c r="VA45" s="3"/>
      <c r="VB45" s="3"/>
      <c r="VC45" s="3"/>
      <c r="VD45" s="3"/>
      <c r="VE45" s="3"/>
      <c r="VF45" s="3"/>
      <c r="VG45" s="3"/>
      <c r="VH45" s="3"/>
      <c r="VI45" s="3"/>
      <c r="VJ45" s="3"/>
      <c r="VK45" s="3"/>
      <c r="VL45" s="3"/>
      <c r="VM45" s="3"/>
      <c r="VN45" s="3"/>
      <c r="VO45" s="3"/>
      <c r="VP45" s="3"/>
      <c r="VQ45" s="3"/>
      <c r="VR45" s="3"/>
      <c r="VS45" s="3"/>
      <c r="VT45" s="3"/>
      <c r="VU45" s="3"/>
      <c r="VV45" s="3"/>
      <c r="VW45" s="3"/>
      <c r="VX45" s="3"/>
      <c r="VY45" s="3"/>
      <c r="VZ45" s="3"/>
      <c r="WA45" s="3"/>
      <c r="WB45" s="3"/>
      <c r="WC45" s="3"/>
      <c r="WD45" s="3"/>
      <c r="WE45" s="3"/>
      <c r="WF45" s="3"/>
      <c r="WG45" s="3"/>
      <c r="WH45" s="3"/>
      <c r="WI45" s="3"/>
      <c r="WJ45" s="3"/>
      <c r="WK45" s="3"/>
      <c r="WL45" s="3"/>
      <c r="WM45" s="3"/>
      <c r="WN45" s="3"/>
      <c r="WO45" s="3"/>
      <c r="WP45" s="3"/>
      <c r="WQ45" s="3"/>
      <c r="WR45" s="3"/>
      <c r="WS45" s="3"/>
      <c r="WT45" s="3"/>
      <c r="WU45" s="3"/>
      <c r="WV45" s="3"/>
      <c r="WW45" s="3"/>
      <c r="WX45" s="3"/>
      <c r="WY45" s="3"/>
      <c r="WZ45" s="3"/>
      <c r="XA45" s="3"/>
      <c r="XB45" s="3"/>
      <c r="XC45" s="3"/>
      <c r="XD45" s="3"/>
      <c r="XE45" s="3"/>
      <c r="XF45" s="3"/>
      <c r="XG45" s="3"/>
      <c r="XH45" s="3"/>
      <c r="XI45" s="3"/>
      <c r="XJ45" s="3"/>
      <c r="XK45" s="3"/>
      <c r="XL45" s="3"/>
      <c r="XM45" s="3"/>
      <c r="XN45" s="3"/>
      <c r="XO45" s="3"/>
      <c r="XP45" s="3"/>
      <c r="XQ45" s="3"/>
      <c r="XR45" s="3"/>
      <c r="XS45" s="3"/>
      <c r="XT45" s="3"/>
      <c r="XU45" s="3"/>
      <c r="XV45" s="3"/>
      <c r="XW45" s="3"/>
      <c r="XX45" s="3"/>
      <c r="XY45" s="3"/>
      <c r="XZ45" s="3"/>
      <c r="YA45" s="3"/>
      <c r="YB45" s="3"/>
      <c r="YC45" s="3"/>
      <c r="YD45" s="3"/>
      <c r="YE45" s="3"/>
      <c r="YF45" s="3"/>
      <c r="YG45" s="3"/>
      <c r="YH45" s="3"/>
      <c r="YI45" s="3"/>
      <c r="YJ45" s="3"/>
      <c r="YK45" s="3"/>
      <c r="YL45" s="3"/>
      <c r="YM45" s="3"/>
      <c r="YN45" s="3"/>
      <c r="YO45" s="3"/>
      <c r="YP45" s="3"/>
      <c r="YQ45" s="3"/>
      <c r="YR45" s="3"/>
      <c r="YS45" s="3"/>
      <c r="YT45" s="3"/>
      <c r="YU45" s="3"/>
      <c r="YV45" s="3"/>
      <c r="YW45" s="3"/>
      <c r="YX45" s="3"/>
      <c r="YY45" s="3"/>
      <c r="YZ45" s="3"/>
      <c r="ZA45" s="3"/>
      <c r="ZB45" s="3"/>
      <c r="ZC45" s="3"/>
      <c r="ZD45" s="3"/>
      <c r="ZE45" s="3"/>
      <c r="ZF45" s="3"/>
      <c r="ZG45" s="3"/>
      <c r="ZH45" s="3"/>
      <c r="ZI45" s="3"/>
      <c r="ZJ45" s="3"/>
      <c r="ZK45" s="3"/>
      <c r="ZL45" s="3"/>
      <c r="ZM45" s="3"/>
      <c r="ZN45" s="3"/>
      <c r="ZO45" s="3"/>
      <c r="ZP45" s="3"/>
      <c r="ZQ45" s="3"/>
      <c r="ZR45" s="3"/>
      <c r="ZS45" s="3"/>
      <c r="ZT45" s="3"/>
      <c r="ZU45" s="3"/>
      <c r="ZV45" s="3"/>
      <c r="ZW45" s="3"/>
      <c r="ZX45" s="3"/>
      <c r="ZY45" s="3"/>
      <c r="ZZ45" s="3"/>
      <c r="AAA45" s="3"/>
      <c r="AAB45" s="3"/>
      <c r="AAC45" s="3"/>
      <c r="AAD45" s="3"/>
      <c r="AAE45" s="3"/>
      <c r="AAF45" s="3"/>
      <c r="AAG45" s="3"/>
      <c r="AAH45" s="3"/>
      <c r="AAI45" s="3"/>
      <c r="AAJ45" s="3"/>
      <c r="AAK45" s="3"/>
      <c r="AAL45" s="3"/>
      <c r="AAM45" s="3"/>
      <c r="AAN45" s="3"/>
      <c r="AAO45" s="3"/>
      <c r="AAP45" s="3"/>
      <c r="AAQ45" s="3"/>
      <c r="AAR45" s="3"/>
      <c r="AAS45" s="3"/>
      <c r="AAT45" s="3"/>
      <c r="AAU45" s="3"/>
      <c r="AAV45" s="3"/>
      <c r="AAW45" s="3"/>
      <c r="AAX45" s="3"/>
      <c r="AAY45" s="3"/>
      <c r="AAZ45" s="3"/>
      <c r="ABA45" s="3"/>
      <c r="ABB45" s="3"/>
      <c r="ABC45" s="3"/>
      <c r="ABD45" s="3"/>
      <c r="ABE45" s="3"/>
      <c r="ABF45" s="3"/>
      <c r="ABG45" s="3"/>
      <c r="ABH45" s="3"/>
      <c r="ABI45" s="3"/>
      <c r="ABJ45" s="3"/>
      <c r="ABK45" s="3"/>
      <c r="ABL45" s="3"/>
      <c r="ABM45" s="3"/>
      <c r="ABN45" s="3"/>
      <c r="ABO45" s="3"/>
      <c r="ABP45" s="3"/>
      <c r="ABQ45" s="3"/>
      <c r="ABR45" s="3"/>
      <c r="ABS45" s="3"/>
      <c r="ABT45" s="3"/>
      <c r="ABU45" s="3"/>
      <c r="ABV45" s="3"/>
      <c r="ABW45" s="3"/>
      <c r="ABX45" s="3"/>
      <c r="ABY45" s="3"/>
      <c r="ABZ45" s="3"/>
      <c r="ACA45" s="3"/>
      <c r="ACB45" s="3"/>
      <c r="ACC45" s="3"/>
      <c r="ACD45" s="3"/>
      <c r="ACE45" s="3"/>
      <c r="ACF45" s="3"/>
      <c r="ACG45" s="3"/>
      <c r="ACH45" s="3"/>
      <c r="ACI45" s="3"/>
      <c r="ACJ45" s="3"/>
      <c r="ACK45" s="3"/>
      <c r="ACL45" s="3"/>
      <c r="ACM45" s="3"/>
      <c r="ACN45" s="3"/>
      <c r="ACO45" s="3"/>
      <c r="ACP45" s="3"/>
    </row>
    <row r="46" spans="1:770" s="248" customFormat="1">
      <c r="A46" s="292" t="e">
        <f t="shared" si="1"/>
        <v>#REF!</v>
      </c>
      <c r="B46" s="419" t="str">
        <f>+'Nomina Proquima'!B73</f>
        <v>Garcia Valenzuela Jaime Rene</v>
      </c>
      <c r="C46" s="367">
        <v>16265050383385</v>
      </c>
      <c r="D46" s="401"/>
      <c r="E46" s="419" t="str">
        <f>+'Nomina Proquima'!B73</f>
        <v>Garcia Valenzuela Jaime Rene</v>
      </c>
      <c r="F46" s="244" t="str">
        <f>VLOOKUP(B46,distribucion!B$9:FK$200,2,0)</f>
        <v>operador</v>
      </c>
      <c r="G46" s="244">
        <f>ROUND((VLOOKUP($B46,'Nomina Proquima'!$B$4:$AB$145,4,0)),2)</f>
        <v>30</v>
      </c>
      <c r="H46" s="245">
        <f>ROUND((VLOOKUP($B46,'Nomina Proquima'!$B$4:$AB$145,6,0)),2)</f>
        <v>3166.38</v>
      </c>
      <c r="I46" s="245">
        <f>ROUND((VLOOKUP($B46,'Nomina Proquima'!$B$4:$AB$145,7,0)),2)</f>
        <v>700</v>
      </c>
      <c r="J46" s="245">
        <f>ROUND((VLOOKUP($B46,'Nomina Proquima'!$B$4:$AB$145,9,0)),2)</f>
        <v>0</v>
      </c>
      <c r="K46" s="245">
        <f>ROUND((VLOOKUP($B46,'Nomina Proquima'!$B$4:$AB$145,10,0)),2)</f>
        <v>0</v>
      </c>
      <c r="L46" s="245">
        <f>ROUND((VLOOKUP($B46,'Nomina Proquima'!$B$4:$AB$145,11,0)),2)</f>
        <v>0</v>
      </c>
      <c r="M46" s="245">
        <f>ROUND((VLOOKUP($B46,'Nomina Proquima'!$B$4:$AB$145,12,0)),2)</f>
        <v>0</v>
      </c>
      <c r="N46" s="245">
        <f>ROUND((VLOOKUP($B46,'Nomina Proquima'!$B$4:$AB$145,13,0)),2)</f>
        <v>0</v>
      </c>
      <c r="O46" s="245">
        <f>ROUND((VLOOKUP($B46,'Nomina Proquima'!$B$4:$AB$145,14,0)),2)</f>
        <v>3866.38</v>
      </c>
      <c r="P46" s="245">
        <f>ROUND((VLOOKUP($B46,'Nomina Proquima'!$B$4:$AB$145,15,0)),2)</f>
        <v>152.94</v>
      </c>
      <c r="Q46" s="245">
        <f>ROUND((VLOOKUP($B46,'Nomina Proquima'!$B$4:$AB$145,16,0)),2)</f>
        <v>0</v>
      </c>
      <c r="R46" s="245">
        <f>ROUND((VLOOKUP($B46,'Nomina Proquima'!$B$4:$AB$145,17,0)),2)</f>
        <v>0</v>
      </c>
      <c r="S46" s="245">
        <f>ROUND((VLOOKUP($B46,'Nomina Proquima'!$B$4:$AB$145,18,0)),2)</f>
        <v>0</v>
      </c>
      <c r="T46" s="245">
        <f>ROUND((VLOOKUP($B46,'Nomina Proquima'!$B$4:$AB$145,19,0)),2)</f>
        <v>0</v>
      </c>
      <c r="U46" s="245">
        <f>ROUND((VLOOKUP($B46,'Nomina Proquima'!$B$4:$AB$145,20,0)),2)</f>
        <v>0</v>
      </c>
      <c r="V46" s="245">
        <f>ROUND((VLOOKUP($B46,'Nomina Proquima'!$B$4:$AB$145,21,0)),2)</f>
        <v>581.5</v>
      </c>
      <c r="W46" s="245">
        <f>ROUND((VLOOKUP($B46,'Nomina Proquima'!$B$4:$AB$145,22,0)),2)</f>
        <v>50</v>
      </c>
      <c r="X46" s="245">
        <f>ROUND((VLOOKUP($B46,'Nomina Proquima'!$B$4:$AB$145,23,0)),2)</f>
        <v>784.44</v>
      </c>
      <c r="Y46" s="234">
        <f>ROUND((VLOOKUP($B46,'Nomina Proquima'!$B$4:$AB$147,24,0)),2)</f>
        <v>3081.94</v>
      </c>
      <c r="Z46" s="399">
        <f>VLOOKUP(B46,'Nomina Proquima'!$B$4:$AA$148,25,0)</f>
        <v>1346.47</v>
      </c>
      <c r="AA46" s="405">
        <f>ROUND((VLOOKUP($B46,'Nomina Proquima'!$B$4:$AB$145,26,0)),2)</f>
        <v>1735.47</v>
      </c>
      <c r="AB46" s="246"/>
      <c r="AC46" s="247"/>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c r="IW46" s="3"/>
      <c r="IX46" s="3"/>
      <c r="IY46" s="3"/>
      <c r="IZ46" s="3"/>
      <c r="JA46" s="3"/>
      <c r="JB46" s="3"/>
      <c r="JC46" s="3"/>
      <c r="JD46" s="3"/>
      <c r="JE46" s="3"/>
      <c r="JF46" s="3"/>
      <c r="JG46" s="3"/>
      <c r="JH46" s="3"/>
      <c r="JI46" s="3"/>
      <c r="JJ46" s="3"/>
      <c r="JK46" s="3"/>
      <c r="JL46" s="3"/>
      <c r="JM46" s="3"/>
      <c r="JN46" s="3"/>
      <c r="JO46" s="3"/>
      <c r="JP46" s="3"/>
      <c r="JQ46" s="3"/>
      <c r="JR46" s="3"/>
      <c r="JS46" s="3"/>
      <c r="JT46" s="3"/>
      <c r="JU46" s="3"/>
      <c r="JV46" s="3"/>
      <c r="JW46" s="3"/>
      <c r="JX46" s="3"/>
      <c r="JY46" s="3"/>
      <c r="JZ46" s="3"/>
      <c r="KA46" s="3"/>
      <c r="KB46" s="3"/>
      <c r="KC46" s="3"/>
      <c r="KD46" s="3"/>
      <c r="KE46" s="3"/>
      <c r="KF46" s="3"/>
      <c r="KG46" s="3"/>
      <c r="KH46" s="3"/>
      <c r="KI46" s="3"/>
      <c r="KJ46" s="3"/>
      <c r="KK46" s="3"/>
      <c r="KL46" s="3"/>
      <c r="KM46" s="3"/>
      <c r="KN46" s="3"/>
      <c r="KO46" s="3"/>
      <c r="KP46" s="3"/>
      <c r="KQ46" s="3"/>
      <c r="KR46" s="3"/>
      <c r="KS46" s="3"/>
      <c r="KT46" s="3"/>
      <c r="KU46" s="3"/>
      <c r="KV46" s="3"/>
      <c r="KW46" s="3"/>
      <c r="KX46" s="3"/>
      <c r="KY46" s="3"/>
      <c r="KZ46" s="3"/>
      <c r="LA46" s="3"/>
      <c r="LB46" s="3"/>
      <c r="LC46" s="3"/>
      <c r="LD46" s="3"/>
      <c r="LE46" s="3"/>
      <c r="LF46" s="3"/>
      <c r="LG46" s="3"/>
      <c r="LH46" s="3"/>
      <c r="LI46" s="3"/>
      <c r="LJ46" s="3"/>
      <c r="LK46" s="3"/>
      <c r="LL46" s="3"/>
      <c r="LM46" s="3"/>
      <c r="LN46" s="3"/>
      <c r="LO46" s="3"/>
      <c r="LP46" s="3"/>
      <c r="LQ46" s="3"/>
      <c r="LR46" s="3"/>
      <c r="LS46" s="3"/>
      <c r="LT46" s="3"/>
      <c r="LU46" s="3"/>
      <c r="LV46" s="3"/>
      <c r="LW46" s="3"/>
      <c r="LX46" s="3"/>
      <c r="LY46" s="3"/>
      <c r="LZ46" s="3"/>
      <c r="MA46" s="3"/>
      <c r="MB46" s="3"/>
      <c r="MC46" s="3"/>
      <c r="MD46" s="3"/>
      <c r="ME46" s="3"/>
      <c r="MF46" s="3"/>
      <c r="MG46" s="3"/>
      <c r="MH46" s="3"/>
      <c r="MI46" s="3"/>
      <c r="MJ46" s="3"/>
      <c r="MK46" s="3"/>
      <c r="ML46" s="3"/>
      <c r="MM46" s="3"/>
      <c r="MN46" s="3"/>
      <c r="MO46" s="3"/>
      <c r="MP46" s="3"/>
      <c r="MQ46" s="3"/>
      <c r="MR46" s="3"/>
      <c r="MS46" s="3"/>
      <c r="MT46" s="3"/>
      <c r="MU46" s="3"/>
      <c r="MV46" s="3"/>
      <c r="MW46" s="3"/>
      <c r="MX46" s="3"/>
      <c r="MY46" s="3"/>
      <c r="MZ46" s="3"/>
      <c r="NA46" s="3"/>
      <c r="NB46" s="3"/>
      <c r="NC46" s="3"/>
      <c r="ND46" s="3"/>
      <c r="NE46" s="3"/>
      <c r="NF46" s="3"/>
      <c r="NG46" s="3"/>
      <c r="NH46" s="3"/>
      <c r="NI46" s="3"/>
      <c r="NJ46" s="3"/>
      <c r="NK46" s="3"/>
      <c r="NL46" s="3"/>
      <c r="NM46" s="3"/>
      <c r="NN46" s="3"/>
      <c r="NO46" s="3"/>
      <c r="NP46" s="3"/>
      <c r="NQ46" s="3"/>
      <c r="NR46" s="3"/>
      <c r="NS46" s="3"/>
      <c r="NT46" s="3"/>
      <c r="NU46" s="3"/>
      <c r="NV46" s="3"/>
      <c r="NW46" s="3"/>
      <c r="NX46" s="3"/>
      <c r="NY46" s="3"/>
      <c r="NZ46" s="3"/>
      <c r="OA46" s="3"/>
      <c r="OB46" s="3"/>
      <c r="OC46" s="3"/>
      <c r="OD46" s="3"/>
      <c r="OE46" s="3"/>
      <c r="OF46" s="3"/>
      <c r="OG46" s="3"/>
      <c r="OH46" s="3"/>
      <c r="OI46" s="3"/>
      <c r="OJ46" s="3"/>
      <c r="OK46" s="3"/>
      <c r="OL46" s="3"/>
      <c r="OM46" s="3"/>
      <c r="ON46" s="3"/>
      <c r="OO46" s="3"/>
      <c r="OP46" s="3"/>
      <c r="OQ46" s="3"/>
      <c r="OR46" s="3"/>
      <c r="OS46" s="3"/>
      <c r="OT46" s="3"/>
      <c r="OU46" s="3"/>
      <c r="OV46" s="3"/>
      <c r="OW46" s="3"/>
      <c r="OX46" s="3"/>
      <c r="OY46" s="3"/>
      <c r="OZ46" s="3"/>
      <c r="PA46" s="3"/>
      <c r="PB46" s="3"/>
      <c r="PC46" s="3"/>
      <c r="PD46" s="3"/>
      <c r="PE46" s="3"/>
      <c r="PF46" s="3"/>
      <c r="PG46" s="3"/>
      <c r="PH46" s="3"/>
      <c r="PI46" s="3"/>
      <c r="PJ46" s="3"/>
      <c r="PK46" s="3"/>
      <c r="PL46" s="3"/>
      <c r="PM46" s="3"/>
      <c r="PN46" s="3"/>
      <c r="PO46" s="3"/>
      <c r="PP46" s="3"/>
      <c r="PQ46" s="3"/>
      <c r="PR46" s="3"/>
      <c r="PS46" s="3"/>
      <c r="PT46" s="3"/>
      <c r="PU46" s="3"/>
      <c r="PV46" s="3"/>
      <c r="PW46" s="3"/>
      <c r="PX46" s="3"/>
      <c r="PY46" s="3"/>
      <c r="PZ46" s="3"/>
      <c r="QA46" s="3"/>
      <c r="QB46" s="3"/>
      <c r="QC46" s="3"/>
      <c r="QD46" s="3"/>
      <c r="QE46" s="3"/>
      <c r="QF46" s="3"/>
      <c r="QG46" s="3"/>
      <c r="QH46" s="3"/>
      <c r="QI46" s="3"/>
      <c r="QJ46" s="3"/>
      <c r="QK46" s="3"/>
      <c r="QL46" s="3"/>
      <c r="QM46" s="3"/>
      <c r="QN46" s="3"/>
      <c r="QO46" s="3"/>
      <c r="QP46" s="3"/>
      <c r="QQ46" s="3"/>
      <c r="QR46" s="3"/>
      <c r="QS46" s="3"/>
      <c r="QT46" s="3"/>
      <c r="QU46" s="3"/>
      <c r="QV46" s="3"/>
      <c r="QW46" s="3"/>
      <c r="QX46" s="3"/>
      <c r="QY46" s="3"/>
      <c r="QZ46" s="3"/>
      <c r="RA46" s="3"/>
      <c r="RB46" s="3"/>
      <c r="RC46" s="3"/>
      <c r="RD46" s="3"/>
      <c r="RE46" s="3"/>
      <c r="RF46" s="3"/>
      <c r="RG46" s="3"/>
      <c r="RH46" s="3"/>
      <c r="RI46" s="3"/>
      <c r="RJ46" s="3"/>
      <c r="RK46" s="3"/>
      <c r="RL46" s="3"/>
      <c r="RM46" s="3"/>
      <c r="RN46" s="3"/>
      <c r="RO46" s="3"/>
      <c r="RP46" s="3"/>
      <c r="RQ46" s="3"/>
      <c r="RR46" s="3"/>
      <c r="RS46" s="3"/>
      <c r="RT46" s="3"/>
      <c r="RU46" s="3"/>
      <c r="RV46" s="3"/>
      <c r="RW46" s="3"/>
      <c r="RX46" s="3"/>
      <c r="RY46" s="3"/>
      <c r="RZ46" s="3"/>
      <c r="SA46" s="3"/>
      <c r="SB46" s="3"/>
      <c r="SC46" s="3"/>
      <c r="SD46" s="3"/>
      <c r="SE46" s="3"/>
      <c r="SF46" s="3"/>
      <c r="SG46" s="3"/>
      <c r="SH46" s="3"/>
      <c r="SI46" s="3"/>
      <c r="SJ46" s="3"/>
      <c r="SK46" s="3"/>
      <c r="SL46" s="3"/>
      <c r="SM46" s="3"/>
      <c r="SN46" s="3"/>
      <c r="SO46" s="3"/>
      <c r="SP46" s="3"/>
      <c r="SQ46" s="3"/>
      <c r="SR46" s="3"/>
      <c r="SS46" s="3"/>
      <c r="ST46" s="3"/>
      <c r="SU46" s="3"/>
      <c r="SV46" s="3"/>
      <c r="SW46" s="3"/>
      <c r="SX46" s="3"/>
      <c r="SY46" s="3"/>
      <c r="SZ46" s="3"/>
      <c r="TA46" s="3"/>
      <c r="TB46" s="3"/>
      <c r="TC46" s="3"/>
      <c r="TD46" s="3"/>
      <c r="TE46" s="3"/>
      <c r="TF46" s="3"/>
      <c r="TG46" s="3"/>
      <c r="TH46" s="3"/>
      <c r="TI46" s="3"/>
      <c r="TJ46" s="3"/>
      <c r="TK46" s="3"/>
      <c r="TL46" s="3"/>
      <c r="TM46" s="3"/>
      <c r="TN46" s="3"/>
      <c r="TO46" s="3"/>
      <c r="TP46" s="3"/>
      <c r="TQ46" s="3"/>
      <c r="TR46" s="3"/>
      <c r="TS46" s="3"/>
      <c r="TT46" s="3"/>
      <c r="TU46" s="3"/>
      <c r="TV46" s="3"/>
      <c r="TW46" s="3"/>
      <c r="TX46" s="3"/>
      <c r="TY46" s="3"/>
      <c r="TZ46" s="3"/>
      <c r="UA46" s="3"/>
      <c r="UB46" s="3"/>
      <c r="UC46" s="3"/>
      <c r="UD46" s="3"/>
      <c r="UE46" s="3"/>
      <c r="UF46" s="3"/>
      <c r="UG46" s="3"/>
      <c r="UH46" s="3"/>
      <c r="UI46" s="3"/>
      <c r="UJ46" s="3"/>
      <c r="UK46" s="3"/>
      <c r="UL46" s="3"/>
      <c r="UM46" s="3"/>
      <c r="UN46" s="3"/>
      <c r="UO46" s="3"/>
      <c r="UP46" s="3"/>
      <c r="UQ46" s="3"/>
      <c r="UR46" s="3"/>
      <c r="US46" s="3"/>
      <c r="UT46" s="3"/>
      <c r="UU46" s="3"/>
      <c r="UV46" s="3"/>
      <c r="UW46" s="3"/>
      <c r="UX46" s="3"/>
      <c r="UY46" s="3"/>
      <c r="UZ46" s="3"/>
      <c r="VA46" s="3"/>
      <c r="VB46" s="3"/>
      <c r="VC46" s="3"/>
      <c r="VD46" s="3"/>
      <c r="VE46" s="3"/>
      <c r="VF46" s="3"/>
      <c r="VG46" s="3"/>
      <c r="VH46" s="3"/>
      <c r="VI46" s="3"/>
      <c r="VJ46" s="3"/>
      <c r="VK46" s="3"/>
      <c r="VL46" s="3"/>
      <c r="VM46" s="3"/>
      <c r="VN46" s="3"/>
      <c r="VO46" s="3"/>
      <c r="VP46" s="3"/>
      <c r="VQ46" s="3"/>
      <c r="VR46" s="3"/>
      <c r="VS46" s="3"/>
      <c r="VT46" s="3"/>
      <c r="VU46" s="3"/>
      <c r="VV46" s="3"/>
      <c r="VW46" s="3"/>
      <c r="VX46" s="3"/>
      <c r="VY46" s="3"/>
      <c r="VZ46" s="3"/>
      <c r="WA46" s="3"/>
      <c r="WB46" s="3"/>
      <c r="WC46" s="3"/>
      <c r="WD46" s="3"/>
      <c r="WE46" s="3"/>
      <c r="WF46" s="3"/>
      <c r="WG46" s="3"/>
      <c r="WH46" s="3"/>
      <c r="WI46" s="3"/>
      <c r="WJ46" s="3"/>
      <c r="WK46" s="3"/>
      <c r="WL46" s="3"/>
      <c r="WM46" s="3"/>
      <c r="WN46" s="3"/>
      <c r="WO46" s="3"/>
      <c r="WP46" s="3"/>
      <c r="WQ46" s="3"/>
      <c r="WR46" s="3"/>
      <c r="WS46" s="3"/>
      <c r="WT46" s="3"/>
      <c r="WU46" s="3"/>
      <c r="WV46" s="3"/>
      <c r="WW46" s="3"/>
      <c r="WX46" s="3"/>
      <c r="WY46" s="3"/>
      <c r="WZ46" s="3"/>
      <c r="XA46" s="3"/>
      <c r="XB46" s="3"/>
      <c r="XC46" s="3"/>
      <c r="XD46" s="3"/>
      <c r="XE46" s="3"/>
      <c r="XF46" s="3"/>
      <c r="XG46" s="3"/>
      <c r="XH46" s="3"/>
      <c r="XI46" s="3"/>
      <c r="XJ46" s="3"/>
      <c r="XK46" s="3"/>
      <c r="XL46" s="3"/>
      <c r="XM46" s="3"/>
      <c r="XN46" s="3"/>
      <c r="XO46" s="3"/>
      <c r="XP46" s="3"/>
      <c r="XQ46" s="3"/>
      <c r="XR46" s="3"/>
      <c r="XS46" s="3"/>
      <c r="XT46" s="3"/>
      <c r="XU46" s="3"/>
      <c r="XV46" s="3"/>
      <c r="XW46" s="3"/>
      <c r="XX46" s="3"/>
      <c r="XY46" s="3"/>
      <c r="XZ46" s="3"/>
      <c r="YA46" s="3"/>
      <c r="YB46" s="3"/>
      <c r="YC46" s="3"/>
      <c r="YD46" s="3"/>
      <c r="YE46" s="3"/>
      <c r="YF46" s="3"/>
      <c r="YG46" s="3"/>
      <c r="YH46" s="3"/>
      <c r="YI46" s="3"/>
      <c r="YJ46" s="3"/>
      <c r="YK46" s="3"/>
      <c r="YL46" s="3"/>
      <c r="YM46" s="3"/>
      <c r="YN46" s="3"/>
      <c r="YO46" s="3"/>
      <c r="YP46" s="3"/>
      <c r="YQ46" s="3"/>
      <c r="YR46" s="3"/>
      <c r="YS46" s="3"/>
      <c r="YT46" s="3"/>
      <c r="YU46" s="3"/>
      <c r="YV46" s="3"/>
      <c r="YW46" s="3"/>
      <c r="YX46" s="3"/>
      <c r="YY46" s="3"/>
      <c r="YZ46" s="3"/>
      <c r="ZA46" s="3"/>
      <c r="ZB46" s="3"/>
      <c r="ZC46" s="3"/>
      <c r="ZD46" s="3"/>
      <c r="ZE46" s="3"/>
      <c r="ZF46" s="3"/>
      <c r="ZG46" s="3"/>
      <c r="ZH46" s="3"/>
      <c r="ZI46" s="3"/>
      <c r="ZJ46" s="3"/>
      <c r="ZK46" s="3"/>
      <c r="ZL46" s="3"/>
      <c r="ZM46" s="3"/>
      <c r="ZN46" s="3"/>
      <c r="ZO46" s="3"/>
      <c r="ZP46" s="3"/>
      <c r="ZQ46" s="3"/>
      <c r="ZR46" s="3"/>
      <c r="ZS46" s="3"/>
      <c r="ZT46" s="3"/>
      <c r="ZU46" s="3"/>
      <c r="ZV46" s="3"/>
      <c r="ZW46" s="3"/>
      <c r="ZX46" s="3"/>
      <c r="ZY46" s="3"/>
      <c r="ZZ46" s="3"/>
      <c r="AAA46" s="3"/>
      <c r="AAB46" s="3"/>
      <c r="AAC46" s="3"/>
      <c r="AAD46" s="3"/>
      <c r="AAE46" s="3"/>
      <c r="AAF46" s="3"/>
      <c r="AAG46" s="3"/>
      <c r="AAH46" s="3"/>
      <c r="AAI46" s="3"/>
      <c r="AAJ46" s="3"/>
      <c r="AAK46" s="3"/>
      <c r="AAL46" s="3"/>
      <c r="AAM46" s="3"/>
      <c r="AAN46" s="3"/>
      <c r="AAO46" s="3"/>
      <c r="AAP46" s="3"/>
      <c r="AAQ46" s="3"/>
      <c r="AAR46" s="3"/>
      <c r="AAS46" s="3"/>
      <c r="AAT46" s="3"/>
      <c r="AAU46" s="3"/>
      <c r="AAV46" s="3"/>
      <c r="AAW46" s="3"/>
      <c r="AAX46" s="3"/>
      <c r="AAY46" s="3"/>
      <c r="AAZ46" s="3"/>
      <c r="ABA46" s="3"/>
      <c r="ABB46" s="3"/>
      <c r="ABC46" s="3"/>
      <c r="ABD46" s="3"/>
      <c r="ABE46" s="3"/>
      <c r="ABF46" s="3"/>
      <c r="ABG46" s="3"/>
      <c r="ABH46" s="3"/>
      <c r="ABI46" s="3"/>
      <c r="ABJ46" s="3"/>
      <c r="ABK46" s="3"/>
      <c r="ABL46" s="3"/>
      <c r="ABM46" s="3"/>
      <c r="ABN46" s="3"/>
      <c r="ABO46" s="3"/>
      <c r="ABP46" s="3"/>
      <c r="ABQ46" s="3"/>
      <c r="ABR46" s="3"/>
      <c r="ABS46" s="3"/>
      <c r="ABT46" s="3"/>
      <c r="ABU46" s="3"/>
      <c r="ABV46" s="3"/>
      <c r="ABW46" s="3"/>
      <c r="ABX46" s="3"/>
      <c r="ABY46" s="3"/>
      <c r="ABZ46" s="3"/>
      <c r="ACA46" s="3"/>
      <c r="ACB46" s="3"/>
      <c r="ACC46" s="3"/>
      <c r="ACD46" s="3"/>
      <c r="ACE46" s="3"/>
      <c r="ACF46" s="3"/>
      <c r="ACG46" s="3"/>
      <c r="ACH46" s="3"/>
      <c r="ACI46" s="3"/>
      <c r="ACJ46" s="3"/>
      <c r="ACK46" s="3"/>
      <c r="ACL46" s="3"/>
      <c r="ACM46" s="3"/>
      <c r="ACN46" s="3"/>
      <c r="ACO46" s="3"/>
      <c r="ACP46" s="3"/>
    </row>
    <row r="47" spans="1:770" s="248" customFormat="1">
      <c r="A47" s="292" t="e">
        <f t="shared" si="1"/>
        <v>#REF!</v>
      </c>
      <c r="B47" s="419" t="str">
        <f>+'Nomina Proquima'!B125</f>
        <v>Brandao De Melo Lucenilza</v>
      </c>
      <c r="C47" s="367">
        <v>16265050383434</v>
      </c>
      <c r="D47" s="401"/>
      <c r="E47" s="419" t="str">
        <f>+'Nomina Proquima'!B125</f>
        <v>Brandao De Melo Lucenilza</v>
      </c>
      <c r="F47" s="244" t="str">
        <f>VLOOKUP(B47,distribucion!B$9:FK$200,2,0)</f>
        <v>Communitry Manager</v>
      </c>
      <c r="G47" s="244">
        <f>ROUND((VLOOKUP($B47,'Nomina Proquima'!$B$4:$AB$145,4,0)),2)</f>
        <v>30</v>
      </c>
      <c r="H47" s="245">
        <f>ROUND((VLOOKUP($B47,'Nomina Proquima'!$B$4:$AB$145,6,0)),2)</f>
        <v>4000</v>
      </c>
      <c r="I47" s="245">
        <f>ROUND((VLOOKUP($B47,'Nomina Proquima'!$B$4:$AB$145,7,0)),2)</f>
        <v>21000</v>
      </c>
      <c r="J47" s="245">
        <f>ROUND((VLOOKUP($B47,'Nomina Proquima'!$B$4:$AB$145,9,0)),2)</f>
        <v>0</v>
      </c>
      <c r="K47" s="245">
        <f>ROUND((VLOOKUP($B47,'Nomina Proquima'!$B$4:$AB$145,10,0)),2)</f>
        <v>0</v>
      </c>
      <c r="L47" s="245">
        <f>ROUND((VLOOKUP($B47,'Nomina Proquima'!$B$4:$AB$145,11,0)),2)</f>
        <v>0</v>
      </c>
      <c r="M47" s="245">
        <f>ROUND((VLOOKUP($B47,'Nomina Proquima'!$B$4:$AB$145,12,0)),2)</f>
        <v>0</v>
      </c>
      <c r="N47" s="245">
        <f>ROUND((VLOOKUP($B47,'Nomina Proquima'!$B$4:$AB$145,13,0)),2)</f>
        <v>0</v>
      </c>
      <c r="O47" s="245">
        <f>ROUND((VLOOKUP($B47,'Nomina Proquima'!$B$4:$AB$145,14,0)),2)</f>
        <v>25000</v>
      </c>
      <c r="P47" s="245">
        <f>ROUND((VLOOKUP($B47,'Nomina Proquima'!$B$4:$AB$145,15,0)),2)</f>
        <v>193.2</v>
      </c>
      <c r="Q47" s="245">
        <f>ROUND((VLOOKUP($B47,'Nomina Proquima'!$B$4:$AB$145,16,0)),2)</f>
        <v>1041.1500000000001</v>
      </c>
      <c r="R47" s="245">
        <f>ROUND((VLOOKUP($B47,'Nomina Proquima'!$B$4:$AB$145,17,0)),2)</f>
        <v>0</v>
      </c>
      <c r="S47" s="245">
        <f>ROUND((VLOOKUP($B47,'Nomina Proquima'!$B$4:$AB$145,18,0)),2)</f>
        <v>0</v>
      </c>
      <c r="T47" s="245">
        <f>ROUND((VLOOKUP($B47,'Nomina Proquima'!$B$4:$AB$145,19,0)),2)</f>
        <v>0</v>
      </c>
      <c r="U47" s="245">
        <f>ROUND((VLOOKUP($B47,'Nomina Proquima'!$B$4:$AB$145,20,0)),2)</f>
        <v>0</v>
      </c>
      <c r="V47" s="245">
        <f>ROUND((VLOOKUP($B47,'Nomina Proquima'!$B$4:$AB$145,21,0)),2)</f>
        <v>0</v>
      </c>
      <c r="W47" s="245">
        <f>ROUND((VLOOKUP($B47,'Nomina Proquima'!$B$4:$AB$145,22,0)),2)</f>
        <v>0</v>
      </c>
      <c r="X47" s="245">
        <f>ROUND((VLOOKUP($B47,'Nomina Proquima'!$B$4:$AB$145,23,0)),2)</f>
        <v>1234.3499999999999</v>
      </c>
      <c r="Y47" s="234">
        <f>ROUND((VLOOKUP($B47,'Nomina Proquima'!$B$4:$AB$147,24,0)),2)</f>
        <v>23765.65</v>
      </c>
      <c r="Z47" s="399">
        <f>VLOOKUP(B47,'Nomina Proquima'!$B$4:$AA$148,25,0)</f>
        <v>11721.96</v>
      </c>
      <c r="AA47" s="405">
        <f>ROUND((VLOOKUP($B47,'Nomina Proquima'!$B$4:$AB$145,26,0)),2)</f>
        <v>12043.69</v>
      </c>
      <c r="AB47" s="246"/>
      <c r="AC47" s="247"/>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c r="IY47" s="3"/>
      <c r="IZ47" s="3"/>
      <c r="JA47" s="3"/>
      <c r="JB47" s="3"/>
      <c r="JC47" s="3"/>
      <c r="JD47" s="3"/>
      <c r="JE47" s="3"/>
      <c r="JF47" s="3"/>
      <c r="JG47" s="3"/>
      <c r="JH47" s="3"/>
      <c r="JI47" s="3"/>
      <c r="JJ47" s="3"/>
      <c r="JK47" s="3"/>
      <c r="JL47" s="3"/>
      <c r="JM47" s="3"/>
      <c r="JN47" s="3"/>
      <c r="JO47" s="3"/>
      <c r="JP47" s="3"/>
      <c r="JQ47" s="3"/>
      <c r="JR47" s="3"/>
      <c r="JS47" s="3"/>
      <c r="JT47" s="3"/>
      <c r="JU47" s="3"/>
      <c r="JV47" s="3"/>
      <c r="JW47" s="3"/>
      <c r="JX47" s="3"/>
      <c r="JY47" s="3"/>
      <c r="JZ47" s="3"/>
      <c r="KA47" s="3"/>
      <c r="KB47" s="3"/>
      <c r="KC47" s="3"/>
      <c r="KD47" s="3"/>
      <c r="KE47" s="3"/>
      <c r="KF47" s="3"/>
      <c r="KG47" s="3"/>
      <c r="KH47" s="3"/>
      <c r="KI47" s="3"/>
      <c r="KJ47" s="3"/>
      <c r="KK47" s="3"/>
      <c r="KL47" s="3"/>
      <c r="KM47" s="3"/>
      <c r="KN47" s="3"/>
      <c r="KO47" s="3"/>
      <c r="KP47" s="3"/>
      <c r="KQ47" s="3"/>
      <c r="KR47" s="3"/>
      <c r="KS47" s="3"/>
      <c r="KT47" s="3"/>
      <c r="KU47" s="3"/>
      <c r="KV47" s="3"/>
      <c r="KW47" s="3"/>
      <c r="KX47" s="3"/>
      <c r="KY47" s="3"/>
      <c r="KZ47" s="3"/>
      <c r="LA47" s="3"/>
      <c r="LB47" s="3"/>
      <c r="LC47" s="3"/>
      <c r="LD47" s="3"/>
      <c r="LE47" s="3"/>
      <c r="LF47" s="3"/>
      <c r="LG47" s="3"/>
      <c r="LH47" s="3"/>
      <c r="LI47" s="3"/>
      <c r="LJ47" s="3"/>
      <c r="LK47" s="3"/>
      <c r="LL47" s="3"/>
      <c r="LM47" s="3"/>
      <c r="LN47" s="3"/>
      <c r="LO47" s="3"/>
      <c r="LP47" s="3"/>
      <c r="LQ47" s="3"/>
      <c r="LR47" s="3"/>
      <c r="LS47" s="3"/>
      <c r="LT47" s="3"/>
      <c r="LU47" s="3"/>
      <c r="LV47" s="3"/>
      <c r="LW47" s="3"/>
      <c r="LX47" s="3"/>
      <c r="LY47" s="3"/>
      <c r="LZ47" s="3"/>
      <c r="MA47" s="3"/>
      <c r="MB47" s="3"/>
      <c r="MC47" s="3"/>
      <c r="MD47" s="3"/>
      <c r="ME47" s="3"/>
      <c r="MF47" s="3"/>
      <c r="MG47" s="3"/>
      <c r="MH47" s="3"/>
      <c r="MI47" s="3"/>
      <c r="MJ47" s="3"/>
      <c r="MK47" s="3"/>
      <c r="ML47" s="3"/>
      <c r="MM47" s="3"/>
      <c r="MN47" s="3"/>
      <c r="MO47" s="3"/>
      <c r="MP47" s="3"/>
      <c r="MQ47" s="3"/>
      <c r="MR47" s="3"/>
      <c r="MS47" s="3"/>
      <c r="MT47" s="3"/>
      <c r="MU47" s="3"/>
      <c r="MV47" s="3"/>
      <c r="MW47" s="3"/>
      <c r="MX47" s="3"/>
      <c r="MY47" s="3"/>
      <c r="MZ47" s="3"/>
      <c r="NA47" s="3"/>
      <c r="NB47" s="3"/>
      <c r="NC47" s="3"/>
      <c r="ND47" s="3"/>
      <c r="NE47" s="3"/>
      <c r="NF47" s="3"/>
      <c r="NG47" s="3"/>
      <c r="NH47" s="3"/>
      <c r="NI47" s="3"/>
      <c r="NJ47" s="3"/>
      <c r="NK47" s="3"/>
      <c r="NL47" s="3"/>
      <c r="NM47" s="3"/>
      <c r="NN47" s="3"/>
      <c r="NO47" s="3"/>
      <c r="NP47" s="3"/>
      <c r="NQ47" s="3"/>
      <c r="NR47" s="3"/>
      <c r="NS47" s="3"/>
      <c r="NT47" s="3"/>
      <c r="NU47" s="3"/>
      <c r="NV47" s="3"/>
      <c r="NW47" s="3"/>
      <c r="NX47" s="3"/>
      <c r="NY47" s="3"/>
      <c r="NZ47" s="3"/>
      <c r="OA47" s="3"/>
      <c r="OB47" s="3"/>
      <c r="OC47" s="3"/>
      <c r="OD47" s="3"/>
      <c r="OE47" s="3"/>
      <c r="OF47" s="3"/>
      <c r="OG47" s="3"/>
      <c r="OH47" s="3"/>
      <c r="OI47" s="3"/>
      <c r="OJ47" s="3"/>
      <c r="OK47" s="3"/>
      <c r="OL47" s="3"/>
      <c r="OM47" s="3"/>
      <c r="ON47" s="3"/>
      <c r="OO47" s="3"/>
      <c r="OP47" s="3"/>
      <c r="OQ47" s="3"/>
      <c r="OR47" s="3"/>
      <c r="OS47" s="3"/>
      <c r="OT47" s="3"/>
      <c r="OU47" s="3"/>
      <c r="OV47" s="3"/>
      <c r="OW47" s="3"/>
      <c r="OX47" s="3"/>
      <c r="OY47" s="3"/>
      <c r="OZ47" s="3"/>
      <c r="PA47" s="3"/>
      <c r="PB47" s="3"/>
      <c r="PC47" s="3"/>
      <c r="PD47" s="3"/>
      <c r="PE47" s="3"/>
      <c r="PF47" s="3"/>
      <c r="PG47" s="3"/>
      <c r="PH47" s="3"/>
      <c r="PI47" s="3"/>
      <c r="PJ47" s="3"/>
      <c r="PK47" s="3"/>
      <c r="PL47" s="3"/>
      <c r="PM47" s="3"/>
      <c r="PN47" s="3"/>
      <c r="PO47" s="3"/>
      <c r="PP47" s="3"/>
      <c r="PQ47" s="3"/>
      <c r="PR47" s="3"/>
      <c r="PS47" s="3"/>
      <c r="PT47" s="3"/>
      <c r="PU47" s="3"/>
      <c r="PV47" s="3"/>
      <c r="PW47" s="3"/>
      <c r="PX47" s="3"/>
      <c r="PY47" s="3"/>
      <c r="PZ47" s="3"/>
      <c r="QA47" s="3"/>
      <c r="QB47" s="3"/>
      <c r="QC47" s="3"/>
      <c r="QD47" s="3"/>
      <c r="QE47" s="3"/>
      <c r="QF47" s="3"/>
      <c r="QG47" s="3"/>
      <c r="QH47" s="3"/>
      <c r="QI47" s="3"/>
      <c r="QJ47" s="3"/>
      <c r="QK47" s="3"/>
      <c r="QL47" s="3"/>
      <c r="QM47" s="3"/>
      <c r="QN47" s="3"/>
      <c r="QO47" s="3"/>
      <c r="QP47" s="3"/>
      <c r="QQ47" s="3"/>
      <c r="QR47" s="3"/>
      <c r="QS47" s="3"/>
      <c r="QT47" s="3"/>
      <c r="QU47" s="3"/>
      <c r="QV47" s="3"/>
      <c r="QW47" s="3"/>
      <c r="QX47" s="3"/>
      <c r="QY47" s="3"/>
      <c r="QZ47" s="3"/>
      <c r="RA47" s="3"/>
      <c r="RB47" s="3"/>
      <c r="RC47" s="3"/>
      <c r="RD47" s="3"/>
      <c r="RE47" s="3"/>
      <c r="RF47" s="3"/>
      <c r="RG47" s="3"/>
      <c r="RH47" s="3"/>
      <c r="RI47" s="3"/>
      <c r="RJ47" s="3"/>
      <c r="RK47" s="3"/>
      <c r="RL47" s="3"/>
      <c r="RM47" s="3"/>
      <c r="RN47" s="3"/>
      <c r="RO47" s="3"/>
      <c r="RP47" s="3"/>
      <c r="RQ47" s="3"/>
      <c r="RR47" s="3"/>
      <c r="RS47" s="3"/>
      <c r="RT47" s="3"/>
      <c r="RU47" s="3"/>
      <c r="RV47" s="3"/>
      <c r="RW47" s="3"/>
      <c r="RX47" s="3"/>
      <c r="RY47" s="3"/>
      <c r="RZ47" s="3"/>
      <c r="SA47" s="3"/>
      <c r="SB47" s="3"/>
      <c r="SC47" s="3"/>
      <c r="SD47" s="3"/>
      <c r="SE47" s="3"/>
      <c r="SF47" s="3"/>
      <c r="SG47" s="3"/>
      <c r="SH47" s="3"/>
      <c r="SI47" s="3"/>
      <c r="SJ47" s="3"/>
      <c r="SK47" s="3"/>
      <c r="SL47" s="3"/>
      <c r="SM47" s="3"/>
      <c r="SN47" s="3"/>
      <c r="SO47" s="3"/>
      <c r="SP47" s="3"/>
      <c r="SQ47" s="3"/>
      <c r="SR47" s="3"/>
      <c r="SS47" s="3"/>
      <c r="ST47" s="3"/>
      <c r="SU47" s="3"/>
      <c r="SV47" s="3"/>
      <c r="SW47" s="3"/>
      <c r="SX47" s="3"/>
      <c r="SY47" s="3"/>
      <c r="SZ47" s="3"/>
      <c r="TA47" s="3"/>
      <c r="TB47" s="3"/>
      <c r="TC47" s="3"/>
      <c r="TD47" s="3"/>
      <c r="TE47" s="3"/>
      <c r="TF47" s="3"/>
      <c r="TG47" s="3"/>
      <c r="TH47" s="3"/>
      <c r="TI47" s="3"/>
      <c r="TJ47" s="3"/>
      <c r="TK47" s="3"/>
      <c r="TL47" s="3"/>
      <c r="TM47" s="3"/>
      <c r="TN47" s="3"/>
      <c r="TO47" s="3"/>
      <c r="TP47" s="3"/>
      <c r="TQ47" s="3"/>
      <c r="TR47" s="3"/>
      <c r="TS47" s="3"/>
      <c r="TT47" s="3"/>
      <c r="TU47" s="3"/>
      <c r="TV47" s="3"/>
      <c r="TW47" s="3"/>
      <c r="TX47" s="3"/>
      <c r="TY47" s="3"/>
      <c r="TZ47" s="3"/>
      <c r="UA47" s="3"/>
      <c r="UB47" s="3"/>
      <c r="UC47" s="3"/>
      <c r="UD47" s="3"/>
      <c r="UE47" s="3"/>
      <c r="UF47" s="3"/>
      <c r="UG47" s="3"/>
      <c r="UH47" s="3"/>
      <c r="UI47" s="3"/>
      <c r="UJ47" s="3"/>
      <c r="UK47" s="3"/>
      <c r="UL47" s="3"/>
      <c r="UM47" s="3"/>
      <c r="UN47" s="3"/>
      <c r="UO47" s="3"/>
      <c r="UP47" s="3"/>
      <c r="UQ47" s="3"/>
      <c r="UR47" s="3"/>
      <c r="US47" s="3"/>
      <c r="UT47" s="3"/>
      <c r="UU47" s="3"/>
      <c r="UV47" s="3"/>
      <c r="UW47" s="3"/>
      <c r="UX47" s="3"/>
      <c r="UY47" s="3"/>
      <c r="UZ47" s="3"/>
      <c r="VA47" s="3"/>
      <c r="VB47" s="3"/>
      <c r="VC47" s="3"/>
      <c r="VD47" s="3"/>
      <c r="VE47" s="3"/>
      <c r="VF47" s="3"/>
      <c r="VG47" s="3"/>
      <c r="VH47" s="3"/>
      <c r="VI47" s="3"/>
      <c r="VJ47" s="3"/>
      <c r="VK47" s="3"/>
      <c r="VL47" s="3"/>
      <c r="VM47" s="3"/>
      <c r="VN47" s="3"/>
      <c r="VO47" s="3"/>
      <c r="VP47" s="3"/>
      <c r="VQ47" s="3"/>
      <c r="VR47" s="3"/>
      <c r="VS47" s="3"/>
      <c r="VT47" s="3"/>
      <c r="VU47" s="3"/>
      <c r="VV47" s="3"/>
      <c r="VW47" s="3"/>
      <c r="VX47" s="3"/>
      <c r="VY47" s="3"/>
      <c r="VZ47" s="3"/>
      <c r="WA47" s="3"/>
      <c r="WB47" s="3"/>
      <c r="WC47" s="3"/>
      <c r="WD47" s="3"/>
      <c r="WE47" s="3"/>
      <c r="WF47" s="3"/>
      <c r="WG47" s="3"/>
      <c r="WH47" s="3"/>
      <c r="WI47" s="3"/>
      <c r="WJ47" s="3"/>
      <c r="WK47" s="3"/>
      <c r="WL47" s="3"/>
      <c r="WM47" s="3"/>
      <c r="WN47" s="3"/>
      <c r="WO47" s="3"/>
      <c r="WP47" s="3"/>
      <c r="WQ47" s="3"/>
      <c r="WR47" s="3"/>
      <c r="WS47" s="3"/>
      <c r="WT47" s="3"/>
      <c r="WU47" s="3"/>
      <c r="WV47" s="3"/>
      <c r="WW47" s="3"/>
      <c r="WX47" s="3"/>
      <c r="WY47" s="3"/>
      <c r="WZ47" s="3"/>
      <c r="XA47" s="3"/>
      <c r="XB47" s="3"/>
      <c r="XC47" s="3"/>
      <c r="XD47" s="3"/>
      <c r="XE47" s="3"/>
      <c r="XF47" s="3"/>
      <c r="XG47" s="3"/>
      <c r="XH47" s="3"/>
      <c r="XI47" s="3"/>
      <c r="XJ47" s="3"/>
      <c r="XK47" s="3"/>
      <c r="XL47" s="3"/>
      <c r="XM47" s="3"/>
      <c r="XN47" s="3"/>
      <c r="XO47" s="3"/>
      <c r="XP47" s="3"/>
      <c r="XQ47" s="3"/>
      <c r="XR47" s="3"/>
      <c r="XS47" s="3"/>
      <c r="XT47" s="3"/>
      <c r="XU47" s="3"/>
      <c r="XV47" s="3"/>
      <c r="XW47" s="3"/>
      <c r="XX47" s="3"/>
      <c r="XY47" s="3"/>
      <c r="XZ47" s="3"/>
      <c r="YA47" s="3"/>
      <c r="YB47" s="3"/>
      <c r="YC47" s="3"/>
      <c r="YD47" s="3"/>
      <c r="YE47" s="3"/>
      <c r="YF47" s="3"/>
      <c r="YG47" s="3"/>
      <c r="YH47" s="3"/>
      <c r="YI47" s="3"/>
      <c r="YJ47" s="3"/>
      <c r="YK47" s="3"/>
      <c r="YL47" s="3"/>
      <c r="YM47" s="3"/>
      <c r="YN47" s="3"/>
      <c r="YO47" s="3"/>
      <c r="YP47" s="3"/>
      <c r="YQ47" s="3"/>
      <c r="YR47" s="3"/>
      <c r="YS47" s="3"/>
      <c r="YT47" s="3"/>
      <c r="YU47" s="3"/>
      <c r="YV47" s="3"/>
      <c r="YW47" s="3"/>
      <c r="YX47" s="3"/>
      <c r="YY47" s="3"/>
      <c r="YZ47" s="3"/>
      <c r="ZA47" s="3"/>
      <c r="ZB47" s="3"/>
      <c r="ZC47" s="3"/>
      <c r="ZD47" s="3"/>
      <c r="ZE47" s="3"/>
      <c r="ZF47" s="3"/>
      <c r="ZG47" s="3"/>
      <c r="ZH47" s="3"/>
      <c r="ZI47" s="3"/>
      <c r="ZJ47" s="3"/>
      <c r="ZK47" s="3"/>
      <c r="ZL47" s="3"/>
      <c r="ZM47" s="3"/>
      <c r="ZN47" s="3"/>
      <c r="ZO47" s="3"/>
      <c r="ZP47" s="3"/>
      <c r="ZQ47" s="3"/>
      <c r="ZR47" s="3"/>
      <c r="ZS47" s="3"/>
      <c r="ZT47" s="3"/>
      <c r="ZU47" s="3"/>
      <c r="ZV47" s="3"/>
      <c r="ZW47" s="3"/>
      <c r="ZX47" s="3"/>
      <c r="ZY47" s="3"/>
      <c r="ZZ47" s="3"/>
      <c r="AAA47" s="3"/>
      <c r="AAB47" s="3"/>
      <c r="AAC47" s="3"/>
      <c r="AAD47" s="3"/>
      <c r="AAE47" s="3"/>
      <c r="AAF47" s="3"/>
      <c r="AAG47" s="3"/>
      <c r="AAH47" s="3"/>
      <c r="AAI47" s="3"/>
      <c r="AAJ47" s="3"/>
      <c r="AAK47" s="3"/>
      <c r="AAL47" s="3"/>
      <c r="AAM47" s="3"/>
      <c r="AAN47" s="3"/>
      <c r="AAO47" s="3"/>
      <c r="AAP47" s="3"/>
      <c r="AAQ47" s="3"/>
      <c r="AAR47" s="3"/>
      <c r="AAS47" s="3"/>
      <c r="AAT47" s="3"/>
      <c r="AAU47" s="3"/>
      <c r="AAV47" s="3"/>
      <c r="AAW47" s="3"/>
      <c r="AAX47" s="3"/>
      <c r="AAY47" s="3"/>
      <c r="AAZ47" s="3"/>
      <c r="ABA47" s="3"/>
      <c r="ABB47" s="3"/>
      <c r="ABC47" s="3"/>
      <c r="ABD47" s="3"/>
      <c r="ABE47" s="3"/>
      <c r="ABF47" s="3"/>
      <c r="ABG47" s="3"/>
      <c r="ABH47" s="3"/>
      <c r="ABI47" s="3"/>
      <c r="ABJ47" s="3"/>
      <c r="ABK47" s="3"/>
      <c r="ABL47" s="3"/>
      <c r="ABM47" s="3"/>
      <c r="ABN47" s="3"/>
      <c r="ABO47" s="3"/>
      <c r="ABP47" s="3"/>
      <c r="ABQ47" s="3"/>
      <c r="ABR47" s="3"/>
      <c r="ABS47" s="3"/>
      <c r="ABT47" s="3"/>
      <c r="ABU47" s="3"/>
      <c r="ABV47" s="3"/>
      <c r="ABW47" s="3"/>
      <c r="ABX47" s="3"/>
      <c r="ABY47" s="3"/>
      <c r="ABZ47" s="3"/>
      <c r="ACA47" s="3"/>
      <c r="ACB47" s="3"/>
      <c r="ACC47" s="3"/>
      <c r="ACD47" s="3"/>
      <c r="ACE47" s="3"/>
      <c r="ACF47" s="3"/>
      <c r="ACG47" s="3"/>
      <c r="ACH47" s="3"/>
      <c r="ACI47" s="3"/>
      <c r="ACJ47" s="3"/>
      <c r="ACK47" s="3"/>
      <c r="ACL47" s="3"/>
      <c r="ACM47" s="3"/>
      <c r="ACN47" s="3"/>
      <c r="ACO47" s="3"/>
      <c r="ACP47" s="3"/>
    </row>
    <row r="48" spans="1:770" s="248" customFormat="1">
      <c r="A48" s="292" t="e">
        <f t="shared" si="1"/>
        <v>#REF!</v>
      </c>
      <c r="B48" s="419" t="str">
        <f>+'Nomina Proquima'!B113</f>
        <v>Vasquez Perez Esbin Manolo</v>
      </c>
      <c r="C48" s="367">
        <v>16265050404793</v>
      </c>
      <c r="D48" s="401"/>
      <c r="E48" s="1120" t="str">
        <f>+'Nomina Proquima'!B113</f>
        <v>Vasquez Perez Esbin Manolo</v>
      </c>
      <c r="F48" s="244" t="str">
        <f>VLOOKUP(B48,distribucion!B$9:FK$200,2,0)</f>
        <v>Operador de montacargas</v>
      </c>
      <c r="G48" s="244">
        <f>ROUND((VLOOKUP($B48,'Nomina Proquima'!$B$4:$AB$145,4,0)),2)</f>
        <v>30</v>
      </c>
      <c r="H48" s="245">
        <f>ROUND((VLOOKUP($B48,'Nomina Proquima'!$B$4:$AB$145,6,0)),2)</f>
        <v>3166.38</v>
      </c>
      <c r="I48" s="245">
        <f>ROUND((VLOOKUP($B48,'Nomina Proquima'!$B$4:$AB$145,7,0)),2)</f>
        <v>1012.86</v>
      </c>
      <c r="J48" s="245">
        <f>ROUND((VLOOKUP($B48,'Nomina Proquima'!$B$4:$AB$145,9,0)),2)</f>
        <v>22</v>
      </c>
      <c r="K48" s="245">
        <f>ROUND((VLOOKUP($B48,'Nomina Proquima'!$B$4:$AB$145,10,0)),2)</f>
        <v>435.38</v>
      </c>
      <c r="L48" s="245">
        <f>ROUND((VLOOKUP($B48,'Nomina Proquima'!$B$4:$AB$145,11,0)),2)</f>
        <v>0</v>
      </c>
      <c r="M48" s="245">
        <f>ROUND((VLOOKUP($B48,'Nomina Proquima'!$B$4:$AB$145,12,0)),2)</f>
        <v>0</v>
      </c>
      <c r="N48" s="245">
        <f>ROUND((VLOOKUP($B48,'Nomina Proquima'!$B$4:$AB$145,13,0)),2)</f>
        <v>0</v>
      </c>
      <c r="O48" s="245">
        <f>ROUND((VLOOKUP($B48,'Nomina Proquima'!$B$4:$AB$145,14,0)),2)</f>
        <v>4614.62</v>
      </c>
      <c r="P48" s="245">
        <f>ROUND((VLOOKUP($B48,'Nomina Proquima'!$B$4:$AB$145,15,0)),2)</f>
        <v>173.97</v>
      </c>
      <c r="Q48" s="245">
        <f>ROUND((VLOOKUP($B48,'Nomina Proquima'!$B$4:$AB$145,16,0)),2)</f>
        <v>0</v>
      </c>
      <c r="R48" s="245">
        <f>ROUND((VLOOKUP($B48,'Nomina Proquima'!$B$4:$AB$145,17,0)),2)</f>
        <v>0</v>
      </c>
      <c r="S48" s="245">
        <f>ROUND((VLOOKUP($B48,'Nomina Proquima'!$B$4:$AB$145,18,0)),2)</f>
        <v>0</v>
      </c>
      <c r="T48" s="245">
        <f>ROUND((VLOOKUP($B48,'Nomina Proquima'!$B$4:$AB$145,19,0)),2)</f>
        <v>0</v>
      </c>
      <c r="U48" s="245">
        <f>ROUND((VLOOKUP($B48,'Nomina Proquima'!$B$4:$AB$145,20,0)),2)</f>
        <v>0</v>
      </c>
      <c r="V48" s="245">
        <f>ROUND((VLOOKUP($B48,'Nomina Proquima'!$B$4:$AB$145,21,0)),2)</f>
        <v>0</v>
      </c>
      <c r="W48" s="245">
        <f>ROUND((VLOOKUP($B48,'Nomina Proquima'!$B$4:$AB$145,22,0)),2)</f>
        <v>50</v>
      </c>
      <c r="X48" s="245">
        <f>ROUND((VLOOKUP($B48,'Nomina Proquima'!$B$4:$AB$145,23,0)),2)</f>
        <v>223.97</v>
      </c>
      <c r="Y48" s="234">
        <f>ROUND((VLOOKUP($B48,'Nomina Proquima'!$B$4:$AB$147,24,0)),2)</f>
        <v>4390.6499999999996</v>
      </c>
      <c r="Z48" s="399">
        <f>VLOOKUP(B48,'Nomina Proquima'!$B$4:$AA$148,25,0)</f>
        <v>1653.15</v>
      </c>
      <c r="AA48" s="405">
        <f>ROUND((VLOOKUP($B48,'Nomina Proquima'!$B$4:$AB$145,26,0)),2)</f>
        <v>2737.5</v>
      </c>
      <c r="AB48" s="246"/>
      <c r="AC48" s="247"/>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c r="IY48" s="3"/>
      <c r="IZ48" s="3"/>
      <c r="JA48" s="3"/>
      <c r="JB48" s="3"/>
      <c r="JC48" s="3"/>
      <c r="JD48" s="3"/>
      <c r="JE48" s="3"/>
      <c r="JF48" s="3"/>
      <c r="JG48" s="3"/>
      <c r="JH48" s="3"/>
      <c r="JI48" s="3"/>
      <c r="JJ48" s="3"/>
      <c r="JK48" s="3"/>
      <c r="JL48" s="3"/>
      <c r="JM48" s="3"/>
      <c r="JN48" s="3"/>
      <c r="JO48" s="3"/>
      <c r="JP48" s="3"/>
      <c r="JQ48" s="3"/>
      <c r="JR48" s="3"/>
      <c r="JS48" s="3"/>
      <c r="JT48" s="3"/>
      <c r="JU48" s="3"/>
      <c r="JV48" s="3"/>
      <c r="JW48" s="3"/>
      <c r="JX48" s="3"/>
      <c r="JY48" s="3"/>
      <c r="JZ48" s="3"/>
      <c r="KA48" s="3"/>
      <c r="KB48" s="3"/>
      <c r="KC48" s="3"/>
      <c r="KD48" s="3"/>
      <c r="KE48" s="3"/>
      <c r="KF48" s="3"/>
      <c r="KG48" s="3"/>
      <c r="KH48" s="3"/>
      <c r="KI48" s="3"/>
      <c r="KJ48" s="3"/>
      <c r="KK48" s="3"/>
      <c r="KL48" s="3"/>
      <c r="KM48" s="3"/>
      <c r="KN48" s="3"/>
      <c r="KO48" s="3"/>
      <c r="KP48" s="3"/>
      <c r="KQ48" s="3"/>
      <c r="KR48" s="3"/>
      <c r="KS48" s="3"/>
      <c r="KT48" s="3"/>
      <c r="KU48" s="3"/>
      <c r="KV48" s="3"/>
      <c r="KW48" s="3"/>
      <c r="KX48" s="3"/>
      <c r="KY48" s="3"/>
      <c r="KZ48" s="3"/>
      <c r="LA48" s="3"/>
      <c r="LB48" s="3"/>
      <c r="LC48" s="3"/>
      <c r="LD48" s="3"/>
      <c r="LE48" s="3"/>
      <c r="LF48" s="3"/>
      <c r="LG48" s="3"/>
      <c r="LH48" s="3"/>
      <c r="LI48" s="3"/>
      <c r="LJ48" s="3"/>
      <c r="LK48" s="3"/>
      <c r="LL48" s="3"/>
      <c r="LM48" s="3"/>
      <c r="LN48" s="3"/>
      <c r="LO48" s="3"/>
      <c r="LP48" s="3"/>
      <c r="LQ48" s="3"/>
      <c r="LR48" s="3"/>
      <c r="LS48" s="3"/>
      <c r="LT48" s="3"/>
      <c r="LU48" s="3"/>
      <c r="LV48" s="3"/>
      <c r="LW48" s="3"/>
      <c r="LX48" s="3"/>
      <c r="LY48" s="3"/>
      <c r="LZ48" s="3"/>
      <c r="MA48" s="3"/>
      <c r="MB48" s="3"/>
      <c r="MC48" s="3"/>
      <c r="MD48" s="3"/>
      <c r="ME48" s="3"/>
      <c r="MF48" s="3"/>
      <c r="MG48" s="3"/>
      <c r="MH48" s="3"/>
      <c r="MI48" s="3"/>
      <c r="MJ48" s="3"/>
      <c r="MK48" s="3"/>
      <c r="ML48" s="3"/>
      <c r="MM48" s="3"/>
      <c r="MN48" s="3"/>
      <c r="MO48" s="3"/>
      <c r="MP48" s="3"/>
      <c r="MQ48" s="3"/>
      <c r="MR48" s="3"/>
      <c r="MS48" s="3"/>
      <c r="MT48" s="3"/>
      <c r="MU48" s="3"/>
      <c r="MV48" s="3"/>
      <c r="MW48" s="3"/>
      <c r="MX48" s="3"/>
      <c r="MY48" s="3"/>
      <c r="MZ48" s="3"/>
      <c r="NA48" s="3"/>
      <c r="NB48" s="3"/>
      <c r="NC48" s="3"/>
      <c r="ND48" s="3"/>
      <c r="NE48" s="3"/>
      <c r="NF48" s="3"/>
      <c r="NG48" s="3"/>
      <c r="NH48" s="3"/>
      <c r="NI48" s="3"/>
      <c r="NJ48" s="3"/>
      <c r="NK48" s="3"/>
      <c r="NL48" s="3"/>
      <c r="NM48" s="3"/>
      <c r="NN48" s="3"/>
      <c r="NO48" s="3"/>
      <c r="NP48" s="3"/>
      <c r="NQ48" s="3"/>
      <c r="NR48" s="3"/>
      <c r="NS48" s="3"/>
      <c r="NT48" s="3"/>
      <c r="NU48" s="3"/>
      <c r="NV48" s="3"/>
      <c r="NW48" s="3"/>
      <c r="NX48" s="3"/>
      <c r="NY48" s="3"/>
      <c r="NZ48" s="3"/>
      <c r="OA48" s="3"/>
      <c r="OB48" s="3"/>
      <c r="OC48" s="3"/>
      <c r="OD48" s="3"/>
      <c r="OE48" s="3"/>
      <c r="OF48" s="3"/>
      <c r="OG48" s="3"/>
      <c r="OH48" s="3"/>
      <c r="OI48" s="3"/>
      <c r="OJ48" s="3"/>
      <c r="OK48" s="3"/>
      <c r="OL48" s="3"/>
      <c r="OM48" s="3"/>
      <c r="ON48" s="3"/>
      <c r="OO48" s="3"/>
      <c r="OP48" s="3"/>
      <c r="OQ48" s="3"/>
      <c r="OR48" s="3"/>
      <c r="OS48" s="3"/>
      <c r="OT48" s="3"/>
      <c r="OU48" s="3"/>
      <c r="OV48" s="3"/>
      <c r="OW48" s="3"/>
      <c r="OX48" s="3"/>
      <c r="OY48" s="3"/>
      <c r="OZ48" s="3"/>
      <c r="PA48" s="3"/>
      <c r="PB48" s="3"/>
      <c r="PC48" s="3"/>
      <c r="PD48" s="3"/>
      <c r="PE48" s="3"/>
      <c r="PF48" s="3"/>
      <c r="PG48" s="3"/>
      <c r="PH48" s="3"/>
      <c r="PI48" s="3"/>
      <c r="PJ48" s="3"/>
      <c r="PK48" s="3"/>
      <c r="PL48" s="3"/>
      <c r="PM48" s="3"/>
      <c r="PN48" s="3"/>
      <c r="PO48" s="3"/>
      <c r="PP48" s="3"/>
      <c r="PQ48" s="3"/>
      <c r="PR48" s="3"/>
      <c r="PS48" s="3"/>
      <c r="PT48" s="3"/>
      <c r="PU48" s="3"/>
      <c r="PV48" s="3"/>
      <c r="PW48" s="3"/>
      <c r="PX48" s="3"/>
      <c r="PY48" s="3"/>
      <c r="PZ48" s="3"/>
      <c r="QA48" s="3"/>
      <c r="QB48" s="3"/>
      <c r="QC48" s="3"/>
      <c r="QD48" s="3"/>
      <c r="QE48" s="3"/>
      <c r="QF48" s="3"/>
      <c r="QG48" s="3"/>
      <c r="QH48" s="3"/>
      <c r="QI48" s="3"/>
      <c r="QJ48" s="3"/>
      <c r="QK48" s="3"/>
      <c r="QL48" s="3"/>
      <c r="QM48" s="3"/>
      <c r="QN48" s="3"/>
      <c r="QO48" s="3"/>
      <c r="QP48" s="3"/>
      <c r="QQ48" s="3"/>
      <c r="QR48" s="3"/>
      <c r="QS48" s="3"/>
      <c r="QT48" s="3"/>
      <c r="QU48" s="3"/>
      <c r="QV48" s="3"/>
      <c r="QW48" s="3"/>
      <c r="QX48" s="3"/>
      <c r="QY48" s="3"/>
      <c r="QZ48" s="3"/>
      <c r="RA48" s="3"/>
      <c r="RB48" s="3"/>
      <c r="RC48" s="3"/>
      <c r="RD48" s="3"/>
      <c r="RE48" s="3"/>
      <c r="RF48" s="3"/>
      <c r="RG48" s="3"/>
      <c r="RH48" s="3"/>
      <c r="RI48" s="3"/>
      <c r="RJ48" s="3"/>
      <c r="RK48" s="3"/>
      <c r="RL48" s="3"/>
      <c r="RM48" s="3"/>
      <c r="RN48" s="3"/>
      <c r="RO48" s="3"/>
      <c r="RP48" s="3"/>
      <c r="RQ48" s="3"/>
      <c r="RR48" s="3"/>
      <c r="RS48" s="3"/>
      <c r="RT48" s="3"/>
      <c r="RU48" s="3"/>
      <c r="RV48" s="3"/>
      <c r="RW48" s="3"/>
      <c r="RX48" s="3"/>
      <c r="RY48" s="3"/>
      <c r="RZ48" s="3"/>
      <c r="SA48" s="3"/>
      <c r="SB48" s="3"/>
      <c r="SC48" s="3"/>
      <c r="SD48" s="3"/>
      <c r="SE48" s="3"/>
      <c r="SF48" s="3"/>
      <c r="SG48" s="3"/>
      <c r="SH48" s="3"/>
      <c r="SI48" s="3"/>
      <c r="SJ48" s="3"/>
      <c r="SK48" s="3"/>
      <c r="SL48" s="3"/>
      <c r="SM48" s="3"/>
      <c r="SN48" s="3"/>
      <c r="SO48" s="3"/>
      <c r="SP48" s="3"/>
      <c r="SQ48" s="3"/>
      <c r="SR48" s="3"/>
      <c r="SS48" s="3"/>
      <c r="ST48" s="3"/>
      <c r="SU48" s="3"/>
      <c r="SV48" s="3"/>
      <c r="SW48" s="3"/>
      <c r="SX48" s="3"/>
      <c r="SY48" s="3"/>
      <c r="SZ48" s="3"/>
      <c r="TA48" s="3"/>
      <c r="TB48" s="3"/>
      <c r="TC48" s="3"/>
      <c r="TD48" s="3"/>
      <c r="TE48" s="3"/>
      <c r="TF48" s="3"/>
      <c r="TG48" s="3"/>
      <c r="TH48" s="3"/>
      <c r="TI48" s="3"/>
      <c r="TJ48" s="3"/>
      <c r="TK48" s="3"/>
      <c r="TL48" s="3"/>
      <c r="TM48" s="3"/>
      <c r="TN48" s="3"/>
      <c r="TO48" s="3"/>
      <c r="TP48" s="3"/>
      <c r="TQ48" s="3"/>
      <c r="TR48" s="3"/>
      <c r="TS48" s="3"/>
      <c r="TT48" s="3"/>
      <c r="TU48" s="3"/>
      <c r="TV48" s="3"/>
      <c r="TW48" s="3"/>
      <c r="TX48" s="3"/>
      <c r="TY48" s="3"/>
      <c r="TZ48" s="3"/>
      <c r="UA48" s="3"/>
      <c r="UB48" s="3"/>
      <c r="UC48" s="3"/>
      <c r="UD48" s="3"/>
      <c r="UE48" s="3"/>
      <c r="UF48" s="3"/>
      <c r="UG48" s="3"/>
      <c r="UH48" s="3"/>
      <c r="UI48" s="3"/>
      <c r="UJ48" s="3"/>
      <c r="UK48" s="3"/>
      <c r="UL48" s="3"/>
      <c r="UM48" s="3"/>
      <c r="UN48" s="3"/>
      <c r="UO48" s="3"/>
      <c r="UP48" s="3"/>
      <c r="UQ48" s="3"/>
      <c r="UR48" s="3"/>
      <c r="US48" s="3"/>
      <c r="UT48" s="3"/>
      <c r="UU48" s="3"/>
      <c r="UV48" s="3"/>
      <c r="UW48" s="3"/>
      <c r="UX48" s="3"/>
      <c r="UY48" s="3"/>
      <c r="UZ48" s="3"/>
      <c r="VA48" s="3"/>
      <c r="VB48" s="3"/>
      <c r="VC48" s="3"/>
      <c r="VD48" s="3"/>
      <c r="VE48" s="3"/>
      <c r="VF48" s="3"/>
      <c r="VG48" s="3"/>
      <c r="VH48" s="3"/>
      <c r="VI48" s="3"/>
      <c r="VJ48" s="3"/>
      <c r="VK48" s="3"/>
      <c r="VL48" s="3"/>
      <c r="VM48" s="3"/>
      <c r="VN48" s="3"/>
      <c r="VO48" s="3"/>
      <c r="VP48" s="3"/>
      <c r="VQ48" s="3"/>
      <c r="VR48" s="3"/>
      <c r="VS48" s="3"/>
      <c r="VT48" s="3"/>
      <c r="VU48" s="3"/>
      <c r="VV48" s="3"/>
      <c r="VW48" s="3"/>
      <c r="VX48" s="3"/>
      <c r="VY48" s="3"/>
      <c r="VZ48" s="3"/>
      <c r="WA48" s="3"/>
      <c r="WB48" s="3"/>
      <c r="WC48" s="3"/>
      <c r="WD48" s="3"/>
      <c r="WE48" s="3"/>
      <c r="WF48" s="3"/>
      <c r="WG48" s="3"/>
      <c r="WH48" s="3"/>
      <c r="WI48" s="3"/>
      <c r="WJ48" s="3"/>
      <c r="WK48" s="3"/>
      <c r="WL48" s="3"/>
      <c r="WM48" s="3"/>
      <c r="WN48" s="3"/>
      <c r="WO48" s="3"/>
      <c r="WP48" s="3"/>
      <c r="WQ48" s="3"/>
      <c r="WR48" s="3"/>
      <c r="WS48" s="3"/>
      <c r="WT48" s="3"/>
      <c r="WU48" s="3"/>
      <c r="WV48" s="3"/>
      <c r="WW48" s="3"/>
      <c r="WX48" s="3"/>
      <c r="WY48" s="3"/>
      <c r="WZ48" s="3"/>
      <c r="XA48" s="3"/>
      <c r="XB48" s="3"/>
      <c r="XC48" s="3"/>
      <c r="XD48" s="3"/>
      <c r="XE48" s="3"/>
      <c r="XF48" s="3"/>
      <c r="XG48" s="3"/>
      <c r="XH48" s="3"/>
      <c r="XI48" s="3"/>
      <c r="XJ48" s="3"/>
      <c r="XK48" s="3"/>
      <c r="XL48" s="3"/>
      <c r="XM48" s="3"/>
      <c r="XN48" s="3"/>
      <c r="XO48" s="3"/>
      <c r="XP48" s="3"/>
      <c r="XQ48" s="3"/>
      <c r="XR48" s="3"/>
      <c r="XS48" s="3"/>
      <c r="XT48" s="3"/>
      <c r="XU48" s="3"/>
      <c r="XV48" s="3"/>
      <c r="XW48" s="3"/>
      <c r="XX48" s="3"/>
      <c r="XY48" s="3"/>
      <c r="XZ48" s="3"/>
      <c r="YA48" s="3"/>
      <c r="YB48" s="3"/>
      <c r="YC48" s="3"/>
      <c r="YD48" s="3"/>
      <c r="YE48" s="3"/>
      <c r="YF48" s="3"/>
      <c r="YG48" s="3"/>
      <c r="YH48" s="3"/>
      <c r="YI48" s="3"/>
      <c r="YJ48" s="3"/>
      <c r="YK48" s="3"/>
      <c r="YL48" s="3"/>
      <c r="YM48" s="3"/>
      <c r="YN48" s="3"/>
      <c r="YO48" s="3"/>
      <c r="YP48" s="3"/>
      <c r="YQ48" s="3"/>
      <c r="YR48" s="3"/>
      <c r="YS48" s="3"/>
      <c r="YT48" s="3"/>
      <c r="YU48" s="3"/>
      <c r="YV48" s="3"/>
      <c r="YW48" s="3"/>
      <c r="YX48" s="3"/>
      <c r="YY48" s="3"/>
      <c r="YZ48" s="3"/>
      <c r="ZA48" s="3"/>
      <c r="ZB48" s="3"/>
      <c r="ZC48" s="3"/>
      <c r="ZD48" s="3"/>
      <c r="ZE48" s="3"/>
      <c r="ZF48" s="3"/>
      <c r="ZG48" s="3"/>
      <c r="ZH48" s="3"/>
      <c r="ZI48" s="3"/>
      <c r="ZJ48" s="3"/>
      <c r="ZK48" s="3"/>
      <c r="ZL48" s="3"/>
      <c r="ZM48" s="3"/>
      <c r="ZN48" s="3"/>
      <c r="ZO48" s="3"/>
      <c r="ZP48" s="3"/>
      <c r="ZQ48" s="3"/>
      <c r="ZR48" s="3"/>
      <c r="ZS48" s="3"/>
      <c r="ZT48" s="3"/>
      <c r="ZU48" s="3"/>
      <c r="ZV48" s="3"/>
      <c r="ZW48" s="3"/>
      <c r="ZX48" s="3"/>
      <c r="ZY48" s="3"/>
      <c r="ZZ48" s="3"/>
      <c r="AAA48" s="3"/>
      <c r="AAB48" s="3"/>
      <c r="AAC48" s="3"/>
      <c r="AAD48" s="3"/>
      <c r="AAE48" s="3"/>
      <c r="AAF48" s="3"/>
      <c r="AAG48" s="3"/>
      <c r="AAH48" s="3"/>
      <c r="AAI48" s="3"/>
      <c r="AAJ48" s="3"/>
      <c r="AAK48" s="3"/>
      <c r="AAL48" s="3"/>
      <c r="AAM48" s="3"/>
      <c r="AAN48" s="3"/>
      <c r="AAO48" s="3"/>
      <c r="AAP48" s="3"/>
      <c r="AAQ48" s="3"/>
      <c r="AAR48" s="3"/>
      <c r="AAS48" s="3"/>
      <c r="AAT48" s="3"/>
      <c r="AAU48" s="3"/>
      <c r="AAV48" s="3"/>
      <c r="AAW48" s="3"/>
      <c r="AAX48" s="3"/>
      <c r="AAY48" s="3"/>
      <c r="AAZ48" s="3"/>
      <c r="ABA48" s="3"/>
      <c r="ABB48" s="3"/>
      <c r="ABC48" s="3"/>
      <c r="ABD48" s="3"/>
      <c r="ABE48" s="3"/>
      <c r="ABF48" s="3"/>
      <c r="ABG48" s="3"/>
      <c r="ABH48" s="3"/>
      <c r="ABI48" s="3"/>
      <c r="ABJ48" s="3"/>
      <c r="ABK48" s="3"/>
      <c r="ABL48" s="3"/>
      <c r="ABM48" s="3"/>
      <c r="ABN48" s="3"/>
      <c r="ABO48" s="3"/>
      <c r="ABP48" s="3"/>
      <c r="ABQ48" s="3"/>
      <c r="ABR48" s="3"/>
      <c r="ABS48" s="3"/>
      <c r="ABT48" s="3"/>
      <c r="ABU48" s="3"/>
      <c r="ABV48" s="3"/>
      <c r="ABW48" s="3"/>
      <c r="ABX48" s="3"/>
      <c r="ABY48" s="3"/>
      <c r="ABZ48" s="3"/>
      <c r="ACA48" s="3"/>
      <c r="ACB48" s="3"/>
      <c r="ACC48" s="3"/>
      <c r="ACD48" s="3"/>
      <c r="ACE48" s="3"/>
      <c r="ACF48" s="3"/>
      <c r="ACG48" s="3"/>
      <c r="ACH48" s="3"/>
      <c r="ACI48" s="3"/>
      <c r="ACJ48" s="3"/>
      <c r="ACK48" s="3"/>
      <c r="ACL48" s="3"/>
      <c r="ACM48" s="3"/>
      <c r="ACN48" s="3"/>
      <c r="ACO48" s="3"/>
      <c r="ACP48" s="3"/>
    </row>
    <row r="49" spans="1:770" s="248" customFormat="1">
      <c r="A49" s="292" t="e">
        <f t="shared" si="1"/>
        <v>#REF!</v>
      </c>
      <c r="B49" s="419" t="str">
        <f>+'Nomina Proquima'!B111</f>
        <v>Mendizabal Rosales Edgar Osvaldo</v>
      </c>
      <c r="C49" s="367">
        <v>16265050383426</v>
      </c>
      <c r="D49" s="401"/>
      <c r="E49" s="1120" t="str">
        <f>+'Nomina Proquima'!B111</f>
        <v>Mendizabal Rosales Edgar Osvaldo</v>
      </c>
      <c r="F49" s="244" t="str">
        <f>VLOOKUP(B49,distribucion!B$9:FK$200,2,0)</f>
        <v>Encargado de Bodega MP</v>
      </c>
      <c r="G49" s="244">
        <f>ROUND((VLOOKUP($B49,'Nomina Proquima'!$B$4:$AB$145,4,0)),2)</f>
        <v>30</v>
      </c>
      <c r="H49" s="245">
        <f>ROUND((VLOOKUP($B49,'Nomina Proquima'!$B$4:$AB$145,6,0)),2)</f>
        <v>3166.38</v>
      </c>
      <c r="I49" s="245">
        <f>ROUND((VLOOKUP($B49,'Nomina Proquima'!$B$4:$AB$145,7,0)),2)</f>
        <v>1000</v>
      </c>
      <c r="J49" s="245">
        <f>ROUND((VLOOKUP($B49,'Nomina Proquima'!$B$4:$AB$145,9,0)),2)</f>
        <v>24</v>
      </c>
      <c r="K49" s="245">
        <f>ROUND((VLOOKUP($B49,'Nomina Proquima'!$B$4:$AB$145,10,0)),2)</f>
        <v>474.96</v>
      </c>
      <c r="L49" s="245">
        <f>ROUND((VLOOKUP($B49,'Nomina Proquima'!$B$4:$AB$145,11,0)),2)</f>
        <v>0</v>
      </c>
      <c r="M49" s="245">
        <f>ROUND((VLOOKUP($B49,'Nomina Proquima'!$B$4:$AB$145,12,0)),2)</f>
        <v>0</v>
      </c>
      <c r="N49" s="245">
        <f>ROUND((VLOOKUP($B49,'Nomina Proquima'!$B$4:$AB$145,13,0)),2)</f>
        <v>0</v>
      </c>
      <c r="O49" s="245">
        <f>ROUND((VLOOKUP($B49,'Nomina Proquima'!$B$4:$AB$145,14,0)),2)</f>
        <v>4641.34</v>
      </c>
      <c r="P49" s="245">
        <f>ROUND((VLOOKUP($B49,'Nomina Proquima'!$B$4:$AB$145,15,0)),2)</f>
        <v>175.88</v>
      </c>
      <c r="Q49" s="245">
        <f>ROUND((VLOOKUP($B49,'Nomina Proquima'!$B$4:$AB$145,16,0)),2)</f>
        <v>0.67</v>
      </c>
      <c r="R49" s="245">
        <f>ROUND((VLOOKUP($B49,'Nomina Proquima'!$B$4:$AB$145,17,0)),2)</f>
        <v>0</v>
      </c>
      <c r="S49" s="245">
        <f>ROUND((VLOOKUP($B49,'Nomina Proquima'!$B$4:$AB$145,18,0)),2)</f>
        <v>0</v>
      </c>
      <c r="T49" s="245">
        <f>ROUND((VLOOKUP($B49,'Nomina Proquima'!$B$4:$AB$145,19,0)),2)</f>
        <v>0</v>
      </c>
      <c r="U49" s="245">
        <f>ROUND((VLOOKUP($B49,'Nomina Proquima'!$B$4:$AB$145,20,0)),2)</f>
        <v>0</v>
      </c>
      <c r="V49" s="245">
        <f>ROUND((VLOOKUP($B49,'Nomina Proquima'!$B$4:$AB$145,21,0)),2)</f>
        <v>203</v>
      </c>
      <c r="W49" s="245">
        <f>ROUND((VLOOKUP($B49,'Nomina Proquima'!$B$4:$AB$145,22,0)),2)</f>
        <v>50</v>
      </c>
      <c r="X49" s="245">
        <f>ROUND((VLOOKUP($B49,'Nomina Proquima'!$B$4:$AB$145,23,0)),2)</f>
        <v>429.55</v>
      </c>
      <c r="Y49" s="234">
        <f>ROUND((VLOOKUP($B49,'Nomina Proquima'!$B$4:$AB$147,24,0)),2)</f>
        <v>4211.79</v>
      </c>
      <c r="Z49" s="399">
        <f>VLOOKUP(B49,'Nomina Proquima'!$B$4:$AA$148,25,0)</f>
        <v>1901.72</v>
      </c>
      <c r="AA49" s="405">
        <f>ROUND((VLOOKUP($B49,'Nomina Proquima'!$B$4:$AB$145,26,0)),2)</f>
        <v>2310.0700000000002</v>
      </c>
      <c r="AB49" s="246"/>
      <c r="AC49" s="247"/>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c r="JK49" s="3"/>
      <c r="JL49" s="3"/>
      <c r="JM49" s="3"/>
      <c r="JN49" s="3"/>
      <c r="JO49" s="3"/>
      <c r="JP49" s="3"/>
      <c r="JQ49" s="3"/>
      <c r="JR49" s="3"/>
      <c r="JS49" s="3"/>
      <c r="JT49" s="3"/>
      <c r="JU49" s="3"/>
      <c r="JV49" s="3"/>
      <c r="JW49" s="3"/>
      <c r="JX49" s="3"/>
      <c r="JY49" s="3"/>
      <c r="JZ49" s="3"/>
      <c r="KA49" s="3"/>
      <c r="KB49" s="3"/>
      <c r="KC49" s="3"/>
      <c r="KD49" s="3"/>
      <c r="KE49" s="3"/>
      <c r="KF49" s="3"/>
      <c r="KG49" s="3"/>
      <c r="KH49" s="3"/>
      <c r="KI49" s="3"/>
      <c r="KJ49" s="3"/>
      <c r="KK49" s="3"/>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s="3"/>
      <c r="LL49" s="3"/>
      <c r="LM49" s="3"/>
      <c r="LN49" s="3"/>
      <c r="LO49" s="3"/>
      <c r="LP49" s="3"/>
      <c r="LQ49" s="3"/>
      <c r="LR49" s="3"/>
      <c r="LS49" s="3"/>
      <c r="LT49" s="3"/>
      <c r="LU49" s="3"/>
      <c r="LV49" s="3"/>
      <c r="LW49" s="3"/>
      <c r="LX49" s="3"/>
      <c r="LY49" s="3"/>
      <c r="LZ49" s="3"/>
      <c r="MA49" s="3"/>
      <c r="MB49" s="3"/>
      <c r="MC49" s="3"/>
      <c r="MD49" s="3"/>
      <c r="ME49" s="3"/>
      <c r="MF49" s="3"/>
      <c r="MG49" s="3"/>
      <c r="MH49" s="3"/>
      <c r="MI49" s="3"/>
      <c r="MJ49" s="3"/>
      <c r="MK49" s="3"/>
      <c r="ML49" s="3"/>
      <c r="MM49" s="3"/>
      <c r="MN49" s="3"/>
      <c r="MO49" s="3"/>
      <c r="MP49" s="3"/>
      <c r="MQ49" s="3"/>
      <c r="MR49" s="3"/>
      <c r="MS49" s="3"/>
      <c r="MT49" s="3"/>
      <c r="MU49" s="3"/>
      <c r="MV49" s="3"/>
      <c r="MW49" s="3"/>
      <c r="MX49" s="3"/>
      <c r="MY49" s="3"/>
      <c r="MZ49" s="3"/>
      <c r="NA49" s="3"/>
      <c r="NB49" s="3"/>
      <c r="NC49" s="3"/>
      <c r="ND49" s="3"/>
      <c r="NE49" s="3"/>
      <c r="NF49" s="3"/>
      <c r="NG49" s="3"/>
      <c r="NH49" s="3"/>
      <c r="NI49" s="3"/>
      <c r="NJ49" s="3"/>
      <c r="NK49" s="3"/>
      <c r="NL49" s="3"/>
      <c r="NM49" s="3"/>
      <c r="NN49" s="3"/>
      <c r="NO49" s="3"/>
      <c r="NP49" s="3"/>
      <c r="NQ49" s="3"/>
      <c r="NR49" s="3"/>
      <c r="NS49" s="3"/>
      <c r="NT49" s="3"/>
      <c r="NU49" s="3"/>
      <c r="NV49" s="3"/>
      <c r="NW49" s="3"/>
      <c r="NX49" s="3"/>
      <c r="NY49" s="3"/>
      <c r="NZ49" s="3"/>
      <c r="OA49" s="3"/>
      <c r="OB49" s="3"/>
      <c r="OC49" s="3"/>
      <c r="OD49" s="3"/>
      <c r="OE49" s="3"/>
      <c r="OF49" s="3"/>
      <c r="OG49" s="3"/>
      <c r="OH49" s="3"/>
      <c r="OI49" s="3"/>
      <c r="OJ49" s="3"/>
      <c r="OK49" s="3"/>
      <c r="OL49" s="3"/>
      <c r="OM49" s="3"/>
      <c r="ON49" s="3"/>
      <c r="OO49" s="3"/>
      <c r="OP49" s="3"/>
      <c r="OQ49" s="3"/>
      <c r="OR49" s="3"/>
      <c r="OS49" s="3"/>
      <c r="OT49" s="3"/>
      <c r="OU49" s="3"/>
      <c r="OV49" s="3"/>
      <c r="OW49" s="3"/>
      <c r="OX49" s="3"/>
      <c r="OY49" s="3"/>
      <c r="OZ49" s="3"/>
      <c r="PA49" s="3"/>
      <c r="PB49" s="3"/>
      <c r="PC49" s="3"/>
      <c r="PD49" s="3"/>
      <c r="PE49" s="3"/>
      <c r="PF49" s="3"/>
      <c r="PG49" s="3"/>
      <c r="PH49" s="3"/>
      <c r="PI49" s="3"/>
      <c r="PJ49" s="3"/>
      <c r="PK49" s="3"/>
      <c r="PL49" s="3"/>
      <c r="PM49" s="3"/>
      <c r="PN49" s="3"/>
      <c r="PO49" s="3"/>
      <c r="PP49" s="3"/>
      <c r="PQ49" s="3"/>
      <c r="PR49" s="3"/>
      <c r="PS49" s="3"/>
      <c r="PT49" s="3"/>
      <c r="PU49" s="3"/>
      <c r="PV49" s="3"/>
      <c r="PW49" s="3"/>
      <c r="PX49" s="3"/>
      <c r="PY49" s="3"/>
      <c r="PZ49" s="3"/>
      <c r="QA49" s="3"/>
      <c r="QB49" s="3"/>
      <c r="QC49" s="3"/>
      <c r="QD49" s="3"/>
      <c r="QE49" s="3"/>
      <c r="QF49" s="3"/>
      <c r="QG49" s="3"/>
      <c r="QH49" s="3"/>
      <c r="QI49" s="3"/>
      <c r="QJ49" s="3"/>
      <c r="QK49" s="3"/>
      <c r="QL49" s="3"/>
      <c r="QM49" s="3"/>
      <c r="QN49" s="3"/>
      <c r="QO49" s="3"/>
      <c r="QP49" s="3"/>
      <c r="QQ49" s="3"/>
      <c r="QR49" s="3"/>
      <c r="QS49" s="3"/>
      <c r="QT49" s="3"/>
      <c r="QU49" s="3"/>
      <c r="QV49" s="3"/>
      <c r="QW49" s="3"/>
      <c r="QX49" s="3"/>
      <c r="QY49" s="3"/>
      <c r="QZ49" s="3"/>
      <c r="RA49" s="3"/>
      <c r="RB49" s="3"/>
      <c r="RC49" s="3"/>
      <c r="RD49" s="3"/>
      <c r="RE49" s="3"/>
      <c r="RF49" s="3"/>
      <c r="RG49" s="3"/>
      <c r="RH49" s="3"/>
      <c r="RI49" s="3"/>
      <c r="RJ49" s="3"/>
      <c r="RK49" s="3"/>
      <c r="RL49" s="3"/>
      <c r="RM49" s="3"/>
      <c r="RN49" s="3"/>
      <c r="RO49" s="3"/>
      <c r="RP49" s="3"/>
      <c r="RQ49" s="3"/>
      <c r="RR49" s="3"/>
      <c r="RS49" s="3"/>
      <c r="RT49" s="3"/>
      <c r="RU49" s="3"/>
      <c r="RV49" s="3"/>
      <c r="RW49" s="3"/>
      <c r="RX49" s="3"/>
      <c r="RY49" s="3"/>
      <c r="RZ49" s="3"/>
      <c r="SA49" s="3"/>
      <c r="SB49" s="3"/>
      <c r="SC49" s="3"/>
      <c r="SD49" s="3"/>
      <c r="SE49" s="3"/>
      <c r="SF49" s="3"/>
      <c r="SG49" s="3"/>
      <c r="SH49" s="3"/>
      <c r="SI49" s="3"/>
      <c r="SJ49" s="3"/>
      <c r="SK49" s="3"/>
      <c r="SL49" s="3"/>
      <c r="SM49" s="3"/>
      <c r="SN49" s="3"/>
      <c r="SO49" s="3"/>
      <c r="SP49" s="3"/>
      <c r="SQ49" s="3"/>
      <c r="SR49" s="3"/>
      <c r="SS49" s="3"/>
      <c r="ST49" s="3"/>
      <c r="SU49" s="3"/>
      <c r="SV49" s="3"/>
      <c r="SW49" s="3"/>
      <c r="SX49" s="3"/>
      <c r="SY49" s="3"/>
      <c r="SZ49" s="3"/>
      <c r="TA49" s="3"/>
      <c r="TB49" s="3"/>
      <c r="TC49" s="3"/>
      <c r="TD49" s="3"/>
      <c r="TE49" s="3"/>
      <c r="TF49" s="3"/>
      <c r="TG49" s="3"/>
      <c r="TH49" s="3"/>
      <c r="TI49" s="3"/>
      <c r="TJ49" s="3"/>
      <c r="TK49" s="3"/>
      <c r="TL49" s="3"/>
      <c r="TM49" s="3"/>
      <c r="TN49" s="3"/>
      <c r="TO49" s="3"/>
      <c r="TP49" s="3"/>
      <c r="TQ49" s="3"/>
      <c r="TR49" s="3"/>
      <c r="TS49" s="3"/>
      <c r="TT49" s="3"/>
      <c r="TU49" s="3"/>
      <c r="TV49" s="3"/>
      <c r="TW49" s="3"/>
      <c r="TX49" s="3"/>
      <c r="TY49" s="3"/>
      <c r="TZ49" s="3"/>
      <c r="UA49" s="3"/>
      <c r="UB49" s="3"/>
      <c r="UC49" s="3"/>
      <c r="UD49" s="3"/>
      <c r="UE49" s="3"/>
      <c r="UF49" s="3"/>
      <c r="UG49" s="3"/>
      <c r="UH49" s="3"/>
      <c r="UI49" s="3"/>
      <c r="UJ49" s="3"/>
      <c r="UK49" s="3"/>
      <c r="UL49" s="3"/>
      <c r="UM49" s="3"/>
      <c r="UN49" s="3"/>
      <c r="UO49" s="3"/>
      <c r="UP49" s="3"/>
      <c r="UQ49" s="3"/>
      <c r="UR49" s="3"/>
      <c r="US49" s="3"/>
      <c r="UT49" s="3"/>
      <c r="UU49" s="3"/>
      <c r="UV49" s="3"/>
      <c r="UW49" s="3"/>
      <c r="UX49" s="3"/>
      <c r="UY49" s="3"/>
      <c r="UZ49" s="3"/>
      <c r="VA49" s="3"/>
      <c r="VB49" s="3"/>
      <c r="VC49" s="3"/>
      <c r="VD49" s="3"/>
      <c r="VE49" s="3"/>
      <c r="VF49" s="3"/>
      <c r="VG49" s="3"/>
      <c r="VH49" s="3"/>
      <c r="VI49" s="3"/>
      <c r="VJ49" s="3"/>
      <c r="VK49" s="3"/>
      <c r="VL49" s="3"/>
      <c r="VM49" s="3"/>
      <c r="VN49" s="3"/>
      <c r="VO49" s="3"/>
      <c r="VP49" s="3"/>
      <c r="VQ49" s="3"/>
      <c r="VR49" s="3"/>
      <c r="VS49" s="3"/>
      <c r="VT49" s="3"/>
      <c r="VU49" s="3"/>
      <c r="VV49" s="3"/>
      <c r="VW49" s="3"/>
      <c r="VX49" s="3"/>
      <c r="VY49" s="3"/>
      <c r="VZ49" s="3"/>
      <c r="WA49" s="3"/>
      <c r="WB49" s="3"/>
      <c r="WC49" s="3"/>
      <c r="WD49" s="3"/>
      <c r="WE49" s="3"/>
      <c r="WF49" s="3"/>
      <c r="WG49" s="3"/>
      <c r="WH49" s="3"/>
      <c r="WI49" s="3"/>
      <c r="WJ49" s="3"/>
      <c r="WK49" s="3"/>
      <c r="WL49" s="3"/>
      <c r="WM49" s="3"/>
      <c r="WN49" s="3"/>
      <c r="WO49" s="3"/>
      <c r="WP49" s="3"/>
      <c r="WQ49" s="3"/>
      <c r="WR49" s="3"/>
      <c r="WS49" s="3"/>
      <c r="WT49" s="3"/>
      <c r="WU49" s="3"/>
      <c r="WV49" s="3"/>
      <c r="WW49" s="3"/>
      <c r="WX49" s="3"/>
      <c r="WY49" s="3"/>
      <c r="WZ49" s="3"/>
      <c r="XA49" s="3"/>
      <c r="XB49" s="3"/>
      <c r="XC49" s="3"/>
      <c r="XD49" s="3"/>
      <c r="XE49" s="3"/>
      <c r="XF49" s="3"/>
      <c r="XG49" s="3"/>
      <c r="XH49" s="3"/>
      <c r="XI49" s="3"/>
      <c r="XJ49" s="3"/>
      <c r="XK49" s="3"/>
      <c r="XL49" s="3"/>
      <c r="XM49" s="3"/>
      <c r="XN49" s="3"/>
      <c r="XO49" s="3"/>
      <c r="XP49" s="3"/>
      <c r="XQ49" s="3"/>
      <c r="XR49" s="3"/>
      <c r="XS49" s="3"/>
      <c r="XT49" s="3"/>
      <c r="XU49" s="3"/>
      <c r="XV49" s="3"/>
      <c r="XW49" s="3"/>
      <c r="XX49" s="3"/>
      <c r="XY49" s="3"/>
      <c r="XZ49" s="3"/>
      <c r="YA49" s="3"/>
      <c r="YB49" s="3"/>
      <c r="YC49" s="3"/>
      <c r="YD49" s="3"/>
      <c r="YE49" s="3"/>
      <c r="YF49" s="3"/>
      <c r="YG49" s="3"/>
      <c r="YH49" s="3"/>
      <c r="YI49" s="3"/>
      <c r="YJ49" s="3"/>
      <c r="YK49" s="3"/>
      <c r="YL49" s="3"/>
      <c r="YM49" s="3"/>
      <c r="YN49" s="3"/>
      <c r="YO49" s="3"/>
      <c r="YP49" s="3"/>
      <c r="YQ49" s="3"/>
      <c r="YR49" s="3"/>
      <c r="YS49" s="3"/>
      <c r="YT49" s="3"/>
      <c r="YU49" s="3"/>
      <c r="YV49" s="3"/>
      <c r="YW49" s="3"/>
      <c r="YX49" s="3"/>
      <c r="YY49" s="3"/>
      <c r="YZ49" s="3"/>
      <c r="ZA49" s="3"/>
      <c r="ZB49" s="3"/>
      <c r="ZC49" s="3"/>
      <c r="ZD49" s="3"/>
      <c r="ZE49" s="3"/>
      <c r="ZF49" s="3"/>
      <c r="ZG49" s="3"/>
      <c r="ZH49" s="3"/>
      <c r="ZI49" s="3"/>
      <c r="ZJ49" s="3"/>
      <c r="ZK49" s="3"/>
      <c r="ZL49" s="3"/>
      <c r="ZM49" s="3"/>
      <c r="ZN49" s="3"/>
      <c r="ZO49" s="3"/>
      <c r="ZP49" s="3"/>
      <c r="ZQ49" s="3"/>
      <c r="ZR49" s="3"/>
      <c r="ZS49" s="3"/>
      <c r="ZT49" s="3"/>
      <c r="ZU49" s="3"/>
      <c r="ZV49" s="3"/>
      <c r="ZW49" s="3"/>
      <c r="ZX49" s="3"/>
      <c r="ZY49" s="3"/>
      <c r="ZZ49" s="3"/>
      <c r="AAA49" s="3"/>
      <c r="AAB49" s="3"/>
      <c r="AAC49" s="3"/>
      <c r="AAD49" s="3"/>
      <c r="AAE49" s="3"/>
      <c r="AAF49" s="3"/>
      <c r="AAG49" s="3"/>
      <c r="AAH49" s="3"/>
      <c r="AAI49" s="3"/>
      <c r="AAJ49" s="3"/>
      <c r="AAK49" s="3"/>
      <c r="AAL49" s="3"/>
      <c r="AAM49" s="3"/>
      <c r="AAN49" s="3"/>
      <c r="AAO49" s="3"/>
      <c r="AAP49" s="3"/>
      <c r="AAQ49" s="3"/>
      <c r="AAR49" s="3"/>
      <c r="AAS49" s="3"/>
      <c r="AAT49" s="3"/>
      <c r="AAU49" s="3"/>
      <c r="AAV49" s="3"/>
      <c r="AAW49" s="3"/>
      <c r="AAX49" s="3"/>
      <c r="AAY49" s="3"/>
      <c r="AAZ49" s="3"/>
      <c r="ABA49" s="3"/>
      <c r="ABB49" s="3"/>
      <c r="ABC49" s="3"/>
      <c r="ABD49" s="3"/>
      <c r="ABE49" s="3"/>
      <c r="ABF49" s="3"/>
      <c r="ABG49" s="3"/>
      <c r="ABH49" s="3"/>
      <c r="ABI49" s="3"/>
      <c r="ABJ49" s="3"/>
      <c r="ABK49" s="3"/>
      <c r="ABL49" s="3"/>
      <c r="ABM49" s="3"/>
      <c r="ABN49" s="3"/>
      <c r="ABO49" s="3"/>
      <c r="ABP49" s="3"/>
      <c r="ABQ49" s="3"/>
      <c r="ABR49" s="3"/>
      <c r="ABS49" s="3"/>
      <c r="ABT49" s="3"/>
      <c r="ABU49" s="3"/>
      <c r="ABV49" s="3"/>
      <c r="ABW49" s="3"/>
      <c r="ABX49" s="3"/>
      <c r="ABY49" s="3"/>
      <c r="ABZ49" s="3"/>
      <c r="ACA49" s="3"/>
      <c r="ACB49" s="3"/>
      <c r="ACC49" s="3"/>
      <c r="ACD49" s="3"/>
      <c r="ACE49" s="3"/>
      <c r="ACF49" s="3"/>
      <c r="ACG49" s="3"/>
      <c r="ACH49" s="3"/>
      <c r="ACI49" s="3"/>
      <c r="ACJ49" s="3"/>
      <c r="ACK49" s="3"/>
      <c r="ACL49" s="3"/>
      <c r="ACM49" s="3"/>
      <c r="ACN49" s="3"/>
      <c r="ACO49" s="3"/>
      <c r="ACP49" s="3"/>
    </row>
    <row r="50" spans="1:770" s="248" customFormat="1">
      <c r="A50" s="292" t="e">
        <f t="shared" si="1"/>
        <v>#REF!</v>
      </c>
      <c r="B50" s="419" t="str">
        <f>+'Nomina Proquima'!B26</f>
        <v>Cuello Pirir Jorge Renato</v>
      </c>
      <c r="C50" s="367">
        <v>16265050404801</v>
      </c>
      <c r="D50" s="401"/>
      <c r="E50" s="1120" t="str">
        <f>+'Nomina Proquima'!B26</f>
        <v>Cuello Pirir Jorge Renato</v>
      </c>
      <c r="F50" s="244" t="str">
        <f>VLOOKUP(B50,distribucion!B$9:FK$200,2,0)</f>
        <v>Aux Creiditos y Cobros</v>
      </c>
      <c r="G50" s="244">
        <f>ROUND((VLOOKUP($B50,'Nomina Proquima'!$B$4:$AB$145,4,0)),2)</f>
        <v>30</v>
      </c>
      <c r="H50" s="245">
        <f>ROUND((VLOOKUP($B50,'Nomina Proquima'!$B$4:$AB$145,6,0)),2)</f>
        <v>3500</v>
      </c>
      <c r="I50" s="245">
        <f>ROUND((VLOOKUP($B50,'Nomina Proquima'!$B$4:$AB$145,7,0)),2)</f>
        <v>500</v>
      </c>
      <c r="J50" s="245">
        <f>ROUND((VLOOKUP($B50,'Nomina Proquima'!$B$4:$AB$145,9,0)),2)</f>
        <v>0</v>
      </c>
      <c r="K50" s="245">
        <f>ROUND((VLOOKUP($B50,'Nomina Proquima'!$B$4:$AB$145,10,0)),2)</f>
        <v>0</v>
      </c>
      <c r="L50" s="245">
        <f>ROUND((VLOOKUP($B50,'Nomina Proquima'!$B$4:$AB$145,11,0)),2)</f>
        <v>0</v>
      </c>
      <c r="M50" s="245">
        <f>ROUND((VLOOKUP($B50,'Nomina Proquima'!$B$4:$AB$145,12,0)),2)</f>
        <v>0</v>
      </c>
      <c r="N50" s="245">
        <f>ROUND((VLOOKUP($B50,'Nomina Proquima'!$B$4:$AB$145,13,0)),2)</f>
        <v>0</v>
      </c>
      <c r="O50" s="245">
        <f>ROUND((VLOOKUP($B50,'Nomina Proquima'!$B$4:$AB$145,14,0)),2)</f>
        <v>4000</v>
      </c>
      <c r="P50" s="245">
        <f>ROUND((VLOOKUP($B50,'Nomina Proquima'!$B$4:$AB$145,15,0)),2)</f>
        <v>169.05</v>
      </c>
      <c r="Q50" s="245">
        <f>ROUND((VLOOKUP($B50,'Nomina Proquima'!$B$4:$AB$145,16,0)),2)</f>
        <v>0</v>
      </c>
      <c r="R50" s="245">
        <f>ROUND((VLOOKUP($B50,'Nomina Proquima'!$B$4:$AB$145,17,0)),2)</f>
        <v>0</v>
      </c>
      <c r="S50" s="245">
        <f>ROUND((VLOOKUP($B50,'Nomina Proquima'!$B$4:$AB$145,18,0)),2)</f>
        <v>0</v>
      </c>
      <c r="T50" s="245">
        <f>ROUND((VLOOKUP($B50,'Nomina Proquima'!$B$4:$AB$145,19,0)),2)</f>
        <v>0</v>
      </c>
      <c r="U50" s="245">
        <f>ROUND((VLOOKUP($B50,'Nomina Proquima'!$B$4:$AB$145,20,0)),2)</f>
        <v>0</v>
      </c>
      <c r="V50" s="245">
        <f>ROUND((VLOOKUP($B50,'Nomina Proquima'!$B$4:$AB$145,21,0)),2)</f>
        <v>0</v>
      </c>
      <c r="W50" s="245">
        <f>ROUND((VLOOKUP($B50,'Nomina Proquima'!$B$4:$AB$145,22,0)),2)</f>
        <v>50</v>
      </c>
      <c r="X50" s="245">
        <f>ROUND((VLOOKUP($B50,'Nomina Proquima'!$B$4:$AB$145,23,0)),2)</f>
        <v>219.05</v>
      </c>
      <c r="Y50" s="234">
        <f>ROUND((VLOOKUP($B50,'Nomina Proquima'!$B$4:$AB$147,24,0)),2)</f>
        <v>3780.95</v>
      </c>
      <c r="Z50" s="399">
        <f>VLOOKUP(B50,'Nomina Proquima'!$B$4:$AA$148,25,0)</f>
        <v>1915.47</v>
      </c>
      <c r="AA50" s="405">
        <f>ROUND((VLOOKUP($B50,'Nomina Proquima'!$B$4:$AB$145,26,0)),2)</f>
        <v>1865.48</v>
      </c>
      <c r="AB50" s="246"/>
      <c r="AC50" s="247"/>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c r="KC50" s="3"/>
      <c r="KD50" s="3"/>
      <c r="KE50" s="3"/>
      <c r="KF50" s="3"/>
      <c r="KG50" s="3"/>
      <c r="KH50" s="3"/>
      <c r="KI50" s="3"/>
      <c r="KJ50" s="3"/>
      <c r="KK50" s="3"/>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K50" s="3"/>
      <c r="LL50" s="3"/>
      <c r="LM50" s="3"/>
      <c r="LN50" s="3"/>
      <c r="LO50" s="3"/>
      <c r="LP50" s="3"/>
      <c r="LQ50" s="3"/>
      <c r="LR50" s="3"/>
      <c r="LS50" s="3"/>
      <c r="LT50" s="3"/>
      <c r="LU50" s="3"/>
      <c r="LV50" s="3"/>
      <c r="LW50" s="3"/>
      <c r="LX50" s="3"/>
      <c r="LY50" s="3"/>
      <c r="LZ50" s="3"/>
      <c r="MA50" s="3"/>
      <c r="MB50" s="3"/>
      <c r="MC50" s="3"/>
      <c r="MD50" s="3"/>
      <c r="ME50" s="3"/>
      <c r="MF50" s="3"/>
      <c r="MG50" s="3"/>
      <c r="MH50" s="3"/>
      <c r="MI50" s="3"/>
      <c r="MJ50" s="3"/>
      <c r="MK50" s="3"/>
      <c r="ML50" s="3"/>
      <c r="MM50" s="3"/>
      <c r="MN50" s="3"/>
      <c r="MO50" s="3"/>
      <c r="MP50" s="3"/>
      <c r="MQ50" s="3"/>
      <c r="MR50" s="3"/>
      <c r="MS50" s="3"/>
      <c r="MT50" s="3"/>
      <c r="MU50" s="3"/>
      <c r="MV50" s="3"/>
      <c r="MW50" s="3"/>
      <c r="MX50" s="3"/>
      <c r="MY50" s="3"/>
      <c r="MZ50" s="3"/>
      <c r="NA50" s="3"/>
      <c r="NB50" s="3"/>
      <c r="NC50" s="3"/>
      <c r="ND50" s="3"/>
      <c r="NE50" s="3"/>
      <c r="NF50" s="3"/>
      <c r="NG50" s="3"/>
      <c r="NH50" s="3"/>
      <c r="NI50" s="3"/>
      <c r="NJ50" s="3"/>
      <c r="NK50" s="3"/>
      <c r="NL50" s="3"/>
      <c r="NM50" s="3"/>
      <c r="NN50" s="3"/>
      <c r="NO50" s="3"/>
      <c r="NP50" s="3"/>
      <c r="NQ50" s="3"/>
      <c r="NR50" s="3"/>
      <c r="NS50" s="3"/>
      <c r="NT50" s="3"/>
      <c r="NU50" s="3"/>
      <c r="NV50" s="3"/>
      <c r="NW50" s="3"/>
      <c r="NX50" s="3"/>
      <c r="NY50" s="3"/>
      <c r="NZ50" s="3"/>
      <c r="OA50" s="3"/>
      <c r="OB50" s="3"/>
      <c r="OC50" s="3"/>
      <c r="OD50" s="3"/>
      <c r="OE50" s="3"/>
      <c r="OF50" s="3"/>
      <c r="OG50" s="3"/>
      <c r="OH50" s="3"/>
      <c r="OI50" s="3"/>
      <c r="OJ50" s="3"/>
      <c r="OK50" s="3"/>
      <c r="OL50" s="3"/>
      <c r="OM50" s="3"/>
      <c r="ON50" s="3"/>
      <c r="OO50" s="3"/>
      <c r="OP50" s="3"/>
      <c r="OQ50" s="3"/>
      <c r="OR50" s="3"/>
      <c r="OS50" s="3"/>
      <c r="OT50" s="3"/>
      <c r="OU50" s="3"/>
      <c r="OV50" s="3"/>
      <c r="OW50" s="3"/>
      <c r="OX50" s="3"/>
      <c r="OY50" s="3"/>
      <c r="OZ50" s="3"/>
      <c r="PA50" s="3"/>
      <c r="PB50" s="3"/>
      <c r="PC50" s="3"/>
      <c r="PD50" s="3"/>
      <c r="PE50" s="3"/>
      <c r="PF50" s="3"/>
      <c r="PG50" s="3"/>
      <c r="PH50" s="3"/>
      <c r="PI50" s="3"/>
      <c r="PJ50" s="3"/>
      <c r="PK50" s="3"/>
      <c r="PL50" s="3"/>
      <c r="PM50" s="3"/>
      <c r="PN50" s="3"/>
      <c r="PO50" s="3"/>
      <c r="PP50" s="3"/>
      <c r="PQ50" s="3"/>
      <c r="PR50" s="3"/>
      <c r="PS50" s="3"/>
      <c r="PT50" s="3"/>
      <c r="PU50" s="3"/>
      <c r="PV50" s="3"/>
      <c r="PW50" s="3"/>
      <c r="PX50" s="3"/>
      <c r="PY50" s="3"/>
      <c r="PZ50" s="3"/>
      <c r="QA50" s="3"/>
      <c r="QB50" s="3"/>
      <c r="QC50" s="3"/>
      <c r="QD50" s="3"/>
      <c r="QE50" s="3"/>
      <c r="QF50" s="3"/>
      <c r="QG50" s="3"/>
      <c r="QH50" s="3"/>
      <c r="QI50" s="3"/>
      <c r="QJ50" s="3"/>
      <c r="QK50" s="3"/>
      <c r="QL50" s="3"/>
      <c r="QM50" s="3"/>
      <c r="QN50" s="3"/>
      <c r="QO50" s="3"/>
      <c r="QP50" s="3"/>
      <c r="QQ50" s="3"/>
      <c r="QR50" s="3"/>
      <c r="QS50" s="3"/>
      <c r="QT50" s="3"/>
      <c r="QU50" s="3"/>
      <c r="QV50" s="3"/>
      <c r="QW50" s="3"/>
      <c r="QX50" s="3"/>
      <c r="QY50" s="3"/>
      <c r="QZ50" s="3"/>
      <c r="RA50" s="3"/>
      <c r="RB50" s="3"/>
      <c r="RC50" s="3"/>
      <c r="RD50" s="3"/>
      <c r="RE50" s="3"/>
      <c r="RF50" s="3"/>
      <c r="RG50" s="3"/>
      <c r="RH50" s="3"/>
      <c r="RI50" s="3"/>
      <c r="RJ50" s="3"/>
      <c r="RK50" s="3"/>
      <c r="RL50" s="3"/>
      <c r="RM50" s="3"/>
      <c r="RN50" s="3"/>
      <c r="RO50" s="3"/>
      <c r="RP50" s="3"/>
      <c r="RQ50" s="3"/>
      <c r="RR50" s="3"/>
      <c r="RS50" s="3"/>
      <c r="RT50" s="3"/>
      <c r="RU50" s="3"/>
      <c r="RV50" s="3"/>
      <c r="RW50" s="3"/>
      <c r="RX50" s="3"/>
      <c r="RY50" s="3"/>
      <c r="RZ50" s="3"/>
      <c r="SA50" s="3"/>
      <c r="SB50" s="3"/>
      <c r="SC50" s="3"/>
      <c r="SD50" s="3"/>
      <c r="SE50" s="3"/>
      <c r="SF50" s="3"/>
      <c r="SG50" s="3"/>
      <c r="SH50" s="3"/>
      <c r="SI50" s="3"/>
      <c r="SJ50" s="3"/>
      <c r="SK50" s="3"/>
      <c r="SL50" s="3"/>
      <c r="SM50" s="3"/>
      <c r="SN50" s="3"/>
      <c r="SO50" s="3"/>
      <c r="SP50" s="3"/>
      <c r="SQ50" s="3"/>
      <c r="SR50" s="3"/>
      <c r="SS50" s="3"/>
      <c r="ST50" s="3"/>
      <c r="SU50" s="3"/>
      <c r="SV50" s="3"/>
      <c r="SW50" s="3"/>
      <c r="SX50" s="3"/>
      <c r="SY50" s="3"/>
      <c r="SZ50" s="3"/>
      <c r="TA50" s="3"/>
      <c r="TB50" s="3"/>
      <c r="TC50" s="3"/>
      <c r="TD50" s="3"/>
      <c r="TE50" s="3"/>
      <c r="TF50" s="3"/>
      <c r="TG50" s="3"/>
      <c r="TH50" s="3"/>
      <c r="TI50" s="3"/>
      <c r="TJ50" s="3"/>
      <c r="TK50" s="3"/>
      <c r="TL50" s="3"/>
      <c r="TM50" s="3"/>
      <c r="TN50" s="3"/>
      <c r="TO50" s="3"/>
      <c r="TP50" s="3"/>
      <c r="TQ50" s="3"/>
      <c r="TR50" s="3"/>
      <c r="TS50" s="3"/>
      <c r="TT50" s="3"/>
      <c r="TU50" s="3"/>
      <c r="TV50" s="3"/>
      <c r="TW50" s="3"/>
      <c r="TX50" s="3"/>
      <c r="TY50" s="3"/>
      <c r="TZ50" s="3"/>
      <c r="UA50" s="3"/>
      <c r="UB50" s="3"/>
      <c r="UC50" s="3"/>
      <c r="UD50" s="3"/>
      <c r="UE50" s="3"/>
      <c r="UF50" s="3"/>
      <c r="UG50" s="3"/>
      <c r="UH50" s="3"/>
      <c r="UI50" s="3"/>
      <c r="UJ50" s="3"/>
      <c r="UK50" s="3"/>
      <c r="UL50" s="3"/>
      <c r="UM50" s="3"/>
      <c r="UN50" s="3"/>
      <c r="UO50" s="3"/>
      <c r="UP50" s="3"/>
      <c r="UQ50" s="3"/>
      <c r="UR50" s="3"/>
      <c r="US50" s="3"/>
      <c r="UT50" s="3"/>
      <c r="UU50" s="3"/>
      <c r="UV50" s="3"/>
      <c r="UW50" s="3"/>
      <c r="UX50" s="3"/>
      <c r="UY50" s="3"/>
      <c r="UZ50" s="3"/>
      <c r="VA50" s="3"/>
      <c r="VB50" s="3"/>
      <c r="VC50" s="3"/>
      <c r="VD50" s="3"/>
      <c r="VE50" s="3"/>
      <c r="VF50" s="3"/>
      <c r="VG50" s="3"/>
      <c r="VH50" s="3"/>
      <c r="VI50" s="3"/>
      <c r="VJ50" s="3"/>
      <c r="VK50" s="3"/>
      <c r="VL50" s="3"/>
      <c r="VM50" s="3"/>
      <c r="VN50" s="3"/>
      <c r="VO50" s="3"/>
      <c r="VP50" s="3"/>
      <c r="VQ50" s="3"/>
      <c r="VR50" s="3"/>
      <c r="VS50" s="3"/>
      <c r="VT50" s="3"/>
      <c r="VU50" s="3"/>
      <c r="VV50" s="3"/>
      <c r="VW50" s="3"/>
      <c r="VX50" s="3"/>
      <c r="VY50" s="3"/>
      <c r="VZ50" s="3"/>
      <c r="WA50" s="3"/>
      <c r="WB50" s="3"/>
      <c r="WC50" s="3"/>
      <c r="WD50" s="3"/>
      <c r="WE50" s="3"/>
      <c r="WF50" s="3"/>
      <c r="WG50" s="3"/>
      <c r="WH50" s="3"/>
      <c r="WI50" s="3"/>
      <c r="WJ50" s="3"/>
      <c r="WK50" s="3"/>
      <c r="WL50" s="3"/>
      <c r="WM50" s="3"/>
      <c r="WN50" s="3"/>
      <c r="WO50" s="3"/>
      <c r="WP50" s="3"/>
      <c r="WQ50" s="3"/>
      <c r="WR50" s="3"/>
      <c r="WS50" s="3"/>
      <c r="WT50" s="3"/>
      <c r="WU50" s="3"/>
      <c r="WV50" s="3"/>
      <c r="WW50" s="3"/>
      <c r="WX50" s="3"/>
      <c r="WY50" s="3"/>
      <c r="WZ50" s="3"/>
      <c r="XA50" s="3"/>
      <c r="XB50" s="3"/>
      <c r="XC50" s="3"/>
      <c r="XD50" s="3"/>
      <c r="XE50" s="3"/>
      <c r="XF50" s="3"/>
      <c r="XG50" s="3"/>
      <c r="XH50" s="3"/>
      <c r="XI50" s="3"/>
      <c r="XJ50" s="3"/>
      <c r="XK50" s="3"/>
      <c r="XL50" s="3"/>
      <c r="XM50" s="3"/>
      <c r="XN50" s="3"/>
      <c r="XO50" s="3"/>
      <c r="XP50" s="3"/>
      <c r="XQ50" s="3"/>
      <c r="XR50" s="3"/>
      <c r="XS50" s="3"/>
      <c r="XT50" s="3"/>
      <c r="XU50" s="3"/>
      <c r="XV50" s="3"/>
      <c r="XW50" s="3"/>
      <c r="XX50" s="3"/>
      <c r="XY50" s="3"/>
      <c r="XZ50" s="3"/>
      <c r="YA50" s="3"/>
      <c r="YB50" s="3"/>
      <c r="YC50" s="3"/>
      <c r="YD50" s="3"/>
      <c r="YE50" s="3"/>
      <c r="YF50" s="3"/>
      <c r="YG50" s="3"/>
      <c r="YH50" s="3"/>
      <c r="YI50" s="3"/>
      <c r="YJ50" s="3"/>
      <c r="YK50" s="3"/>
      <c r="YL50" s="3"/>
      <c r="YM50" s="3"/>
      <c r="YN50" s="3"/>
      <c r="YO50" s="3"/>
      <c r="YP50" s="3"/>
      <c r="YQ50" s="3"/>
      <c r="YR50" s="3"/>
      <c r="YS50" s="3"/>
      <c r="YT50" s="3"/>
      <c r="YU50" s="3"/>
      <c r="YV50" s="3"/>
      <c r="YW50" s="3"/>
      <c r="YX50" s="3"/>
      <c r="YY50" s="3"/>
      <c r="YZ50" s="3"/>
      <c r="ZA50" s="3"/>
      <c r="ZB50" s="3"/>
      <c r="ZC50" s="3"/>
      <c r="ZD50" s="3"/>
      <c r="ZE50" s="3"/>
      <c r="ZF50" s="3"/>
      <c r="ZG50" s="3"/>
      <c r="ZH50" s="3"/>
      <c r="ZI50" s="3"/>
      <c r="ZJ50" s="3"/>
      <c r="ZK50" s="3"/>
      <c r="ZL50" s="3"/>
      <c r="ZM50" s="3"/>
      <c r="ZN50" s="3"/>
      <c r="ZO50" s="3"/>
      <c r="ZP50" s="3"/>
      <c r="ZQ50" s="3"/>
      <c r="ZR50" s="3"/>
      <c r="ZS50" s="3"/>
      <c r="ZT50" s="3"/>
      <c r="ZU50" s="3"/>
      <c r="ZV50" s="3"/>
      <c r="ZW50" s="3"/>
      <c r="ZX50" s="3"/>
      <c r="ZY50" s="3"/>
      <c r="ZZ50" s="3"/>
      <c r="AAA50" s="3"/>
      <c r="AAB50" s="3"/>
      <c r="AAC50" s="3"/>
      <c r="AAD50" s="3"/>
      <c r="AAE50" s="3"/>
      <c r="AAF50" s="3"/>
      <c r="AAG50" s="3"/>
      <c r="AAH50" s="3"/>
      <c r="AAI50" s="3"/>
      <c r="AAJ50" s="3"/>
      <c r="AAK50" s="3"/>
      <c r="AAL50" s="3"/>
      <c r="AAM50" s="3"/>
      <c r="AAN50" s="3"/>
      <c r="AAO50" s="3"/>
      <c r="AAP50" s="3"/>
      <c r="AAQ50" s="3"/>
      <c r="AAR50" s="3"/>
      <c r="AAS50" s="3"/>
      <c r="AAT50" s="3"/>
      <c r="AAU50" s="3"/>
      <c r="AAV50" s="3"/>
      <c r="AAW50" s="3"/>
      <c r="AAX50" s="3"/>
      <c r="AAY50" s="3"/>
      <c r="AAZ50" s="3"/>
      <c r="ABA50" s="3"/>
      <c r="ABB50" s="3"/>
      <c r="ABC50" s="3"/>
      <c r="ABD50" s="3"/>
      <c r="ABE50" s="3"/>
      <c r="ABF50" s="3"/>
      <c r="ABG50" s="3"/>
      <c r="ABH50" s="3"/>
      <c r="ABI50" s="3"/>
      <c r="ABJ50" s="3"/>
      <c r="ABK50" s="3"/>
      <c r="ABL50" s="3"/>
      <c r="ABM50" s="3"/>
      <c r="ABN50" s="3"/>
      <c r="ABO50" s="3"/>
      <c r="ABP50" s="3"/>
      <c r="ABQ50" s="3"/>
      <c r="ABR50" s="3"/>
      <c r="ABS50" s="3"/>
      <c r="ABT50" s="3"/>
      <c r="ABU50" s="3"/>
      <c r="ABV50" s="3"/>
      <c r="ABW50" s="3"/>
      <c r="ABX50" s="3"/>
      <c r="ABY50" s="3"/>
      <c r="ABZ50" s="3"/>
      <c r="ACA50" s="3"/>
      <c r="ACB50" s="3"/>
      <c r="ACC50" s="3"/>
      <c r="ACD50" s="3"/>
      <c r="ACE50" s="3"/>
      <c r="ACF50" s="3"/>
      <c r="ACG50" s="3"/>
      <c r="ACH50" s="3"/>
      <c r="ACI50" s="3"/>
      <c r="ACJ50" s="3"/>
      <c r="ACK50" s="3"/>
      <c r="ACL50" s="3"/>
      <c r="ACM50" s="3"/>
      <c r="ACN50" s="3"/>
      <c r="ACO50" s="3"/>
      <c r="ACP50" s="3"/>
    </row>
    <row r="51" spans="1:770" s="248" customFormat="1">
      <c r="A51" s="292" t="e">
        <f t="shared" si="1"/>
        <v>#REF!</v>
      </c>
      <c r="B51" s="419" t="str">
        <f>+'Nomina Proquima'!B39</f>
        <v>Saban Culajay Edson Omar</v>
      </c>
      <c r="C51" s="367">
        <v>16265050404785</v>
      </c>
      <c r="D51" s="401"/>
      <c r="E51" s="1120" t="str">
        <f>+'Nomina Proquima'!B39</f>
        <v>Saban Culajay Edson Omar</v>
      </c>
      <c r="F51" s="244" t="str">
        <f>VLOOKUP(B51,distribucion!B$9:FK$200,2,0)</f>
        <v>Jefe de Gestion de calidad</v>
      </c>
      <c r="G51" s="244">
        <f>ROUND((VLOOKUP($B51,'Nomina Proquima'!$B$4:$AB$145,4,0)),2)</f>
        <v>30</v>
      </c>
      <c r="H51" s="245">
        <f>ROUND((VLOOKUP($B51,'Nomina Proquima'!$B$4:$AB$145,6,0)),2)</f>
        <v>5250</v>
      </c>
      <c r="I51" s="245">
        <f>ROUND((VLOOKUP($B51,'Nomina Proquima'!$B$4:$AB$145,7,0)),2)</f>
        <v>2750</v>
      </c>
      <c r="J51" s="245">
        <f>ROUND((VLOOKUP($B51,'Nomina Proquima'!$B$4:$AB$145,9,0)),2)</f>
        <v>0</v>
      </c>
      <c r="K51" s="245">
        <f>ROUND((VLOOKUP($B51,'Nomina Proquima'!$B$4:$AB$145,10,0)),2)</f>
        <v>0</v>
      </c>
      <c r="L51" s="245">
        <f>ROUND((VLOOKUP($B51,'Nomina Proquima'!$B$4:$AB$145,11,0)),2)</f>
        <v>0</v>
      </c>
      <c r="M51" s="245">
        <f>ROUND((VLOOKUP($B51,'Nomina Proquima'!$B$4:$AB$145,12,0)),2)</f>
        <v>0</v>
      </c>
      <c r="N51" s="245">
        <f>ROUND((VLOOKUP($B51,'Nomina Proquima'!$B$4:$AB$145,13,0)),2)</f>
        <v>0</v>
      </c>
      <c r="O51" s="245">
        <f>ROUND((VLOOKUP($B51,'Nomina Proquima'!$B$4:$AB$145,14,0)),2)</f>
        <v>8000</v>
      </c>
      <c r="P51" s="245">
        <f>ROUND((VLOOKUP($B51,'Nomina Proquima'!$B$4:$AB$145,15,0)),2)</f>
        <v>253.58</v>
      </c>
      <c r="Q51" s="245">
        <f>ROUND((VLOOKUP($B51,'Nomina Proquima'!$B$4:$AB$145,16,0)),2)</f>
        <v>187.32</v>
      </c>
      <c r="R51" s="245">
        <f>ROUND((VLOOKUP($B51,'Nomina Proquima'!$B$4:$AB$145,17,0)),2)</f>
        <v>0</v>
      </c>
      <c r="S51" s="245">
        <f>ROUND((VLOOKUP($B51,'Nomina Proquima'!$B$4:$AB$145,18,0)),2)</f>
        <v>0</v>
      </c>
      <c r="T51" s="245">
        <f>ROUND((VLOOKUP($B51,'Nomina Proquima'!$B$4:$AB$145,19,0)),2)</f>
        <v>0</v>
      </c>
      <c r="U51" s="245">
        <f>ROUND((VLOOKUP($B51,'Nomina Proquima'!$B$4:$AB$145,20,0)),2)</f>
        <v>0</v>
      </c>
      <c r="V51" s="245">
        <f>ROUND((VLOOKUP($B51,'Nomina Proquima'!$B$4:$AB$145,21,0)),2)</f>
        <v>0</v>
      </c>
      <c r="W51" s="245">
        <f>ROUND((VLOOKUP($B51,'Nomina Proquima'!$B$4:$AB$145,22,0)),2)</f>
        <v>315</v>
      </c>
      <c r="X51" s="245">
        <f>ROUND((VLOOKUP($B51,'Nomina Proquima'!$B$4:$AB$145,23,0)),2)</f>
        <v>755.9</v>
      </c>
      <c r="Y51" s="234">
        <f>ROUND((VLOOKUP($B51,'Nomina Proquima'!$B$4:$AB$147,24,0)),2)</f>
        <v>7244.1</v>
      </c>
      <c r="Z51" s="399">
        <f>VLOOKUP(B51,'Nomina Proquima'!$B$4:$AA$148,25,0)</f>
        <v>3753.21</v>
      </c>
      <c r="AA51" s="405">
        <f>ROUND((VLOOKUP($B51,'Nomina Proquima'!$B$4:$AB$145,26,0)),2)</f>
        <v>3490.89</v>
      </c>
      <c r="AB51" s="246"/>
      <c r="AC51" s="247"/>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c r="KC51" s="3"/>
      <c r="KD51" s="3"/>
      <c r="KE51" s="3"/>
      <c r="KF51" s="3"/>
      <c r="KG51" s="3"/>
      <c r="KH51" s="3"/>
      <c r="KI51" s="3"/>
      <c r="KJ51" s="3"/>
      <c r="KK51" s="3"/>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s="3"/>
      <c r="LL51" s="3"/>
      <c r="LM51" s="3"/>
      <c r="LN51" s="3"/>
      <c r="LO51" s="3"/>
      <c r="LP51" s="3"/>
      <c r="LQ51" s="3"/>
      <c r="LR51" s="3"/>
      <c r="LS51" s="3"/>
      <c r="LT51" s="3"/>
      <c r="LU51" s="3"/>
      <c r="LV51" s="3"/>
      <c r="LW51" s="3"/>
      <c r="LX51" s="3"/>
      <c r="LY51" s="3"/>
      <c r="LZ51" s="3"/>
      <c r="MA51" s="3"/>
      <c r="MB51" s="3"/>
      <c r="MC51" s="3"/>
      <c r="MD51" s="3"/>
      <c r="ME51" s="3"/>
      <c r="MF51" s="3"/>
      <c r="MG51" s="3"/>
      <c r="MH51" s="3"/>
      <c r="MI51" s="3"/>
      <c r="MJ51" s="3"/>
      <c r="MK51" s="3"/>
      <c r="ML51" s="3"/>
      <c r="MM51" s="3"/>
      <c r="MN51" s="3"/>
      <c r="MO51" s="3"/>
      <c r="MP51" s="3"/>
      <c r="MQ51" s="3"/>
      <c r="MR51" s="3"/>
      <c r="MS51" s="3"/>
      <c r="MT51" s="3"/>
      <c r="MU51" s="3"/>
      <c r="MV51" s="3"/>
      <c r="MW51" s="3"/>
      <c r="MX51" s="3"/>
      <c r="MY51" s="3"/>
      <c r="MZ51" s="3"/>
      <c r="NA51" s="3"/>
      <c r="NB51" s="3"/>
      <c r="NC51" s="3"/>
      <c r="ND51" s="3"/>
      <c r="NE51" s="3"/>
      <c r="NF51" s="3"/>
      <c r="NG51" s="3"/>
      <c r="NH51" s="3"/>
      <c r="NI51" s="3"/>
      <c r="NJ51" s="3"/>
      <c r="NK51" s="3"/>
      <c r="NL51" s="3"/>
      <c r="NM51" s="3"/>
      <c r="NN51" s="3"/>
      <c r="NO51" s="3"/>
      <c r="NP51" s="3"/>
      <c r="NQ51" s="3"/>
      <c r="NR51" s="3"/>
      <c r="NS51" s="3"/>
      <c r="NT51" s="3"/>
      <c r="NU51" s="3"/>
      <c r="NV51" s="3"/>
      <c r="NW51" s="3"/>
      <c r="NX51" s="3"/>
      <c r="NY51" s="3"/>
      <c r="NZ51" s="3"/>
      <c r="OA51" s="3"/>
      <c r="OB51" s="3"/>
      <c r="OC51" s="3"/>
      <c r="OD51" s="3"/>
      <c r="OE51" s="3"/>
      <c r="OF51" s="3"/>
      <c r="OG51" s="3"/>
      <c r="OH51" s="3"/>
      <c r="OI51" s="3"/>
      <c r="OJ51" s="3"/>
      <c r="OK51" s="3"/>
      <c r="OL51" s="3"/>
      <c r="OM51" s="3"/>
      <c r="ON51" s="3"/>
      <c r="OO51" s="3"/>
      <c r="OP51" s="3"/>
      <c r="OQ51" s="3"/>
      <c r="OR51" s="3"/>
      <c r="OS51" s="3"/>
      <c r="OT51" s="3"/>
      <c r="OU51" s="3"/>
      <c r="OV51" s="3"/>
      <c r="OW51" s="3"/>
      <c r="OX51" s="3"/>
      <c r="OY51" s="3"/>
      <c r="OZ51" s="3"/>
      <c r="PA51" s="3"/>
      <c r="PB51" s="3"/>
      <c r="PC51" s="3"/>
      <c r="PD51" s="3"/>
      <c r="PE51" s="3"/>
      <c r="PF51" s="3"/>
      <c r="PG51" s="3"/>
      <c r="PH51" s="3"/>
      <c r="PI51" s="3"/>
      <c r="PJ51" s="3"/>
      <c r="PK51" s="3"/>
      <c r="PL51" s="3"/>
      <c r="PM51" s="3"/>
      <c r="PN51" s="3"/>
      <c r="PO51" s="3"/>
      <c r="PP51" s="3"/>
      <c r="PQ51" s="3"/>
      <c r="PR51" s="3"/>
      <c r="PS51" s="3"/>
      <c r="PT51" s="3"/>
      <c r="PU51" s="3"/>
      <c r="PV51" s="3"/>
      <c r="PW51" s="3"/>
      <c r="PX51" s="3"/>
      <c r="PY51" s="3"/>
      <c r="PZ51" s="3"/>
      <c r="QA51" s="3"/>
      <c r="QB51" s="3"/>
      <c r="QC51" s="3"/>
      <c r="QD51" s="3"/>
      <c r="QE51" s="3"/>
      <c r="QF51" s="3"/>
      <c r="QG51" s="3"/>
      <c r="QH51" s="3"/>
      <c r="QI51" s="3"/>
      <c r="QJ51" s="3"/>
      <c r="QK51" s="3"/>
      <c r="QL51" s="3"/>
      <c r="QM51" s="3"/>
      <c r="QN51" s="3"/>
      <c r="QO51" s="3"/>
      <c r="QP51" s="3"/>
      <c r="QQ51" s="3"/>
      <c r="QR51" s="3"/>
      <c r="QS51" s="3"/>
      <c r="QT51" s="3"/>
      <c r="QU51" s="3"/>
      <c r="QV51" s="3"/>
      <c r="QW51" s="3"/>
      <c r="QX51" s="3"/>
      <c r="QY51" s="3"/>
      <c r="QZ51" s="3"/>
      <c r="RA51" s="3"/>
      <c r="RB51" s="3"/>
      <c r="RC51" s="3"/>
      <c r="RD51" s="3"/>
      <c r="RE51" s="3"/>
      <c r="RF51" s="3"/>
      <c r="RG51" s="3"/>
      <c r="RH51" s="3"/>
      <c r="RI51" s="3"/>
      <c r="RJ51" s="3"/>
      <c r="RK51" s="3"/>
      <c r="RL51" s="3"/>
      <c r="RM51" s="3"/>
      <c r="RN51" s="3"/>
      <c r="RO51" s="3"/>
      <c r="RP51" s="3"/>
      <c r="RQ51" s="3"/>
      <c r="RR51" s="3"/>
      <c r="RS51" s="3"/>
      <c r="RT51" s="3"/>
      <c r="RU51" s="3"/>
      <c r="RV51" s="3"/>
      <c r="RW51" s="3"/>
      <c r="RX51" s="3"/>
      <c r="RY51" s="3"/>
      <c r="RZ51" s="3"/>
      <c r="SA51" s="3"/>
      <c r="SB51" s="3"/>
      <c r="SC51" s="3"/>
      <c r="SD51" s="3"/>
      <c r="SE51" s="3"/>
      <c r="SF51" s="3"/>
      <c r="SG51" s="3"/>
      <c r="SH51" s="3"/>
      <c r="SI51" s="3"/>
      <c r="SJ51" s="3"/>
      <c r="SK51" s="3"/>
      <c r="SL51" s="3"/>
      <c r="SM51" s="3"/>
      <c r="SN51" s="3"/>
      <c r="SO51" s="3"/>
      <c r="SP51" s="3"/>
      <c r="SQ51" s="3"/>
      <c r="SR51" s="3"/>
      <c r="SS51" s="3"/>
      <c r="ST51" s="3"/>
      <c r="SU51" s="3"/>
      <c r="SV51" s="3"/>
      <c r="SW51" s="3"/>
      <c r="SX51" s="3"/>
      <c r="SY51" s="3"/>
      <c r="SZ51" s="3"/>
      <c r="TA51" s="3"/>
      <c r="TB51" s="3"/>
      <c r="TC51" s="3"/>
      <c r="TD51" s="3"/>
      <c r="TE51" s="3"/>
      <c r="TF51" s="3"/>
      <c r="TG51" s="3"/>
      <c r="TH51" s="3"/>
      <c r="TI51" s="3"/>
      <c r="TJ51" s="3"/>
      <c r="TK51" s="3"/>
      <c r="TL51" s="3"/>
      <c r="TM51" s="3"/>
      <c r="TN51" s="3"/>
      <c r="TO51" s="3"/>
      <c r="TP51" s="3"/>
      <c r="TQ51" s="3"/>
      <c r="TR51" s="3"/>
      <c r="TS51" s="3"/>
      <c r="TT51" s="3"/>
      <c r="TU51" s="3"/>
      <c r="TV51" s="3"/>
      <c r="TW51" s="3"/>
      <c r="TX51" s="3"/>
      <c r="TY51" s="3"/>
      <c r="TZ51" s="3"/>
      <c r="UA51" s="3"/>
      <c r="UB51" s="3"/>
      <c r="UC51" s="3"/>
      <c r="UD51" s="3"/>
      <c r="UE51" s="3"/>
      <c r="UF51" s="3"/>
      <c r="UG51" s="3"/>
      <c r="UH51" s="3"/>
      <c r="UI51" s="3"/>
      <c r="UJ51" s="3"/>
      <c r="UK51" s="3"/>
      <c r="UL51" s="3"/>
      <c r="UM51" s="3"/>
      <c r="UN51" s="3"/>
      <c r="UO51" s="3"/>
      <c r="UP51" s="3"/>
      <c r="UQ51" s="3"/>
      <c r="UR51" s="3"/>
      <c r="US51" s="3"/>
      <c r="UT51" s="3"/>
      <c r="UU51" s="3"/>
      <c r="UV51" s="3"/>
      <c r="UW51" s="3"/>
      <c r="UX51" s="3"/>
      <c r="UY51" s="3"/>
      <c r="UZ51" s="3"/>
      <c r="VA51" s="3"/>
      <c r="VB51" s="3"/>
      <c r="VC51" s="3"/>
      <c r="VD51" s="3"/>
      <c r="VE51" s="3"/>
      <c r="VF51" s="3"/>
      <c r="VG51" s="3"/>
      <c r="VH51" s="3"/>
      <c r="VI51" s="3"/>
      <c r="VJ51" s="3"/>
      <c r="VK51" s="3"/>
      <c r="VL51" s="3"/>
      <c r="VM51" s="3"/>
      <c r="VN51" s="3"/>
      <c r="VO51" s="3"/>
      <c r="VP51" s="3"/>
      <c r="VQ51" s="3"/>
      <c r="VR51" s="3"/>
      <c r="VS51" s="3"/>
      <c r="VT51" s="3"/>
      <c r="VU51" s="3"/>
      <c r="VV51" s="3"/>
      <c r="VW51" s="3"/>
      <c r="VX51" s="3"/>
      <c r="VY51" s="3"/>
      <c r="VZ51" s="3"/>
      <c r="WA51" s="3"/>
      <c r="WB51" s="3"/>
      <c r="WC51" s="3"/>
      <c r="WD51" s="3"/>
      <c r="WE51" s="3"/>
      <c r="WF51" s="3"/>
      <c r="WG51" s="3"/>
      <c r="WH51" s="3"/>
      <c r="WI51" s="3"/>
      <c r="WJ51" s="3"/>
      <c r="WK51" s="3"/>
      <c r="WL51" s="3"/>
      <c r="WM51" s="3"/>
      <c r="WN51" s="3"/>
      <c r="WO51" s="3"/>
      <c r="WP51" s="3"/>
      <c r="WQ51" s="3"/>
      <c r="WR51" s="3"/>
      <c r="WS51" s="3"/>
      <c r="WT51" s="3"/>
      <c r="WU51" s="3"/>
      <c r="WV51" s="3"/>
      <c r="WW51" s="3"/>
      <c r="WX51" s="3"/>
      <c r="WY51" s="3"/>
      <c r="WZ51" s="3"/>
      <c r="XA51" s="3"/>
      <c r="XB51" s="3"/>
      <c r="XC51" s="3"/>
      <c r="XD51" s="3"/>
      <c r="XE51" s="3"/>
      <c r="XF51" s="3"/>
      <c r="XG51" s="3"/>
      <c r="XH51" s="3"/>
      <c r="XI51" s="3"/>
      <c r="XJ51" s="3"/>
      <c r="XK51" s="3"/>
      <c r="XL51" s="3"/>
      <c r="XM51" s="3"/>
      <c r="XN51" s="3"/>
      <c r="XO51" s="3"/>
      <c r="XP51" s="3"/>
      <c r="XQ51" s="3"/>
      <c r="XR51" s="3"/>
      <c r="XS51" s="3"/>
      <c r="XT51" s="3"/>
      <c r="XU51" s="3"/>
      <c r="XV51" s="3"/>
      <c r="XW51" s="3"/>
      <c r="XX51" s="3"/>
      <c r="XY51" s="3"/>
      <c r="XZ51" s="3"/>
      <c r="YA51" s="3"/>
      <c r="YB51" s="3"/>
      <c r="YC51" s="3"/>
      <c r="YD51" s="3"/>
      <c r="YE51" s="3"/>
      <c r="YF51" s="3"/>
      <c r="YG51" s="3"/>
      <c r="YH51" s="3"/>
      <c r="YI51" s="3"/>
      <c r="YJ51" s="3"/>
      <c r="YK51" s="3"/>
      <c r="YL51" s="3"/>
      <c r="YM51" s="3"/>
      <c r="YN51" s="3"/>
      <c r="YO51" s="3"/>
      <c r="YP51" s="3"/>
      <c r="YQ51" s="3"/>
      <c r="YR51" s="3"/>
      <c r="YS51" s="3"/>
      <c r="YT51" s="3"/>
      <c r="YU51" s="3"/>
      <c r="YV51" s="3"/>
      <c r="YW51" s="3"/>
      <c r="YX51" s="3"/>
      <c r="YY51" s="3"/>
      <c r="YZ51" s="3"/>
      <c r="ZA51" s="3"/>
      <c r="ZB51" s="3"/>
      <c r="ZC51" s="3"/>
      <c r="ZD51" s="3"/>
      <c r="ZE51" s="3"/>
      <c r="ZF51" s="3"/>
      <c r="ZG51" s="3"/>
      <c r="ZH51" s="3"/>
      <c r="ZI51" s="3"/>
      <c r="ZJ51" s="3"/>
      <c r="ZK51" s="3"/>
      <c r="ZL51" s="3"/>
      <c r="ZM51" s="3"/>
      <c r="ZN51" s="3"/>
      <c r="ZO51" s="3"/>
      <c r="ZP51" s="3"/>
      <c r="ZQ51" s="3"/>
      <c r="ZR51" s="3"/>
      <c r="ZS51" s="3"/>
      <c r="ZT51" s="3"/>
      <c r="ZU51" s="3"/>
      <c r="ZV51" s="3"/>
      <c r="ZW51" s="3"/>
      <c r="ZX51" s="3"/>
      <c r="ZY51" s="3"/>
      <c r="ZZ51" s="3"/>
      <c r="AAA51" s="3"/>
      <c r="AAB51" s="3"/>
      <c r="AAC51" s="3"/>
      <c r="AAD51" s="3"/>
      <c r="AAE51" s="3"/>
      <c r="AAF51" s="3"/>
      <c r="AAG51" s="3"/>
      <c r="AAH51" s="3"/>
      <c r="AAI51" s="3"/>
      <c r="AAJ51" s="3"/>
      <c r="AAK51" s="3"/>
      <c r="AAL51" s="3"/>
      <c r="AAM51" s="3"/>
      <c r="AAN51" s="3"/>
      <c r="AAO51" s="3"/>
      <c r="AAP51" s="3"/>
      <c r="AAQ51" s="3"/>
      <c r="AAR51" s="3"/>
      <c r="AAS51" s="3"/>
      <c r="AAT51" s="3"/>
      <c r="AAU51" s="3"/>
      <c r="AAV51" s="3"/>
      <c r="AAW51" s="3"/>
      <c r="AAX51" s="3"/>
      <c r="AAY51" s="3"/>
      <c r="AAZ51" s="3"/>
      <c r="ABA51" s="3"/>
      <c r="ABB51" s="3"/>
      <c r="ABC51" s="3"/>
      <c r="ABD51" s="3"/>
      <c r="ABE51" s="3"/>
      <c r="ABF51" s="3"/>
      <c r="ABG51" s="3"/>
      <c r="ABH51" s="3"/>
      <c r="ABI51" s="3"/>
      <c r="ABJ51" s="3"/>
      <c r="ABK51" s="3"/>
      <c r="ABL51" s="3"/>
      <c r="ABM51" s="3"/>
      <c r="ABN51" s="3"/>
      <c r="ABO51" s="3"/>
      <c r="ABP51" s="3"/>
      <c r="ABQ51" s="3"/>
      <c r="ABR51" s="3"/>
      <c r="ABS51" s="3"/>
      <c r="ABT51" s="3"/>
      <c r="ABU51" s="3"/>
      <c r="ABV51" s="3"/>
      <c r="ABW51" s="3"/>
      <c r="ABX51" s="3"/>
      <c r="ABY51" s="3"/>
      <c r="ABZ51" s="3"/>
      <c r="ACA51" s="3"/>
      <c r="ACB51" s="3"/>
      <c r="ACC51" s="3"/>
      <c r="ACD51" s="3"/>
      <c r="ACE51" s="3"/>
      <c r="ACF51" s="3"/>
      <c r="ACG51" s="3"/>
      <c r="ACH51" s="3"/>
      <c r="ACI51" s="3"/>
      <c r="ACJ51" s="3"/>
      <c r="ACK51" s="3"/>
      <c r="ACL51" s="3"/>
      <c r="ACM51" s="3"/>
      <c r="ACN51" s="3"/>
      <c r="ACO51" s="3"/>
      <c r="ACP51" s="3"/>
    </row>
    <row r="52" spans="1:770" s="248" customFormat="1">
      <c r="A52" s="292" t="e">
        <f t="shared" si="1"/>
        <v>#REF!</v>
      </c>
      <c r="B52" s="419" t="str">
        <f>+'Nomina Proquima'!B119</f>
        <v>Si Mes Pablo</v>
      </c>
      <c r="C52" s="367">
        <v>16265050404826</v>
      </c>
      <c r="D52" s="401"/>
      <c r="E52" s="1120" t="str">
        <f>+'Nomina Proquima'!B119</f>
        <v>Si Mes Pablo</v>
      </c>
      <c r="F52" s="244" t="str">
        <f>VLOOKUP(B52,distribucion!B$9:FK$200,2,0)</f>
        <v>Aux Mantenimiento</v>
      </c>
      <c r="G52" s="244">
        <f>ROUND((VLOOKUP($B52,'Nomina Proquima'!$B$4:$AB$145,4,0)),2)</f>
        <v>28</v>
      </c>
      <c r="H52" s="245">
        <f>ROUND((VLOOKUP($B52,'Nomina Proquima'!$B$4:$AB$145,6,0)),2)</f>
        <v>2955.29</v>
      </c>
      <c r="I52" s="245">
        <f>ROUND((VLOOKUP($B52,'Nomina Proquima'!$B$4:$AB$145,7,0)),2)</f>
        <v>2308.33</v>
      </c>
      <c r="J52" s="245">
        <f>ROUND((VLOOKUP($B52,'Nomina Proquima'!$B$4:$AB$145,9,0)),2)</f>
        <v>4</v>
      </c>
      <c r="K52" s="245">
        <f>ROUND((VLOOKUP($B52,'Nomina Proquima'!$B$4:$AB$145,10,0)),2)</f>
        <v>79.16</v>
      </c>
      <c r="L52" s="245">
        <f>ROUND((VLOOKUP($B52,'Nomina Proquima'!$B$4:$AB$145,11,0)),2)</f>
        <v>0</v>
      </c>
      <c r="M52" s="245">
        <f>ROUND((VLOOKUP($B52,'Nomina Proquima'!$B$4:$AB$145,12,0)),2)</f>
        <v>0</v>
      </c>
      <c r="N52" s="245">
        <f>ROUND((VLOOKUP($B52,'Nomina Proquima'!$B$4:$AB$145,13,0)),2)</f>
        <v>0</v>
      </c>
      <c r="O52" s="245">
        <f>ROUND((VLOOKUP($B52,'Nomina Proquima'!$B$4:$AB$145,14,0)),2)</f>
        <v>5342.78</v>
      </c>
      <c r="P52" s="245">
        <f>ROUND((VLOOKUP($B52,'Nomina Proquima'!$B$4:$AB$145,15,0)),2)</f>
        <v>146.56</v>
      </c>
      <c r="Q52" s="245">
        <f>ROUND((VLOOKUP($B52,'Nomina Proquima'!$B$4:$AB$145,16,0)),2)</f>
        <v>83.17</v>
      </c>
      <c r="R52" s="245">
        <f>ROUND((VLOOKUP($B52,'Nomina Proquima'!$B$4:$AB$145,17,0)),2)</f>
        <v>0</v>
      </c>
      <c r="S52" s="245">
        <f>ROUND((VLOOKUP($B52,'Nomina Proquima'!$B$4:$AB$145,18,0)),2)</f>
        <v>0</v>
      </c>
      <c r="T52" s="245">
        <f>ROUND((VLOOKUP($B52,'Nomina Proquima'!$B$4:$AB$145,19,0)),2)</f>
        <v>0</v>
      </c>
      <c r="U52" s="245">
        <f>ROUND((VLOOKUP($B52,'Nomina Proquima'!$B$4:$AB$145,20,0)),2)</f>
        <v>0</v>
      </c>
      <c r="V52" s="245">
        <f>ROUND((VLOOKUP($B52,'Nomina Proquima'!$B$4:$AB$145,21,0)),2)</f>
        <v>0</v>
      </c>
      <c r="W52" s="245">
        <f>ROUND((VLOOKUP($B52,'Nomina Proquima'!$B$4:$AB$145,22,0)),2)</f>
        <v>50</v>
      </c>
      <c r="X52" s="245">
        <f>ROUND((VLOOKUP($B52,'Nomina Proquima'!$B$4:$AB$145,23,0)),2)</f>
        <v>279.73</v>
      </c>
      <c r="Y52" s="234">
        <f>ROUND((VLOOKUP($B52,'Nomina Proquima'!$B$4:$AB$147,24,0)),2)</f>
        <v>5063.05</v>
      </c>
      <c r="Z52" s="399">
        <f>VLOOKUP(B52,'Nomina Proquima'!$B$4:$AA$148,25,0)</f>
        <v>1631.72</v>
      </c>
      <c r="AA52" s="405">
        <f>ROUND((VLOOKUP($B52,'Nomina Proquima'!$B$4:$AB$145,26,0)),2)</f>
        <v>3431.33</v>
      </c>
      <c r="AB52" s="246"/>
      <c r="AC52" s="247"/>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s="3"/>
      <c r="LL52" s="3"/>
      <c r="LM52" s="3"/>
      <c r="LN52" s="3"/>
      <c r="LO52" s="3"/>
      <c r="LP52" s="3"/>
      <c r="LQ52" s="3"/>
      <c r="LR52" s="3"/>
      <c r="LS52" s="3"/>
      <c r="LT52" s="3"/>
      <c r="LU52" s="3"/>
      <c r="LV52" s="3"/>
      <c r="LW52" s="3"/>
      <c r="LX52" s="3"/>
      <c r="LY52" s="3"/>
      <c r="LZ52" s="3"/>
      <c r="MA52" s="3"/>
      <c r="MB52" s="3"/>
      <c r="MC52" s="3"/>
      <c r="MD52" s="3"/>
      <c r="ME52" s="3"/>
      <c r="MF52" s="3"/>
      <c r="MG52" s="3"/>
      <c r="MH52" s="3"/>
      <c r="MI52" s="3"/>
      <c r="MJ52" s="3"/>
      <c r="MK52" s="3"/>
      <c r="ML52" s="3"/>
      <c r="MM52" s="3"/>
      <c r="MN52" s="3"/>
      <c r="MO52" s="3"/>
      <c r="MP52" s="3"/>
      <c r="MQ52" s="3"/>
      <c r="MR52" s="3"/>
      <c r="MS52" s="3"/>
      <c r="MT52" s="3"/>
      <c r="MU52" s="3"/>
      <c r="MV52" s="3"/>
      <c r="MW52" s="3"/>
      <c r="MX52" s="3"/>
      <c r="MY52" s="3"/>
      <c r="MZ52" s="3"/>
      <c r="NA52" s="3"/>
      <c r="NB52" s="3"/>
      <c r="NC52" s="3"/>
      <c r="ND52" s="3"/>
      <c r="NE52" s="3"/>
      <c r="NF52" s="3"/>
      <c r="NG52" s="3"/>
      <c r="NH52" s="3"/>
      <c r="NI52" s="3"/>
      <c r="NJ52" s="3"/>
      <c r="NK52" s="3"/>
      <c r="NL52" s="3"/>
      <c r="NM52" s="3"/>
      <c r="NN52" s="3"/>
      <c r="NO52" s="3"/>
      <c r="NP52" s="3"/>
      <c r="NQ52" s="3"/>
      <c r="NR52" s="3"/>
      <c r="NS52" s="3"/>
      <c r="NT52" s="3"/>
      <c r="NU52" s="3"/>
      <c r="NV52" s="3"/>
      <c r="NW52" s="3"/>
      <c r="NX52" s="3"/>
      <c r="NY52" s="3"/>
      <c r="NZ52" s="3"/>
      <c r="OA52" s="3"/>
      <c r="OB52" s="3"/>
      <c r="OC52" s="3"/>
      <c r="OD52" s="3"/>
      <c r="OE52" s="3"/>
      <c r="OF52" s="3"/>
      <c r="OG52" s="3"/>
      <c r="OH52" s="3"/>
      <c r="OI52" s="3"/>
      <c r="OJ52" s="3"/>
      <c r="OK52" s="3"/>
      <c r="OL52" s="3"/>
      <c r="OM52" s="3"/>
      <c r="ON52" s="3"/>
      <c r="OO52" s="3"/>
      <c r="OP52" s="3"/>
      <c r="OQ52" s="3"/>
      <c r="OR52" s="3"/>
      <c r="OS52" s="3"/>
      <c r="OT52" s="3"/>
      <c r="OU52" s="3"/>
      <c r="OV52" s="3"/>
      <c r="OW52" s="3"/>
      <c r="OX52" s="3"/>
      <c r="OY52" s="3"/>
      <c r="OZ52" s="3"/>
      <c r="PA52" s="3"/>
      <c r="PB52" s="3"/>
      <c r="PC52" s="3"/>
      <c r="PD52" s="3"/>
      <c r="PE52" s="3"/>
      <c r="PF52" s="3"/>
      <c r="PG52" s="3"/>
      <c r="PH52" s="3"/>
      <c r="PI52" s="3"/>
      <c r="PJ52" s="3"/>
      <c r="PK52" s="3"/>
      <c r="PL52" s="3"/>
      <c r="PM52" s="3"/>
      <c r="PN52" s="3"/>
      <c r="PO52" s="3"/>
      <c r="PP52" s="3"/>
      <c r="PQ52" s="3"/>
      <c r="PR52" s="3"/>
      <c r="PS52" s="3"/>
      <c r="PT52" s="3"/>
      <c r="PU52" s="3"/>
      <c r="PV52" s="3"/>
      <c r="PW52" s="3"/>
      <c r="PX52" s="3"/>
      <c r="PY52" s="3"/>
      <c r="PZ52" s="3"/>
      <c r="QA52" s="3"/>
      <c r="QB52" s="3"/>
      <c r="QC52" s="3"/>
      <c r="QD52" s="3"/>
      <c r="QE52" s="3"/>
      <c r="QF52" s="3"/>
      <c r="QG52" s="3"/>
      <c r="QH52" s="3"/>
      <c r="QI52" s="3"/>
      <c r="QJ52" s="3"/>
      <c r="QK52" s="3"/>
      <c r="QL52" s="3"/>
      <c r="QM52" s="3"/>
      <c r="QN52" s="3"/>
      <c r="QO52" s="3"/>
      <c r="QP52" s="3"/>
      <c r="QQ52" s="3"/>
      <c r="QR52" s="3"/>
      <c r="QS52" s="3"/>
      <c r="QT52" s="3"/>
      <c r="QU52" s="3"/>
      <c r="QV52" s="3"/>
      <c r="QW52" s="3"/>
      <c r="QX52" s="3"/>
      <c r="QY52" s="3"/>
      <c r="QZ52" s="3"/>
      <c r="RA52" s="3"/>
      <c r="RB52" s="3"/>
      <c r="RC52" s="3"/>
      <c r="RD52" s="3"/>
      <c r="RE52" s="3"/>
      <c r="RF52" s="3"/>
      <c r="RG52" s="3"/>
      <c r="RH52" s="3"/>
      <c r="RI52" s="3"/>
      <c r="RJ52" s="3"/>
      <c r="RK52" s="3"/>
      <c r="RL52" s="3"/>
      <c r="RM52" s="3"/>
      <c r="RN52" s="3"/>
      <c r="RO52" s="3"/>
      <c r="RP52" s="3"/>
      <c r="RQ52" s="3"/>
      <c r="RR52" s="3"/>
      <c r="RS52" s="3"/>
      <c r="RT52" s="3"/>
      <c r="RU52" s="3"/>
      <c r="RV52" s="3"/>
      <c r="RW52" s="3"/>
      <c r="RX52" s="3"/>
      <c r="RY52" s="3"/>
      <c r="RZ52" s="3"/>
      <c r="SA52" s="3"/>
      <c r="SB52" s="3"/>
      <c r="SC52" s="3"/>
      <c r="SD52" s="3"/>
      <c r="SE52" s="3"/>
      <c r="SF52" s="3"/>
      <c r="SG52" s="3"/>
      <c r="SH52" s="3"/>
      <c r="SI52" s="3"/>
      <c r="SJ52" s="3"/>
      <c r="SK52" s="3"/>
      <c r="SL52" s="3"/>
      <c r="SM52" s="3"/>
      <c r="SN52" s="3"/>
      <c r="SO52" s="3"/>
      <c r="SP52" s="3"/>
      <c r="SQ52" s="3"/>
      <c r="SR52" s="3"/>
      <c r="SS52" s="3"/>
      <c r="ST52" s="3"/>
      <c r="SU52" s="3"/>
      <c r="SV52" s="3"/>
      <c r="SW52" s="3"/>
      <c r="SX52" s="3"/>
      <c r="SY52" s="3"/>
      <c r="SZ52" s="3"/>
      <c r="TA52" s="3"/>
      <c r="TB52" s="3"/>
      <c r="TC52" s="3"/>
      <c r="TD52" s="3"/>
      <c r="TE52" s="3"/>
      <c r="TF52" s="3"/>
      <c r="TG52" s="3"/>
      <c r="TH52" s="3"/>
      <c r="TI52" s="3"/>
      <c r="TJ52" s="3"/>
      <c r="TK52" s="3"/>
      <c r="TL52" s="3"/>
      <c r="TM52" s="3"/>
      <c r="TN52" s="3"/>
      <c r="TO52" s="3"/>
      <c r="TP52" s="3"/>
      <c r="TQ52" s="3"/>
      <c r="TR52" s="3"/>
      <c r="TS52" s="3"/>
      <c r="TT52" s="3"/>
      <c r="TU52" s="3"/>
      <c r="TV52" s="3"/>
      <c r="TW52" s="3"/>
      <c r="TX52" s="3"/>
      <c r="TY52" s="3"/>
      <c r="TZ52" s="3"/>
      <c r="UA52" s="3"/>
      <c r="UB52" s="3"/>
      <c r="UC52" s="3"/>
      <c r="UD52" s="3"/>
      <c r="UE52" s="3"/>
      <c r="UF52" s="3"/>
      <c r="UG52" s="3"/>
      <c r="UH52" s="3"/>
      <c r="UI52" s="3"/>
      <c r="UJ52" s="3"/>
      <c r="UK52" s="3"/>
      <c r="UL52" s="3"/>
      <c r="UM52" s="3"/>
      <c r="UN52" s="3"/>
      <c r="UO52" s="3"/>
      <c r="UP52" s="3"/>
      <c r="UQ52" s="3"/>
      <c r="UR52" s="3"/>
      <c r="US52" s="3"/>
      <c r="UT52" s="3"/>
      <c r="UU52" s="3"/>
      <c r="UV52" s="3"/>
      <c r="UW52" s="3"/>
      <c r="UX52" s="3"/>
      <c r="UY52" s="3"/>
      <c r="UZ52" s="3"/>
      <c r="VA52" s="3"/>
      <c r="VB52" s="3"/>
      <c r="VC52" s="3"/>
      <c r="VD52" s="3"/>
      <c r="VE52" s="3"/>
      <c r="VF52" s="3"/>
      <c r="VG52" s="3"/>
      <c r="VH52" s="3"/>
      <c r="VI52" s="3"/>
      <c r="VJ52" s="3"/>
      <c r="VK52" s="3"/>
      <c r="VL52" s="3"/>
      <c r="VM52" s="3"/>
      <c r="VN52" s="3"/>
      <c r="VO52" s="3"/>
      <c r="VP52" s="3"/>
      <c r="VQ52" s="3"/>
      <c r="VR52" s="3"/>
      <c r="VS52" s="3"/>
      <c r="VT52" s="3"/>
      <c r="VU52" s="3"/>
      <c r="VV52" s="3"/>
      <c r="VW52" s="3"/>
      <c r="VX52" s="3"/>
      <c r="VY52" s="3"/>
      <c r="VZ52" s="3"/>
      <c r="WA52" s="3"/>
      <c r="WB52" s="3"/>
      <c r="WC52" s="3"/>
      <c r="WD52" s="3"/>
      <c r="WE52" s="3"/>
      <c r="WF52" s="3"/>
      <c r="WG52" s="3"/>
      <c r="WH52" s="3"/>
      <c r="WI52" s="3"/>
      <c r="WJ52" s="3"/>
      <c r="WK52" s="3"/>
      <c r="WL52" s="3"/>
      <c r="WM52" s="3"/>
      <c r="WN52" s="3"/>
      <c r="WO52" s="3"/>
      <c r="WP52" s="3"/>
      <c r="WQ52" s="3"/>
      <c r="WR52" s="3"/>
      <c r="WS52" s="3"/>
      <c r="WT52" s="3"/>
      <c r="WU52" s="3"/>
      <c r="WV52" s="3"/>
      <c r="WW52" s="3"/>
      <c r="WX52" s="3"/>
      <c r="WY52" s="3"/>
      <c r="WZ52" s="3"/>
      <c r="XA52" s="3"/>
      <c r="XB52" s="3"/>
      <c r="XC52" s="3"/>
      <c r="XD52" s="3"/>
      <c r="XE52" s="3"/>
      <c r="XF52" s="3"/>
      <c r="XG52" s="3"/>
      <c r="XH52" s="3"/>
      <c r="XI52" s="3"/>
      <c r="XJ52" s="3"/>
      <c r="XK52" s="3"/>
      <c r="XL52" s="3"/>
      <c r="XM52" s="3"/>
      <c r="XN52" s="3"/>
      <c r="XO52" s="3"/>
      <c r="XP52" s="3"/>
      <c r="XQ52" s="3"/>
      <c r="XR52" s="3"/>
      <c r="XS52" s="3"/>
      <c r="XT52" s="3"/>
      <c r="XU52" s="3"/>
      <c r="XV52" s="3"/>
      <c r="XW52" s="3"/>
      <c r="XX52" s="3"/>
      <c r="XY52" s="3"/>
      <c r="XZ52" s="3"/>
      <c r="YA52" s="3"/>
      <c r="YB52" s="3"/>
      <c r="YC52" s="3"/>
      <c r="YD52" s="3"/>
      <c r="YE52" s="3"/>
      <c r="YF52" s="3"/>
      <c r="YG52" s="3"/>
      <c r="YH52" s="3"/>
      <c r="YI52" s="3"/>
      <c r="YJ52" s="3"/>
      <c r="YK52" s="3"/>
      <c r="YL52" s="3"/>
      <c r="YM52" s="3"/>
      <c r="YN52" s="3"/>
      <c r="YO52" s="3"/>
      <c r="YP52" s="3"/>
      <c r="YQ52" s="3"/>
      <c r="YR52" s="3"/>
      <c r="YS52" s="3"/>
      <c r="YT52" s="3"/>
      <c r="YU52" s="3"/>
      <c r="YV52" s="3"/>
      <c r="YW52" s="3"/>
      <c r="YX52" s="3"/>
      <c r="YY52" s="3"/>
      <c r="YZ52" s="3"/>
      <c r="ZA52" s="3"/>
      <c r="ZB52" s="3"/>
      <c r="ZC52" s="3"/>
      <c r="ZD52" s="3"/>
      <c r="ZE52" s="3"/>
      <c r="ZF52" s="3"/>
      <c r="ZG52" s="3"/>
      <c r="ZH52" s="3"/>
      <c r="ZI52" s="3"/>
      <c r="ZJ52" s="3"/>
      <c r="ZK52" s="3"/>
      <c r="ZL52" s="3"/>
      <c r="ZM52" s="3"/>
      <c r="ZN52" s="3"/>
      <c r="ZO52" s="3"/>
      <c r="ZP52" s="3"/>
      <c r="ZQ52" s="3"/>
      <c r="ZR52" s="3"/>
      <c r="ZS52" s="3"/>
      <c r="ZT52" s="3"/>
      <c r="ZU52" s="3"/>
      <c r="ZV52" s="3"/>
      <c r="ZW52" s="3"/>
      <c r="ZX52" s="3"/>
      <c r="ZY52" s="3"/>
      <c r="ZZ52" s="3"/>
      <c r="AAA52" s="3"/>
      <c r="AAB52" s="3"/>
      <c r="AAC52" s="3"/>
      <c r="AAD52" s="3"/>
      <c r="AAE52" s="3"/>
      <c r="AAF52" s="3"/>
      <c r="AAG52" s="3"/>
      <c r="AAH52" s="3"/>
      <c r="AAI52" s="3"/>
      <c r="AAJ52" s="3"/>
      <c r="AAK52" s="3"/>
      <c r="AAL52" s="3"/>
      <c r="AAM52" s="3"/>
      <c r="AAN52" s="3"/>
      <c r="AAO52" s="3"/>
      <c r="AAP52" s="3"/>
      <c r="AAQ52" s="3"/>
      <c r="AAR52" s="3"/>
      <c r="AAS52" s="3"/>
      <c r="AAT52" s="3"/>
      <c r="AAU52" s="3"/>
      <c r="AAV52" s="3"/>
      <c r="AAW52" s="3"/>
      <c r="AAX52" s="3"/>
      <c r="AAY52" s="3"/>
      <c r="AAZ52" s="3"/>
      <c r="ABA52" s="3"/>
      <c r="ABB52" s="3"/>
      <c r="ABC52" s="3"/>
      <c r="ABD52" s="3"/>
      <c r="ABE52" s="3"/>
      <c r="ABF52" s="3"/>
      <c r="ABG52" s="3"/>
      <c r="ABH52" s="3"/>
      <c r="ABI52" s="3"/>
      <c r="ABJ52" s="3"/>
      <c r="ABK52" s="3"/>
      <c r="ABL52" s="3"/>
      <c r="ABM52" s="3"/>
      <c r="ABN52" s="3"/>
      <c r="ABO52" s="3"/>
      <c r="ABP52" s="3"/>
      <c r="ABQ52" s="3"/>
      <c r="ABR52" s="3"/>
      <c r="ABS52" s="3"/>
      <c r="ABT52" s="3"/>
      <c r="ABU52" s="3"/>
      <c r="ABV52" s="3"/>
      <c r="ABW52" s="3"/>
      <c r="ABX52" s="3"/>
      <c r="ABY52" s="3"/>
      <c r="ABZ52" s="3"/>
      <c r="ACA52" s="3"/>
      <c r="ACB52" s="3"/>
      <c r="ACC52" s="3"/>
      <c r="ACD52" s="3"/>
      <c r="ACE52" s="3"/>
      <c r="ACF52" s="3"/>
      <c r="ACG52" s="3"/>
      <c r="ACH52" s="3"/>
      <c r="ACI52" s="3"/>
      <c r="ACJ52" s="3"/>
      <c r="ACK52" s="3"/>
      <c r="ACL52" s="3"/>
      <c r="ACM52" s="3"/>
      <c r="ACN52" s="3"/>
      <c r="ACO52" s="3"/>
      <c r="ACP52" s="3"/>
    </row>
    <row r="53" spans="1:770" s="248" customFormat="1">
      <c r="A53" s="292" t="e">
        <f>+#REF!+1</f>
        <v>#REF!</v>
      </c>
      <c r="B53" s="419" t="str">
        <f>+'Nomina Proquima'!B25</f>
        <v>Hernandez Reyes Astrid Verenice</v>
      </c>
      <c r="C53" s="367">
        <v>16265050423446</v>
      </c>
      <c r="D53" s="401"/>
      <c r="E53" s="1120" t="str">
        <f>+'Nomina Proquima'!B25</f>
        <v>Hernandez Reyes Astrid Verenice</v>
      </c>
      <c r="F53" s="244" t="str">
        <f>VLOOKUP(B53,distribucion!B$9:FK$200,2,0)</f>
        <v>Auxiliar Contable</v>
      </c>
      <c r="G53" s="244">
        <f>ROUND((VLOOKUP($B53,'Nomina Proquima'!$B$4:$AB$145,4,0)),2)</f>
        <v>30</v>
      </c>
      <c r="H53" s="245">
        <f>ROUND((VLOOKUP($B53,'Nomina Proquima'!$B$4:$AB$145,6,0)),2)</f>
        <v>3166.38</v>
      </c>
      <c r="I53" s="245">
        <f>ROUND((VLOOKUP($B53,'Nomina Proquima'!$B$4:$AB$145,7,0)),2)</f>
        <v>1233.6199999999999</v>
      </c>
      <c r="J53" s="245">
        <f>ROUND((VLOOKUP($B53,'Nomina Proquima'!$B$4:$AB$145,9,0)),2)</f>
        <v>0</v>
      </c>
      <c r="K53" s="245">
        <f>ROUND((VLOOKUP($B53,'Nomina Proquima'!$B$4:$AB$145,10,0)),2)</f>
        <v>0</v>
      </c>
      <c r="L53" s="245">
        <f>ROUND((VLOOKUP($B53,'Nomina Proquima'!$B$4:$AB$145,11,0)),2)</f>
        <v>0</v>
      </c>
      <c r="M53" s="245">
        <f>ROUND((VLOOKUP($B53,'Nomina Proquima'!$B$4:$AB$145,12,0)),2)</f>
        <v>0</v>
      </c>
      <c r="N53" s="245">
        <f>ROUND((VLOOKUP($B53,'Nomina Proquima'!$B$4:$AB$145,13,0)),2)</f>
        <v>0</v>
      </c>
      <c r="O53" s="245">
        <f>ROUND((VLOOKUP($B53,'Nomina Proquima'!$B$4:$AB$145,14,0)),2)</f>
        <v>4400</v>
      </c>
      <c r="P53" s="245">
        <f>ROUND((VLOOKUP($B53,'Nomina Proquima'!$B$4:$AB$145,15,0)),2)</f>
        <v>152.94</v>
      </c>
      <c r="Q53" s="245">
        <f>ROUND((VLOOKUP($B53,'Nomina Proquima'!$B$4:$AB$145,16,0)),2)</f>
        <v>12.35</v>
      </c>
      <c r="R53" s="245">
        <f>ROUND((VLOOKUP($B53,'Nomina Proquima'!$B$4:$AB$145,17,0)),2)</f>
        <v>0</v>
      </c>
      <c r="S53" s="245">
        <f>ROUND((VLOOKUP($B53,'Nomina Proquima'!$B$4:$AB$145,18,0)),2)</f>
        <v>0</v>
      </c>
      <c r="T53" s="245">
        <f>ROUND((VLOOKUP($B53,'Nomina Proquima'!$B$4:$AB$145,19,0)),2)</f>
        <v>0</v>
      </c>
      <c r="U53" s="245">
        <f>ROUND((VLOOKUP($B53,'Nomina Proquima'!$B$4:$AB$145,20,0)),2)</f>
        <v>0</v>
      </c>
      <c r="V53" s="245">
        <f>ROUND((VLOOKUP($B53,'Nomina Proquima'!$B$4:$AB$145,21,0)),2)</f>
        <v>0</v>
      </c>
      <c r="W53" s="245">
        <f>ROUND((VLOOKUP($B53,'Nomina Proquima'!$B$4:$AB$145,22,0)),2)</f>
        <v>50</v>
      </c>
      <c r="X53" s="245">
        <f>ROUND((VLOOKUP($B53,'Nomina Proquima'!$B$4:$AB$145,23,0)),2)</f>
        <v>215.29</v>
      </c>
      <c r="Y53" s="234">
        <f>ROUND((VLOOKUP($B53,'Nomina Proquima'!$B$4:$AB$147,24,0)),2)</f>
        <v>4184.71</v>
      </c>
      <c r="Z53" s="399">
        <f>VLOOKUP(B53,'Nomina Proquima'!$B$4:$AA$148,25,0)</f>
        <v>2123.5300000000002</v>
      </c>
      <c r="AA53" s="405">
        <f>ROUND((VLOOKUP($B53,'Nomina Proquima'!$B$4:$AB$145,26,0)),2)</f>
        <v>2061.1799999999998</v>
      </c>
      <c r="AB53" s="246"/>
      <c r="AC53" s="247"/>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c r="KC53" s="3"/>
      <c r="KD53" s="3"/>
      <c r="KE53" s="3"/>
      <c r="KF53" s="3"/>
      <c r="KG53" s="3"/>
      <c r="KH53" s="3"/>
      <c r="KI53" s="3"/>
      <c r="KJ53" s="3"/>
      <c r="KK53" s="3"/>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s="3"/>
      <c r="LL53" s="3"/>
      <c r="LM53" s="3"/>
      <c r="LN53" s="3"/>
      <c r="LO53" s="3"/>
      <c r="LP53" s="3"/>
      <c r="LQ53" s="3"/>
      <c r="LR53" s="3"/>
      <c r="LS53" s="3"/>
      <c r="LT53" s="3"/>
      <c r="LU53" s="3"/>
      <c r="LV53" s="3"/>
      <c r="LW53" s="3"/>
      <c r="LX53" s="3"/>
      <c r="LY53" s="3"/>
      <c r="LZ53" s="3"/>
      <c r="MA53" s="3"/>
      <c r="MB53" s="3"/>
      <c r="MC53" s="3"/>
      <c r="MD53" s="3"/>
      <c r="ME53" s="3"/>
      <c r="MF53" s="3"/>
      <c r="MG53" s="3"/>
      <c r="MH53" s="3"/>
      <c r="MI53" s="3"/>
      <c r="MJ53" s="3"/>
      <c r="MK53" s="3"/>
      <c r="ML53" s="3"/>
      <c r="MM53" s="3"/>
      <c r="MN53" s="3"/>
      <c r="MO53" s="3"/>
      <c r="MP53" s="3"/>
      <c r="MQ53" s="3"/>
      <c r="MR53" s="3"/>
      <c r="MS53" s="3"/>
      <c r="MT53" s="3"/>
      <c r="MU53" s="3"/>
      <c r="MV53" s="3"/>
      <c r="MW53" s="3"/>
      <c r="MX53" s="3"/>
      <c r="MY53" s="3"/>
      <c r="MZ53" s="3"/>
      <c r="NA53" s="3"/>
      <c r="NB53" s="3"/>
      <c r="NC53" s="3"/>
      <c r="ND53" s="3"/>
      <c r="NE53" s="3"/>
      <c r="NF53" s="3"/>
      <c r="NG53" s="3"/>
      <c r="NH53" s="3"/>
      <c r="NI53" s="3"/>
      <c r="NJ53" s="3"/>
      <c r="NK53" s="3"/>
      <c r="NL53" s="3"/>
      <c r="NM53" s="3"/>
      <c r="NN53" s="3"/>
      <c r="NO53" s="3"/>
      <c r="NP53" s="3"/>
      <c r="NQ53" s="3"/>
      <c r="NR53" s="3"/>
      <c r="NS53" s="3"/>
      <c r="NT53" s="3"/>
      <c r="NU53" s="3"/>
      <c r="NV53" s="3"/>
      <c r="NW53" s="3"/>
      <c r="NX53" s="3"/>
      <c r="NY53" s="3"/>
      <c r="NZ53" s="3"/>
      <c r="OA53" s="3"/>
      <c r="OB53" s="3"/>
      <c r="OC53" s="3"/>
      <c r="OD53" s="3"/>
      <c r="OE53" s="3"/>
      <c r="OF53" s="3"/>
      <c r="OG53" s="3"/>
      <c r="OH53" s="3"/>
      <c r="OI53" s="3"/>
      <c r="OJ53" s="3"/>
      <c r="OK53" s="3"/>
      <c r="OL53" s="3"/>
      <c r="OM53" s="3"/>
      <c r="ON53" s="3"/>
      <c r="OO53" s="3"/>
      <c r="OP53" s="3"/>
      <c r="OQ53" s="3"/>
      <c r="OR53" s="3"/>
      <c r="OS53" s="3"/>
      <c r="OT53" s="3"/>
      <c r="OU53" s="3"/>
      <c r="OV53" s="3"/>
      <c r="OW53" s="3"/>
      <c r="OX53" s="3"/>
      <c r="OY53" s="3"/>
      <c r="OZ53" s="3"/>
      <c r="PA53" s="3"/>
      <c r="PB53" s="3"/>
      <c r="PC53" s="3"/>
      <c r="PD53" s="3"/>
      <c r="PE53" s="3"/>
      <c r="PF53" s="3"/>
      <c r="PG53" s="3"/>
      <c r="PH53" s="3"/>
      <c r="PI53" s="3"/>
      <c r="PJ53" s="3"/>
      <c r="PK53" s="3"/>
      <c r="PL53" s="3"/>
      <c r="PM53" s="3"/>
      <c r="PN53" s="3"/>
      <c r="PO53" s="3"/>
      <c r="PP53" s="3"/>
      <c r="PQ53" s="3"/>
      <c r="PR53" s="3"/>
      <c r="PS53" s="3"/>
      <c r="PT53" s="3"/>
      <c r="PU53" s="3"/>
      <c r="PV53" s="3"/>
      <c r="PW53" s="3"/>
      <c r="PX53" s="3"/>
      <c r="PY53" s="3"/>
      <c r="PZ53" s="3"/>
      <c r="QA53" s="3"/>
      <c r="QB53" s="3"/>
      <c r="QC53" s="3"/>
      <c r="QD53" s="3"/>
      <c r="QE53" s="3"/>
      <c r="QF53" s="3"/>
      <c r="QG53" s="3"/>
      <c r="QH53" s="3"/>
      <c r="QI53" s="3"/>
      <c r="QJ53" s="3"/>
      <c r="QK53" s="3"/>
      <c r="QL53" s="3"/>
      <c r="QM53" s="3"/>
      <c r="QN53" s="3"/>
      <c r="QO53" s="3"/>
      <c r="QP53" s="3"/>
      <c r="QQ53" s="3"/>
      <c r="QR53" s="3"/>
      <c r="QS53" s="3"/>
      <c r="QT53" s="3"/>
      <c r="QU53" s="3"/>
      <c r="QV53" s="3"/>
      <c r="QW53" s="3"/>
      <c r="QX53" s="3"/>
      <c r="QY53" s="3"/>
      <c r="QZ53" s="3"/>
      <c r="RA53" s="3"/>
      <c r="RB53" s="3"/>
      <c r="RC53" s="3"/>
      <c r="RD53" s="3"/>
      <c r="RE53" s="3"/>
      <c r="RF53" s="3"/>
      <c r="RG53" s="3"/>
      <c r="RH53" s="3"/>
      <c r="RI53" s="3"/>
      <c r="RJ53" s="3"/>
      <c r="RK53" s="3"/>
      <c r="RL53" s="3"/>
      <c r="RM53" s="3"/>
      <c r="RN53" s="3"/>
      <c r="RO53" s="3"/>
      <c r="RP53" s="3"/>
      <c r="RQ53" s="3"/>
      <c r="RR53" s="3"/>
      <c r="RS53" s="3"/>
      <c r="RT53" s="3"/>
      <c r="RU53" s="3"/>
      <c r="RV53" s="3"/>
      <c r="RW53" s="3"/>
      <c r="RX53" s="3"/>
      <c r="RY53" s="3"/>
      <c r="RZ53" s="3"/>
      <c r="SA53" s="3"/>
      <c r="SB53" s="3"/>
      <c r="SC53" s="3"/>
      <c r="SD53" s="3"/>
      <c r="SE53" s="3"/>
      <c r="SF53" s="3"/>
      <c r="SG53" s="3"/>
      <c r="SH53" s="3"/>
      <c r="SI53" s="3"/>
      <c r="SJ53" s="3"/>
      <c r="SK53" s="3"/>
      <c r="SL53" s="3"/>
      <c r="SM53" s="3"/>
      <c r="SN53" s="3"/>
      <c r="SO53" s="3"/>
      <c r="SP53" s="3"/>
      <c r="SQ53" s="3"/>
      <c r="SR53" s="3"/>
      <c r="SS53" s="3"/>
      <c r="ST53" s="3"/>
      <c r="SU53" s="3"/>
      <c r="SV53" s="3"/>
      <c r="SW53" s="3"/>
      <c r="SX53" s="3"/>
      <c r="SY53" s="3"/>
      <c r="SZ53" s="3"/>
      <c r="TA53" s="3"/>
      <c r="TB53" s="3"/>
      <c r="TC53" s="3"/>
      <c r="TD53" s="3"/>
      <c r="TE53" s="3"/>
      <c r="TF53" s="3"/>
      <c r="TG53" s="3"/>
      <c r="TH53" s="3"/>
      <c r="TI53" s="3"/>
      <c r="TJ53" s="3"/>
      <c r="TK53" s="3"/>
      <c r="TL53" s="3"/>
      <c r="TM53" s="3"/>
      <c r="TN53" s="3"/>
      <c r="TO53" s="3"/>
      <c r="TP53" s="3"/>
      <c r="TQ53" s="3"/>
      <c r="TR53" s="3"/>
      <c r="TS53" s="3"/>
      <c r="TT53" s="3"/>
      <c r="TU53" s="3"/>
      <c r="TV53" s="3"/>
      <c r="TW53" s="3"/>
      <c r="TX53" s="3"/>
      <c r="TY53" s="3"/>
      <c r="TZ53" s="3"/>
      <c r="UA53" s="3"/>
      <c r="UB53" s="3"/>
      <c r="UC53" s="3"/>
      <c r="UD53" s="3"/>
      <c r="UE53" s="3"/>
      <c r="UF53" s="3"/>
      <c r="UG53" s="3"/>
      <c r="UH53" s="3"/>
      <c r="UI53" s="3"/>
      <c r="UJ53" s="3"/>
      <c r="UK53" s="3"/>
      <c r="UL53" s="3"/>
      <c r="UM53" s="3"/>
      <c r="UN53" s="3"/>
      <c r="UO53" s="3"/>
      <c r="UP53" s="3"/>
      <c r="UQ53" s="3"/>
      <c r="UR53" s="3"/>
      <c r="US53" s="3"/>
      <c r="UT53" s="3"/>
      <c r="UU53" s="3"/>
      <c r="UV53" s="3"/>
      <c r="UW53" s="3"/>
      <c r="UX53" s="3"/>
      <c r="UY53" s="3"/>
      <c r="UZ53" s="3"/>
      <c r="VA53" s="3"/>
      <c r="VB53" s="3"/>
      <c r="VC53" s="3"/>
      <c r="VD53" s="3"/>
      <c r="VE53" s="3"/>
      <c r="VF53" s="3"/>
      <c r="VG53" s="3"/>
      <c r="VH53" s="3"/>
      <c r="VI53" s="3"/>
      <c r="VJ53" s="3"/>
      <c r="VK53" s="3"/>
      <c r="VL53" s="3"/>
      <c r="VM53" s="3"/>
      <c r="VN53" s="3"/>
      <c r="VO53" s="3"/>
      <c r="VP53" s="3"/>
      <c r="VQ53" s="3"/>
      <c r="VR53" s="3"/>
      <c r="VS53" s="3"/>
      <c r="VT53" s="3"/>
      <c r="VU53" s="3"/>
      <c r="VV53" s="3"/>
      <c r="VW53" s="3"/>
      <c r="VX53" s="3"/>
      <c r="VY53" s="3"/>
      <c r="VZ53" s="3"/>
      <c r="WA53" s="3"/>
      <c r="WB53" s="3"/>
      <c r="WC53" s="3"/>
      <c r="WD53" s="3"/>
      <c r="WE53" s="3"/>
      <c r="WF53" s="3"/>
      <c r="WG53" s="3"/>
      <c r="WH53" s="3"/>
      <c r="WI53" s="3"/>
      <c r="WJ53" s="3"/>
      <c r="WK53" s="3"/>
      <c r="WL53" s="3"/>
      <c r="WM53" s="3"/>
      <c r="WN53" s="3"/>
      <c r="WO53" s="3"/>
      <c r="WP53" s="3"/>
      <c r="WQ53" s="3"/>
      <c r="WR53" s="3"/>
      <c r="WS53" s="3"/>
      <c r="WT53" s="3"/>
      <c r="WU53" s="3"/>
      <c r="WV53" s="3"/>
      <c r="WW53" s="3"/>
      <c r="WX53" s="3"/>
      <c r="WY53" s="3"/>
      <c r="WZ53" s="3"/>
      <c r="XA53" s="3"/>
      <c r="XB53" s="3"/>
      <c r="XC53" s="3"/>
      <c r="XD53" s="3"/>
      <c r="XE53" s="3"/>
      <c r="XF53" s="3"/>
      <c r="XG53" s="3"/>
      <c r="XH53" s="3"/>
      <c r="XI53" s="3"/>
      <c r="XJ53" s="3"/>
      <c r="XK53" s="3"/>
      <c r="XL53" s="3"/>
      <c r="XM53" s="3"/>
      <c r="XN53" s="3"/>
      <c r="XO53" s="3"/>
      <c r="XP53" s="3"/>
      <c r="XQ53" s="3"/>
      <c r="XR53" s="3"/>
      <c r="XS53" s="3"/>
      <c r="XT53" s="3"/>
      <c r="XU53" s="3"/>
      <c r="XV53" s="3"/>
      <c r="XW53" s="3"/>
      <c r="XX53" s="3"/>
      <c r="XY53" s="3"/>
      <c r="XZ53" s="3"/>
      <c r="YA53" s="3"/>
      <c r="YB53" s="3"/>
      <c r="YC53" s="3"/>
      <c r="YD53" s="3"/>
      <c r="YE53" s="3"/>
      <c r="YF53" s="3"/>
      <c r="YG53" s="3"/>
      <c r="YH53" s="3"/>
      <c r="YI53" s="3"/>
      <c r="YJ53" s="3"/>
      <c r="YK53" s="3"/>
      <c r="YL53" s="3"/>
      <c r="YM53" s="3"/>
      <c r="YN53" s="3"/>
      <c r="YO53" s="3"/>
      <c r="YP53" s="3"/>
      <c r="YQ53" s="3"/>
      <c r="YR53" s="3"/>
      <c r="YS53" s="3"/>
      <c r="YT53" s="3"/>
      <c r="YU53" s="3"/>
      <c r="YV53" s="3"/>
      <c r="YW53" s="3"/>
      <c r="YX53" s="3"/>
      <c r="YY53" s="3"/>
      <c r="YZ53" s="3"/>
      <c r="ZA53" s="3"/>
      <c r="ZB53" s="3"/>
      <c r="ZC53" s="3"/>
      <c r="ZD53" s="3"/>
      <c r="ZE53" s="3"/>
      <c r="ZF53" s="3"/>
      <c r="ZG53" s="3"/>
      <c r="ZH53" s="3"/>
      <c r="ZI53" s="3"/>
      <c r="ZJ53" s="3"/>
      <c r="ZK53" s="3"/>
      <c r="ZL53" s="3"/>
      <c r="ZM53" s="3"/>
      <c r="ZN53" s="3"/>
      <c r="ZO53" s="3"/>
      <c r="ZP53" s="3"/>
      <c r="ZQ53" s="3"/>
      <c r="ZR53" s="3"/>
      <c r="ZS53" s="3"/>
      <c r="ZT53" s="3"/>
      <c r="ZU53" s="3"/>
      <c r="ZV53" s="3"/>
      <c r="ZW53" s="3"/>
      <c r="ZX53" s="3"/>
      <c r="ZY53" s="3"/>
      <c r="ZZ53" s="3"/>
      <c r="AAA53" s="3"/>
      <c r="AAB53" s="3"/>
      <c r="AAC53" s="3"/>
      <c r="AAD53" s="3"/>
      <c r="AAE53" s="3"/>
      <c r="AAF53" s="3"/>
      <c r="AAG53" s="3"/>
      <c r="AAH53" s="3"/>
      <c r="AAI53" s="3"/>
      <c r="AAJ53" s="3"/>
      <c r="AAK53" s="3"/>
      <c r="AAL53" s="3"/>
      <c r="AAM53" s="3"/>
      <c r="AAN53" s="3"/>
      <c r="AAO53" s="3"/>
      <c r="AAP53" s="3"/>
      <c r="AAQ53" s="3"/>
      <c r="AAR53" s="3"/>
      <c r="AAS53" s="3"/>
      <c r="AAT53" s="3"/>
      <c r="AAU53" s="3"/>
      <c r="AAV53" s="3"/>
      <c r="AAW53" s="3"/>
      <c r="AAX53" s="3"/>
      <c r="AAY53" s="3"/>
      <c r="AAZ53" s="3"/>
      <c r="ABA53" s="3"/>
      <c r="ABB53" s="3"/>
      <c r="ABC53" s="3"/>
      <c r="ABD53" s="3"/>
      <c r="ABE53" s="3"/>
      <c r="ABF53" s="3"/>
      <c r="ABG53" s="3"/>
      <c r="ABH53" s="3"/>
      <c r="ABI53" s="3"/>
      <c r="ABJ53" s="3"/>
      <c r="ABK53" s="3"/>
      <c r="ABL53" s="3"/>
      <c r="ABM53" s="3"/>
      <c r="ABN53" s="3"/>
      <c r="ABO53" s="3"/>
      <c r="ABP53" s="3"/>
      <c r="ABQ53" s="3"/>
      <c r="ABR53" s="3"/>
      <c r="ABS53" s="3"/>
      <c r="ABT53" s="3"/>
      <c r="ABU53" s="3"/>
      <c r="ABV53" s="3"/>
      <c r="ABW53" s="3"/>
      <c r="ABX53" s="3"/>
      <c r="ABY53" s="3"/>
      <c r="ABZ53" s="3"/>
      <c r="ACA53" s="3"/>
      <c r="ACB53" s="3"/>
      <c r="ACC53" s="3"/>
      <c r="ACD53" s="3"/>
      <c r="ACE53" s="3"/>
      <c r="ACF53" s="3"/>
      <c r="ACG53" s="3"/>
      <c r="ACH53" s="3"/>
      <c r="ACI53" s="3"/>
      <c r="ACJ53" s="3"/>
      <c r="ACK53" s="3"/>
      <c r="ACL53" s="3"/>
      <c r="ACM53" s="3"/>
      <c r="ACN53" s="3"/>
      <c r="ACO53" s="3"/>
      <c r="ACP53" s="3"/>
    </row>
    <row r="54" spans="1:770" s="248" customFormat="1">
      <c r="A54" s="292" t="e">
        <f>+#REF!+1</f>
        <v>#REF!</v>
      </c>
      <c r="B54" s="419" t="str">
        <f>+'Nomina Proquima'!B10</f>
        <v>Estrada Robles Victor Gerardo1</v>
      </c>
      <c r="C54" s="367" t="s">
        <v>262</v>
      </c>
      <c r="D54" s="401"/>
      <c r="E54" s="1120" t="str">
        <f>+'Nomina Proquima'!B10</f>
        <v>Estrada Robles Victor Gerardo1</v>
      </c>
      <c r="F54" s="244" t="str">
        <f>VLOOKUP(B54,distribucion!B$9:FK$200,2,0)</f>
        <v>Gerente General</v>
      </c>
      <c r="G54" s="244">
        <f>ROUND((VLOOKUP($B54,'Nomina Proquima'!$B$4:$AB$145,4,0)),2)</f>
        <v>30</v>
      </c>
      <c r="H54" s="245">
        <f>ROUND((VLOOKUP($B54,'Nomina Proquima'!$B$4:$AB$145,6,0)),2)</f>
        <v>61000</v>
      </c>
      <c r="I54" s="245">
        <f>ROUND((VLOOKUP($B54,'Nomina Proquima'!$B$4:$AB$145,7,0)),2)</f>
        <v>250</v>
      </c>
      <c r="J54" s="245">
        <f>ROUND((VLOOKUP($B54,'Nomina Proquima'!$B$4:$AB$145,9,0)),2)</f>
        <v>0</v>
      </c>
      <c r="K54" s="245">
        <f>ROUND((VLOOKUP($B54,'Nomina Proquima'!$B$4:$AB$145,10,0)),2)</f>
        <v>0</v>
      </c>
      <c r="L54" s="245">
        <f>ROUND((VLOOKUP($B54,'Nomina Proquima'!$B$4:$AB$145,11,0)),2)</f>
        <v>0</v>
      </c>
      <c r="M54" s="245">
        <f>ROUND((VLOOKUP($B54,'Nomina Proquima'!$B$4:$AB$145,12,0)),2)</f>
        <v>0</v>
      </c>
      <c r="N54" s="245">
        <f>ROUND((VLOOKUP($B54,'Nomina Proquima'!$B$4:$AB$145,13,0)),2)</f>
        <v>0</v>
      </c>
      <c r="O54" s="245">
        <f>ROUND((VLOOKUP($B54,'Nomina Proquima'!$B$4:$AB$145,14,0)),2)</f>
        <v>61250</v>
      </c>
      <c r="P54" s="245">
        <f>ROUND((VLOOKUP($B54,'Nomina Proquima'!$B$4:$AB$145,15,0)),2)</f>
        <v>0</v>
      </c>
      <c r="Q54" s="245">
        <f>ROUND((VLOOKUP($B54,'Nomina Proquima'!$B$4:$AB$145,16,0)),2)</f>
        <v>3507.5</v>
      </c>
      <c r="R54" s="245">
        <f>ROUND((VLOOKUP($B54,'Nomina Proquima'!$B$4:$AB$145,17,0)),2)</f>
        <v>0</v>
      </c>
      <c r="S54" s="245">
        <f>ROUND((VLOOKUP($B54,'Nomina Proquima'!$B$4:$AB$145,18,0)),2)</f>
        <v>0</v>
      </c>
      <c r="T54" s="245">
        <f>ROUND((VLOOKUP($B54,'Nomina Proquima'!$B$4:$AB$145,19,0)),2)</f>
        <v>0</v>
      </c>
      <c r="U54" s="245">
        <f>ROUND((VLOOKUP($B54,'Nomina Proquima'!$B$4:$AB$145,20,0)),2)</f>
        <v>0</v>
      </c>
      <c r="V54" s="245">
        <f>ROUND((VLOOKUP($B54,'Nomina Proquima'!$B$4:$AB$145,21,0)),2)</f>
        <v>0</v>
      </c>
      <c r="W54" s="245">
        <f>ROUND((VLOOKUP($B54,'Nomina Proquima'!$B$4:$AB$145,22,0)),2)</f>
        <v>0</v>
      </c>
      <c r="X54" s="245">
        <f>ROUND((VLOOKUP($B54,'Nomina Proquima'!$B$4:$AB$145,23,0)),2)</f>
        <v>3507.5</v>
      </c>
      <c r="Y54" s="234">
        <f>ROUND((VLOOKUP($B54,'Nomina Proquima'!$B$4:$AB$147,24,0)),2)</f>
        <v>57742.5</v>
      </c>
      <c r="Z54" s="399">
        <f>VLOOKUP(B54,'Nomina Proquima'!$B$4:$AA$148,25,0)</f>
        <v>27436.02</v>
      </c>
      <c r="AA54" s="405">
        <f>ROUND((VLOOKUP($B54,'Nomina Proquima'!$B$4:$AB$145,26,0)),2)</f>
        <v>30306.48</v>
      </c>
      <c r="AB54" s="246"/>
      <c r="AC54" s="247"/>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c r="JH54" s="3"/>
      <c r="JI54" s="3"/>
      <c r="JJ54" s="3"/>
      <c r="JK54" s="3"/>
      <c r="JL54" s="3"/>
      <c r="JM54" s="3"/>
      <c r="JN54" s="3"/>
      <c r="JO54" s="3"/>
      <c r="JP54" s="3"/>
      <c r="JQ54" s="3"/>
      <c r="JR54" s="3"/>
      <c r="JS54" s="3"/>
      <c r="JT54" s="3"/>
      <c r="JU54" s="3"/>
      <c r="JV54" s="3"/>
      <c r="JW54" s="3"/>
      <c r="JX54" s="3"/>
      <c r="JY54" s="3"/>
      <c r="JZ54" s="3"/>
      <c r="KA54" s="3"/>
      <c r="KB54" s="3"/>
      <c r="KC54" s="3"/>
      <c r="KD54" s="3"/>
      <c r="KE54" s="3"/>
      <c r="KF54" s="3"/>
      <c r="KG54" s="3"/>
      <c r="KH54" s="3"/>
      <c r="KI54" s="3"/>
      <c r="KJ54" s="3"/>
      <c r="KK54" s="3"/>
      <c r="KL54" s="3"/>
      <c r="KM54" s="3"/>
      <c r="KN54" s="3"/>
      <c r="KO54" s="3"/>
      <c r="KP54" s="3"/>
      <c r="KQ54" s="3"/>
      <c r="KR54" s="3"/>
      <c r="KS54" s="3"/>
      <c r="KT54" s="3"/>
      <c r="KU54" s="3"/>
      <c r="KV54" s="3"/>
      <c r="KW54" s="3"/>
      <c r="KX54" s="3"/>
      <c r="KY54" s="3"/>
      <c r="KZ54" s="3"/>
      <c r="LA54" s="3"/>
      <c r="LB54" s="3"/>
      <c r="LC54" s="3"/>
      <c r="LD54" s="3"/>
      <c r="LE54" s="3"/>
      <c r="LF54" s="3"/>
      <c r="LG54" s="3"/>
      <c r="LH54" s="3"/>
      <c r="LI54" s="3"/>
      <c r="LJ54" s="3"/>
      <c r="LK54" s="3"/>
      <c r="LL54" s="3"/>
      <c r="LM54" s="3"/>
      <c r="LN54" s="3"/>
      <c r="LO54" s="3"/>
      <c r="LP54" s="3"/>
      <c r="LQ54" s="3"/>
      <c r="LR54" s="3"/>
      <c r="LS54" s="3"/>
      <c r="LT54" s="3"/>
      <c r="LU54" s="3"/>
      <c r="LV54" s="3"/>
      <c r="LW54" s="3"/>
      <c r="LX54" s="3"/>
      <c r="LY54" s="3"/>
      <c r="LZ54" s="3"/>
      <c r="MA54" s="3"/>
      <c r="MB54" s="3"/>
      <c r="MC54" s="3"/>
      <c r="MD54" s="3"/>
      <c r="ME54" s="3"/>
      <c r="MF54" s="3"/>
      <c r="MG54" s="3"/>
      <c r="MH54" s="3"/>
      <c r="MI54" s="3"/>
      <c r="MJ54" s="3"/>
      <c r="MK54" s="3"/>
      <c r="ML54" s="3"/>
      <c r="MM54" s="3"/>
      <c r="MN54" s="3"/>
      <c r="MO54" s="3"/>
      <c r="MP54" s="3"/>
      <c r="MQ54" s="3"/>
      <c r="MR54" s="3"/>
      <c r="MS54" s="3"/>
      <c r="MT54" s="3"/>
      <c r="MU54" s="3"/>
      <c r="MV54" s="3"/>
      <c r="MW54" s="3"/>
      <c r="MX54" s="3"/>
      <c r="MY54" s="3"/>
      <c r="MZ54" s="3"/>
      <c r="NA54" s="3"/>
      <c r="NB54" s="3"/>
      <c r="NC54" s="3"/>
      <c r="ND54" s="3"/>
      <c r="NE54" s="3"/>
      <c r="NF54" s="3"/>
      <c r="NG54" s="3"/>
      <c r="NH54" s="3"/>
      <c r="NI54" s="3"/>
      <c r="NJ54" s="3"/>
      <c r="NK54" s="3"/>
      <c r="NL54" s="3"/>
      <c r="NM54" s="3"/>
      <c r="NN54" s="3"/>
      <c r="NO54" s="3"/>
      <c r="NP54" s="3"/>
      <c r="NQ54" s="3"/>
      <c r="NR54" s="3"/>
      <c r="NS54" s="3"/>
      <c r="NT54" s="3"/>
      <c r="NU54" s="3"/>
      <c r="NV54" s="3"/>
      <c r="NW54" s="3"/>
      <c r="NX54" s="3"/>
      <c r="NY54" s="3"/>
      <c r="NZ54" s="3"/>
      <c r="OA54" s="3"/>
      <c r="OB54" s="3"/>
      <c r="OC54" s="3"/>
      <c r="OD54" s="3"/>
      <c r="OE54" s="3"/>
      <c r="OF54" s="3"/>
      <c r="OG54" s="3"/>
      <c r="OH54" s="3"/>
      <c r="OI54" s="3"/>
      <c r="OJ54" s="3"/>
      <c r="OK54" s="3"/>
      <c r="OL54" s="3"/>
      <c r="OM54" s="3"/>
      <c r="ON54" s="3"/>
      <c r="OO54" s="3"/>
      <c r="OP54" s="3"/>
      <c r="OQ54" s="3"/>
      <c r="OR54" s="3"/>
      <c r="OS54" s="3"/>
      <c r="OT54" s="3"/>
      <c r="OU54" s="3"/>
      <c r="OV54" s="3"/>
      <c r="OW54" s="3"/>
      <c r="OX54" s="3"/>
      <c r="OY54" s="3"/>
      <c r="OZ54" s="3"/>
      <c r="PA54" s="3"/>
      <c r="PB54" s="3"/>
      <c r="PC54" s="3"/>
      <c r="PD54" s="3"/>
      <c r="PE54" s="3"/>
      <c r="PF54" s="3"/>
      <c r="PG54" s="3"/>
      <c r="PH54" s="3"/>
      <c r="PI54" s="3"/>
      <c r="PJ54" s="3"/>
      <c r="PK54" s="3"/>
      <c r="PL54" s="3"/>
      <c r="PM54" s="3"/>
      <c r="PN54" s="3"/>
      <c r="PO54" s="3"/>
      <c r="PP54" s="3"/>
      <c r="PQ54" s="3"/>
      <c r="PR54" s="3"/>
      <c r="PS54" s="3"/>
      <c r="PT54" s="3"/>
      <c r="PU54" s="3"/>
      <c r="PV54" s="3"/>
      <c r="PW54" s="3"/>
      <c r="PX54" s="3"/>
      <c r="PY54" s="3"/>
      <c r="PZ54" s="3"/>
      <c r="QA54" s="3"/>
      <c r="QB54" s="3"/>
      <c r="QC54" s="3"/>
      <c r="QD54" s="3"/>
      <c r="QE54" s="3"/>
      <c r="QF54" s="3"/>
      <c r="QG54" s="3"/>
      <c r="QH54" s="3"/>
      <c r="QI54" s="3"/>
      <c r="QJ54" s="3"/>
      <c r="QK54" s="3"/>
      <c r="QL54" s="3"/>
      <c r="QM54" s="3"/>
      <c r="QN54" s="3"/>
      <c r="QO54" s="3"/>
      <c r="QP54" s="3"/>
      <c r="QQ54" s="3"/>
      <c r="QR54" s="3"/>
      <c r="QS54" s="3"/>
      <c r="QT54" s="3"/>
      <c r="QU54" s="3"/>
      <c r="QV54" s="3"/>
      <c r="QW54" s="3"/>
      <c r="QX54" s="3"/>
      <c r="QY54" s="3"/>
      <c r="QZ54" s="3"/>
      <c r="RA54" s="3"/>
      <c r="RB54" s="3"/>
      <c r="RC54" s="3"/>
      <c r="RD54" s="3"/>
      <c r="RE54" s="3"/>
      <c r="RF54" s="3"/>
      <c r="RG54" s="3"/>
      <c r="RH54" s="3"/>
      <c r="RI54" s="3"/>
      <c r="RJ54" s="3"/>
      <c r="RK54" s="3"/>
      <c r="RL54" s="3"/>
      <c r="RM54" s="3"/>
      <c r="RN54" s="3"/>
      <c r="RO54" s="3"/>
      <c r="RP54" s="3"/>
      <c r="RQ54" s="3"/>
      <c r="RR54" s="3"/>
      <c r="RS54" s="3"/>
      <c r="RT54" s="3"/>
      <c r="RU54" s="3"/>
      <c r="RV54" s="3"/>
      <c r="RW54" s="3"/>
      <c r="RX54" s="3"/>
      <c r="RY54" s="3"/>
      <c r="RZ54" s="3"/>
      <c r="SA54" s="3"/>
      <c r="SB54" s="3"/>
      <c r="SC54" s="3"/>
      <c r="SD54" s="3"/>
      <c r="SE54" s="3"/>
      <c r="SF54" s="3"/>
      <c r="SG54" s="3"/>
      <c r="SH54" s="3"/>
      <c r="SI54" s="3"/>
      <c r="SJ54" s="3"/>
      <c r="SK54" s="3"/>
      <c r="SL54" s="3"/>
      <c r="SM54" s="3"/>
      <c r="SN54" s="3"/>
      <c r="SO54" s="3"/>
      <c r="SP54" s="3"/>
      <c r="SQ54" s="3"/>
      <c r="SR54" s="3"/>
      <c r="SS54" s="3"/>
      <c r="ST54" s="3"/>
      <c r="SU54" s="3"/>
      <c r="SV54" s="3"/>
      <c r="SW54" s="3"/>
      <c r="SX54" s="3"/>
      <c r="SY54" s="3"/>
      <c r="SZ54" s="3"/>
      <c r="TA54" s="3"/>
      <c r="TB54" s="3"/>
      <c r="TC54" s="3"/>
      <c r="TD54" s="3"/>
      <c r="TE54" s="3"/>
      <c r="TF54" s="3"/>
      <c r="TG54" s="3"/>
      <c r="TH54" s="3"/>
      <c r="TI54" s="3"/>
      <c r="TJ54" s="3"/>
      <c r="TK54" s="3"/>
      <c r="TL54" s="3"/>
      <c r="TM54" s="3"/>
      <c r="TN54" s="3"/>
      <c r="TO54" s="3"/>
      <c r="TP54" s="3"/>
      <c r="TQ54" s="3"/>
      <c r="TR54" s="3"/>
      <c r="TS54" s="3"/>
      <c r="TT54" s="3"/>
      <c r="TU54" s="3"/>
      <c r="TV54" s="3"/>
      <c r="TW54" s="3"/>
      <c r="TX54" s="3"/>
      <c r="TY54" s="3"/>
      <c r="TZ54" s="3"/>
      <c r="UA54" s="3"/>
      <c r="UB54" s="3"/>
      <c r="UC54" s="3"/>
      <c r="UD54" s="3"/>
      <c r="UE54" s="3"/>
      <c r="UF54" s="3"/>
      <c r="UG54" s="3"/>
      <c r="UH54" s="3"/>
      <c r="UI54" s="3"/>
      <c r="UJ54" s="3"/>
      <c r="UK54" s="3"/>
      <c r="UL54" s="3"/>
      <c r="UM54" s="3"/>
      <c r="UN54" s="3"/>
      <c r="UO54" s="3"/>
      <c r="UP54" s="3"/>
      <c r="UQ54" s="3"/>
      <c r="UR54" s="3"/>
      <c r="US54" s="3"/>
      <c r="UT54" s="3"/>
      <c r="UU54" s="3"/>
      <c r="UV54" s="3"/>
      <c r="UW54" s="3"/>
      <c r="UX54" s="3"/>
      <c r="UY54" s="3"/>
      <c r="UZ54" s="3"/>
      <c r="VA54" s="3"/>
      <c r="VB54" s="3"/>
      <c r="VC54" s="3"/>
      <c r="VD54" s="3"/>
      <c r="VE54" s="3"/>
      <c r="VF54" s="3"/>
      <c r="VG54" s="3"/>
      <c r="VH54" s="3"/>
      <c r="VI54" s="3"/>
      <c r="VJ54" s="3"/>
      <c r="VK54" s="3"/>
      <c r="VL54" s="3"/>
      <c r="VM54" s="3"/>
      <c r="VN54" s="3"/>
      <c r="VO54" s="3"/>
      <c r="VP54" s="3"/>
      <c r="VQ54" s="3"/>
      <c r="VR54" s="3"/>
      <c r="VS54" s="3"/>
      <c r="VT54" s="3"/>
      <c r="VU54" s="3"/>
      <c r="VV54" s="3"/>
      <c r="VW54" s="3"/>
      <c r="VX54" s="3"/>
      <c r="VY54" s="3"/>
      <c r="VZ54" s="3"/>
      <c r="WA54" s="3"/>
      <c r="WB54" s="3"/>
      <c r="WC54" s="3"/>
      <c r="WD54" s="3"/>
      <c r="WE54" s="3"/>
      <c r="WF54" s="3"/>
      <c r="WG54" s="3"/>
      <c r="WH54" s="3"/>
      <c r="WI54" s="3"/>
      <c r="WJ54" s="3"/>
      <c r="WK54" s="3"/>
      <c r="WL54" s="3"/>
      <c r="WM54" s="3"/>
      <c r="WN54" s="3"/>
      <c r="WO54" s="3"/>
      <c r="WP54" s="3"/>
      <c r="WQ54" s="3"/>
      <c r="WR54" s="3"/>
      <c r="WS54" s="3"/>
      <c r="WT54" s="3"/>
      <c r="WU54" s="3"/>
      <c r="WV54" s="3"/>
      <c r="WW54" s="3"/>
      <c r="WX54" s="3"/>
      <c r="WY54" s="3"/>
      <c r="WZ54" s="3"/>
      <c r="XA54" s="3"/>
      <c r="XB54" s="3"/>
      <c r="XC54" s="3"/>
      <c r="XD54" s="3"/>
      <c r="XE54" s="3"/>
      <c r="XF54" s="3"/>
      <c r="XG54" s="3"/>
      <c r="XH54" s="3"/>
      <c r="XI54" s="3"/>
      <c r="XJ54" s="3"/>
      <c r="XK54" s="3"/>
      <c r="XL54" s="3"/>
      <c r="XM54" s="3"/>
      <c r="XN54" s="3"/>
      <c r="XO54" s="3"/>
      <c r="XP54" s="3"/>
      <c r="XQ54" s="3"/>
      <c r="XR54" s="3"/>
      <c r="XS54" s="3"/>
      <c r="XT54" s="3"/>
      <c r="XU54" s="3"/>
      <c r="XV54" s="3"/>
      <c r="XW54" s="3"/>
      <c r="XX54" s="3"/>
      <c r="XY54" s="3"/>
      <c r="XZ54" s="3"/>
      <c r="YA54" s="3"/>
      <c r="YB54" s="3"/>
      <c r="YC54" s="3"/>
      <c r="YD54" s="3"/>
      <c r="YE54" s="3"/>
      <c r="YF54" s="3"/>
      <c r="YG54" s="3"/>
      <c r="YH54" s="3"/>
      <c r="YI54" s="3"/>
      <c r="YJ54" s="3"/>
      <c r="YK54" s="3"/>
      <c r="YL54" s="3"/>
      <c r="YM54" s="3"/>
      <c r="YN54" s="3"/>
      <c r="YO54" s="3"/>
      <c r="YP54" s="3"/>
      <c r="YQ54" s="3"/>
      <c r="YR54" s="3"/>
      <c r="YS54" s="3"/>
      <c r="YT54" s="3"/>
      <c r="YU54" s="3"/>
      <c r="YV54" s="3"/>
      <c r="YW54" s="3"/>
      <c r="YX54" s="3"/>
      <c r="YY54" s="3"/>
      <c r="YZ54" s="3"/>
      <c r="ZA54" s="3"/>
      <c r="ZB54" s="3"/>
      <c r="ZC54" s="3"/>
      <c r="ZD54" s="3"/>
      <c r="ZE54" s="3"/>
      <c r="ZF54" s="3"/>
      <c r="ZG54" s="3"/>
      <c r="ZH54" s="3"/>
      <c r="ZI54" s="3"/>
      <c r="ZJ54" s="3"/>
      <c r="ZK54" s="3"/>
      <c r="ZL54" s="3"/>
      <c r="ZM54" s="3"/>
      <c r="ZN54" s="3"/>
      <c r="ZO54" s="3"/>
      <c r="ZP54" s="3"/>
      <c r="ZQ54" s="3"/>
      <c r="ZR54" s="3"/>
      <c r="ZS54" s="3"/>
      <c r="ZT54" s="3"/>
      <c r="ZU54" s="3"/>
      <c r="ZV54" s="3"/>
      <c r="ZW54" s="3"/>
      <c r="ZX54" s="3"/>
      <c r="ZY54" s="3"/>
      <c r="ZZ54" s="3"/>
      <c r="AAA54" s="3"/>
      <c r="AAB54" s="3"/>
      <c r="AAC54" s="3"/>
      <c r="AAD54" s="3"/>
      <c r="AAE54" s="3"/>
      <c r="AAF54" s="3"/>
      <c r="AAG54" s="3"/>
      <c r="AAH54" s="3"/>
      <c r="AAI54" s="3"/>
      <c r="AAJ54" s="3"/>
      <c r="AAK54" s="3"/>
      <c r="AAL54" s="3"/>
      <c r="AAM54" s="3"/>
      <c r="AAN54" s="3"/>
      <c r="AAO54" s="3"/>
      <c r="AAP54" s="3"/>
      <c r="AAQ54" s="3"/>
      <c r="AAR54" s="3"/>
      <c r="AAS54" s="3"/>
      <c r="AAT54" s="3"/>
      <c r="AAU54" s="3"/>
      <c r="AAV54" s="3"/>
      <c r="AAW54" s="3"/>
      <c r="AAX54" s="3"/>
      <c r="AAY54" s="3"/>
      <c r="AAZ54" s="3"/>
      <c r="ABA54" s="3"/>
      <c r="ABB54" s="3"/>
      <c r="ABC54" s="3"/>
      <c r="ABD54" s="3"/>
      <c r="ABE54" s="3"/>
      <c r="ABF54" s="3"/>
      <c r="ABG54" s="3"/>
      <c r="ABH54" s="3"/>
      <c r="ABI54" s="3"/>
      <c r="ABJ54" s="3"/>
      <c r="ABK54" s="3"/>
      <c r="ABL54" s="3"/>
      <c r="ABM54" s="3"/>
      <c r="ABN54" s="3"/>
      <c r="ABO54" s="3"/>
      <c r="ABP54" s="3"/>
      <c r="ABQ54" s="3"/>
      <c r="ABR54" s="3"/>
      <c r="ABS54" s="3"/>
      <c r="ABT54" s="3"/>
      <c r="ABU54" s="3"/>
      <c r="ABV54" s="3"/>
      <c r="ABW54" s="3"/>
      <c r="ABX54" s="3"/>
      <c r="ABY54" s="3"/>
      <c r="ABZ54" s="3"/>
      <c r="ACA54" s="3"/>
      <c r="ACB54" s="3"/>
      <c r="ACC54" s="3"/>
      <c r="ACD54" s="3"/>
      <c r="ACE54" s="3"/>
      <c r="ACF54" s="3"/>
      <c r="ACG54" s="3"/>
      <c r="ACH54" s="3"/>
      <c r="ACI54" s="3"/>
      <c r="ACJ54" s="3"/>
      <c r="ACK54" s="3"/>
      <c r="ACL54" s="3"/>
      <c r="ACM54" s="3"/>
      <c r="ACN54" s="3"/>
      <c r="ACO54" s="3"/>
      <c r="ACP54" s="3"/>
    </row>
    <row r="55" spans="1:770" s="248" customFormat="1">
      <c r="A55" s="292" t="e">
        <f>+#REF!+1</f>
        <v>#REF!</v>
      </c>
      <c r="B55" s="419" t="str">
        <f>+'Nomina Proquima'!B12</f>
        <v>Alvarez Fajardo Erick Geovanni</v>
      </c>
      <c r="C55" s="367">
        <v>16265050453526</v>
      </c>
      <c r="D55" s="401"/>
      <c r="E55" s="1120" t="str">
        <f>+'Nomina Proquima'!B12</f>
        <v>Alvarez Fajardo Erick Geovanni</v>
      </c>
      <c r="F55" s="244" t="str">
        <f>VLOOKUP(B55,distribucion!B$9:FK$200,2,0)</f>
        <v>Piloto</v>
      </c>
      <c r="G55" s="244">
        <f>ROUND((VLOOKUP($B55,'Nomina Proquima'!$B$4:$AB$145,4,0)),2)</f>
        <v>9</v>
      </c>
      <c r="H55" s="245">
        <f>ROUND((VLOOKUP($B55,'Nomina Proquima'!$B$4:$AB$145,6,0)),2)</f>
        <v>949.91</v>
      </c>
      <c r="I55" s="245">
        <f>ROUND((VLOOKUP($B55,'Nomina Proquima'!$B$4:$AB$145,7,0)),2)</f>
        <v>462.23</v>
      </c>
      <c r="J55" s="245">
        <f>ROUND((VLOOKUP($B55,'Nomina Proquima'!$B$4:$AB$145,9,0)),2)</f>
        <v>0</v>
      </c>
      <c r="K55" s="245">
        <f>ROUND((VLOOKUP($B55,'Nomina Proquima'!$B$4:$AB$145,10,0)),2)</f>
        <v>0</v>
      </c>
      <c r="L55" s="245">
        <f>ROUND((VLOOKUP($B55,'Nomina Proquima'!$B$4:$AB$145,11,0)),2)</f>
        <v>0</v>
      </c>
      <c r="M55" s="245">
        <f>ROUND((VLOOKUP($B55,'Nomina Proquima'!$B$4:$AB$145,12,0)),2)</f>
        <v>0</v>
      </c>
      <c r="N55" s="245">
        <f>ROUND((VLOOKUP($B55,'Nomina Proquima'!$B$4:$AB$145,13,0)),2)</f>
        <v>0</v>
      </c>
      <c r="O55" s="245">
        <f>ROUND((VLOOKUP($B55,'Nomina Proquima'!$B$4:$AB$145,14,0)),2)</f>
        <v>1412.14</v>
      </c>
      <c r="P55" s="245">
        <f>ROUND((VLOOKUP($B55,'Nomina Proquima'!$B$4:$AB$145,15,0)),2)</f>
        <v>45.88</v>
      </c>
      <c r="Q55" s="245">
        <f>ROUND((VLOOKUP($B55,'Nomina Proquima'!$B$4:$AB$145,16,0)),2)</f>
        <v>0</v>
      </c>
      <c r="R55" s="245">
        <f>ROUND((VLOOKUP($B55,'Nomina Proquima'!$B$4:$AB$145,17,0)),2)</f>
        <v>0</v>
      </c>
      <c r="S55" s="245">
        <f>ROUND((VLOOKUP($B55,'Nomina Proquima'!$B$4:$AB$145,18,0)),2)</f>
        <v>0</v>
      </c>
      <c r="T55" s="245">
        <f>ROUND((VLOOKUP($B55,'Nomina Proquima'!$B$4:$AB$145,19,0)),2)</f>
        <v>0</v>
      </c>
      <c r="U55" s="245">
        <f>ROUND((VLOOKUP($B55,'Nomina Proquima'!$B$4:$AB$145,20,0)),2)</f>
        <v>0</v>
      </c>
      <c r="V55" s="245">
        <f>ROUND((VLOOKUP($B55,'Nomina Proquima'!$B$4:$AB$145,21,0)),2)</f>
        <v>0</v>
      </c>
      <c r="W55" s="245">
        <f>ROUND((VLOOKUP($B55,'Nomina Proquima'!$B$4:$AB$145,22,0)),2)</f>
        <v>0</v>
      </c>
      <c r="X55" s="245">
        <f>ROUND((VLOOKUP($B55,'Nomina Proquima'!$B$4:$AB$145,23,0)),2)</f>
        <v>45.88</v>
      </c>
      <c r="Y55" s="234">
        <f>ROUND((VLOOKUP($B55,'Nomina Proquima'!$B$4:$AB$147,24,0)),2)</f>
        <v>1366.26</v>
      </c>
      <c r="Z55" s="399">
        <f>VLOOKUP(B55,'Nomina Proquima'!$B$4:$AA$148,25,0)</f>
        <v>1366.2599999999998</v>
      </c>
      <c r="AA55" s="405">
        <f>ROUND((VLOOKUP($B55,'Nomina Proquima'!$B$4:$AB$145,26,0)),2)</f>
        <v>0</v>
      </c>
      <c r="AB55" s="246"/>
      <c r="AC55" s="247"/>
      <c r="AD55" s="3">
        <v>184345122</v>
      </c>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c r="IW55" s="3"/>
      <c r="IX55" s="3"/>
      <c r="IY55" s="3"/>
      <c r="IZ55" s="3"/>
      <c r="JA55" s="3"/>
      <c r="JB55" s="3"/>
      <c r="JC55" s="3"/>
      <c r="JD55" s="3"/>
      <c r="JE55" s="3"/>
      <c r="JF55" s="3"/>
      <c r="JG55" s="3"/>
      <c r="JH55" s="3"/>
      <c r="JI55" s="3"/>
      <c r="JJ55" s="3"/>
      <c r="JK55" s="3"/>
      <c r="JL55" s="3"/>
      <c r="JM55" s="3"/>
      <c r="JN55" s="3"/>
      <c r="JO55" s="3"/>
      <c r="JP55" s="3"/>
      <c r="JQ55" s="3"/>
      <c r="JR55" s="3"/>
      <c r="JS55" s="3"/>
      <c r="JT55" s="3"/>
      <c r="JU55" s="3"/>
      <c r="JV55" s="3"/>
      <c r="JW55" s="3"/>
      <c r="JX55" s="3"/>
      <c r="JY55" s="3"/>
      <c r="JZ55" s="3"/>
      <c r="KA55" s="3"/>
      <c r="KB55" s="3"/>
      <c r="KC55" s="3"/>
      <c r="KD55" s="3"/>
      <c r="KE55" s="3"/>
      <c r="KF55" s="3"/>
      <c r="KG55" s="3"/>
      <c r="KH55" s="3"/>
      <c r="KI55" s="3"/>
      <c r="KJ55" s="3"/>
      <c r="KK55" s="3"/>
      <c r="KL55" s="3"/>
      <c r="KM55" s="3"/>
      <c r="KN55" s="3"/>
      <c r="KO55" s="3"/>
      <c r="KP55" s="3"/>
      <c r="KQ55" s="3"/>
      <c r="KR55" s="3"/>
      <c r="KS55" s="3"/>
      <c r="KT55" s="3"/>
      <c r="KU55" s="3"/>
      <c r="KV55" s="3"/>
      <c r="KW55" s="3"/>
      <c r="KX55" s="3"/>
      <c r="KY55" s="3"/>
      <c r="KZ55" s="3"/>
      <c r="LA55" s="3"/>
      <c r="LB55" s="3"/>
      <c r="LC55" s="3"/>
      <c r="LD55" s="3"/>
      <c r="LE55" s="3"/>
      <c r="LF55" s="3"/>
      <c r="LG55" s="3"/>
      <c r="LH55" s="3"/>
      <c r="LI55" s="3"/>
      <c r="LJ55" s="3"/>
      <c r="LK55" s="3"/>
      <c r="LL55" s="3"/>
      <c r="LM55" s="3"/>
      <c r="LN55" s="3"/>
      <c r="LO55" s="3"/>
      <c r="LP55" s="3"/>
      <c r="LQ55" s="3"/>
      <c r="LR55" s="3"/>
      <c r="LS55" s="3"/>
      <c r="LT55" s="3"/>
      <c r="LU55" s="3"/>
      <c r="LV55" s="3"/>
      <c r="LW55" s="3"/>
      <c r="LX55" s="3"/>
      <c r="LY55" s="3"/>
      <c r="LZ55" s="3"/>
      <c r="MA55" s="3"/>
      <c r="MB55" s="3"/>
      <c r="MC55" s="3"/>
      <c r="MD55" s="3"/>
      <c r="ME55" s="3"/>
      <c r="MF55" s="3"/>
      <c r="MG55" s="3"/>
      <c r="MH55" s="3"/>
      <c r="MI55" s="3"/>
      <c r="MJ55" s="3"/>
      <c r="MK55" s="3"/>
      <c r="ML55" s="3"/>
      <c r="MM55" s="3"/>
      <c r="MN55" s="3"/>
      <c r="MO55" s="3"/>
      <c r="MP55" s="3"/>
      <c r="MQ55" s="3"/>
      <c r="MR55" s="3"/>
      <c r="MS55" s="3"/>
      <c r="MT55" s="3"/>
      <c r="MU55" s="3"/>
      <c r="MV55" s="3"/>
      <c r="MW55" s="3"/>
      <c r="MX55" s="3"/>
      <c r="MY55" s="3"/>
      <c r="MZ55" s="3"/>
      <c r="NA55" s="3"/>
      <c r="NB55" s="3"/>
      <c r="NC55" s="3"/>
      <c r="ND55" s="3"/>
      <c r="NE55" s="3"/>
      <c r="NF55" s="3"/>
      <c r="NG55" s="3"/>
      <c r="NH55" s="3"/>
      <c r="NI55" s="3"/>
      <c r="NJ55" s="3"/>
      <c r="NK55" s="3"/>
      <c r="NL55" s="3"/>
      <c r="NM55" s="3"/>
      <c r="NN55" s="3"/>
      <c r="NO55" s="3"/>
      <c r="NP55" s="3"/>
      <c r="NQ55" s="3"/>
      <c r="NR55" s="3"/>
      <c r="NS55" s="3"/>
      <c r="NT55" s="3"/>
      <c r="NU55" s="3"/>
      <c r="NV55" s="3"/>
      <c r="NW55" s="3"/>
      <c r="NX55" s="3"/>
      <c r="NY55" s="3"/>
      <c r="NZ55" s="3"/>
      <c r="OA55" s="3"/>
      <c r="OB55" s="3"/>
      <c r="OC55" s="3"/>
      <c r="OD55" s="3"/>
      <c r="OE55" s="3"/>
      <c r="OF55" s="3"/>
      <c r="OG55" s="3"/>
      <c r="OH55" s="3"/>
      <c r="OI55" s="3"/>
      <c r="OJ55" s="3"/>
      <c r="OK55" s="3"/>
      <c r="OL55" s="3"/>
      <c r="OM55" s="3"/>
      <c r="ON55" s="3"/>
      <c r="OO55" s="3"/>
      <c r="OP55" s="3"/>
      <c r="OQ55" s="3"/>
      <c r="OR55" s="3"/>
      <c r="OS55" s="3"/>
      <c r="OT55" s="3"/>
      <c r="OU55" s="3"/>
      <c r="OV55" s="3"/>
      <c r="OW55" s="3"/>
      <c r="OX55" s="3"/>
      <c r="OY55" s="3"/>
      <c r="OZ55" s="3"/>
      <c r="PA55" s="3"/>
      <c r="PB55" s="3"/>
      <c r="PC55" s="3"/>
      <c r="PD55" s="3"/>
      <c r="PE55" s="3"/>
      <c r="PF55" s="3"/>
      <c r="PG55" s="3"/>
      <c r="PH55" s="3"/>
      <c r="PI55" s="3"/>
      <c r="PJ55" s="3"/>
      <c r="PK55" s="3"/>
      <c r="PL55" s="3"/>
      <c r="PM55" s="3"/>
      <c r="PN55" s="3"/>
      <c r="PO55" s="3"/>
      <c r="PP55" s="3"/>
      <c r="PQ55" s="3"/>
      <c r="PR55" s="3"/>
      <c r="PS55" s="3"/>
      <c r="PT55" s="3"/>
      <c r="PU55" s="3"/>
      <c r="PV55" s="3"/>
      <c r="PW55" s="3"/>
      <c r="PX55" s="3"/>
      <c r="PY55" s="3"/>
      <c r="PZ55" s="3"/>
      <c r="QA55" s="3"/>
      <c r="QB55" s="3"/>
      <c r="QC55" s="3"/>
      <c r="QD55" s="3"/>
      <c r="QE55" s="3"/>
      <c r="QF55" s="3"/>
      <c r="QG55" s="3"/>
      <c r="QH55" s="3"/>
      <c r="QI55" s="3"/>
      <c r="QJ55" s="3"/>
      <c r="QK55" s="3"/>
      <c r="QL55" s="3"/>
      <c r="QM55" s="3"/>
      <c r="QN55" s="3"/>
      <c r="QO55" s="3"/>
      <c r="QP55" s="3"/>
      <c r="QQ55" s="3"/>
      <c r="QR55" s="3"/>
      <c r="QS55" s="3"/>
      <c r="QT55" s="3"/>
      <c r="QU55" s="3"/>
      <c r="QV55" s="3"/>
      <c r="QW55" s="3"/>
      <c r="QX55" s="3"/>
      <c r="QY55" s="3"/>
      <c r="QZ55" s="3"/>
      <c r="RA55" s="3"/>
      <c r="RB55" s="3"/>
      <c r="RC55" s="3"/>
      <c r="RD55" s="3"/>
      <c r="RE55" s="3"/>
      <c r="RF55" s="3"/>
      <c r="RG55" s="3"/>
      <c r="RH55" s="3"/>
      <c r="RI55" s="3"/>
      <c r="RJ55" s="3"/>
      <c r="RK55" s="3"/>
      <c r="RL55" s="3"/>
      <c r="RM55" s="3"/>
      <c r="RN55" s="3"/>
      <c r="RO55" s="3"/>
      <c r="RP55" s="3"/>
      <c r="RQ55" s="3"/>
      <c r="RR55" s="3"/>
      <c r="RS55" s="3"/>
      <c r="RT55" s="3"/>
      <c r="RU55" s="3"/>
      <c r="RV55" s="3"/>
      <c r="RW55" s="3"/>
      <c r="RX55" s="3"/>
      <c r="RY55" s="3"/>
      <c r="RZ55" s="3"/>
      <c r="SA55" s="3"/>
      <c r="SB55" s="3"/>
      <c r="SC55" s="3"/>
      <c r="SD55" s="3"/>
      <c r="SE55" s="3"/>
      <c r="SF55" s="3"/>
      <c r="SG55" s="3"/>
      <c r="SH55" s="3"/>
      <c r="SI55" s="3"/>
      <c r="SJ55" s="3"/>
      <c r="SK55" s="3"/>
      <c r="SL55" s="3"/>
      <c r="SM55" s="3"/>
      <c r="SN55" s="3"/>
      <c r="SO55" s="3"/>
      <c r="SP55" s="3"/>
      <c r="SQ55" s="3"/>
      <c r="SR55" s="3"/>
      <c r="SS55" s="3"/>
      <c r="ST55" s="3"/>
      <c r="SU55" s="3"/>
      <c r="SV55" s="3"/>
      <c r="SW55" s="3"/>
      <c r="SX55" s="3"/>
      <c r="SY55" s="3"/>
      <c r="SZ55" s="3"/>
      <c r="TA55" s="3"/>
      <c r="TB55" s="3"/>
      <c r="TC55" s="3"/>
      <c r="TD55" s="3"/>
      <c r="TE55" s="3"/>
      <c r="TF55" s="3"/>
      <c r="TG55" s="3"/>
      <c r="TH55" s="3"/>
      <c r="TI55" s="3"/>
      <c r="TJ55" s="3"/>
      <c r="TK55" s="3"/>
      <c r="TL55" s="3"/>
      <c r="TM55" s="3"/>
      <c r="TN55" s="3"/>
      <c r="TO55" s="3"/>
      <c r="TP55" s="3"/>
      <c r="TQ55" s="3"/>
      <c r="TR55" s="3"/>
      <c r="TS55" s="3"/>
      <c r="TT55" s="3"/>
      <c r="TU55" s="3"/>
      <c r="TV55" s="3"/>
      <c r="TW55" s="3"/>
      <c r="TX55" s="3"/>
      <c r="TY55" s="3"/>
      <c r="TZ55" s="3"/>
      <c r="UA55" s="3"/>
      <c r="UB55" s="3"/>
      <c r="UC55" s="3"/>
      <c r="UD55" s="3"/>
      <c r="UE55" s="3"/>
      <c r="UF55" s="3"/>
      <c r="UG55" s="3"/>
      <c r="UH55" s="3"/>
      <c r="UI55" s="3"/>
      <c r="UJ55" s="3"/>
      <c r="UK55" s="3"/>
      <c r="UL55" s="3"/>
      <c r="UM55" s="3"/>
      <c r="UN55" s="3"/>
      <c r="UO55" s="3"/>
      <c r="UP55" s="3"/>
      <c r="UQ55" s="3"/>
      <c r="UR55" s="3"/>
      <c r="US55" s="3"/>
      <c r="UT55" s="3"/>
      <c r="UU55" s="3"/>
      <c r="UV55" s="3"/>
      <c r="UW55" s="3"/>
      <c r="UX55" s="3"/>
      <c r="UY55" s="3"/>
      <c r="UZ55" s="3"/>
      <c r="VA55" s="3"/>
      <c r="VB55" s="3"/>
      <c r="VC55" s="3"/>
      <c r="VD55" s="3"/>
      <c r="VE55" s="3"/>
      <c r="VF55" s="3"/>
      <c r="VG55" s="3"/>
      <c r="VH55" s="3"/>
      <c r="VI55" s="3"/>
      <c r="VJ55" s="3"/>
      <c r="VK55" s="3"/>
      <c r="VL55" s="3"/>
      <c r="VM55" s="3"/>
      <c r="VN55" s="3"/>
      <c r="VO55" s="3"/>
      <c r="VP55" s="3"/>
      <c r="VQ55" s="3"/>
      <c r="VR55" s="3"/>
      <c r="VS55" s="3"/>
      <c r="VT55" s="3"/>
      <c r="VU55" s="3"/>
      <c r="VV55" s="3"/>
      <c r="VW55" s="3"/>
      <c r="VX55" s="3"/>
      <c r="VY55" s="3"/>
      <c r="VZ55" s="3"/>
      <c r="WA55" s="3"/>
      <c r="WB55" s="3"/>
      <c r="WC55" s="3"/>
      <c r="WD55" s="3"/>
      <c r="WE55" s="3"/>
      <c r="WF55" s="3"/>
      <c r="WG55" s="3"/>
      <c r="WH55" s="3"/>
      <c r="WI55" s="3"/>
      <c r="WJ55" s="3"/>
      <c r="WK55" s="3"/>
      <c r="WL55" s="3"/>
      <c r="WM55" s="3"/>
      <c r="WN55" s="3"/>
      <c r="WO55" s="3"/>
      <c r="WP55" s="3"/>
      <c r="WQ55" s="3"/>
      <c r="WR55" s="3"/>
      <c r="WS55" s="3"/>
      <c r="WT55" s="3"/>
      <c r="WU55" s="3"/>
      <c r="WV55" s="3"/>
      <c r="WW55" s="3"/>
      <c r="WX55" s="3"/>
      <c r="WY55" s="3"/>
      <c r="WZ55" s="3"/>
      <c r="XA55" s="3"/>
      <c r="XB55" s="3"/>
      <c r="XC55" s="3"/>
      <c r="XD55" s="3"/>
      <c r="XE55" s="3"/>
      <c r="XF55" s="3"/>
      <c r="XG55" s="3"/>
      <c r="XH55" s="3"/>
      <c r="XI55" s="3"/>
      <c r="XJ55" s="3"/>
      <c r="XK55" s="3"/>
      <c r="XL55" s="3"/>
      <c r="XM55" s="3"/>
      <c r="XN55" s="3"/>
      <c r="XO55" s="3"/>
      <c r="XP55" s="3"/>
      <c r="XQ55" s="3"/>
      <c r="XR55" s="3"/>
      <c r="XS55" s="3"/>
      <c r="XT55" s="3"/>
      <c r="XU55" s="3"/>
      <c r="XV55" s="3"/>
      <c r="XW55" s="3"/>
      <c r="XX55" s="3"/>
      <c r="XY55" s="3"/>
      <c r="XZ55" s="3"/>
      <c r="YA55" s="3"/>
      <c r="YB55" s="3"/>
      <c r="YC55" s="3"/>
      <c r="YD55" s="3"/>
      <c r="YE55" s="3"/>
      <c r="YF55" s="3"/>
      <c r="YG55" s="3"/>
      <c r="YH55" s="3"/>
      <c r="YI55" s="3"/>
      <c r="YJ55" s="3"/>
      <c r="YK55" s="3"/>
      <c r="YL55" s="3"/>
      <c r="YM55" s="3"/>
      <c r="YN55" s="3"/>
      <c r="YO55" s="3"/>
      <c r="YP55" s="3"/>
      <c r="YQ55" s="3"/>
      <c r="YR55" s="3"/>
      <c r="YS55" s="3"/>
      <c r="YT55" s="3"/>
      <c r="YU55" s="3"/>
      <c r="YV55" s="3"/>
      <c r="YW55" s="3"/>
      <c r="YX55" s="3"/>
      <c r="YY55" s="3"/>
      <c r="YZ55" s="3"/>
      <c r="ZA55" s="3"/>
      <c r="ZB55" s="3"/>
      <c r="ZC55" s="3"/>
      <c r="ZD55" s="3"/>
      <c r="ZE55" s="3"/>
      <c r="ZF55" s="3"/>
      <c r="ZG55" s="3"/>
      <c r="ZH55" s="3"/>
      <c r="ZI55" s="3"/>
      <c r="ZJ55" s="3"/>
      <c r="ZK55" s="3"/>
      <c r="ZL55" s="3"/>
      <c r="ZM55" s="3"/>
      <c r="ZN55" s="3"/>
      <c r="ZO55" s="3"/>
      <c r="ZP55" s="3"/>
      <c r="ZQ55" s="3"/>
      <c r="ZR55" s="3"/>
      <c r="ZS55" s="3"/>
      <c r="ZT55" s="3"/>
      <c r="ZU55" s="3"/>
      <c r="ZV55" s="3"/>
      <c r="ZW55" s="3"/>
      <c r="ZX55" s="3"/>
      <c r="ZY55" s="3"/>
      <c r="ZZ55" s="3"/>
      <c r="AAA55" s="3"/>
      <c r="AAB55" s="3"/>
      <c r="AAC55" s="3"/>
      <c r="AAD55" s="3"/>
      <c r="AAE55" s="3"/>
      <c r="AAF55" s="3"/>
      <c r="AAG55" s="3"/>
      <c r="AAH55" s="3"/>
      <c r="AAI55" s="3"/>
      <c r="AAJ55" s="3"/>
      <c r="AAK55" s="3"/>
      <c r="AAL55" s="3"/>
      <c r="AAM55" s="3"/>
      <c r="AAN55" s="3"/>
      <c r="AAO55" s="3"/>
      <c r="AAP55" s="3"/>
      <c r="AAQ55" s="3"/>
      <c r="AAR55" s="3"/>
      <c r="AAS55" s="3"/>
      <c r="AAT55" s="3"/>
      <c r="AAU55" s="3"/>
      <c r="AAV55" s="3"/>
      <c r="AAW55" s="3"/>
      <c r="AAX55" s="3"/>
      <c r="AAY55" s="3"/>
      <c r="AAZ55" s="3"/>
      <c r="ABA55" s="3"/>
      <c r="ABB55" s="3"/>
      <c r="ABC55" s="3"/>
      <c r="ABD55" s="3"/>
      <c r="ABE55" s="3"/>
      <c r="ABF55" s="3"/>
      <c r="ABG55" s="3"/>
      <c r="ABH55" s="3"/>
      <c r="ABI55" s="3"/>
      <c r="ABJ55" s="3"/>
      <c r="ABK55" s="3"/>
      <c r="ABL55" s="3"/>
      <c r="ABM55" s="3"/>
      <c r="ABN55" s="3"/>
      <c r="ABO55" s="3"/>
      <c r="ABP55" s="3"/>
      <c r="ABQ55" s="3"/>
      <c r="ABR55" s="3"/>
      <c r="ABS55" s="3"/>
      <c r="ABT55" s="3"/>
      <c r="ABU55" s="3"/>
      <c r="ABV55" s="3"/>
      <c r="ABW55" s="3"/>
      <c r="ABX55" s="3"/>
      <c r="ABY55" s="3"/>
      <c r="ABZ55" s="3"/>
      <c r="ACA55" s="3"/>
      <c r="ACB55" s="3"/>
      <c r="ACC55" s="3"/>
      <c r="ACD55" s="3"/>
      <c r="ACE55" s="3"/>
      <c r="ACF55" s="3"/>
      <c r="ACG55" s="3"/>
      <c r="ACH55" s="3"/>
      <c r="ACI55" s="3"/>
      <c r="ACJ55" s="3"/>
      <c r="ACK55" s="3"/>
      <c r="ACL55" s="3"/>
      <c r="ACM55" s="3"/>
      <c r="ACN55" s="3"/>
      <c r="ACO55" s="3"/>
      <c r="ACP55" s="3"/>
    </row>
    <row r="56" spans="1:770" s="248" customFormat="1">
      <c r="A56" s="292" t="e">
        <f>+#REF!+1</f>
        <v>#REF!</v>
      </c>
      <c r="B56" s="419" t="str">
        <f>+'Nomina Proquima'!B112</f>
        <v>Sanabria Cardona Yuidin Franklin</v>
      </c>
      <c r="C56" s="1922">
        <v>16265050453542</v>
      </c>
      <c r="D56" s="401"/>
      <c r="E56" s="1120" t="str">
        <f>+'Nomina Proquima'!B112</f>
        <v>Sanabria Cardona Yuidin Franklin</v>
      </c>
      <c r="F56" s="244" t="str">
        <f>VLOOKUP(B56,distribucion!B$9:FK$200,2,0)</f>
        <v>Auxiliar de Bodega</v>
      </c>
      <c r="G56" s="244">
        <f>ROUND((VLOOKUP($B56,'Nomina Proquima'!$B$4:$AB$145,4,0)),2)</f>
        <v>30</v>
      </c>
      <c r="H56" s="245">
        <f>ROUND((VLOOKUP($B56,'Nomina Proquima'!$B$4:$AB$145,6,0)),2)</f>
        <v>3166.38</v>
      </c>
      <c r="I56" s="245">
        <f>ROUND((VLOOKUP($B56,'Nomina Proquima'!$B$4:$AB$145,7,0)),2)</f>
        <v>790</v>
      </c>
      <c r="J56" s="245">
        <f>ROUND((VLOOKUP($B56,'Nomina Proquima'!$B$4:$AB$145,9,0)),2)</f>
        <v>31</v>
      </c>
      <c r="K56" s="245">
        <f>ROUND((VLOOKUP($B56,'Nomina Proquima'!$B$4:$AB$145,10,0)),2)</f>
        <v>613.49</v>
      </c>
      <c r="L56" s="245">
        <f>ROUND((VLOOKUP($B56,'Nomina Proquima'!$B$4:$AB$145,11,0)),2)</f>
        <v>0</v>
      </c>
      <c r="M56" s="245">
        <f>ROUND((VLOOKUP($B56,'Nomina Proquima'!$B$4:$AB$145,12,0)),2)</f>
        <v>0</v>
      </c>
      <c r="N56" s="245">
        <f>ROUND((VLOOKUP($B56,'Nomina Proquima'!$B$4:$AB$145,13,0)),2)</f>
        <v>0</v>
      </c>
      <c r="O56" s="245">
        <f>ROUND((VLOOKUP($B56,'Nomina Proquima'!$B$4:$AB$145,14,0)),2)</f>
        <v>4569.87</v>
      </c>
      <c r="P56" s="245">
        <f>ROUND((VLOOKUP($B56,'Nomina Proquima'!$B$4:$AB$145,15,0)),2)</f>
        <v>182.57</v>
      </c>
      <c r="Q56" s="245">
        <f>ROUND((VLOOKUP($B56,'Nomina Proquima'!$B$4:$AB$145,16,0)),2)</f>
        <v>0</v>
      </c>
      <c r="R56" s="245">
        <f>ROUND((VLOOKUP($B56,'Nomina Proquima'!$B$4:$AB$145,17,0)),2)</f>
        <v>0</v>
      </c>
      <c r="S56" s="245">
        <f>ROUND((VLOOKUP($B56,'Nomina Proquima'!$B$4:$AB$145,18,0)),2)</f>
        <v>0</v>
      </c>
      <c r="T56" s="245">
        <f>ROUND((VLOOKUP($B56,'Nomina Proquima'!$B$4:$AB$145,19,0)),2)</f>
        <v>0</v>
      </c>
      <c r="U56" s="245">
        <f>ROUND((VLOOKUP($B56,'Nomina Proquima'!$B$4:$AB$145,20,0)),2)</f>
        <v>0</v>
      </c>
      <c r="V56" s="245">
        <f>ROUND((VLOOKUP($B56,'Nomina Proquima'!$B$4:$AB$145,21,0)),2)</f>
        <v>74</v>
      </c>
      <c r="W56" s="245">
        <f>ROUND((VLOOKUP($B56,'Nomina Proquima'!$B$4:$AB$145,22,0)),2)</f>
        <v>50</v>
      </c>
      <c r="X56" s="245">
        <f>ROUND((VLOOKUP($B56,'Nomina Proquima'!$B$4:$AB$145,23,0)),2)</f>
        <v>306.57</v>
      </c>
      <c r="Y56" s="234">
        <f>ROUND((VLOOKUP($B56,'Nomina Proquima'!$B$4:$AB$147,24,0)),2)</f>
        <v>4263.3</v>
      </c>
      <c r="Z56" s="399">
        <f>VLOOKUP(B56,'Nomina Proquima'!$B$4:$AA$148,25,0)</f>
        <v>1631.72</v>
      </c>
      <c r="AA56" s="405">
        <f>ROUND((VLOOKUP($B56,'Nomina Proquima'!$B$4:$AB$145,26,0)),2)</f>
        <v>2631.58</v>
      </c>
      <c r="AB56" s="246"/>
      <c r="AC56" s="247"/>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c r="IY56" s="3"/>
      <c r="IZ56" s="3"/>
      <c r="JA56" s="3"/>
      <c r="JB56" s="3"/>
      <c r="JC56" s="3"/>
      <c r="JD56" s="3"/>
      <c r="JE56" s="3"/>
      <c r="JF56" s="3"/>
      <c r="JG56" s="3"/>
      <c r="JH56" s="3"/>
      <c r="JI56" s="3"/>
      <c r="JJ56" s="3"/>
      <c r="JK56" s="3"/>
      <c r="JL56" s="3"/>
      <c r="JM56" s="3"/>
      <c r="JN56" s="3"/>
      <c r="JO56" s="3"/>
      <c r="JP56" s="3"/>
      <c r="JQ56" s="3"/>
      <c r="JR56" s="3"/>
      <c r="JS56" s="3"/>
      <c r="JT56" s="3"/>
      <c r="JU56" s="3"/>
      <c r="JV56" s="3"/>
      <c r="JW56" s="3"/>
      <c r="JX56" s="3"/>
      <c r="JY56" s="3"/>
      <c r="JZ56" s="3"/>
      <c r="KA56" s="3"/>
      <c r="KB56" s="3"/>
      <c r="KC56" s="3"/>
      <c r="KD56" s="3"/>
      <c r="KE56" s="3"/>
      <c r="KF56" s="3"/>
      <c r="KG56" s="3"/>
      <c r="KH56" s="3"/>
      <c r="KI56" s="3"/>
      <c r="KJ56" s="3"/>
      <c r="KK56" s="3"/>
      <c r="KL56" s="3"/>
      <c r="KM56" s="3"/>
      <c r="KN56" s="3"/>
      <c r="KO56" s="3"/>
      <c r="KP56" s="3"/>
      <c r="KQ56" s="3"/>
      <c r="KR56" s="3"/>
      <c r="KS56" s="3"/>
      <c r="KT56" s="3"/>
      <c r="KU56" s="3"/>
      <c r="KV56" s="3"/>
      <c r="KW56" s="3"/>
      <c r="KX56" s="3"/>
      <c r="KY56" s="3"/>
      <c r="KZ56" s="3"/>
      <c r="LA56" s="3"/>
      <c r="LB56" s="3"/>
      <c r="LC56" s="3"/>
      <c r="LD56" s="3"/>
      <c r="LE56" s="3"/>
      <c r="LF56" s="3"/>
      <c r="LG56" s="3"/>
      <c r="LH56" s="3"/>
      <c r="LI56" s="3"/>
      <c r="LJ56" s="3"/>
      <c r="LK56" s="3"/>
      <c r="LL56" s="3"/>
      <c r="LM56" s="3"/>
      <c r="LN56" s="3"/>
      <c r="LO56" s="3"/>
      <c r="LP56" s="3"/>
      <c r="LQ56" s="3"/>
      <c r="LR56" s="3"/>
      <c r="LS56" s="3"/>
      <c r="LT56" s="3"/>
      <c r="LU56" s="3"/>
      <c r="LV56" s="3"/>
      <c r="LW56" s="3"/>
      <c r="LX56" s="3"/>
      <c r="LY56" s="3"/>
      <c r="LZ56" s="3"/>
      <c r="MA56" s="3"/>
      <c r="MB56" s="3"/>
      <c r="MC56" s="3"/>
      <c r="MD56" s="3"/>
      <c r="ME56" s="3"/>
      <c r="MF56" s="3"/>
      <c r="MG56" s="3"/>
      <c r="MH56" s="3"/>
      <c r="MI56" s="3"/>
      <c r="MJ56" s="3"/>
      <c r="MK56" s="3"/>
      <c r="ML56" s="3"/>
      <c r="MM56" s="3"/>
      <c r="MN56" s="3"/>
      <c r="MO56" s="3"/>
      <c r="MP56" s="3"/>
      <c r="MQ56" s="3"/>
      <c r="MR56" s="3"/>
      <c r="MS56" s="3"/>
      <c r="MT56" s="3"/>
      <c r="MU56" s="3"/>
      <c r="MV56" s="3"/>
      <c r="MW56" s="3"/>
      <c r="MX56" s="3"/>
      <c r="MY56" s="3"/>
      <c r="MZ56" s="3"/>
      <c r="NA56" s="3"/>
      <c r="NB56" s="3"/>
      <c r="NC56" s="3"/>
      <c r="ND56" s="3"/>
      <c r="NE56" s="3"/>
      <c r="NF56" s="3"/>
      <c r="NG56" s="3"/>
      <c r="NH56" s="3"/>
      <c r="NI56" s="3"/>
      <c r="NJ56" s="3"/>
      <c r="NK56" s="3"/>
      <c r="NL56" s="3"/>
      <c r="NM56" s="3"/>
      <c r="NN56" s="3"/>
      <c r="NO56" s="3"/>
      <c r="NP56" s="3"/>
      <c r="NQ56" s="3"/>
      <c r="NR56" s="3"/>
      <c r="NS56" s="3"/>
      <c r="NT56" s="3"/>
      <c r="NU56" s="3"/>
      <c r="NV56" s="3"/>
      <c r="NW56" s="3"/>
      <c r="NX56" s="3"/>
      <c r="NY56" s="3"/>
      <c r="NZ56" s="3"/>
      <c r="OA56" s="3"/>
      <c r="OB56" s="3"/>
      <c r="OC56" s="3"/>
      <c r="OD56" s="3"/>
      <c r="OE56" s="3"/>
      <c r="OF56" s="3"/>
      <c r="OG56" s="3"/>
      <c r="OH56" s="3"/>
      <c r="OI56" s="3"/>
      <c r="OJ56" s="3"/>
      <c r="OK56" s="3"/>
      <c r="OL56" s="3"/>
      <c r="OM56" s="3"/>
      <c r="ON56" s="3"/>
      <c r="OO56" s="3"/>
      <c r="OP56" s="3"/>
      <c r="OQ56" s="3"/>
      <c r="OR56" s="3"/>
      <c r="OS56" s="3"/>
      <c r="OT56" s="3"/>
      <c r="OU56" s="3"/>
      <c r="OV56" s="3"/>
      <c r="OW56" s="3"/>
      <c r="OX56" s="3"/>
      <c r="OY56" s="3"/>
      <c r="OZ56" s="3"/>
      <c r="PA56" s="3"/>
      <c r="PB56" s="3"/>
      <c r="PC56" s="3"/>
      <c r="PD56" s="3"/>
      <c r="PE56" s="3"/>
      <c r="PF56" s="3"/>
      <c r="PG56" s="3"/>
      <c r="PH56" s="3"/>
      <c r="PI56" s="3"/>
      <c r="PJ56" s="3"/>
      <c r="PK56" s="3"/>
      <c r="PL56" s="3"/>
      <c r="PM56" s="3"/>
      <c r="PN56" s="3"/>
      <c r="PO56" s="3"/>
      <c r="PP56" s="3"/>
      <c r="PQ56" s="3"/>
      <c r="PR56" s="3"/>
      <c r="PS56" s="3"/>
      <c r="PT56" s="3"/>
      <c r="PU56" s="3"/>
      <c r="PV56" s="3"/>
      <c r="PW56" s="3"/>
      <c r="PX56" s="3"/>
      <c r="PY56" s="3"/>
      <c r="PZ56" s="3"/>
      <c r="QA56" s="3"/>
      <c r="QB56" s="3"/>
      <c r="QC56" s="3"/>
      <c r="QD56" s="3"/>
      <c r="QE56" s="3"/>
      <c r="QF56" s="3"/>
      <c r="QG56" s="3"/>
      <c r="QH56" s="3"/>
      <c r="QI56" s="3"/>
      <c r="QJ56" s="3"/>
      <c r="QK56" s="3"/>
      <c r="QL56" s="3"/>
      <c r="QM56" s="3"/>
      <c r="QN56" s="3"/>
      <c r="QO56" s="3"/>
      <c r="QP56" s="3"/>
      <c r="QQ56" s="3"/>
      <c r="QR56" s="3"/>
      <c r="QS56" s="3"/>
      <c r="QT56" s="3"/>
      <c r="QU56" s="3"/>
      <c r="QV56" s="3"/>
      <c r="QW56" s="3"/>
      <c r="QX56" s="3"/>
      <c r="QY56" s="3"/>
      <c r="QZ56" s="3"/>
      <c r="RA56" s="3"/>
      <c r="RB56" s="3"/>
      <c r="RC56" s="3"/>
      <c r="RD56" s="3"/>
      <c r="RE56" s="3"/>
      <c r="RF56" s="3"/>
      <c r="RG56" s="3"/>
      <c r="RH56" s="3"/>
      <c r="RI56" s="3"/>
      <c r="RJ56" s="3"/>
      <c r="RK56" s="3"/>
      <c r="RL56" s="3"/>
      <c r="RM56" s="3"/>
      <c r="RN56" s="3"/>
      <c r="RO56" s="3"/>
      <c r="RP56" s="3"/>
      <c r="RQ56" s="3"/>
      <c r="RR56" s="3"/>
      <c r="RS56" s="3"/>
      <c r="RT56" s="3"/>
      <c r="RU56" s="3"/>
      <c r="RV56" s="3"/>
      <c r="RW56" s="3"/>
      <c r="RX56" s="3"/>
      <c r="RY56" s="3"/>
      <c r="RZ56" s="3"/>
      <c r="SA56" s="3"/>
      <c r="SB56" s="3"/>
      <c r="SC56" s="3"/>
      <c r="SD56" s="3"/>
      <c r="SE56" s="3"/>
      <c r="SF56" s="3"/>
      <c r="SG56" s="3"/>
      <c r="SH56" s="3"/>
      <c r="SI56" s="3"/>
      <c r="SJ56" s="3"/>
      <c r="SK56" s="3"/>
      <c r="SL56" s="3"/>
      <c r="SM56" s="3"/>
      <c r="SN56" s="3"/>
      <c r="SO56" s="3"/>
      <c r="SP56" s="3"/>
      <c r="SQ56" s="3"/>
      <c r="SR56" s="3"/>
      <c r="SS56" s="3"/>
      <c r="ST56" s="3"/>
      <c r="SU56" s="3"/>
      <c r="SV56" s="3"/>
      <c r="SW56" s="3"/>
      <c r="SX56" s="3"/>
      <c r="SY56" s="3"/>
      <c r="SZ56" s="3"/>
      <c r="TA56" s="3"/>
      <c r="TB56" s="3"/>
      <c r="TC56" s="3"/>
      <c r="TD56" s="3"/>
      <c r="TE56" s="3"/>
      <c r="TF56" s="3"/>
      <c r="TG56" s="3"/>
      <c r="TH56" s="3"/>
      <c r="TI56" s="3"/>
      <c r="TJ56" s="3"/>
      <c r="TK56" s="3"/>
      <c r="TL56" s="3"/>
      <c r="TM56" s="3"/>
      <c r="TN56" s="3"/>
      <c r="TO56" s="3"/>
      <c r="TP56" s="3"/>
      <c r="TQ56" s="3"/>
      <c r="TR56" s="3"/>
      <c r="TS56" s="3"/>
      <c r="TT56" s="3"/>
      <c r="TU56" s="3"/>
      <c r="TV56" s="3"/>
      <c r="TW56" s="3"/>
      <c r="TX56" s="3"/>
      <c r="TY56" s="3"/>
      <c r="TZ56" s="3"/>
      <c r="UA56" s="3"/>
      <c r="UB56" s="3"/>
      <c r="UC56" s="3"/>
      <c r="UD56" s="3"/>
      <c r="UE56" s="3"/>
      <c r="UF56" s="3"/>
      <c r="UG56" s="3"/>
      <c r="UH56" s="3"/>
      <c r="UI56" s="3"/>
      <c r="UJ56" s="3"/>
      <c r="UK56" s="3"/>
      <c r="UL56" s="3"/>
      <c r="UM56" s="3"/>
      <c r="UN56" s="3"/>
      <c r="UO56" s="3"/>
      <c r="UP56" s="3"/>
      <c r="UQ56" s="3"/>
      <c r="UR56" s="3"/>
      <c r="US56" s="3"/>
      <c r="UT56" s="3"/>
      <c r="UU56" s="3"/>
      <c r="UV56" s="3"/>
      <c r="UW56" s="3"/>
      <c r="UX56" s="3"/>
      <c r="UY56" s="3"/>
      <c r="UZ56" s="3"/>
      <c r="VA56" s="3"/>
      <c r="VB56" s="3"/>
      <c r="VC56" s="3"/>
      <c r="VD56" s="3"/>
      <c r="VE56" s="3"/>
      <c r="VF56" s="3"/>
      <c r="VG56" s="3"/>
      <c r="VH56" s="3"/>
      <c r="VI56" s="3"/>
      <c r="VJ56" s="3"/>
      <c r="VK56" s="3"/>
      <c r="VL56" s="3"/>
      <c r="VM56" s="3"/>
      <c r="VN56" s="3"/>
      <c r="VO56" s="3"/>
      <c r="VP56" s="3"/>
      <c r="VQ56" s="3"/>
      <c r="VR56" s="3"/>
      <c r="VS56" s="3"/>
      <c r="VT56" s="3"/>
      <c r="VU56" s="3"/>
      <c r="VV56" s="3"/>
      <c r="VW56" s="3"/>
      <c r="VX56" s="3"/>
      <c r="VY56" s="3"/>
      <c r="VZ56" s="3"/>
      <c r="WA56" s="3"/>
      <c r="WB56" s="3"/>
      <c r="WC56" s="3"/>
      <c r="WD56" s="3"/>
      <c r="WE56" s="3"/>
      <c r="WF56" s="3"/>
      <c r="WG56" s="3"/>
      <c r="WH56" s="3"/>
      <c r="WI56" s="3"/>
      <c r="WJ56" s="3"/>
      <c r="WK56" s="3"/>
      <c r="WL56" s="3"/>
      <c r="WM56" s="3"/>
      <c r="WN56" s="3"/>
      <c r="WO56" s="3"/>
      <c r="WP56" s="3"/>
      <c r="WQ56" s="3"/>
      <c r="WR56" s="3"/>
      <c r="WS56" s="3"/>
      <c r="WT56" s="3"/>
      <c r="WU56" s="3"/>
      <c r="WV56" s="3"/>
      <c r="WW56" s="3"/>
      <c r="WX56" s="3"/>
      <c r="WY56" s="3"/>
      <c r="WZ56" s="3"/>
      <c r="XA56" s="3"/>
      <c r="XB56" s="3"/>
      <c r="XC56" s="3"/>
      <c r="XD56" s="3"/>
      <c r="XE56" s="3"/>
      <c r="XF56" s="3"/>
      <c r="XG56" s="3"/>
      <c r="XH56" s="3"/>
      <c r="XI56" s="3"/>
      <c r="XJ56" s="3"/>
      <c r="XK56" s="3"/>
      <c r="XL56" s="3"/>
      <c r="XM56" s="3"/>
      <c r="XN56" s="3"/>
      <c r="XO56" s="3"/>
      <c r="XP56" s="3"/>
      <c r="XQ56" s="3"/>
      <c r="XR56" s="3"/>
      <c r="XS56" s="3"/>
      <c r="XT56" s="3"/>
      <c r="XU56" s="3"/>
      <c r="XV56" s="3"/>
      <c r="XW56" s="3"/>
      <c r="XX56" s="3"/>
      <c r="XY56" s="3"/>
      <c r="XZ56" s="3"/>
      <c r="YA56" s="3"/>
      <c r="YB56" s="3"/>
      <c r="YC56" s="3"/>
      <c r="YD56" s="3"/>
      <c r="YE56" s="3"/>
      <c r="YF56" s="3"/>
      <c r="YG56" s="3"/>
      <c r="YH56" s="3"/>
      <c r="YI56" s="3"/>
      <c r="YJ56" s="3"/>
      <c r="YK56" s="3"/>
      <c r="YL56" s="3"/>
      <c r="YM56" s="3"/>
      <c r="YN56" s="3"/>
      <c r="YO56" s="3"/>
      <c r="YP56" s="3"/>
      <c r="YQ56" s="3"/>
      <c r="YR56" s="3"/>
      <c r="YS56" s="3"/>
      <c r="YT56" s="3"/>
      <c r="YU56" s="3"/>
      <c r="YV56" s="3"/>
      <c r="YW56" s="3"/>
      <c r="YX56" s="3"/>
      <c r="YY56" s="3"/>
      <c r="YZ56" s="3"/>
      <c r="ZA56" s="3"/>
      <c r="ZB56" s="3"/>
      <c r="ZC56" s="3"/>
      <c r="ZD56" s="3"/>
      <c r="ZE56" s="3"/>
      <c r="ZF56" s="3"/>
      <c r="ZG56" s="3"/>
      <c r="ZH56" s="3"/>
      <c r="ZI56" s="3"/>
      <c r="ZJ56" s="3"/>
      <c r="ZK56" s="3"/>
      <c r="ZL56" s="3"/>
      <c r="ZM56" s="3"/>
      <c r="ZN56" s="3"/>
      <c r="ZO56" s="3"/>
      <c r="ZP56" s="3"/>
      <c r="ZQ56" s="3"/>
      <c r="ZR56" s="3"/>
      <c r="ZS56" s="3"/>
      <c r="ZT56" s="3"/>
      <c r="ZU56" s="3"/>
      <c r="ZV56" s="3"/>
      <c r="ZW56" s="3"/>
      <c r="ZX56" s="3"/>
      <c r="ZY56" s="3"/>
      <c r="ZZ56" s="3"/>
      <c r="AAA56" s="3"/>
      <c r="AAB56" s="3"/>
      <c r="AAC56" s="3"/>
      <c r="AAD56" s="3"/>
      <c r="AAE56" s="3"/>
      <c r="AAF56" s="3"/>
      <c r="AAG56" s="3"/>
      <c r="AAH56" s="3"/>
      <c r="AAI56" s="3"/>
      <c r="AAJ56" s="3"/>
      <c r="AAK56" s="3"/>
      <c r="AAL56" s="3"/>
      <c r="AAM56" s="3"/>
      <c r="AAN56" s="3"/>
      <c r="AAO56" s="3"/>
      <c r="AAP56" s="3"/>
      <c r="AAQ56" s="3"/>
      <c r="AAR56" s="3"/>
      <c r="AAS56" s="3"/>
      <c r="AAT56" s="3"/>
      <c r="AAU56" s="3"/>
      <c r="AAV56" s="3"/>
      <c r="AAW56" s="3"/>
      <c r="AAX56" s="3"/>
      <c r="AAY56" s="3"/>
      <c r="AAZ56" s="3"/>
      <c r="ABA56" s="3"/>
      <c r="ABB56" s="3"/>
      <c r="ABC56" s="3"/>
      <c r="ABD56" s="3"/>
      <c r="ABE56" s="3"/>
      <c r="ABF56" s="3"/>
      <c r="ABG56" s="3"/>
      <c r="ABH56" s="3"/>
      <c r="ABI56" s="3"/>
      <c r="ABJ56" s="3"/>
      <c r="ABK56" s="3"/>
      <c r="ABL56" s="3"/>
      <c r="ABM56" s="3"/>
      <c r="ABN56" s="3"/>
      <c r="ABO56" s="3"/>
      <c r="ABP56" s="3"/>
      <c r="ABQ56" s="3"/>
      <c r="ABR56" s="3"/>
      <c r="ABS56" s="3"/>
      <c r="ABT56" s="3"/>
      <c r="ABU56" s="3"/>
      <c r="ABV56" s="3"/>
      <c r="ABW56" s="3"/>
      <c r="ABX56" s="3"/>
      <c r="ABY56" s="3"/>
      <c r="ABZ56" s="3"/>
      <c r="ACA56" s="3"/>
      <c r="ACB56" s="3"/>
      <c r="ACC56" s="3"/>
      <c r="ACD56" s="3"/>
      <c r="ACE56" s="3"/>
      <c r="ACF56" s="3"/>
      <c r="ACG56" s="3"/>
      <c r="ACH56" s="3"/>
      <c r="ACI56" s="3"/>
      <c r="ACJ56" s="3"/>
      <c r="ACK56" s="3"/>
      <c r="ACL56" s="3"/>
      <c r="ACM56" s="3"/>
      <c r="ACN56" s="3"/>
      <c r="ACO56" s="3"/>
      <c r="ACP56" s="3"/>
    </row>
    <row r="57" spans="1:770" s="248" customFormat="1">
      <c r="A57" s="292" t="e">
        <f>+#REF!+1</f>
        <v>#REF!</v>
      </c>
      <c r="B57" s="419" t="str">
        <f>+'Nomina Proquima'!B71</f>
        <v>Cristales Hernandez Victor Manuel</v>
      </c>
      <c r="C57" s="1922">
        <v>16265050453534</v>
      </c>
      <c r="D57" s="401"/>
      <c r="E57" s="1120" t="str">
        <f>+'Nomina Proquima'!B71</f>
        <v>Cristales Hernandez Victor Manuel</v>
      </c>
      <c r="F57" s="244" t="str">
        <f>VLOOKUP(B57,distribucion!B$9:FK$200,2,0)</f>
        <v xml:space="preserve">Operario  </v>
      </c>
      <c r="G57" s="244">
        <f>ROUND((VLOOKUP($B57,'Nomina Proquima'!$B$4:$AB$145,4,0)),2)</f>
        <v>30</v>
      </c>
      <c r="H57" s="245">
        <f>ROUND((VLOOKUP($B57,'Nomina Proquima'!$B$4:$AB$145,6,0)),2)</f>
        <v>3166.38</v>
      </c>
      <c r="I57" s="245">
        <f>ROUND((VLOOKUP($B57,'Nomina Proquima'!$B$4:$AB$145,7,0)),2)</f>
        <v>1375</v>
      </c>
      <c r="J57" s="245">
        <f>ROUND((VLOOKUP($B57,'Nomina Proquima'!$B$4:$AB$145,9,0)),2)</f>
        <v>0</v>
      </c>
      <c r="K57" s="245">
        <f>ROUND((VLOOKUP($B57,'Nomina Proquima'!$B$4:$AB$145,10,0)),2)</f>
        <v>0</v>
      </c>
      <c r="L57" s="245">
        <f>ROUND((VLOOKUP($B57,'Nomina Proquima'!$B$4:$AB$145,11,0)),2)</f>
        <v>0</v>
      </c>
      <c r="M57" s="245">
        <f>ROUND((VLOOKUP($B57,'Nomina Proquima'!$B$4:$AB$145,12,0)),2)</f>
        <v>0</v>
      </c>
      <c r="N57" s="245">
        <f>ROUND((VLOOKUP($B57,'Nomina Proquima'!$B$4:$AB$145,13,0)),2)</f>
        <v>0</v>
      </c>
      <c r="O57" s="245">
        <f>ROUND((VLOOKUP($B57,'Nomina Proquima'!$B$4:$AB$145,14,0)),2)</f>
        <v>4541.38</v>
      </c>
      <c r="P57" s="245">
        <f>ROUND((VLOOKUP($B57,'Nomina Proquima'!$B$4:$AB$145,15,0)),2)</f>
        <v>152.94</v>
      </c>
      <c r="Q57" s="245">
        <f>ROUND((VLOOKUP($B57,'Nomina Proquima'!$B$4:$AB$145,16,0)),2)</f>
        <v>0</v>
      </c>
      <c r="R57" s="245">
        <f>ROUND((VLOOKUP($B57,'Nomina Proquima'!$B$4:$AB$145,17,0)),2)</f>
        <v>0</v>
      </c>
      <c r="S57" s="245">
        <f>ROUND((VLOOKUP($B57,'Nomina Proquima'!$B$4:$AB$145,18,0)),2)</f>
        <v>0</v>
      </c>
      <c r="T57" s="245">
        <f>ROUND((VLOOKUP($B57,'Nomina Proquima'!$B$4:$AB$145,19,0)),2)</f>
        <v>0</v>
      </c>
      <c r="U57" s="245">
        <f>ROUND((VLOOKUP($B57,'Nomina Proquima'!$B$4:$AB$145,20,0)),2)</f>
        <v>0</v>
      </c>
      <c r="V57" s="245">
        <f>ROUND((VLOOKUP($B57,'Nomina Proquima'!$B$4:$AB$145,21,0)),2)</f>
        <v>0</v>
      </c>
      <c r="W57" s="245">
        <f>ROUND((VLOOKUP($B57,'Nomina Proquima'!$B$4:$AB$145,22,0)),2)</f>
        <v>50</v>
      </c>
      <c r="X57" s="245">
        <f>ROUND((VLOOKUP($B57,'Nomina Proquima'!$B$4:$AB$145,23,0)),2)</f>
        <v>202.94</v>
      </c>
      <c r="Y57" s="234">
        <f>ROUND((VLOOKUP($B57,'Nomina Proquima'!$B$4:$AB$147,24,0)),2)</f>
        <v>4338.4399999999996</v>
      </c>
      <c r="Z57" s="399">
        <f>VLOOKUP(B57,'Nomina Proquima'!$B$4:$AA$148,25,0)</f>
        <v>1631.72</v>
      </c>
      <c r="AA57" s="405">
        <f>ROUND((VLOOKUP($B57,'Nomina Proquima'!$B$4:$AB$145,26,0)),2)</f>
        <v>2706.72</v>
      </c>
      <c r="AB57" s="246"/>
      <c r="AC57" s="247"/>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c r="JH57" s="3"/>
      <c r="JI57" s="3"/>
      <c r="JJ57" s="3"/>
      <c r="JK57" s="3"/>
      <c r="JL57" s="3"/>
      <c r="JM57" s="3"/>
      <c r="JN57" s="3"/>
      <c r="JO57" s="3"/>
      <c r="JP57" s="3"/>
      <c r="JQ57" s="3"/>
      <c r="JR57" s="3"/>
      <c r="JS57" s="3"/>
      <c r="JT57" s="3"/>
      <c r="JU57" s="3"/>
      <c r="JV57" s="3"/>
      <c r="JW57" s="3"/>
      <c r="JX57" s="3"/>
      <c r="JY57" s="3"/>
      <c r="JZ57" s="3"/>
      <c r="KA57" s="3"/>
      <c r="KB57" s="3"/>
      <c r="KC57" s="3"/>
      <c r="KD57" s="3"/>
      <c r="KE57" s="3"/>
      <c r="KF57" s="3"/>
      <c r="KG57" s="3"/>
      <c r="KH57" s="3"/>
      <c r="KI57" s="3"/>
      <c r="KJ57" s="3"/>
      <c r="KK57" s="3"/>
      <c r="KL57" s="3"/>
      <c r="KM57" s="3"/>
      <c r="KN57" s="3"/>
      <c r="KO57" s="3"/>
      <c r="KP57" s="3"/>
      <c r="KQ57" s="3"/>
      <c r="KR57" s="3"/>
      <c r="KS57" s="3"/>
      <c r="KT57" s="3"/>
      <c r="KU57" s="3"/>
      <c r="KV57" s="3"/>
      <c r="KW57" s="3"/>
      <c r="KX57" s="3"/>
      <c r="KY57" s="3"/>
      <c r="KZ57" s="3"/>
      <c r="LA57" s="3"/>
      <c r="LB57" s="3"/>
      <c r="LC57" s="3"/>
      <c r="LD57" s="3"/>
      <c r="LE57" s="3"/>
      <c r="LF57" s="3"/>
      <c r="LG57" s="3"/>
      <c r="LH57" s="3"/>
      <c r="LI57" s="3"/>
      <c r="LJ57" s="3"/>
      <c r="LK57" s="3"/>
      <c r="LL57" s="3"/>
      <c r="LM57" s="3"/>
      <c r="LN57" s="3"/>
      <c r="LO57" s="3"/>
      <c r="LP57" s="3"/>
      <c r="LQ57" s="3"/>
      <c r="LR57" s="3"/>
      <c r="LS57" s="3"/>
      <c r="LT57" s="3"/>
      <c r="LU57" s="3"/>
      <c r="LV57" s="3"/>
      <c r="LW57" s="3"/>
      <c r="LX57" s="3"/>
      <c r="LY57" s="3"/>
      <c r="LZ57" s="3"/>
      <c r="MA57" s="3"/>
      <c r="MB57" s="3"/>
      <c r="MC57" s="3"/>
      <c r="MD57" s="3"/>
      <c r="ME57" s="3"/>
      <c r="MF57" s="3"/>
      <c r="MG57" s="3"/>
      <c r="MH57" s="3"/>
      <c r="MI57" s="3"/>
      <c r="MJ57" s="3"/>
      <c r="MK57" s="3"/>
      <c r="ML57" s="3"/>
      <c r="MM57" s="3"/>
      <c r="MN57" s="3"/>
      <c r="MO57" s="3"/>
      <c r="MP57" s="3"/>
      <c r="MQ57" s="3"/>
      <c r="MR57" s="3"/>
      <c r="MS57" s="3"/>
      <c r="MT57" s="3"/>
      <c r="MU57" s="3"/>
      <c r="MV57" s="3"/>
      <c r="MW57" s="3"/>
      <c r="MX57" s="3"/>
      <c r="MY57" s="3"/>
      <c r="MZ57" s="3"/>
      <c r="NA57" s="3"/>
      <c r="NB57" s="3"/>
      <c r="NC57" s="3"/>
      <c r="ND57" s="3"/>
      <c r="NE57" s="3"/>
      <c r="NF57" s="3"/>
      <c r="NG57" s="3"/>
      <c r="NH57" s="3"/>
      <c r="NI57" s="3"/>
      <c r="NJ57" s="3"/>
      <c r="NK57" s="3"/>
      <c r="NL57" s="3"/>
      <c r="NM57" s="3"/>
      <c r="NN57" s="3"/>
      <c r="NO57" s="3"/>
      <c r="NP57" s="3"/>
      <c r="NQ57" s="3"/>
      <c r="NR57" s="3"/>
      <c r="NS57" s="3"/>
      <c r="NT57" s="3"/>
      <c r="NU57" s="3"/>
      <c r="NV57" s="3"/>
      <c r="NW57" s="3"/>
      <c r="NX57" s="3"/>
      <c r="NY57" s="3"/>
      <c r="NZ57" s="3"/>
      <c r="OA57" s="3"/>
      <c r="OB57" s="3"/>
      <c r="OC57" s="3"/>
      <c r="OD57" s="3"/>
      <c r="OE57" s="3"/>
      <c r="OF57" s="3"/>
      <c r="OG57" s="3"/>
      <c r="OH57" s="3"/>
      <c r="OI57" s="3"/>
      <c r="OJ57" s="3"/>
      <c r="OK57" s="3"/>
      <c r="OL57" s="3"/>
      <c r="OM57" s="3"/>
      <c r="ON57" s="3"/>
      <c r="OO57" s="3"/>
      <c r="OP57" s="3"/>
      <c r="OQ57" s="3"/>
      <c r="OR57" s="3"/>
      <c r="OS57" s="3"/>
      <c r="OT57" s="3"/>
      <c r="OU57" s="3"/>
      <c r="OV57" s="3"/>
      <c r="OW57" s="3"/>
      <c r="OX57" s="3"/>
      <c r="OY57" s="3"/>
      <c r="OZ57" s="3"/>
      <c r="PA57" s="3"/>
      <c r="PB57" s="3"/>
      <c r="PC57" s="3"/>
      <c r="PD57" s="3"/>
      <c r="PE57" s="3"/>
      <c r="PF57" s="3"/>
      <c r="PG57" s="3"/>
      <c r="PH57" s="3"/>
      <c r="PI57" s="3"/>
      <c r="PJ57" s="3"/>
      <c r="PK57" s="3"/>
      <c r="PL57" s="3"/>
      <c r="PM57" s="3"/>
      <c r="PN57" s="3"/>
      <c r="PO57" s="3"/>
      <c r="PP57" s="3"/>
      <c r="PQ57" s="3"/>
      <c r="PR57" s="3"/>
      <c r="PS57" s="3"/>
      <c r="PT57" s="3"/>
      <c r="PU57" s="3"/>
      <c r="PV57" s="3"/>
      <c r="PW57" s="3"/>
      <c r="PX57" s="3"/>
      <c r="PY57" s="3"/>
      <c r="PZ57" s="3"/>
      <c r="QA57" s="3"/>
      <c r="QB57" s="3"/>
      <c r="QC57" s="3"/>
      <c r="QD57" s="3"/>
      <c r="QE57" s="3"/>
      <c r="QF57" s="3"/>
      <c r="QG57" s="3"/>
      <c r="QH57" s="3"/>
      <c r="QI57" s="3"/>
      <c r="QJ57" s="3"/>
      <c r="QK57" s="3"/>
      <c r="QL57" s="3"/>
      <c r="QM57" s="3"/>
      <c r="QN57" s="3"/>
      <c r="QO57" s="3"/>
      <c r="QP57" s="3"/>
      <c r="QQ57" s="3"/>
      <c r="QR57" s="3"/>
      <c r="QS57" s="3"/>
      <c r="QT57" s="3"/>
      <c r="QU57" s="3"/>
      <c r="QV57" s="3"/>
      <c r="QW57" s="3"/>
      <c r="QX57" s="3"/>
      <c r="QY57" s="3"/>
      <c r="QZ57" s="3"/>
      <c r="RA57" s="3"/>
      <c r="RB57" s="3"/>
      <c r="RC57" s="3"/>
      <c r="RD57" s="3"/>
      <c r="RE57" s="3"/>
      <c r="RF57" s="3"/>
      <c r="RG57" s="3"/>
      <c r="RH57" s="3"/>
      <c r="RI57" s="3"/>
      <c r="RJ57" s="3"/>
      <c r="RK57" s="3"/>
      <c r="RL57" s="3"/>
      <c r="RM57" s="3"/>
      <c r="RN57" s="3"/>
      <c r="RO57" s="3"/>
      <c r="RP57" s="3"/>
      <c r="RQ57" s="3"/>
      <c r="RR57" s="3"/>
      <c r="RS57" s="3"/>
      <c r="RT57" s="3"/>
      <c r="RU57" s="3"/>
      <c r="RV57" s="3"/>
      <c r="RW57" s="3"/>
      <c r="RX57" s="3"/>
      <c r="RY57" s="3"/>
      <c r="RZ57" s="3"/>
      <c r="SA57" s="3"/>
      <c r="SB57" s="3"/>
      <c r="SC57" s="3"/>
      <c r="SD57" s="3"/>
      <c r="SE57" s="3"/>
      <c r="SF57" s="3"/>
      <c r="SG57" s="3"/>
      <c r="SH57" s="3"/>
      <c r="SI57" s="3"/>
      <c r="SJ57" s="3"/>
      <c r="SK57" s="3"/>
      <c r="SL57" s="3"/>
      <c r="SM57" s="3"/>
      <c r="SN57" s="3"/>
      <c r="SO57" s="3"/>
      <c r="SP57" s="3"/>
      <c r="SQ57" s="3"/>
      <c r="SR57" s="3"/>
      <c r="SS57" s="3"/>
      <c r="ST57" s="3"/>
      <c r="SU57" s="3"/>
      <c r="SV57" s="3"/>
      <c r="SW57" s="3"/>
      <c r="SX57" s="3"/>
      <c r="SY57" s="3"/>
      <c r="SZ57" s="3"/>
      <c r="TA57" s="3"/>
      <c r="TB57" s="3"/>
      <c r="TC57" s="3"/>
      <c r="TD57" s="3"/>
      <c r="TE57" s="3"/>
      <c r="TF57" s="3"/>
      <c r="TG57" s="3"/>
      <c r="TH57" s="3"/>
      <c r="TI57" s="3"/>
      <c r="TJ57" s="3"/>
      <c r="TK57" s="3"/>
      <c r="TL57" s="3"/>
      <c r="TM57" s="3"/>
      <c r="TN57" s="3"/>
      <c r="TO57" s="3"/>
      <c r="TP57" s="3"/>
      <c r="TQ57" s="3"/>
      <c r="TR57" s="3"/>
      <c r="TS57" s="3"/>
      <c r="TT57" s="3"/>
      <c r="TU57" s="3"/>
      <c r="TV57" s="3"/>
      <c r="TW57" s="3"/>
      <c r="TX57" s="3"/>
      <c r="TY57" s="3"/>
      <c r="TZ57" s="3"/>
      <c r="UA57" s="3"/>
      <c r="UB57" s="3"/>
      <c r="UC57" s="3"/>
      <c r="UD57" s="3"/>
      <c r="UE57" s="3"/>
      <c r="UF57" s="3"/>
      <c r="UG57" s="3"/>
      <c r="UH57" s="3"/>
      <c r="UI57" s="3"/>
      <c r="UJ57" s="3"/>
      <c r="UK57" s="3"/>
      <c r="UL57" s="3"/>
      <c r="UM57" s="3"/>
      <c r="UN57" s="3"/>
      <c r="UO57" s="3"/>
      <c r="UP57" s="3"/>
      <c r="UQ57" s="3"/>
      <c r="UR57" s="3"/>
      <c r="US57" s="3"/>
      <c r="UT57" s="3"/>
      <c r="UU57" s="3"/>
      <c r="UV57" s="3"/>
      <c r="UW57" s="3"/>
      <c r="UX57" s="3"/>
      <c r="UY57" s="3"/>
      <c r="UZ57" s="3"/>
      <c r="VA57" s="3"/>
      <c r="VB57" s="3"/>
      <c r="VC57" s="3"/>
      <c r="VD57" s="3"/>
      <c r="VE57" s="3"/>
      <c r="VF57" s="3"/>
      <c r="VG57" s="3"/>
      <c r="VH57" s="3"/>
      <c r="VI57" s="3"/>
      <c r="VJ57" s="3"/>
      <c r="VK57" s="3"/>
      <c r="VL57" s="3"/>
      <c r="VM57" s="3"/>
      <c r="VN57" s="3"/>
      <c r="VO57" s="3"/>
      <c r="VP57" s="3"/>
      <c r="VQ57" s="3"/>
      <c r="VR57" s="3"/>
      <c r="VS57" s="3"/>
      <c r="VT57" s="3"/>
      <c r="VU57" s="3"/>
      <c r="VV57" s="3"/>
      <c r="VW57" s="3"/>
      <c r="VX57" s="3"/>
      <c r="VY57" s="3"/>
      <c r="VZ57" s="3"/>
      <c r="WA57" s="3"/>
      <c r="WB57" s="3"/>
      <c r="WC57" s="3"/>
      <c r="WD57" s="3"/>
      <c r="WE57" s="3"/>
      <c r="WF57" s="3"/>
      <c r="WG57" s="3"/>
      <c r="WH57" s="3"/>
      <c r="WI57" s="3"/>
      <c r="WJ57" s="3"/>
      <c r="WK57" s="3"/>
      <c r="WL57" s="3"/>
      <c r="WM57" s="3"/>
      <c r="WN57" s="3"/>
      <c r="WO57" s="3"/>
      <c r="WP57" s="3"/>
      <c r="WQ57" s="3"/>
      <c r="WR57" s="3"/>
      <c r="WS57" s="3"/>
      <c r="WT57" s="3"/>
      <c r="WU57" s="3"/>
      <c r="WV57" s="3"/>
      <c r="WW57" s="3"/>
      <c r="WX57" s="3"/>
      <c r="WY57" s="3"/>
      <c r="WZ57" s="3"/>
      <c r="XA57" s="3"/>
      <c r="XB57" s="3"/>
      <c r="XC57" s="3"/>
      <c r="XD57" s="3"/>
      <c r="XE57" s="3"/>
      <c r="XF57" s="3"/>
      <c r="XG57" s="3"/>
      <c r="XH57" s="3"/>
      <c r="XI57" s="3"/>
      <c r="XJ57" s="3"/>
      <c r="XK57" s="3"/>
      <c r="XL57" s="3"/>
      <c r="XM57" s="3"/>
      <c r="XN57" s="3"/>
      <c r="XO57" s="3"/>
      <c r="XP57" s="3"/>
      <c r="XQ57" s="3"/>
      <c r="XR57" s="3"/>
      <c r="XS57" s="3"/>
      <c r="XT57" s="3"/>
      <c r="XU57" s="3"/>
      <c r="XV57" s="3"/>
      <c r="XW57" s="3"/>
      <c r="XX57" s="3"/>
      <c r="XY57" s="3"/>
      <c r="XZ57" s="3"/>
      <c r="YA57" s="3"/>
      <c r="YB57" s="3"/>
      <c r="YC57" s="3"/>
      <c r="YD57" s="3"/>
      <c r="YE57" s="3"/>
      <c r="YF57" s="3"/>
      <c r="YG57" s="3"/>
      <c r="YH57" s="3"/>
      <c r="YI57" s="3"/>
      <c r="YJ57" s="3"/>
      <c r="YK57" s="3"/>
      <c r="YL57" s="3"/>
      <c r="YM57" s="3"/>
      <c r="YN57" s="3"/>
      <c r="YO57" s="3"/>
      <c r="YP57" s="3"/>
      <c r="YQ57" s="3"/>
      <c r="YR57" s="3"/>
      <c r="YS57" s="3"/>
      <c r="YT57" s="3"/>
      <c r="YU57" s="3"/>
      <c r="YV57" s="3"/>
      <c r="YW57" s="3"/>
      <c r="YX57" s="3"/>
      <c r="YY57" s="3"/>
      <c r="YZ57" s="3"/>
      <c r="ZA57" s="3"/>
      <c r="ZB57" s="3"/>
      <c r="ZC57" s="3"/>
      <c r="ZD57" s="3"/>
      <c r="ZE57" s="3"/>
      <c r="ZF57" s="3"/>
      <c r="ZG57" s="3"/>
      <c r="ZH57" s="3"/>
      <c r="ZI57" s="3"/>
      <c r="ZJ57" s="3"/>
      <c r="ZK57" s="3"/>
      <c r="ZL57" s="3"/>
      <c r="ZM57" s="3"/>
      <c r="ZN57" s="3"/>
      <c r="ZO57" s="3"/>
      <c r="ZP57" s="3"/>
      <c r="ZQ57" s="3"/>
      <c r="ZR57" s="3"/>
      <c r="ZS57" s="3"/>
      <c r="ZT57" s="3"/>
      <c r="ZU57" s="3"/>
      <c r="ZV57" s="3"/>
      <c r="ZW57" s="3"/>
      <c r="ZX57" s="3"/>
      <c r="ZY57" s="3"/>
      <c r="ZZ57" s="3"/>
      <c r="AAA57" s="3"/>
      <c r="AAB57" s="3"/>
      <c r="AAC57" s="3"/>
      <c r="AAD57" s="3"/>
      <c r="AAE57" s="3"/>
      <c r="AAF57" s="3"/>
      <c r="AAG57" s="3"/>
      <c r="AAH57" s="3"/>
      <c r="AAI57" s="3"/>
      <c r="AAJ57" s="3"/>
      <c r="AAK57" s="3"/>
      <c r="AAL57" s="3"/>
      <c r="AAM57" s="3"/>
      <c r="AAN57" s="3"/>
      <c r="AAO57" s="3"/>
      <c r="AAP57" s="3"/>
      <c r="AAQ57" s="3"/>
      <c r="AAR57" s="3"/>
      <c r="AAS57" s="3"/>
      <c r="AAT57" s="3"/>
      <c r="AAU57" s="3"/>
      <c r="AAV57" s="3"/>
      <c r="AAW57" s="3"/>
      <c r="AAX57" s="3"/>
      <c r="AAY57" s="3"/>
      <c r="AAZ57" s="3"/>
      <c r="ABA57" s="3"/>
      <c r="ABB57" s="3"/>
      <c r="ABC57" s="3"/>
      <c r="ABD57" s="3"/>
      <c r="ABE57" s="3"/>
      <c r="ABF57" s="3"/>
      <c r="ABG57" s="3"/>
      <c r="ABH57" s="3"/>
      <c r="ABI57" s="3"/>
      <c r="ABJ57" s="3"/>
      <c r="ABK57" s="3"/>
      <c r="ABL57" s="3"/>
      <c r="ABM57" s="3"/>
      <c r="ABN57" s="3"/>
      <c r="ABO57" s="3"/>
      <c r="ABP57" s="3"/>
      <c r="ABQ57" s="3"/>
      <c r="ABR57" s="3"/>
      <c r="ABS57" s="3"/>
      <c r="ABT57" s="3"/>
      <c r="ABU57" s="3"/>
      <c r="ABV57" s="3"/>
      <c r="ABW57" s="3"/>
      <c r="ABX57" s="3"/>
      <c r="ABY57" s="3"/>
      <c r="ABZ57" s="3"/>
      <c r="ACA57" s="3"/>
      <c r="ACB57" s="3"/>
      <c r="ACC57" s="3"/>
      <c r="ACD57" s="3"/>
      <c r="ACE57" s="3"/>
      <c r="ACF57" s="3"/>
      <c r="ACG57" s="3"/>
      <c r="ACH57" s="3"/>
      <c r="ACI57" s="3"/>
      <c r="ACJ57" s="3"/>
      <c r="ACK57" s="3"/>
      <c r="ACL57" s="3"/>
      <c r="ACM57" s="3"/>
      <c r="ACN57" s="3"/>
      <c r="ACO57" s="3"/>
      <c r="ACP57" s="3"/>
    </row>
    <row r="58" spans="1:770" s="248" customFormat="1">
      <c r="A58" s="292"/>
      <c r="B58" s="419" t="str">
        <f>+'Nomina Proquima'!B11</f>
        <v xml:space="preserve">Alvarez Caceros Genesis Arleth </v>
      </c>
      <c r="C58" s="1922">
        <v>12275050347745</v>
      </c>
      <c r="D58" s="401"/>
      <c r="E58" s="1120" t="str">
        <f>+'Nomina Proquima'!B11</f>
        <v xml:space="preserve">Alvarez Caceros Genesis Arleth </v>
      </c>
      <c r="F58" s="244" t="str">
        <f>VLOOKUP(B58,distribucion!B$9:FK$200,2,0)</f>
        <v>Asistente de Gerencia</v>
      </c>
      <c r="G58" s="244">
        <f>ROUND((VLOOKUP($B58,'Nomina Proquima'!$B$4:$AB$145,4,0)),2)</f>
        <v>30</v>
      </c>
      <c r="H58" s="245">
        <f>ROUND((VLOOKUP($B58,'Nomina Proquima'!$B$4:$AB$145,6,0)),2)</f>
        <v>3500</v>
      </c>
      <c r="I58" s="245">
        <f>ROUND((VLOOKUP($B58,'Nomina Proquima'!$B$4:$AB$145,7,0)),2)</f>
        <v>1500</v>
      </c>
      <c r="J58" s="245">
        <f>ROUND((VLOOKUP($B58,'Nomina Proquima'!$B$4:$AB$145,9,0)),2)</f>
        <v>0</v>
      </c>
      <c r="K58" s="245">
        <f>ROUND((VLOOKUP($B58,'Nomina Proquima'!$B$4:$AB$145,10,0)),2)</f>
        <v>0</v>
      </c>
      <c r="L58" s="245">
        <f>ROUND((VLOOKUP($B58,'Nomina Proquima'!$B$4:$AB$145,11,0)),2)</f>
        <v>0</v>
      </c>
      <c r="M58" s="245">
        <f>ROUND((VLOOKUP($B58,'Nomina Proquima'!$B$4:$AB$145,12,0)),2)</f>
        <v>0</v>
      </c>
      <c r="N58" s="245">
        <f>ROUND((VLOOKUP($B58,'Nomina Proquima'!$B$4:$AB$145,13,0)),2)</f>
        <v>0</v>
      </c>
      <c r="O58" s="245">
        <f>ROUND((VLOOKUP($B58,'Nomina Proquima'!$B$4:$AB$145,14,0)),2)</f>
        <v>5000</v>
      </c>
      <c r="P58" s="245">
        <f>ROUND((VLOOKUP($B58,'Nomina Proquima'!$B$4:$AB$145,15,0)),2)</f>
        <v>169.05</v>
      </c>
      <c r="Q58" s="245">
        <f>ROUND((VLOOKUP($B58,'Nomina Proquima'!$B$4:$AB$145,16,0)),2)</f>
        <v>41.55</v>
      </c>
      <c r="R58" s="245">
        <f>ROUND((VLOOKUP($B58,'Nomina Proquima'!$B$4:$AB$145,17,0)),2)</f>
        <v>0</v>
      </c>
      <c r="S58" s="245">
        <f>ROUND((VLOOKUP($B58,'Nomina Proquima'!$B$4:$AB$145,18,0)),2)</f>
        <v>0</v>
      </c>
      <c r="T58" s="245">
        <f>ROUND((VLOOKUP($B58,'Nomina Proquima'!$B$4:$AB$145,19,0)),2)</f>
        <v>0</v>
      </c>
      <c r="U58" s="245">
        <f>ROUND((VLOOKUP($B58,'Nomina Proquima'!$B$4:$AB$145,20,0)),2)</f>
        <v>0</v>
      </c>
      <c r="V58" s="245">
        <f>ROUND((VLOOKUP($B58,'Nomina Proquima'!$B$4:$AB$145,21,0)),2)</f>
        <v>17</v>
      </c>
      <c r="W58" s="245">
        <f>ROUND((VLOOKUP($B58,'Nomina Proquima'!$B$4:$AB$145,22,0)),2)</f>
        <v>215</v>
      </c>
      <c r="X58" s="245">
        <f>ROUND((VLOOKUP($B58,'Nomina Proquima'!$B$4:$AB$145,23,0)),2)</f>
        <v>442.6</v>
      </c>
      <c r="Y58" s="234">
        <f>ROUND((VLOOKUP($B58,'Nomina Proquima'!$B$4:$AB$147,24,0)),2)</f>
        <v>4557.3999999999996</v>
      </c>
      <c r="Z58" s="399">
        <f>VLOOKUP(B58,'Nomina Proquima'!$B$4:$AA$148,25,0)</f>
        <v>2415.4699999999998</v>
      </c>
      <c r="AA58" s="405">
        <f>ROUND((VLOOKUP($B58,'Nomina Proquima'!$B$4:$AB$145,26,0)),2)</f>
        <v>2141.9299999999998</v>
      </c>
      <c r="AB58" s="246"/>
      <c r="AC58" s="247"/>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s="3"/>
      <c r="JC58" s="3"/>
      <c r="JD58" s="3"/>
      <c r="JE58" s="3"/>
      <c r="JF58" s="3"/>
      <c r="JG58" s="3"/>
      <c r="JH58" s="3"/>
      <c r="JI58" s="3"/>
      <c r="JJ58" s="3"/>
      <c r="JK58" s="3"/>
      <c r="JL58" s="3"/>
      <c r="JM58" s="3"/>
      <c r="JN58" s="3"/>
      <c r="JO58" s="3"/>
      <c r="JP58" s="3"/>
      <c r="JQ58" s="3"/>
      <c r="JR58" s="3"/>
      <c r="JS58" s="3"/>
      <c r="JT58" s="3"/>
      <c r="JU58" s="3"/>
      <c r="JV58" s="3"/>
      <c r="JW58" s="3"/>
      <c r="JX58" s="3"/>
      <c r="JY58" s="3"/>
      <c r="JZ58" s="3"/>
      <c r="KA58" s="3"/>
      <c r="KB58" s="3"/>
      <c r="KC58" s="3"/>
      <c r="KD58" s="3"/>
      <c r="KE58" s="3"/>
      <c r="KF58" s="3"/>
      <c r="KG58" s="3"/>
      <c r="KH58" s="3"/>
      <c r="KI58" s="3"/>
      <c r="KJ58" s="3"/>
      <c r="KK58" s="3"/>
      <c r="KL58" s="3"/>
      <c r="KM58" s="3"/>
      <c r="KN58" s="3"/>
      <c r="KO58" s="3"/>
      <c r="KP58" s="3"/>
      <c r="KQ58" s="3"/>
      <c r="KR58" s="3"/>
      <c r="KS58" s="3"/>
      <c r="KT58" s="3"/>
      <c r="KU58" s="3"/>
      <c r="KV58" s="3"/>
      <c r="KW58" s="3"/>
      <c r="KX58" s="3"/>
      <c r="KY58" s="3"/>
      <c r="KZ58" s="3"/>
      <c r="LA58" s="3"/>
      <c r="LB58" s="3"/>
      <c r="LC58" s="3"/>
      <c r="LD58" s="3"/>
      <c r="LE58" s="3"/>
      <c r="LF58" s="3"/>
      <c r="LG58" s="3"/>
      <c r="LH58" s="3"/>
      <c r="LI58" s="3"/>
      <c r="LJ58" s="3"/>
      <c r="LK58" s="3"/>
      <c r="LL58" s="3"/>
      <c r="LM58" s="3"/>
      <c r="LN58" s="3"/>
      <c r="LO58" s="3"/>
      <c r="LP58" s="3"/>
      <c r="LQ58" s="3"/>
      <c r="LR58" s="3"/>
      <c r="LS58" s="3"/>
      <c r="LT58" s="3"/>
      <c r="LU58" s="3"/>
      <c r="LV58" s="3"/>
      <c r="LW58" s="3"/>
      <c r="LX58" s="3"/>
      <c r="LY58" s="3"/>
      <c r="LZ58" s="3"/>
      <c r="MA58" s="3"/>
      <c r="MB58" s="3"/>
      <c r="MC58" s="3"/>
      <c r="MD58" s="3"/>
      <c r="ME58" s="3"/>
      <c r="MF58" s="3"/>
      <c r="MG58" s="3"/>
      <c r="MH58" s="3"/>
      <c r="MI58" s="3"/>
      <c r="MJ58" s="3"/>
      <c r="MK58" s="3"/>
      <c r="ML58" s="3"/>
      <c r="MM58" s="3"/>
      <c r="MN58" s="3"/>
      <c r="MO58" s="3"/>
      <c r="MP58" s="3"/>
      <c r="MQ58" s="3"/>
      <c r="MR58" s="3"/>
      <c r="MS58" s="3"/>
      <c r="MT58" s="3"/>
      <c r="MU58" s="3"/>
      <c r="MV58" s="3"/>
      <c r="MW58" s="3"/>
      <c r="MX58" s="3"/>
      <c r="MY58" s="3"/>
      <c r="MZ58" s="3"/>
      <c r="NA58" s="3"/>
      <c r="NB58" s="3"/>
      <c r="NC58" s="3"/>
      <c r="ND58" s="3"/>
      <c r="NE58" s="3"/>
      <c r="NF58" s="3"/>
      <c r="NG58" s="3"/>
      <c r="NH58" s="3"/>
      <c r="NI58" s="3"/>
      <c r="NJ58" s="3"/>
      <c r="NK58" s="3"/>
      <c r="NL58" s="3"/>
      <c r="NM58" s="3"/>
      <c r="NN58" s="3"/>
      <c r="NO58" s="3"/>
      <c r="NP58" s="3"/>
      <c r="NQ58" s="3"/>
      <c r="NR58" s="3"/>
      <c r="NS58" s="3"/>
      <c r="NT58" s="3"/>
      <c r="NU58" s="3"/>
      <c r="NV58" s="3"/>
      <c r="NW58" s="3"/>
      <c r="NX58" s="3"/>
      <c r="NY58" s="3"/>
      <c r="NZ58" s="3"/>
      <c r="OA58" s="3"/>
      <c r="OB58" s="3"/>
      <c r="OC58" s="3"/>
      <c r="OD58" s="3"/>
      <c r="OE58" s="3"/>
      <c r="OF58" s="3"/>
      <c r="OG58" s="3"/>
      <c r="OH58" s="3"/>
      <c r="OI58" s="3"/>
      <c r="OJ58" s="3"/>
      <c r="OK58" s="3"/>
      <c r="OL58" s="3"/>
      <c r="OM58" s="3"/>
      <c r="ON58" s="3"/>
      <c r="OO58" s="3"/>
      <c r="OP58" s="3"/>
      <c r="OQ58" s="3"/>
      <c r="OR58" s="3"/>
      <c r="OS58" s="3"/>
      <c r="OT58" s="3"/>
      <c r="OU58" s="3"/>
      <c r="OV58" s="3"/>
      <c r="OW58" s="3"/>
      <c r="OX58" s="3"/>
      <c r="OY58" s="3"/>
      <c r="OZ58" s="3"/>
      <c r="PA58" s="3"/>
      <c r="PB58" s="3"/>
      <c r="PC58" s="3"/>
      <c r="PD58" s="3"/>
      <c r="PE58" s="3"/>
      <c r="PF58" s="3"/>
      <c r="PG58" s="3"/>
      <c r="PH58" s="3"/>
      <c r="PI58" s="3"/>
      <c r="PJ58" s="3"/>
      <c r="PK58" s="3"/>
      <c r="PL58" s="3"/>
      <c r="PM58" s="3"/>
      <c r="PN58" s="3"/>
      <c r="PO58" s="3"/>
      <c r="PP58" s="3"/>
      <c r="PQ58" s="3"/>
      <c r="PR58" s="3"/>
      <c r="PS58" s="3"/>
      <c r="PT58" s="3"/>
      <c r="PU58" s="3"/>
      <c r="PV58" s="3"/>
      <c r="PW58" s="3"/>
      <c r="PX58" s="3"/>
      <c r="PY58" s="3"/>
      <c r="PZ58" s="3"/>
      <c r="QA58" s="3"/>
      <c r="QB58" s="3"/>
      <c r="QC58" s="3"/>
      <c r="QD58" s="3"/>
      <c r="QE58" s="3"/>
      <c r="QF58" s="3"/>
      <c r="QG58" s="3"/>
      <c r="QH58" s="3"/>
      <c r="QI58" s="3"/>
      <c r="QJ58" s="3"/>
      <c r="QK58" s="3"/>
      <c r="QL58" s="3"/>
      <c r="QM58" s="3"/>
      <c r="QN58" s="3"/>
      <c r="QO58" s="3"/>
      <c r="QP58" s="3"/>
      <c r="QQ58" s="3"/>
      <c r="QR58" s="3"/>
      <c r="QS58" s="3"/>
      <c r="QT58" s="3"/>
      <c r="QU58" s="3"/>
      <c r="QV58" s="3"/>
      <c r="QW58" s="3"/>
      <c r="QX58" s="3"/>
      <c r="QY58" s="3"/>
      <c r="QZ58" s="3"/>
      <c r="RA58" s="3"/>
      <c r="RB58" s="3"/>
      <c r="RC58" s="3"/>
      <c r="RD58" s="3"/>
      <c r="RE58" s="3"/>
      <c r="RF58" s="3"/>
      <c r="RG58" s="3"/>
      <c r="RH58" s="3"/>
      <c r="RI58" s="3"/>
      <c r="RJ58" s="3"/>
      <c r="RK58" s="3"/>
      <c r="RL58" s="3"/>
      <c r="RM58" s="3"/>
      <c r="RN58" s="3"/>
      <c r="RO58" s="3"/>
      <c r="RP58" s="3"/>
      <c r="RQ58" s="3"/>
      <c r="RR58" s="3"/>
      <c r="RS58" s="3"/>
      <c r="RT58" s="3"/>
      <c r="RU58" s="3"/>
      <c r="RV58" s="3"/>
      <c r="RW58" s="3"/>
      <c r="RX58" s="3"/>
      <c r="RY58" s="3"/>
      <c r="RZ58" s="3"/>
      <c r="SA58" s="3"/>
      <c r="SB58" s="3"/>
      <c r="SC58" s="3"/>
      <c r="SD58" s="3"/>
      <c r="SE58" s="3"/>
      <c r="SF58" s="3"/>
      <c r="SG58" s="3"/>
      <c r="SH58" s="3"/>
      <c r="SI58" s="3"/>
      <c r="SJ58" s="3"/>
      <c r="SK58" s="3"/>
      <c r="SL58" s="3"/>
      <c r="SM58" s="3"/>
      <c r="SN58" s="3"/>
      <c r="SO58" s="3"/>
      <c r="SP58" s="3"/>
      <c r="SQ58" s="3"/>
      <c r="SR58" s="3"/>
      <c r="SS58" s="3"/>
      <c r="ST58" s="3"/>
      <c r="SU58" s="3"/>
      <c r="SV58" s="3"/>
      <c r="SW58" s="3"/>
      <c r="SX58" s="3"/>
      <c r="SY58" s="3"/>
      <c r="SZ58" s="3"/>
      <c r="TA58" s="3"/>
      <c r="TB58" s="3"/>
      <c r="TC58" s="3"/>
      <c r="TD58" s="3"/>
      <c r="TE58" s="3"/>
      <c r="TF58" s="3"/>
      <c r="TG58" s="3"/>
      <c r="TH58" s="3"/>
      <c r="TI58" s="3"/>
      <c r="TJ58" s="3"/>
      <c r="TK58" s="3"/>
      <c r="TL58" s="3"/>
      <c r="TM58" s="3"/>
      <c r="TN58" s="3"/>
      <c r="TO58" s="3"/>
      <c r="TP58" s="3"/>
      <c r="TQ58" s="3"/>
      <c r="TR58" s="3"/>
      <c r="TS58" s="3"/>
      <c r="TT58" s="3"/>
      <c r="TU58" s="3"/>
      <c r="TV58" s="3"/>
      <c r="TW58" s="3"/>
      <c r="TX58" s="3"/>
      <c r="TY58" s="3"/>
      <c r="TZ58" s="3"/>
      <c r="UA58" s="3"/>
      <c r="UB58" s="3"/>
      <c r="UC58" s="3"/>
      <c r="UD58" s="3"/>
      <c r="UE58" s="3"/>
      <c r="UF58" s="3"/>
      <c r="UG58" s="3"/>
      <c r="UH58" s="3"/>
      <c r="UI58" s="3"/>
      <c r="UJ58" s="3"/>
      <c r="UK58" s="3"/>
      <c r="UL58" s="3"/>
      <c r="UM58" s="3"/>
      <c r="UN58" s="3"/>
      <c r="UO58" s="3"/>
      <c r="UP58" s="3"/>
      <c r="UQ58" s="3"/>
      <c r="UR58" s="3"/>
      <c r="US58" s="3"/>
      <c r="UT58" s="3"/>
      <c r="UU58" s="3"/>
      <c r="UV58" s="3"/>
      <c r="UW58" s="3"/>
      <c r="UX58" s="3"/>
      <c r="UY58" s="3"/>
      <c r="UZ58" s="3"/>
      <c r="VA58" s="3"/>
      <c r="VB58" s="3"/>
      <c r="VC58" s="3"/>
      <c r="VD58" s="3"/>
      <c r="VE58" s="3"/>
      <c r="VF58" s="3"/>
      <c r="VG58" s="3"/>
      <c r="VH58" s="3"/>
      <c r="VI58" s="3"/>
      <c r="VJ58" s="3"/>
      <c r="VK58" s="3"/>
      <c r="VL58" s="3"/>
      <c r="VM58" s="3"/>
      <c r="VN58" s="3"/>
      <c r="VO58" s="3"/>
      <c r="VP58" s="3"/>
      <c r="VQ58" s="3"/>
      <c r="VR58" s="3"/>
      <c r="VS58" s="3"/>
      <c r="VT58" s="3"/>
      <c r="VU58" s="3"/>
      <c r="VV58" s="3"/>
      <c r="VW58" s="3"/>
      <c r="VX58" s="3"/>
      <c r="VY58" s="3"/>
      <c r="VZ58" s="3"/>
      <c r="WA58" s="3"/>
      <c r="WB58" s="3"/>
      <c r="WC58" s="3"/>
      <c r="WD58" s="3"/>
      <c r="WE58" s="3"/>
      <c r="WF58" s="3"/>
      <c r="WG58" s="3"/>
      <c r="WH58" s="3"/>
      <c r="WI58" s="3"/>
      <c r="WJ58" s="3"/>
      <c r="WK58" s="3"/>
      <c r="WL58" s="3"/>
      <c r="WM58" s="3"/>
      <c r="WN58" s="3"/>
      <c r="WO58" s="3"/>
      <c r="WP58" s="3"/>
      <c r="WQ58" s="3"/>
      <c r="WR58" s="3"/>
      <c r="WS58" s="3"/>
      <c r="WT58" s="3"/>
      <c r="WU58" s="3"/>
      <c r="WV58" s="3"/>
      <c r="WW58" s="3"/>
      <c r="WX58" s="3"/>
      <c r="WY58" s="3"/>
      <c r="WZ58" s="3"/>
      <c r="XA58" s="3"/>
      <c r="XB58" s="3"/>
      <c r="XC58" s="3"/>
      <c r="XD58" s="3"/>
      <c r="XE58" s="3"/>
      <c r="XF58" s="3"/>
      <c r="XG58" s="3"/>
      <c r="XH58" s="3"/>
      <c r="XI58" s="3"/>
      <c r="XJ58" s="3"/>
      <c r="XK58" s="3"/>
      <c r="XL58" s="3"/>
      <c r="XM58" s="3"/>
      <c r="XN58" s="3"/>
      <c r="XO58" s="3"/>
      <c r="XP58" s="3"/>
      <c r="XQ58" s="3"/>
      <c r="XR58" s="3"/>
      <c r="XS58" s="3"/>
      <c r="XT58" s="3"/>
      <c r="XU58" s="3"/>
      <c r="XV58" s="3"/>
      <c r="XW58" s="3"/>
      <c r="XX58" s="3"/>
      <c r="XY58" s="3"/>
      <c r="XZ58" s="3"/>
      <c r="YA58" s="3"/>
      <c r="YB58" s="3"/>
      <c r="YC58" s="3"/>
      <c r="YD58" s="3"/>
      <c r="YE58" s="3"/>
      <c r="YF58" s="3"/>
      <c r="YG58" s="3"/>
      <c r="YH58" s="3"/>
      <c r="YI58" s="3"/>
      <c r="YJ58" s="3"/>
      <c r="YK58" s="3"/>
      <c r="YL58" s="3"/>
      <c r="YM58" s="3"/>
      <c r="YN58" s="3"/>
      <c r="YO58" s="3"/>
      <c r="YP58" s="3"/>
      <c r="YQ58" s="3"/>
      <c r="YR58" s="3"/>
      <c r="YS58" s="3"/>
      <c r="YT58" s="3"/>
      <c r="YU58" s="3"/>
      <c r="YV58" s="3"/>
      <c r="YW58" s="3"/>
      <c r="YX58" s="3"/>
      <c r="YY58" s="3"/>
      <c r="YZ58" s="3"/>
      <c r="ZA58" s="3"/>
      <c r="ZB58" s="3"/>
      <c r="ZC58" s="3"/>
      <c r="ZD58" s="3"/>
      <c r="ZE58" s="3"/>
      <c r="ZF58" s="3"/>
      <c r="ZG58" s="3"/>
      <c r="ZH58" s="3"/>
      <c r="ZI58" s="3"/>
      <c r="ZJ58" s="3"/>
      <c r="ZK58" s="3"/>
      <c r="ZL58" s="3"/>
      <c r="ZM58" s="3"/>
      <c r="ZN58" s="3"/>
      <c r="ZO58" s="3"/>
      <c r="ZP58" s="3"/>
      <c r="ZQ58" s="3"/>
      <c r="ZR58" s="3"/>
      <c r="ZS58" s="3"/>
      <c r="ZT58" s="3"/>
      <c r="ZU58" s="3"/>
      <c r="ZV58" s="3"/>
      <c r="ZW58" s="3"/>
      <c r="ZX58" s="3"/>
      <c r="ZY58" s="3"/>
      <c r="ZZ58" s="3"/>
      <c r="AAA58" s="3"/>
      <c r="AAB58" s="3"/>
      <c r="AAC58" s="3"/>
      <c r="AAD58" s="3"/>
      <c r="AAE58" s="3"/>
      <c r="AAF58" s="3"/>
      <c r="AAG58" s="3"/>
      <c r="AAH58" s="3"/>
      <c r="AAI58" s="3"/>
      <c r="AAJ58" s="3"/>
      <c r="AAK58" s="3"/>
      <c r="AAL58" s="3"/>
      <c r="AAM58" s="3"/>
      <c r="AAN58" s="3"/>
      <c r="AAO58" s="3"/>
      <c r="AAP58" s="3"/>
      <c r="AAQ58" s="3"/>
      <c r="AAR58" s="3"/>
      <c r="AAS58" s="3"/>
      <c r="AAT58" s="3"/>
      <c r="AAU58" s="3"/>
      <c r="AAV58" s="3"/>
      <c r="AAW58" s="3"/>
      <c r="AAX58" s="3"/>
      <c r="AAY58" s="3"/>
      <c r="AAZ58" s="3"/>
      <c r="ABA58" s="3"/>
      <c r="ABB58" s="3"/>
      <c r="ABC58" s="3"/>
      <c r="ABD58" s="3"/>
      <c r="ABE58" s="3"/>
      <c r="ABF58" s="3"/>
      <c r="ABG58" s="3"/>
      <c r="ABH58" s="3"/>
      <c r="ABI58" s="3"/>
      <c r="ABJ58" s="3"/>
      <c r="ABK58" s="3"/>
      <c r="ABL58" s="3"/>
      <c r="ABM58" s="3"/>
      <c r="ABN58" s="3"/>
      <c r="ABO58" s="3"/>
      <c r="ABP58" s="3"/>
      <c r="ABQ58" s="3"/>
      <c r="ABR58" s="3"/>
      <c r="ABS58" s="3"/>
      <c r="ABT58" s="3"/>
      <c r="ABU58" s="3"/>
      <c r="ABV58" s="3"/>
      <c r="ABW58" s="3"/>
      <c r="ABX58" s="3"/>
      <c r="ABY58" s="3"/>
      <c r="ABZ58" s="3"/>
      <c r="ACA58" s="3"/>
      <c r="ACB58" s="3"/>
      <c r="ACC58" s="3"/>
      <c r="ACD58" s="3"/>
      <c r="ACE58" s="3"/>
      <c r="ACF58" s="3"/>
      <c r="ACG58" s="3"/>
      <c r="ACH58" s="3"/>
      <c r="ACI58" s="3"/>
      <c r="ACJ58" s="3"/>
      <c r="ACK58" s="3"/>
      <c r="ACL58" s="3"/>
      <c r="ACM58" s="3"/>
      <c r="ACN58" s="3"/>
      <c r="ACO58" s="3"/>
      <c r="ACP58" s="3"/>
    </row>
    <row r="59" spans="1:770" s="248" customFormat="1">
      <c r="A59" s="292" t="e">
        <f>+#REF!+1</f>
        <v>#REF!</v>
      </c>
      <c r="B59" s="419" t="str">
        <f>+'Nomina Proquima'!B69</f>
        <v xml:space="preserve">Barrios Cifuentes Julia Aracely </v>
      </c>
      <c r="C59" s="1922">
        <v>16265050459326</v>
      </c>
      <c r="D59" s="401"/>
      <c r="E59" s="1120" t="str">
        <f>+'Nomina Proquima'!B69</f>
        <v xml:space="preserve">Barrios Cifuentes Julia Aracely </v>
      </c>
      <c r="F59" s="244" t="str">
        <f>VLOOKUP(B59,distribucion!B$9:FK$200,2,0)</f>
        <v>Empacadora</v>
      </c>
      <c r="G59" s="244">
        <f>ROUND((VLOOKUP($B59,'Nomina Proquima'!$B$4:$AB$145,4,0)),2)</f>
        <v>30</v>
      </c>
      <c r="H59" s="245">
        <f>ROUND((VLOOKUP($B59,'Nomina Proquima'!$B$4:$AB$145,6,0)),2)</f>
        <v>3166.38</v>
      </c>
      <c r="I59" s="245">
        <f>ROUND((VLOOKUP($B59,'Nomina Proquima'!$B$4:$AB$145,7,0)),2)</f>
        <v>1150</v>
      </c>
      <c r="J59" s="245">
        <f>ROUND((VLOOKUP($B59,'Nomina Proquima'!$B$4:$AB$145,9,0)),2)</f>
        <v>0</v>
      </c>
      <c r="K59" s="245">
        <f>ROUND((VLOOKUP($B59,'Nomina Proquima'!$B$4:$AB$145,10,0)),2)</f>
        <v>0</v>
      </c>
      <c r="L59" s="245">
        <f>ROUND((VLOOKUP($B59,'Nomina Proquima'!$B$4:$AB$145,11,0)),2)</f>
        <v>0</v>
      </c>
      <c r="M59" s="245">
        <f>ROUND((VLOOKUP($B59,'Nomina Proquima'!$B$4:$AB$145,12,0)),2)</f>
        <v>0</v>
      </c>
      <c r="N59" s="245">
        <f>ROUND((VLOOKUP($B59,'Nomina Proquima'!$B$4:$AB$145,13,0)),2)</f>
        <v>0</v>
      </c>
      <c r="O59" s="245">
        <f>ROUND((VLOOKUP($B59,'Nomina Proquima'!$B$4:$AB$145,14,0)),2)</f>
        <v>4316.38</v>
      </c>
      <c r="P59" s="245">
        <f>ROUND((VLOOKUP($B59,'Nomina Proquima'!$B$4:$AB$145,15,0)),2)</f>
        <v>152.94</v>
      </c>
      <c r="Q59" s="245">
        <f>ROUND((VLOOKUP($B59,'Nomina Proquima'!$B$4:$AB$145,16,0)),2)</f>
        <v>0</v>
      </c>
      <c r="R59" s="245">
        <f>ROUND((VLOOKUP($B59,'Nomina Proquima'!$B$4:$AB$145,17,0)),2)</f>
        <v>0</v>
      </c>
      <c r="S59" s="245">
        <f>ROUND((VLOOKUP($B59,'Nomina Proquima'!$B$4:$AB$145,18,0)),2)</f>
        <v>0</v>
      </c>
      <c r="T59" s="245">
        <f>ROUND((VLOOKUP($B59,'Nomina Proquima'!$B$4:$AB$145,19,0)),2)</f>
        <v>0</v>
      </c>
      <c r="U59" s="245">
        <f>ROUND((VLOOKUP($B59,'Nomina Proquima'!$B$4:$AB$145,20,0)),2)</f>
        <v>0</v>
      </c>
      <c r="V59" s="245">
        <f>ROUND((VLOOKUP($B59,'Nomina Proquima'!$B$4:$AB$145,21,0)),2)</f>
        <v>0</v>
      </c>
      <c r="W59" s="245">
        <f>ROUND((VLOOKUP($B59,'Nomina Proquima'!$B$4:$AB$145,22,0)),2)</f>
        <v>132.5</v>
      </c>
      <c r="X59" s="245">
        <f>ROUND((VLOOKUP($B59,'Nomina Proquima'!$B$4:$AB$145,23,0)),2)</f>
        <v>285.44</v>
      </c>
      <c r="Y59" s="234">
        <f>ROUND((VLOOKUP($B59,'Nomina Proquima'!$B$4:$AB$147,24,0)),2)</f>
        <v>4030.94</v>
      </c>
      <c r="Z59" s="399">
        <f>VLOOKUP(B59,'Nomina Proquima'!$B$4:$AA$148,25,0)</f>
        <v>1631.72</v>
      </c>
      <c r="AA59" s="405">
        <f>ROUND((VLOOKUP($B59,'Nomina Proquima'!$B$4:$AB$145,26,0)),2)</f>
        <v>2399.2199999999998</v>
      </c>
      <c r="AB59" s="246"/>
      <c r="AC59" s="247"/>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c r="JH59" s="3"/>
      <c r="JI59" s="3"/>
      <c r="JJ59" s="3"/>
      <c r="JK59" s="3"/>
      <c r="JL59" s="3"/>
      <c r="JM59" s="3"/>
      <c r="JN59" s="3"/>
      <c r="JO59" s="3"/>
      <c r="JP59" s="3"/>
      <c r="JQ59" s="3"/>
      <c r="JR59" s="3"/>
      <c r="JS59" s="3"/>
      <c r="JT59" s="3"/>
      <c r="JU59" s="3"/>
      <c r="JV59" s="3"/>
      <c r="JW59" s="3"/>
      <c r="JX59" s="3"/>
      <c r="JY59" s="3"/>
      <c r="JZ59" s="3"/>
      <c r="KA59" s="3"/>
      <c r="KB59" s="3"/>
      <c r="KC59" s="3"/>
      <c r="KD59" s="3"/>
      <c r="KE59" s="3"/>
      <c r="KF59" s="3"/>
      <c r="KG59" s="3"/>
      <c r="KH59" s="3"/>
      <c r="KI59" s="3"/>
      <c r="KJ59" s="3"/>
      <c r="KK59" s="3"/>
      <c r="KL59" s="3"/>
      <c r="KM59" s="3"/>
      <c r="KN59" s="3"/>
      <c r="KO59" s="3"/>
      <c r="KP59" s="3"/>
      <c r="KQ59" s="3"/>
      <c r="KR59" s="3"/>
      <c r="KS59" s="3"/>
      <c r="KT59" s="3"/>
      <c r="KU59" s="3"/>
      <c r="KV59" s="3"/>
      <c r="KW59" s="3"/>
      <c r="KX59" s="3"/>
      <c r="KY59" s="3"/>
      <c r="KZ59" s="3"/>
      <c r="LA59" s="3"/>
      <c r="LB59" s="3"/>
      <c r="LC59" s="3"/>
      <c r="LD59" s="3"/>
      <c r="LE59" s="3"/>
      <c r="LF59" s="3"/>
      <c r="LG59" s="3"/>
      <c r="LH59" s="3"/>
      <c r="LI59" s="3"/>
      <c r="LJ59" s="3"/>
      <c r="LK59" s="3"/>
      <c r="LL59" s="3"/>
      <c r="LM59" s="3"/>
      <c r="LN59" s="3"/>
      <c r="LO59" s="3"/>
      <c r="LP59" s="3"/>
      <c r="LQ59" s="3"/>
      <c r="LR59" s="3"/>
      <c r="LS59" s="3"/>
      <c r="LT59" s="3"/>
      <c r="LU59" s="3"/>
      <c r="LV59" s="3"/>
      <c r="LW59" s="3"/>
      <c r="LX59" s="3"/>
      <c r="LY59" s="3"/>
      <c r="LZ59" s="3"/>
      <c r="MA59" s="3"/>
      <c r="MB59" s="3"/>
      <c r="MC59" s="3"/>
      <c r="MD59" s="3"/>
      <c r="ME59" s="3"/>
      <c r="MF59" s="3"/>
      <c r="MG59" s="3"/>
      <c r="MH59" s="3"/>
      <c r="MI59" s="3"/>
      <c r="MJ59" s="3"/>
      <c r="MK59" s="3"/>
      <c r="ML59" s="3"/>
      <c r="MM59" s="3"/>
      <c r="MN59" s="3"/>
      <c r="MO59" s="3"/>
      <c r="MP59" s="3"/>
      <c r="MQ59" s="3"/>
      <c r="MR59" s="3"/>
      <c r="MS59" s="3"/>
      <c r="MT59" s="3"/>
      <c r="MU59" s="3"/>
      <c r="MV59" s="3"/>
      <c r="MW59" s="3"/>
      <c r="MX59" s="3"/>
      <c r="MY59" s="3"/>
      <c r="MZ59" s="3"/>
      <c r="NA59" s="3"/>
      <c r="NB59" s="3"/>
      <c r="NC59" s="3"/>
      <c r="ND59" s="3"/>
      <c r="NE59" s="3"/>
      <c r="NF59" s="3"/>
      <c r="NG59" s="3"/>
      <c r="NH59" s="3"/>
      <c r="NI59" s="3"/>
      <c r="NJ59" s="3"/>
      <c r="NK59" s="3"/>
      <c r="NL59" s="3"/>
      <c r="NM59" s="3"/>
      <c r="NN59" s="3"/>
      <c r="NO59" s="3"/>
      <c r="NP59" s="3"/>
      <c r="NQ59" s="3"/>
      <c r="NR59" s="3"/>
      <c r="NS59" s="3"/>
      <c r="NT59" s="3"/>
      <c r="NU59" s="3"/>
      <c r="NV59" s="3"/>
      <c r="NW59" s="3"/>
      <c r="NX59" s="3"/>
      <c r="NY59" s="3"/>
      <c r="NZ59" s="3"/>
      <c r="OA59" s="3"/>
      <c r="OB59" s="3"/>
      <c r="OC59" s="3"/>
      <c r="OD59" s="3"/>
      <c r="OE59" s="3"/>
      <c r="OF59" s="3"/>
      <c r="OG59" s="3"/>
      <c r="OH59" s="3"/>
      <c r="OI59" s="3"/>
      <c r="OJ59" s="3"/>
      <c r="OK59" s="3"/>
      <c r="OL59" s="3"/>
      <c r="OM59" s="3"/>
      <c r="ON59" s="3"/>
      <c r="OO59" s="3"/>
      <c r="OP59" s="3"/>
      <c r="OQ59" s="3"/>
      <c r="OR59" s="3"/>
      <c r="OS59" s="3"/>
      <c r="OT59" s="3"/>
      <c r="OU59" s="3"/>
      <c r="OV59" s="3"/>
      <c r="OW59" s="3"/>
      <c r="OX59" s="3"/>
      <c r="OY59" s="3"/>
      <c r="OZ59" s="3"/>
      <c r="PA59" s="3"/>
      <c r="PB59" s="3"/>
      <c r="PC59" s="3"/>
      <c r="PD59" s="3"/>
      <c r="PE59" s="3"/>
      <c r="PF59" s="3"/>
      <c r="PG59" s="3"/>
      <c r="PH59" s="3"/>
      <c r="PI59" s="3"/>
      <c r="PJ59" s="3"/>
      <c r="PK59" s="3"/>
      <c r="PL59" s="3"/>
      <c r="PM59" s="3"/>
      <c r="PN59" s="3"/>
      <c r="PO59" s="3"/>
      <c r="PP59" s="3"/>
      <c r="PQ59" s="3"/>
      <c r="PR59" s="3"/>
      <c r="PS59" s="3"/>
      <c r="PT59" s="3"/>
      <c r="PU59" s="3"/>
      <c r="PV59" s="3"/>
      <c r="PW59" s="3"/>
      <c r="PX59" s="3"/>
      <c r="PY59" s="3"/>
      <c r="PZ59" s="3"/>
      <c r="QA59" s="3"/>
      <c r="QB59" s="3"/>
      <c r="QC59" s="3"/>
      <c r="QD59" s="3"/>
      <c r="QE59" s="3"/>
      <c r="QF59" s="3"/>
      <c r="QG59" s="3"/>
      <c r="QH59" s="3"/>
      <c r="QI59" s="3"/>
      <c r="QJ59" s="3"/>
      <c r="QK59" s="3"/>
      <c r="QL59" s="3"/>
      <c r="QM59" s="3"/>
      <c r="QN59" s="3"/>
      <c r="QO59" s="3"/>
      <c r="QP59" s="3"/>
      <c r="QQ59" s="3"/>
      <c r="QR59" s="3"/>
      <c r="QS59" s="3"/>
      <c r="QT59" s="3"/>
      <c r="QU59" s="3"/>
      <c r="QV59" s="3"/>
      <c r="QW59" s="3"/>
      <c r="QX59" s="3"/>
      <c r="QY59" s="3"/>
      <c r="QZ59" s="3"/>
      <c r="RA59" s="3"/>
      <c r="RB59" s="3"/>
      <c r="RC59" s="3"/>
      <c r="RD59" s="3"/>
      <c r="RE59" s="3"/>
      <c r="RF59" s="3"/>
      <c r="RG59" s="3"/>
      <c r="RH59" s="3"/>
      <c r="RI59" s="3"/>
      <c r="RJ59" s="3"/>
      <c r="RK59" s="3"/>
      <c r="RL59" s="3"/>
      <c r="RM59" s="3"/>
      <c r="RN59" s="3"/>
      <c r="RO59" s="3"/>
      <c r="RP59" s="3"/>
      <c r="RQ59" s="3"/>
      <c r="RR59" s="3"/>
      <c r="RS59" s="3"/>
      <c r="RT59" s="3"/>
      <c r="RU59" s="3"/>
      <c r="RV59" s="3"/>
      <c r="RW59" s="3"/>
      <c r="RX59" s="3"/>
      <c r="RY59" s="3"/>
      <c r="RZ59" s="3"/>
      <c r="SA59" s="3"/>
      <c r="SB59" s="3"/>
      <c r="SC59" s="3"/>
      <c r="SD59" s="3"/>
      <c r="SE59" s="3"/>
      <c r="SF59" s="3"/>
      <c r="SG59" s="3"/>
      <c r="SH59" s="3"/>
      <c r="SI59" s="3"/>
      <c r="SJ59" s="3"/>
      <c r="SK59" s="3"/>
      <c r="SL59" s="3"/>
      <c r="SM59" s="3"/>
      <c r="SN59" s="3"/>
      <c r="SO59" s="3"/>
      <c r="SP59" s="3"/>
      <c r="SQ59" s="3"/>
      <c r="SR59" s="3"/>
      <c r="SS59" s="3"/>
      <c r="ST59" s="3"/>
      <c r="SU59" s="3"/>
      <c r="SV59" s="3"/>
      <c r="SW59" s="3"/>
      <c r="SX59" s="3"/>
      <c r="SY59" s="3"/>
      <c r="SZ59" s="3"/>
      <c r="TA59" s="3"/>
      <c r="TB59" s="3"/>
      <c r="TC59" s="3"/>
      <c r="TD59" s="3"/>
      <c r="TE59" s="3"/>
      <c r="TF59" s="3"/>
      <c r="TG59" s="3"/>
      <c r="TH59" s="3"/>
      <c r="TI59" s="3"/>
      <c r="TJ59" s="3"/>
      <c r="TK59" s="3"/>
      <c r="TL59" s="3"/>
      <c r="TM59" s="3"/>
      <c r="TN59" s="3"/>
      <c r="TO59" s="3"/>
      <c r="TP59" s="3"/>
      <c r="TQ59" s="3"/>
      <c r="TR59" s="3"/>
      <c r="TS59" s="3"/>
      <c r="TT59" s="3"/>
      <c r="TU59" s="3"/>
      <c r="TV59" s="3"/>
      <c r="TW59" s="3"/>
      <c r="TX59" s="3"/>
      <c r="TY59" s="3"/>
      <c r="TZ59" s="3"/>
      <c r="UA59" s="3"/>
      <c r="UB59" s="3"/>
      <c r="UC59" s="3"/>
      <c r="UD59" s="3"/>
      <c r="UE59" s="3"/>
      <c r="UF59" s="3"/>
      <c r="UG59" s="3"/>
      <c r="UH59" s="3"/>
      <c r="UI59" s="3"/>
      <c r="UJ59" s="3"/>
      <c r="UK59" s="3"/>
      <c r="UL59" s="3"/>
      <c r="UM59" s="3"/>
      <c r="UN59" s="3"/>
      <c r="UO59" s="3"/>
      <c r="UP59" s="3"/>
      <c r="UQ59" s="3"/>
      <c r="UR59" s="3"/>
      <c r="US59" s="3"/>
      <c r="UT59" s="3"/>
      <c r="UU59" s="3"/>
      <c r="UV59" s="3"/>
      <c r="UW59" s="3"/>
      <c r="UX59" s="3"/>
      <c r="UY59" s="3"/>
      <c r="UZ59" s="3"/>
      <c r="VA59" s="3"/>
      <c r="VB59" s="3"/>
      <c r="VC59" s="3"/>
      <c r="VD59" s="3"/>
      <c r="VE59" s="3"/>
      <c r="VF59" s="3"/>
      <c r="VG59" s="3"/>
      <c r="VH59" s="3"/>
      <c r="VI59" s="3"/>
      <c r="VJ59" s="3"/>
      <c r="VK59" s="3"/>
      <c r="VL59" s="3"/>
      <c r="VM59" s="3"/>
      <c r="VN59" s="3"/>
      <c r="VO59" s="3"/>
      <c r="VP59" s="3"/>
      <c r="VQ59" s="3"/>
      <c r="VR59" s="3"/>
      <c r="VS59" s="3"/>
      <c r="VT59" s="3"/>
      <c r="VU59" s="3"/>
      <c r="VV59" s="3"/>
      <c r="VW59" s="3"/>
      <c r="VX59" s="3"/>
      <c r="VY59" s="3"/>
      <c r="VZ59" s="3"/>
      <c r="WA59" s="3"/>
      <c r="WB59" s="3"/>
      <c r="WC59" s="3"/>
      <c r="WD59" s="3"/>
      <c r="WE59" s="3"/>
      <c r="WF59" s="3"/>
      <c r="WG59" s="3"/>
      <c r="WH59" s="3"/>
      <c r="WI59" s="3"/>
      <c r="WJ59" s="3"/>
      <c r="WK59" s="3"/>
      <c r="WL59" s="3"/>
      <c r="WM59" s="3"/>
      <c r="WN59" s="3"/>
      <c r="WO59" s="3"/>
      <c r="WP59" s="3"/>
      <c r="WQ59" s="3"/>
      <c r="WR59" s="3"/>
      <c r="WS59" s="3"/>
      <c r="WT59" s="3"/>
      <c r="WU59" s="3"/>
      <c r="WV59" s="3"/>
      <c r="WW59" s="3"/>
      <c r="WX59" s="3"/>
      <c r="WY59" s="3"/>
      <c r="WZ59" s="3"/>
      <c r="XA59" s="3"/>
      <c r="XB59" s="3"/>
      <c r="XC59" s="3"/>
      <c r="XD59" s="3"/>
      <c r="XE59" s="3"/>
      <c r="XF59" s="3"/>
      <c r="XG59" s="3"/>
      <c r="XH59" s="3"/>
      <c r="XI59" s="3"/>
      <c r="XJ59" s="3"/>
      <c r="XK59" s="3"/>
      <c r="XL59" s="3"/>
      <c r="XM59" s="3"/>
      <c r="XN59" s="3"/>
      <c r="XO59" s="3"/>
      <c r="XP59" s="3"/>
      <c r="XQ59" s="3"/>
      <c r="XR59" s="3"/>
      <c r="XS59" s="3"/>
      <c r="XT59" s="3"/>
      <c r="XU59" s="3"/>
      <c r="XV59" s="3"/>
      <c r="XW59" s="3"/>
      <c r="XX59" s="3"/>
      <c r="XY59" s="3"/>
      <c r="XZ59" s="3"/>
      <c r="YA59" s="3"/>
      <c r="YB59" s="3"/>
      <c r="YC59" s="3"/>
      <c r="YD59" s="3"/>
      <c r="YE59" s="3"/>
      <c r="YF59" s="3"/>
      <c r="YG59" s="3"/>
      <c r="YH59" s="3"/>
      <c r="YI59" s="3"/>
      <c r="YJ59" s="3"/>
      <c r="YK59" s="3"/>
      <c r="YL59" s="3"/>
      <c r="YM59" s="3"/>
      <c r="YN59" s="3"/>
      <c r="YO59" s="3"/>
      <c r="YP59" s="3"/>
      <c r="YQ59" s="3"/>
      <c r="YR59" s="3"/>
      <c r="YS59" s="3"/>
      <c r="YT59" s="3"/>
      <c r="YU59" s="3"/>
      <c r="YV59" s="3"/>
      <c r="YW59" s="3"/>
      <c r="YX59" s="3"/>
      <c r="YY59" s="3"/>
      <c r="YZ59" s="3"/>
      <c r="ZA59" s="3"/>
      <c r="ZB59" s="3"/>
      <c r="ZC59" s="3"/>
      <c r="ZD59" s="3"/>
      <c r="ZE59" s="3"/>
      <c r="ZF59" s="3"/>
      <c r="ZG59" s="3"/>
      <c r="ZH59" s="3"/>
      <c r="ZI59" s="3"/>
      <c r="ZJ59" s="3"/>
      <c r="ZK59" s="3"/>
      <c r="ZL59" s="3"/>
      <c r="ZM59" s="3"/>
      <c r="ZN59" s="3"/>
      <c r="ZO59" s="3"/>
      <c r="ZP59" s="3"/>
      <c r="ZQ59" s="3"/>
      <c r="ZR59" s="3"/>
      <c r="ZS59" s="3"/>
      <c r="ZT59" s="3"/>
      <c r="ZU59" s="3"/>
      <c r="ZV59" s="3"/>
      <c r="ZW59" s="3"/>
      <c r="ZX59" s="3"/>
      <c r="ZY59" s="3"/>
      <c r="ZZ59" s="3"/>
      <c r="AAA59" s="3"/>
      <c r="AAB59" s="3"/>
      <c r="AAC59" s="3"/>
      <c r="AAD59" s="3"/>
      <c r="AAE59" s="3"/>
      <c r="AAF59" s="3"/>
      <c r="AAG59" s="3"/>
      <c r="AAH59" s="3"/>
      <c r="AAI59" s="3"/>
      <c r="AAJ59" s="3"/>
      <c r="AAK59" s="3"/>
      <c r="AAL59" s="3"/>
      <c r="AAM59" s="3"/>
      <c r="AAN59" s="3"/>
      <c r="AAO59" s="3"/>
      <c r="AAP59" s="3"/>
      <c r="AAQ59" s="3"/>
      <c r="AAR59" s="3"/>
      <c r="AAS59" s="3"/>
      <c r="AAT59" s="3"/>
      <c r="AAU59" s="3"/>
      <c r="AAV59" s="3"/>
      <c r="AAW59" s="3"/>
      <c r="AAX59" s="3"/>
      <c r="AAY59" s="3"/>
      <c r="AAZ59" s="3"/>
      <c r="ABA59" s="3"/>
      <c r="ABB59" s="3"/>
      <c r="ABC59" s="3"/>
      <c r="ABD59" s="3"/>
      <c r="ABE59" s="3"/>
      <c r="ABF59" s="3"/>
      <c r="ABG59" s="3"/>
      <c r="ABH59" s="3"/>
      <c r="ABI59" s="3"/>
      <c r="ABJ59" s="3"/>
      <c r="ABK59" s="3"/>
      <c r="ABL59" s="3"/>
      <c r="ABM59" s="3"/>
      <c r="ABN59" s="3"/>
      <c r="ABO59" s="3"/>
      <c r="ABP59" s="3"/>
      <c r="ABQ59" s="3"/>
      <c r="ABR59" s="3"/>
      <c r="ABS59" s="3"/>
      <c r="ABT59" s="3"/>
      <c r="ABU59" s="3"/>
      <c r="ABV59" s="3"/>
      <c r="ABW59" s="3"/>
      <c r="ABX59" s="3"/>
      <c r="ABY59" s="3"/>
      <c r="ABZ59" s="3"/>
      <c r="ACA59" s="3"/>
      <c r="ACB59" s="3"/>
      <c r="ACC59" s="3"/>
      <c r="ACD59" s="3"/>
      <c r="ACE59" s="3"/>
      <c r="ACF59" s="3"/>
      <c r="ACG59" s="3"/>
      <c r="ACH59" s="3"/>
      <c r="ACI59" s="3"/>
      <c r="ACJ59" s="3"/>
      <c r="ACK59" s="3"/>
      <c r="ACL59" s="3"/>
      <c r="ACM59" s="3"/>
      <c r="ACN59" s="3"/>
      <c r="ACO59" s="3"/>
      <c r="ACP59" s="3"/>
    </row>
    <row r="60" spans="1:770" s="248" customFormat="1">
      <c r="A60" s="292" t="e">
        <f>+#REF!+1</f>
        <v>#REF!</v>
      </c>
      <c r="B60" s="419" t="str">
        <f>+'Nomina Proquima'!B70</f>
        <v xml:space="preserve">Ramirez Vasquez Audelio </v>
      </c>
      <c r="C60" s="1922">
        <v>16265050459334</v>
      </c>
      <c r="D60" s="401"/>
      <c r="E60" s="1120" t="str">
        <f>+'Nomina Proquima'!B70</f>
        <v xml:space="preserve">Ramirez Vasquez Audelio </v>
      </c>
      <c r="F60" s="244" t="str">
        <f>VLOOKUP(B60,distribucion!B$9:FK$200,2,0)</f>
        <v xml:space="preserve">Operario  </v>
      </c>
      <c r="G60" s="244">
        <f>ROUND((VLOOKUP($B60,'Nomina Proquima'!$B$4:$AB$145,4,0)),2)</f>
        <v>30</v>
      </c>
      <c r="H60" s="245">
        <f>ROUND((VLOOKUP($B60,'Nomina Proquima'!$B$4:$AB$145,6,0)),2)</f>
        <v>3166.38</v>
      </c>
      <c r="I60" s="245">
        <f>ROUND((VLOOKUP($B60,'Nomina Proquima'!$B$4:$AB$145,7,0)),2)</f>
        <v>925</v>
      </c>
      <c r="J60" s="245">
        <f>ROUND((VLOOKUP($B60,'Nomina Proquima'!$B$4:$AB$145,9,0)),2)</f>
        <v>0</v>
      </c>
      <c r="K60" s="245">
        <f>ROUND((VLOOKUP($B60,'Nomina Proquima'!$B$4:$AB$145,10,0)),2)</f>
        <v>0</v>
      </c>
      <c r="L60" s="245">
        <f>ROUND((VLOOKUP($B60,'Nomina Proquima'!$B$4:$AB$145,11,0)),2)</f>
        <v>0</v>
      </c>
      <c r="M60" s="245">
        <f>ROUND((VLOOKUP($B60,'Nomina Proquima'!$B$4:$AB$145,12,0)),2)</f>
        <v>0</v>
      </c>
      <c r="N60" s="245">
        <f>ROUND((VLOOKUP($B60,'Nomina Proquima'!$B$4:$AB$145,13,0)),2)</f>
        <v>0</v>
      </c>
      <c r="O60" s="245">
        <f>ROUND((VLOOKUP($B60,'Nomina Proquima'!$B$4:$AB$145,14,0)),2)</f>
        <v>4091.38</v>
      </c>
      <c r="P60" s="245">
        <f>ROUND((VLOOKUP($B60,'Nomina Proquima'!$B$4:$AB$145,15,0)),2)</f>
        <v>152.94</v>
      </c>
      <c r="Q60" s="245">
        <f>ROUND((VLOOKUP($B60,'Nomina Proquima'!$B$4:$AB$145,16,0)),2)</f>
        <v>0</v>
      </c>
      <c r="R60" s="245">
        <f>ROUND((VLOOKUP($B60,'Nomina Proquima'!$B$4:$AB$145,17,0)),2)</f>
        <v>0</v>
      </c>
      <c r="S60" s="245">
        <f>ROUND((VLOOKUP($B60,'Nomina Proquima'!$B$4:$AB$145,18,0)),2)</f>
        <v>0</v>
      </c>
      <c r="T60" s="245">
        <f>ROUND((VLOOKUP($B60,'Nomina Proquima'!$B$4:$AB$145,19,0)),2)</f>
        <v>0</v>
      </c>
      <c r="U60" s="245">
        <f>ROUND((VLOOKUP($B60,'Nomina Proquima'!$B$4:$AB$145,20,0)),2)</f>
        <v>0</v>
      </c>
      <c r="V60" s="245">
        <f>ROUND((VLOOKUP($B60,'Nomina Proquima'!$B$4:$AB$145,21,0)),2)</f>
        <v>778.25</v>
      </c>
      <c r="W60" s="245">
        <f>ROUND((VLOOKUP($B60,'Nomina Proquima'!$B$4:$AB$145,22,0)),2)</f>
        <v>50</v>
      </c>
      <c r="X60" s="245">
        <f>ROUND((VLOOKUP($B60,'Nomina Proquima'!$B$4:$AB$145,23,0)),2)</f>
        <v>981.19</v>
      </c>
      <c r="Y60" s="234">
        <f>ROUND((VLOOKUP($B60,'Nomina Proquima'!$B$4:$AB$147,24,0)),2)</f>
        <v>3110.19</v>
      </c>
      <c r="Z60" s="399">
        <f>VLOOKUP(B60,'Nomina Proquima'!$B$4:$AA$148,25,0)</f>
        <v>1258.47</v>
      </c>
      <c r="AA60" s="405">
        <f>ROUND((VLOOKUP($B60,'Nomina Proquima'!$B$4:$AB$145,26,0)),2)</f>
        <v>1851.72</v>
      </c>
      <c r="AB60" s="246"/>
      <c r="AC60" s="247"/>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c r="JH60" s="3"/>
      <c r="JI60" s="3"/>
      <c r="JJ60" s="3"/>
      <c r="JK60" s="3"/>
      <c r="JL60" s="3"/>
      <c r="JM60" s="3"/>
      <c r="JN60" s="3"/>
      <c r="JO60" s="3"/>
      <c r="JP60" s="3"/>
      <c r="JQ60" s="3"/>
      <c r="JR60" s="3"/>
      <c r="JS60" s="3"/>
      <c r="JT60" s="3"/>
      <c r="JU60" s="3"/>
      <c r="JV60" s="3"/>
      <c r="JW60" s="3"/>
      <c r="JX60" s="3"/>
      <c r="JY60" s="3"/>
      <c r="JZ60" s="3"/>
      <c r="KA60" s="3"/>
      <c r="KB60" s="3"/>
      <c r="KC60" s="3"/>
      <c r="KD60" s="3"/>
      <c r="KE60" s="3"/>
      <c r="KF60" s="3"/>
      <c r="KG60" s="3"/>
      <c r="KH60" s="3"/>
      <c r="KI60" s="3"/>
      <c r="KJ60" s="3"/>
      <c r="KK60" s="3"/>
      <c r="KL60" s="3"/>
      <c r="KM60" s="3"/>
      <c r="KN60" s="3"/>
      <c r="KO60" s="3"/>
      <c r="KP60" s="3"/>
      <c r="KQ60" s="3"/>
      <c r="KR60" s="3"/>
      <c r="KS60" s="3"/>
      <c r="KT60" s="3"/>
      <c r="KU60" s="3"/>
      <c r="KV60" s="3"/>
      <c r="KW60" s="3"/>
      <c r="KX60" s="3"/>
      <c r="KY60" s="3"/>
      <c r="KZ60" s="3"/>
      <c r="LA60" s="3"/>
      <c r="LB60" s="3"/>
      <c r="LC60" s="3"/>
      <c r="LD60" s="3"/>
      <c r="LE60" s="3"/>
      <c r="LF60" s="3"/>
      <c r="LG60" s="3"/>
      <c r="LH60" s="3"/>
      <c r="LI60" s="3"/>
      <c r="LJ60" s="3"/>
      <c r="LK60" s="3"/>
      <c r="LL60" s="3"/>
      <c r="LM60" s="3"/>
      <c r="LN60" s="3"/>
      <c r="LO60" s="3"/>
      <c r="LP60" s="3"/>
      <c r="LQ60" s="3"/>
      <c r="LR60" s="3"/>
      <c r="LS60" s="3"/>
      <c r="LT60" s="3"/>
      <c r="LU60" s="3"/>
      <c r="LV60" s="3"/>
      <c r="LW60" s="3"/>
      <c r="LX60" s="3"/>
      <c r="LY60" s="3"/>
      <c r="LZ60" s="3"/>
      <c r="MA60" s="3"/>
      <c r="MB60" s="3"/>
      <c r="MC60" s="3"/>
      <c r="MD60" s="3"/>
      <c r="ME60" s="3"/>
      <c r="MF60" s="3"/>
      <c r="MG60" s="3"/>
      <c r="MH60" s="3"/>
      <c r="MI60" s="3"/>
      <c r="MJ60" s="3"/>
      <c r="MK60" s="3"/>
      <c r="ML60" s="3"/>
      <c r="MM60" s="3"/>
      <c r="MN60" s="3"/>
      <c r="MO60" s="3"/>
      <c r="MP60" s="3"/>
      <c r="MQ60" s="3"/>
      <c r="MR60" s="3"/>
      <c r="MS60" s="3"/>
      <c r="MT60" s="3"/>
      <c r="MU60" s="3"/>
      <c r="MV60" s="3"/>
      <c r="MW60" s="3"/>
      <c r="MX60" s="3"/>
      <c r="MY60" s="3"/>
      <c r="MZ60" s="3"/>
      <c r="NA60" s="3"/>
      <c r="NB60" s="3"/>
      <c r="NC60" s="3"/>
      <c r="ND60" s="3"/>
      <c r="NE60" s="3"/>
      <c r="NF60" s="3"/>
      <c r="NG60" s="3"/>
      <c r="NH60" s="3"/>
      <c r="NI60" s="3"/>
      <c r="NJ60" s="3"/>
      <c r="NK60" s="3"/>
      <c r="NL60" s="3"/>
      <c r="NM60" s="3"/>
      <c r="NN60" s="3"/>
      <c r="NO60" s="3"/>
      <c r="NP60" s="3"/>
      <c r="NQ60" s="3"/>
      <c r="NR60" s="3"/>
      <c r="NS60" s="3"/>
      <c r="NT60" s="3"/>
      <c r="NU60" s="3"/>
      <c r="NV60" s="3"/>
      <c r="NW60" s="3"/>
      <c r="NX60" s="3"/>
      <c r="NY60" s="3"/>
      <c r="NZ60" s="3"/>
      <c r="OA60" s="3"/>
      <c r="OB60" s="3"/>
      <c r="OC60" s="3"/>
      <c r="OD60" s="3"/>
      <c r="OE60" s="3"/>
      <c r="OF60" s="3"/>
      <c r="OG60" s="3"/>
      <c r="OH60" s="3"/>
      <c r="OI60" s="3"/>
      <c r="OJ60" s="3"/>
      <c r="OK60" s="3"/>
      <c r="OL60" s="3"/>
      <c r="OM60" s="3"/>
      <c r="ON60" s="3"/>
      <c r="OO60" s="3"/>
      <c r="OP60" s="3"/>
      <c r="OQ60" s="3"/>
      <c r="OR60" s="3"/>
      <c r="OS60" s="3"/>
      <c r="OT60" s="3"/>
      <c r="OU60" s="3"/>
      <c r="OV60" s="3"/>
      <c r="OW60" s="3"/>
      <c r="OX60" s="3"/>
      <c r="OY60" s="3"/>
      <c r="OZ60" s="3"/>
      <c r="PA60" s="3"/>
      <c r="PB60" s="3"/>
      <c r="PC60" s="3"/>
      <c r="PD60" s="3"/>
      <c r="PE60" s="3"/>
      <c r="PF60" s="3"/>
      <c r="PG60" s="3"/>
      <c r="PH60" s="3"/>
      <c r="PI60" s="3"/>
      <c r="PJ60" s="3"/>
      <c r="PK60" s="3"/>
      <c r="PL60" s="3"/>
      <c r="PM60" s="3"/>
      <c r="PN60" s="3"/>
      <c r="PO60" s="3"/>
      <c r="PP60" s="3"/>
      <c r="PQ60" s="3"/>
      <c r="PR60" s="3"/>
      <c r="PS60" s="3"/>
      <c r="PT60" s="3"/>
      <c r="PU60" s="3"/>
      <c r="PV60" s="3"/>
      <c r="PW60" s="3"/>
      <c r="PX60" s="3"/>
      <c r="PY60" s="3"/>
      <c r="PZ60" s="3"/>
      <c r="QA60" s="3"/>
      <c r="QB60" s="3"/>
      <c r="QC60" s="3"/>
      <c r="QD60" s="3"/>
      <c r="QE60" s="3"/>
      <c r="QF60" s="3"/>
      <c r="QG60" s="3"/>
      <c r="QH60" s="3"/>
      <c r="QI60" s="3"/>
      <c r="QJ60" s="3"/>
      <c r="QK60" s="3"/>
      <c r="QL60" s="3"/>
      <c r="QM60" s="3"/>
      <c r="QN60" s="3"/>
      <c r="QO60" s="3"/>
      <c r="QP60" s="3"/>
      <c r="QQ60" s="3"/>
      <c r="QR60" s="3"/>
      <c r="QS60" s="3"/>
      <c r="QT60" s="3"/>
      <c r="QU60" s="3"/>
      <c r="QV60" s="3"/>
      <c r="QW60" s="3"/>
      <c r="QX60" s="3"/>
      <c r="QY60" s="3"/>
      <c r="QZ60" s="3"/>
      <c r="RA60" s="3"/>
      <c r="RB60" s="3"/>
      <c r="RC60" s="3"/>
      <c r="RD60" s="3"/>
      <c r="RE60" s="3"/>
      <c r="RF60" s="3"/>
      <c r="RG60" s="3"/>
      <c r="RH60" s="3"/>
      <c r="RI60" s="3"/>
      <c r="RJ60" s="3"/>
      <c r="RK60" s="3"/>
      <c r="RL60" s="3"/>
      <c r="RM60" s="3"/>
      <c r="RN60" s="3"/>
      <c r="RO60" s="3"/>
      <c r="RP60" s="3"/>
      <c r="RQ60" s="3"/>
      <c r="RR60" s="3"/>
      <c r="RS60" s="3"/>
      <c r="RT60" s="3"/>
      <c r="RU60" s="3"/>
      <c r="RV60" s="3"/>
      <c r="RW60" s="3"/>
      <c r="RX60" s="3"/>
      <c r="RY60" s="3"/>
      <c r="RZ60" s="3"/>
      <c r="SA60" s="3"/>
      <c r="SB60" s="3"/>
      <c r="SC60" s="3"/>
      <c r="SD60" s="3"/>
      <c r="SE60" s="3"/>
      <c r="SF60" s="3"/>
      <c r="SG60" s="3"/>
      <c r="SH60" s="3"/>
      <c r="SI60" s="3"/>
      <c r="SJ60" s="3"/>
      <c r="SK60" s="3"/>
      <c r="SL60" s="3"/>
      <c r="SM60" s="3"/>
      <c r="SN60" s="3"/>
      <c r="SO60" s="3"/>
      <c r="SP60" s="3"/>
      <c r="SQ60" s="3"/>
      <c r="SR60" s="3"/>
      <c r="SS60" s="3"/>
      <c r="ST60" s="3"/>
      <c r="SU60" s="3"/>
      <c r="SV60" s="3"/>
      <c r="SW60" s="3"/>
      <c r="SX60" s="3"/>
      <c r="SY60" s="3"/>
      <c r="SZ60" s="3"/>
      <c r="TA60" s="3"/>
      <c r="TB60" s="3"/>
      <c r="TC60" s="3"/>
      <c r="TD60" s="3"/>
      <c r="TE60" s="3"/>
      <c r="TF60" s="3"/>
      <c r="TG60" s="3"/>
      <c r="TH60" s="3"/>
      <c r="TI60" s="3"/>
      <c r="TJ60" s="3"/>
      <c r="TK60" s="3"/>
      <c r="TL60" s="3"/>
      <c r="TM60" s="3"/>
      <c r="TN60" s="3"/>
      <c r="TO60" s="3"/>
      <c r="TP60" s="3"/>
      <c r="TQ60" s="3"/>
      <c r="TR60" s="3"/>
      <c r="TS60" s="3"/>
      <c r="TT60" s="3"/>
      <c r="TU60" s="3"/>
      <c r="TV60" s="3"/>
      <c r="TW60" s="3"/>
      <c r="TX60" s="3"/>
      <c r="TY60" s="3"/>
      <c r="TZ60" s="3"/>
      <c r="UA60" s="3"/>
      <c r="UB60" s="3"/>
      <c r="UC60" s="3"/>
      <c r="UD60" s="3"/>
      <c r="UE60" s="3"/>
      <c r="UF60" s="3"/>
      <c r="UG60" s="3"/>
      <c r="UH60" s="3"/>
      <c r="UI60" s="3"/>
      <c r="UJ60" s="3"/>
      <c r="UK60" s="3"/>
      <c r="UL60" s="3"/>
      <c r="UM60" s="3"/>
      <c r="UN60" s="3"/>
      <c r="UO60" s="3"/>
      <c r="UP60" s="3"/>
      <c r="UQ60" s="3"/>
      <c r="UR60" s="3"/>
      <c r="US60" s="3"/>
      <c r="UT60" s="3"/>
      <c r="UU60" s="3"/>
      <c r="UV60" s="3"/>
      <c r="UW60" s="3"/>
      <c r="UX60" s="3"/>
      <c r="UY60" s="3"/>
      <c r="UZ60" s="3"/>
      <c r="VA60" s="3"/>
      <c r="VB60" s="3"/>
      <c r="VC60" s="3"/>
      <c r="VD60" s="3"/>
      <c r="VE60" s="3"/>
      <c r="VF60" s="3"/>
      <c r="VG60" s="3"/>
      <c r="VH60" s="3"/>
      <c r="VI60" s="3"/>
      <c r="VJ60" s="3"/>
      <c r="VK60" s="3"/>
      <c r="VL60" s="3"/>
      <c r="VM60" s="3"/>
      <c r="VN60" s="3"/>
      <c r="VO60" s="3"/>
      <c r="VP60" s="3"/>
      <c r="VQ60" s="3"/>
      <c r="VR60" s="3"/>
      <c r="VS60" s="3"/>
      <c r="VT60" s="3"/>
      <c r="VU60" s="3"/>
      <c r="VV60" s="3"/>
      <c r="VW60" s="3"/>
      <c r="VX60" s="3"/>
      <c r="VY60" s="3"/>
      <c r="VZ60" s="3"/>
      <c r="WA60" s="3"/>
      <c r="WB60" s="3"/>
      <c r="WC60" s="3"/>
      <c r="WD60" s="3"/>
      <c r="WE60" s="3"/>
      <c r="WF60" s="3"/>
      <c r="WG60" s="3"/>
      <c r="WH60" s="3"/>
      <c r="WI60" s="3"/>
      <c r="WJ60" s="3"/>
      <c r="WK60" s="3"/>
      <c r="WL60" s="3"/>
      <c r="WM60" s="3"/>
      <c r="WN60" s="3"/>
      <c r="WO60" s="3"/>
      <c r="WP60" s="3"/>
      <c r="WQ60" s="3"/>
      <c r="WR60" s="3"/>
      <c r="WS60" s="3"/>
      <c r="WT60" s="3"/>
      <c r="WU60" s="3"/>
      <c r="WV60" s="3"/>
      <c r="WW60" s="3"/>
      <c r="WX60" s="3"/>
      <c r="WY60" s="3"/>
      <c r="WZ60" s="3"/>
      <c r="XA60" s="3"/>
      <c r="XB60" s="3"/>
      <c r="XC60" s="3"/>
      <c r="XD60" s="3"/>
      <c r="XE60" s="3"/>
      <c r="XF60" s="3"/>
      <c r="XG60" s="3"/>
      <c r="XH60" s="3"/>
      <c r="XI60" s="3"/>
      <c r="XJ60" s="3"/>
      <c r="XK60" s="3"/>
      <c r="XL60" s="3"/>
      <c r="XM60" s="3"/>
      <c r="XN60" s="3"/>
      <c r="XO60" s="3"/>
      <c r="XP60" s="3"/>
      <c r="XQ60" s="3"/>
      <c r="XR60" s="3"/>
      <c r="XS60" s="3"/>
      <c r="XT60" s="3"/>
      <c r="XU60" s="3"/>
      <c r="XV60" s="3"/>
      <c r="XW60" s="3"/>
      <c r="XX60" s="3"/>
      <c r="XY60" s="3"/>
      <c r="XZ60" s="3"/>
      <c r="YA60" s="3"/>
      <c r="YB60" s="3"/>
      <c r="YC60" s="3"/>
      <c r="YD60" s="3"/>
      <c r="YE60" s="3"/>
      <c r="YF60" s="3"/>
      <c r="YG60" s="3"/>
      <c r="YH60" s="3"/>
      <c r="YI60" s="3"/>
      <c r="YJ60" s="3"/>
      <c r="YK60" s="3"/>
      <c r="YL60" s="3"/>
      <c r="YM60" s="3"/>
      <c r="YN60" s="3"/>
      <c r="YO60" s="3"/>
      <c r="YP60" s="3"/>
      <c r="YQ60" s="3"/>
      <c r="YR60" s="3"/>
      <c r="YS60" s="3"/>
      <c r="YT60" s="3"/>
      <c r="YU60" s="3"/>
      <c r="YV60" s="3"/>
      <c r="YW60" s="3"/>
      <c r="YX60" s="3"/>
      <c r="YY60" s="3"/>
      <c r="YZ60" s="3"/>
      <c r="ZA60" s="3"/>
      <c r="ZB60" s="3"/>
      <c r="ZC60" s="3"/>
      <c r="ZD60" s="3"/>
      <c r="ZE60" s="3"/>
      <c r="ZF60" s="3"/>
      <c r="ZG60" s="3"/>
      <c r="ZH60" s="3"/>
      <c r="ZI60" s="3"/>
      <c r="ZJ60" s="3"/>
      <c r="ZK60" s="3"/>
      <c r="ZL60" s="3"/>
      <c r="ZM60" s="3"/>
      <c r="ZN60" s="3"/>
      <c r="ZO60" s="3"/>
      <c r="ZP60" s="3"/>
      <c r="ZQ60" s="3"/>
      <c r="ZR60" s="3"/>
      <c r="ZS60" s="3"/>
      <c r="ZT60" s="3"/>
      <c r="ZU60" s="3"/>
      <c r="ZV60" s="3"/>
      <c r="ZW60" s="3"/>
      <c r="ZX60" s="3"/>
      <c r="ZY60" s="3"/>
      <c r="ZZ60" s="3"/>
      <c r="AAA60" s="3"/>
      <c r="AAB60" s="3"/>
      <c r="AAC60" s="3"/>
      <c r="AAD60" s="3"/>
      <c r="AAE60" s="3"/>
      <c r="AAF60" s="3"/>
      <c r="AAG60" s="3"/>
      <c r="AAH60" s="3"/>
      <c r="AAI60" s="3"/>
      <c r="AAJ60" s="3"/>
      <c r="AAK60" s="3"/>
      <c r="AAL60" s="3"/>
      <c r="AAM60" s="3"/>
      <c r="AAN60" s="3"/>
      <c r="AAO60" s="3"/>
      <c r="AAP60" s="3"/>
      <c r="AAQ60" s="3"/>
      <c r="AAR60" s="3"/>
      <c r="AAS60" s="3"/>
      <c r="AAT60" s="3"/>
      <c r="AAU60" s="3"/>
      <c r="AAV60" s="3"/>
      <c r="AAW60" s="3"/>
      <c r="AAX60" s="3"/>
      <c r="AAY60" s="3"/>
      <c r="AAZ60" s="3"/>
      <c r="ABA60" s="3"/>
      <c r="ABB60" s="3"/>
      <c r="ABC60" s="3"/>
      <c r="ABD60" s="3"/>
      <c r="ABE60" s="3"/>
      <c r="ABF60" s="3"/>
      <c r="ABG60" s="3"/>
      <c r="ABH60" s="3"/>
      <c r="ABI60" s="3"/>
      <c r="ABJ60" s="3"/>
      <c r="ABK60" s="3"/>
      <c r="ABL60" s="3"/>
      <c r="ABM60" s="3"/>
      <c r="ABN60" s="3"/>
      <c r="ABO60" s="3"/>
      <c r="ABP60" s="3"/>
      <c r="ABQ60" s="3"/>
      <c r="ABR60" s="3"/>
      <c r="ABS60" s="3"/>
      <c r="ABT60" s="3"/>
      <c r="ABU60" s="3"/>
      <c r="ABV60" s="3"/>
      <c r="ABW60" s="3"/>
      <c r="ABX60" s="3"/>
      <c r="ABY60" s="3"/>
      <c r="ABZ60" s="3"/>
      <c r="ACA60" s="3"/>
      <c r="ACB60" s="3"/>
      <c r="ACC60" s="3"/>
      <c r="ACD60" s="3"/>
      <c r="ACE60" s="3"/>
      <c r="ACF60" s="3"/>
      <c r="ACG60" s="3"/>
      <c r="ACH60" s="3"/>
      <c r="ACI60" s="3"/>
      <c r="ACJ60" s="3"/>
      <c r="ACK60" s="3"/>
      <c r="ACL60" s="3"/>
      <c r="ACM60" s="3"/>
      <c r="ACN60" s="3"/>
      <c r="ACO60" s="3"/>
      <c r="ACP60" s="3"/>
    </row>
    <row r="61" spans="1:770" s="248" customFormat="1">
      <c r="A61" s="292" t="e">
        <f>+#REF!+1</f>
        <v>#REF!</v>
      </c>
      <c r="B61" s="419" t="str">
        <f>+'Nomina Proquima'!B16</f>
        <v>Saenz Lemus Dulce Maria</v>
      </c>
      <c r="C61" s="1922">
        <v>16265050459342</v>
      </c>
      <c r="D61" s="401"/>
      <c r="E61" s="1120" t="str">
        <f>+'Nomina Proquima'!B16</f>
        <v>Saenz Lemus Dulce Maria</v>
      </c>
      <c r="F61" s="244" t="str">
        <f>VLOOKUP(B61,distribucion!B$9:FK$200,2,0)</f>
        <v>Recepcionista</v>
      </c>
      <c r="G61" s="244">
        <f>ROUND((VLOOKUP($B61,'Nomina Proquima'!$B$4:$AB$145,4,0)),2)</f>
        <v>30</v>
      </c>
      <c r="H61" s="245">
        <f>ROUND((VLOOKUP($B61,'Nomina Proquima'!$B$4:$AB$145,6,0)),2)</f>
        <v>3166.38</v>
      </c>
      <c r="I61" s="245">
        <f>ROUND((VLOOKUP($B61,'Nomina Proquima'!$B$4:$AB$145,7,0)),2)</f>
        <v>250</v>
      </c>
      <c r="J61" s="245">
        <f>ROUND((VLOOKUP($B61,'Nomina Proquima'!$B$4:$AB$145,9,0)),2)</f>
        <v>0</v>
      </c>
      <c r="K61" s="245">
        <f>ROUND((VLOOKUP($B61,'Nomina Proquima'!$B$4:$AB$145,10,0)),2)</f>
        <v>0</v>
      </c>
      <c r="L61" s="245">
        <f>ROUND((VLOOKUP($B61,'Nomina Proquima'!$B$4:$AB$145,11,0)),2)</f>
        <v>0</v>
      </c>
      <c r="M61" s="245">
        <f>ROUND((VLOOKUP($B61,'Nomina Proquima'!$B$4:$AB$145,12,0)),2)</f>
        <v>0</v>
      </c>
      <c r="N61" s="245">
        <f>ROUND((VLOOKUP($B61,'Nomina Proquima'!$B$4:$AB$145,13,0)),2)</f>
        <v>0</v>
      </c>
      <c r="O61" s="245">
        <f>ROUND((VLOOKUP($B61,'Nomina Proquima'!$B$4:$AB$145,14,0)),2)</f>
        <v>3416.38</v>
      </c>
      <c r="P61" s="245">
        <f>ROUND((VLOOKUP($B61,'Nomina Proquima'!$B$4:$AB$145,15,0)),2)</f>
        <v>152.94</v>
      </c>
      <c r="Q61" s="245">
        <f>ROUND((VLOOKUP($B61,'Nomina Proquima'!$B$4:$AB$145,16,0)),2)</f>
        <v>0</v>
      </c>
      <c r="R61" s="245">
        <f>ROUND((VLOOKUP($B61,'Nomina Proquima'!$B$4:$AB$145,17,0)),2)</f>
        <v>0</v>
      </c>
      <c r="S61" s="245">
        <f>ROUND((VLOOKUP($B61,'Nomina Proquima'!$B$4:$AB$145,18,0)),2)</f>
        <v>0</v>
      </c>
      <c r="T61" s="245">
        <f>ROUND((VLOOKUP($B61,'Nomina Proquima'!$B$4:$AB$145,19,0)),2)</f>
        <v>0</v>
      </c>
      <c r="U61" s="245">
        <f>ROUND((VLOOKUP($B61,'Nomina Proquima'!$B$4:$AB$145,20,0)),2)</f>
        <v>0</v>
      </c>
      <c r="V61" s="245">
        <f>ROUND((VLOOKUP($B61,'Nomina Proquima'!$B$4:$AB$145,21,0)),2)</f>
        <v>0</v>
      </c>
      <c r="W61" s="245">
        <f>ROUND((VLOOKUP($B61,'Nomina Proquima'!$B$4:$AB$145,22,0)),2)</f>
        <v>50</v>
      </c>
      <c r="X61" s="245">
        <f>ROUND((VLOOKUP($B61,'Nomina Proquima'!$B$4:$AB$145,23,0)),2)</f>
        <v>202.94</v>
      </c>
      <c r="Y61" s="234">
        <f>ROUND((VLOOKUP($B61,'Nomina Proquima'!$B$4:$AB$147,24,0)),2)</f>
        <v>3213.44</v>
      </c>
      <c r="Z61" s="399">
        <f>VLOOKUP(B61,'Nomina Proquima'!$B$4:$AA$148,25,0)</f>
        <v>1631.72</v>
      </c>
      <c r="AA61" s="405">
        <f>ROUND((VLOOKUP($B61,'Nomina Proquima'!$B$4:$AB$145,26,0)),2)</f>
        <v>1581.72</v>
      </c>
      <c r="AB61" s="246"/>
      <c r="AC61" s="247"/>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c r="IW61" s="3"/>
      <c r="IX61" s="3"/>
      <c r="IY61" s="3"/>
      <c r="IZ61" s="3"/>
      <c r="JA61" s="3"/>
      <c r="JB61" s="3"/>
      <c r="JC61" s="3"/>
      <c r="JD61" s="3"/>
      <c r="JE61" s="3"/>
      <c r="JF61" s="3"/>
      <c r="JG61" s="3"/>
      <c r="JH61" s="3"/>
      <c r="JI61" s="3"/>
      <c r="JJ61" s="3"/>
      <c r="JK61" s="3"/>
      <c r="JL61" s="3"/>
      <c r="JM61" s="3"/>
      <c r="JN61" s="3"/>
      <c r="JO61" s="3"/>
      <c r="JP61" s="3"/>
      <c r="JQ61" s="3"/>
      <c r="JR61" s="3"/>
      <c r="JS61" s="3"/>
      <c r="JT61" s="3"/>
      <c r="JU61" s="3"/>
      <c r="JV61" s="3"/>
      <c r="JW61" s="3"/>
      <c r="JX61" s="3"/>
      <c r="JY61" s="3"/>
      <c r="JZ61" s="3"/>
      <c r="KA61" s="3"/>
      <c r="KB61" s="3"/>
      <c r="KC61" s="3"/>
      <c r="KD61" s="3"/>
      <c r="KE61" s="3"/>
      <c r="KF61" s="3"/>
      <c r="KG61" s="3"/>
      <c r="KH61" s="3"/>
      <c r="KI61" s="3"/>
      <c r="KJ61" s="3"/>
      <c r="KK61" s="3"/>
      <c r="KL61" s="3"/>
      <c r="KM61" s="3"/>
      <c r="KN61" s="3"/>
      <c r="KO61" s="3"/>
      <c r="KP61" s="3"/>
      <c r="KQ61" s="3"/>
      <c r="KR61" s="3"/>
      <c r="KS61" s="3"/>
      <c r="KT61" s="3"/>
      <c r="KU61" s="3"/>
      <c r="KV61" s="3"/>
      <c r="KW61" s="3"/>
      <c r="KX61" s="3"/>
      <c r="KY61" s="3"/>
      <c r="KZ61" s="3"/>
      <c r="LA61" s="3"/>
      <c r="LB61" s="3"/>
      <c r="LC61" s="3"/>
      <c r="LD61" s="3"/>
      <c r="LE61" s="3"/>
      <c r="LF61" s="3"/>
      <c r="LG61" s="3"/>
      <c r="LH61" s="3"/>
      <c r="LI61" s="3"/>
      <c r="LJ61" s="3"/>
      <c r="LK61" s="3"/>
      <c r="LL61" s="3"/>
      <c r="LM61" s="3"/>
      <c r="LN61" s="3"/>
      <c r="LO61" s="3"/>
      <c r="LP61" s="3"/>
      <c r="LQ61" s="3"/>
      <c r="LR61" s="3"/>
      <c r="LS61" s="3"/>
      <c r="LT61" s="3"/>
      <c r="LU61" s="3"/>
      <c r="LV61" s="3"/>
      <c r="LW61" s="3"/>
      <c r="LX61" s="3"/>
      <c r="LY61" s="3"/>
      <c r="LZ61" s="3"/>
      <c r="MA61" s="3"/>
      <c r="MB61" s="3"/>
      <c r="MC61" s="3"/>
      <c r="MD61" s="3"/>
      <c r="ME61" s="3"/>
      <c r="MF61" s="3"/>
      <c r="MG61" s="3"/>
      <c r="MH61" s="3"/>
      <c r="MI61" s="3"/>
      <c r="MJ61" s="3"/>
      <c r="MK61" s="3"/>
      <c r="ML61" s="3"/>
      <c r="MM61" s="3"/>
      <c r="MN61" s="3"/>
      <c r="MO61" s="3"/>
      <c r="MP61" s="3"/>
      <c r="MQ61" s="3"/>
      <c r="MR61" s="3"/>
      <c r="MS61" s="3"/>
      <c r="MT61" s="3"/>
      <c r="MU61" s="3"/>
      <c r="MV61" s="3"/>
      <c r="MW61" s="3"/>
      <c r="MX61" s="3"/>
      <c r="MY61" s="3"/>
      <c r="MZ61" s="3"/>
      <c r="NA61" s="3"/>
      <c r="NB61" s="3"/>
      <c r="NC61" s="3"/>
      <c r="ND61" s="3"/>
      <c r="NE61" s="3"/>
      <c r="NF61" s="3"/>
      <c r="NG61" s="3"/>
      <c r="NH61" s="3"/>
      <c r="NI61" s="3"/>
      <c r="NJ61" s="3"/>
      <c r="NK61" s="3"/>
      <c r="NL61" s="3"/>
      <c r="NM61" s="3"/>
      <c r="NN61" s="3"/>
      <c r="NO61" s="3"/>
      <c r="NP61" s="3"/>
      <c r="NQ61" s="3"/>
      <c r="NR61" s="3"/>
      <c r="NS61" s="3"/>
      <c r="NT61" s="3"/>
      <c r="NU61" s="3"/>
      <c r="NV61" s="3"/>
      <c r="NW61" s="3"/>
      <c r="NX61" s="3"/>
      <c r="NY61" s="3"/>
      <c r="NZ61" s="3"/>
      <c r="OA61" s="3"/>
      <c r="OB61" s="3"/>
      <c r="OC61" s="3"/>
      <c r="OD61" s="3"/>
      <c r="OE61" s="3"/>
      <c r="OF61" s="3"/>
      <c r="OG61" s="3"/>
      <c r="OH61" s="3"/>
      <c r="OI61" s="3"/>
      <c r="OJ61" s="3"/>
      <c r="OK61" s="3"/>
      <c r="OL61" s="3"/>
      <c r="OM61" s="3"/>
      <c r="ON61" s="3"/>
      <c r="OO61" s="3"/>
      <c r="OP61" s="3"/>
      <c r="OQ61" s="3"/>
      <c r="OR61" s="3"/>
      <c r="OS61" s="3"/>
      <c r="OT61" s="3"/>
      <c r="OU61" s="3"/>
      <c r="OV61" s="3"/>
      <c r="OW61" s="3"/>
      <c r="OX61" s="3"/>
      <c r="OY61" s="3"/>
      <c r="OZ61" s="3"/>
      <c r="PA61" s="3"/>
      <c r="PB61" s="3"/>
      <c r="PC61" s="3"/>
      <c r="PD61" s="3"/>
      <c r="PE61" s="3"/>
      <c r="PF61" s="3"/>
      <c r="PG61" s="3"/>
      <c r="PH61" s="3"/>
      <c r="PI61" s="3"/>
      <c r="PJ61" s="3"/>
      <c r="PK61" s="3"/>
      <c r="PL61" s="3"/>
      <c r="PM61" s="3"/>
      <c r="PN61" s="3"/>
      <c r="PO61" s="3"/>
      <c r="PP61" s="3"/>
      <c r="PQ61" s="3"/>
      <c r="PR61" s="3"/>
      <c r="PS61" s="3"/>
      <c r="PT61" s="3"/>
      <c r="PU61" s="3"/>
      <c r="PV61" s="3"/>
      <c r="PW61" s="3"/>
      <c r="PX61" s="3"/>
      <c r="PY61" s="3"/>
      <c r="PZ61" s="3"/>
      <c r="QA61" s="3"/>
      <c r="QB61" s="3"/>
      <c r="QC61" s="3"/>
      <c r="QD61" s="3"/>
      <c r="QE61" s="3"/>
      <c r="QF61" s="3"/>
      <c r="QG61" s="3"/>
      <c r="QH61" s="3"/>
      <c r="QI61" s="3"/>
      <c r="QJ61" s="3"/>
      <c r="QK61" s="3"/>
      <c r="QL61" s="3"/>
      <c r="QM61" s="3"/>
      <c r="QN61" s="3"/>
      <c r="QO61" s="3"/>
      <c r="QP61" s="3"/>
      <c r="QQ61" s="3"/>
      <c r="QR61" s="3"/>
      <c r="QS61" s="3"/>
      <c r="QT61" s="3"/>
      <c r="QU61" s="3"/>
      <c r="QV61" s="3"/>
      <c r="QW61" s="3"/>
      <c r="QX61" s="3"/>
      <c r="QY61" s="3"/>
      <c r="QZ61" s="3"/>
      <c r="RA61" s="3"/>
      <c r="RB61" s="3"/>
      <c r="RC61" s="3"/>
      <c r="RD61" s="3"/>
      <c r="RE61" s="3"/>
      <c r="RF61" s="3"/>
      <c r="RG61" s="3"/>
      <c r="RH61" s="3"/>
      <c r="RI61" s="3"/>
      <c r="RJ61" s="3"/>
      <c r="RK61" s="3"/>
      <c r="RL61" s="3"/>
      <c r="RM61" s="3"/>
      <c r="RN61" s="3"/>
      <c r="RO61" s="3"/>
      <c r="RP61" s="3"/>
      <c r="RQ61" s="3"/>
      <c r="RR61" s="3"/>
      <c r="RS61" s="3"/>
      <c r="RT61" s="3"/>
      <c r="RU61" s="3"/>
      <c r="RV61" s="3"/>
      <c r="RW61" s="3"/>
      <c r="RX61" s="3"/>
      <c r="RY61" s="3"/>
      <c r="RZ61" s="3"/>
      <c r="SA61" s="3"/>
      <c r="SB61" s="3"/>
      <c r="SC61" s="3"/>
      <c r="SD61" s="3"/>
      <c r="SE61" s="3"/>
      <c r="SF61" s="3"/>
      <c r="SG61" s="3"/>
      <c r="SH61" s="3"/>
      <c r="SI61" s="3"/>
      <c r="SJ61" s="3"/>
      <c r="SK61" s="3"/>
      <c r="SL61" s="3"/>
      <c r="SM61" s="3"/>
      <c r="SN61" s="3"/>
      <c r="SO61" s="3"/>
      <c r="SP61" s="3"/>
      <c r="SQ61" s="3"/>
      <c r="SR61" s="3"/>
      <c r="SS61" s="3"/>
      <c r="ST61" s="3"/>
      <c r="SU61" s="3"/>
      <c r="SV61" s="3"/>
      <c r="SW61" s="3"/>
      <c r="SX61" s="3"/>
      <c r="SY61" s="3"/>
      <c r="SZ61" s="3"/>
      <c r="TA61" s="3"/>
      <c r="TB61" s="3"/>
      <c r="TC61" s="3"/>
      <c r="TD61" s="3"/>
      <c r="TE61" s="3"/>
      <c r="TF61" s="3"/>
      <c r="TG61" s="3"/>
      <c r="TH61" s="3"/>
      <c r="TI61" s="3"/>
      <c r="TJ61" s="3"/>
      <c r="TK61" s="3"/>
      <c r="TL61" s="3"/>
      <c r="TM61" s="3"/>
      <c r="TN61" s="3"/>
      <c r="TO61" s="3"/>
      <c r="TP61" s="3"/>
      <c r="TQ61" s="3"/>
      <c r="TR61" s="3"/>
      <c r="TS61" s="3"/>
      <c r="TT61" s="3"/>
      <c r="TU61" s="3"/>
      <c r="TV61" s="3"/>
      <c r="TW61" s="3"/>
      <c r="TX61" s="3"/>
      <c r="TY61" s="3"/>
      <c r="TZ61" s="3"/>
      <c r="UA61" s="3"/>
      <c r="UB61" s="3"/>
      <c r="UC61" s="3"/>
      <c r="UD61" s="3"/>
      <c r="UE61" s="3"/>
      <c r="UF61" s="3"/>
      <c r="UG61" s="3"/>
      <c r="UH61" s="3"/>
      <c r="UI61" s="3"/>
      <c r="UJ61" s="3"/>
      <c r="UK61" s="3"/>
      <c r="UL61" s="3"/>
      <c r="UM61" s="3"/>
      <c r="UN61" s="3"/>
      <c r="UO61" s="3"/>
      <c r="UP61" s="3"/>
      <c r="UQ61" s="3"/>
      <c r="UR61" s="3"/>
      <c r="US61" s="3"/>
      <c r="UT61" s="3"/>
      <c r="UU61" s="3"/>
      <c r="UV61" s="3"/>
      <c r="UW61" s="3"/>
      <c r="UX61" s="3"/>
      <c r="UY61" s="3"/>
      <c r="UZ61" s="3"/>
      <c r="VA61" s="3"/>
      <c r="VB61" s="3"/>
      <c r="VC61" s="3"/>
      <c r="VD61" s="3"/>
      <c r="VE61" s="3"/>
      <c r="VF61" s="3"/>
      <c r="VG61" s="3"/>
      <c r="VH61" s="3"/>
      <c r="VI61" s="3"/>
      <c r="VJ61" s="3"/>
      <c r="VK61" s="3"/>
      <c r="VL61" s="3"/>
      <c r="VM61" s="3"/>
      <c r="VN61" s="3"/>
      <c r="VO61" s="3"/>
      <c r="VP61" s="3"/>
      <c r="VQ61" s="3"/>
      <c r="VR61" s="3"/>
      <c r="VS61" s="3"/>
      <c r="VT61" s="3"/>
      <c r="VU61" s="3"/>
      <c r="VV61" s="3"/>
      <c r="VW61" s="3"/>
      <c r="VX61" s="3"/>
      <c r="VY61" s="3"/>
      <c r="VZ61" s="3"/>
      <c r="WA61" s="3"/>
      <c r="WB61" s="3"/>
      <c r="WC61" s="3"/>
      <c r="WD61" s="3"/>
      <c r="WE61" s="3"/>
      <c r="WF61" s="3"/>
      <c r="WG61" s="3"/>
      <c r="WH61" s="3"/>
      <c r="WI61" s="3"/>
      <c r="WJ61" s="3"/>
      <c r="WK61" s="3"/>
      <c r="WL61" s="3"/>
      <c r="WM61" s="3"/>
      <c r="WN61" s="3"/>
      <c r="WO61" s="3"/>
      <c r="WP61" s="3"/>
      <c r="WQ61" s="3"/>
      <c r="WR61" s="3"/>
      <c r="WS61" s="3"/>
      <c r="WT61" s="3"/>
      <c r="WU61" s="3"/>
      <c r="WV61" s="3"/>
      <c r="WW61" s="3"/>
      <c r="WX61" s="3"/>
      <c r="WY61" s="3"/>
      <c r="WZ61" s="3"/>
      <c r="XA61" s="3"/>
      <c r="XB61" s="3"/>
      <c r="XC61" s="3"/>
      <c r="XD61" s="3"/>
      <c r="XE61" s="3"/>
      <c r="XF61" s="3"/>
      <c r="XG61" s="3"/>
      <c r="XH61" s="3"/>
      <c r="XI61" s="3"/>
      <c r="XJ61" s="3"/>
      <c r="XK61" s="3"/>
      <c r="XL61" s="3"/>
      <c r="XM61" s="3"/>
      <c r="XN61" s="3"/>
      <c r="XO61" s="3"/>
      <c r="XP61" s="3"/>
      <c r="XQ61" s="3"/>
      <c r="XR61" s="3"/>
      <c r="XS61" s="3"/>
      <c r="XT61" s="3"/>
      <c r="XU61" s="3"/>
      <c r="XV61" s="3"/>
      <c r="XW61" s="3"/>
      <c r="XX61" s="3"/>
      <c r="XY61" s="3"/>
      <c r="XZ61" s="3"/>
      <c r="YA61" s="3"/>
      <c r="YB61" s="3"/>
      <c r="YC61" s="3"/>
      <c r="YD61" s="3"/>
      <c r="YE61" s="3"/>
      <c r="YF61" s="3"/>
      <c r="YG61" s="3"/>
      <c r="YH61" s="3"/>
      <c r="YI61" s="3"/>
      <c r="YJ61" s="3"/>
      <c r="YK61" s="3"/>
      <c r="YL61" s="3"/>
      <c r="YM61" s="3"/>
      <c r="YN61" s="3"/>
      <c r="YO61" s="3"/>
      <c r="YP61" s="3"/>
      <c r="YQ61" s="3"/>
      <c r="YR61" s="3"/>
      <c r="YS61" s="3"/>
      <c r="YT61" s="3"/>
      <c r="YU61" s="3"/>
      <c r="YV61" s="3"/>
      <c r="YW61" s="3"/>
      <c r="YX61" s="3"/>
      <c r="YY61" s="3"/>
      <c r="YZ61" s="3"/>
      <c r="ZA61" s="3"/>
      <c r="ZB61" s="3"/>
      <c r="ZC61" s="3"/>
      <c r="ZD61" s="3"/>
      <c r="ZE61" s="3"/>
      <c r="ZF61" s="3"/>
      <c r="ZG61" s="3"/>
      <c r="ZH61" s="3"/>
      <c r="ZI61" s="3"/>
      <c r="ZJ61" s="3"/>
      <c r="ZK61" s="3"/>
      <c r="ZL61" s="3"/>
      <c r="ZM61" s="3"/>
      <c r="ZN61" s="3"/>
      <c r="ZO61" s="3"/>
      <c r="ZP61" s="3"/>
      <c r="ZQ61" s="3"/>
      <c r="ZR61" s="3"/>
      <c r="ZS61" s="3"/>
      <c r="ZT61" s="3"/>
      <c r="ZU61" s="3"/>
      <c r="ZV61" s="3"/>
      <c r="ZW61" s="3"/>
      <c r="ZX61" s="3"/>
      <c r="ZY61" s="3"/>
      <c r="ZZ61" s="3"/>
      <c r="AAA61" s="3"/>
      <c r="AAB61" s="3"/>
      <c r="AAC61" s="3"/>
      <c r="AAD61" s="3"/>
      <c r="AAE61" s="3"/>
      <c r="AAF61" s="3"/>
      <c r="AAG61" s="3"/>
      <c r="AAH61" s="3"/>
      <c r="AAI61" s="3"/>
      <c r="AAJ61" s="3"/>
      <c r="AAK61" s="3"/>
      <c r="AAL61" s="3"/>
      <c r="AAM61" s="3"/>
      <c r="AAN61" s="3"/>
      <c r="AAO61" s="3"/>
      <c r="AAP61" s="3"/>
      <c r="AAQ61" s="3"/>
      <c r="AAR61" s="3"/>
      <c r="AAS61" s="3"/>
      <c r="AAT61" s="3"/>
      <c r="AAU61" s="3"/>
      <c r="AAV61" s="3"/>
      <c r="AAW61" s="3"/>
      <c r="AAX61" s="3"/>
      <c r="AAY61" s="3"/>
      <c r="AAZ61" s="3"/>
      <c r="ABA61" s="3"/>
      <c r="ABB61" s="3"/>
      <c r="ABC61" s="3"/>
      <c r="ABD61" s="3"/>
      <c r="ABE61" s="3"/>
      <c r="ABF61" s="3"/>
      <c r="ABG61" s="3"/>
      <c r="ABH61" s="3"/>
      <c r="ABI61" s="3"/>
      <c r="ABJ61" s="3"/>
      <c r="ABK61" s="3"/>
      <c r="ABL61" s="3"/>
      <c r="ABM61" s="3"/>
      <c r="ABN61" s="3"/>
      <c r="ABO61" s="3"/>
      <c r="ABP61" s="3"/>
      <c r="ABQ61" s="3"/>
      <c r="ABR61" s="3"/>
      <c r="ABS61" s="3"/>
      <c r="ABT61" s="3"/>
      <c r="ABU61" s="3"/>
      <c r="ABV61" s="3"/>
      <c r="ABW61" s="3"/>
      <c r="ABX61" s="3"/>
      <c r="ABY61" s="3"/>
      <c r="ABZ61" s="3"/>
      <c r="ACA61" s="3"/>
      <c r="ACB61" s="3"/>
      <c r="ACC61" s="3"/>
      <c r="ACD61" s="3"/>
      <c r="ACE61" s="3"/>
      <c r="ACF61" s="3"/>
      <c r="ACG61" s="3"/>
      <c r="ACH61" s="3"/>
      <c r="ACI61" s="3"/>
      <c r="ACJ61" s="3"/>
      <c r="ACK61" s="3"/>
      <c r="ACL61" s="3"/>
      <c r="ACM61" s="3"/>
      <c r="ACN61" s="3"/>
      <c r="ACO61" s="3"/>
      <c r="ACP61" s="3"/>
    </row>
    <row r="62" spans="1:770" s="248" customFormat="1">
      <c r="A62" s="292" t="e">
        <f>+#REF!+1</f>
        <v>#REF!</v>
      </c>
      <c r="B62" s="419" t="str">
        <f>+'Nomina Proquima'!B104</f>
        <v>Guzman Tian Fredy Alexander</v>
      </c>
      <c r="C62" s="1922">
        <v>16265050475801</v>
      </c>
      <c r="D62" s="401"/>
      <c r="E62" s="1120" t="str">
        <f>+'Nomina Proquima'!B104</f>
        <v>Guzman Tian Fredy Alexander</v>
      </c>
      <c r="F62" s="244" t="str">
        <f>VLOOKUP(B62,distribucion!B$9:FK$200,2,0)</f>
        <v>Auxiliar de Piloto</v>
      </c>
      <c r="G62" s="244">
        <f>ROUND((VLOOKUP($B62,'Nomina Proquima'!$B$4:$AB$145,4,0)),2)</f>
        <v>30</v>
      </c>
      <c r="H62" s="245">
        <f>ROUND((VLOOKUP($B62,'Nomina Proquima'!$B$4:$AB$145,6,0)),2)</f>
        <v>3166.38</v>
      </c>
      <c r="I62" s="245">
        <f>ROUND((VLOOKUP($B62,'Nomina Proquima'!$B$4:$AB$145,7,0)),2)</f>
        <v>542.86</v>
      </c>
      <c r="J62" s="245">
        <f>ROUND((VLOOKUP($B62,'Nomina Proquima'!$B$4:$AB$145,9,0)),2)</f>
        <v>0</v>
      </c>
      <c r="K62" s="245">
        <f>ROUND((VLOOKUP($B62,'Nomina Proquima'!$B$4:$AB$145,10,0)),2)</f>
        <v>0</v>
      </c>
      <c r="L62" s="245">
        <f>ROUND((VLOOKUP($B62,'Nomina Proquima'!$B$4:$AB$145,11,0)),2)</f>
        <v>0</v>
      </c>
      <c r="M62" s="245">
        <f>ROUND((VLOOKUP($B62,'Nomina Proquima'!$B$4:$AB$145,12,0)),2)</f>
        <v>0</v>
      </c>
      <c r="N62" s="245">
        <f>ROUND((VLOOKUP($B62,'Nomina Proquima'!$B$4:$AB$145,13,0)),2)</f>
        <v>0</v>
      </c>
      <c r="O62" s="245">
        <f>ROUND((VLOOKUP($B62,'Nomina Proquima'!$B$4:$AB$145,14,0)),2)</f>
        <v>3709.24</v>
      </c>
      <c r="P62" s="245">
        <f>ROUND((VLOOKUP($B62,'Nomina Proquima'!$B$4:$AB$145,15,0)),2)</f>
        <v>152.94</v>
      </c>
      <c r="Q62" s="245">
        <f>ROUND((VLOOKUP($B62,'Nomina Proquima'!$B$4:$AB$145,16,0)),2)</f>
        <v>0</v>
      </c>
      <c r="R62" s="245">
        <f>ROUND((VLOOKUP($B62,'Nomina Proquima'!$B$4:$AB$145,17,0)),2)</f>
        <v>0</v>
      </c>
      <c r="S62" s="245">
        <f>ROUND((VLOOKUP($B62,'Nomina Proquima'!$B$4:$AB$145,18,0)),2)</f>
        <v>0</v>
      </c>
      <c r="T62" s="245">
        <f>ROUND((VLOOKUP($B62,'Nomina Proquima'!$B$4:$AB$145,19,0)),2)</f>
        <v>0</v>
      </c>
      <c r="U62" s="245">
        <f>ROUND((VLOOKUP($B62,'Nomina Proquima'!$B$4:$AB$145,20,0)),2)</f>
        <v>0</v>
      </c>
      <c r="V62" s="245">
        <f>ROUND((VLOOKUP($B62,'Nomina Proquima'!$B$4:$AB$145,21,0)),2)</f>
        <v>226</v>
      </c>
      <c r="W62" s="245">
        <f>ROUND((VLOOKUP($B62,'Nomina Proquima'!$B$4:$AB$145,22,0)),2)</f>
        <v>374</v>
      </c>
      <c r="X62" s="245">
        <f>ROUND((VLOOKUP($B62,'Nomina Proquima'!$B$4:$AB$145,23,0)),2)</f>
        <v>752.94</v>
      </c>
      <c r="Y62" s="234">
        <f>ROUND((VLOOKUP($B62,'Nomina Proquima'!$B$4:$AB$147,24,0)),2)</f>
        <v>2956.3</v>
      </c>
      <c r="Z62" s="399">
        <f>VLOOKUP(B62,'Nomina Proquima'!$B$4:$AA$148,25,0)</f>
        <v>1680.15</v>
      </c>
      <c r="AA62" s="405">
        <f>ROUND((VLOOKUP($B62,'Nomina Proquima'!$B$4:$AB$145,26,0)),2)</f>
        <v>1276.1500000000001</v>
      </c>
      <c r="AB62" s="246"/>
      <c r="AC62" s="247"/>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c r="JA62" s="3"/>
      <c r="JB62" s="3"/>
      <c r="JC62" s="3"/>
      <c r="JD62" s="3"/>
      <c r="JE62" s="3"/>
      <c r="JF62" s="3"/>
      <c r="JG62" s="3"/>
      <c r="JH62" s="3"/>
      <c r="JI62" s="3"/>
      <c r="JJ62" s="3"/>
      <c r="JK62" s="3"/>
      <c r="JL62" s="3"/>
      <c r="JM62" s="3"/>
      <c r="JN62" s="3"/>
      <c r="JO62" s="3"/>
      <c r="JP62" s="3"/>
      <c r="JQ62" s="3"/>
      <c r="JR62" s="3"/>
      <c r="JS62" s="3"/>
      <c r="JT62" s="3"/>
      <c r="JU62" s="3"/>
      <c r="JV62" s="3"/>
      <c r="JW62" s="3"/>
      <c r="JX62" s="3"/>
      <c r="JY62" s="3"/>
      <c r="JZ62" s="3"/>
      <c r="KA62" s="3"/>
      <c r="KB62" s="3"/>
      <c r="KC62" s="3"/>
      <c r="KD62" s="3"/>
      <c r="KE62" s="3"/>
      <c r="KF62" s="3"/>
      <c r="KG62" s="3"/>
      <c r="KH62" s="3"/>
      <c r="KI62" s="3"/>
      <c r="KJ62" s="3"/>
      <c r="KK62" s="3"/>
      <c r="KL62" s="3"/>
      <c r="KM62" s="3"/>
      <c r="KN62" s="3"/>
      <c r="KO62" s="3"/>
      <c r="KP62" s="3"/>
      <c r="KQ62" s="3"/>
      <c r="KR62" s="3"/>
      <c r="KS62" s="3"/>
      <c r="KT62" s="3"/>
      <c r="KU62" s="3"/>
      <c r="KV62" s="3"/>
      <c r="KW62" s="3"/>
      <c r="KX62" s="3"/>
      <c r="KY62" s="3"/>
      <c r="KZ62" s="3"/>
      <c r="LA62" s="3"/>
      <c r="LB62" s="3"/>
      <c r="LC62" s="3"/>
      <c r="LD62" s="3"/>
      <c r="LE62" s="3"/>
      <c r="LF62" s="3"/>
      <c r="LG62" s="3"/>
      <c r="LH62" s="3"/>
      <c r="LI62" s="3"/>
      <c r="LJ62" s="3"/>
      <c r="LK62" s="3"/>
      <c r="LL62" s="3"/>
      <c r="LM62" s="3"/>
      <c r="LN62" s="3"/>
      <c r="LO62" s="3"/>
      <c r="LP62" s="3"/>
      <c r="LQ62" s="3"/>
      <c r="LR62" s="3"/>
      <c r="LS62" s="3"/>
      <c r="LT62" s="3"/>
      <c r="LU62" s="3"/>
      <c r="LV62" s="3"/>
      <c r="LW62" s="3"/>
      <c r="LX62" s="3"/>
      <c r="LY62" s="3"/>
      <c r="LZ62" s="3"/>
      <c r="MA62" s="3"/>
      <c r="MB62" s="3"/>
      <c r="MC62" s="3"/>
      <c r="MD62" s="3"/>
      <c r="ME62" s="3"/>
      <c r="MF62" s="3"/>
      <c r="MG62" s="3"/>
      <c r="MH62" s="3"/>
      <c r="MI62" s="3"/>
      <c r="MJ62" s="3"/>
      <c r="MK62" s="3"/>
      <c r="ML62" s="3"/>
      <c r="MM62" s="3"/>
      <c r="MN62" s="3"/>
      <c r="MO62" s="3"/>
      <c r="MP62" s="3"/>
      <c r="MQ62" s="3"/>
      <c r="MR62" s="3"/>
      <c r="MS62" s="3"/>
      <c r="MT62" s="3"/>
      <c r="MU62" s="3"/>
      <c r="MV62" s="3"/>
      <c r="MW62" s="3"/>
      <c r="MX62" s="3"/>
      <c r="MY62" s="3"/>
      <c r="MZ62" s="3"/>
      <c r="NA62" s="3"/>
      <c r="NB62" s="3"/>
      <c r="NC62" s="3"/>
      <c r="ND62" s="3"/>
      <c r="NE62" s="3"/>
      <c r="NF62" s="3"/>
      <c r="NG62" s="3"/>
      <c r="NH62" s="3"/>
      <c r="NI62" s="3"/>
      <c r="NJ62" s="3"/>
      <c r="NK62" s="3"/>
      <c r="NL62" s="3"/>
      <c r="NM62" s="3"/>
      <c r="NN62" s="3"/>
      <c r="NO62" s="3"/>
      <c r="NP62" s="3"/>
      <c r="NQ62" s="3"/>
      <c r="NR62" s="3"/>
      <c r="NS62" s="3"/>
      <c r="NT62" s="3"/>
      <c r="NU62" s="3"/>
      <c r="NV62" s="3"/>
      <c r="NW62" s="3"/>
      <c r="NX62" s="3"/>
      <c r="NY62" s="3"/>
      <c r="NZ62" s="3"/>
      <c r="OA62" s="3"/>
      <c r="OB62" s="3"/>
      <c r="OC62" s="3"/>
      <c r="OD62" s="3"/>
      <c r="OE62" s="3"/>
      <c r="OF62" s="3"/>
      <c r="OG62" s="3"/>
      <c r="OH62" s="3"/>
      <c r="OI62" s="3"/>
      <c r="OJ62" s="3"/>
      <c r="OK62" s="3"/>
      <c r="OL62" s="3"/>
      <c r="OM62" s="3"/>
      <c r="ON62" s="3"/>
      <c r="OO62" s="3"/>
      <c r="OP62" s="3"/>
      <c r="OQ62" s="3"/>
      <c r="OR62" s="3"/>
      <c r="OS62" s="3"/>
      <c r="OT62" s="3"/>
      <c r="OU62" s="3"/>
      <c r="OV62" s="3"/>
      <c r="OW62" s="3"/>
      <c r="OX62" s="3"/>
      <c r="OY62" s="3"/>
      <c r="OZ62" s="3"/>
      <c r="PA62" s="3"/>
      <c r="PB62" s="3"/>
      <c r="PC62" s="3"/>
      <c r="PD62" s="3"/>
      <c r="PE62" s="3"/>
      <c r="PF62" s="3"/>
      <c r="PG62" s="3"/>
      <c r="PH62" s="3"/>
      <c r="PI62" s="3"/>
      <c r="PJ62" s="3"/>
      <c r="PK62" s="3"/>
      <c r="PL62" s="3"/>
      <c r="PM62" s="3"/>
      <c r="PN62" s="3"/>
      <c r="PO62" s="3"/>
      <c r="PP62" s="3"/>
      <c r="PQ62" s="3"/>
      <c r="PR62" s="3"/>
      <c r="PS62" s="3"/>
      <c r="PT62" s="3"/>
      <c r="PU62" s="3"/>
      <c r="PV62" s="3"/>
      <c r="PW62" s="3"/>
      <c r="PX62" s="3"/>
      <c r="PY62" s="3"/>
      <c r="PZ62" s="3"/>
      <c r="QA62" s="3"/>
      <c r="QB62" s="3"/>
      <c r="QC62" s="3"/>
      <c r="QD62" s="3"/>
      <c r="QE62" s="3"/>
      <c r="QF62" s="3"/>
      <c r="QG62" s="3"/>
      <c r="QH62" s="3"/>
      <c r="QI62" s="3"/>
      <c r="QJ62" s="3"/>
      <c r="QK62" s="3"/>
      <c r="QL62" s="3"/>
      <c r="QM62" s="3"/>
      <c r="QN62" s="3"/>
      <c r="QO62" s="3"/>
      <c r="QP62" s="3"/>
      <c r="QQ62" s="3"/>
      <c r="QR62" s="3"/>
      <c r="QS62" s="3"/>
      <c r="QT62" s="3"/>
      <c r="QU62" s="3"/>
      <c r="QV62" s="3"/>
      <c r="QW62" s="3"/>
      <c r="QX62" s="3"/>
      <c r="QY62" s="3"/>
      <c r="QZ62" s="3"/>
      <c r="RA62" s="3"/>
      <c r="RB62" s="3"/>
      <c r="RC62" s="3"/>
      <c r="RD62" s="3"/>
      <c r="RE62" s="3"/>
      <c r="RF62" s="3"/>
      <c r="RG62" s="3"/>
      <c r="RH62" s="3"/>
      <c r="RI62" s="3"/>
      <c r="RJ62" s="3"/>
      <c r="RK62" s="3"/>
      <c r="RL62" s="3"/>
      <c r="RM62" s="3"/>
      <c r="RN62" s="3"/>
      <c r="RO62" s="3"/>
      <c r="RP62" s="3"/>
      <c r="RQ62" s="3"/>
      <c r="RR62" s="3"/>
      <c r="RS62" s="3"/>
      <c r="RT62" s="3"/>
      <c r="RU62" s="3"/>
      <c r="RV62" s="3"/>
      <c r="RW62" s="3"/>
      <c r="RX62" s="3"/>
      <c r="RY62" s="3"/>
      <c r="RZ62" s="3"/>
      <c r="SA62" s="3"/>
      <c r="SB62" s="3"/>
      <c r="SC62" s="3"/>
      <c r="SD62" s="3"/>
      <c r="SE62" s="3"/>
      <c r="SF62" s="3"/>
      <c r="SG62" s="3"/>
      <c r="SH62" s="3"/>
      <c r="SI62" s="3"/>
      <c r="SJ62" s="3"/>
      <c r="SK62" s="3"/>
      <c r="SL62" s="3"/>
      <c r="SM62" s="3"/>
      <c r="SN62" s="3"/>
      <c r="SO62" s="3"/>
      <c r="SP62" s="3"/>
      <c r="SQ62" s="3"/>
      <c r="SR62" s="3"/>
      <c r="SS62" s="3"/>
      <c r="ST62" s="3"/>
      <c r="SU62" s="3"/>
      <c r="SV62" s="3"/>
      <c r="SW62" s="3"/>
      <c r="SX62" s="3"/>
      <c r="SY62" s="3"/>
      <c r="SZ62" s="3"/>
      <c r="TA62" s="3"/>
      <c r="TB62" s="3"/>
      <c r="TC62" s="3"/>
      <c r="TD62" s="3"/>
      <c r="TE62" s="3"/>
      <c r="TF62" s="3"/>
      <c r="TG62" s="3"/>
      <c r="TH62" s="3"/>
      <c r="TI62" s="3"/>
      <c r="TJ62" s="3"/>
      <c r="TK62" s="3"/>
      <c r="TL62" s="3"/>
      <c r="TM62" s="3"/>
      <c r="TN62" s="3"/>
      <c r="TO62" s="3"/>
      <c r="TP62" s="3"/>
      <c r="TQ62" s="3"/>
      <c r="TR62" s="3"/>
      <c r="TS62" s="3"/>
      <c r="TT62" s="3"/>
      <c r="TU62" s="3"/>
      <c r="TV62" s="3"/>
      <c r="TW62" s="3"/>
      <c r="TX62" s="3"/>
      <c r="TY62" s="3"/>
      <c r="TZ62" s="3"/>
      <c r="UA62" s="3"/>
      <c r="UB62" s="3"/>
      <c r="UC62" s="3"/>
      <c r="UD62" s="3"/>
      <c r="UE62" s="3"/>
      <c r="UF62" s="3"/>
      <c r="UG62" s="3"/>
      <c r="UH62" s="3"/>
      <c r="UI62" s="3"/>
      <c r="UJ62" s="3"/>
      <c r="UK62" s="3"/>
      <c r="UL62" s="3"/>
      <c r="UM62" s="3"/>
      <c r="UN62" s="3"/>
      <c r="UO62" s="3"/>
      <c r="UP62" s="3"/>
      <c r="UQ62" s="3"/>
      <c r="UR62" s="3"/>
      <c r="US62" s="3"/>
      <c r="UT62" s="3"/>
      <c r="UU62" s="3"/>
      <c r="UV62" s="3"/>
      <c r="UW62" s="3"/>
      <c r="UX62" s="3"/>
      <c r="UY62" s="3"/>
      <c r="UZ62" s="3"/>
      <c r="VA62" s="3"/>
      <c r="VB62" s="3"/>
      <c r="VC62" s="3"/>
      <c r="VD62" s="3"/>
      <c r="VE62" s="3"/>
      <c r="VF62" s="3"/>
      <c r="VG62" s="3"/>
      <c r="VH62" s="3"/>
      <c r="VI62" s="3"/>
      <c r="VJ62" s="3"/>
      <c r="VK62" s="3"/>
      <c r="VL62" s="3"/>
      <c r="VM62" s="3"/>
      <c r="VN62" s="3"/>
      <c r="VO62" s="3"/>
      <c r="VP62" s="3"/>
      <c r="VQ62" s="3"/>
      <c r="VR62" s="3"/>
      <c r="VS62" s="3"/>
      <c r="VT62" s="3"/>
      <c r="VU62" s="3"/>
      <c r="VV62" s="3"/>
      <c r="VW62" s="3"/>
      <c r="VX62" s="3"/>
      <c r="VY62" s="3"/>
      <c r="VZ62" s="3"/>
      <c r="WA62" s="3"/>
      <c r="WB62" s="3"/>
      <c r="WC62" s="3"/>
      <c r="WD62" s="3"/>
      <c r="WE62" s="3"/>
      <c r="WF62" s="3"/>
      <c r="WG62" s="3"/>
      <c r="WH62" s="3"/>
      <c r="WI62" s="3"/>
      <c r="WJ62" s="3"/>
      <c r="WK62" s="3"/>
      <c r="WL62" s="3"/>
      <c r="WM62" s="3"/>
      <c r="WN62" s="3"/>
      <c r="WO62" s="3"/>
      <c r="WP62" s="3"/>
      <c r="WQ62" s="3"/>
      <c r="WR62" s="3"/>
      <c r="WS62" s="3"/>
      <c r="WT62" s="3"/>
      <c r="WU62" s="3"/>
      <c r="WV62" s="3"/>
      <c r="WW62" s="3"/>
      <c r="WX62" s="3"/>
      <c r="WY62" s="3"/>
      <c r="WZ62" s="3"/>
      <c r="XA62" s="3"/>
      <c r="XB62" s="3"/>
      <c r="XC62" s="3"/>
      <c r="XD62" s="3"/>
      <c r="XE62" s="3"/>
      <c r="XF62" s="3"/>
      <c r="XG62" s="3"/>
      <c r="XH62" s="3"/>
      <c r="XI62" s="3"/>
      <c r="XJ62" s="3"/>
      <c r="XK62" s="3"/>
      <c r="XL62" s="3"/>
      <c r="XM62" s="3"/>
      <c r="XN62" s="3"/>
      <c r="XO62" s="3"/>
      <c r="XP62" s="3"/>
      <c r="XQ62" s="3"/>
      <c r="XR62" s="3"/>
      <c r="XS62" s="3"/>
      <c r="XT62" s="3"/>
      <c r="XU62" s="3"/>
      <c r="XV62" s="3"/>
      <c r="XW62" s="3"/>
      <c r="XX62" s="3"/>
      <c r="XY62" s="3"/>
      <c r="XZ62" s="3"/>
      <c r="YA62" s="3"/>
      <c r="YB62" s="3"/>
      <c r="YC62" s="3"/>
      <c r="YD62" s="3"/>
      <c r="YE62" s="3"/>
      <c r="YF62" s="3"/>
      <c r="YG62" s="3"/>
      <c r="YH62" s="3"/>
      <c r="YI62" s="3"/>
      <c r="YJ62" s="3"/>
      <c r="YK62" s="3"/>
      <c r="YL62" s="3"/>
      <c r="YM62" s="3"/>
      <c r="YN62" s="3"/>
      <c r="YO62" s="3"/>
      <c r="YP62" s="3"/>
      <c r="YQ62" s="3"/>
      <c r="YR62" s="3"/>
      <c r="YS62" s="3"/>
      <c r="YT62" s="3"/>
      <c r="YU62" s="3"/>
      <c r="YV62" s="3"/>
      <c r="YW62" s="3"/>
      <c r="YX62" s="3"/>
      <c r="YY62" s="3"/>
      <c r="YZ62" s="3"/>
      <c r="ZA62" s="3"/>
      <c r="ZB62" s="3"/>
      <c r="ZC62" s="3"/>
      <c r="ZD62" s="3"/>
      <c r="ZE62" s="3"/>
      <c r="ZF62" s="3"/>
      <c r="ZG62" s="3"/>
      <c r="ZH62" s="3"/>
      <c r="ZI62" s="3"/>
      <c r="ZJ62" s="3"/>
      <c r="ZK62" s="3"/>
      <c r="ZL62" s="3"/>
      <c r="ZM62" s="3"/>
      <c r="ZN62" s="3"/>
      <c r="ZO62" s="3"/>
      <c r="ZP62" s="3"/>
      <c r="ZQ62" s="3"/>
      <c r="ZR62" s="3"/>
      <c r="ZS62" s="3"/>
      <c r="ZT62" s="3"/>
      <c r="ZU62" s="3"/>
      <c r="ZV62" s="3"/>
      <c r="ZW62" s="3"/>
      <c r="ZX62" s="3"/>
      <c r="ZY62" s="3"/>
      <c r="ZZ62" s="3"/>
      <c r="AAA62" s="3"/>
      <c r="AAB62" s="3"/>
      <c r="AAC62" s="3"/>
      <c r="AAD62" s="3"/>
      <c r="AAE62" s="3"/>
      <c r="AAF62" s="3"/>
      <c r="AAG62" s="3"/>
      <c r="AAH62" s="3"/>
      <c r="AAI62" s="3"/>
      <c r="AAJ62" s="3"/>
      <c r="AAK62" s="3"/>
      <c r="AAL62" s="3"/>
      <c r="AAM62" s="3"/>
      <c r="AAN62" s="3"/>
      <c r="AAO62" s="3"/>
      <c r="AAP62" s="3"/>
      <c r="AAQ62" s="3"/>
      <c r="AAR62" s="3"/>
      <c r="AAS62" s="3"/>
      <c r="AAT62" s="3"/>
      <c r="AAU62" s="3"/>
      <c r="AAV62" s="3"/>
      <c r="AAW62" s="3"/>
      <c r="AAX62" s="3"/>
      <c r="AAY62" s="3"/>
      <c r="AAZ62" s="3"/>
      <c r="ABA62" s="3"/>
      <c r="ABB62" s="3"/>
      <c r="ABC62" s="3"/>
      <c r="ABD62" s="3"/>
      <c r="ABE62" s="3"/>
      <c r="ABF62" s="3"/>
      <c r="ABG62" s="3"/>
      <c r="ABH62" s="3"/>
      <c r="ABI62" s="3"/>
      <c r="ABJ62" s="3"/>
      <c r="ABK62" s="3"/>
      <c r="ABL62" s="3"/>
      <c r="ABM62" s="3"/>
      <c r="ABN62" s="3"/>
      <c r="ABO62" s="3"/>
      <c r="ABP62" s="3"/>
      <c r="ABQ62" s="3"/>
      <c r="ABR62" s="3"/>
      <c r="ABS62" s="3"/>
      <c r="ABT62" s="3"/>
      <c r="ABU62" s="3"/>
      <c r="ABV62" s="3"/>
      <c r="ABW62" s="3"/>
      <c r="ABX62" s="3"/>
      <c r="ABY62" s="3"/>
      <c r="ABZ62" s="3"/>
      <c r="ACA62" s="3"/>
      <c r="ACB62" s="3"/>
      <c r="ACC62" s="3"/>
      <c r="ACD62" s="3"/>
      <c r="ACE62" s="3"/>
      <c r="ACF62" s="3"/>
      <c r="ACG62" s="3"/>
      <c r="ACH62" s="3"/>
      <c r="ACI62" s="3"/>
      <c r="ACJ62" s="3"/>
      <c r="ACK62" s="3"/>
      <c r="ACL62" s="3"/>
      <c r="ACM62" s="3"/>
      <c r="ACN62" s="3"/>
      <c r="ACO62" s="3"/>
      <c r="ACP62" s="3"/>
    </row>
    <row r="63" spans="1:770" s="248" customFormat="1">
      <c r="A63" s="292" t="e">
        <f>+#REF!+1</f>
        <v>#REF!</v>
      </c>
      <c r="B63" s="419" t="str">
        <f>+'Nomina Proquima'!B102</f>
        <v>Tapia Ortiz Emir Orlando</v>
      </c>
      <c r="C63" s="1922">
        <v>16265050465589</v>
      </c>
      <c r="D63" s="401"/>
      <c r="E63" s="1120" t="str">
        <f>+'Nomina Proquima'!B102</f>
        <v>Tapia Ortiz Emir Orlando</v>
      </c>
      <c r="F63" s="244" t="str">
        <f>VLOOKUP(B63,distribucion!B$9:FK$200,2,0)</f>
        <v>Piloto</v>
      </c>
      <c r="G63" s="244">
        <f>ROUND((VLOOKUP($B63,'Nomina Proquima'!$B$4:$AB$145,4,0)),2)</f>
        <v>30</v>
      </c>
      <c r="H63" s="245">
        <f>ROUND((VLOOKUP($B63,'Nomina Proquima'!$B$4:$AB$145,6,0)),2)</f>
        <v>3166.38</v>
      </c>
      <c r="I63" s="245">
        <f>ROUND((VLOOKUP($B63,'Nomina Proquima'!$B$4:$AB$145,7,0)),2)</f>
        <v>1040.76</v>
      </c>
      <c r="J63" s="245">
        <f>ROUND((VLOOKUP($B63,'Nomina Proquima'!$B$4:$AB$145,9,0)),2)</f>
        <v>0</v>
      </c>
      <c r="K63" s="245">
        <f>ROUND((VLOOKUP($B63,'Nomina Proquima'!$B$4:$AB$145,10,0)),2)</f>
        <v>0</v>
      </c>
      <c r="L63" s="245">
        <f>ROUND((VLOOKUP($B63,'Nomina Proquima'!$B$4:$AB$145,11,0)),2)</f>
        <v>0</v>
      </c>
      <c r="M63" s="245">
        <f>ROUND((VLOOKUP($B63,'Nomina Proquima'!$B$4:$AB$145,12,0)),2)</f>
        <v>0</v>
      </c>
      <c r="N63" s="245">
        <f>ROUND((VLOOKUP($B63,'Nomina Proquima'!$B$4:$AB$145,13,0)),2)</f>
        <v>0</v>
      </c>
      <c r="O63" s="245">
        <f>ROUND((VLOOKUP($B63,'Nomina Proquima'!$B$4:$AB$145,14,0)),2)</f>
        <v>4207.1400000000003</v>
      </c>
      <c r="P63" s="245">
        <f>ROUND((VLOOKUP($B63,'Nomina Proquima'!$B$4:$AB$145,15,0)),2)</f>
        <v>152.94</v>
      </c>
      <c r="Q63" s="245">
        <f>ROUND((VLOOKUP($B63,'Nomina Proquima'!$B$4:$AB$145,16,0)),2)</f>
        <v>2.71</v>
      </c>
      <c r="R63" s="245">
        <f>ROUND((VLOOKUP($B63,'Nomina Proquima'!$B$4:$AB$145,17,0)),2)</f>
        <v>0</v>
      </c>
      <c r="S63" s="245">
        <f>ROUND((VLOOKUP($B63,'Nomina Proquima'!$B$4:$AB$145,18,0)),2)</f>
        <v>0</v>
      </c>
      <c r="T63" s="245">
        <f>ROUND((VLOOKUP($B63,'Nomina Proquima'!$B$4:$AB$145,19,0)),2)</f>
        <v>0</v>
      </c>
      <c r="U63" s="245">
        <f>ROUND((VLOOKUP($B63,'Nomina Proquima'!$B$4:$AB$145,20,0)),2)</f>
        <v>0</v>
      </c>
      <c r="V63" s="245">
        <f>ROUND((VLOOKUP($B63,'Nomina Proquima'!$B$4:$AB$145,21,0)),2)</f>
        <v>245.75</v>
      </c>
      <c r="W63" s="245">
        <f>ROUND((VLOOKUP($B63,'Nomina Proquima'!$B$4:$AB$145,22,0)),2)</f>
        <v>50</v>
      </c>
      <c r="X63" s="245">
        <f>ROUND((VLOOKUP($B63,'Nomina Proquima'!$B$4:$AB$145,23,0)),2)</f>
        <v>451.4</v>
      </c>
      <c r="Y63" s="234">
        <f>ROUND((VLOOKUP($B63,'Nomina Proquima'!$B$4:$AB$147,24,0)),2)</f>
        <v>3755.74</v>
      </c>
      <c r="Z63" s="399">
        <f>VLOOKUP(B63,'Nomina Proquima'!$B$4:$AA$148,25,0)</f>
        <v>1947.3500000000001</v>
      </c>
      <c r="AA63" s="405">
        <f>ROUND((VLOOKUP($B63,'Nomina Proquima'!$B$4:$AB$145,26,0)),2)</f>
        <v>1808.39</v>
      </c>
      <c r="AB63" s="246"/>
      <c r="AC63" s="247"/>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c r="IY63" s="3"/>
      <c r="IZ63" s="3"/>
      <c r="JA63" s="3"/>
      <c r="JB63" s="3"/>
      <c r="JC63" s="3"/>
      <c r="JD63" s="3"/>
      <c r="JE63" s="3"/>
      <c r="JF63" s="3"/>
      <c r="JG63" s="3"/>
      <c r="JH63" s="3"/>
      <c r="JI63" s="3"/>
      <c r="JJ63" s="3"/>
      <c r="JK63" s="3"/>
      <c r="JL63" s="3"/>
      <c r="JM63" s="3"/>
      <c r="JN63" s="3"/>
      <c r="JO63" s="3"/>
      <c r="JP63" s="3"/>
      <c r="JQ63" s="3"/>
      <c r="JR63" s="3"/>
      <c r="JS63" s="3"/>
      <c r="JT63" s="3"/>
      <c r="JU63" s="3"/>
      <c r="JV63" s="3"/>
      <c r="JW63" s="3"/>
      <c r="JX63" s="3"/>
      <c r="JY63" s="3"/>
      <c r="JZ63" s="3"/>
      <c r="KA63" s="3"/>
      <c r="KB63" s="3"/>
      <c r="KC63" s="3"/>
      <c r="KD63" s="3"/>
      <c r="KE63" s="3"/>
      <c r="KF63" s="3"/>
      <c r="KG63" s="3"/>
      <c r="KH63" s="3"/>
      <c r="KI63" s="3"/>
      <c r="KJ63" s="3"/>
      <c r="KK63" s="3"/>
      <c r="KL63" s="3"/>
      <c r="KM63" s="3"/>
      <c r="KN63" s="3"/>
      <c r="KO63" s="3"/>
      <c r="KP63" s="3"/>
      <c r="KQ63" s="3"/>
      <c r="KR63" s="3"/>
      <c r="KS63" s="3"/>
      <c r="KT63" s="3"/>
      <c r="KU63" s="3"/>
      <c r="KV63" s="3"/>
      <c r="KW63" s="3"/>
      <c r="KX63" s="3"/>
      <c r="KY63" s="3"/>
      <c r="KZ63" s="3"/>
      <c r="LA63" s="3"/>
      <c r="LB63" s="3"/>
      <c r="LC63" s="3"/>
      <c r="LD63" s="3"/>
      <c r="LE63" s="3"/>
      <c r="LF63" s="3"/>
      <c r="LG63" s="3"/>
      <c r="LH63" s="3"/>
      <c r="LI63" s="3"/>
      <c r="LJ63" s="3"/>
      <c r="LK63" s="3"/>
      <c r="LL63" s="3"/>
      <c r="LM63" s="3"/>
      <c r="LN63" s="3"/>
      <c r="LO63" s="3"/>
      <c r="LP63" s="3"/>
      <c r="LQ63" s="3"/>
      <c r="LR63" s="3"/>
      <c r="LS63" s="3"/>
      <c r="LT63" s="3"/>
      <c r="LU63" s="3"/>
      <c r="LV63" s="3"/>
      <c r="LW63" s="3"/>
      <c r="LX63" s="3"/>
      <c r="LY63" s="3"/>
      <c r="LZ63" s="3"/>
      <c r="MA63" s="3"/>
      <c r="MB63" s="3"/>
      <c r="MC63" s="3"/>
      <c r="MD63" s="3"/>
      <c r="ME63" s="3"/>
      <c r="MF63" s="3"/>
      <c r="MG63" s="3"/>
      <c r="MH63" s="3"/>
      <c r="MI63" s="3"/>
      <c r="MJ63" s="3"/>
      <c r="MK63" s="3"/>
      <c r="ML63" s="3"/>
      <c r="MM63" s="3"/>
      <c r="MN63" s="3"/>
      <c r="MO63" s="3"/>
      <c r="MP63" s="3"/>
      <c r="MQ63" s="3"/>
      <c r="MR63" s="3"/>
      <c r="MS63" s="3"/>
      <c r="MT63" s="3"/>
      <c r="MU63" s="3"/>
      <c r="MV63" s="3"/>
      <c r="MW63" s="3"/>
      <c r="MX63" s="3"/>
      <c r="MY63" s="3"/>
      <c r="MZ63" s="3"/>
      <c r="NA63" s="3"/>
      <c r="NB63" s="3"/>
      <c r="NC63" s="3"/>
      <c r="ND63" s="3"/>
      <c r="NE63" s="3"/>
      <c r="NF63" s="3"/>
      <c r="NG63" s="3"/>
      <c r="NH63" s="3"/>
      <c r="NI63" s="3"/>
      <c r="NJ63" s="3"/>
      <c r="NK63" s="3"/>
      <c r="NL63" s="3"/>
      <c r="NM63" s="3"/>
      <c r="NN63" s="3"/>
      <c r="NO63" s="3"/>
      <c r="NP63" s="3"/>
      <c r="NQ63" s="3"/>
      <c r="NR63" s="3"/>
      <c r="NS63" s="3"/>
      <c r="NT63" s="3"/>
      <c r="NU63" s="3"/>
      <c r="NV63" s="3"/>
      <c r="NW63" s="3"/>
      <c r="NX63" s="3"/>
      <c r="NY63" s="3"/>
      <c r="NZ63" s="3"/>
      <c r="OA63" s="3"/>
      <c r="OB63" s="3"/>
      <c r="OC63" s="3"/>
      <c r="OD63" s="3"/>
      <c r="OE63" s="3"/>
      <c r="OF63" s="3"/>
      <c r="OG63" s="3"/>
      <c r="OH63" s="3"/>
      <c r="OI63" s="3"/>
      <c r="OJ63" s="3"/>
      <c r="OK63" s="3"/>
      <c r="OL63" s="3"/>
      <c r="OM63" s="3"/>
      <c r="ON63" s="3"/>
      <c r="OO63" s="3"/>
      <c r="OP63" s="3"/>
      <c r="OQ63" s="3"/>
      <c r="OR63" s="3"/>
      <c r="OS63" s="3"/>
      <c r="OT63" s="3"/>
      <c r="OU63" s="3"/>
      <c r="OV63" s="3"/>
      <c r="OW63" s="3"/>
      <c r="OX63" s="3"/>
      <c r="OY63" s="3"/>
      <c r="OZ63" s="3"/>
      <c r="PA63" s="3"/>
      <c r="PB63" s="3"/>
      <c r="PC63" s="3"/>
      <c r="PD63" s="3"/>
      <c r="PE63" s="3"/>
      <c r="PF63" s="3"/>
      <c r="PG63" s="3"/>
      <c r="PH63" s="3"/>
      <c r="PI63" s="3"/>
      <c r="PJ63" s="3"/>
      <c r="PK63" s="3"/>
      <c r="PL63" s="3"/>
      <c r="PM63" s="3"/>
      <c r="PN63" s="3"/>
      <c r="PO63" s="3"/>
      <c r="PP63" s="3"/>
      <c r="PQ63" s="3"/>
      <c r="PR63" s="3"/>
      <c r="PS63" s="3"/>
      <c r="PT63" s="3"/>
      <c r="PU63" s="3"/>
      <c r="PV63" s="3"/>
      <c r="PW63" s="3"/>
      <c r="PX63" s="3"/>
      <c r="PY63" s="3"/>
      <c r="PZ63" s="3"/>
      <c r="QA63" s="3"/>
      <c r="QB63" s="3"/>
      <c r="QC63" s="3"/>
      <c r="QD63" s="3"/>
      <c r="QE63" s="3"/>
      <c r="QF63" s="3"/>
      <c r="QG63" s="3"/>
      <c r="QH63" s="3"/>
      <c r="QI63" s="3"/>
      <c r="QJ63" s="3"/>
      <c r="QK63" s="3"/>
      <c r="QL63" s="3"/>
      <c r="QM63" s="3"/>
      <c r="QN63" s="3"/>
      <c r="QO63" s="3"/>
      <c r="QP63" s="3"/>
      <c r="QQ63" s="3"/>
      <c r="QR63" s="3"/>
      <c r="QS63" s="3"/>
      <c r="QT63" s="3"/>
      <c r="QU63" s="3"/>
      <c r="QV63" s="3"/>
      <c r="QW63" s="3"/>
      <c r="QX63" s="3"/>
      <c r="QY63" s="3"/>
      <c r="QZ63" s="3"/>
      <c r="RA63" s="3"/>
      <c r="RB63" s="3"/>
      <c r="RC63" s="3"/>
      <c r="RD63" s="3"/>
      <c r="RE63" s="3"/>
      <c r="RF63" s="3"/>
      <c r="RG63" s="3"/>
      <c r="RH63" s="3"/>
      <c r="RI63" s="3"/>
      <c r="RJ63" s="3"/>
      <c r="RK63" s="3"/>
      <c r="RL63" s="3"/>
      <c r="RM63" s="3"/>
      <c r="RN63" s="3"/>
      <c r="RO63" s="3"/>
      <c r="RP63" s="3"/>
      <c r="RQ63" s="3"/>
      <c r="RR63" s="3"/>
      <c r="RS63" s="3"/>
      <c r="RT63" s="3"/>
      <c r="RU63" s="3"/>
      <c r="RV63" s="3"/>
      <c r="RW63" s="3"/>
      <c r="RX63" s="3"/>
      <c r="RY63" s="3"/>
      <c r="RZ63" s="3"/>
      <c r="SA63" s="3"/>
      <c r="SB63" s="3"/>
      <c r="SC63" s="3"/>
      <c r="SD63" s="3"/>
      <c r="SE63" s="3"/>
      <c r="SF63" s="3"/>
      <c r="SG63" s="3"/>
      <c r="SH63" s="3"/>
      <c r="SI63" s="3"/>
      <c r="SJ63" s="3"/>
      <c r="SK63" s="3"/>
      <c r="SL63" s="3"/>
      <c r="SM63" s="3"/>
      <c r="SN63" s="3"/>
      <c r="SO63" s="3"/>
      <c r="SP63" s="3"/>
      <c r="SQ63" s="3"/>
      <c r="SR63" s="3"/>
      <c r="SS63" s="3"/>
      <c r="ST63" s="3"/>
      <c r="SU63" s="3"/>
      <c r="SV63" s="3"/>
      <c r="SW63" s="3"/>
      <c r="SX63" s="3"/>
      <c r="SY63" s="3"/>
      <c r="SZ63" s="3"/>
      <c r="TA63" s="3"/>
      <c r="TB63" s="3"/>
      <c r="TC63" s="3"/>
      <c r="TD63" s="3"/>
      <c r="TE63" s="3"/>
      <c r="TF63" s="3"/>
      <c r="TG63" s="3"/>
      <c r="TH63" s="3"/>
      <c r="TI63" s="3"/>
      <c r="TJ63" s="3"/>
      <c r="TK63" s="3"/>
      <c r="TL63" s="3"/>
      <c r="TM63" s="3"/>
      <c r="TN63" s="3"/>
      <c r="TO63" s="3"/>
      <c r="TP63" s="3"/>
      <c r="TQ63" s="3"/>
      <c r="TR63" s="3"/>
      <c r="TS63" s="3"/>
      <c r="TT63" s="3"/>
      <c r="TU63" s="3"/>
      <c r="TV63" s="3"/>
      <c r="TW63" s="3"/>
      <c r="TX63" s="3"/>
      <c r="TY63" s="3"/>
      <c r="TZ63" s="3"/>
      <c r="UA63" s="3"/>
      <c r="UB63" s="3"/>
      <c r="UC63" s="3"/>
      <c r="UD63" s="3"/>
      <c r="UE63" s="3"/>
      <c r="UF63" s="3"/>
      <c r="UG63" s="3"/>
      <c r="UH63" s="3"/>
      <c r="UI63" s="3"/>
      <c r="UJ63" s="3"/>
      <c r="UK63" s="3"/>
      <c r="UL63" s="3"/>
      <c r="UM63" s="3"/>
      <c r="UN63" s="3"/>
      <c r="UO63" s="3"/>
      <c r="UP63" s="3"/>
      <c r="UQ63" s="3"/>
      <c r="UR63" s="3"/>
      <c r="US63" s="3"/>
      <c r="UT63" s="3"/>
      <c r="UU63" s="3"/>
      <c r="UV63" s="3"/>
      <c r="UW63" s="3"/>
      <c r="UX63" s="3"/>
      <c r="UY63" s="3"/>
      <c r="UZ63" s="3"/>
      <c r="VA63" s="3"/>
      <c r="VB63" s="3"/>
      <c r="VC63" s="3"/>
      <c r="VD63" s="3"/>
      <c r="VE63" s="3"/>
      <c r="VF63" s="3"/>
      <c r="VG63" s="3"/>
      <c r="VH63" s="3"/>
      <c r="VI63" s="3"/>
      <c r="VJ63" s="3"/>
      <c r="VK63" s="3"/>
      <c r="VL63" s="3"/>
      <c r="VM63" s="3"/>
      <c r="VN63" s="3"/>
      <c r="VO63" s="3"/>
      <c r="VP63" s="3"/>
      <c r="VQ63" s="3"/>
      <c r="VR63" s="3"/>
      <c r="VS63" s="3"/>
      <c r="VT63" s="3"/>
      <c r="VU63" s="3"/>
      <c r="VV63" s="3"/>
      <c r="VW63" s="3"/>
      <c r="VX63" s="3"/>
      <c r="VY63" s="3"/>
      <c r="VZ63" s="3"/>
      <c r="WA63" s="3"/>
      <c r="WB63" s="3"/>
      <c r="WC63" s="3"/>
      <c r="WD63" s="3"/>
      <c r="WE63" s="3"/>
      <c r="WF63" s="3"/>
      <c r="WG63" s="3"/>
      <c r="WH63" s="3"/>
      <c r="WI63" s="3"/>
      <c r="WJ63" s="3"/>
      <c r="WK63" s="3"/>
      <c r="WL63" s="3"/>
      <c r="WM63" s="3"/>
      <c r="WN63" s="3"/>
      <c r="WO63" s="3"/>
      <c r="WP63" s="3"/>
      <c r="WQ63" s="3"/>
      <c r="WR63" s="3"/>
      <c r="WS63" s="3"/>
      <c r="WT63" s="3"/>
      <c r="WU63" s="3"/>
      <c r="WV63" s="3"/>
      <c r="WW63" s="3"/>
      <c r="WX63" s="3"/>
      <c r="WY63" s="3"/>
      <c r="WZ63" s="3"/>
      <c r="XA63" s="3"/>
      <c r="XB63" s="3"/>
      <c r="XC63" s="3"/>
      <c r="XD63" s="3"/>
      <c r="XE63" s="3"/>
      <c r="XF63" s="3"/>
      <c r="XG63" s="3"/>
      <c r="XH63" s="3"/>
      <c r="XI63" s="3"/>
      <c r="XJ63" s="3"/>
      <c r="XK63" s="3"/>
      <c r="XL63" s="3"/>
      <c r="XM63" s="3"/>
      <c r="XN63" s="3"/>
      <c r="XO63" s="3"/>
      <c r="XP63" s="3"/>
      <c r="XQ63" s="3"/>
      <c r="XR63" s="3"/>
      <c r="XS63" s="3"/>
      <c r="XT63" s="3"/>
      <c r="XU63" s="3"/>
      <c r="XV63" s="3"/>
      <c r="XW63" s="3"/>
      <c r="XX63" s="3"/>
      <c r="XY63" s="3"/>
      <c r="XZ63" s="3"/>
      <c r="YA63" s="3"/>
      <c r="YB63" s="3"/>
      <c r="YC63" s="3"/>
      <c r="YD63" s="3"/>
      <c r="YE63" s="3"/>
      <c r="YF63" s="3"/>
      <c r="YG63" s="3"/>
      <c r="YH63" s="3"/>
      <c r="YI63" s="3"/>
      <c r="YJ63" s="3"/>
      <c r="YK63" s="3"/>
      <c r="YL63" s="3"/>
      <c r="YM63" s="3"/>
      <c r="YN63" s="3"/>
      <c r="YO63" s="3"/>
      <c r="YP63" s="3"/>
      <c r="YQ63" s="3"/>
      <c r="YR63" s="3"/>
      <c r="YS63" s="3"/>
      <c r="YT63" s="3"/>
      <c r="YU63" s="3"/>
      <c r="YV63" s="3"/>
      <c r="YW63" s="3"/>
      <c r="YX63" s="3"/>
      <c r="YY63" s="3"/>
      <c r="YZ63" s="3"/>
      <c r="ZA63" s="3"/>
      <c r="ZB63" s="3"/>
      <c r="ZC63" s="3"/>
      <c r="ZD63" s="3"/>
      <c r="ZE63" s="3"/>
      <c r="ZF63" s="3"/>
      <c r="ZG63" s="3"/>
      <c r="ZH63" s="3"/>
      <c r="ZI63" s="3"/>
      <c r="ZJ63" s="3"/>
      <c r="ZK63" s="3"/>
      <c r="ZL63" s="3"/>
      <c r="ZM63" s="3"/>
      <c r="ZN63" s="3"/>
      <c r="ZO63" s="3"/>
      <c r="ZP63" s="3"/>
      <c r="ZQ63" s="3"/>
      <c r="ZR63" s="3"/>
      <c r="ZS63" s="3"/>
      <c r="ZT63" s="3"/>
      <c r="ZU63" s="3"/>
      <c r="ZV63" s="3"/>
      <c r="ZW63" s="3"/>
      <c r="ZX63" s="3"/>
      <c r="ZY63" s="3"/>
      <c r="ZZ63" s="3"/>
      <c r="AAA63" s="3"/>
      <c r="AAB63" s="3"/>
      <c r="AAC63" s="3"/>
      <c r="AAD63" s="3"/>
      <c r="AAE63" s="3"/>
      <c r="AAF63" s="3"/>
      <c r="AAG63" s="3"/>
      <c r="AAH63" s="3"/>
      <c r="AAI63" s="3"/>
      <c r="AAJ63" s="3"/>
      <c r="AAK63" s="3"/>
      <c r="AAL63" s="3"/>
      <c r="AAM63" s="3"/>
      <c r="AAN63" s="3"/>
      <c r="AAO63" s="3"/>
      <c r="AAP63" s="3"/>
      <c r="AAQ63" s="3"/>
      <c r="AAR63" s="3"/>
      <c r="AAS63" s="3"/>
      <c r="AAT63" s="3"/>
      <c r="AAU63" s="3"/>
      <c r="AAV63" s="3"/>
      <c r="AAW63" s="3"/>
      <c r="AAX63" s="3"/>
      <c r="AAY63" s="3"/>
      <c r="AAZ63" s="3"/>
      <c r="ABA63" s="3"/>
      <c r="ABB63" s="3"/>
      <c r="ABC63" s="3"/>
      <c r="ABD63" s="3"/>
      <c r="ABE63" s="3"/>
      <c r="ABF63" s="3"/>
      <c r="ABG63" s="3"/>
      <c r="ABH63" s="3"/>
      <c r="ABI63" s="3"/>
      <c r="ABJ63" s="3"/>
      <c r="ABK63" s="3"/>
      <c r="ABL63" s="3"/>
      <c r="ABM63" s="3"/>
      <c r="ABN63" s="3"/>
      <c r="ABO63" s="3"/>
      <c r="ABP63" s="3"/>
      <c r="ABQ63" s="3"/>
      <c r="ABR63" s="3"/>
      <c r="ABS63" s="3"/>
      <c r="ABT63" s="3"/>
      <c r="ABU63" s="3"/>
      <c r="ABV63" s="3"/>
      <c r="ABW63" s="3"/>
      <c r="ABX63" s="3"/>
      <c r="ABY63" s="3"/>
      <c r="ABZ63" s="3"/>
      <c r="ACA63" s="3"/>
      <c r="ACB63" s="3"/>
      <c r="ACC63" s="3"/>
      <c r="ACD63" s="3"/>
      <c r="ACE63" s="3"/>
      <c r="ACF63" s="3"/>
      <c r="ACG63" s="3"/>
      <c r="ACH63" s="3"/>
      <c r="ACI63" s="3"/>
      <c r="ACJ63" s="3"/>
      <c r="ACK63" s="3"/>
      <c r="ACL63" s="3"/>
      <c r="ACM63" s="3"/>
      <c r="ACN63" s="3"/>
      <c r="ACO63" s="3"/>
      <c r="ACP63" s="3"/>
    </row>
    <row r="64" spans="1:770" s="248" customFormat="1">
      <c r="A64" s="292" t="e">
        <f>+#REF!+1</f>
        <v>#REF!</v>
      </c>
      <c r="B64" s="419" t="str">
        <f>+'Nomina Proquima'!B134</f>
        <v>Ramos Caracun Jose Ottoniel</v>
      </c>
      <c r="C64" s="1922">
        <v>16265050465597</v>
      </c>
      <c r="D64" s="401"/>
      <c r="E64" s="1120" t="str">
        <f>+'Nomina Proquima'!B134</f>
        <v>Ramos Caracun Jose Ottoniel</v>
      </c>
      <c r="F64" s="244" t="str">
        <f>VLOOKUP(B64,distribucion!B$9:FK$200,2,0)</f>
        <v>Coordinador Administrativo</v>
      </c>
      <c r="G64" s="244">
        <f>ROUND((VLOOKUP($B64,'Nomina Proquima'!$B$4:$AB$145,4,0)),2)</f>
        <v>30</v>
      </c>
      <c r="H64" s="245">
        <f>ROUND((VLOOKUP($B64,'Nomina Proquima'!$B$4:$AB$145,6,0)),2)</f>
        <v>4000</v>
      </c>
      <c r="I64" s="245">
        <f>ROUND((VLOOKUP($B64,'Nomina Proquima'!$B$4:$AB$145,7,0)),2)</f>
        <v>2514.9499999999998</v>
      </c>
      <c r="J64" s="245">
        <f>ROUND((VLOOKUP($B64,'Nomina Proquima'!$B$4:$AB$145,9,0)),2)</f>
        <v>0</v>
      </c>
      <c r="K64" s="245">
        <f>ROUND((VLOOKUP($B64,'Nomina Proquima'!$B$4:$AB$145,10,0)),2)</f>
        <v>0</v>
      </c>
      <c r="L64" s="245">
        <f>ROUND((VLOOKUP($B64,'Nomina Proquima'!$B$4:$AB$145,11,0)),2)</f>
        <v>0</v>
      </c>
      <c r="M64" s="245">
        <f>ROUND((VLOOKUP($B64,'Nomina Proquima'!$B$4:$AB$145,12,0)),2)</f>
        <v>0</v>
      </c>
      <c r="N64" s="245">
        <f>ROUND((VLOOKUP($B64,'Nomina Proquima'!$B$4:$AB$145,13,0)),2)</f>
        <v>0</v>
      </c>
      <c r="O64" s="245">
        <f>ROUND((VLOOKUP($B64,'Nomina Proquima'!$B$4:$AB$145,14,0)),2)</f>
        <v>6514.95</v>
      </c>
      <c r="P64" s="245">
        <f>ROUND((VLOOKUP($B64,'Nomina Proquima'!$B$4:$AB$145,15,0)),2)</f>
        <v>193.2</v>
      </c>
      <c r="Q64" s="245">
        <f>ROUND((VLOOKUP($B64,'Nomina Proquima'!$B$4:$AB$145,16,0)),2)</f>
        <v>86.59</v>
      </c>
      <c r="R64" s="245">
        <f>ROUND((VLOOKUP($B64,'Nomina Proquima'!$B$4:$AB$145,17,0)),2)</f>
        <v>0</v>
      </c>
      <c r="S64" s="245">
        <f>ROUND((VLOOKUP($B64,'Nomina Proquima'!$B$4:$AB$145,18,0)),2)</f>
        <v>0</v>
      </c>
      <c r="T64" s="245">
        <f>ROUND((VLOOKUP($B64,'Nomina Proquima'!$B$4:$AB$145,19,0)),2)</f>
        <v>0</v>
      </c>
      <c r="U64" s="245">
        <f>ROUND((VLOOKUP($B64,'Nomina Proquima'!$B$4:$AB$145,20,0)),2)</f>
        <v>0</v>
      </c>
      <c r="V64" s="245">
        <f>ROUND((VLOOKUP($B64,'Nomina Proquima'!$B$4:$AB$145,21,0)),2)</f>
        <v>62.25</v>
      </c>
      <c r="W64" s="245">
        <f>ROUND((VLOOKUP($B64,'Nomina Proquima'!$B$4:$AB$145,22,0)),2)</f>
        <v>125</v>
      </c>
      <c r="X64" s="245">
        <f>ROUND((VLOOKUP($B64,'Nomina Proquima'!$B$4:$AB$145,23,0)),2)</f>
        <v>467.04</v>
      </c>
      <c r="Y64" s="234">
        <f>ROUND((VLOOKUP($B64,'Nomina Proquima'!$B$4:$AB$147,24,0)),2)</f>
        <v>6047.91</v>
      </c>
      <c r="Z64" s="399">
        <f>VLOOKUP(B64,'Nomina Proquima'!$B$4:$AA$148,25,0)</f>
        <v>3984.4500000000003</v>
      </c>
      <c r="AA64" s="405">
        <f>ROUND((VLOOKUP($B64,'Nomina Proquima'!$B$4:$AB$145,26,0)),2)</f>
        <v>2063.46</v>
      </c>
      <c r="AB64" s="246"/>
      <c r="AC64" s="247"/>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c r="IY64" s="3"/>
      <c r="IZ64" s="3"/>
      <c r="JA64" s="3"/>
      <c r="JB64" s="3"/>
      <c r="JC64" s="3"/>
      <c r="JD64" s="3"/>
      <c r="JE64" s="3"/>
      <c r="JF64" s="3"/>
      <c r="JG64" s="3"/>
      <c r="JH64" s="3"/>
      <c r="JI64" s="3"/>
      <c r="JJ64" s="3"/>
      <c r="JK64" s="3"/>
      <c r="JL64" s="3"/>
      <c r="JM64" s="3"/>
      <c r="JN64" s="3"/>
      <c r="JO64" s="3"/>
      <c r="JP64" s="3"/>
      <c r="JQ64" s="3"/>
      <c r="JR64" s="3"/>
      <c r="JS64" s="3"/>
      <c r="JT64" s="3"/>
      <c r="JU64" s="3"/>
      <c r="JV64" s="3"/>
      <c r="JW64" s="3"/>
      <c r="JX64" s="3"/>
      <c r="JY64" s="3"/>
      <c r="JZ64" s="3"/>
      <c r="KA64" s="3"/>
      <c r="KB64" s="3"/>
      <c r="KC64" s="3"/>
      <c r="KD64" s="3"/>
      <c r="KE64" s="3"/>
      <c r="KF64" s="3"/>
      <c r="KG64" s="3"/>
      <c r="KH64" s="3"/>
      <c r="KI64" s="3"/>
      <c r="KJ64" s="3"/>
      <c r="KK64" s="3"/>
      <c r="KL64" s="3"/>
      <c r="KM64" s="3"/>
      <c r="KN64" s="3"/>
      <c r="KO64" s="3"/>
      <c r="KP64" s="3"/>
      <c r="KQ64" s="3"/>
      <c r="KR64" s="3"/>
      <c r="KS64" s="3"/>
      <c r="KT64" s="3"/>
      <c r="KU64" s="3"/>
      <c r="KV64" s="3"/>
      <c r="KW64" s="3"/>
      <c r="KX64" s="3"/>
      <c r="KY64" s="3"/>
      <c r="KZ64" s="3"/>
      <c r="LA64" s="3"/>
      <c r="LB64" s="3"/>
      <c r="LC64" s="3"/>
      <c r="LD64" s="3"/>
      <c r="LE64" s="3"/>
      <c r="LF64" s="3"/>
      <c r="LG64" s="3"/>
      <c r="LH64" s="3"/>
      <c r="LI64" s="3"/>
      <c r="LJ64" s="3"/>
      <c r="LK64" s="3"/>
      <c r="LL64" s="3"/>
      <c r="LM64" s="3"/>
      <c r="LN64" s="3"/>
      <c r="LO64" s="3"/>
      <c r="LP64" s="3"/>
      <c r="LQ64" s="3"/>
      <c r="LR64" s="3"/>
      <c r="LS64" s="3"/>
      <c r="LT64" s="3"/>
      <c r="LU64" s="3"/>
      <c r="LV64" s="3"/>
      <c r="LW64" s="3"/>
      <c r="LX64" s="3"/>
      <c r="LY64" s="3"/>
      <c r="LZ64" s="3"/>
      <c r="MA64" s="3"/>
      <c r="MB64" s="3"/>
      <c r="MC64" s="3"/>
      <c r="MD64" s="3"/>
      <c r="ME64" s="3"/>
      <c r="MF64" s="3"/>
      <c r="MG64" s="3"/>
      <c r="MH64" s="3"/>
      <c r="MI64" s="3"/>
      <c r="MJ64" s="3"/>
      <c r="MK64" s="3"/>
      <c r="ML64" s="3"/>
      <c r="MM64" s="3"/>
      <c r="MN64" s="3"/>
      <c r="MO64" s="3"/>
      <c r="MP64" s="3"/>
      <c r="MQ64" s="3"/>
      <c r="MR64" s="3"/>
      <c r="MS64" s="3"/>
      <c r="MT64" s="3"/>
      <c r="MU64" s="3"/>
      <c r="MV64" s="3"/>
      <c r="MW64" s="3"/>
      <c r="MX64" s="3"/>
      <c r="MY64" s="3"/>
      <c r="MZ64" s="3"/>
      <c r="NA64" s="3"/>
      <c r="NB64" s="3"/>
      <c r="NC64" s="3"/>
      <c r="ND64" s="3"/>
      <c r="NE64" s="3"/>
      <c r="NF64" s="3"/>
      <c r="NG64" s="3"/>
      <c r="NH64" s="3"/>
      <c r="NI64" s="3"/>
      <c r="NJ64" s="3"/>
      <c r="NK64" s="3"/>
      <c r="NL64" s="3"/>
      <c r="NM64" s="3"/>
      <c r="NN64" s="3"/>
      <c r="NO64" s="3"/>
      <c r="NP64" s="3"/>
      <c r="NQ64" s="3"/>
      <c r="NR64" s="3"/>
      <c r="NS64" s="3"/>
      <c r="NT64" s="3"/>
      <c r="NU64" s="3"/>
      <c r="NV64" s="3"/>
      <c r="NW64" s="3"/>
      <c r="NX64" s="3"/>
      <c r="NY64" s="3"/>
      <c r="NZ64" s="3"/>
      <c r="OA64" s="3"/>
      <c r="OB64" s="3"/>
      <c r="OC64" s="3"/>
      <c r="OD64" s="3"/>
      <c r="OE64" s="3"/>
      <c r="OF64" s="3"/>
      <c r="OG64" s="3"/>
      <c r="OH64" s="3"/>
      <c r="OI64" s="3"/>
      <c r="OJ64" s="3"/>
      <c r="OK64" s="3"/>
      <c r="OL64" s="3"/>
      <c r="OM64" s="3"/>
      <c r="ON64" s="3"/>
      <c r="OO64" s="3"/>
      <c r="OP64" s="3"/>
      <c r="OQ64" s="3"/>
      <c r="OR64" s="3"/>
      <c r="OS64" s="3"/>
      <c r="OT64" s="3"/>
      <c r="OU64" s="3"/>
      <c r="OV64" s="3"/>
      <c r="OW64" s="3"/>
      <c r="OX64" s="3"/>
      <c r="OY64" s="3"/>
      <c r="OZ64" s="3"/>
      <c r="PA64" s="3"/>
      <c r="PB64" s="3"/>
      <c r="PC64" s="3"/>
      <c r="PD64" s="3"/>
      <c r="PE64" s="3"/>
      <c r="PF64" s="3"/>
      <c r="PG64" s="3"/>
      <c r="PH64" s="3"/>
      <c r="PI64" s="3"/>
      <c r="PJ64" s="3"/>
      <c r="PK64" s="3"/>
      <c r="PL64" s="3"/>
      <c r="PM64" s="3"/>
      <c r="PN64" s="3"/>
      <c r="PO64" s="3"/>
      <c r="PP64" s="3"/>
      <c r="PQ64" s="3"/>
      <c r="PR64" s="3"/>
      <c r="PS64" s="3"/>
      <c r="PT64" s="3"/>
      <c r="PU64" s="3"/>
      <c r="PV64" s="3"/>
      <c r="PW64" s="3"/>
      <c r="PX64" s="3"/>
      <c r="PY64" s="3"/>
      <c r="PZ64" s="3"/>
      <c r="QA64" s="3"/>
      <c r="QB64" s="3"/>
      <c r="QC64" s="3"/>
      <c r="QD64" s="3"/>
      <c r="QE64" s="3"/>
      <c r="QF64" s="3"/>
      <c r="QG64" s="3"/>
      <c r="QH64" s="3"/>
      <c r="QI64" s="3"/>
      <c r="QJ64" s="3"/>
      <c r="QK64" s="3"/>
      <c r="QL64" s="3"/>
      <c r="QM64" s="3"/>
      <c r="QN64" s="3"/>
      <c r="QO64" s="3"/>
      <c r="QP64" s="3"/>
      <c r="QQ64" s="3"/>
      <c r="QR64" s="3"/>
      <c r="QS64" s="3"/>
      <c r="QT64" s="3"/>
      <c r="QU64" s="3"/>
      <c r="QV64" s="3"/>
      <c r="QW64" s="3"/>
      <c r="QX64" s="3"/>
      <c r="QY64" s="3"/>
      <c r="QZ64" s="3"/>
      <c r="RA64" s="3"/>
      <c r="RB64" s="3"/>
      <c r="RC64" s="3"/>
      <c r="RD64" s="3"/>
      <c r="RE64" s="3"/>
      <c r="RF64" s="3"/>
      <c r="RG64" s="3"/>
      <c r="RH64" s="3"/>
      <c r="RI64" s="3"/>
      <c r="RJ64" s="3"/>
      <c r="RK64" s="3"/>
      <c r="RL64" s="3"/>
      <c r="RM64" s="3"/>
      <c r="RN64" s="3"/>
      <c r="RO64" s="3"/>
      <c r="RP64" s="3"/>
      <c r="RQ64" s="3"/>
      <c r="RR64" s="3"/>
      <c r="RS64" s="3"/>
      <c r="RT64" s="3"/>
      <c r="RU64" s="3"/>
      <c r="RV64" s="3"/>
      <c r="RW64" s="3"/>
      <c r="RX64" s="3"/>
      <c r="RY64" s="3"/>
      <c r="RZ64" s="3"/>
      <c r="SA64" s="3"/>
      <c r="SB64" s="3"/>
      <c r="SC64" s="3"/>
      <c r="SD64" s="3"/>
      <c r="SE64" s="3"/>
      <c r="SF64" s="3"/>
      <c r="SG64" s="3"/>
      <c r="SH64" s="3"/>
      <c r="SI64" s="3"/>
      <c r="SJ64" s="3"/>
      <c r="SK64" s="3"/>
      <c r="SL64" s="3"/>
      <c r="SM64" s="3"/>
      <c r="SN64" s="3"/>
      <c r="SO64" s="3"/>
      <c r="SP64" s="3"/>
      <c r="SQ64" s="3"/>
      <c r="SR64" s="3"/>
      <c r="SS64" s="3"/>
      <c r="ST64" s="3"/>
      <c r="SU64" s="3"/>
      <c r="SV64" s="3"/>
      <c r="SW64" s="3"/>
      <c r="SX64" s="3"/>
      <c r="SY64" s="3"/>
      <c r="SZ64" s="3"/>
      <c r="TA64" s="3"/>
      <c r="TB64" s="3"/>
      <c r="TC64" s="3"/>
      <c r="TD64" s="3"/>
      <c r="TE64" s="3"/>
      <c r="TF64" s="3"/>
      <c r="TG64" s="3"/>
      <c r="TH64" s="3"/>
      <c r="TI64" s="3"/>
      <c r="TJ64" s="3"/>
      <c r="TK64" s="3"/>
      <c r="TL64" s="3"/>
      <c r="TM64" s="3"/>
      <c r="TN64" s="3"/>
      <c r="TO64" s="3"/>
      <c r="TP64" s="3"/>
      <c r="TQ64" s="3"/>
      <c r="TR64" s="3"/>
      <c r="TS64" s="3"/>
      <c r="TT64" s="3"/>
      <c r="TU64" s="3"/>
      <c r="TV64" s="3"/>
      <c r="TW64" s="3"/>
      <c r="TX64" s="3"/>
      <c r="TY64" s="3"/>
      <c r="TZ64" s="3"/>
      <c r="UA64" s="3"/>
      <c r="UB64" s="3"/>
      <c r="UC64" s="3"/>
      <c r="UD64" s="3"/>
      <c r="UE64" s="3"/>
      <c r="UF64" s="3"/>
      <c r="UG64" s="3"/>
      <c r="UH64" s="3"/>
      <c r="UI64" s="3"/>
      <c r="UJ64" s="3"/>
      <c r="UK64" s="3"/>
      <c r="UL64" s="3"/>
      <c r="UM64" s="3"/>
      <c r="UN64" s="3"/>
      <c r="UO64" s="3"/>
      <c r="UP64" s="3"/>
      <c r="UQ64" s="3"/>
      <c r="UR64" s="3"/>
      <c r="US64" s="3"/>
      <c r="UT64" s="3"/>
      <c r="UU64" s="3"/>
      <c r="UV64" s="3"/>
      <c r="UW64" s="3"/>
      <c r="UX64" s="3"/>
      <c r="UY64" s="3"/>
      <c r="UZ64" s="3"/>
      <c r="VA64" s="3"/>
      <c r="VB64" s="3"/>
      <c r="VC64" s="3"/>
      <c r="VD64" s="3"/>
      <c r="VE64" s="3"/>
      <c r="VF64" s="3"/>
      <c r="VG64" s="3"/>
      <c r="VH64" s="3"/>
      <c r="VI64" s="3"/>
      <c r="VJ64" s="3"/>
      <c r="VK64" s="3"/>
      <c r="VL64" s="3"/>
      <c r="VM64" s="3"/>
      <c r="VN64" s="3"/>
      <c r="VO64" s="3"/>
      <c r="VP64" s="3"/>
      <c r="VQ64" s="3"/>
      <c r="VR64" s="3"/>
      <c r="VS64" s="3"/>
      <c r="VT64" s="3"/>
      <c r="VU64" s="3"/>
      <c r="VV64" s="3"/>
      <c r="VW64" s="3"/>
      <c r="VX64" s="3"/>
      <c r="VY64" s="3"/>
      <c r="VZ64" s="3"/>
      <c r="WA64" s="3"/>
      <c r="WB64" s="3"/>
      <c r="WC64" s="3"/>
      <c r="WD64" s="3"/>
      <c r="WE64" s="3"/>
      <c r="WF64" s="3"/>
      <c r="WG64" s="3"/>
      <c r="WH64" s="3"/>
      <c r="WI64" s="3"/>
      <c r="WJ64" s="3"/>
      <c r="WK64" s="3"/>
      <c r="WL64" s="3"/>
      <c r="WM64" s="3"/>
      <c r="WN64" s="3"/>
      <c r="WO64" s="3"/>
      <c r="WP64" s="3"/>
      <c r="WQ64" s="3"/>
      <c r="WR64" s="3"/>
      <c r="WS64" s="3"/>
      <c r="WT64" s="3"/>
      <c r="WU64" s="3"/>
      <c r="WV64" s="3"/>
      <c r="WW64" s="3"/>
      <c r="WX64" s="3"/>
      <c r="WY64" s="3"/>
      <c r="WZ64" s="3"/>
      <c r="XA64" s="3"/>
      <c r="XB64" s="3"/>
      <c r="XC64" s="3"/>
      <c r="XD64" s="3"/>
      <c r="XE64" s="3"/>
      <c r="XF64" s="3"/>
      <c r="XG64" s="3"/>
      <c r="XH64" s="3"/>
      <c r="XI64" s="3"/>
      <c r="XJ64" s="3"/>
      <c r="XK64" s="3"/>
      <c r="XL64" s="3"/>
      <c r="XM64" s="3"/>
      <c r="XN64" s="3"/>
      <c r="XO64" s="3"/>
      <c r="XP64" s="3"/>
      <c r="XQ64" s="3"/>
      <c r="XR64" s="3"/>
      <c r="XS64" s="3"/>
      <c r="XT64" s="3"/>
      <c r="XU64" s="3"/>
      <c r="XV64" s="3"/>
      <c r="XW64" s="3"/>
      <c r="XX64" s="3"/>
      <c r="XY64" s="3"/>
      <c r="XZ64" s="3"/>
      <c r="YA64" s="3"/>
      <c r="YB64" s="3"/>
      <c r="YC64" s="3"/>
      <c r="YD64" s="3"/>
      <c r="YE64" s="3"/>
      <c r="YF64" s="3"/>
      <c r="YG64" s="3"/>
      <c r="YH64" s="3"/>
      <c r="YI64" s="3"/>
      <c r="YJ64" s="3"/>
      <c r="YK64" s="3"/>
      <c r="YL64" s="3"/>
      <c r="YM64" s="3"/>
      <c r="YN64" s="3"/>
      <c r="YO64" s="3"/>
      <c r="YP64" s="3"/>
      <c r="YQ64" s="3"/>
      <c r="YR64" s="3"/>
      <c r="YS64" s="3"/>
      <c r="YT64" s="3"/>
      <c r="YU64" s="3"/>
      <c r="YV64" s="3"/>
      <c r="YW64" s="3"/>
      <c r="YX64" s="3"/>
      <c r="YY64" s="3"/>
      <c r="YZ64" s="3"/>
      <c r="ZA64" s="3"/>
      <c r="ZB64" s="3"/>
      <c r="ZC64" s="3"/>
      <c r="ZD64" s="3"/>
      <c r="ZE64" s="3"/>
      <c r="ZF64" s="3"/>
      <c r="ZG64" s="3"/>
      <c r="ZH64" s="3"/>
      <c r="ZI64" s="3"/>
      <c r="ZJ64" s="3"/>
      <c r="ZK64" s="3"/>
      <c r="ZL64" s="3"/>
      <c r="ZM64" s="3"/>
      <c r="ZN64" s="3"/>
      <c r="ZO64" s="3"/>
      <c r="ZP64" s="3"/>
      <c r="ZQ64" s="3"/>
      <c r="ZR64" s="3"/>
      <c r="ZS64" s="3"/>
      <c r="ZT64" s="3"/>
      <c r="ZU64" s="3"/>
      <c r="ZV64" s="3"/>
      <c r="ZW64" s="3"/>
      <c r="ZX64" s="3"/>
      <c r="ZY64" s="3"/>
      <c r="ZZ64" s="3"/>
      <c r="AAA64" s="3"/>
      <c r="AAB64" s="3"/>
      <c r="AAC64" s="3"/>
      <c r="AAD64" s="3"/>
      <c r="AAE64" s="3"/>
      <c r="AAF64" s="3"/>
      <c r="AAG64" s="3"/>
      <c r="AAH64" s="3"/>
      <c r="AAI64" s="3"/>
      <c r="AAJ64" s="3"/>
      <c r="AAK64" s="3"/>
      <c r="AAL64" s="3"/>
      <c r="AAM64" s="3"/>
      <c r="AAN64" s="3"/>
      <c r="AAO64" s="3"/>
      <c r="AAP64" s="3"/>
      <c r="AAQ64" s="3"/>
      <c r="AAR64" s="3"/>
      <c r="AAS64" s="3"/>
      <c r="AAT64" s="3"/>
      <c r="AAU64" s="3"/>
      <c r="AAV64" s="3"/>
      <c r="AAW64" s="3"/>
      <c r="AAX64" s="3"/>
      <c r="AAY64" s="3"/>
      <c r="AAZ64" s="3"/>
      <c r="ABA64" s="3"/>
      <c r="ABB64" s="3"/>
      <c r="ABC64" s="3"/>
      <c r="ABD64" s="3"/>
      <c r="ABE64" s="3"/>
      <c r="ABF64" s="3"/>
      <c r="ABG64" s="3"/>
      <c r="ABH64" s="3"/>
      <c r="ABI64" s="3"/>
      <c r="ABJ64" s="3"/>
      <c r="ABK64" s="3"/>
      <c r="ABL64" s="3"/>
      <c r="ABM64" s="3"/>
      <c r="ABN64" s="3"/>
      <c r="ABO64" s="3"/>
      <c r="ABP64" s="3"/>
      <c r="ABQ64" s="3"/>
      <c r="ABR64" s="3"/>
      <c r="ABS64" s="3"/>
      <c r="ABT64" s="3"/>
      <c r="ABU64" s="3"/>
      <c r="ABV64" s="3"/>
      <c r="ABW64" s="3"/>
      <c r="ABX64" s="3"/>
      <c r="ABY64" s="3"/>
      <c r="ABZ64" s="3"/>
      <c r="ACA64" s="3"/>
      <c r="ACB64" s="3"/>
      <c r="ACC64" s="3"/>
      <c r="ACD64" s="3"/>
      <c r="ACE64" s="3"/>
      <c r="ACF64" s="3"/>
      <c r="ACG64" s="3"/>
      <c r="ACH64" s="3"/>
      <c r="ACI64" s="3"/>
      <c r="ACJ64" s="3"/>
      <c r="ACK64" s="3"/>
      <c r="ACL64" s="3"/>
      <c r="ACM64" s="3"/>
      <c r="ACN64" s="3"/>
      <c r="ACO64" s="3"/>
      <c r="ACP64" s="3"/>
    </row>
    <row r="65" spans="1:770" s="248" customFormat="1">
      <c r="A65" s="292" t="e">
        <f>+#REF!+1</f>
        <v>#REF!</v>
      </c>
      <c r="B65" s="419" t="str">
        <f>+'Nomina Proquima'!B33</f>
        <v>Rodas Coronado Karen Daniela</v>
      </c>
      <c r="C65" s="1922">
        <v>16265050475819</v>
      </c>
      <c r="D65" s="401"/>
      <c r="E65" s="1120" t="str">
        <f>+'Nomina Proquima'!B33</f>
        <v>Rodas Coronado Karen Daniela</v>
      </c>
      <c r="F65" s="244" t="str">
        <f>VLOOKUP(B65,distribucion!B$9:FK$200,2,0)</f>
        <v>Analista de Investigacion y Desarrollo</v>
      </c>
      <c r="G65" s="244">
        <f>ROUND((VLOOKUP($B65,'Nomina Proquima'!$B$4:$AB$145,4,0)),2)</f>
        <v>30</v>
      </c>
      <c r="H65" s="245">
        <f>ROUND((VLOOKUP($B65,'Nomina Proquima'!$B$4:$AB$145,6,0)),2)</f>
        <v>3750</v>
      </c>
      <c r="I65" s="245">
        <f>ROUND((VLOOKUP($B65,'Nomina Proquima'!$B$4:$AB$145,7,0)),2)</f>
        <v>250</v>
      </c>
      <c r="J65" s="245">
        <f>ROUND((VLOOKUP($B65,'Nomina Proquima'!$B$4:$AB$145,9,0)),2)</f>
        <v>0</v>
      </c>
      <c r="K65" s="245">
        <f>ROUND((VLOOKUP($B65,'Nomina Proquima'!$B$4:$AB$145,10,0)),2)</f>
        <v>0</v>
      </c>
      <c r="L65" s="245">
        <f>ROUND((VLOOKUP($B65,'Nomina Proquima'!$B$4:$AB$145,11,0)),2)</f>
        <v>0</v>
      </c>
      <c r="M65" s="245">
        <f>ROUND((VLOOKUP($B65,'Nomina Proquima'!$B$4:$AB$145,12,0)),2)</f>
        <v>0</v>
      </c>
      <c r="N65" s="245">
        <f>ROUND((VLOOKUP($B65,'Nomina Proquima'!$B$4:$AB$145,13,0)),2)</f>
        <v>0</v>
      </c>
      <c r="O65" s="245">
        <f>ROUND((VLOOKUP($B65,'Nomina Proquima'!$B$4:$AB$145,14,0)),2)</f>
        <v>4000</v>
      </c>
      <c r="P65" s="245">
        <f>ROUND((VLOOKUP($B65,'Nomina Proquima'!$B$4:$AB$145,15,0)),2)</f>
        <v>181.13</v>
      </c>
      <c r="Q65" s="245">
        <f>ROUND((VLOOKUP($B65,'Nomina Proquima'!$B$4:$AB$145,16,0)),2)</f>
        <v>0</v>
      </c>
      <c r="R65" s="245">
        <f>ROUND((VLOOKUP($B65,'Nomina Proquima'!$B$4:$AB$145,17,0)),2)</f>
        <v>0</v>
      </c>
      <c r="S65" s="245">
        <f>ROUND((VLOOKUP($B65,'Nomina Proquima'!$B$4:$AB$145,18,0)),2)</f>
        <v>0</v>
      </c>
      <c r="T65" s="245">
        <f>ROUND((VLOOKUP($B65,'Nomina Proquima'!$B$4:$AB$145,19,0)),2)</f>
        <v>0</v>
      </c>
      <c r="U65" s="245">
        <f>ROUND((VLOOKUP($B65,'Nomina Proquima'!$B$4:$AB$145,20,0)),2)</f>
        <v>0</v>
      </c>
      <c r="V65" s="245">
        <f>ROUND((VLOOKUP($B65,'Nomina Proquima'!$B$4:$AB$145,21,0)),2)</f>
        <v>0</v>
      </c>
      <c r="W65" s="245">
        <f>ROUND((VLOOKUP($B65,'Nomina Proquima'!$B$4:$AB$145,22,0)),2)</f>
        <v>50</v>
      </c>
      <c r="X65" s="245">
        <f>ROUND((VLOOKUP($B65,'Nomina Proquima'!$B$4:$AB$145,23,0)),2)</f>
        <v>231.13</v>
      </c>
      <c r="Y65" s="234">
        <f>ROUND((VLOOKUP($B65,'Nomina Proquima'!$B$4:$AB$147,24,0)),2)</f>
        <v>3768.87</v>
      </c>
      <c r="Z65" s="399">
        <f>VLOOKUP(B65,'Nomina Proquima'!$B$4:$AA$148,25,0)</f>
        <v>1909.44</v>
      </c>
      <c r="AA65" s="405">
        <f>ROUND((VLOOKUP($B65,'Nomina Proquima'!$B$4:$AB$145,26,0)),2)</f>
        <v>1859.43</v>
      </c>
      <c r="AB65" s="246"/>
      <c r="AC65" s="247"/>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c r="IW65" s="3"/>
      <c r="IX65" s="3"/>
      <c r="IY65" s="3"/>
      <c r="IZ65" s="3"/>
      <c r="JA65" s="3"/>
      <c r="JB65" s="3"/>
      <c r="JC65" s="3"/>
      <c r="JD65" s="3"/>
      <c r="JE65" s="3"/>
      <c r="JF65" s="3"/>
      <c r="JG65" s="3"/>
      <c r="JH65" s="3"/>
      <c r="JI65" s="3"/>
      <c r="JJ65" s="3"/>
      <c r="JK65" s="3"/>
      <c r="JL65" s="3"/>
      <c r="JM65" s="3"/>
      <c r="JN65" s="3"/>
      <c r="JO65" s="3"/>
      <c r="JP65" s="3"/>
      <c r="JQ65" s="3"/>
      <c r="JR65" s="3"/>
      <c r="JS65" s="3"/>
      <c r="JT65" s="3"/>
      <c r="JU65" s="3"/>
      <c r="JV65" s="3"/>
      <c r="JW65" s="3"/>
      <c r="JX65" s="3"/>
      <c r="JY65" s="3"/>
      <c r="JZ65" s="3"/>
      <c r="KA65" s="3"/>
      <c r="KB65" s="3"/>
      <c r="KC65" s="3"/>
      <c r="KD65" s="3"/>
      <c r="KE65" s="3"/>
      <c r="KF65" s="3"/>
      <c r="KG65" s="3"/>
      <c r="KH65" s="3"/>
      <c r="KI65" s="3"/>
      <c r="KJ65" s="3"/>
      <c r="KK65" s="3"/>
      <c r="KL65" s="3"/>
      <c r="KM65" s="3"/>
      <c r="KN65" s="3"/>
      <c r="KO65" s="3"/>
      <c r="KP65" s="3"/>
      <c r="KQ65" s="3"/>
      <c r="KR65" s="3"/>
      <c r="KS65" s="3"/>
      <c r="KT65" s="3"/>
      <c r="KU65" s="3"/>
      <c r="KV65" s="3"/>
      <c r="KW65" s="3"/>
      <c r="KX65" s="3"/>
      <c r="KY65" s="3"/>
      <c r="KZ65" s="3"/>
      <c r="LA65" s="3"/>
      <c r="LB65" s="3"/>
      <c r="LC65" s="3"/>
      <c r="LD65" s="3"/>
      <c r="LE65" s="3"/>
      <c r="LF65" s="3"/>
      <c r="LG65" s="3"/>
      <c r="LH65" s="3"/>
      <c r="LI65" s="3"/>
      <c r="LJ65" s="3"/>
      <c r="LK65" s="3"/>
      <c r="LL65" s="3"/>
      <c r="LM65" s="3"/>
      <c r="LN65" s="3"/>
      <c r="LO65" s="3"/>
      <c r="LP65" s="3"/>
      <c r="LQ65" s="3"/>
      <c r="LR65" s="3"/>
      <c r="LS65" s="3"/>
      <c r="LT65" s="3"/>
      <c r="LU65" s="3"/>
      <c r="LV65" s="3"/>
      <c r="LW65" s="3"/>
      <c r="LX65" s="3"/>
      <c r="LY65" s="3"/>
      <c r="LZ65" s="3"/>
      <c r="MA65" s="3"/>
      <c r="MB65" s="3"/>
      <c r="MC65" s="3"/>
      <c r="MD65" s="3"/>
      <c r="ME65" s="3"/>
      <c r="MF65" s="3"/>
      <c r="MG65" s="3"/>
      <c r="MH65" s="3"/>
      <c r="MI65" s="3"/>
      <c r="MJ65" s="3"/>
      <c r="MK65" s="3"/>
      <c r="ML65" s="3"/>
      <c r="MM65" s="3"/>
      <c r="MN65" s="3"/>
      <c r="MO65" s="3"/>
      <c r="MP65" s="3"/>
      <c r="MQ65" s="3"/>
      <c r="MR65" s="3"/>
      <c r="MS65" s="3"/>
      <c r="MT65" s="3"/>
      <c r="MU65" s="3"/>
      <c r="MV65" s="3"/>
      <c r="MW65" s="3"/>
      <c r="MX65" s="3"/>
      <c r="MY65" s="3"/>
      <c r="MZ65" s="3"/>
      <c r="NA65" s="3"/>
      <c r="NB65" s="3"/>
      <c r="NC65" s="3"/>
      <c r="ND65" s="3"/>
      <c r="NE65" s="3"/>
      <c r="NF65" s="3"/>
      <c r="NG65" s="3"/>
      <c r="NH65" s="3"/>
      <c r="NI65" s="3"/>
      <c r="NJ65" s="3"/>
      <c r="NK65" s="3"/>
      <c r="NL65" s="3"/>
      <c r="NM65" s="3"/>
      <c r="NN65" s="3"/>
      <c r="NO65" s="3"/>
      <c r="NP65" s="3"/>
      <c r="NQ65" s="3"/>
      <c r="NR65" s="3"/>
      <c r="NS65" s="3"/>
      <c r="NT65" s="3"/>
      <c r="NU65" s="3"/>
      <c r="NV65" s="3"/>
      <c r="NW65" s="3"/>
      <c r="NX65" s="3"/>
      <c r="NY65" s="3"/>
      <c r="NZ65" s="3"/>
      <c r="OA65" s="3"/>
      <c r="OB65" s="3"/>
      <c r="OC65" s="3"/>
      <c r="OD65" s="3"/>
      <c r="OE65" s="3"/>
      <c r="OF65" s="3"/>
      <c r="OG65" s="3"/>
      <c r="OH65" s="3"/>
      <c r="OI65" s="3"/>
      <c r="OJ65" s="3"/>
      <c r="OK65" s="3"/>
      <c r="OL65" s="3"/>
      <c r="OM65" s="3"/>
      <c r="ON65" s="3"/>
      <c r="OO65" s="3"/>
      <c r="OP65" s="3"/>
      <c r="OQ65" s="3"/>
      <c r="OR65" s="3"/>
      <c r="OS65" s="3"/>
      <c r="OT65" s="3"/>
      <c r="OU65" s="3"/>
      <c r="OV65" s="3"/>
      <c r="OW65" s="3"/>
      <c r="OX65" s="3"/>
      <c r="OY65" s="3"/>
      <c r="OZ65" s="3"/>
      <c r="PA65" s="3"/>
      <c r="PB65" s="3"/>
      <c r="PC65" s="3"/>
      <c r="PD65" s="3"/>
      <c r="PE65" s="3"/>
      <c r="PF65" s="3"/>
      <c r="PG65" s="3"/>
      <c r="PH65" s="3"/>
      <c r="PI65" s="3"/>
      <c r="PJ65" s="3"/>
      <c r="PK65" s="3"/>
      <c r="PL65" s="3"/>
      <c r="PM65" s="3"/>
      <c r="PN65" s="3"/>
      <c r="PO65" s="3"/>
      <c r="PP65" s="3"/>
      <c r="PQ65" s="3"/>
      <c r="PR65" s="3"/>
      <c r="PS65" s="3"/>
      <c r="PT65" s="3"/>
      <c r="PU65" s="3"/>
      <c r="PV65" s="3"/>
      <c r="PW65" s="3"/>
      <c r="PX65" s="3"/>
      <c r="PY65" s="3"/>
      <c r="PZ65" s="3"/>
      <c r="QA65" s="3"/>
      <c r="QB65" s="3"/>
      <c r="QC65" s="3"/>
      <c r="QD65" s="3"/>
      <c r="QE65" s="3"/>
      <c r="QF65" s="3"/>
      <c r="QG65" s="3"/>
      <c r="QH65" s="3"/>
      <c r="QI65" s="3"/>
      <c r="QJ65" s="3"/>
      <c r="QK65" s="3"/>
      <c r="QL65" s="3"/>
      <c r="QM65" s="3"/>
      <c r="QN65" s="3"/>
      <c r="QO65" s="3"/>
      <c r="QP65" s="3"/>
      <c r="QQ65" s="3"/>
      <c r="QR65" s="3"/>
      <c r="QS65" s="3"/>
      <c r="QT65" s="3"/>
      <c r="QU65" s="3"/>
      <c r="QV65" s="3"/>
      <c r="QW65" s="3"/>
      <c r="QX65" s="3"/>
      <c r="QY65" s="3"/>
      <c r="QZ65" s="3"/>
      <c r="RA65" s="3"/>
      <c r="RB65" s="3"/>
      <c r="RC65" s="3"/>
      <c r="RD65" s="3"/>
      <c r="RE65" s="3"/>
      <c r="RF65" s="3"/>
      <c r="RG65" s="3"/>
      <c r="RH65" s="3"/>
      <c r="RI65" s="3"/>
      <c r="RJ65" s="3"/>
      <c r="RK65" s="3"/>
      <c r="RL65" s="3"/>
      <c r="RM65" s="3"/>
      <c r="RN65" s="3"/>
      <c r="RO65" s="3"/>
      <c r="RP65" s="3"/>
      <c r="RQ65" s="3"/>
      <c r="RR65" s="3"/>
      <c r="RS65" s="3"/>
      <c r="RT65" s="3"/>
      <c r="RU65" s="3"/>
      <c r="RV65" s="3"/>
      <c r="RW65" s="3"/>
      <c r="RX65" s="3"/>
      <c r="RY65" s="3"/>
      <c r="RZ65" s="3"/>
      <c r="SA65" s="3"/>
      <c r="SB65" s="3"/>
      <c r="SC65" s="3"/>
      <c r="SD65" s="3"/>
      <c r="SE65" s="3"/>
      <c r="SF65" s="3"/>
      <c r="SG65" s="3"/>
      <c r="SH65" s="3"/>
      <c r="SI65" s="3"/>
      <c r="SJ65" s="3"/>
      <c r="SK65" s="3"/>
      <c r="SL65" s="3"/>
      <c r="SM65" s="3"/>
      <c r="SN65" s="3"/>
      <c r="SO65" s="3"/>
      <c r="SP65" s="3"/>
      <c r="SQ65" s="3"/>
      <c r="SR65" s="3"/>
      <c r="SS65" s="3"/>
      <c r="ST65" s="3"/>
      <c r="SU65" s="3"/>
      <c r="SV65" s="3"/>
      <c r="SW65" s="3"/>
      <c r="SX65" s="3"/>
      <c r="SY65" s="3"/>
      <c r="SZ65" s="3"/>
      <c r="TA65" s="3"/>
      <c r="TB65" s="3"/>
      <c r="TC65" s="3"/>
      <c r="TD65" s="3"/>
      <c r="TE65" s="3"/>
      <c r="TF65" s="3"/>
      <c r="TG65" s="3"/>
      <c r="TH65" s="3"/>
      <c r="TI65" s="3"/>
      <c r="TJ65" s="3"/>
      <c r="TK65" s="3"/>
      <c r="TL65" s="3"/>
      <c r="TM65" s="3"/>
      <c r="TN65" s="3"/>
      <c r="TO65" s="3"/>
      <c r="TP65" s="3"/>
      <c r="TQ65" s="3"/>
      <c r="TR65" s="3"/>
      <c r="TS65" s="3"/>
      <c r="TT65" s="3"/>
      <c r="TU65" s="3"/>
      <c r="TV65" s="3"/>
      <c r="TW65" s="3"/>
      <c r="TX65" s="3"/>
      <c r="TY65" s="3"/>
      <c r="TZ65" s="3"/>
      <c r="UA65" s="3"/>
      <c r="UB65" s="3"/>
      <c r="UC65" s="3"/>
      <c r="UD65" s="3"/>
      <c r="UE65" s="3"/>
      <c r="UF65" s="3"/>
      <c r="UG65" s="3"/>
      <c r="UH65" s="3"/>
      <c r="UI65" s="3"/>
      <c r="UJ65" s="3"/>
      <c r="UK65" s="3"/>
      <c r="UL65" s="3"/>
      <c r="UM65" s="3"/>
      <c r="UN65" s="3"/>
      <c r="UO65" s="3"/>
      <c r="UP65" s="3"/>
      <c r="UQ65" s="3"/>
      <c r="UR65" s="3"/>
      <c r="US65" s="3"/>
      <c r="UT65" s="3"/>
      <c r="UU65" s="3"/>
      <c r="UV65" s="3"/>
      <c r="UW65" s="3"/>
      <c r="UX65" s="3"/>
      <c r="UY65" s="3"/>
      <c r="UZ65" s="3"/>
      <c r="VA65" s="3"/>
      <c r="VB65" s="3"/>
      <c r="VC65" s="3"/>
      <c r="VD65" s="3"/>
      <c r="VE65" s="3"/>
      <c r="VF65" s="3"/>
      <c r="VG65" s="3"/>
      <c r="VH65" s="3"/>
      <c r="VI65" s="3"/>
      <c r="VJ65" s="3"/>
      <c r="VK65" s="3"/>
      <c r="VL65" s="3"/>
      <c r="VM65" s="3"/>
      <c r="VN65" s="3"/>
      <c r="VO65" s="3"/>
      <c r="VP65" s="3"/>
      <c r="VQ65" s="3"/>
      <c r="VR65" s="3"/>
      <c r="VS65" s="3"/>
      <c r="VT65" s="3"/>
      <c r="VU65" s="3"/>
      <c r="VV65" s="3"/>
      <c r="VW65" s="3"/>
      <c r="VX65" s="3"/>
      <c r="VY65" s="3"/>
      <c r="VZ65" s="3"/>
      <c r="WA65" s="3"/>
      <c r="WB65" s="3"/>
      <c r="WC65" s="3"/>
      <c r="WD65" s="3"/>
      <c r="WE65" s="3"/>
      <c r="WF65" s="3"/>
      <c r="WG65" s="3"/>
      <c r="WH65" s="3"/>
      <c r="WI65" s="3"/>
      <c r="WJ65" s="3"/>
      <c r="WK65" s="3"/>
      <c r="WL65" s="3"/>
      <c r="WM65" s="3"/>
      <c r="WN65" s="3"/>
      <c r="WO65" s="3"/>
      <c r="WP65" s="3"/>
      <c r="WQ65" s="3"/>
      <c r="WR65" s="3"/>
      <c r="WS65" s="3"/>
      <c r="WT65" s="3"/>
      <c r="WU65" s="3"/>
      <c r="WV65" s="3"/>
      <c r="WW65" s="3"/>
      <c r="WX65" s="3"/>
      <c r="WY65" s="3"/>
      <c r="WZ65" s="3"/>
      <c r="XA65" s="3"/>
      <c r="XB65" s="3"/>
      <c r="XC65" s="3"/>
      <c r="XD65" s="3"/>
      <c r="XE65" s="3"/>
      <c r="XF65" s="3"/>
      <c r="XG65" s="3"/>
      <c r="XH65" s="3"/>
      <c r="XI65" s="3"/>
      <c r="XJ65" s="3"/>
      <c r="XK65" s="3"/>
      <c r="XL65" s="3"/>
      <c r="XM65" s="3"/>
      <c r="XN65" s="3"/>
      <c r="XO65" s="3"/>
      <c r="XP65" s="3"/>
      <c r="XQ65" s="3"/>
      <c r="XR65" s="3"/>
      <c r="XS65" s="3"/>
      <c r="XT65" s="3"/>
      <c r="XU65" s="3"/>
      <c r="XV65" s="3"/>
      <c r="XW65" s="3"/>
      <c r="XX65" s="3"/>
      <c r="XY65" s="3"/>
      <c r="XZ65" s="3"/>
      <c r="YA65" s="3"/>
      <c r="YB65" s="3"/>
      <c r="YC65" s="3"/>
      <c r="YD65" s="3"/>
      <c r="YE65" s="3"/>
      <c r="YF65" s="3"/>
      <c r="YG65" s="3"/>
      <c r="YH65" s="3"/>
      <c r="YI65" s="3"/>
      <c r="YJ65" s="3"/>
      <c r="YK65" s="3"/>
      <c r="YL65" s="3"/>
      <c r="YM65" s="3"/>
      <c r="YN65" s="3"/>
      <c r="YO65" s="3"/>
      <c r="YP65" s="3"/>
      <c r="YQ65" s="3"/>
      <c r="YR65" s="3"/>
      <c r="YS65" s="3"/>
      <c r="YT65" s="3"/>
      <c r="YU65" s="3"/>
      <c r="YV65" s="3"/>
      <c r="YW65" s="3"/>
      <c r="YX65" s="3"/>
      <c r="YY65" s="3"/>
      <c r="YZ65" s="3"/>
      <c r="ZA65" s="3"/>
      <c r="ZB65" s="3"/>
      <c r="ZC65" s="3"/>
      <c r="ZD65" s="3"/>
      <c r="ZE65" s="3"/>
      <c r="ZF65" s="3"/>
      <c r="ZG65" s="3"/>
      <c r="ZH65" s="3"/>
      <c r="ZI65" s="3"/>
      <c r="ZJ65" s="3"/>
      <c r="ZK65" s="3"/>
      <c r="ZL65" s="3"/>
      <c r="ZM65" s="3"/>
      <c r="ZN65" s="3"/>
      <c r="ZO65" s="3"/>
      <c r="ZP65" s="3"/>
      <c r="ZQ65" s="3"/>
      <c r="ZR65" s="3"/>
      <c r="ZS65" s="3"/>
      <c r="ZT65" s="3"/>
      <c r="ZU65" s="3"/>
      <c r="ZV65" s="3"/>
      <c r="ZW65" s="3"/>
      <c r="ZX65" s="3"/>
      <c r="ZY65" s="3"/>
      <c r="ZZ65" s="3"/>
      <c r="AAA65" s="3"/>
      <c r="AAB65" s="3"/>
      <c r="AAC65" s="3"/>
      <c r="AAD65" s="3"/>
      <c r="AAE65" s="3"/>
      <c r="AAF65" s="3"/>
      <c r="AAG65" s="3"/>
      <c r="AAH65" s="3"/>
      <c r="AAI65" s="3"/>
      <c r="AAJ65" s="3"/>
      <c r="AAK65" s="3"/>
      <c r="AAL65" s="3"/>
      <c r="AAM65" s="3"/>
      <c r="AAN65" s="3"/>
      <c r="AAO65" s="3"/>
      <c r="AAP65" s="3"/>
      <c r="AAQ65" s="3"/>
      <c r="AAR65" s="3"/>
      <c r="AAS65" s="3"/>
      <c r="AAT65" s="3"/>
      <c r="AAU65" s="3"/>
      <c r="AAV65" s="3"/>
      <c r="AAW65" s="3"/>
      <c r="AAX65" s="3"/>
      <c r="AAY65" s="3"/>
      <c r="AAZ65" s="3"/>
      <c r="ABA65" s="3"/>
      <c r="ABB65" s="3"/>
      <c r="ABC65" s="3"/>
      <c r="ABD65" s="3"/>
      <c r="ABE65" s="3"/>
      <c r="ABF65" s="3"/>
      <c r="ABG65" s="3"/>
      <c r="ABH65" s="3"/>
      <c r="ABI65" s="3"/>
      <c r="ABJ65" s="3"/>
      <c r="ABK65" s="3"/>
      <c r="ABL65" s="3"/>
      <c r="ABM65" s="3"/>
      <c r="ABN65" s="3"/>
      <c r="ABO65" s="3"/>
      <c r="ABP65" s="3"/>
      <c r="ABQ65" s="3"/>
      <c r="ABR65" s="3"/>
      <c r="ABS65" s="3"/>
      <c r="ABT65" s="3"/>
      <c r="ABU65" s="3"/>
      <c r="ABV65" s="3"/>
      <c r="ABW65" s="3"/>
      <c r="ABX65" s="3"/>
      <c r="ABY65" s="3"/>
      <c r="ABZ65" s="3"/>
      <c r="ACA65" s="3"/>
      <c r="ACB65" s="3"/>
      <c r="ACC65" s="3"/>
      <c r="ACD65" s="3"/>
      <c r="ACE65" s="3"/>
      <c r="ACF65" s="3"/>
      <c r="ACG65" s="3"/>
      <c r="ACH65" s="3"/>
      <c r="ACI65" s="3"/>
      <c r="ACJ65" s="3"/>
      <c r="ACK65" s="3"/>
      <c r="ACL65" s="3"/>
      <c r="ACM65" s="3"/>
      <c r="ACN65" s="3"/>
      <c r="ACO65" s="3"/>
      <c r="ACP65" s="3"/>
    </row>
    <row r="66" spans="1:770" s="248" customFormat="1">
      <c r="A66" s="292" t="e">
        <f>+#REF!+1</f>
        <v>#REF!</v>
      </c>
      <c r="B66" s="419" t="str">
        <f>+'Nomina Proquima'!B32</f>
        <v xml:space="preserve">Mendez Gonzalez Grecia Marbella </v>
      </c>
      <c r="C66" s="1922">
        <v>16265050436019</v>
      </c>
      <c r="D66" s="401"/>
      <c r="E66" s="1120" t="str">
        <f>+'Nomina Proquima'!B32</f>
        <v xml:space="preserve">Mendez Gonzalez Grecia Marbella </v>
      </c>
      <c r="F66" s="244" t="str">
        <f>VLOOKUP(B66,distribucion!B$9:FK$200,2,0)</f>
        <v>Auxiliar de  Investigacion y Desarrollo</v>
      </c>
      <c r="G66" s="244">
        <f>ROUND((VLOOKUP($B66,'Nomina Proquima'!$B$4:$AB$145,4,0)),2)</f>
        <v>30</v>
      </c>
      <c r="H66" s="245">
        <f>ROUND((VLOOKUP($B66,'Nomina Proquima'!$B$4:$AB$145,6,0)),2)</f>
        <v>3250</v>
      </c>
      <c r="I66" s="245">
        <f>ROUND((VLOOKUP($B66,'Nomina Proquima'!$B$4:$AB$145,7,0)),2)</f>
        <v>250</v>
      </c>
      <c r="J66" s="245">
        <f>ROUND((VLOOKUP($B66,'Nomina Proquima'!$B$4:$AB$145,9,0)),2)</f>
        <v>0</v>
      </c>
      <c r="K66" s="245">
        <f>ROUND((VLOOKUP($B66,'Nomina Proquima'!$B$4:$AB$145,10,0)),2)</f>
        <v>0</v>
      </c>
      <c r="L66" s="245">
        <f>ROUND((VLOOKUP($B66,'Nomina Proquima'!$B$4:$AB$145,11,0)),2)</f>
        <v>0</v>
      </c>
      <c r="M66" s="245">
        <f>ROUND((VLOOKUP($B66,'Nomina Proquima'!$B$4:$AB$145,12,0)),2)</f>
        <v>0</v>
      </c>
      <c r="N66" s="245">
        <f>ROUND((VLOOKUP($B66,'Nomina Proquima'!$B$4:$AB$145,13,0)),2)</f>
        <v>0</v>
      </c>
      <c r="O66" s="245">
        <f>ROUND((VLOOKUP($B66,'Nomina Proquima'!$B$4:$AB$145,14,0)),2)</f>
        <v>3500</v>
      </c>
      <c r="P66" s="245">
        <f>ROUND((VLOOKUP($B66,'Nomina Proquima'!$B$4:$AB$145,15,0)),2)</f>
        <v>156.97999999999999</v>
      </c>
      <c r="Q66" s="245">
        <f>ROUND((VLOOKUP($B66,'Nomina Proquima'!$B$4:$AB$145,16,0)),2)</f>
        <v>0</v>
      </c>
      <c r="R66" s="245">
        <f>ROUND((VLOOKUP($B66,'Nomina Proquima'!$B$4:$AB$145,17,0)),2)</f>
        <v>0</v>
      </c>
      <c r="S66" s="245">
        <f>ROUND((VLOOKUP($B66,'Nomina Proquima'!$B$4:$AB$145,18,0)),2)</f>
        <v>0</v>
      </c>
      <c r="T66" s="245">
        <f>ROUND((VLOOKUP($B66,'Nomina Proquima'!$B$4:$AB$145,19,0)),2)</f>
        <v>0</v>
      </c>
      <c r="U66" s="245">
        <f>ROUND((VLOOKUP($B66,'Nomina Proquima'!$B$4:$AB$145,20,0)),2)</f>
        <v>0</v>
      </c>
      <c r="V66" s="245">
        <f>ROUND((VLOOKUP($B66,'Nomina Proquima'!$B$4:$AB$145,21,0)),2)</f>
        <v>0</v>
      </c>
      <c r="W66" s="245">
        <f>ROUND((VLOOKUP($B66,'Nomina Proquima'!$B$4:$AB$145,22,0)),2)</f>
        <v>50</v>
      </c>
      <c r="X66" s="245">
        <f>ROUND((VLOOKUP($B66,'Nomina Proquima'!$B$4:$AB$145,23,0)),2)</f>
        <v>206.98</v>
      </c>
      <c r="Y66" s="234">
        <f>ROUND((VLOOKUP($B66,'Nomina Proquima'!$B$4:$AB$147,24,0)),2)</f>
        <v>3293.02</v>
      </c>
      <c r="Z66" s="399">
        <f>VLOOKUP(B66,'Nomina Proquima'!$B$4:$AA$148,25,0)</f>
        <v>1671.51</v>
      </c>
      <c r="AA66" s="405">
        <f>ROUND((VLOOKUP($B66,'Nomina Proquima'!$B$4:$AB$145,26,0)),2)</f>
        <v>1621.51</v>
      </c>
      <c r="AB66" s="246"/>
      <c r="AC66" s="247"/>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c r="IW66" s="3"/>
      <c r="IX66" s="3"/>
      <c r="IY66" s="3"/>
      <c r="IZ66" s="3"/>
      <c r="JA66" s="3"/>
      <c r="JB66" s="3"/>
      <c r="JC66" s="3"/>
      <c r="JD66" s="3"/>
      <c r="JE66" s="3"/>
      <c r="JF66" s="3"/>
      <c r="JG66" s="3"/>
      <c r="JH66" s="3"/>
      <c r="JI66" s="3"/>
      <c r="JJ66" s="3"/>
      <c r="JK66" s="3"/>
      <c r="JL66" s="3"/>
      <c r="JM66" s="3"/>
      <c r="JN66" s="3"/>
      <c r="JO66" s="3"/>
      <c r="JP66" s="3"/>
      <c r="JQ66" s="3"/>
      <c r="JR66" s="3"/>
      <c r="JS66" s="3"/>
      <c r="JT66" s="3"/>
      <c r="JU66" s="3"/>
      <c r="JV66" s="3"/>
      <c r="JW66" s="3"/>
      <c r="JX66" s="3"/>
      <c r="JY66" s="3"/>
      <c r="JZ66" s="3"/>
      <c r="KA66" s="3"/>
      <c r="KB66" s="3"/>
      <c r="KC66" s="3"/>
      <c r="KD66" s="3"/>
      <c r="KE66" s="3"/>
      <c r="KF66" s="3"/>
      <c r="KG66" s="3"/>
      <c r="KH66" s="3"/>
      <c r="KI66" s="3"/>
      <c r="KJ66" s="3"/>
      <c r="KK66" s="3"/>
      <c r="KL66" s="3"/>
      <c r="KM66" s="3"/>
      <c r="KN66" s="3"/>
      <c r="KO66" s="3"/>
      <c r="KP66" s="3"/>
      <c r="KQ66" s="3"/>
      <c r="KR66" s="3"/>
      <c r="KS66" s="3"/>
      <c r="KT66" s="3"/>
      <c r="KU66" s="3"/>
      <c r="KV66" s="3"/>
      <c r="KW66" s="3"/>
      <c r="KX66" s="3"/>
      <c r="KY66" s="3"/>
      <c r="KZ66" s="3"/>
      <c r="LA66" s="3"/>
      <c r="LB66" s="3"/>
      <c r="LC66" s="3"/>
      <c r="LD66" s="3"/>
      <c r="LE66" s="3"/>
      <c r="LF66" s="3"/>
      <c r="LG66" s="3"/>
      <c r="LH66" s="3"/>
      <c r="LI66" s="3"/>
      <c r="LJ66" s="3"/>
      <c r="LK66" s="3"/>
      <c r="LL66" s="3"/>
      <c r="LM66" s="3"/>
      <c r="LN66" s="3"/>
      <c r="LO66" s="3"/>
      <c r="LP66" s="3"/>
      <c r="LQ66" s="3"/>
      <c r="LR66" s="3"/>
      <c r="LS66" s="3"/>
      <c r="LT66" s="3"/>
      <c r="LU66" s="3"/>
      <c r="LV66" s="3"/>
      <c r="LW66" s="3"/>
      <c r="LX66" s="3"/>
      <c r="LY66" s="3"/>
      <c r="LZ66" s="3"/>
      <c r="MA66" s="3"/>
      <c r="MB66" s="3"/>
      <c r="MC66" s="3"/>
      <c r="MD66" s="3"/>
      <c r="ME66" s="3"/>
      <c r="MF66" s="3"/>
      <c r="MG66" s="3"/>
      <c r="MH66" s="3"/>
      <c r="MI66" s="3"/>
      <c r="MJ66" s="3"/>
      <c r="MK66" s="3"/>
      <c r="ML66" s="3"/>
      <c r="MM66" s="3"/>
      <c r="MN66" s="3"/>
      <c r="MO66" s="3"/>
      <c r="MP66" s="3"/>
      <c r="MQ66" s="3"/>
      <c r="MR66" s="3"/>
      <c r="MS66" s="3"/>
      <c r="MT66" s="3"/>
      <c r="MU66" s="3"/>
      <c r="MV66" s="3"/>
      <c r="MW66" s="3"/>
      <c r="MX66" s="3"/>
      <c r="MY66" s="3"/>
      <c r="MZ66" s="3"/>
      <c r="NA66" s="3"/>
      <c r="NB66" s="3"/>
      <c r="NC66" s="3"/>
      <c r="ND66" s="3"/>
      <c r="NE66" s="3"/>
      <c r="NF66" s="3"/>
      <c r="NG66" s="3"/>
      <c r="NH66" s="3"/>
      <c r="NI66" s="3"/>
      <c r="NJ66" s="3"/>
      <c r="NK66" s="3"/>
      <c r="NL66" s="3"/>
      <c r="NM66" s="3"/>
      <c r="NN66" s="3"/>
      <c r="NO66" s="3"/>
      <c r="NP66" s="3"/>
      <c r="NQ66" s="3"/>
      <c r="NR66" s="3"/>
      <c r="NS66" s="3"/>
      <c r="NT66" s="3"/>
      <c r="NU66" s="3"/>
      <c r="NV66" s="3"/>
      <c r="NW66" s="3"/>
      <c r="NX66" s="3"/>
      <c r="NY66" s="3"/>
      <c r="NZ66" s="3"/>
      <c r="OA66" s="3"/>
      <c r="OB66" s="3"/>
      <c r="OC66" s="3"/>
      <c r="OD66" s="3"/>
      <c r="OE66" s="3"/>
      <c r="OF66" s="3"/>
      <c r="OG66" s="3"/>
      <c r="OH66" s="3"/>
      <c r="OI66" s="3"/>
      <c r="OJ66" s="3"/>
      <c r="OK66" s="3"/>
      <c r="OL66" s="3"/>
      <c r="OM66" s="3"/>
      <c r="ON66" s="3"/>
      <c r="OO66" s="3"/>
      <c r="OP66" s="3"/>
      <c r="OQ66" s="3"/>
      <c r="OR66" s="3"/>
      <c r="OS66" s="3"/>
      <c r="OT66" s="3"/>
      <c r="OU66" s="3"/>
      <c r="OV66" s="3"/>
      <c r="OW66" s="3"/>
      <c r="OX66" s="3"/>
      <c r="OY66" s="3"/>
      <c r="OZ66" s="3"/>
      <c r="PA66" s="3"/>
      <c r="PB66" s="3"/>
      <c r="PC66" s="3"/>
      <c r="PD66" s="3"/>
      <c r="PE66" s="3"/>
      <c r="PF66" s="3"/>
      <c r="PG66" s="3"/>
      <c r="PH66" s="3"/>
      <c r="PI66" s="3"/>
      <c r="PJ66" s="3"/>
      <c r="PK66" s="3"/>
      <c r="PL66" s="3"/>
      <c r="PM66" s="3"/>
      <c r="PN66" s="3"/>
      <c r="PO66" s="3"/>
      <c r="PP66" s="3"/>
      <c r="PQ66" s="3"/>
      <c r="PR66" s="3"/>
      <c r="PS66" s="3"/>
      <c r="PT66" s="3"/>
      <c r="PU66" s="3"/>
      <c r="PV66" s="3"/>
      <c r="PW66" s="3"/>
      <c r="PX66" s="3"/>
      <c r="PY66" s="3"/>
      <c r="PZ66" s="3"/>
      <c r="QA66" s="3"/>
      <c r="QB66" s="3"/>
      <c r="QC66" s="3"/>
      <c r="QD66" s="3"/>
      <c r="QE66" s="3"/>
      <c r="QF66" s="3"/>
      <c r="QG66" s="3"/>
      <c r="QH66" s="3"/>
      <c r="QI66" s="3"/>
      <c r="QJ66" s="3"/>
      <c r="QK66" s="3"/>
      <c r="QL66" s="3"/>
      <c r="QM66" s="3"/>
      <c r="QN66" s="3"/>
      <c r="QO66" s="3"/>
      <c r="QP66" s="3"/>
      <c r="QQ66" s="3"/>
      <c r="QR66" s="3"/>
      <c r="QS66" s="3"/>
      <c r="QT66" s="3"/>
      <c r="QU66" s="3"/>
      <c r="QV66" s="3"/>
      <c r="QW66" s="3"/>
      <c r="QX66" s="3"/>
      <c r="QY66" s="3"/>
      <c r="QZ66" s="3"/>
      <c r="RA66" s="3"/>
      <c r="RB66" s="3"/>
      <c r="RC66" s="3"/>
      <c r="RD66" s="3"/>
      <c r="RE66" s="3"/>
      <c r="RF66" s="3"/>
      <c r="RG66" s="3"/>
      <c r="RH66" s="3"/>
      <c r="RI66" s="3"/>
      <c r="RJ66" s="3"/>
      <c r="RK66" s="3"/>
      <c r="RL66" s="3"/>
      <c r="RM66" s="3"/>
      <c r="RN66" s="3"/>
      <c r="RO66" s="3"/>
      <c r="RP66" s="3"/>
      <c r="RQ66" s="3"/>
      <c r="RR66" s="3"/>
      <c r="RS66" s="3"/>
      <c r="RT66" s="3"/>
      <c r="RU66" s="3"/>
      <c r="RV66" s="3"/>
      <c r="RW66" s="3"/>
      <c r="RX66" s="3"/>
      <c r="RY66" s="3"/>
      <c r="RZ66" s="3"/>
      <c r="SA66" s="3"/>
      <c r="SB66" s="3"/>
      <c r="SC66" s="3"/>
      <c r="SD66" s="3"/>
      <c r="SE66" s="3"/>
      <c r="SF66" s="3"/>
      <c r="SG66" s="3"/>
      <c r="SH66" s="3"/>
      <c r="SI66" s="3"/>
      <c r="SJ66" s="3"/>
      <c r="SK66" s="3"/>
      <c r="SL66" s="3"/>
      <c r="SM66" s="3"/>
      <c r="SN66" s="3"/>
      <c r="SO66" s="3"/>
      <c r="SP66" s="3"/>
      <c r="SQ66" s="3"/>
      <c r="SR66" s="3"/>
      <c r="SS66" s="3"/>
      <c r="ST66" s="3"/>
      <c r="SU66" s="3"/>
      <c r="SV66" s="3"/>
      <c r="SW66" s="3"/>
      <c r="SX66" s="3"/>
      <c r="SY66" s="3"/>
      <c r="SZ66" s="3"/>
      <c r="TA66" s="3"/>
      <c r="TB66" s="3"/>
      <c r="TC66" s="3"/>
      <c r="TD66" s="3"/>
      <c r="TE66" s="3"/>
      <c r="TF66" s="3"/>
      <c r="TG66" s="3"/>
      <c r="TH66" s="3"/>
      <c r="TI66" s="3"/>
      <c r="TJ66" s="3"/>
      <c r="TK66" s="3"/>
      <c r="TL66" s="3"/>
      <c r="TM66" s="3"/>
      <c r="TN66" s="3"/>
      <c r="TO66" s="3"/>
      <c r="TP66" s="3"/>
      <c r="TQ66" s="3"/>
      <c r="TR66" s="3"/>
      <c r="TS66" s="3"/>
      <c r="TT66" s="3"/>
      <c r="TU66" s="3"/>
      <c r="TV66" s="3"/>
      <c r="TW66" s="3"/>
      <c r="TX66" s="3"/>
      <c r="TY66" s="3"/>
      <c r="TZ66" s="3"/>
      <c r="UA66" s="3"/>
      <c r="UB66" s="3"/>
      <c r="UC66" s="3"/>
      <c r="UD66" s="3"/>
      <c r="UE66" s="3"/>
      <c r="UF66" s="3"/>
      <c r="UG66" s="3"/>
      <c r="UH66" s="3"/>
      <c r="UI66" s="3"/>
      <c r="UJ66" s="3"/>
      <c r="UK66" s="3"/>
      <c r="UL66" s="3"/>
      <c r="UM66" s="3"/>
      <c r="UN66" s="3"/>
      <c r="UO66" s="3"/>
      <c r="UP66" s="3"/>
      <c r="UQ66" s="3"/>
      <c r="UR66" s="3"/>
      <c r="US66" s="3"/>
      <c r="UT66" s="3"/>
      <c r="UU66" s="3"/>
      <c r="UV66" s="3"/>
      <c r="UW66" s="3"/>
      <c r="UX66" s="3"/>
      <c r="UY66" s="3"/>
      <c r="UZ66" s="3"/>
      <c r="VA66" s="3"/>
      <c r="VB66" s="3"/>
      <c r="VC66" s="3"/>
      <c r="VD66" s="3"/>
      <c r="VE66" s="3"/>
      <c r="VF66" s="3"/>
      <c r="VG66" s="3"/>
      <c r="VH66" s="3"/>
      <c r="VI66" s="3"/>
      <c r="VJ66" s="3"/>
      <c r="VK66" s="3"/>
      <c r="VL66" s="3"/>
      <c r="VM66" s="3"/>
      <c r="VN66" s="3"/>
      <c r="VO66" s="3"/>
      <c r="VP66" s="3"/>
      <c r="VQ66" s="3"/>
      <c r="VR66" s="3"/>
      <c r="VS66" s="3"/>
      <c r="VT66" s="3"/>
      <c r="VU66" s="3"/>
      <c r="VV66" s="3"/>
      <c r="VW66" s="3"/>
      <c r="VX66" s="3"/>
      <c r="VY66" s="3"/>
      <c r="VZ66" s="3"/>
      <c r="WA66" s="3"/>
      <c r="WB66" s="3"/>
      <c r="WC66" s="3"/>
      <c r="WD66" s="3"/>
      <c r="WE66" s="3"/>
      <c r="WF66" s="3"/>
      <c r="WG66" s="3"/>
      <c r="WH66" s="3"/>
      <c r="WI66" s="3"/>
      <c r="WJ66" s="3"/>
      <c r="WK66" s="3"/>
      <c r="WL66" s="3"/>
      <c r="WM66" s="3"/>
      <c r="WN66" s="3"/>
      <c r="WO66" s="3"/>
      <c r="WP66" s="3"/>
      <c r="WQ66" s="3"/>
      <c r="WR66" s="3"/>
      <c r="WS66" s="3"/>
      <c r="WT66" s="3"/>
      <c r="WU66" s="3"/>
      <c r="WV66" s="3"/>
      <c r="WW66" s="3"/>
      <c r="WX66" s="3"/>
      <c r="WY66" s="3"/>
      <c r="WZ66" s="3"/>
      <c r="XA66" s="3"/>
      <c r="XB66" s="3"/>
      <c r="XC66" s="3"/>
      <c r="XD66" s="3"/>
      <c r="XE66" s="3"/>
      <c r="XF66" s="3"/>
      <c r="XG66" s="3"/>
      <c r="XH66" s="3"/>
      <c r="XI66" s="3"/>
      <c r="XJ66" s="3"/>
      <c r="XK66" s="3"/>
      <c r="XL66" s="3"/>
      <c r="XM66" s="3"/>
      <c r="XN66" s="3"/>
      <c r="XO66" s="3"/>
      <c r="XP66" s="3"/>
      <c r="XQ66" s="3"/>
      <c r="XR66" s="3"/>
      <c r="XS66" s="3"/>
      <c r="XT66" s="3"/>
      <c r="XU66" s="3"/>
      <c r="XV66" s="3"/>
      <c r="XW66" s="3"/>
      <c r="XX66" s="3"/>
      <c r="XY66" s="3"/>
      <c r="XZ66" s="3"/>
      <c r="YA66" s="3"/>
      <c r="YB66" s="3"/>
      <c r="YC66" s="3"/>
      <c r="YD66" s="3"/>
      <c r="YE66" s="3"/>
      <c r="YF66" s="3"/>
      <c r="YG66" s="3"/>
      <c r="YH66" s="3"/>
      <c r="YI66" s="3"/>
      <c r="YJ66" s="3"/>
      <c r="YK66" s="3"/>
      <c r="YL66" s="3"/>
      <c r="YM66" s="3"/>
      <c r="YN66" s="3"/>
      <c r="YO66" s="3"/>
      <c r="YP66" s="3"/>
      <c r="YQ66" s="3"/>
      <c r="YR66" s="3"/>
      <c r="YS66" s="3"/>
      <c r="YT66" s="3"/>
      <c r="YU66" s="3"/>
      <c r="YV66" s="3"/>
      <c r="YW66" s="3"/>
      <c r="YX66" s="3"/>
      <c r="YY66" s="3"/>
      <c r="YZ66" s="3"/>
      <c r="ZA66" s="3"/>
      <c r="ZB66" s="3"/>
      <c r="ZC66" s="3"/>
      <c r="ZD66" s="3"/>
      <c r="ZE66" s="3"/>
      <c r="ZF66" s="3"/>
      <c r="ZG66" s="3"/>
      <c r="ZH66" s="3"/>
      <c r="ZI66" s="3"/>
      <c r="ZJ66" s="3"/>
      <c r="ZK66" s="3"/>
      <c r="ZL66" s="3"/>
      <c r="ZM66" s="3"/>
      <c r="ZN66" s="3"/>
      <c r="ZO66" s="3"/>
      <c r="ZP66" s="3"/>
      <c r="ZQ66" s="3"/>
      <c r="ZR66" s="3"/>
      <c r="ZS66" s="3"/>
      <c r="ZT66" s="3"/>
      <c r="ZU66" s="3"/>
      <c r="ZV66" s="3"/>
      <c r="ZW66" s="3"/>
      <c r="ZX66" s="3"/>
      <c r="ZY66" s="3"/>
      <c r="ZZ66" s="3"/>
      <c r="AAA66" s="3"/>
      <c r="AAB66" s="3"/>
      <c r="AAC66" s="3"/>
      <c r="AAD66" s="3"/>
      <c r="AAE66" s="3"/>
      <c r="AAF66" s="3"/>
      <c r="AAG66" s="3"/>
      <c r="AAH66" s="3"/>
      <c r="AAI66" s="3"/>
      <c r="AAJ66" s="3"/>
      <c r="AAK66" s="3"/>
      <c r="AAL66" s="3"/>
      <c r="AAM66" s="3"/>
      <c r="AAN66" s="3"/>
      <c r="AAO66" s="3"/>
      <c r="AAP66" s="3"/>
      <c r="AAQ66" s="3"/>
      <c r="AAR66" s="3"/>
      <c r="AAS66" s="3"/>
      <c r="AAT66" s="3"/>
      <c r="AAU66" s="3"/>
      <c r="AAV66" s="3"/>
      <c r="AAW66" s="3"/>
      <c r="AAX66" s="3"/>
      <c r="AAY66" s="3"/>
      <c r="AAZ66" s="3"/>
      <c r="ABA66" s="3"/>
      <c r="ABB66" s="3"/>
      <c r="ABC66" s="3"/>
      <c r="ABD66" s="3"/>
      <c r="ABE66" s="3"/>
      <c r="ABF66" s="3"/>
      <c r="ABG66" s="3"/>
      <c r="ABH66" s="3"/>
      <c r="ABI66" s="3"/>
      <c r="ABJ66" s="3"/>
      <c r="ABK66" s="3"/>
      <c r="ABL66" s="3"/>
      <c r="ABM66" s="3"/>
      <c r="ABN66" s="3"/>
      <c r="ABO66" s="3"/>
      <c r="ABP66" s="3"/>
      <c r="ABQ66" s="3"/>
      <c r="ABR66" s="3"/>
      <c r="ABS66" s="3"/>
      <c r="ABT66" s="3"/>
      <c r="ABU66" s="3"/>
      <c r="ABV66" s="3"/>
      <c r="ABW66" s="3"/>
      <c r="ABX66" s="3"/>
      <c r="ABY66" s="3"/>
      <c r="ABZ66" s="3"/>
      <c r="ACA66" s="3"/>
      <c r="ACB66" s="3"/>
      <c r="ACC66" s="3"/>
      <c r="ACD66" s="3"/>
      <c r="ACE66" s="3"/>
      <c r="ACF66" s="3"/>
      <c r="ACG66" s="3"/>
      <c r="ACH66" s="3"/>
      <c r="ACI66" s="3"/>
      <c r="ACJ66" s="3"/>
      <c r="ACK66" s="3"/>
      <c r="ACL66" s="3"/>
      <c r="ACM66" s="3"/>
      <c r="ACN66" s="3"/>
      <c r="ACO66" s="3"/>
      <c r="ACP66" s="3"/>
    </row>
    <row r="67" spans="1:770" s="248" customFormat="1">
      <c r="A67" s="292" t="e">
        <f>+#REF!+1</f>
        <v>#REF!</v>
      </c>
      <c r="B67" s="419" t="str">
        <f>+'Nomina Proquima'!B58</f>
        <v>Pop Aldana Jose Ruben</v>
      </c>
      <c r="C67" s="1922" t="s">
        <v>266</v>
      </c>
      <c r="D67" s="401"/>
      <c r="E67" s="1120" t="str">
        <f>+'Nomina Proquima'!B58</f>
        <v>Pop Aldana Jose Ruben</v>
      </c>
      <c r="F67" s="244" t="str">
        <f>VLOOKUP(B67,distribucion!B$9:FK$200,2,0)</f>
        <v>Asistente Exportaciones</v>
      </c>
      <c r="G67" s="244">
        <f>ROUND((VLOOKUP($B67,'Nomina Proquima'!$B$4:$AB$145,4,0)),2)</f>
        <v>28</v>
      </c>
      <c r="H67" s="245">
        <f>ROUND((VLOOKUP($B67,'Nomina Proquima'!$B$4:$AB$145,6,0)),2)</f>
        <v>3686.67</v>
      </c>
      <c r="I67" s="245">
        <f>ROUND((VLOOKUP($B67,'Nomina Proquima'!$B$4:$AB$145,7,0)),2)</f>
        <v>563.33000000000004</v>
      </c>
      <c r="J67" s="245">
        <f>ROUND((VLOOKUP($B67,'Nomina Proquima'!$B$4:$AB$145,9,0)),2)</f>
        <v>0</v>
      </c>
      <c r="K67" s="245">
        <f>ROUND((VLOOKUP($B67,'Nomina Proquima'!$B$4:$AB$145,10,0)),2)</f>
        <v>0</v>
      </c>
      <c r="L67" s="245">
        <f>ROUND((VLOOKUP($B67,'Nomina Proquima'!$B$4:$AB$145,11,0)),2)</f>
        <v>0</v>
      </c>
      <c r="M67" s="245">
        <f>ROUND((VLOOKUP($B67,'Nomina Proquima'!$B$4:$AB$145,12,0)),2)</f>
        <v>0</v>
      </c>
      <c r="N67" s="245">
        <f>ROUND((VLOOKUP($B67,'Nomina Proquima'!$B$4:$AB$145,13,0)),2)</f>
        <v>0</v>
      </c>
      <c r="O67" s="245">
        <f>ROUND((VLOOKUP($B67,'Nomina Proquima'!$B$4:$AB$145,14,0)),2)</f>
        <v>4250</v>
      </c>
      <c r="P67" s="245">
        <f>ROUND((VLOOKUP($B67,'Nomina Proquima'!$B$4:$AB$145,15,0)),2)</f>
        <v>178.07</v>
      </c>
      <c r="Q67" s="245">
        <f>ROUND((VLOOKUP($B67,'Nomina Proquima'!$B$4:$AB$145,16,0)),2)</f>
        <v>15.46</v>
      </c>
      <c r="R67" s="245">
        <f>ROUND((VLOOKUP($B67,'Nomina Proquima'!$B$4:$AB$145,17,0)),2)</f>
        <v>0</v>
      </c>
      <c r="S67" s="245">
        <f>ROUND((VLOOKUP($B67,'Nomina Proquima'!$B$4:$AB$145,18,0)),2)</f>
        <v>0</v>
      </c>
      <c r="T67" s="245">
        <f>ROUND((VLOOKUP($B67,'Nomina Proquima'!$B$4:$AB$145,19,0)),2)</f>
        <v>135</v>
      </c>
      <c r="U67" s="245">
        <f>ROUND((VLOOKUP($B67,'Nomina Proquima'!$B$4:$AB$145,20,0)),2)</f>
        <v>0</v>
      </c>
      <c r="V67" s="245">
        <f>ROUND((VLOOKUP($B67,'Nomina Proquima'!$B$4:$AB$145,21,0)),2)</f>
        <v>0</v>
      </c>
      <c r="W67" s="245">
        <f>ROUND((VLOOKUP($B67,'Nomina Proquima'!$B$4:$AB$145,22,0)),2)</f>
        <v>50</v>
      </c>
      <c r="X67" s="245">
        <f>ROUND((VLOOKUP($B67,'Nomina Proquima'!$B$4:$AB$145,23,0)),2)</f>
        <v>378.53</v>
      </c>
      <c r="Y67" s="234">
        <f>ROUND((VLOOKUP($B67,'Nomina Proquima'!$B$4:$AB$147,24,0)),2)</f>
        <v>3871.47</v>
      </c>
      <c r="Z67" s="399">
        <f>VLOOKUP(B67,'Nomina Proquima'!$B$4:$AA$148,25,0)</f>
        <v>1849.83</v>
      </c>
      <c r="AA67" s="405">
        <f>ROUND((VLOOKUP($B67,'Nomina Proquima'!$B$4:$AB$145,26,0)),2)</f>
        <v>2021.64</v>
      </c>
      <c r="AB67" s="246"/>
      <c r="AC67" s="247"/>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c r="IW67" s="3"/>
      <c r="IX67" s="3"/>
      <c r="IY67" s="3"/>
      <c r="IZ67" s="3"/>
      <c r="JA67" s="3"/>
      <c r="JB67" s="3"/>
      <c r="JC67" s="3"/>
      <c r="JD67" s="3"/>
      <c r="JE67" s="3"/>
      <c r="JF67" s="3"/>
      <c r="JG67" s="3"/>
      <c r="JH67" s="3"/>
      <c r="JI67" s="3"/>
      <c r="JJ67" s="3"/>
      <c r="JK67" s="3"/>
      <c r="JL67" s="3"/>
      <c r="JM67" s="3"/>
      <c r="JN67" s="3"/>
      <c r="JO67" s="3"/>
      <c r="JP67" s="3"/>
      <c r="JQ67" s="3"/>
      <c r="JR67" s="3"/>
      <c r="JS67" s="3"/>
      <c r="JT67" s="3"/>
      <c r="JU67" s="3"/>
      <c r="JV67" s="3"/>
      <c r="JW67" s="3"/>
      <c r="JX67" s="3"/>
      <c r="JY67" s="3"/>
      <c r="JZ67" s="3"/>
      <c r="KA67" s="3"/>
      <c r="KB67" s="3"/>
      <c r="KC67" s="3"/>
      <c r="KD67" s="3"/>
      <c r="KE67" s="3"/>
      <c r="KF67" s="3"/>
      <c r="KG67" s="3"/>
      <c r="KH67" s="3"/>
      <c r="KI67" s="3"/>
      <c r="KJ67" s="3"/>
      <c r="KK67" s="3"/>
      <c r="KL67" s="3"/>
      <c r="KM67" s="3"/>
      <c r="KN67" s="3"/>
      <c r="KO67" s="3"/>
      <c r="KP67" s="3"/>
      <c r="KQ67" s="3"/>
      <c r="KR67" s="3"/>
      <c r="KS67" s="3"/>
      <c r="KT67" s="3"/>
      <c r="KU67" s="3"/>
      <c r="KV67" s="3"/>
      <c r="KW67" s="3"/>
      <c r="KX67" s="3"/>
      <c r="KY67" s="3"/>
      <c r="KZ67" s="3"/>
      <c r="LA67" s="3"/>
      <c r="LB67" s="3"/>
      <c r="LC67" s="3"/>
      <c r="LD67" s="3"/>
      <c r="LE67" s="3"/>
      <c r="LF67" s="3"/>
      <c r="LG67" s="3"/>
      <c r="LH67" s="3"/>
      <c r="LI67" s="3"/>
      <c r="LJ67" s="3"/>
      <c r="LK67" s="3"/>
      <c r="LL67" s="3"/>
      <c r="LM67" s="3"/>
      <c r="LN67" s="3"/>
      <c r="LO67" s="3"/>
      <c r="LP67" s="3"/>
      <c r="LQ67" s="3"/>
      <c r="LR67" s="3"/>
      <c r="LS67" s="3"/>
      <c r="LT67" s="3"/>
      <c r="LU67" s="3"/>
      <c r="LV67" s="3"/>
      <c r="LW67" s="3"/>
      <c r="LX67" s="3"/>
      <c r="LY67" s="3"/>
      <c r="LZ67" s="3"/>
      <c r="MA67" s="3"/>
      <c r="MB67" s="3"/>
      <c r="MC67" s="3"/>
      <c r="MD67" s="3"/>
      <c r="ME67" s="3"/>
      <c r="MF67" s="3"/>
      <c r="MG67" s="3"/>
      <c r="MH67" s="3"/>
      <c r="MI67" s="3"/>
      <c r="MJ67" s="3"/>
      <c r="MK67" s="3"/>
      <c r="ML67" s="3"/>
      <c r="MM67" s="3"/>
      <c r="MN67" s="3"/>
      <c r="MO67" s="3"/>
      <c r="MP67" s="3"/>
      <c r="MQ67" s="3"/>
      <c r="MR67" s="3"/>
      <c r="MS67" s="3"/>
      <c r="MT67" s="3"/>
      <c r="MU67" s="3"/>
      <c r="MV67" s="3"/>
      <c r="MW67" s="3"/>
      <c r="MX67" s="3"/>
      <c r="MY67" s="3"/>
      <c r="MZ67" s="3"/>
      <c r="NA67" s="3"/>
      <c r="NB67" s="3"/>
      <c r="NC67" s="3"/>
      <c r="ND67" s="3"/>
      <c r="NE67" s="3"/>
      <c r="NF67" s="3"/>
      <c r="NG67" s="3"/>
      <c r="NH67" s="3"/>
      <c r="NI67" s="3"/>
      <c r="NJ67" s="3"/>
      <c r="NK67" s="3"/>
      <c r="NL67" s="3"/>
      <c r="NM67" s="3"/>
      <c r="NN67" s="3"/>
      <c r="NO67" s="3"/>
      <c r="NP67" s="3"/>
      <c r="NQ67" s="3"/>
      <c r="NR67" s="3"/>
      <c r="NS67" s="3"/>
      <c r="NT67" s="3"/>
      <c r="NU67" s="3"/>
      <c r="NV67" s="3"/>
      <c r="NW67" s="3"/>
      <c r="NX67" s="3"/>
      <c r="NY67" s="3"/>
      <c r="NZ67" s="3"/>
      <c r="OA67" s="3"/>
      <c r="OB67" s="3"/>
      <c r="OC67" s="3"/>
      <c r="OD67" s="3"/>
      <c r="OE67" s="3"/>
      <c r="OF67" s="3"/>
      <c r="OG67" s="3"/>
      <c r="OH67" s="3"/>
      <c r="OI67" s="3"/>
      <c r="OJ67" s="3"/>
      <c r="OK67" s="3"/>
      <c r="OL67" s="3"/>
      <c r="OM67" s="3"/>
      <c r="ON67" s="3"/>
      <c r="OO67" s="3"/>
      <c r="OP67" s="3"/>
      <c r="OQ67" s="3"/>
      <c r="OR67" s="3"/>
      <c r="OS67" s="3"/>
      <c r="OT67" s="3"/>
      <c r="OU67" s="3"/>
      <c r="OV67" s="3"/>
      <c r="OW67" s="3"/>
      <c r="OX67" s="3"/>
      <c r="OY67" s="3"/>
      <c r="OZ67" s="3"/>
      <c r="PA67" s="3"/>
      <c r="PB67" s="3"/>
      <c r="PC67" s="3"/>
      <c r="PD67" s="3"/>
      <c r="PE67" s="3"/>
      <c r="PF67" s="3"/>
      <c r="PG67" s="3"/>
      <c r="PH67" s="3"/>
      <c r="PI67" s="3"/>
      <c r="PJ67" s="3"/>
      <c r="PK67" s="3"/>
      <c r="PL67" s="3"/>
      <c r="PM67" s="3"/>
      <c r="PN67" s="3"/>
      <c r="PO67" s="3"/>
      <c r="PP67" s="3"/>
      <c r="PQ67" s="3"/>
      <c r="PR67" s="3"/>
      <c r="PS67" s="3"/>
      <c r="PT67" s="3"/>
      <c r="PU67" s="3"/>
      <c r="PV67" s="3"/>
      <c r="PW67" s="3"/>
      <c r="PX67" s="3"/>
      <c r="PY67" s="3"/>
      <c r="PZ67" s="3"/>
      <c r="QA67" s="3"/>
      <c r="QB67" s="3"/>
      <c r="QC67" s="3"/>
      <c r="QD67" s="3"/>
      <c r="QE67" s="3"/>
      <c r="QF67" s="3"/>
      <c r="QG67" s="3"/>
      <c r="QH67" s="3"/>
      <c r="QI67" s="3"/>
      <c r="QJ67" s="3"/>
      <c r="QK67" s="3"/>
      <c r="QL67" s="3"/>
      <c r="QM67" s="3"/>
      <c r="QN67" s="3"/>
      <c r="QO67" s="3"/>
      <c r="QP67" s="3"/>
      <c r="QQ67" s="3"/>
      <c r="QR67" s="3"/>
      <c r="QS67" s="3"/>
      <c r="QT67" s="3"/>
      <c r="QU67" s="3"/>
      <c r="QV67" s="3"/>
      <c r="QW67" s="3"/>
      <c r="QX67" s="3"/>
      <c r="QY67" s="3"/>
      <c r="QZ67" s="3"/>
      <c r="RA67" s="3"/>
      <c r="RB67" s="3"/>
      <c r="RC67" s="3"/>
      <c r="RD67" s="3"/>
      <c r="RE67" s="3"/>
      <c r="RF67" s="3"/>
      <c r="RG67" s="3"/>
      <c r="RH67" s="3"/>
      <c r="RI67" s="3"/>
      <c r="RJ67" s="3"/>
      <c r="RK67" s="3"/>
      <c r="RL67" s="3"/>
      <c r="RM67" s="3"/>
      <c r="RN67" s="3"/>
      <c r="RO67" s="3"/>
      <c r="RP67" s="3"/>
      <c r="RQ67" s="3"/>
      <c r="RR67" s="3"/>
      <c r="RS67" s="3"/>
      <c r="RT67" s="3"/>
      <c r="RU67" s="3"/>
      <c r="RV67" s="3"/>
      <c r="RW67" s="3"/>
      <c r="RX67" s="3"/>
      <c r="RY67" s="3"/>
      <c r="RZ67" s="3"/>
      <c r="SA67" s="3"/>
      <c r="SB67" s="3"/>
      <c r="SC67" s="3"/>
      <c r="SD67" s="3"/>
      <c r="SE67" s="3"/>
      <c r="SF67" s="3"/>
      <c r="SG67" s="3"/>
      <c r="SH67" s="3"/>
      <c r="SI67" s="3"/>
      <c r="SJ67" s="3"/>
      <c r="SK67" s="3"/>
      <c r="SL67" s="3"/>
      <c r="SM67" s="3"/>
      <c r="SN67" s="3"/>
      <c r="SO67" s="3"/>
      <c r="SP67" s="3"/>
      <c r="SQ67" s="3"/>
      <c r="SR67" s="3"/>
      <c r="SS67" s="3"/>
      <c r="ST67" s="3"/>
      <c r="SU67" s="3"/>
      <c r="SV67" s="3"/>
      <c r="SW67" s="3"/>
      <c r="SX67" s="3"/>
      <c r="SY67" s="3"/>
      <c r="SZ67" s="3"/>
      <c r="TA67" s="3"/>
      <c r="TB67" s="3"/>
      <c r="TC67" s="3"/>
      <c r="TD67" s="3"/>
      <c r="TE67" s="3"/>
      <c r="TF67" s="3"/>
      <c r="TG67" s="3"/>
      <c r="TH67" s="3"/>
      <c r="TI67" s="3"/>
      <c r="TJ67" s="3"/>
      <c r="TK67" s="3"/>
      <c r="TL67" s="3"/>
      <c r="TM67" s="3"/>
      <c r="TN67" s="3"/>
      <c r="TO67" s="3"/>
      <c r="TP67" s="3"/>
      <c r="TQ67" s="3"/>
      <c r="TR67" s="3"/>
      <c r="TS67" s="3"/>
      <c r="TT67" s="3"/>
      <c r="TU67" s="3"/>
      <c r="TV67" s="3"/>
      <c r="TW67" s="3"/>
      <c r="TX67" s="3"/>
      <c r="TY67" s="3"/>
      <c r="TZ67" s="3"/>
      <c r="UA67" s="3"/>
      <c r="UB67" s="3"/>
      <c r="UC67" s="3"/>
      <c r="UD67" s="3"/>
      <c r="UE67" s="3"/>
      <c r="UF67" s="3"/>
      <c r="UG67" s="3"/>
      <c r="UH67" s="3"/>
      <c r="UI67" s="3"/>
      <c r="UJ67" s="3"/>
      <c r="UK67" s="3"/>
      <c r="UL67" s="3"/>
      <c r="UM67" s="3"/>
      <c r="UN67" s="3"/>
      <c r="UO67" s="3"/>
      <c r="UP67" s="3"/>
      <c r="UQ67" s="3"/>
      <c r="UR67" s="3"/>
      <c r="US67" s="3"/>
      <c r="UT67" s="3"/>
      <c r="UU67" s="3"/>
      <c r="UV67" s="3"/>
      <c r="UW67" s="3"/>
      <c r="UX67" s="3"/>
      <c r="UY67" s="3"/>
      <c r="UZ67" s="3"/>
      <c r="VA67" s="3"/>
      <c r="VB67" s="3"/>
      <c r="VC67" s="3"/>
      <c r="VD67" s="3"/>
      <c r="VE67" s="3"/>
      <c r="VF67" s="3"/>
      <c r="VG67" s="3"/>
      <c r="VH67" s="3"/>
      <c r="VI67" s="3"/>
      <c r="VJ67" s="3"/>
      <c r="VK67" s="3"/>
      <c r="VL67" s="3"/>
      <c r="VM67" s="3"/>
      <c r="VN67" s="3"/>
      <c r="VO67" s="3"/>
      <c r="VP67" s="3"/>
      <c r="VQ67" s="3"/>
      <c r="VR67" s="3"/>
      <c r="VS67" s="3"/>
      <c r="VT67" s="3"/>
      <c r="VU67" s="3"/>
      <c r="VV67" s="3"/>
      <c r="VW67" s="3"/>
      <c r="VX67" s="3"/>
      <c r="VY67" s="3"/>
      <c r="VZ67" s="3"/>
      <c r="WA67" s="3"/>
      <c r="WB67" s="3"/>
      <c r="WC67" s="3"/>
      <c r="WD67" s="3"/>
      <c r="WE67" s="3"/>
      <c r="WF67" s="3"/>
      <c r="WG67" s="3"/>
      <c r="WH67" s="3"/>
      <c r="WI67" s="3"/>
      <c r="WJ67" s="3"/>
      <c r="WK67" s="3"/>
      <c r="WL67" s="3"/>
      <c r="WM67" s="3"/>
      <c r="WN67" s="3"/>
      <c r="WO67" s="3"/>
      <c r="WP67" s="3"/>
      <c r="WQ67" s="3"/>
      <c r="WR67" s="3"/>
      <c r="WS67" s="3"/>
      <c r="WT67" s="3"/>
      <c r="WU67" s="3"/>
      <c r="WV67" s="3"/>
      <c r="WW67" s="3"/>
      <c r="WX67" s="3"/>
      <c r="WY67" s="3"/>
      <c r="WZ67" s="3"/>
      <c r="XA67" s="3"/>
      <c r="XB67" s="3"/>
      <c r="XC67" s="3"/>
      <c r="XD67" s="3"/>
      <c r="XE67" s="3"/>
      <c r="XF67" s="3"/>
      <c r="XG67" s="3"/>
      <c r="XH67" s="3"/>
      <c r="XI67" s="3"/>
      <c r="XJ67" s="3"/>
      <c r="XK67" s="3"/>
      <c r="XL67" s="3"/>
      <c r="XM67" s="3"/>
      <c r="XN67" s="3"/>
      <c r="XO67" s="3"/>
      <c r="XP67" s="3"/>
      <c r="XQ67" s="3"/>
      <c r="XR67" s="3"/>
      <c r="XS67" s="3"/>
      <c r="XT67" s="3"/>
      <c r="XU67" s="3"/>
      <c r="XV67" s="3"/>
      <c r="XW67" s="3"/>
      <c r="XX67" s="3"/>
      <c r="XY67" s="3"/>
      <c r="XZ67" s="3"/>
      <c r="YA67" s="3"/>
      <c r="YB67" s="3"/>
      <c r="YC67" s="3"/>
      <c r="YD67" s="3"/>
      <c r="YE67" s="3"/>
      <c r="YF67" s="3"/>
      <c r="YG67" s="3"/>
      <c r="YH67" s="3"/>
      <c r="YI67" s="3"/>
      <c r="YJ67" s="3"/>
      <c r="YK67" s="3"/>
      <c r="YL67" s="3"/>
      <c r="YM67" s="3"/>
      <c r="YN67" s="3"/>
      <c r="YO67" s="3"/>
      <c r="YP67" s="3"/>
      <c r="YQ67" s="3"/>
      <c r="YR67" s="3"/>
      <c r="YS67" s="3"/>
      <c r="YT67" s="3"/>
      <c r="YU67" s="3"/>
      <c r="YV67" s="3"/>
      <c r="YW67" s="3"/>
      <c r="YX67" s="3"/>
      <c r="YY67" s="3"/>
      <c r="YZ67" s="3"/>
      <c r="ZA67" s="3"/>
      <c r="ZB67" s="3"/>
      <c r="ZC67" s="3"/>
      <c r="ZD67" s="3"/>
      <c r="ZE67" s="3"/>
      <c r="ZF67" s="3"/>
      <c r="ZG67" s="3"/>
      <c r="ZH67" s="3"/>
      <c r="ZI67" s="3"/>
      <c r="ZJ67" s="3"/>
      <c r="ZK67" s="3"/>
      <c r="ZL67" s="3"/>
      <c r="ZM67" s="3"/>
      <c r="ZN67" s="3"/>
      <c r="ZO67" s="3"/>
      <c r="ZP67" s="3"/>
      <c r="ZQ67" s="3"/>
      <c r="ZR67" s="3"/>
      <c r="ZS67" s="3"/>
      <c r="ZT67" s="3"/>
      <c r="ZU67" s="3"/>
      <c r="ZV67" s="3"/>
      <c r="ZW67" s="3"/>
      <c r="ZX67" s="3"/>
      <c r="ZY67" s="3"/>
      <c r="ZZ67" s="3"/>
      <c r="AAA67" s="3"/>
      <c r="AAB67" s="3"/>
      <c r="AAC67" s="3"/>
      <c r="AAD67" s="3"/>
      <c r="AAE67" s="3"/>
      <c r="AAF67" s="3"/>
      <c r="AAG67" s="3"/>
      <c r="AAH67" s="3"/>
      <c r="AAI67" s="3"/>
      <c r="AAJ67" s="3"/>
      <c r="AAK67" s="3"/>
      <c r="AAL67" s="3"/>
      <c r="AAM67" s="3"/>
      <c r="AAN67" s="3"/>
      <c r="AAO67" s="3"/>
      <c r="AAP67" s="3"/>
      <c r="AAQ67" s="3"/>
      <c r="AAR67" s="3"/>
      <c r="AAS67" s="3"/>
      <c r="AAT67" s="3"/>
      <c r="AAU67" s="3"/>
      <c r="AAV67" s="3"/>
      <c r="AAW67" s="3"/>
      <c r="AAX67" s="3"/>
      <c r="AAY67" s="3"/>
      <c r="AAZ67" s="3"/>
      <c r="ABA67" s="3"/>
      <c r="ABB67" s="3"/>
      <c r="ABC67" s="3"/>
      <c r="ABD67" s="3"/>
      <c r="ABE67" s="3"/>
      <c r="ABF67" s="3"/>
      <c r="ABG67" s="3"/>
      <c r="ABH67" s="3"/>
      <c r="ABI67" s="3"/>
      <c r="ABJ67" s="3"/>
      <c r="ABK67" s="3"/>
      <c r="ABL67" s="3"/>
      <c r="ABM67" s="3"/>
      <c r="ABN67" s="3"/>
      <c r="ABO67" s="3"/>
      <c r="ABP67" s="3"/>
      <c r="ABQ67" s="3"/>
      <c r="ABR67" s="3"/>
      <c r="ABS67" s="3"/>
      <c r="ABT67" s="3"/>
      <c r="ABU67" s="3"/>
      <c r="ABV67" s="3"/>
      <c r="ABW67" s="3"/>
      <c r="ABX67" s="3"/>
      <c r="ABY67" s="3"/>
      <c r="ABZ67" s="3"/>
      <c r="ACA67" s="3"/>
      <c r="ACB67" s="3"/>
      <c r="ACC67" s="3"/>
      <c r="ACD67" s="3"/>
      <c r="ACE67" s="3"/>
      <c r="ACF67" s="3"/>
      <c r="ACG67" s="3"/>
      <c r="ACH67" s="3"/>
      <c r="ACI67" s="3"/>
      <c r="ACJ67" s="3"/>
      <c r="ACK67" s="3"/>
      <c r="ACL67" s="3"/>
      <c r="ACM67" s="3"/>
      <c r="ACN67" s="3"/>
      <c r="ACO67" s="3"/>
      <c r="ACP67" s="3"/>
    </row>
    <row r="68" spans="1:770" s="248" customFormat="1">
      <c r="A68" s="292" t="e">
        <f>+#REF!+1</f>
        <v>#REF!</v>
      </c>
      <c r="B68" s="419" t="str">
        <f>+'Nomina Proquima'!B24</f>
        <v>Yoc Barillas Luis Estuardo</v>
      </c>
      <c r="C68" s="1922" t="s">
        <v>266</v>
      </c>
      <c r="D68" s="401"/>
      <c r="E68" s="1120" t="str">
        <f>+'Nomina Proquima'!B24</f>
        <v>Yoc Barillas Luis Estuardo</v>
      </c>
      <c r="F68" s="244" t="str">
        <f>VLOOKUP(B68,distribucion!B$9:FK$200,2,0)</f>
        <v xml:space="preserve">Contador    </v>
      </c>
      <c r="G68" s="244">
        <f>ROUND((VLOOKUP($B68,'Nomina Proquima'!$B$4:$AB$145,4,0)),2)</f>
        <v>29</v>
      </c>
      <c r="H68" s="245">
        <f>ROUND((VLOOKUP($B68,'Nomina Proquima'!$B$4:$AB$145,6,0)),2)</f>
        <v>4833.33</v>
      </c>
      <c r="I68" s="245">
        <f>ROUND((VLOOKUP($B68,'Nomina Proquima'!$B$4:$AB$145,7,0)),2)</f>
        <v>3416.67</v>
      </c>
      <c r="J68" s="245">
        <f>ROUND((VLOOKUP($B68,'Nomina Proquima'!$B$4:$AB$145,9,0)),2)</f>
        <v>0</v>
      </c>
      <c r="K68" s="245">
        <f>ROUND((VLOOKUP($B68,'Nomina Proquima'!$B$4:$AB$145,10,0)),2)</f>
        <v>0</v>
      </c>
      <c r="L68" s="245">
        <f>ROUND((VLOOKUP($B68,'Nomina Proquima'!$B$4:$AB$145,11,0)),2)</f>
        <v>0</v>
      </c>
      <c r="M68" s="245">
        <f>ROUND((VLOOKUP($B68,'Nomina Proquima'!$B$4:$AB$145,12,0)),2)</f>
        <v>0</v>
      </c>
      <c r="N68" s="245">
        <f>ROUND((VLOOKUP($B68,'Nomina Proquima'!$B$4:$AB$145,13,0)),2)</f>
        <v>0</v>
      </c>
      <c r="O68" s="245">
        <f>ROUND((VLOOKUP($B68,'Nomina Proquima'!$B$4:$AB$145,14,0)),2)</f>
        <v>8250</v>
      </c>
      <c r="P68" s="245">
        <f>ROUND((VLOOKUP($B68,'Nomina Proquima'!$B$4:$AB$145,15,0)),2)</f>
        <v>233.45</v>
      </c>
      <c r="Q68" s="245">
        <f>ROUND((VLOOKUP($B68,'Nomina Proquima'!$B$4:$AB$145,16,0)),2)</f>
        <v>162.93</v>
      </c>
      <c r="R68" s="245">
        <f>ROUND((VLOOKUP($B68,'Nomina Proquima'!$B$4:$AB$145,17,0)),2)</f>
        <v>0</v>
      </c>
      <c r="S68" s="245">
        <f>ROUND((VLOOKUP($B68,'Nomina Proquima'!$B$4:$AB$145,18,0)),2)</f>
        <v>0</v>
      </c>
      <c r="T68" s="245">
        <f>ROUND((VLOOKUP($B68,'Nomina Proquima'!$B$4:$AB$145,19,0)),2)</f>
        <v>135</v>
      </c>
      <c r="U68" s="245">
        <f>ROUND((VLOOKUP($B68,'Nomina Proquima'!$B$4:$AB$145,20,0)),2)</f>
        <v>0</v>
      </c>
      <c r="V68" s="245">
        <f>ROUND((VLOOKUP($B68,'Nomina Proquima'!$B$4:$AB$145,21,0)),2)</f>
        <v>0</v>
      </c>
      <c r="W68" s="245">
        <f>ROUND((VLOOKUP($B68,'Nomina Proquima'!$B$4:$AB$145,22,0)),2)</f>
        <v>315</v>
      </c>
      <c r="X68" s="245">
        <f>ROUND((VLOOKUP($B68,'Nomina Proquima'!$B$4:$AB$145,23,0)),2)</f>
        <v>846.38</v>
      </c>
      <c r="Y68" s="234">
        <f>ROUND((VLOOKUP($B68,'Nomina Proquima'!$B$4:$AB$147,24,0)),2)</f>
        <v>7403.62</v>
      </c>
      <c r="Z68" s="399">
        <f>VLOOKUP(B68,'Nomina Proquima'!$B$4:$AA$148,25,0)</f>
        <v>3319.8</v>
      </c>
      <c r="AA68" s="405">
        <f>ROUND((VLOOKUP($B68,'Nomina Proquima'!$B$4:$AB$145,26,0)),2)</f>
        <v>4083.82</v>
      </c>
      <c r="AB68" s="246"/>
      <c r="AC68" s="247"/>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c r="KC68" s="3"/>
      <c r="KD68" s="3"/>
      <c r="KE68" s="3"/>
      <c r="KF68" s="3"/>
      <c r="KG68" s="3"/>
      <c r="KH68" s="3"/>
      <c r="KI68" s="3"/>
      <c r="KJ68" s="3"/>
      <c r="KK68" s="3"/>
      <c r="KL68" s="3"/>
      <c r="KM68" s="3"/>
      <c r="KN68" s="3"/>
      <c r="KO68" s="3"/>
      <c r="KP68" s="3"/>
      <c r="KQ68" s="3"/>
      <c r="KR68" s="3"/>
      <c r="KS68" s="3"/>
      <c r="KT68" s="3"/>
      <c r="KU68" s="3"/>
      <c r="KV68" s="3"/>
      <c r="KW68" s="3"/>
      <c r="KX68" s="3"/>
      <c r="KY68" s="3"/>
      <c r="KZ68" s="3"/>
      <c r="LA68" s="3"/>
      <c r="LB68" s="3"/>
      <c r="LC68" s="3"/>
      <c r="LD68" s="3"/>
      <c r="LE68" s="3"/>
      <c r="LF68" s="3"/>
      <c r="LG68" s="3"/>
      <c r="LH68" s="3"/>
      <c r="LI68" s="3"/>
      <c r="LJ68" s="3"/>
      <c r="LK68" s="3"/>
      <c r="LL68" s="3"/>
      <c r="LM68" s="3"/>
      <c r="LN68" s="3"/>
      <c r="LO68" s="3"/>
      <c r="LP68" s="3"/>
      <c r="LQ68" s="3"/>
      <c r="LR68" s="3"/>
      <c r="LS68" s="3"/>
      <c r="LT68" s="3"/>
      <c r="LU68" s="3"/>
      <c r="LV68" s="3"/>
      <c r="LW68" s="3"/>
      <c r="LX68" s="3"/>
      <c r="LY68" s="3"/>
      <c r="LZ68" s="3"/>
      <c r="MA68" s="3"/>
      <c r="MB68" s="3"/>
      <c r="MC68" s="3"/>
      <c r="MD68" s="3"/>
      <c r="ME68" s="3"/>
      <c r="MF68" s="3"/>
      <c r="MG68" s="3"/>
      <c r="MH68" s="3"/>
      <c r="MI68" s="3"/>
      <c r="MJ68" s="3"/>
      <c r="MK68" s="3"/>
      <c r="ML68" s="3"/>
      <c r="MM68" s="3"/>
      <c r="MN68" s="3"/>
      <c r="MO68" s="3"/>
      <c r="MP68" s="3"/>
      <c r="MQ68" s="3"/>
      <c r="MR68" s="3"/>
      <c r="MS68" s="3"/>
      <c r="MT68" s="3"/>
      <c r="MU68" s="3"/>
      <c r="MV68" s="3"/>
      <c r="MW68" s="3"/>
      <c r="MX68" s="3"/>
      <c r="MY68" s="3"/>
      <c r="MZ68" s="3"/>
      <c r="NA68" s="3"/>
      <c r="NB68" s="3"/>
      <c r="NC68" s="3"/>
      <c r="ND68" s="3"/>
      <c r="NE68" s="3"/>
      <c r="NF68" s="3"/>
      <c r="NG68" s="3"/>
      <c r="NH68" s="3"/>
      <c r="NI68" s="3"/>
      <c r="NJ68" s="3"/>
      <c r="NK68" s="3"/>
      <c r="NL68" s="3"/>
      <c r="NM68" s="3"/>
      <c r="NN68" s="3"/>
      <c r="NO68" s="3"/>
      <c r="NP68" s="3"/>
      <c r="NQ68" s="3"/>
      <c r="NR68" s="3"/>
      <c r="NS68" s="3"/>
      <c r="NT68" s="3"/>
      <c r="NU68" s="3"/>
      <c r="NV68" s="3"/>
      <c r="NW68" s="3"/>
      <c r="NX68" s="3"/>
      <c r="NY68" s="3"/>
      <c r="NZ68" s="3"/>
      <c r="OA68" s="3"/>
      <c r="OB68" s="3"/>
      <c r="OC68" s="3"/>
      <c r="OD68" s="3"/>
      <c r="OE68" s="3"/>
      <c r="OF68" s="3"/>
      <c r="OG68" s="3"/>
      <c r="OH68" s="3"/>
      <c r="OI68" s="3"/>
      <c r="OJ68" s="3"/>
      <c r="OK68" s="3"/>
      <c r="OL68" s="3"/>
      <c r="OM68" s="3"/>
      <c r="ON68" s="3"/>
      <c r="OO68" s="3"/>
      <c r="OP68" s="3"/>
      <c r="OQ68" s="3"/>
      <c r="OR68" s="3"/>
      <c r="OS68" s="3"/>
      <c r="OT68" s="3"/>
      <c r="OU68" s="3"/>
      <c r="OV68" s="3"/>
      <c r="OW68" s="3"/>
      <c r="OX68" s="3"/>
      <c r="OY68" s="3"/>
      <c r="OZ68" s="3"/>
      <c r="PA68" s="3"/>
      <c r="PB68" s="3"/>
      <c r="PC68" s="3"/>
      <c r="PD68" s="3"/>
      <c r="PE68" s="3"/>
      <c r="PF68" s="3"/>
      <c r="PG68" s="3"/>
      <c r="PH68" s="3"/>
      <c r="PI68" s="3"/>
      <c r="PJ68" s="3"/>
      <c r="PK68" s="3"/>
      <c r="PL68" s="3"/>
      <c r="PM68" s="3"/>
      <c r="PN68" s="3"/>
      <c r="PO68" s="3"/>
      <c r="PP68" s="3"/>
      <c r="PQ68" s="3"/>
      <c r="PR68" s="3"/>
      <c r="PS68" s="3"/>
      <c r="PT68" s="3"/>
      <c r="PU68" s="3"/>
      <c r="PV68" s="3"/>
      <c r="PW68" s="3"/>
      <c r="PX68" s="3"/>
      <c r="PY68" s="3"/>
      <c r="PZ68" s="3"/>
      <c r="QA68" s="3"/>
      <c r="QB68" s="3"/>
      <c r="QC68" s="3"/>
      <c r="QD68" s="3"/>
      <c r="QE68" s="3"/>
      <c r="QF68" s="3"/>
      <c r="QG68" s="3"/>
      <c r="QH68" s="3"/>
      <c r="QI68" s="3"/>
      <c r="QJ68" s="3"/>
      <c r="QK68" s="3"/>
      <c r="QL68" s="3"/>
      <c r="QM68" s="3"/>
      <c r="QN68" s="3"/>
      <c r="QO68" s="3"/>
      <c r="QP68" s="3"/>
      <c r="QQ68" s="3"/>
      <c r="QR68" s="3"/>
      <c r="QS68" s="3"/>
      <c r="QT68" s="3"/>
      <c r="QU68" s="3"/>
      <c r="QV68" s="3"/>
      <c r="QW68" s="3"/>
      <c r="QX68" s="3"/>
      <c r="QY68" s="3"/>
      <c r="QZ68" s="3"/>
      <c r="RA68" s="3"/>
      <c r="RB68" s="3"/>
      <c r="RC68" s="3"/>
      <c r="RD68" s="3"/>
      <c r="RE68" s="3"/>
      <c r="RF68" s="3"/>
      <c r="RG68" s="3"/>
      <c r="RH68" s="3"/>
      <c r="RI68" s="3"/>
      <c r="RJ68" s="3"/>
      <c r="RK68" s="3"/>
      <c r="RL68" s="3"/>
      <c r="RM68" s="3"/>
      <c r="RN68" s="3"/>
      <c r="RO68" s="3"/>
      <c r="RP68" s="3"/>
      <c r="RQ68" s="3"/>
      <c r="RR68" s="3"/>
      <c r="RS68" s="3"/>
      <c r="RT68" s="3"/>
      <c r="RU68" s="3"/>
      <c r="RV68" s="3"/>
      <c r="RW68" s="3"/>
      <c r="RX68" s="3"/>
      <c r="RY68" s="3"/>
      <c r="RZ68" s="3"/>
      <c r="SA68" s="3"/>
      <c r="SB68" s="3"/>
      <c r="SC68" s="3"/>
      <c r="SD68" s="3"/>
      <c r="SE68" s="3"/>
      <c r="SF68" s="3"/>
      <c r="SG68" s="3"/>
      <c r="SH68" s="3"/>
      <c r="SI68" s="3"/>
      <c r="SJ68" s="3"/>
      <c r="SK68" s="3"/>
      <c r="SL68" s="3"/>
      <c r="SM68" s="3"/>
      <c r="SN68" s="3"/>
      <c r="SO68" s="3"/>
      <c r="SP68" s="3"/>
      <c r="SQ68" s="3"/>
      <c r="SR68" s="3"/>
      <c r="SS68" s="3"/>
      <c r="ST68" s="3"/>
      <c r="SU68" s="3"/>
      <c r="SV68" s="3"/>
      <c r="SW68" s="3"/>
      <c r="SX68" s="3"/>
      <c r="SY68" s="3"/>
      <c r="SZ68" s="3"/>
      <c r="TA68" s="3"/>
      <c r="TB68" s="3"/>
      <c r="TC68" s="3"/>
      <c r="TD68" s="3"/>
      <c r="TE68" s="3"/>
      <c r="TF68" s="3"/>
      <c r="TG68" s="3"/>
      <c r="TH68" s="3"/>
      <c r="TI68" s="3"/>
      <c r="TJ68" s="3"/>
      <c r="TK68" s="3"/>
      <c r="TL68" s="3"/>
      <c r="TM68" s="3"/>
      <c r="TN68" s="3"/>
      <c r="TO68" s="3"/>
      <c r="TP68" s="3"/>
      <c r="TQ68" s="3"/>
      <c r="TR68" s="3"/>
      <c r="TS68" s="3"/>
      <c r="TT68" s="3"/>
      <c r="TU68" s="3"/>
      <c r="TV68" s="3"/>
      <c r="TW68" s="3"/>
      <c r="TX68" s="3"/>
      <c r="TY68" s="3"/>
      <c r="TZ68" s="3"/>
      <c r="UA68" s="3"/>
      <c r="UB68" s="3"/>
      <c r="UC68" s="3"/>
      <c r="UD68" s="3"/>
      <c r="UE68" s="3"/>
      <c r="UF68" s="3"/>
      <c r="UG68" s="3"/>
      <c r="UH68" s="3"/>
      <c r="UI68" s="3"/>
      <c r="UJ68" s="3"/>
      <c r="UK68" s="3"/>
      <c r="UL68" s="3"/>
      <c r="UM68" s="3"/>
      <c r="UN68" s="3"/>
      <c r="UO68" s="3"/>
      <c r="UP68" s="3"/>
      <c r="UQ68" s="3"/>
      <c r="UR68" s="3"/>
      <c r="US68" s="3"/>
      <c r="UT68" s="3"/>
      <c r="UU68" s="3"/>
      <c r="UV68" s="3"/>
      <c r="UW68" s="3"/>
      <c r="UX68" s="3"/>
      <c r="UY68" s="3"/>
      <c r="UZ68" s="3"/>
      <c r="VA68" s="3"/>
      <c r="VB68" s="3"/>
      <c r="VC68" s="3"/>
      <c r="VD68" s="3"/>
      <c r="VE68" s="3"/>
      <c r="VF68" s="3"/>
      <c r="VG68" s="3"/>
      <c r="VH68" s="3"/>
      <c r="VI68" s="3"/>
      <c r="VJ68" s="3"/>
      <c r="VK68" s="3"/>
      <c r="VL68" s="3"/>
      <c r="VM68" s="3"/>
      <c r="VN68" s="3"/>
      <c r="VO68" s="3"/>
      <c r="VP68" s="3"/>
      <c r="VQ68" s="3"/>
      <c r="VR68" s="3"/>
      <c r="VS68" s="3"/>
      <c r="VT68" s="3"/>
      <c r="VU68" s="3"/>
      <c r="VV68" s="3"/>
      <c r="VW68" s="3"/>
      <c r="VX68" s="3"/>
      <c r="VY68" s="3"/>
      <c r="VZ68" s="3"/>
      <c r="WA68" s="3"/>
      <c r="WB68" s="3"/>
      <c r="WC68" s="3"/>
      <c r="WD68" s="3"/>
      <c r="WE68" s="3"/>
      <c r="WF68" s="3"/>
      <c r="WG68" s="3"/>
      <c r="WH68" s="3"/>
      <c r="WI68" s="3"/>
      <c r="WJ68" s="3"/>
      <c r="WK68" s="3"/>
      <c r="WL68" s="3"/>
      <c r="WM68" s="3"/>
      <c r="WN68" s="3"/>
      <c r="WO68" s="3"/>
      <c r="WP68" s="3"/>
      <c r="WQ68" s="3"/>
      <c r="WR68" s="3"/>
      <c r="WS68" s="3"/>
      <c r="WT68" s="3"/>
      <c r="WU68" s="3"/>
      <c r="WV68" s="3"/>
      <c r="WW68" s="3"/>
      <c r="WX68" s="3"/>
      <c r="WY68" s="3"/>
      <c r="WZ68" s="3"/>
      <c r="XA68" s="3"/>
      <c r="XB68" s="3"/>
      <c r="XC68" s="3"/>
      <c r="XD68" s="3"/>
      <c r="XE68" s="3"/>
      <c r="XF68" s="3"/>
      <c r="XG68" s="3"/>
      <c r="XH68" s="3"/>
      <c r="XI68" s="3"/>
      <c r="XJ68" s="3"/>
      <c r="XK68" s="3"/>
      <c r="XL68" s="3"/>
      <c r="XM68" s="3"/>
      <c r="XN68" s="3"/>
      <c r="XO68" s="3"/>
      <c r="XP68" s="3"/>
      <c r="XQ68" s="3"/>
      <c r="XR68" s="3"/>
      <c r="XS68" s="3"/>
      <c r="XT68" s="3"/>
      <c r="XU68" s="3"/>
      <c r="XV68" s="3"/>
      <c r="XW68" s="3"/>
      <c r="XX68" s="3"/>
      <c r="XY68" s="3"/>
      <c r="XZ68" s="3"/>
      <c r="YA68" s="3"/>
      <c r="YB68" s="3"/>
      <c r="YC68" s="3"/>
      <c r="YD68" s="3"/>
      <c r="YE68" s="3"/>
      <c r="YF68" s="3"/>
      <c r="YG68" s="3"/>
      <c r="YH68" s="3"/>
      <c r="YI68" s="3"/>
      <c r="YJ68" s="3"/>
      <c r="YK68" s="3"/>
      <c r="YL68" s="3"/>
      <c r="YM68" s="3"/>
      <c r="YN68" s="3"/>
      <c r="YO68" s="3"/>
      <c r="YP68" s="3"/>
      <c r="YQ68" s="3"/>
      <c r="YR68" s="3"/>
      <c r="YS68" s="3"/>
      <c r="YT68" s="3"/>
      <c r="YU68" s="3"/>
      <c r="YV68" s="3"/>
      <c r="YW68" s="3"/>
      <c r="YX68" s="3"/>
      <c r="YY68" s="3"/>
      <c r="YZ68" s="3"/>
      <c r="ZA68" s="3"/>
      <c r="ZB68" s="3"/>
      <c r="ZC68" s="3"/>
      <c r="ZD68" s="3"/>
      <c r="ZE68" s="3"/>
      <c r="ZF68" s="3"/>
      <c r="ZG68" s="3"/>
      <c r="ZH68" s="3"/>
      <c r="ZI68" s="3"/>
      <c r="ZJ68" s="3"/>
      <c r="ZK68" s="3"/>
      <c r="ZL68" s="3"/>
      <c r="ZM68" s="3"/>
      <c r="ZN68" s="3"/>
      <c r="ZO68" s="3"/>
      <c r="ZP68" s="3"/>
      <c r="ZQ68" s="3"/>
      <c r="ZR68" s="3"/>
      <c r="ZS68" s="3"/>
      <c r="ZT68" s="3"/>
      <c r="ZU68" s="3"/>
      <c r="ZV68" s="3"/>
      <c r="ZW68" s="3"/>
      <c r="ZX68" s="3"/>
      <c r="ZY68" s="3"/>
      <c r="ZZ68" s="3"/>
      <c r="AAA68" s="3"/>
      <c r="AAB68" s="3"/>
      <c r="AAC68" s="3"/>
      <c r="AAD68" s="3"/>
      <c r="AAE68" s="3"/>
      <c r="AAF68" s="3"/>
      <c r="AAG68" s="3"/>
      <c r="AAH68" s="3"/>
      <c r="AAI68" s="3"/>
      <c r="AAJ68" s="3"/>
      <c r="AAK68" s="3"/>
      <c r="AAL68" s="3"/>
      <c r="AAM68" s="3"/>
      <c r="AAN68" s="3"/>
      <c r="AAO68" s="3"/>
      <c r="AAP68" s="3"/>
      <c r="AAQ68" s="3"/>
      <c r="AAR68" s="3"/>
      <c r="AAS68" s="3"/>
      <c r="AAT68" s="3"/>
      <c r="AAU68" s="3"/>
      <c r="AAV68" s="3"/>
      <c r="AAW68" s="3"/>
      <c r="AAX68" s="3"/>
      <c r="AAY68" s="3"/>
      <c r="AAZ68" s="3"/>
      <c r="ABA68" s="3"/>
      <c r="ABB68" s="3"/>
      <c r="ABC68" s="3"/>
      <c r="ABD68" s="3"/>
      <c r="ABE68" s="3"/>
      <c r="ABF68" s="3"/>
      <c r="ABG68" s="3"/>
      <c r="ABH68" s="3"/>
      <c r="ABI68" s="3"/>
      <c r="ABJ68" s="3"/>
      <c r="ABK68" s="3"/>
      <c r="ABL68" s="3"/>
      <c r="ABM68" s="3"/>
      <c r="ABN68" s="3"/>
      <c r="ABO68" s="3"/>
      <c r="ABP68" s="3"/>
      <c r="ABQ68" s="3"/>
      <c r="ABR68" s="3"/>
      <c r="ABS68" s="3"/>
      <c r="ABT68" s="3"/>
      <c r="ABU68" s="3"/>
      <c r="ABV68" s="3"/>
      <c r="ABW68" s="3"/>
      <c r="ABX68" s="3"/>
      <c r="ABY68" s="3"/>
      <c r="ABZ68" s="3"/>
      <c r="ACA68" s="3"/>
      <c r="ACB68" s="3"/>
      <c r="ACC68" s="3"/>
      <c r="ACD68" s="3"/>
      <c r="ACE68" s="3"/>
      <c r="ACF68" s="3"/>
      <c r="ACG68" s="3"/>
      <c r="ACH68" s="3"/>
      <c r="ACI68" s="3"/>
      <c r="ACJ68" s="3"/>
      <c r="ACK68" s="3"/>
      <c r="ACL68" s="3"/>
      <c r="ACM68" s="3"/>
      <c r="ACN68" s="3"/>
      <c r="ACO68" s="3"/>
      <c r="ACP68" s="3"/>
    </row>
  </sheetData>
  <sheetProtection selectLockedCells="1" selectUnlockedCells="1"/>
  <conditionalFormatting sqref="A69:C1048576 B7:C14 B17:C22 A1:C1 A3:C5 A2:B2 B29:B31">
    <cfRule type="duplicateValues" dxfId="394" priority="530"/>
  </conditionalFormatting>
  <conditionalFormatting sqref="B39">
    <cfRule type="duplicateValues" dxfId="393" priority="477"/>
    <cfRule type="duplicateValues" dxfId="392" priority="478"/>
  </conditionalFormatting>
  <conditionalFormatting sqref="B39">
    <cfRule type="duplicateValues" dxfId="391" priority="476"/>
  </conditionalFormatting>
  <conditionalFormatting sqref="B39">
    <cfRule type="duplicateValues" dxfId="390" priority="475"/>
  </conditionalFormatting>
  <conditionalFormatting sqref="E39">
    <cfRule type="duplicateValues" dxfId="389" priority="473"/>
    <cfRule type="duplicateValues" dxfId="388" priority="474"/>
  </conditionalFormatting>
  <conditionalFormatting sqref="E39">
    <cfRule type="duplicateValues" dxfId="387" priority="472"/>
  </conditionalFormatting>
  <conditionalFormatting sqref="E39">
    <cfRule type="duplicateValues" dxfId="386" priority="471"/>
  </conditionalFormatting>
  <conditionalFormatting sqref="B40">
    <cfRule type="duplicateValues" dxfId="385" priority="468"/>
    <cfRule type="duplicateValues" dxfId="384" priority="469"/>
  </conditionalFormatting>
  <conditionalFormatting sqref="B40">
    <cfRule type="duplicateValues" dxfId="383" priority="467"/>
  </conditionalFormatting>
  <conditionalFormatting sqref="B40">
    <cfRule type="duplicateValues" dxfId="382" priority="466"/>
  </conditionalFormatting>
  <conditionalFormatting sqref="E40">
    <cfRule type="duplicateValues" dxfId="381" priority="464"/>
    <cfRule type="duplicateValues" dxfId="380" priority="465"/>
  </conditionalFormatting>
  <conditionalFormatting sqref="E40">
    <cfRule type="duplicateValues" dxfId="379" priority="463"/>
  </conditionalFormatting>
  <conditionalFormatting sqref="E40">
    <cfRule type="duplicateValues" dxfId="378" priority="462"/>
  </conditionalFormatting>
  <conditionalFormatting sqref="C23:C24">
    <cfRule type="duplicateValues" dxfId="377" priority="435"/>
  </conditionalFormatting>
  <conditionalFormatting sqref="B41">
    <cfRule type="duplicateValues" dxfId="376" priority="418"/>
    <cfRule type="duplicateValues" dxfId="375" priority="419"/>
  </conditionalFormatting>
  <conditionalFormatting sqref="B41">
    <cfRule type="duplicateValues" dxfId="374" priority="417"/>
  </conditionalFormatting>
  <conditionalFormatting sqref="B41">
    <cfRule type="duplicateValues" dxfId="373" priority="416"/>
  </conditionalFormatting>
  <conditionalFormatting sqref="E41">
    <cfRule type="duplicateValues" dxfId="372" priority="414"/>
    <cfRule type="duplicateValues" dxfId="371" priority="415"/>
  </conditionalFormatting>
  <conditionalFormatting sqref="E41">
    <cfRule type="duplicateValues" dxfId="370" priority="413"/>
  </conditionalFormatting>
  <conditionalFormatting sqref="E41">
    <cfRule type="duplicateValues" dxfId="369" priority="412"/>
  </conditionalFormatting>
  <conditionalFormatting sqref="B42">
    <cfRule type="duplicateValues" dxfId="368" priority="397"/>
    <cfRule type="duplicateValues" dxfId="367" priority="398"/>
  </conditionalFormatting>
  <conditionalFormatting sqref="B42">
    <cfRule type="duplicateValues" dxfId="366" priority="396"/>
  </conditionalFormatting>
  <conditionalFormatting sqref="B42">
    <cfRule type="duplicateValues" dxfId="365" priority="395"/>
  </conditionalFormatting>
  <conditionalFormatting sqref="E42">
    <cfRule type="duplicateValues" dxfId="364" priority="393"/>
    <cfRule type="duplicateValues" dxfId="363" priority="394"/>
  </conditionalFormatting>
  <conditionalFormatting sqref="E42">
    <cfRule type="duplicateValues" dxfId="362" priority="392"/>
  </conditionalFormatting>
  <conditionalFormatting sqref="E42">
    <cfRule type="duplicateValues" dxfId="361" priority="391"/>
  </conditionalFormatting>
  <conditionalFormatting sqref="B43">
    <cfRule type="duplicateValues" dxfId="360" priority="379"/>
    <cfRule type="duplicateValues" dxfId="359" priority="380"/>
  </conditionalFormatting>
  <conditionalFormatting sqref="B43">
    <cfRule type="duplicateValues" dxfId="358" priority="378"/>
  </conditionalFormatting>
  <conditionalFormatting sqref="B43">
    <cfRule type="duplicateValues" dxfId="357" priority="377"/>
  </conditionalFormatting>
  <conditionalFormatting sqref="E43">
    <cfRule type="duplicateValues" dxfId="356" priority="375"/>
    <cfRule type="duplicateValues" dxfId="355" priority="376"/>
  </conditionalFormatting>
  <conditionalFormatting sqref="E43">
    <cfRule type="duplicateValues" dxfId="354" priority="374"/>
  </conditionalFormatting>
  <conditionalFormatting sqref="E43">
    <cfRule type="duplicateValues" dxfId="353" priority="373"/>
  </conditionalFormatting>
  <conditionalFormatting sqref="B44">
    <cfRule type="duplicateValues" dxfId="352" priority="368"/>
    <cfRule type="duplicateValues" dxfId="351" priority="369"/>
  </conditionalFormatting>
  <conditionalFormatting sqref="B44">
    <cfRule type="duplicateValues" dxfId="350" priority="367"/>
  </conditionalFormatting>
  <conditionalFormatting sqref="B44">
    <cfRule type="duplicateValues" dxfId="349" priority="366"/>
  </conditionalFormatting>
  <conditionalFormatting sqref="E44">
    <cfRule type="duplicateValues" dxfId="348" priority="364"/>
    <cfRule type="duplicateValues" dxfId="347" priority="365"/>
  </conditionalFormatting>
  <conditionalFormatting sqref="E44">
    <cfRule type="duplicateValues" dxfId="346" priority="363"/>
  </conditionalFormatting>
  <conditionalFormatting sqref="E44">
    <cfRule type="duplicateValues" dxfId="345" priority="362"/>
  </conditionalFormatting>
  <conditionalFormatting sqref="B45">
    <cfRule type="duplicateValues" dxfId="344" priority="359"/>
    <cfRule type="duplicateValues" dxfId="343" priority="360"/>
  </conditionalFormatting>
  <conditionalFormatting sqref="B45">
    <cfRule type="duplicateValues" dxfId="342" priority="358"/>
  </conditionalFormatting>
  <conditionalFormatting sqref="B45">
    <cfRule type="duplicateValues" dxfId="341" priority="357"/>
  </conditionalFormatting>
  <conditionalFormatting sqref="E45">
    <cfRule type="duplicateValues" dxfId="340" priority="355"/>
    <cfRule type="duplicateValues" dxfId="339" priority="356"/>
  </conditionalFormatting>
  <conditionalFormatting sqref="E45">
    <cfRule type="duplicateValues" dxfId="338" priority="354"/>
  </conditionalFormatting>
  <conditionalFormatting sqref="E45">
    <cfRule type="duplicateValues" dxfId="337" priority="353"/>
  </conditionalFormatting>
  <conditionalFormatting sqref="B46">
    <cfRule type="duplicateValues" dxfId="336" priority="350"/>
    <cfRule type="duplicateValues" dxfId="335" priority="351"/>
  </conditionalFormatting>
  <conditionalFormatting sqref="B46">
    <cfRule type="duplicateValues" dxfId="334" priority="349"/>
  </conditionalFormatting>
  <conditionalFormatting sqref="B46">
    <cfRule type="duplicateValues" dxfId="333" priority="348"/>
  </conditionalFormatting>
  <conditionalFormatting sqref="E46">
    <cfRule type="duplicateValues" dxfId="332" priority="346"/>
    <cfRule type="duplicateValues" dxfId="331" priority="347"/>
  </conditionalFormatting>
  <conditionalFormatting sqref="E46">
    <cfRule type="duplicateValues" dxfId="330" priority="345"/>
  </conditionalFormatting>
  <conditionalFormatting sqref="E46">
    <cfRule type="duplicateValues" dxfId="329" priority="344"/>
  </conditionalFormatting>
  <conditionalFormatting sqref="B48">
    <cfRule type="duplicateValues" dxfId="328" priority="332"/>
    <cfRule type="duplicateValues" dxfId="327" priority="333"/>
  </conditionalFormatting>
  <conditionalFormatting sqref="B48">
    <cfRule type="duplicateValues" dxfId="326" priority="331"/>
  </conditionalFormatting>
  <conditionalFormatting sqref="B48">
    <cfRule type="duplicateValues" dxfId="325" priority="330"/>
  </conditionalFormatting>
  <conditionalFormatting sqref="E48">
    <cfRule type="duplicateValues" dxfId="324" priority="328"/>
    <cfRule type="duplicateValues" dxfId="323" priority="329"/>
  </conditionalFormatting>
  <conditionalFormatting sqref="E48">
    <cfRule type="duplicateValues" dxfId="322" priority="327"/>
  </conditionalFormatting>
  <conditionalFormatting sqref="E48">
    <cfRule type="duplicateValues" dxfId="321" priority="326"/>
  </conditionalFormatting>
  <conditionalFormatting sqref="B49">
    <cfRule type="duplicateValues" dxfId="320" priority="323"/>
    <cfRule type="duplicateValues" dxfId="319" priority="324"/>
  </conditionalFormatting>
  <conditionalFormatting sqref="B49">
    <cfRule type="duplicateValues" dxfId="318" priority="322"/>
  </conditionalFormatting>
  <conditionalFormatting sqref="B49">
    <cfRule type="duplicateValues" dxfId="317" priority="321"/>
  </conditionalFormatting>
  <conditionalFormatting sqref="E49">
    <cfRule type="duplicateValues" dxfId="316" priority="319"/>
    <cfRule type="duplicateValues" dxfId="315" priority="320"/>
  </conditionalFormatting>
  <conditionalFormatting sqref="E49">
    <cfRule type="duplicateValues" dxfId="314" priority="318"/>
  </conditionalFormatting>
  <conditionalFormatting sqref="E49">
    <cfRule type="duplicateValues" dxfId="313" priority="317"/>
  </conditionalFormatting>
  <conditionalFormatting sqref="B50">
    <cfRule type="duplicateValues" dxfId="312" priority="305"/>
    <cfRule type="duplicateValues" dxfId="311" priority="306"/>
  </conditionalFormatting>
  <conditionalFormatting sqref="B50">
    <cfRule type="duplicateValues" dxfId="310" priority="304"/>
  </conditionalFormatting>
  <conditionalFormatting sqref="B50">
    <cfRule type="duplicateValues" dxfId="309" priority="303"/>
  </conditionalFormatting>
  <conditionalFormatting sqref="E50">
    <cfRule type="duplicateValues" dxfId="308" priority="301"/>
    <cfRule type="duplicateValues" dxfId="307" priority="302"/>
  </conditionalFormatting>
  <conditionalFormatting sqref="E50">
    <cfRule type="duplicateValues" dxfId="306" priority="300"/>
  </conditionalFormatting>
  <conditionalFormatting sqref="E50">
    <cfRule type="duplicateValues" dxfId="305" priority="299"/>
  </conditionalFormatting>
  <conditionalFormatting sqref="B51">
    <cfRule type="duplicateValues" dxfId="304" priority="296"/>
    <cfRule type="duplicateValues" dxfId="303" priority="297"/>
  </conditionalFormatting>
  <conditionalFormatting sqref="B51">
    <cfRule type="duplicateValues" dxfId="302" priority="295"/>
  </conditionalFormatting>
  <conditionalFormatting sqref="B51">
    <cfRule type="duplicateValues" dxfId="301" priority="294"/>
  </conditionalFormatting>
  <conditionalFormatting sqref="E51">
    <cfRule type="duplicateValues" dxfId="300" priority="292"/>
    <cfRule type="duplicateValues" dxfId="299" priority="293"/>
  </conditionalFormatting>
  <conditionalFormatting sqref="E51">
    <cfRule type="duplicateValues" dxfId="298" priority="291"/>
  </conditionalFormatting>
  <conditionalFormatting sqref="E51">
    <cfRule type="duplicateValues" dxfId="297" priority="290"/>
  </conditionalFormatting>
  <conditionalFormatting sqref="B52">
    <cfRule type="duplicateValues" dxfId="296" priority="287"/>
    <cfRule type="duplicateValues" dxfId="295" priority="288"/>
  </conditionalFormatting>
  <conditionalFormatting sqref="B52">
    <cfRule type="duplicateValues" dxfId="294" priority="286"/>
  </conditionalFormatting>
  <conditionalFormatting sqref="B52">
    <cfRule type="duplicateValues" dxfId="293" priority="285"/>
  </conditionalFormatting>
  <conditionalFormatting sqref="E52">
    <cfRule type="duplicateValues" dxfId="292" priority="283"/>
    <cfRule type="duplicateValues" dxfId="291" priority="284"/>
  </conditionalFormatting>
  <conditionalFormatting sqref="E52">
    <cfRule type="duplicateValues" dxfId="290" priority="282"/>
  </conditionalFormatting>
  <conditionalFormatting sqref="E52">
    <cfRule type="duplicateValues" dxfId="289" priority="281"/>
  </conditionalFormatting>
  <conditionalFormatting sqref="B53">
    <cfRule type="duplicateValues" dxfId="288" priority="269"/>
    <cfRule type="duplicateValues" dxfId="287" priority="270"/>
  </conditionalFormatting>
  <conditionalFormatting sqref="B53">
    <cfRule type="duplicateValues" dxfId="286" priority="268"/>
  </conditionalFormatting>
  <conditionalFormatting sqref="B53">
    <cfRule type="duplicateValues" dxfId="285" priority="267"/>
  </conditionalFormatting>
  <conditionalFormatting sqref="E53">
    <cfRule type="duplicateValues" dxfId="284" priority="265"/>
    <cfRule type="duplicateValues" dxfId="283" priority="266"/>
  </conditionalFormatting>
  <conditionalFormatting sqref="E53">
    <cfRule type="duplicateValues" dxfId="282" priority="264"/>
  </conditionalFormatting>
  <conditionalFormatting sqref="E53">
    <cfRule type="duplicateValues" dxfId="281" priority="263"/>
  </conditionalFormatting>
  <conditionalFormatting sqref="A6">
    <cfRule type="duplicateValues" dxfId="280" priority="4462"/>
  </conditionalFormatting>
  <conditionalFormatting sqref="B47">
    <cfRule type="duplicateValues" dxfId="279" priority="5317"/>
    <cfRule type="duplicateValues" dxfId="278" priority="5318"/>
  </conditionalFormatting>
  <conditionalFormatting sqref="B47">
    <cfRule type="duplicateValues" dxfId="277" priority="5319"/>
  </conditionalFormatting>
  <conditionalFormatting sqref="E47">
    <cfRule type="duplicateValues" dxfId="276" priority="5321"/>
    <cfRule type="duplicateValues" dxfId="275" priority="5322"/>
  </conditionalFormatting>
  <conditionalFormatting sqref="E47">
    <cfRule type="duplicateValues" dxfId="274" priority="5323"/>
  </conditionalFormatting>
  <conditionalFormatting sqref="B54">
    <cfRule type="duplicateValues" dxfId="273" priority="242"/>
    <cfRule type="duplicateValues" dxfId="272" priority="243"/>
  </conditionalFormatting>
  <conditionalFormatting sqref="B54">
    <cfRule type="duplicateValues" dxfId="271" priority="241"/>
  </conditionalFormatting>
  <conditionalFormatting sqref="B54">
    <cfRule type="duplicateValues" dxfId="270" priority="240"/>
  </conditionalFormatting>
  <conditionalFormatting sqref="E54">
    <cfRule type="duplicateValues" dxfId="269" priority="238"/>
    <cfRule type="duplicateValues" dxfId="268" priority="239"/>
  </conditionalFormatting>
  <conditionalFormatting sqref="E54">
    <cfRule type="duplicateValues" dxfId="267" priority="237"/>
  </conditionalFormatting>
  <conditionalFormatting sqref="E54">
    <cfRule type="duplicateValues" dxfId="266" priority="236"/>
  </conditionalFormatting>
  <conditionalFormatting sqref="B55">
    <cfRule type="duplicateValues" dxfId="265" priority="223"/>
    <cfRule type="duplicateValues" dxfId="264" priority="224"/>
  </conditionalFormatting>
  <conditionalFormatting sqref="B55">
    <cfRule type="duplicateValues" dxfId="263" priority="222"/>
  </conditionalFormatting>
  <conditionalFormatting sqref="B55">
    <cfRule type="duplicateValues" dxfId="262" priority="221"/>
  </conditionalFormatting>
  <conditionalFormatting sqref="E55">
    <cfRule type="duplicateValues" dxfId="261" priority="219"/>
    <cfRule type="duplicateValues" dxfId="260" priority="220"/>
  </conditionalFormatting>
  <conditionalFormatting sqref="E55">
    <cfRule type="duplicateValues" dxfId="259" priority="218"/>
  </conditionalFormatting>
  <conditionalFormatting sqref="E55">
    <cfRule type="duplicateValues" dxfId="258" priority="217"/>
  </conditionalFormatting>
  <conditionalFormatting sqref="B32:B38">
    <cfRule type="duplicateValues" dxfId="257" priority="6007"/>
  </conditionalFormatting>
  <conditionalFormatting sqref="B56">
    <cfRule type="duplicateValues" dxfId="256" priority="171"/>
    <cfRule type="duplicateValues" dxfId="255" priority="172"/>
  </conditionalFormatting>
  <conditionalFormatting sqref="B56">
    <cfRule type="duplicateValues" dxfId="254" priority="170"/>
  </conditionalFormatting>
  <conditionalFormatting sqref="B56">
    <cfRule type="duplicateValues" dxfId="253" priority="169"/>
  </conditionalFormatting>
  <conditionalFormatting sqref="E56">
    <cfRule type="duplicateValues" dxfId="252" priority="167"/>
    <cfRule type="duplicateValues" dxfId="251" priority="168"/>
  </conditionalFormatting>
  <conditionalFormatting sqref="E56">
    <cfRule type="duplicateValues" dxfId="250" priority="166"/>
  </conditionalFormatting>
  <conditionalFormatting sqref="E56">
    <cfRule type="duplicateValues" dxfId="249" priority="165"/>
  </conditionalFormatting>
  <conditionalFormatting sqref="A56">
    <cfRule type="duplicateValues" dxfId="248" priority="173"/>
  </conditionalFormatting>
  <conditionalFormatting sqref="C56">
    <cfRule type="duplicateValues" dxfId="247" priority="163"/>
    <cfRule type="duplicateValues" dxfId="246" priority="164"/>
  </conditionalFormatting>
  <conditionalFormatting sqref="B57:B58">
    <cfRule type="duplicateValues" dxfId="245" priority="160"/>
    <cfRule type="duplicateValues" dxfId="244" priority="161"/>
  </conditionalFormatting>
  <conditionalFormatting sqref="B57:B58">
    <cfRule type="duplicateValues" dxfId="243" priority="159"/>
  </conditionalFormatting>
  <conditionalFormatting sqref="B57:B58">
    <cfRule type="duplicateValues" dxfId="242" priority="158"/>
  </conditionalFormatting>
  <conditionalFormatting sqref="E57:E58">
    <cfRule type="duplicateValues" dxfId="241" priority="156"/>
    <cfRule type="duplicateValues" dxfId="240" priority="157"/>
  </conditionalFormatting>
  <conditionalFormatting sqref="E57:E58">
    <cfRule type="duplicateValues" dxfId="239" priority="155"/>
  </conditionalFormatting>
  <conditionalFormatting sqref="E57:E58">
    <cfRule type="duplicateValues" dxfId="238" priority="154"/>
  </conditionalFormatting>
  <conditionalFormatting sqref="A57:A58">
    <cfRule type="duplicateValues" dxfId="237" priority="162"/>
  </conditionalFormatting>
  <conditionalFormatting sqref="C57:C58">
    <cfRule type="duplicateValues" dxfId="236" priority="152"/>
    <cfRule type="duplicateValues" dxfId="235" priority="153"/>
  </conditionalFormatting>
  <conditionalFormatting sqref="B59">
    <cfRule type="duplicateValues" dxfId="234" priority="138"/>
    <cfRule type="duplicateValues" dxfId="233" priority="139"/>
  </conditionalFormatting>
  <conditionalFormatting sqref="B59">
    <cfRule type="duplicateValues" dxfId="232" priority="137"/>
  </conditionalFormatting>
  <conditionalFormatting sqref="B59">
    <cfRule type="duplicateValues" dxfId="231" priority="136"/>
  </conditionalFormatting>
  <conditionalFormatting sqref="E59">
    <cfRule type="duplicateValues" dxfId="230" priority="134"/>
    <cfRule type="duplicateValues" dxfId="229" priority="135"/>
  </conditionalFormatting>
  <conditionalFormatting sqref="E59">
    <cfRule type="duplicateValues" dxfId="228" priority="133"/>
  </conditionalFormatting>
  <conditionalFormatting sqref="E59">
    <cfRule type="duplicateValues" dxfId="227" priority="132"/>
  </conditionalFormatting>
  <conditionalFormatting sqref="A59">
    <cfRule type="duplicateValues" dxfId="226" priority="140"/>
  </conditionalFormatting>
  <conditionalFormatting sqref="C59">
    <cfRule type="duplicateValues" dxfId="225" priority="130"/>
    <cfRule type="duplicateValues" dxfId="224" priority="131"/>
  </conditionalFormatting>
  <conditionalFormatting sqref="B60">
    <cfRule type="duplicateValues" dxfId="223" priority="127"/>
    <cfRule type="duplicateValues" dxfId="222" priority="128"/>
  </conditionalFormatting>
  <conditionalFormatting sqref="B60">
    <cfRule type="duplicateValues" dxfId="221" priority="126"/>
  </conditionalFormatting>
  <conditionalFormatting sqref="B60">
    <cfRule type="duplicateValues" dxfId="220" priority="125"/>
  </conditionalFormatting>
  <conditionalFormatting sqref="E60">
    <cfRule type="duplicateValues" dxfId="219" priority="123"/>
    <cfRule type="duplicateValues" dxfId="218" priority="124"/>
  </conditionalFormatting>
  <conditionalFormatting sqref="E60">
    <cfRule type="duplicateValues" dxfId="217" priority="122"/>
  </conditionalFormatting>
  <conditionalFormatting sqref="E60">
    <cfRule type="duplicateValues" dxfId="216" priority="121"/>
  </conditionalFormatting>
  <conditionalFormatting sqref="A60">
    <cfRule type="duplicateValues" dxfId="215" priority="129"/>
  </conditionalFormatting>
  <conditionalFormatting sqref="C60">
    <cfRule type="duplicateValues" dxfId="214" priority="119"/>
    <cfRule type="duplicateValues" dxfId="213" priority="120"/>
  </conditionalFormatting>
  <conditionalFormatting sqref="B61">
    <cfRule type="duplicateValues" dxfId="212" priority="116"/>
    <cfRule type="duplicateValues" dxfId="211" priority="117"/>
  </conditionalFormatting>
  <conditionalFormatting sqref="B61">
    <cfRule type="duplicateValues" dxfId="210" priority="115"/>
  </conditionalFormatting>
  <conditionalFormatting sqref="B61">
    <cfRule type="duplicateValues" dxfId="209" priority="114"/>
  </conditionalFormatting>
  <conditionalFormatting sqref="E61">
    <cfRule type="duplicateValues" dxfId="208" priority="112"/>
    <cfRule type="duplicateValues" dxfId="207" priority="113"/>
  </conditionalFormatting>
  <conditionalFormatting sqref="E61">
    <cfRule type="duplicateValues" dxfId="206" priority="111"/>
  </conditionalFormatting>
  <conditionalFormatting sqref="E61">
    <cfRule type="duplicateValues" dxfId="205" priority="110"/>
  </conditionalFormatting>
  <conditionalFormatting sqref="A61">
    <cfRule type="duplicateValues" dxfId="204" priority="118"/>
  </conditionalFormatting>
  <conditionalFormatting sqref="C61">
    <cfRule type="duplicateValues" dxfId="203" priority="108"/>
    <cfRule type="duplicateValues" dxfId="202" priority="109"/>
  </conditionalFormatting>
  <conditionalFormatting sqref="B63">
    <cfRule type="duplicateValues" dxfId="201" priority="83"/>
    <cfRule type="duplicateValues" dxfId="200" priority="84"/>
  </conditionalFormatting>
  <conditionalFormatting sqref="B63">
    <cfRule type="duplicateValues" dxfId="199" priority="82"/>
  </conditionalFormatting>
  <conditionalFormatting sqref="B63">
    <cfRule type="duplicateValues" dxfId="198" priority="81"/>
  </conditionalFormatting>
  <conditionalFormatting sqref="E63">
    <cfRule type="duplicateValues" dxfId="197" priority="79"/>
    <cfRule type="duplicateValues" dxfId="196" priority="80"/>
  </conditionalFormatting>
  <conditionalFormatting sqref="E63">
    <cfRule type="duplicateValues" dxfId="195" priority="78"/>
  </conditionalFormatting>
  <conditionalFormatting sqref="E63">
    <cfRule type="duplicateValues" dxfId="194" priority="77"/>
  </conditionalFormatting>
  <conditionalFormatting sqref="A63">
    <cfRule type="duplicateValues" dxfId="193" priority="85"/>
  </conditionalFormatting>
  <conditionalFormatting sqref="B64">
    <cfRule type="duplicateValues" dxfId="192" priority="72"/>
    <cfRule type="duplicateValues" dxfId="191" priority="73"/>
  </conditionalFormatting>
  <conditionalFormatting sqref="B64">
    <cfRule type="duplicateValues" dxfId="190" priority="71"/>
  </conditionalFormatting>
  <conditionalFormatting sqref="B64">
    <cfRule type="duplicateValues" dxfId="189" priority="70"/>
  </conditionalFormatting>
  <conditionalFormatting sqref="E64">
    <cfRule type="duplicateValues" dxfId="188" priority="68"/>
    <cfRule type="duplicateValues" dxfId="187" priority="69"/>
  </conditionalFormatting>
  <conditionalFormatting sqref="E64">
    <cfRule type="duplicateValues" dxfId="186" priority="67"/>
  </conditionalFormatting>
  <conditionalFormatting sqref="E64">
    <cfRule type="duplicateValues" dxfId="185" priority="66"/>
  </conditionalFormatting>
  <conditionalFormatting sqref="A64">
    <cfRule type="duplicateValues" dxfId="184" priority="74"/>
  </conditionalFormatting>
  <conditionalFormatting sqref="B65">
    <cfRule type="duplicateValues" dxfId="183" priority="61"/>
    <cfRule type="duplicateValues" dxfId="182" priority="62"/>
  </conditionalFormatting>
  <conditionalFormatting sqref="B65">
    <cfRule type="duplicateValues" dxfId="181" priority="60"/>
  </conditionalFormatting>
  <conditionalFormatting sqref="B65">
    <cfRule type="duplicateValues" dxfId="180" priority="59"/>
  </conditionalFormatting>
  <conditionalFormatting sqref="E65">
    <cfRule type="duplicateValues" dxfId="179" priority="57"/>
    <cfRule type="duplicateValues" dxfId="178" priority="58"/>
  </conditionalFormatting>
  <conditionalFormatting sqref="E65">
    <cfRule type="duplicateValues" dxfId="177" priority="56"/>
  </conditionalFormatting>
  <conditionalFormatting sqref="E65">
    <cfRule type="duplicateValues" dxfId="176" priority="55"/>
  </conditionalFormatting>
  <conditionalFormatting sqref="A65">
    <cfRule type="duplicateValues" dxfId="175" priority="63"/>
  </conditionalFormatting>
  <conditionalFormatting sqref="C65">
    <cfRule type="duplicateValues" dxfId="174" priority="49"/>
    <cfRule type="duplicateValues" dxfId="173" priority="50"/>
  </conditionalFormatting>
  <conditionalFormatting sqref="C64">
    <cfRule type="duplicateValues" dxfId="172" priority="47"/>
    <cfRule type="duplicateValues" dxfId="171" priority="48"/>
  </conditionalFormatting>
  <conditionalFormatting sqref="C63">
    <cfRule type="duplicateValues" dxfId="170" priority="45"/>
    <cfRule type="duplicateValues" dxfId="169" priority="46"/>
  </conditionalFormatting>
  <conditionalFormatting sqref="B66">
    <cfRule type="duplicateValues" dxfId="168" priority="42"/>
    <cfRule type="duplicateValues" dxfId="167" priority="43"/>
  </conditionalFormatting>
  <conditionalFormatting sqref="B66">
    <cfRule type="duplicateValues" dxfId="166" priority="41"/>
  </conditionalFormatting>
  <conditionalFormatting sqref="B66">
    <cfRule type="duplicateValues" dxfId="165" priority="40"/>
  </conditionalFormatting>
  <conditionalFormatting sqref="E66">
    <cfRule type="duplicateValues" dxfId="164" priority="38"/>
    <cfRule type="duplicateValues" dxfId="163" priority="39"/>
  </conditionalFormatting>
  <conditionalFormatting sqref="E66">
    <cfRule type="duplicateValues" dxfId="162" priority="37"/>
  </conditionalFormatting>
  <conditionalFormatting sqref="E66">
    <cfRule type="duplicateValues" dxfId="161" priority="36"/>
  </conditionalFormatting>
  <conditionalFormatting sqref="A66">
    <cfRule type="duplicateValues" dxfId="160" priority="44"/>
  </conditionalFormatting>
  <conditionalFormatting sqref="C66">
    <cfRule type="duplicateValues" dxfId="159" priority="34"/>
    <cfRule type="duplicateValues" dxfId="158" priority="35"/>
  </conditionalFormatting>
  <conditionalFormatting sqref="A7:A55">
    <cfRule type="duplicateValues" dxfId="157" priority="7035"/>
  </conditionalFormatting>
  <conditionalFormatting sqref="B67">
    <cfRule type="duplicateValues" dxfId="156" priority="20"/>
    <cfRule type="duplicateValues" dxfId="155" priority="21"/>
  </conditionalFormatting>
  <conditionalFormatting sqref="B67">
    <cfRule type="duplicateValues" dxfId="154" priority="19"/>
  </conditionalFormatting>
  <conditionalFormatting sqref="B67">
    <cfRule type="duplicateValues" dxfId="153" priority="18"/>
  </conditionalFormatting>
  <conditionalFormatting sqref="E67">
    <cfRule type="duplicateValues" dxfId="152" priority="16"/>
    <cfRule type="duplicateValues" dxfId="151" priority="17"/>
  </conditionalFormatting>
  <conditionalFormatting sqref="E67">
    <cfRule type="duplicateValues" dxfId="150" priority="15"/>
  </conditionalFormatting>
  <conditionalFormatting sqref="E67">
    <cfRule type="duplicateValues" dxfId="149" priority="14"/>
  </conditionalFormatting>
  <conditionalFormatting sqref="A67">
    <cfRule type="duplicateValues" dxfId="148" priority="22"/>
  </conditionalFormatting>
  <conditionalFormatting sqref="C67">
    <cfRule type="duplicateValues" dxfId="147" priority="12"/>
    <cfRule type="duplicateValues" dxfId="146" priority="13"/>
  </conditionalFormatting>
  <conditionalFormatting sqref="B62">
    <cfRule type="duplicateValues" dxfId="145" priority="7607"/>
    <cfRule type="duplicateValues" dxfId="144" priority="7608"/>
  </conditionalFormatting>
  <conditionalFormatting sqref="B62">
    <cfRule type="duplicateValues" dxfId="143" priority="7609"/>
  </conditionalFormatting>
  <conditionalFormatting sqref="E62">
    <cfRule type="duplicateValues" dxfId="142" priority="7611"/>
    <cfRule type="duplicateValues" dxfId="141" priority="7612"/>
  </conditionalFormatting>
  <conditionalFormatting sqref="E62">
    <cfRule type="duplicateValues" dxfId="140" priority="7613"/>
  </conditionalFormatting>
  <conditionalFormatting sqref="A62">
    <cfRule type="duplicateValues" dxfId="139" priority="7615"/>
  </conditionalFormatting>
  <conditionalFormatting sqref="C62">
    <cfRule type="duplicateValues" dxfId="138" priority="7616"/>
    <cfRule type="duplicateValues" dxfId="137" priority="7617"/>
  </conditionalFormatting>
  <conditionalFormatting sqref="B68">
    <cfRule type="duplicateValues" dxfId="136" priority="9"/>
    <cfRule type="duplicateValues" dxfId="135" priority="10"/>
  </conditionalFormatting>
  <conditionalFormatting sqref="B68">
    <cfRule type="duplicateValues" dxfId="134" priority="8"/>
  </conditionalFormatting>
  <conditionalFormatting sqref="B68">
    <cfRule type="duplicateValues" dxfId="133" priority="7"/>
  </conditionalFormatting>
  <conditionalFormatting sqref="E68">
    <cfRule type="duplicateValues" dxfId="132" priority="5"/>
    <cfRule type="duplicateValues" dxfId="131" priority="6"/>
  </conditionalFormatting>
  <conditionalFormatting sqref="E68">
    <cfRule type="duplicateValues" dxfId="130" priority="4"/>
  </conditionalFormatting>
  <conditionalFormatting sqref="E68">
    <cfRule type="duplicateValues" dxfId="129" priority="3"/>
  </conditionalFormatting>
  <conditionalFormatting sqref="A68">
    <cfRule type="duplicateValues" dxfId="128" priority="11"/>
  </conditionalFormatting>
  <conditionalFormatting sqref="C68">
    <cfRule type="duplicateValues" dxfId="127" priority="1"/>
    <cfRule type="duplicateValues" dxfId="126" priority="2"/>
  </conditionalFormatting>
  <pageMargins left="0.7" right="0.7" top="0.75" bottom="0.75" header="0.51180555555555551" footer="0.51180555555555551"/>
  <pageSetup firstPageNumber="0"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dimension ref="A1:AM234"/>
  <sheetViews>
    <sheetView showGridLines="0" view="pageBreakPreview" zoomScale="57" zoomScaleNormal="73" zoomScaleSheetLayoutView="57" workbookViewId="0">
      <pane xSplit="3" ySplit="6" topLeftCell="D154" activePane="bottomRight" state="frozen"/>
      <selection activeCell="O19" activeCellId="1" sqref="O16 O19"/>
      <selection pane="topRight" activeCell="O19" activeCellId="1" sqref="O16 O19"/>
      <selection pane="bottomLeft" activeCell="O19" activeCellId="1" sqref="O16 O19"/>
      <selection pane="bottomRight" activeCell="A170" sqref="A170"/>
    </sheetView>
  </sheetViews>
  <sheetFormatPr baseColWidth="10" defaultColWidth="11.42578125" defaultRowHeight="25.5"/>
  <cols>
    <col min="1" max="1" width="7.5703125" style="1142" customWidth="1"/>
    <col min="2" max="2" width="78.5703125" style="1143" customWidth="1"/>
    <col min="3" max="3" width="53.7109375" style="1144" customWidth="1"/>
    <col min="4" max="4" width="11.42578125" style="1146" hidden="1" customWidth="1"/>
    <col min="5" max="5" width="15.5703125" style="1144" hidden="1" customWidth="1"/>
    <col min="6" max="6" width="15.28515625" style="1144" hidden="1" customWidth="1"/>
    <col min="7" max="7" width="25.28515625" style="1304" customWidth="1"/>
    <col min="8" max="8" width="26" style="1304" customWidth="1"/>
    <col min="9" max="9" width="25.28515625" style="1304" customWidth="1"/>
    <col min="10" max="10" width="14.28515625" style="1304" customWidth="1"/>
    <col min="11" max="11" width="17.5703125" style="1304" customWidth="1"/>
    <col min="12" max="12" width="15.28515625" style="1304" customWidth="1"/>
    <col min="13" max="13" width="26.28515625" style="1304" bestFit="1" customWidth="1"/>
    <col min="14" max="14" width="21.140625" style="1304" customWidth="1"/>
    <col min="15" max="15" width="13.42578125" style="1304" customWidth="1"/>
    <col min="16" max="16" width="25.28515625" style="1304" customWidth="1"/>
    <col min="17" max="17" width="19" style="1304" bestFit="1" customWidth="1"/>
    <col min="18" max="18" width="16.85546875" style="1304" bestFit="1" customWidth="1"/>
    <col min="19" max="19" width="25.85546875" style="1304" customWidth="1"/>
    <col min="20" max="20" width="19.7109375" style="1304" customWidth="1"/>
    <col min="21" max="21" width="21" style="1304" customWidth="1"/>
    <col min="22" max="22" width="20.7109375" style="1304" customWidth="1"/>
    <col min="23" max="23" width="22.28515625" style="1304" customWidth="1"/>
    <col min="24" max="24" width="26.85546875" style="1304" customWidth="1"/>
    <col min="25" max="25" width="24.7109375" style="1305" customWidth="1"/>
    <col min="26" max="26" width="30" style="1305" customWidth="1"/>
    <col min="27" max="27" width="32.85546875" style="1304" customWidth="1"/>
    <col min="28" max="28" width="32.7109375" style="1149" customWidth="1"/>
    <col min="29" max="29" width="20.7109375" style="1144" bestFit="1" customWidth="1"/>
    <col min="30" max="30" width="21.140625" style="1144" bestFit="1" customWidth="1"/>
    <col min="31" max="31" width="11.42578125" style="1144" customWidth="1"/>
    <col min="32" max="16384" width="11.42578125" style="1144"/>
  </cols>
  <sheetData>
    <row r="1" spans="1:30">
      <c r="B1" s="1143">
        <v>1</v>
      </c>
      <c r="C1" s="1144">
        <v>2</v>
      </c>
      <c r="D1" s="1144">
        <v>3</v>
      </c>
      <c r="E1" s="1144">
        <v>4</v>
      </c>
      <c r="F1" s="1144">
        <v>5</v>
      </c>
      <c r="G1" s="1144">
        <v>6</v>
      </c>
      <c r="H1" s="1144">
        <v>7</v>
      </c>
      <c r="I1" s="1144">
        <v>8</v>
      </c>
      <c r="J1" s="1144">
        <v>9</v>
      </c>
      <c r="K1" s="1144">
        <v>10</v>
      </c>
      <c r="L1" s="1144">
        <v>11</v>
      </c>
      <c r="M1" s="1144">
        <v>12</v>
      </c>
      <c r="N1" s="1144">
        <v>13</v>
      </c>
      <c r="O1" s="1144">
        <v>14</v>
      </c>
      <c r="P1" s="1144">
        <v>15</v>
      </c>
      <c r="Q1" s="1144">
        <v>16</v>
      </c>
      <c r="R1" s="1144">
        <v>17</v>
      </c>
      <c r="S1" s="1144">
        <v>18</v>
      </c>
      <c r="T1" s="1144">
        <v>19</v>
      </c>
      <c r="U1" s="1144">
        <v>20</v>
      </c>
      <c r="V1" s="1144">
        <v>21</v>
      </c>
      <c r="W1" s="1144">
        <v>22</v>
      </c>
      <c r="X1" s="1144">
        <v>23</v>
      </c>
      <c r="Y1" s="1144">
        <v>24</v>
      </c>
      <c r="Z1" s="1144">
        <v>25</v>
      </c>
      <c r="AA1" s="1144">
        <v>26</v>
      </c>
      <c r="AB1" s="1144">
        <v>27</v>
      </c>
    </row>
    <row r="2" spans="1:30" ht="25.5" customHeight="1">
      <c r="A2" s="1142" t="s">
        <v>315</v>
      </c>
      <c r="C2" s="1145"/>
      <c r="G2" s="1147"/>
      <c r="H2" s="1147"/>
      <c r="I2" s="1147"/>
      <c r="J2" s="1147"/>
      <c r="K2" s="1147"/>
      <c r="L2" s="1147"/>
      <c r="M2" s="1147"/>
      <c r="N2" s="1147"/>
      <c r="O2" s="1147"/>
      <c r="P2" s="1147"/>
      <c r="Q2" s="1147"/>
      <c r="R2" s="1147"/>
      <c r="S2" s="1147"/>
      <c r="T2" s="1147"/>
      <c r="U2" s="1147"/>
      <c r="V2" s="1147"/>
      <c r="W2" s="1147"/>
      <c r="X2" s="1147"/>
      <c r="Y2" s="1148"/>
      <c r="Z2" s="1148"/>
      <c r="AA2" s="1147"/>
    </row>
    <row r="3" spans="1:30" ht="33" customHeight="1">
      <c r="A3" s="1150" t="str">
        <f>+distribucion!B3</f>
        <v>NOMINA MES DE: ENERO   2,023  2da Quincena)</v>
      </c>
      <c r="B3" s="1151"/>
      <c r="C3" s="1152"/>
      <c r="G3" s="1147"/>
      <c r="H3" s="1147"/>
      <c r="I3" s="1147"/>
      <c r="J3" s="1147"/>
      <c r="K3" s="1147"/>
      <c r="L3" s="1147"/>
      <c r="M3" s="1147"/>
      <c r="N3" s="1147"/>
      <c r="O3" s="1147"/>
      <c r="P3" s="1147"/>
      <c r="Q3" s="1147"/>
      <c r="R3" s="1147"/>
      <c r="S3" s="1147"/>
      <c r="T3" s="1147"/>
      <c r="U3" s="1147"/>
      <c r="V3" s="1147"/>
      <c r="W3" s="1147"/>
      <c r="X3" s="1147"/>
      <c r="Y3" s="1148"/>
      <c r="Z3" s="1148"/>
      <c r="AA3" s="1147"/>
    </row>
    <row r="4" spans="1:30" s="1154" customFormat="1" ht="20.100000000000001" customHeight="1">
      <c r="A4" s="2282" t="s">
        <v>207</v>
      </c>
      <c r="B4" s="2283" t="s">
        <v>37</v>
      </c>
      <c r="C4" s="2283" t="s">
        <v>38</v>
      </c>
      <c r="D4" s="2284" t="s">
        <v>208</v>
      </c>
      <c r="E4" s="2285" t="s">
        <v>209</v>
      </c>
      <c r="F4" s="2286" t="s">
        <v>210</v>
      </c>
      <c r="G4" s="2287" t="s">
        <v>211</v>
      </c>
      <c r="H4" s="2281" t="s">
        <v>212</v>
      </c>
      <c r="I4" s="2281" t="s">
        <v>213</v>
      </c>
      <c r="J4" s="2281" t="s">
        <v>214</v>
      </c>
      <c r="K4" s="2281" t="s">
        <v>215</v>
      </c>
      <c r="L4" s="2281" t="s">
        <v>216</v>
      </c>
      <c r="M4" s="2281" t="s">
        <v>217</v>
      </c>
      <c r="N4" s="2279" t="s">
        <v>316</v>
      </c>
      <c r="O4" s="1153"/>
      <c r="P4" s="2279" t="s">
        <v>219</v>
      </c>
      <c r="Q4" s="2279" t="s">
        <v>220</v>
      </c>
      <c r="R4" s="2279" t="s">
        <v>31</v>
      </c>
      <c r="S4" s="2281" t="s">
        <v>453</v>
      </c>
      <c r="T4" s="2279" t="s">
        <v>221</v>
      </c>
      <c r="U4" s="2279" t="s">
        <v>317</v>
      </c>
      <c r="V4" s="2279" t="s">
        <v>34</v>
      </c>
      <c r="W4" s="2279" t="s">
        <v>33</v>
      </c>
      <c r="X4" s="2279" t="s">
        <v>222</v>
      </c>
      <c r="Y4" s="2278" t="s">
        <v>223</v>
      </c>
      <c r="Z4" s="2280" t="s">
        <v>224</v>
      </c>
      <c r="AA4" s="2281" t="s">
        <v>225</v>
      </c>
      <c r="AB4" s="2277" t="s">
        <v>226</v>
      </c>
    </row>
    <row r="5" spans="1:30" ht="20.100000000000001" customHeight="1">
      <c r="A5" s="2282"/>
      <c r="B5" s="2283"/>
      <c r="C5" s="2283"/>
      <c r="D5" s="2284"/>
      <c r="E5" s="2285"/>
      <c r="F5" s="2286"/>
      <c r="G5" s="2287"/>
      <c r="H5" s="2281"/>
      <c r="I5" s="2281"/>
      <c r="J5" s="2281"/>
      <c r="K5" s="2281"/>
      <c r="L5" s="2281"/>
      <c r="M5" s="2281"/>
      <c r="N5" s="2279"/>
      <c r="O5" s="1155" t="s">
        <v>318</v>
      </c>
      <c r="P5" s="2279"/>
      <c r="Q5" s="2279"/>
      <c r="R5" s="2279"/>
      <c r="S5" s="2281"/>
      <c r="T5" s="2279"/>
      <c r="U5" s="2279"/>
      <c r="V5" s="2279"/>
      <c r="W5" s="2279"/>
      <c r="X5" s="2279"/>
      <c r="Y5" s="2278"/>
      <c r="Z5" s="2280"/>
      <c r="AA5" s="2281"/>
      <c r="AB5" s="2277"/>
    </row>
    <row r="6" spans="1:30" ht="40.5" customHeight="1">
      <c r="A6" s="2282"/>
      <c r="B6" s="2283"/>
      <c r="C6" s="2283"/>
      <c r="D6" s="2284"/>
      <c r="E6" s="2285"/>
      <c r="F6" s="2286"/>
      <c r="G6" s="2287"/>
      <c r="H6" s="2281"/>
      <c r="I6" s="2281"/>
      <c r="J6" s="2281"/>
      <c r="K6" s="2281"/>
      <c r="L6" s="2281"/>
      <c r="M6" s="2281"/>
      <c r="N6" s="2279"/>
      <c r="O6" s="1156"/>
      <c r="P6" s="2279"/>
      <c r="Q6" s="2279"/>
      <c r="R6" s="2279"/>
      <c r="S6" s="2281"/>
      <c r="T6" s="2279"/>
      <c r="U6" s="2279"/>
      <c r="V6" s="2279"/>
      <c r="W6" s="2279"/>
      <c r="X6" s="2279"/>
      <c r="Y6" s="2278"/>
      <c r="Z6" s="2280"/>
      <c r="AA6" s="2281"/>
      <c r="AB6" s="2277"/>
    </row>
    <row r="7" spans="1:30" ht="24.75" customHeight="1">
      <c r="A7" s="1157"/>
      <c r="B7" s="1158" t="s">
        <v>53</v>
      </c>
      <c r="C7" s="1159"/>
      <c r="D7" s="1160"/>
      <c r="E7" s="1161"/>
      <c r="F7" s="1162"/>
      <c r="G7" s="1163"/>
      <c r="H7" s="1163"/>
      <c r="I7" s="1163"/>
      <c r="J7" s="1163"/>
      <c r="K7" s="1163"/>
      <c r="L7" s="1163"/>
      <c r="M7" s="1163"/>
      <c r="N7" s="1155"/>
      <c r="O7" s="1155"/>
      <c r="P7" s="1155"/>
      <c r="Q7" s="1155"/>
      <c r="R7" s="1155"/>
      <c r="S7" s="1155"/>
      <c r="T7" s="1155"/>
      <c r="U7" s="1155"/>
      <c r="V7" s="1155"/>
      <c r="W7" s="1155"/>
      <c r="X7" s="1155"/>
      <c r="Y7" s="1164"/>
      <c r="Z7" s="1165"/>
      <c r="AA7" s="1163"/>
      <c r="AB7" s="1166"/>
    </row>
    <row r="8" spans="1:30" ht="20.100000000000001" customHeight="1">
      <c r="A8" s="1157"/>
      <c r="B8" s="1167" t="s">
        <v>170</v>
      </c>
      <c r="C8" s="1159"/>
      <c r="D8" s="1168"/>
      <c r="E8" s="1159"/>
      <c r="F8" s="1159"/>
      <c r="G8" s="1169"/>
      <c r="H8" s="1169"/>
      <c r="I8" s="1169"/>
      <c r="J8" s="1169"/>
      <c r="K8" s="1169"/>
      <c r="L8" s="1169"/>
      <c r="M8" s="1169"/>
      <c r="N8" s="1169"/>
      <c r="O8" s="1169"/>
      <c r="P8" s="1169"/>
      <c r="Q8" s="1169"/>
      <c r="R8" s="1169"/>
      <c r="S8" s="1169"/>
      <c r="T8" s="1169"/>
      <c r="U8" s="1169"/>
      <c r="V8" s="1169"/>
      <c r="W8" s="1169"/>
      <c r="X8" s="1169"/>
      <c r="Y8" s="1170"/>
      <c r="Z8" s="1170"/>
      <c r="AA8" s="1169"/>
      <c r="AB8" s="1171"/>
    </row>
    <row r="9" spans="1:30" ht="20.100000000000001" customHeight="1">
      <c r="A9" s="1140">
        <v>1</v>
      </c>
      <c r="B9" s="1172" t="s">
        <v>536</v>
      </c>
      <c r="C9" s="1173" t="str">
        <f>VLOOKUP(B9,distribucion!B$9:FK$200,2,0)</f>
        <v>Presidente</v>
      </c>
      <c r="D9" s="1174">
        <f t="shared" ref="D9:D13" si="0">G9+K9+M9+N9</f>
        <v>19750</v>
      </c>
      <c r="E9" s="1175">
        <f>VLOOKUP(B9,distribucion!B$9:FK$201,7,0)</f>
        <v>30</v>
      </c>
      <c r="F9" s="1176">
        <f>VLOOKUP(B9,distribucion!$B$9:$DQ$288,14,0)</f>
        <v>0</v>
      </c>
      <c r="G9" s="1177">
        <f>ROUND((VLOOKUP(B9,distribucion!B$1:FK$201,103,0)),2)</f>
        <v>19750</v>
      </c>
      <c r="H9" s="1177">
        <f>ROUND((VLOOKUP(B9,distribucion!B$9:FJ$201,104,0)),2)</f>
        <v>250</v>
      </c>
      <c r="I9" s="1177">
        <f t="shared" ref="I9:I13" si="1">G9+H9</f>
        <v>20000</v>
      </c>
      <c r="J9" s="1177">
        <f>VLOOKUP(B9,distribucion!B$9:FK$200,105,0)</f>
        <v>0</v>
      </c>
      <c r="K9" s="1177">
        <f>ROUND((VLOOKUP(B9,distribucion!B$9:FK$201,106,0)),2)</f>
        <v>0</v>
      </c>
      <c r="L9" s="1177">
        <f>VLOOKUP(B9,distribucion!B$9:FK$201,107,0)</f>
        <v>0</v>
      </c>
      <c r="M9" s="1177">
        <f>ROUND((VLOOKUP(B9,distribucion!B$9:FK$201,108,0)),2)</f>
        <v>0</v>
      </c>
      <c r="N9" s="1177">
        <v>0</v>
      </c>
      <c r="O9" s="1178">
        <f>ROUND((VLOOKUP(B9,distribucion!B$9:FK$201,36,0)),2)</f>
        <v>0</v>
      </c>
      <c r="P9" s="1177">
        <f t="shared" ref="P9:P13" si="2">SUM(I9:O9)-J9-L9</f>
        <v>20000</v>
      </c>
      <c r="Q9" s="1177">
        <v>0</v>
      </c>
      <c r="R9" s="1205">
        <f>ROUND((VLOOKUP(B9,distribucion!B$9:FK$201,151,0)),2)</f>
        <v>0</v>
      </c>
      <c r="S9" s="1177">
        <f>ROUND((VLOOKUP(B9,distribucion!B$9:FK$201,152,0)),2)</f>
        <v>0</v>
      </c>
      <c r="T9" s="1177">
        <f>ROUND((VLOOKUP(B9,distribucion!B$9:FK$201,153,0)),2)</f>
        <v>0</v>
      </c>
      <c r="U9" s="1177">
        <f>ROUND((VLOOKUP(B9,distribucion!$B$1:$FE$228,159,0)),2)</f>
        <v>0</v>
      </c>
      <c r="V9" s="1177">
        <f>ROUND((VLOOKUP(B9,distribucion!$B$1:$FE$228,158,0)),2)</f>
        <v>0</v>
      </c>
      <c r="W9" s="1177">
        <f>ROUND((VLOOKUP(B9,distribucion!$B$1:$FE$228,154,0)),2)</f>
        <v>0</v>
      </c>
      <c r="X9" s="1177">
        <f>ROUND((VLOOKUP(B9,distribucion!B$9:FK$201,160,0)),2)</f>
        <v>0</v>
      </c>
      <c r="Y9" s="1179">
        <f t="shared" ref="Y9:Y13" si="3">SUM(Q9:X9)</f>
        <v>0</v>
      </c>
      <c r="Z9" s="1177">
        <f t="shared" ref="Z9:Z13" si="4">P9-Y9</f>
        <v>20000</v>
      </c>
      <c r="AA9" s="1177">
        <v>10000</v>
      </c>
      <c r="AB9" s="1180">
        <f>+Z9-AA9</f>
        <v>10000</v>
      </c>
      <c r="AC9" s="1181">
        <f>VLOOKUP(B9,'[1]Nomina Unhesa'!$B$9:$AB$167,26,FALSE)</f>
        <v>10000</v>
      </c>
      <c r="AD9" s="1181">
        <f>+AA9-AC9</f>
        <v>0</v>
      </c>
    </row>
    <row r="10" spans="1:30" ht="28.5" customHeight="1">
      <c r="A10" s="1140">
        <v>2</v>
      </c>
      <c r="B10" s="1172" t="str">
        <f>+distribucion!B14</f>
        <v xml:space="preserve">Muñoz Laparra Orly Gabriela </v>
      </c>
      <c r="C10" s="1173" t="str">
        <f>VLOOKUP(B10,distribucion!B$9:FK$200,2,0)</f>
        <v xml:space="preserve"> </v>
      </c>
      <c r="D10" s="1174">
        <f t="shared" si="0"/>
        <v>5000</v>
      </c>
      <c r="E10" s="1185">
        <f>VLOOKUP(B10,distribucion!B$9:FK$201,7,0)</f>
        <v>30</v>
      </c>
      <c r="F10" s="1186">
        <f>VLOOKUP(B10,distribucion!$B$9:$DQ$288,14,0)</f>
        <v>0</v>
      </c>
      <c r="G10" s="1187">
        <f>ROUND((VLOOKUP(B10,distribucion!B$1:FK$201,103,0)),2)</f>
        <v>5000</v>
      </c>
      <c r="H10" s="1187">
        <f>ROUND((VLOOKUP(B10,distribucion!B$9:FJ$201,104,0)),2)</f>
        <v>4000</v>
      </c>
      <c r="I10" s="1187">
        <f t="shared" si="1"/>
        <v>9000</v>
      </c>
      <c r="J10" s="1187">
        <f>VLOOKUP(B10,distribucion!B$9:FK$200,105,0)</f>
        <v>0</v>
      </c>
      <c r="K10" s="1187">
        <f>ROUND((VLOOKUP(B10,distribucion!B$9:FK$201,106,0)),2)</f>
        <v>0</v>
      </c>
      <c r="L10" s="1187">
        <f>VLOOKUP(B10,distribucion!B$9:FK$201,107,0)</f>
        <v>0</v>
      </c>
      <c r="M10" s="1187">
        <f>ROUND((VLOOKUP(B10,distribucion!B$9:FK$201,108,0)),2)</f>
        <v>0</v>
      </c>
      <c r="N10" s="1187">
        <v>0</v>
      </c>
      <c r="O10" s="1187">
        <f>ROUND((VLOOKUP(B10,distribucion!B$9:FK$201,36,0)),2)</f>
        <v>0</v>
      </c>
      <c r="P10" s="1187">
        <f t="shared" si="2"/>
        <v>9000</v>
      </c>
      <c r="Q10" s="1187">
        <f>ROUND(((G10+K10+M10+N10+O10)*0.0483),2)</f>
        <v>241.5</v>
      </c>
      <c r="R10" s="1187">
        <f>ROUND((VLOOKUP(B10,distribucion!B$9:FK$201,151,0)),2)</f>
        <v>237.93</v>
      </c>
      <c r="S10" s="1187">
        <f>ROUND((VLOOKUP(B10,distribucion!B$9:FK$201,152,0)),2)</f>
        <v>0</v>
      </c>
      <c r="T10" s="1187">
        <f>ROUND((VLOOKUP(B10,distribucion!B$9:FK$201,153,0)),2)</f>
        <v>0</v>
      </c>
      <c r="U10" s="1187">
        <f>ROUND((VLOOKUP(B10,distribucion!$B$1:$FE$228,159,0)),2)</f>
        <v>0</v>
      </c>
      <c r="V10" s="1187">
        <f>ROUND((VLOOKUP(B10,distribucion!$B$1:$FE$228,158,0)),2)</f>
        <v>0</v>
      </c>
      <c r="W10" s="1187">
        <f>ROUND((VLOOKUP(B10,distribucion!$B$1:$FE$228,154,0)),2)</f>
        <v>80</v>
      </c>
      <c r="X10" s="1187">
        <f>ROUND((VLOOKUP(B10,distribucion!B$9:FK$201,160,0)),2)</f>
        <v>315</v>
      </c>
      <c r="Y10" s="1188">
        <f t="shared" si="3"/>
        <v>874.43000000000006</v>
      </c>
      <c r="Z10" s="1187">
        <f t="shared" si="4"/>
        <v>8125.57</v>
      </c>
      <c r="AA10" s="1985">
        <v>4232.25</v>
      </c>
      <c r="AB10" s="1180">
        <f t="shared" ref="AB10:AB13" si="5">+Z10-AA10</f>
        <v>3893.3199999999997</v>
      </c>
      <c r="AC10" s="1181">
        <f>VLOOKUP(B10,'[1]Nomina Unhesa'!$B$9:$AB$167,26,FALSE)</f>
        <v>3557.17</v>
      </c>
      <c r="AD10" s="1181">
        <f t="shared" ref="AD10:AD69" si="6">+AA10-AC10</f>
        <v>675.07999999999993</v>
      </c>
    </row>
    <row r="11" spans="1:30" ht="25.5" customHeight="1">
      <c r="A11" s="1140">
        <f>+A10+1</f>
        <v>3</v>
      </c>
      <c r="B11" s="1172" t="str">
        <f>+distribucion!B15</f>
        <v>Quevedo Lopez Ingrid Aracely</v>
      </c>
      <c r="C11" s="1173" t="str">
        <f>VLOOKUP(B11,distribucion!B$9:FK$200,2,0)</f>
        <v>Conserje</v>
      </c>
      <c r="D11" s="1174">
        <f t="shared" si="0"/>
        <v>3166.38</v>
      </c>
      <c r="E11" s="1185">
        <f>VLOOKUP(B11,distribucion!B$9:FK$201,7,0)</f>
        <v>30</v>
      </c>
      <c r="F11" s="1186">
        <f>VLOOKUP(B11,distribucion!$B$9:$DQ$288,14,0)</f>
        <v>0</v>
      </c>
      <c r="G11" s="1187">
        <f>ROUND((VLOOKUP(B11,distribucion!B$1:FK$201,103,0)),2)</f>
        <v>3166.38</v>
      </c>
      <c r="H11" s="1187">
        <f>ROUND((VLOOKUP(B11,distribucion!B$9:FJ$201,104,0)),2)</f>
        <v>250</v>
      </c>
      <c r="I11" s="1187">
        <f t="shared" si="1"/>
        <v>3416.38</v>
      </c>
      <c r="J11" s="1187">
        <f>VLOOKUP(B11,distribucion!B$9:FK$200,105,0)</f>
        <v>0</v>
      </c>
      <c r="K11" s="1187">
        <f>ROUND((VLOOKUP(B11,distribucion!B$9:FK$201,106,0)),2)</f>
        <v>0</v>
      </c>
      <c r="L11" s="1187">
        <f>VLOOKUP(B11,distribucion!B$9:FK$201,107,0)</f>
        <v>0</v>
      </c>
      <c r="M11" s="1187">
        <f>ROUND((VLOOKUP(B11,distribucion!B$9:FK$201,108,0)),2)</f>
        <v>0</v>
      </c>
      <c r="N11" s="1187">
        <v>0</v>
      </c>
      <c r="O11" s="1187">
        <f>ROUND((VLOOKUP(B11,distribucion!B$9:FK$201,36,0)),2)</f>
        <v>0</v>
      </c>
      <c r="P11" s="1187">
        <f t="shared" si="2"/>
        <v>3416.38</v>
      </c>
      <c r="Q11" s="1187">
        <f>ROUND(((G11+K11+M11+N11+O11)*0.0483),2)</f>
        <v>152.94</v>
      </c>
      <c r="R11" s="1187">
        <f>ROUND((VLOOKUP(B11,distribucion!B$9:FK$201,151,0)),2)</f>
        <v>0</v>
      </c>
      <c r="S11" s="1187">
        <f>ROUND((VLOOKUP(B11,distribucion!B$9:FK$201,152,0)),2)</f>
        <v>0</v>
      </c>
      <c r="T11" s="1187">
        <f>ROUND((VLOOKUP(B11,distribucion!B$9:FK$201,153,0)),2)</f>
        <v>0</v>
      </c>
      <c r="U11" s="1187">
        <f>ROUND((VLOOKUP(B11,distribucion!$B$1:$FE$228,159,0)),2)</f>
        <v>0</v>
      </c>
      <c r="V11" s="1187">
        <f>ROUND((VLOOKUP(B11,distribucion!$B$1:$FE$228,158,0)),2)</f>
        <v>0</v>
      </c>
      <c r="W11" s="1187">
        <f>ROUND((VLOOKUP(B11,distribucion!$B$1:$FE$228,154,0)),2)</f>
        <v>0</v>
      </c>
      <c r="X11" s="1187">
        <f>ROUND((VLOOKUP(B11,distribucion!B$9:FK$201,160,0)),2)</f>
        <v>50</v>
      </c>
      <c r="Y11" s="1188">
        <f t="shared" si="3"/>
        <v>202.94</v>
      </c>
      <c r="Z11" s="1187">
        <f t="shared" si="4"/>
        <v>3213.44</v>
      </c>
      <c r="AA11" s="1985">
        <v>1631.72</v>
      </c>
      <c r="AB11" s="1180">
        <f t="shared" si="5"/>
        <v>1581.72</v>
      </c>
      <c r="AC11" s="1181">
        <f>VLOOKUP(B11,'[1]Nomina Unhesa'!$B$9:$AB$167,26,FALSE)</f>
        <v>1533.1499999999999</v>
      </c>
      <c r="AD11" s="1181">
        <f t="shared" si="6"/>
        <v>98.570000000000164</v>
      </c>
    </row>
    <row r="12" spans="1:30" ht="25.5" customHeight="1">
      <c r="A12" s="1140">
        <f t="shared" ref="A12:A13" si="7">+A11+1</f>
        <v>4</v>
      </c>
      <c r="B12" s="1172" t="str">
        <f>+distribucion!B16</f>
        <v>Morales Alvarez Yony</v>
      </c>
      <c r="C12" s="1173" t="str">
        <f>VLOOKUP(B12,distribucion!B$9:FK$200,2,0)</f>
        <v>Conserje</v>
      </c>
      <c r="D12" s="1174">
        <f t="shared" si="0"/>
        <v>3166.38</v>
      </c>
      <c r="E12" s="1185">
        <f>VLOOKUP(B12,distribucion!B$9:FK$201,7,0)</f>
        <v>30</v>
      </c>
      <c r="F12" s="1186">
        <f>VLOOKUP(B12,distribucion!$B$9:$DQ$288,14,0)</f>
        <v>0</v>
      </c>
      <c r="G12" s="1187">
        <f>ROUND((VLOOKUP(B12,distribucion!B$1:FK$201,103,0)),2)</f>
        <v>3166.38</v>
      </c>
      <c r="H12" s="1187">
        <f>ROUND((VLOOKUP(B12,distribucion!B$9:FJ$201,104,0)),2)</f>
        <v>250</v>
      </c>
      <c r="I12" s="1187">
        <f t="shared" si="1"/>
        <v>3416.38</v>
      </c>
      <c r="J12" s="1187">
        <f>VLOOKUP(B12,distribucion!B$9:FK$200,105,0)</f>
        <v>0</v>
      </c>
      <c r="K12" s="1187">
        <f>ROUND((VLOOKUP(B12,distribucion!B$9:FK$201,106,0)),2)</f>
        <v>0</v>
      </c>
      <c r="L12" s="1187">
        <f>VLOOKUP(B12,distribucion!B$9:FK$201,107,0)</f>
        <v>0</v>
      </c>
      <c r="M12" s="1187">
        <f>ROUND((VLOOKUP(B12,distribucion!B$9:FK$201,108,0)),2)</f>
        <v>0</v>
      </c>
      <c r="N12" s="1187">
        <v>0</v>
      </c>
      <c r="O12" s="1187">
        <f>ROUND((VLOOKUP(B12,distribucion!B$9:FK$201,36,0)),2)</f>
        <v>0</v>
      </c>
      <c r="P12" s="1187">
        <f t="shared" si="2"/>
        <v>3416.38</v>
      </c>
      <c r="Q12" s="1187">
        <f>ROUND(((G12+K12+M12+N12+O12)*0.0483),2)</f>
        <v>152.94</v>
      </c>
      <c r="R12" s="1187">
        <f>ROUND((VLOOKUP(B12,distribucion!B$9:FK$201,151,0)),2)</f>
        <v>0</v>
      </c>
      <c r="S12" s="1187">
        <f>ROUND((VLOOKUP(B12,distribucion!B$9:FK$201,152,0)),2)</f>
        <v>0</v>
      </c>
      <c r="T12" s="1187">
        <f>ROUND((VLOOKUP(B12,distribucion!B$9:FK$201,153,0)),2)</f>
        <v>0</v>
      </c>
      <c r="U12" s="1187">
        <f>ROUND((VLOOKUP(B12,distribucion!$B$1:$FE$228,159,0)),2)</f>
        <v>0</v>
      </c>
      <c r="V12" s="1187">
        <f>ROUND((VLOOKUP(B12,distribucion!$B$1:$FE$228,158,0)),2)</f>
        <v>0</v>
      </c>
      <c r="W12" s="1187">
        <f>ROUND((VLOOKUP(B12,distribucion!$B$1:$FE$228,154,0)),2)</f>
        <v>0</v>
      </c>
      <c r="X12" s="1187">
        <f>ROUND((VLOOKUP(B12,distribucion!B$9:FK$201,160,0)),2)</f>
        <v>50</v>
      </c>
      <c r="Y12" s="1188">
        <f t="shared" si="3"/>
        <v>202.94</v>
      </c>
      <c r="Z12" s="1187">
        <f t="shared" si="4"/>
        <v>3213.44</v>
      </c>
      <c r="AA12" s="1985">
        <v>1631.72</v>
      </c>
      <c r="AB12" s="1180">
        <f t="shared" si="5"/>
        <v>1581.72</v>
      </c>
      <c r="AC12" s="1181">
        <f>VLOOKUP(B12,'[1]Nomina Unhesa'!$B$9:$AB$167,26,FALSE)</f>
        <v>1533.1499999999999</v>
      </c>
      <c r="AD12" s="1181">
        <f t="shared" si="6"/>
        <v>98.570000000000164</v>
      </c>
    </row>
    <row r="13" spans="1:30" s="1189" customFormat="1" ht="24" customHeight="1">
      <c r="A13" s="1140">
        <f t="shared" si="7"/>
        <v>5</v>
      </c>
      <c r="B13" s="1182" t="s">
        <v>557</v>
      </c>
      <c r="C13" s="1183" t="str">
        <f>VLOOKUP(B13,distribucion!B$9:FK$200,2,0)</f>
        <v>Piloto</v>
      </c>
      <c r="D13" s="1184">
        <f t="shared" si="0"/>
        <v>3166.38</v>
      </c>
      <c r="E13" s="1185">
        <f>VLOOKUP(B13,distribucion!B$9:FK$201,7,0)</f>
        <v>30</v>
      </c>
      <c r="F13" s="1186">
        <f>VLOOKUP(B13,distribucion!$B$9:$DQ$288,14,0)</f>
        <v>0</v>
      </c>
      <c r="G13" s="1187">
        <f>ROUND((VLOOKUP(B13,distribucion!B$1:FK$201,103,0)),2)</f>
        <v>3166.38</v>
      </c>
      <c r="H13" s="1187">
        <f>ROUND((VLOOKUP(B13,distribucion!B$9:FJ$201,104,0)),2)</f>
        <v>250</v>
      </c>
      <c r="I13" s="1187">
        <f t="shared" si="1"/>
        <v>3416.38</v>
      </c>
      <c r="J13" s="1187">
        <f>VLOOKUP(B13,distribucion!B$9:FK$200,105,0)</f>
        <v>0</v>
      </c>
      <c r="K13" s="1187">
        <f>ROUND((VLOOKUP(B13,distribucion!B$9:FK$201,106,0)),2)</f>
        <v>0</v>
      </c>
      <c r="L13" s="1187">
        <f>VLOOKUP(B13,distribucion!B$9:FK$201,107,0)</f>
        <v>0</v>
      </c>
      <c r="M13" s="1187">
        <f>ROUND((VLOOKUP(B13,distribucion!B$9:FK$201,108,0)),2)</f>
        <v>0</v>
      </c>
      <c r="N13" s="1187">
        <v>0</v>
      </c>
      <c r="O13" s="1187">
        <f>ROUND((VLOOKUP(B13,distribucion!B$9:FK$201,36,0)),2)</f>
        <v>0</v>
      </c>
      <c r="P13" s="1187">
        <f t="shared" si="2"/>
        <v>3416.38</v>
      </c>
      <c r="Q13" s="1187">
        <f>ROUND(((G13+K13+M13+N13+O13)*0.0483),2)</f>
        <v>152.94</v>
      </c>
      <c r="R13" s="1187">
        <f>ROUND((VLOOKUP(B13,distribucion!B$9:FK$201,151,0)),2)</f>
        <v>0</v>
      </c>
      <c r="S13" s="1187">
        <f>ROUND((VLOOKUP(B13,distribucion!B$9:FK$201,152,0)),2)</f>
        <v>0</v>
      </c>
      <c r="T13" s="1187">
        <f>ROUND((VLOOKUP(B13,distribucion!B$9:FK$201,153,0)),2)</f>
        <v>0</v>
      </c>
      <c r="U13" s="1187">
        <f>ROUND((VLOOKUP(B13,distribucion!$B$1:$FE$228,159,0)),2)</f>
        <v>0</v>
      </c>
      <c r="V13" s="1187">
        <f>ROUND((VLOOKUP(B13,distribucion!$B$1:$FE$228,158,0)),2)</f>
        <v>0</v>
      </c>
      <c r="W13" s="1187">
        <f>ROUND((VLOOKUP(B13,distribucion!$B$1:$FE$228,154,0)),2)</f>
        <v>0</v>
      </c>
      <c r="X13" s="1187">
        <f>ROUND((VLOOKUP(B13,distribucion!B$9:FK$201,160,0)),2)</f>
        <v>50</v>
      </c>
      <c r="Y13" s="1188">
        <f t="shared" si="3"/>
        <v>202.94</v>
      </c>
      <c r="Z13" s="1187">
        <f t="shared" si="4"/>
        <v>3213.44</v>
      </c>
      <c r="AA13" s="1985">
        <v>1631.72</v>
      </c>
      <c r="AB13" s="1180">
        <f t="shared" si="5"/>
        <v>1581.72</v>
      </c>
      <c r="AC13" s="1181">
        <f>VLOOKUP(B13,'[1]Nomina Unhesa'!$B$9:$AB$167,26,FALSE)</f>
        <v>1533.1499999999999</v>
      </c>
      <c r="AD13" s="1181">
        <f t="shared" si="6"/>
        <v>98.570000000000164</v>
      </c>
    </row>
    <row r="14" spans="1:30" ht="28.5" customHeight="1">
      <c r="A14" s="1140"/>
      <c r="B14" s="1198"/>
      <c r="C14" s="1199" t="s">
        <v>204</v>
      </c>
      <c r="D14" s="1200" t="s">
        <v>204</v>
      </c>
      <c r="E14" s="1201"/>
      <c r="F14" s="1176"/>
      <c r="G14" s="1202">
        <f t="shared" ref="G14:AB14" si="8">SUM(G9:G13)</f>
        <v>34249.14</v>
      </c>
      <c r="H14" s="1202">
        <f t="shared" si="8"/>
        <v>5000</v>
      </c>
      <c r="I14" s="1202">
        <f t="shared" si="8"/>
        <v>39249.14</v>
      </c>
      <c r="J14" s="1202">
        <f t="shared" si="8"/>
        <v>0</v>
      </c>
      <c r="K14" s="1202">
        <f t="shared" si="8"/>
        <v>0</v>
      </c>
      <c r="L14" s="1202">
        <f t="shared" si="8"/>
        <v>0</v>
      </c>
      <c r="M14" s="1202">
        <f t="shared" si="8"/>
        <v>0</v>
      </c>
      <c r="N14" s="1202">
        <f t="shared" si="8"/>
        <v>0</v>
      </c>
      <c r="O14" s="1202">
        <f t="shared" si="8"/>
        <v>0</v>
      </c>
      <c r="P14" s="1202">
        <f t="shared" si="8"/>
        <v>39249.14</v>
      </c>
      <c r="Q14" s="1202">
        <f t="shared" si="8"/>
        <v>700.31999999999994</v>
      </c>
      <c r="R14" s="1202">
        <f t="shared" si="8"/>
        <v>237.93</v>
      </c>
      <c r="S14" s="1202">
        <f t="shared" si="8"/>
        <v>0</v>
      </c>
      <c r="T14" s="1202">
        <f t="shared" si="8"/>
        <v>0</v>
      </c>
      <c r="U14" s="1202">
        <f t="shared" si="8"/>
        <v>0</v>
      </c>
      <c r="V14" s="1202">
        <f t="shared" si="8"/>
        <v>0</v>
      </c>
      <c r="W14" s="1202">
        <f t="shared" si="8"/>
        <v>80</v>
      </c>
      <c r="X14" s="1202">
        <f t="shared" si="8"/>
        <v>465</v>
      </c>
      <c r="Y14" s="1202">
        <f t="shared" si="8"/>
        <v>1483.2500000000002</v>
      </c>
      <c r="Z14" s="1202">
        <f t="shared" si="8"/>
        <v>37765.89</v>
      </c>
      <c r="AA14" s="1202">
        <f t="shared" si="8"/>
        <v>19127.41</v>
      </c>
      <c r="AB14" s="1202">
        <f t="shared" si="8"/>
        <v>18638.48</v>
      </c>
      <c r="AC14" s="1181">
        <f t="shared" ref="AC14:AC39" si="9">+Z14-AA14-AB14</f>
        <v>0</v>
      </c>
      <c r="AD14" s="1181">
        <f>+AA14-AC14</f>
        <v>19127.41</v>
      </c>
    </row>
    <row r="15" spans="1:30" ht="28.5" customHeight="1">
      <c r="A15" s="1140"/>
      <c r="B15" s="1198"/>
      <c r="C15" s="1199"/>
      <c r="D15" s="1200"/>
      <c r="E15" s="1201"/>
      <c r="F15" s="1176"/>
      <c r="G15" s="1210"/>
      <c r="H15" s="1210"/>
      <c r="I15" s="1210"/>
      <c r="J15" s="1210"/>
      <c r="K15" s="1210"/>
      <c r="L15" s="1210"/>
      <c r="M15" s="1210"/>
      <c r="N15" s="1210"/>
      <c r="O15" s="1210"/>
      <c r="P15" s="1210"/>
      <c r="Q15" s="1210"/>
      <c r="R15" s="1210"/>
      <c r="S15" s="1210"/>
      <c r="T15" s="1210"/>
      <c r="U15" s="1210"/>
      <c r="V15" s="1210"/>
      <c r="W15" s="1210"/>
      <c r="X15" s="1210"/>
      <c r="Y15" s="1210"/>
      <c r="Z15" s="1210"/>
      <c r="AA15" s="1210"/>
      <c r="AB15" s="1210"/>
      <c r="AC15" s="1181"/>
      <c r="AD15" s="1181">
        <f t="shared" si="6"/>
        <v>0</v>
      </c>
    </row>
    <row r="16" spans="1:30" ht="28.5" customHeight="1">
      <c r="A16" s="1140"/>
      <c r="B16" s="1198"/>
      <c r="C16" s="1199"/>
      <c r="D16" s="1200"/>
      <c r="E16" s="1201"/>
      <c r="F16" s="1176"/>
      <c r="G16" s="1210"/>
      <c r="H16" s="1210"/>
      <c r="I16" s="1210"/>
      <c r="J16" s="1210"/>
      <c r="K16" s="1210"/>
      <c r="L16" s="1210"/>
      <c r="M16" s="1210"/>
      <c r="N16" s="1210"/>
      <c r="O16" s="1210"/>
      <c r="P16" s="1210"/>
      <c r="Q16" s="1210"/>
      <c r="R16" s="1210"/>
      <c r="S16" s="1210"/>
      <c r="T16" s="1210"/>
      <c r="U16" s="1210"/>
      <c r="V16" s="1210"/>
      <c r="W16" s="1210"/>
      <c r="X16" s="1210"/>
      <c r="Y16" s="1210"/>
      <c r="Z16" s="1210"/>
      <c r="AA16" s="1210"/>
      <c r="AB16" s="1210"/>
      <c r="AC16" s="1181"/>
      <c r="AD16" s="1181">
        <f t="shared" si="6"/>
        <v>0</v>
      </c>
    </row>
    <row r="17" spans="1:32" ht="20.100000000000001" customHeight="1">
      <c r="A17" s="1140">
        <v>6</v>
      </c>
      <c r="B17" s="1172" t="s">
        <v>542</v>
      </c>
      <c r="C17" s="1173" t="str">
        <f>VLOOKUP(B17,distribucion!B$9:FK$200,2,0)</f>
        <v>conserje</v>
      </c>
      <c r="D17" s="1174">
        <f>G17+K17+M17+N17</f>
        <v>3166.38</v>
      </c>
      <c r="E17" s="1175">
        <f>VLOOKUP(B17,distribucion!B$9:FK$201,7,0)</f>
        <v>30</v>
      </c>
      <c r="F17" s="1176" t="str">
        <f>VLOOKUP(B17,distribucion!$B$9:$DQ$288,14,0)</f>
        <v xml:space="preserve"> </v>
      </c>
      <c r="G17" s="1177">
        <f>ROUND((VLOOKUP(B17,distribucion!B$1:FK$201,103,0)),2)</f>
        <v>3166.38</v>
      </c>
      <c r="H17" s="1177">
        <f>ROUND((VLOOKUP(B17,distribucion!B$9:FJ$201,104,0)),2)</f>
        <v>250</v>
      </c>
      <c r="I17" s="1177">
        <f>G17+H17</f>
        <v>3416.38</v>
      </c>
      <c r="J17" s="1177">
        <f>VLOOKUP(B17,distribucion!B$9:FK$200,105,0)</f>
        <v>0</v>
      </c>
      <c r="K17" s="1177">
        <f>ROUND((VLOOKUP(B17,distribucion!B$9:FK$201,106,0)),2)</f>
        <v>0</v>
      </c>
      <c r="L17" s="1177">
        <f>VLOOKUP(B17,distribucion!B$9:FK$201,107,0)</f>
        <v>0</v>
      </c>
      <c r="M17" s="1177">
        <f>ROUND((VLOOKUP(B17,distribucion!B$9:FK$201,108,0)),2)</f>
        <v>0</v>
      </c>
      <c r="N17" s="1177">
        <v>0</v>
      </c>
      <c r="O17" s="1178">
        <f>ROUND((VLOOKUP(B17,distribucion!B$9:FK$201,36,0)),2)</f>
        <v>0</v>
      </c>
      <c r="P17" s="1177">
        <f>SUM(I17:O17)-J17-L17</f>
        <v>3416.38</v>
      </c>
      <c r="Q17" s="1177">
        <f>ROUND(((G17+K17+M17+N17+O17)*0.0483),2)</f>
        <v>152.94</v>
      </c>
      <c r="R17" s="1177">
        <f>ROUND((VLOOKUP(B17,distribucion!B$9:FK$201,151,0)),2)</f>
        <v>0</v>
      </c>
      <c r="S17" s="1177">
        <f>ROUND((VLOOKUP(B17,distribucion!B$9:FK$201,152,0)),2)</f>
        <v>0</v>
      </c>
      <c r="T17" s="1177">
        <f>ROUND((VLOOKUP(B17,distribucion!B$9:FK$201,153,0)),2)</f>
        <v>0</v>
      </c>
      <c r="U17" s="1177">
        <f>ROUND((VLOOKUP(B17,distribucion!$B$1:$FE$228,159,0)),2)</f>
        <v>0</v>
      </c>
      <c r="V17" s="1177">
        <f>ROUND((VLOOKUP(B17,distribucion!$B$1:$FE$228,158,0)),2)</f>
        <v>0</v>
      </c>
      <c r="W17" s="1177">
        <f>ROUND((VLOOKUP(B17,distribucion!$B$1:$FE$228,154,0)),2)</f>
        <v>0</v>
      </c>
      <c r="X17" s="1177">
        <f>ROUND((VLOOKUP(B17,distribucion!B$9:FK$201,160,0)),2)</f>
        <v>170</v>
      </c>
      <c r="Y17" s="1179">
        <f>SUM(Q17:X17)</f>
        <v>322.94</v>
      </c>
      <c r="Z17" s="1177">
        <f>P17-Y17</f>
        <v>3093.44</v>
      </c>
      <c r="AA17" s="1985">
        <v>1631.72</v>
      </c>
      <c r="AB17" s="1180">
        <f t="shared" ref="AB17" si="10">+Z17-AA17</f>
        <v>1461.72</v>
      </c>
      <c r="AC17" s="1181">
        <f>VLOOKUP(B17,'[1]Nomina Unhesa'!$B$9:$AB$167,26,FALSE)</f>
        <v>1533.1499999999999</v>
      </c>
      <c r="AD17" s="1181">
        <f t="shared" si="6"/>
        <v>98.570000000000164</v>
      </c>
    </row>
    <row r="18" spans="1:32" s="1209" customFormat="1" ht="28.5" customHeight="1">
      <c r="A18" s="1140"/>
      <c r="B18" s="1206"/>
      <c r="C18" s="1207" t="s">
        <v>204</v>
      </c>
      <c r="D18" s="1200" t="s">
        <v>204</v>
      </c>
      <c r="E18" s="1201"/>
      <c r="F18" s="1176"/>
      <c r="G18" s="1202">
        <f>SUM(G17)</f>
        <v>3166.38</v>
      </c>
      <c r="H18" s="1208">
        <f t="shared" ref="H18:Z18" si="11">SUM(H17)</f>
        <v>250</v>
      </c>
      <c r="I18" s="1208">
        <f t="shared" si="11"/>
        <v>3416.38</v>
      </c>
      <c r="J18" s="1208">
        <f t="shared" si="11"/>
        <v>0</v>
      </c>
      <c r="K18" s="1208">
        <f t="shared" si="11"/>
        <v>0</v>
      </c>
      <c r="L18" s="1208">
        <f t="shared" si="11"/>
        <v>0</v>
      </c>
      <c r="M18" s="1208">
        <f t="shared" si="11"/>
        <v>0</v>
      </c>
      <c r="N18" s="1208">
        <f t="shared" si="11"/>
        <v>0</v>
      </c>
      <c r="O18" s="1208">
        <f t="shared" si="11"/>
        <v>0</v>
      </c>
      <c r="P18" s="1208">
        <f t="shared" si="11"/>
        <v>3416.38</v>
      </c>
      <c r="Q18" s="1208">
        <f t="shared" si="11"/>
        <v>152.94</v>
      </c>
      <c r="R18" s="1208">
        <f t="shared" si="11"/>
        <v>0</v>
      </c>
      <c r="S18" s="1208">
        <f t="shared" si="11"/>
        <v>0</v>
      </c>
      <c r="T18" s="1208">
        <f t="shared" si="11"/>
        <v>0</v>
      </c>
      <c r="U18" s="1208">
        <f t="shared" si="11"/>
        <v>0</v>
      </c>
      <c r="V18" s="1208">
        <f t="shared" si="11"/>
        <v>0</v>
      </c>
      <c r="W18" s="1208">
        <f t="shared" si="11"/>
        <v>0</v>
      </c>
      <c r="X18" s="1208">
        <f t="shared" si="11"/>
        <v>170</v>
      </c>
      <c r="Y18" s="1208">
        <f t="shared" si="11"/>
        <v>322.94</v>
      </c>
      <c r="Z18" s="1208">
        <f t="shared" si="11"/>
        <v>3093.44</v>
      </c>
      <c r="AA18" s="1208">
        <f>SUM(AA17)</f>
        <v>1631.72</v>
      </c>
      <c r="AB18" s="1208">
        <f>SUM(AB17)</f>
        <v>1461.72</v>
      </c>
      <c r="AC18" s="1181">
        <f t="shared" si="9"/>
        <v>0</v>
      </c>
      <c r="AD18" s="1181">
        <f t="shared" si="6"/>
        <v>1631.72</v>
      </c>
      <c r="AF18" s="1144"/>
    </row>
    <row r="19" spans="1:32" s="1209" customFormat="1" ht="20.100000000000001" customHeight="1">
      <c r="A19" s="1140"/>
      <c r="B19" s="1206"/>
      <c r="C19" s="1207"/>
      <c r="D19" s="1200"/>
      <c r="E19" s="1201"/>
      <c r="F19" s="1176"/>
      <c r="G19" s="1210"/>
      <c r="H19" s="1211"/>
      <c r="I19" s="1211"/>
      <c r="J19" s="1211"/>
      <c r="K19" s="1211"/>
      <c r="L19" s="1211"/>
      <c r="M19" s="1211"/>
      <c r="N19" s="1211"/>
      <c r="O19" s="1211"/>
      <c r="P19" s="1211"/>
      <c r="Q19" s="1211"/>
      <c r="R19" s="1211"/>
      <c r="S19" s="1211"/>
      <c r="T19" s="1211"/>
      <c r="U19" s="1211"/>
      <c r="V19" s="1211"/>
      <c r="W19" s="1211"/>
      <c r="X19" s="1211"/>
      <c r="Y19" s="1211"/>
      <c r="Z19" s="1211"/>
      <c r="AA19" s="1211"/>
      <c r="AB19" s="1212"/>
      <c r="AC19" s="1181"/>
      <c r="AD19" s="1181">
        <f t="shared" si="6"/>
        <v>0</v>
      </c>
      <c r="AF19" s="1144"/>
    </row>
    <row r="20" spans="1:32" s="1209" customFormat="1" ht="20.100000000000001" customHeight="1">
      <c r="A20" s="1140"/>
      <c r="B20" s="1167" t="s">
        <v>656</v>
      </c>
      <c r="C20" s="1207"/>
      <c r="D20" s="1200"/>
      <c r="E20" s="1201"/>
      <c r="F20" s="1176"/>
      <c r="G20" s="1210"/>
      <c r="H20" s="1211"/>
      <c r="I20" s="1211"/>
      <c r="J20" s="1211"/>
      <c r="K20" s="1211"/>
      <c r="L20" s="1211"/>
      <c r="M20" s="1211"/>
      <c r="N20" s="1211"/>
      <c r="O20" s="1211"/>
      <c r="P20" s="1211"/>
      <c r="Q20" s="1211"/>
      <c r="R20" s="1211"/>
      <c r="S20" s="1211"/>
      <c r="T20" s="1211"/>
      <c r="U20" s="1211"/>
      <c r="V20" s="1211"/>
      <c r="W20" s="1211"/>
      <c r="X20" s="1211"/>
      <c r="Y20" s="1211"/>
      <c r="Z20" s="1211"/>
      <c r="AA20" s="1211"/>
      <c r="AB20" s="1212"/>
      <c r="AC20" s="1181"/>
      <c r="AD20" s="1181">
        <f t="shared" si="6"/>
        <v>0</v>
      </c>
      <c r="AF20" s="1144"/>
    </row>
    <row r="21" spans="1:32" s="1209" customFormat="1" ht="32.25" customHeight="1">
      <c r="A21" s="1140"/>
      <c r="B21" s="1206"/>
      <c r="C21" s="1207" t="s">
        <v>204</v>
      </c>
      <c r="D21" s="1200" t="s">
        <v>204</v>
      </c>
      <c r="E21" s="1201"/>
      <c r="F21" s="1176"/>
      <c r="G21" s="1202">
        <v>0</v>
      </c>
      <c r="H21" s="1202">
        <v>0</v>
      </c>
      <c r="I21" s="1202">
        <v>0</v>
      </c>
      <c r="J21" s="1202">
        <v>0</v>
      </c>
      <c r="K21" s="1202">
        <v>0</v>
      </c>
      <c r="L21" s="1202">
        <v>0</v>
      </c>
      <c r="M21" s="1202">
        <v>0</v>
      </c>
      <c r="N21" s="1202">
        <v>0</v>
      </c>
      <c r="O21" s="1202">
        <v>0</v>
      </c>
      <c r="P21" s="1202">
        <v>0</v>
      </c>
      <c r="Q21" s="1202">
        <v>0</v>
      </c>
      <c r="R21" s="1202">
        <v>0</v>
      </c>
      <c r="S21" s="1202">
        <v>0</v>
      </c>
      <c r="T21" s="1202">
        <v>0</v>
      </c>
      <c r="U21" s="1202">
        <v>0</v>
      </c>
      <c r="V21" s="1202">
        <v>0</v>
      </c>
      <c r="W21" s="1202">
        <v>0</v>
      </c>
      <c r="X21" s="1202">
        <v>0</v>
      </c>
      <c r="Y21" s="1202">
        <v>0</v>
      </c>
      <c r="Z21" s="1202">
        <v>0</v>
      </c>
      <c r="AA21" s="1202">
        <v>0</v>
      </c>
      <c r="AB21" s="1202">
        <v>0</v>
      </c>
      <c r="AC21" s="1181">
        <f>+Z21-AA21-AB21</f>
        <v>0</v>
      </c>
      <c r="AD21" s="1181">
        <f t="shared" si="6"/>
        <v>0</v>
      </c>
      <c r="AF21" s="1144"/>
    </row>
    <row r="22" spans="1:32" s="1209" customFormat="1" ht="20.100000000000001" customHeight="1">
      <c r="A22" s="1140"/>
      <c r="B22" s="1206"/>
      <c r="C22" s="1191"/>
      <c r="D22" s="1192"/>
      <c r="E22" s="1193"/>
      <c r="F22" s="1194"/>
      <c r="G22" s="1178"/>
      <c r="H22" s="1178"/>
      <c r="I22" s="1178"/>
      <c r="J22" s="1178"/>
      <c r="K22" s="1178"/>
      <c r="L22" s="1178"/>
      <c r="M22" s="1178"/>
      <c r="N22" s="1178"/>
      <c r="O22" s="1178"/>
      <c r="P22" s="1178"/>
      <c r="Q22" s="1178"/>
      <c r="R22" s="1178"/>
      <c r="S22" s="1178"/>
      <c r="T22" s="1178"/>
      <c r="U22" s="1178"/>
      <c r="V22" s="1178"/>
      <c r="W22" s="1178"/>
      <c r="X22" s="1178"/>
      <c r="Y22" s="1195"/>
      <c r="Z22" s="1178"/>
      <c r="AA22" s="1177"/>
      <c r="AB22" s="1180"/>
      <c r="AC22" s="1181"/>
      <c r="AD22" s="1181">
        <f t="shared" si="6"/>
        <v>0</v>
      </c>
      <c r="AF22" s="1144"/>
    </row>
    <row r="23" spans="1:32" s="1209" customFormat="1" ht="20.100000000000001" customHeight="1">
      <c r="A23" s="1140"/>
      <c r="B23" s="1206"/>
      <c r="C23" s="1207"/>
      <c r="D23" s="1200"/>
      <c r="E23" s="1201"/>
      <c r="F23" s="1176"/>
      <c r="G23" s="1211"/>
      <c r="H23" s="1211"/>
      <c r="I23" s="1211"/>
      <c r="J23" s="1211"/>
      <c r="K23" s="1211"/>
      <c r="L23" s="1211"/>
      <c r="M23" s="1211"/>
      <c r="N23" s="1211"/>
      <c r="O23" s="1211"/>
      <c r="P23" s="1211"/>
      <c r="Q23" s="1211"/>
      <c r="R23" s="1211"/>
      <c r="S23" s="1211"/>
      <c r="T23" s="1211"/>
      <c r="U23" s="1211"/>
      <c r="V23" s="1211"/>
      <c r="W23" s="1211"/>
      <c r="X23" s="1211"/>
      <c r="Y23" s="1213"/>
      <c r="Z23" s="1211"/>
      <c r="AA23" s="1211"/>
      <c r="AB23" s="1214"/>
      <c r="AC23" s="1181">
        <f t="shared" si="9"/>
        <v>0</v>
      </c>
      <c r="AD23" s="1181">
        <f t="shared" si="6"/>
        <v>0</v>
      </c>
      <c r="AF23" s="1144"/>
    </row>
    <row r="24" spans="1:32" s="1209" customFormat="1" ht="21.95" customHeight="1">
      <c r="A24" s="1140"/>
      <c r="B24" s="1167" t="s">
        <v>147</v>
      </c>
      <c r="C24" s="1215"/>
      <c r="D24" s="1204"/>
      <c r="E24" s="1175"/>
      <c r="F24" s="1176"/>
      <c r="G24" s="1177"/>
      <c r="H24" s="1177"/>
      <c r="I24" s="1177"/>
      <c r="J24" s="1177"/>
      <c r="K24" s="1177"/>
      <c r="L24" s="1177"/>
      <c r="M24" s="1177"/>
      <c r="N24" s="1177"/>
      <c r="O24" s="1177"/>
      <c r="P24" s="1177"/>
      <c r="Q24" s="1177"/>
      <c r="R24" s="1177"/>
      <c r="S24" s="1177"/>
      <c r="T24" s="1177"/>
      <c r="U24" s="1177"/>
      <c r="V24" s="1177"/>
      <c r="W24" s="1177"/>
      <c r="X24" s="1177"/>
      <c r="Y24" s="1179"/>
      <c r="Z24" s="1177"/>
      <c r="AA24" s="1177"/>
      <c r="AB24" s="1180"/>
      <c r="AC24" s="1181">
        <f t="shared" si="9"/>
        <v>0</v>
      </c>
      <c r="AD24" s="1181">
        <f t="shared" si="6"/>
        <v>0</v>
      </c>
      <c r="AF24" s="1144"/>
    </row>
    <row r="25" spans="1:32" s="1209" customFormat="1" ht="21.95" customHeight="1">
      <c r="A25" s="1140">
        <v>7</v>
      </c>
      <c r="B25" s="1216" t="str">
        <f>+distribucion!B32</f>
        <v>Lorenzana Gonzalez Cesar Leonel</v>
      </c>
      <c r="C25" s="1173" t="str">
        <f>VLOOKUP(B25,distribucion!B$9:FK$200,2,0)</f>
        <v>Gerente Financiero</v>
      </c>
      <c r="D25" s="1174">
        <f t="shared" ref="D25:D30" si="12">G25+K25+M25+N25</f>
        <v>18000</v>
      </c>
      <c r="E25" s="1175">
        <f>VLOOKUP(B25,distribucion!B$9:FK$201,7,0)</f>
        <v>30</v>
      </c>
      <c r="F25" s="1176">
        <f>VLOOKUP(B25,distribucion!$B$9:$DQ$288,14,0)</f>
        <v>0</v>
      </c>
      <c r="G25" s="1177">
        <f>ROUND((VLOOKUP(B25,distribucion!B$1:FK$201,103,0)),2)</f>
        <v>18000</v>
      </c>
      <c r="H25" s="1177">
        <f>ROUND((VLOOKUP(B25,distribucion!B$9:FJ$201,104,0)),2)</f>
        <v>5000</v>
      </c>
      <c r="I25" s="1177">
        <f t="shared" ref="I25:I30" si="13">G25+H25</f>
        <v>23000</v>
      </c>
      <c r="J25" s="1177">
        <f>VLOOKUP(B25,distribucion!B$9:FK$200,105,0)</f>
        <v>0</v>
      </c>
      <c r="K25" s="1177">
        <f>ROUND((VLOOKUP(B25,distribucion!B$9:FK$201,106,0)),2)</f>
        <v>0</v>
      </c>
      <c r="L25" s="1177">
        <f>VLOOKUP(B25,distribucion!B$9:FK$201,107,0)</f>
        <v>0</v>
      </c>
      <c r="M25" s="1177">
        <f>ROUND((VLOOKUP(B25,distribucion!B$9:FK$201,108,0)),2)</f>
        <v>0</v>
      </c>
      <c r="N25" s="1177">
        <v>0</v>
      </c>
      <c r="O25" s="1178">
        <f>ROUND((VLOOKUP(B25,distribucion!B$9:FK$201,36,0)),2)</f>
        <v>0</v>
      </c>
      <c r="P25" s="1177">
        <f t="shared" ref="P25:P30" si="14">SUM(I25:O25)-J25-L25</f>
        <v>23000</v>
      </c>
      <c r="Q25" s="1177">
        <f t="shared" ref="Q25:Q30" si="15">ROUND(((G25+K25+M25+N25+O25)*0.0483),2)</f>
        <v>869.4</v>
      </c>
      <c r="R25" s="1177">
        <f>ROUND((VLOOKUP(B25,distribucion!B$9:FK$201,151,0)),2)</f>
        <v>906.53</v>
      </c>
      <c r="S25" s="1177">
        <f>ROUND((VLOOKUP(B25,distribucion!B$9:FK$201,152,0)),2)</f>
        <v>0</v>
      </c>
      <c r="T25" s="1177">
        <f>ROUND((VLOOKUP(B25,distribucion!B$9:FK$201,153,0)),2)</f>
        <v>0</v>
      </c>
      <c r="U25" s="1177">
        <f>ROUND((VLOOKUP(B25,distribucion!B9:FE236,159,0)),2)</f>
        <v>0</v>
      </c>
      <c r="V25" s="1177">
        <f>ROUND((VLOOKUP(B25,distribucion!B9:FE236,158,0)),2)</f>
        <v>0</v>
      </c>
      <c r="W25" s="1177">
        <f>ROUND((VLOOKUP(B25,distribucion!B9:FE236,154,0)),2)</f>
        <v>0</v>
      </c>
      <c r="X25" s="1177">
        <f>ROUND((VLOOKUP(B25,distribucion!B$9:FK$201,160,0)),2)</f>
        <v>150</v>
      </c>
      <c r="Y25" s="1179">
        <f t="shared" ref="Y25:Y30" si="16">SUM(Q25:X25)</f>
        <v>1925.9299999999998</v>
      </c>
      <c r="Z25" s="1177">
        <f t="shared" ref="Z25:Z30" si="17">P25-Y25</f>
        <v>21074.07</v>
      </c>
      <c r="AA25" s="1985">
        <v>10389.41</v>
      </c>
      <c r="AB25" s="1180">
        <f t="shared" ref="AB25:AB30" si="18">+Z25-AA25</f>
        <v>10684.66</v>
      </c>
      <c r="AC25" s="1181">
        <f>VLOOKUP(B25,'[1]Nomina Unhesa'!$B$9:$AB$167,26,FALSE)</f>
        <v>10426.459999999999</v>
      </c>
      <c r="AD25" s="1181">
        <f t="shared" si="6"/>
        <v>-37.049999999999272</v>
      </c>
      <c r="AF25" s="1144"/>
    </row>
    <row r="26" spans="1:32" s="1209" customFormat="1" ht="21.95" customHeight="1">
      <c r="A26" s="1140">
        <f>+A25+1</f>
        <v>8</v>
      </c>
      <c r="B26" s="1216" t="s">
        <v>550</v>
      </c>
      <c r="C26" s="1173" t="str">
        <f>VLOOKUP(B26,distribucion!B$9:FK$200,2,0)</f>
        <v>Tesorera-Contador</v>
      </c>
      <c r="D26" s="1174">
        <f t="shared" si="12"/>
        <v>3250</v>
      </c>
      <c r="E26" s="1175">
        <f>VLOOKUP(B26,distribucion!B$9:FK$201,7,0)</f>
        <v>30</v>
      </c>
      <c r="F26" s="1176">
        <f>VLOOKUP(B26,distribucion!$B$9:$DQ$288,14,0)</f>
        <v>0</v>
      </c>
      <c r="G26" s="1177">
        <f>ROUND((VLOOKUP(B26,distribucion!B$1:FK$201,103,0)),2)</f>
        <v>3250</v>
      </c>
      <c r="H26" s="1177">
        <f>ROUND((VLOOKUP(B26,distribucion!B$9:FJ$201,104,0)),2)</f>
        <v>1750</v>
      </c>
      <c r="I26" s="1177">
        <f t="shared" si="13"/>
        <v>5000</v>
      </c>
      <c r="J26" s="1177">
        <f>VLOOKUP(B26,distribucion!B$9:FK$200,105,0)</f>
        <v>0</v>
      </c>
      <c r="K26" s="1177">
        <f>ROUND((VLOOKUP(B26,distribucion!B$9:FK$201,106,0)),2)</f>
        <v>0</v>
      </c>
      <c r="L26" s="1177">
        <f>VLOOKUP(B26,distribucion!B$9:FK$201,107,0)</f>
        <v>0</v>
      </c>
      <c r="M26" s="1177">
        <f>ROUND((VLOOKUP(B26,distribucion!B$9:FK$201,108,0)),2)</f>
        <v>0</v>
      </c>
      <c r="N26" s="1177">
        <v>0</v>
      </c>
      <c r="O26" s="1178">
        <f>ROUND((VLOOKUP(B26,distribucion!B$9:FK$201,36,0)),2)</f>
        <v>0</v>
      </c>
      <c r="P26" s="1177">
        <f t="shared" si="14"/>
        <v>5000</v>
      </c>
      <c r="Q26" s="1177">
        <f t="shared" si="15"/>
        <v>156.97999999999999</v>
      </c>
      <c r="R26" s="1177">
        <f>ROUND((VLOOKUP(B26,distribucion!B$9:FK$201,151,0)),2)</f>
        <v>42.15</v>
      </c>
      <c r="S26" s="1177">
        <f>ROUND((VLOOKUP(B26,distribucion!B$9:FK$201,152,0)),2)</f>
        <v>538.59</v>
      </c>
      <c r="T26" s="1177">
        <f>ROUND((VLOOKUP(B26,distribucion!B$9:FK$201,153,0)),2)</f>
        <v>0</v>
      </c>
      <c r="U26" s="1177">
        <f>ROUND((VLOOKUP(B26,distribucion!B10:FE237,159,0)),2)</f>
        <v>0</v>
      </c>
      <c r="V26" s="1177">
        <f>ROUND((VLOOKUP(B26,distribucion!B10:FE237,158,0)),2)</f>
        <v>0</v>
      </c>
      <c r="W26" s="1177">
        <f>ROUND((VLOOKUP(B26,distribucion!B10:FE237,154,0)),2)</f>
        <v>385</v>
      </c>
      <c r="X26" s="1177">
        <f>ROUND((VLOOKUP(B26,distribucion!B$9:FK$201,160,0)),2)</f>
        <v>200</v>
      </c>
      <c r="Y26" s="1179">
        <f t="shared" si="16"/>
        <v>1322.72</v>
      </c>
      <c r="Z26" s="1177">
        <f t="shared" si="17"/>
        <v>3677.2799999999997</v>
      </c>
      <c r="AA26" s="1985">
        <v>1968.55</v>
      </c>
      <c r="AB26" s="1180">
        <f t="shared" si="18"/>
        <v>1708.7299999999998</v>
      </c>
      <c r="AC26" s="1181">
        <f>VLOOKUP(B26,'[1]Nomina Unhesa'!$B$9:$AB$167,26,FALSE)</f>
        <v>1904.05</v>
      </c>
      <c r="AD26" s="1181">
        <f t="shared" si="6"/>
        <v>64.5</v>
      </c>
      <c r="AF26" s="1144"/>
    </row>
    <row r="27" spans="1:32" s="1209" customFormat="1" ht="21.95" customHeight="1">
      <c r="A27" s="1140">
        <f t="shared" ref="A27:A30" si="19">+A26+1</f>
        <v>9</v>
      </c>
      <c r="B27" s="1216" t="s">
        <v>545</v>
      </c>
      <c r="C27" s="1173" t="str">
        <f>VLOOKUP(B27,distribucion!B$9:FK$200,2,0)</f>
        <v>Contador General</v>
      </c>
      <c r="D27" s="1174">
        <f t="shared" si="12"/>
        <v>10036.540000000001</v>
      </c>
      <c r="E27" s="1175">
        <f>VLOOKUP(B27,distribucion!B$9:FK$201,7,0)</f>
        <v>30</v>
      </c>
      <c r="F27" s="1176">
        <f>VLOOKUP(B27,distribucion!$B$9:$DQ$288,14,0)</f>
        <v>0</v>
      </c>
      <c r="G27" s="1177">
        <f>ROUND((VLOOKUP(B27,distribucion!B$1:FK$201,103,0)),2)</f>
        <v>10036.540000000001</v>
      </c>
      <c r="H27" s="1177">
        <f>ROUND((VLOOKUP(B27,distribucion!B$9:FJ$201,104,0)),2)</f>
        <v>657.7</v>
      </c>
      <c r="I27" s="1177">
        <f t="shared" si="13"/>
        <v>10694.240000000002</v>
      </c>
      <c r="J27" s="1177">
        <f>VLOOKUP(B27,distribucion!B$9:FK$200,105,0)</f>
        <v>0</v>
      </c>
      <c r="K27" s="1177">
        <f>ROUND((VLOOKUP(B27,distribucion!B$9:FK$201,106,0)),2)</f>
        <v>0</v>
      </c>
      <c r="L27" s="1177">
        <f>VLOOKUP(B27,distribucion!B$9:FK$201,107,0)</f>
        <v>0</v>
      </c>
      <c r="M27" s="1177">
        <f>ROUND((VLOOKUP(B27,distribucion!B$9:FK$201,108,0)),2)</f>
        <v>0</v>
      </c>
      <c r="N27" s="1177">
        <v>0</v>
      </c>
      <c r="O27" s="1178">
        <f>ROUND((VLOOKUP(B27,distribucion!B$9:FK$201,36,0)),2)</f>
        <v>0</v>
      </c>
      <c r="P27" s="1177">
        <f t="shared" si="14"/>
        <v>10694.240000000002</v>
      </c>
      <c r="Q27" s="1177">
        <f t="shared" si="15"/>
        <v>484.76</v>
      </c>
      <c r="R27" s="1177">
        <f>ROUND((VLOOKUP(B27,distribucion!B$9:FK$201,151,0)),2)</f>
        <v>310.47000000000003</v>
      </c>
      <c r="S27" s="1177">
        <f>ROUND((VLOOKUP(B27,distribucion!B$9:FK$201,152,0)),2)</f>
        <v>1484.26</v>
      </c>
      <c r="T27" s="1177">
        <f>ROUND((VLOOKUP(B27,distribucion!B$9:FK$201,153,0)),2)</f>
        <v>796</v>
      </c>
      <c r="U27" s="1177">
        <f>ROUND((VLOOKUP(B27,distribucion!B17:FE239,159,0)),2)</f>
        <v>0</v>
      </c>
      <c r="V27" s="1177">
        <f>ROUND((VLOOKUP(B27,distribucion!B17:FE239,158,0)),2)</f>
        <v>0</v>
      </c>
      <c r="W27" s="1177">
        <f>ROUND((VLOOKUP(B27,distribucion!B17:FE239,154,0)),2)</f>
        <v>0</v>
      </c>
      <c r="X27" s="1177">
        <f>ROUND((VLOOKUP(B27,distribucion!B$9:FK$201,160,0)),2)</f>
        <v>100</v>
      </c>
      <c r="Y27" s="1179">
        <f t="shared" si="16"/>
        <v>3175.49</v>
      </c>
      <c r="Z27" s="1177">
        <f t="shared" si="17"/>
        <v>7518.7500000000018</v>
      </c>
      <c r="AA27" s="1985">
        <v>3945.690000000001</v>
      </c>
      <c r="AB27" s="1180">
        <f t="shared" si="18"/>
        <v>3573.0600000000009</v>
      </c>
      <c r="AC27" s="1181">
        <f>VLOOKUP(B27,'[1]Nomina Unhesa'!$B$9:$AB$167,26,FALSE)</f>
        <v>4144.6900000000005</v>
      </c>
      <c r="AD27" s="1181">
        <f t="shared" si="6"/>
        <v>-198.99999999999955</v>
      </c>
      <c r="AF27" s="1144"/>
    </row>
    <row r="28" spans="1:32" s="1209" customFormat="1" ht="21.95" customHeight="1">
      <c r="A28" s="1140">
        <f t="shared" si="19"/>
        <v>10</v>
      </c>
      <c r="B28" s="1216" t="str">
        <f>+distribucion!B38</f>
        <v>Cruz Salguero Aramis Antonio</v>
      </c>
      <c r="C28" s="1173" t="str">
        <f>VLOOKUP(B28,distribucion!B$9:FK$200,2,0)</f>
        <v>Auxiliar Contable</v>
      </c>
      <c r="D28" s="1174">
        <f t="shared" ref="D28" si="20">G28+K28+M28+N28</f>
        <v>3166.38</v>
      </c>
      <c r="E28" s="1175">
        <f>VLOOKUP(B28,distribucion!B$9:FK$201,7,0)</f>
        <v>30</v>
      </c>
      <c r="F28" s="1176" t="str">
        <f>VLOOKUP(B28,distribucion!$B$9:$DQ$288,14,0)</f>
        <v xml:space="preserve">INCREMENTO </v>
      </c>
      <c r="G28" s="1985">
        <f>ROUND((VLOOKUP(B28,distribucion!B$1:FK$201,103,0)),2)</f>
        <v>3166.38</v>
      </c>
      <c r="H28" s="1985">
        <f>ROUND((VLOOKUP(B28,distribucion!B$9:FJ$201,104,0)),2)</f>
        <v>833.62</v>
      </c>
      <c r="I28" s="1985">
        <f t="shared" ref="I28" si="21">G28+H28</f>
        <v>4000</v>
      </c>
      <c r="J28" s="1985">
        <f>VLOOKUP(B28,distribucion!B$9:FK$200,105,0)</f>
        <v>0</v>
      </c>
      <c r="K28" s="1985">
        <f>ROUND((VLOOKUP(B28,distribucion!B$9:FK$201,106,0)),2)</f>
        <v>0</v>
      </c>
      <c r="L28" s="1985">
        <f>VLOOKUP(B28,distribucion!B$9:FK$201,107,0)</f>
        <v>0</v>
      </c>
      <c r="M28" s="1985">
        <f>ROUND((VLOOKUP(B28,distribucion!B$9:FK$201,108,0)),2)</f>
        <v>0</v>
      </c>
      <c r="N28" s="1985">
        <v>0</v>
      </c>
      <c r="O28" s="1178">
        <f>ROUND((VLOOKUP(B28,distribucion!B$9:FK$201,36,0)),2)</f>
        <v>0</v>
      </c>
      <c r="P28" s="1985">
        <f t="shared" ref="P28" si="22">SUM(I28:O28)-J28-L28</f>
        <v>4000</v>
      </c>
      <c r="Q28" s="1985">
        <f t="shared" ref="Q28" si="23">ROUND(((G28+K28+M28+N28+O28)*0.0483),2)</f>
        <v>152.94</v>
      </c>
      <c r="R28" s="1985">
        <f>ROUND((VLOOKUP(B28,distribucion!B$9:FK$201,151,0)),2)</f>
        <v>0</v>
      </c>
      <c r="S28" s="1985">
        <f>ROUND((VLOOKUP(B28,distribucion!B$9:FK$201,152,0)),2)</f>
        <v>0</v>
      </c>
      <c r="T28" s="1985">
        <f>ROUND((VLOOKUP(B28,distribucion!B$9:FK$201,153,0)),2)</f>
        <v>0</v>
      </c>
      <c r="U28" s="1985">
        <f>ROUND((VLOOKUP(B28,distribucion!B18:FE240,159,0)),2)</f>
        <v>0</v>
      </c>
      <c r="V28" s="1985">
        <f>ROUND((VLOOKUP(B28,distribucion!B18:FE240,158,0)),2)</f>
        <v>0</v>
      </c>
      <c r="W28" s="1985">
        <f>ROUND((VLOOKUP(B28,distribucion!B18:FE240,154,0)),2)</f>
        <v>0</v>
      </c>
      <c r="X28" s="1985">
        <f>ROUND((VLOOKUP(B28,distribucion!B$9:FK$201,160,0)),2)</f>
        <v>50</v>
      </c>
      <c r="Y28" s="1179">
        <f t="shared" ref="Y28" si="24">SUM(Q28:X28)</f>
        <v>202.94</v>
      </c>
      <c r="Z28" s="1985">
        <f t="shared" ref="Z28" si="25">P28-Y28</f>
        <v>3797.06</v>
      </c>
      <c r="AA28" s="1985">
        <v>1923.53</v>
      </c>
      <c r="AB28" s="1180">
        <f t="shared" si="18"/>
        <v>1873.53</v>
      </c>
      <c r="AC28" s="1181"/>
      <c r="AD28" s="1181"/>
      <c r="AF28" s="1144"/>
    </row>
    <row r="29" spans="1:32" s="1209" customFormat="1" ht="21.95" customHeight="1">
      <c r="A29" s="1140">
        <f t="shared" si="19"/>
        <v>11</v>
      </c>
      <c r="B29" s="1216" t="str">
        <f>+distribucion!B41</f>
        <v>Lopez Teletor Josue Leonel</v>
      </c>
      <c r="C29" s="1173" t="str">
        <f>VLOOKUP(B29,distribucion!B$9:FK$200,2,0)</f>
        <v>Asistente de Auditoria Interna</v>
      </c>
      <c r="D29" s="1174">
        <f t="shared" si="12"/>
        <v>3750</v>
      </c>
      <c r="E29" s="1175">
        <f>VLOOKUP(B29,distribucion!B$9:FK$201,7,0)</f>
        <v>30</v>
      </c>
      <c r="F29" s="1176">
        <f>VLOOKUP(B29,distribucion!$B$9:$DQ$288,14,0)</f>
        <v>0</v>
      </c>
      <c r="G29" s="1177">
        <f>ROUND((VLOOKUP(B29,distribucion!B$1:FK$201,103,0)),2)</f>
        <v>3750</v>
      </c>
      <c r="H29" s="1177">
        <f>ROUND((VLOOKUP(B29,distribucion!B$9:FJ$201,104,0)),2)</f>
        <v>250</v>
      </c>
      <c r="I29" s="1177">
        <f t="shared" si="13"/>
        <v>4000</v>
      </c>
      <c r="J29" s="1177">
        <f>VLOOKUP(B29,distribucion!B$9:FK$200,105,0)</f>
        <v>0</v>
      </c>
      <c r="K29" s="1177">
        <f>ROUND((VLOOKUP(B29,distribucion!B$9:FK$201,106,0)),2)</f>
        <v>0</v>
      </c>
      <c r="L29" s="1177">
        <f>VLOOKUP(B29,distribucion!B$9:FK$201,107,0)</f>
        <v>0</v>
      </c>
      <c r="M29" s="1177">
        <f>ROUND((VLOOKUP(B29,distribucion!B$9:FK$201,108,0)),2)</f>
        <v>0</v>
      </c>
      <c r="N29" s="1177">
        <v>0</v>
      </c>
      <c r="O29" s="1178">
        <f>ROUND((VLOOKUP(B29,distribucion!B$9:FK$201,36,0)),2)</f>
        <v>0</v>
      </c>
      <c r="P29" s="1177">
        <f t="shared" si="14"/>
        <v>4000</v>
      </c>
      <c r="Q29" s="1177">
        <f t="shared" si="15"/>
        <v>181.13</v>
      </c>
      <c r="R29" s="1177">
        <f>ROUND((VLOOKUP(B29,distribucion!B$9:FK$201,151,0)),2)</f>
        <v>0</v>
      </c>
      <c r="S29" s="1177">
        <f>ROUND((VLOOKUP(B29,distribucion!B$9:FK$201,152,0)),2)</f>
        <v>0</v>
      </c>
      <c r="T29" s="1177">
        <f>ROUND((VLOOKUP(B29,distribucion!B$9:FK$201,153,0)),2)</f>
        <v>0</v>
      </c>
      <c r="U29" s="1177">
        <f>ROUND((VLOOKUP(B29,distribucion!B19:FE240,159,0)),2)</f>
        <v>0</v>
      </c>
      <c r="V29" s="1177">
        <f>ROUND((VLOOKUP(B29,distribucion!B19:FE240,158,0)),2)</f>
        <v>0</v>
      </c>
      <c r="W29" s="1177">
        <f>ROUND((VLOOKUP(B29,distribucion!B19:FE240,154,0)),2)</f>
        <v>0</v>
      </c>
      <c r="X29" s="1177">
        <f>ROUND((VLOOKUP(B29,distribucion!B$9:FK$201,160,0)),2)</f>
        <v>50</v>
      </c>
      <c r="Y29" s="1179">
        <f t="shared" si="16"/>
        <v>231.13</v>
      </c>
      <c r="Z29" s="1177">
        <f t="shared" si="17"/>
        <v>3768.87</v>
      </c>
      <c r="AA29" s="1985">
        <v>1909.44</v>
      </c>
      <c r="AB29" s="1180">
        <f t="shared" si="18"/>
        <v>1859.4299999999998</v>
      </c>
      <c r="AC29" s="1181">
        <f>VLOOKUP(B29,'[1]Nomina Unhesa'!$B$9:$AB$167,26,FALSE)</f>
        <v>1909.44</v>
      </c>
      <c r="AD29" s="1181">
        <f t="shared" si="6"/>
        <v>0</v>
      </c>
      <c r="AF29" s="1144"/>
    </row>
    <row r="30" spans="1:32" s="1209" customFormat="1" ht="21.95" customHeight="1">
      <c r="A30" s="1140">
        <f t="shared" si="19"/>
        <v>12</v>
      </c>
      <c r="B30" s="1216" t="s">
        <v>558</v>
      </c>
      <c r="C30" s="1173" t="str">
        <f>VLOOKUP(B30,distribucion!B$9:FK$200,2,0)</f>
        <v>Auxiliar Contable</v>
      </c>
      <c r="D30" s="1174">
        <f t="shared" si="12"/>
        <v>3166.38</v>
      </c>
      <c r="E30" s="1175">
        <f>VLOOKUP(B30,distribucion!B$9:FK$201,7,0)</f>
        <v>30</v>
      </c>
      <c r="F30" s="1176">
        <f>VLOOKUP(B30,distribucion!$B$9:$DQ$288,14,0)</f>
        <v>0</v>
      </c>
      <c r="G30" s="1177">
        <f>ROUND((VLOOKUP(B30,distribucion!B$1:FK$201,103,0)),2)</f>
        <v>3166.38</v>
      </c>
      <c r="H30" s="1177">
        <f>ROUND((VLOOKUP(B30,distribucion!B$9:FJ$201,104,0)),2)</f>
        <v>740.76</v>
      </c>
      <c r="I30" s="1177">
        <f t="shared" si="13"/>
        <v>3907.1400000000003</v>
      </c>
      <c r="J30" s="1177">
        <f>VLOOKUP(B30,distribucion!B$9:FK$200,105,0)</f>
        <v>0</v>
      </c>
      <c r="K30" s="1177">
        <f>ROUND((VLOOKUP(B30,distribucion!B$9:FK$201,106,0)),2)</f>
        <v>0</v>
      </c>
      <c r="L30" s="1177">
        <f>VLOOKUP(B30,distribucion!B$9:FK$201,107,0)</f>
        <v>0</v>
      </c>
      <c r="M30" s="1177">
        <f>ROUND((VLOOKUP(B30,distribucion!B$9:FK$201,108,0)),2)</f>
        <v>0</v>
      </c>
      <c r="N30" s="1177">
        <v>0</v>
      </c>
      <c r="O30" s="1178">
        <f>ROUND((VLOOKUP(B30,distribucion!B$9:FK$201,36,0)),2)</f>
        <v>0</v>
      </c>
      <c r="P30" s="1177">
        <f t="shared" si="14"/>
        <v>3907.1400000000003</v>
      </c>
      <c r="Q30" s="1177">
        <f t="shared" si="15"/>
        <v>152.94</v>
      </c>
      <c r="R30" s="1177">
        <f>ROUND((VLOOKUP(B30,distribucion!B$9:FK$201,151,0)),2)</f>
        <v>0</v>
      </c>
      <c r="S30" s="1177">
        <f>ROUND((VLOOKUP(B30,distribucion!B$9:FK$201,152,0)),2)</f>
        <v>0</v>
      </c>
      <c r="T30" s="1177">
        <f>ROUND((VLOOKUP(B30,distribucion!B$9:FK$201,153,0)),2)</f>
        <v>0</v>
      </c>
      <c r="U30" s="1177">
        <f>ROUND((VLOOKUP(B30,distribucion!B17:FE240,159,0)),2)</f>
        <v>0</v>
      </c>
      <c r="V30" s="1177">
        <f>ROUND((VLOOKUP(B30,distribucion!B17:FE240,158,0)),2)</f>
        <v>0</v>
      </c>
      <c r="W30" s="1177">
        <f>ROUND((VLOOKUP(B30,distribucion!B17:FE240,154,0)),2)</f>
        <v>438</v>
      </c>
      <c r="X30" s="1177">
        <f>ROUND((VLOOKUP(B30,distribucion!B$9:FK$201,160,0)),2)</f>
        <v>125</v>
      </c>
      <c r="Y30" s="1179">
        <f t="shared" si="16"/>
        <v>715.94</v>
      </c>
      <c r="Z30" s="1177">
        <f t="shared" si="17"/>
        <v>3191.2000000000003</v>
      </c>
      <c r="AA30" s="1985">
        <v>1705.1000000000001</v>
      </c>
      <c r="AB30" s="1180">
        <f t="shared" si="18"/>
        <v>1486.1000000000001</v>
      </c>
      <c r="AC30" s="1181">
        <f>VLOOKUP(B30,'[1]Nomina Unhesa'!$B$9:$AB$167,26,FALSE)</f>
        <v>1470.53</v>
      </c>
      <c r="AD30" s="1181">
        <f t="shared" si="6"/>
        <v>234.57000000000016</v>
      </c>
      <c r="AF30" s="1144"/>
    </row>
    <row r="31" spans="1:32" ht="27.75" customHeight="1">
      <c r="A31" s="1140"/>
      <c r="B31" s="1216"/>
      <c r="C31" s="1207" t="s">
        <v>204</v>
      </c>
      <c r="D31" s="1200" t="s">
        <v>204</v>
      </c>
      <c r="E31" s="1201"/>
      <c r="F31" s="1176"/>
      <c r="G31" s="1202">
        <f t="shared" ref="G31:AB31" si="26">SUM(G25:G30)</f>
        <v>41369.299999999996</v>
      </c>
      <c r="H31" s="1202">
        <f t="shared" si="26"/>
        <v>9232.08</v>
      </c>
      <c r="I31" s="1202">
        <f t="shared" si="26"/>
        <v>50601.380000000005</v>
      </c>
      <c r="J31" s="1202">
        <f t="shared" si="26"/>
        <v>0</v>
      </c>
      <c r="K31" s="1202">
        <f t="shared" si="26"/>
        <v>0</v>
      </c>
      <c r="L31" s="1202">
        <f t="shared" si="26"/>
        <v>0</v>
      </c>
      <c r="M31" s="1202">
        <f t="shared" si="26"/>
        <v>0</v>
      </c>
      <c r="N31" s="1202">
        <f t="shared" si="26"/>
        <v>0</v>
      </c>
      <c r="O31" s="1202">
        <f t="shared" si="26"/>
        <v>0</v>
      </c>
      <c r="P31" s="1202">
        <f t="shared" si="26"/>
        <v>50601.380000000005</v>
      </c>
      <c r="Q31" s="1202">
        <f t="shared" si="26"/>
        <v>1998.15</v>
      </c>
      <c r="R31" s="1202">
        <f t="shared" si="26"/>
        <v>1259.1500000000001</v>
      </c>
      <c r="S31" s="1202">
        <f t="shared" si="26"/>
        <v>2022.85</v>
      </c>
      <c r="T31" s="1202">
        <f t="shared" si="26"/>
        <v>796</v>
      </c>
      <c r="U31" s="1202">
        <f t="shared" si="26"/>
        <v>0</v>
      </c>
      <c r="V31" s="1202">
        <f t="shared" si="26"/>
        <v>0</v>
      </c>
      <c r="W31" s="1202">
        <f t="shared" si="26"/>
        <v>823</v>
      </c>
      <c r="X31" s="1202">
        <f t="shared" si="26"/>
        <v>675</v>
      </c>
      <c r="Y31" s="1202">
        <f t="shared" si="26"/>
        <v>7574.15</v>
      </c>
      <c r="Z31" s="1202">
        <f t="shared" si="26"/>
        <v>43027.229999999996</v>
      </c>
      <c r="AA31" s="1202">
        <f t="shared" si="26"/>
        <v>21841.719999999998</v>
      </c>
      <c r="AB31" s="1202">
        <f t="shared" si="26"/>
        <v>21185.51</v>
      </c>
      <c r="AC31" s="1181">
        <f t="shared" si="9"/>
        <v>0</v>
      </c>
      <c r="AD31" s="1181">
        <f t="shared" si="6"/>
        <v>21841.719999999998</v>
      </c>
    </row>
    <row r="32" spans="1:32" s="1209" customFormat="1" ht="21.95" customHeight="1">
      <c r="A32" s="1140"/>
      <c r="B32" s="1167" t="s">
        <v>176</v>
      </c>
      <c r="C32" s="1207"/>
      <c r="D32" s="1200"/>
      <c r="E32" s="1201"/>
      <c r="F32" s="1176"/>
      <c r="G32" s="1217"/>
      <c r="H32" s="1217"/>
      <c r="I32" s="1217"/>
      <c r="J32" s="1217"/>
      <c r="K32" s="1217"/>
      <c r="L32" s="1217"/>
      <c r="M32" s="1217"/>
      <c r="N32" s="1217"/>
      <c r="O32" s="1217"/>
      <c r="P32" s="1217"/>
      <c r="Q32" s="1217"/>
      <c r="R32" s="1217"/>
      <c r="S32" s="1217"/>
      <c r="T32" s="1217"/>
      <c r="U32" s="1217"/>
      <c r="V32" s="1217"/>
      <c r="W32" s="1217"/>
      <c r="X32" s="1217"/>
      <c r="Y32" s="1218"/>
      <c r="Z32" s="1217"/>
      <c r="AA32" s="1177"/>
      <c r="AB32" s="1180"/>
      <c r="AC32" s="1181">
        <f t="shared" si="9"/>
        <v>0</v>
      </c>
      <c r="AD32" s="1181">
        <f t="shared" si="6"/>
        <v>0</v>
      </c>
      <c r="AF32" s="1144"/>
    </row>
    <row r="33" spans="1:39" s="1209" customFormat="1" ht="21.95" customHeight="1">
      <c r="A33" s="1140">
        <v>13</v>
      </c>
      <c r="B33" s="1216" t="s">
        <v>539</v>
      </c>
      <c r="C33" s="1173" t="str">
        <f>VLOOKUP(B33,distribucion!B$9:FK$200,2,0)</f>
        <v>Jefe de Recursos Humanos</v>
      </c>
      <c r="D33" s="1174">
        <f>G33+K33+M33+N33</f>
        <v>8000</v>
      </c>
      <c r="E33" s="1175">
        <f>VLOOKUP(B33,distribucion!B$9:FK$201,7,0)</f>
        <v>30</v>
      </c>
      <c r="F33" s="1176">
        <f>VLOOKUP(B33,distribucion!$B$9:$DQ$288,14,0)</f>
        <v>0</v>
      </c>
      <c r="G33" s="1177">
        <f>ROUND((VLOOKUP(B33,distribucion!B$1:FK$201,103,0)),2)</f>
        <v>8000</v>
      </c>
      <c r="H33" s="1177">
        <f>ROUND((VLOOKUP(B33,distribucion!B$9:FJ$201,104,0)),2)</f>
        <v>4000</v>
      </c>
      <c r="I33" s="1177">
        <f>G33+H33</f>
        <v>12000</v>
      </c>
      <c r="J33" s="1177">
        <f>VLOOKUP(B33,distribucion!B$9:FK$200,105,0)</f>
        <v>0</v>
      </c>
      <c r="K33" s="1177">
        <f>ROUND((VLOOKUP(B33,distribucion!B$9:FK$201,106,0)),2)</f>
        <v>0</v>
      </c>
      <c r="L33" s="1177">
        <f>VLOOKUP(B33,distribucion!B$9:FK$201,107,0)</f>
        <v>0</v>
      </c>
      <c r="M33" s="1177">
        <f>ROUND((VLOOKUP(B33,distribucion!B$9:FK$201,108,0)),2)</f>
        <v>0</v>
      </c>
      <c r="N33" s="1177">
        <v>0</v>
      </c>
      <c r="O33" s="1178">
        <f>ROUND((VLOOKUP(B33,distribucion!B$9:FK$201,36,0)),2)</f>
        <v>0</v>
      </c>
      <c r="P33" s="1177">
        <f>SUM(I33:O33)-J33-L33</f>
        <v>12000</v>
      </c>
      <c r="Q33" s="1177">
        <f>ROUND(((G33+K33+M33+N33+O33)*0.0483),2)</f>
        <v>386.4</v>
      </c>
      <c r="R33" s="1177">
        <f>ROUND((VLOOKUP(B33,distribucion!B$9:FK$201,151,0)),2)</f>
        <v>380.68</v>
      </c>
      <c r="S33" s="1177">
        <f>ROUND((VLOOKUP(B33,distribucion!B$9:FK$201,152,0)),2)</f>
        <v>0</v>
      </c>
      <c r="T33" s="1177">
        <f>ROUND((VLOOKUP(B33,distribucion!B$9:FK$201,153,0)),2)</f>
        <v>0</v>
      </c>
      <c r="U33" s="1177">
        <f>ROUND((VLOOKUP(B33,distribucion!$B$1:$FE$228,159,0)),2)</f>
        <v>0</v>
      </c>
      <c r="V33" s="1177">
        <f>ROUND((VLOOKUP(B33,distribucion!$B$1:$FE$228,158,0)),2)</f>
        <v>0</v>
      </c>
      <c r="W33" s="1177">
        <f>ROUND((VLOOKUP(B33,distribucion!$B$1:$FE$228,154,0)),2)</f>
        <v>478</v>
      </c>
      <c r="X33" s="1177">
        <f>ROUND((VLOOKUP(B33,distribucion!B$9:FK$201,160,0)),2)</f>
        <v>100</v>
      </c>
      <c r="Y33" s="1179">
        <f>SUM(Q33:X33)</f>
        <v>1345.08</v>
      </c>
      <c r="Z33" s="1177">
        <f>P33-Y33</f>
        <v>10654.92</v>
      </c>
      <c r="AA33" s="1985">
        <v>5466.35</v>
      </c>
      <c r="AB33" s="1180">
        <f t="shared" ref="AB33" si="27">+Z33-AA33</f>
        <v>5188.57</v>
      </c>
      <c r="AC33" s="1181">
        <f>VLOOKUP(B33,'[1]Nomina Unhesa'!$B$9:$AB$167,26,FALSE)</f>
        <v>5494.35</v>
      </c>
      <c r="AD33" s="1181">
        <f>+AA33-AC33</f>
        <v>-28</v>
      </c>
      <c r="AF33" s="1144"/>
    </row>
    <row r="34" spans="1:39" ht="27" customHeight="1">
      <c r="A34" s="1140"/>
      <c r="B34" s="1206"/>
      <c r="C34" s="1207"/>
      <c r="D34" s="1200"/>
      <c r="E34" s="1201"/>
      <c r="F34" s="1176"/>
      <c r="G34" s="1202">
        <f>SUM(G33)</f>
        <v>8000</v>
      </c>
      <c r="H34" s="1208">
        <f t="shared" ref="H34:Z34" si="28">SUM(H33)</f>
        <v>4000</v>
      </c>
      <c r="I34" s="1208">
        <f t="shared" si="28"/>
        <v>12000</v>
      </c>
      <c r="J34" s="1208">
        <f t="shared" si="28"/>
        <v>0</v>
      </c>
      <c r="K34" s="1208">
        <f t="shared" si="28"/>
        <v>0</v>
      </c>
      <c r="L34" s="1208">
        <f t="shared" si="28"/>
        <v>0</v>
      </c>
      <c r="M34" s="1208">
        <f t="shared" si="28"/>
        <v>0</v>
      </c>
      <c r="N34" s="1208">
        <f t="shared" si="28"/>
        <v>0</v>
      </c>
      <c r="O34" s="1208">
        <f t="shared" si="28"/>
        <v>0</v>
      </c>
      <c r="P34" s="1208">
        <f t="shared" si="28"/>
        <v>12000</v>
      </c>
      <c r="Q34" s="1208">
        <f t="shared" si="28"/>
        <v>386.4</v>
      </c>
      <c r="R34" s="1208">
        <f t="shared" si="28"/>
        <v>380.68</v>
      </c>
      <c r="S34" s="1208">
        <f t="shared" si="28"/>
        <v>0</v>
      </c>
      <c r="T34" s="1208">
        <f t="shared" si="28"/>
        <v>0</v>
      </c>
      <c r="U34" s="1208">
        <f t="shared" si="28"/>
        <v>0</v>
      </c>
      <c r="V34" s="1208">
        <f t="shared" si="28"/>
        <v>0</v>
      </c>
      <c r="W34" s="1208">
        <f t="shared" si="28"/>
        <v>478</v>
      </c>
      <c r="X34" s="1208">
        <f t="shared" si="28"/>
        <v>100</v>
      </c>
      <c r="Y34" s="1220">
        <f t="shared" si="28"/>
        <v>1345.08</v>
      </c>
      <c r="Z34" s="1202">
        <f t="shared" si="28"/>
        <v>10654.92</v>
      </c>
      <c r="AA34" s="1202">
        <f>SUM(AA33)</f>
        <v>5466.35</v>
      </c>
      <c r="AB34" s="1202">
        <f>SUM(AB33)</f>
        <v>5188.57</v>
      </c>
      <c r="AC34" s="1181">
        <f t="shared" si="9"/>
        <v>0</v>
      </c>
      <c r="AD34" s="1181"/>
    </row>
    <row r="35" spans="1:39" ht="21.95" customHeight="1">
      <c r="A35" s="1140"/>
      <c r="B35" s="1206"/>
      <c r="C35" s="1207"/>
      <c r="D35" s="1200"/>
      <c r="E35" s="1201"/>
      <c r="F35" s="1176"/>
      <c r="G35" s="1217"/>
      <c r="H35" s="1217"/>
      <c r="I35" s="1217"/>
      <c r="J35" s="1217"/>
      <c r="K35" s="1217"/>
      <c r="L35" s="1217"/>
      <c r="M35" s="1217"/>
      <c r="N35" s="1217"/>
      <c r="O35" s="1217"/>
      <c r="P35" s="1217"/>
      <c r="Q35" s="1217"/>
      <c r="R35" s="1217"/>
      <c r="S35" s="1217"/>
      <c r="T35" s="1217"/>
      <c r="U35" s="1217"/>
      <c r="V35" s="1217"/>
      <c r="W35" s="1217"/>
      <c r="X35" s="1217"/>
      <c r="Y35" s="1218"/>
      <c r="Z35" s="1217"/>
      <c r="AA35" s="1177"/>
      <c r="AB35" s="1219"/>
      <c r="AC35" s="1181">
        <f t="shared" si="9"/>
        <v>0</v>
      </c>
      <c r="AD35" s="1181">
        <f t="shared" si="6"/>
        <v>0</v>
      </c>
    </row>
    <row r="36" spans="1:39" ht="21.95" customHeight="1">
      <c r="A36" s="1140"/>
      <c r="B36" s="1167" t="s">
        <v>231</v>
      </c>
      <c r="C36" s="1203"/>
      <c r="D36" s="1204"/>
      <c r="E36" s="1175"/>
      <c r="F36" s="1176"/>
      <c r="G36" s="1221"/>
      <c r="H36" s="1221"/>
      <c r="I36" s="1221"/>
      <c r="J36" s="1211"/>
      <c r="K36" s="1221"/>
      <c r="L36" s="1221"/>
      <c r="M36" s="1221"/>
      <c r="N36" s="1221"/>
      <c r="O36" s="1221"/>
      <c r="P36" s="1221"/>
      <c r="Q36" s="1221"/>
      <c r="R36" s="1221"/>
      <c r="S36" s="1221"/>
      <c r="T36" s="1221"/>
      <c r="U36" s="1221"/>
      <c r="V36" s="1221"/>
      <c r="W36" s="1221"/>
      <c r="X36" s="1221"/>
      <c r="Y36" s="1222"/>
      <c r="Z36" s="1221"/>
      <c r="AA36" s="1177"/>
      <c r="AB36" s="1205"/>
      <c r="AC36" s="1181">
        <f t="shared" si="9"/>
        <v>0</v>
      </c>
      <c r="AD36" s="1181">
        <f t="shared" si="6"/>
        <v>0</v>
      </c>
    </row>
    <row r="37" spans="1:39" ht="21.95" customHeight="1">
      <c r="A37" s="1140">
        <v>14</v>
      </c>
      <c r="B37" s="1172" t="s">
        <v>546</v>
      </c>
      <c r="C37" s="1173" t="str">
        <f>VLOOKUP(B37,distribucion!B$9:FK$200,2,0)</f>
        <v>Gerente Compras expo e impo</v>
      </c>
      <c r="D37" s="1174">
        <f>G37+K37+M37+N37</f>
        <v>12000</v>
      </c>
      <c r="E37" s="1175">
        <f>VLOOKUP(B37,distribucion!B$9:FK$201,7,0)</f>
        <v>30</v>
      </c>
      <c r="F37" s="1176" t="str">
        <f>VLOOKUP(B37,distribucion!$B$9:$DQ$288,14,0)</f>
        <v xml:space="preserve"> </v>
      </c>
      <c r="G37" s="1177">
        <f>ROUND((VLOOKUP(B37,distribucion!B$1:FK$201,103,0)),2)</f>
        <v>12000</v>
      </c>
      <c r="H37" s="1177">
        <f>ROUND((VLOOKUP(B37,distribucion!B$9:FJ$201,104,0)),2)</f>
        <v>4000</v>
      </c>
      <c r="I37" s="1177">
        <f>G37+H37</f>
        <v>16000</v>
      </c>
      <c r="J37" s="1177">
        <f>VLOOKUP(B37,distribucion!B$9:FK$200,105,0)</f>
        <v>0</v>
      </c>
      <c r="K37" s="1177">
        <f>ROUND((VLOOKUP(B37,distribucion!B$9:FK$201,106,0)),2)</f>
        <v>0</v>
      </c>
      <c r="L37" s="1177">
        <f>VLOOKUP(B37,distribucion!B$9:FK$201,107,0)</f>
        <v>0</v>
      </c>
      <c r="M37" s="1177">
        <f>ROUND((VLOOKUP(B37,distribucion!B$9:FK$201,108,0)),2)</f>
        <v>0</v>
      </c>
      <c r="N37" s="1177">
        <v>0</v>
      </c>
      <c r="O37" s="1178">
        <f>ROUND((VLOOKUP(B37,distribucion!B$9:FK$201,36,0)),2)</f>
        <v>0</v>
      </c>
      <c r="P37" s="1177">
        <f>SUM(I37:O37)-J37-L37</f>
        <v>16000</v>
      </c>
      <c r="Q37" s="1177">
        <f>ROUND(((G37+K37+M37+N37+O37)*0.0483),2)</f>
        <v>579.6</v>
      </c>
      <c r="R37" s="1177">
        <f>ROUND((VLOOKUP(B37,distribucion!B$9:FK$201,151,0)),2)</f>
        <v>571.02</v>
      </c>
      <c r="S37" s="1177">
        <f>ROUND((VLOOKUP(B37,distribucion!B$9:FK$201,152,0)),2)</f>
        <v>0</v>
      </c>
      <c r="T37" s="1177">
        <f>ROUND((VLOOKUP(B37,distribucion!B$9:FK$201,153,0)),2)</f>
        <v>198</v>
      </c>
      <c r="U37" s="1177">
        <f>ROUND((VLOOKUP(B37,distribucion!$B$1:$FE$228,159,0)),2)</f>
        <v>0</v>
      </c>
      <c r="V37" s="1177">
        <f>ROUND((VLOOKUP(B37,distribucion!$B$1:$FE$228,158,0)),2)</f>
        <v>0</v>
      </c>
      <c r="W37" s="1177">
        <f>ROUND((VLOOKUP(B37,distribucion!$B$1:$FE$228,154,0)),2)</f>
        <v>0</v>
      </c>
      <c r="X37" s="1177">
        <f>ROUND((VLOOKUP(B37,distribucion!B$9:FK$201,160,0)),2)</f>
        <v>150</v>
      </c>
      <c r="Y37" s="1179">
        <f>SUM(Q37:X37)</f>
        <v>1498.62</v>
      </c>
      <c r="Z37" s="1177">
        <f>P37-Y37</f>
        <v>14501.380000000001</v>
      </c>
      <c r="AA37" s="1985">
        <v>7404.61</v>
      </c>
      <c r="AB37" s="1180">
        <f t="shared" ref="AB37:AB38" si="29">+Z37-AA37</f>
        <v>7096.7700000000013</v>
      </c>
      <c r="AC37" s="1181">
        <f>VLOOKUP(B37,'[1]Nomina Unhesa'!$B$9:$AB$167,26,FALSE)</f>
        <v>7404.61</v>
      </c>
      <c r="AD37" s="1181">
        <f t="shared" si="6"/>
        <v>0</v>
      </c>
    </row>
    <row r="38" spans="1:39" s="1189" customFormat="1" ht="21.95" customHeight="1">
      <c r="A38" s="1140">
        <v>15</v>
      </c>
      <c r="B38" s="1223" t="s">
        <v>638</v>
      </c>
      <c r="C38" s="1183" t="str">
        <f>VLOOKUP(B38,distribucion!B$9:FK$200,2,0)</f>
        <v>Encargado de Proveeduria</v>
      </c>
      <c r="D38" s="1184">
        <f>G38+K38+M38+N38</f>
        <v>3450</v>
      </c>
      <c r="E38" s="1185">
        <f>VLOOKUP(B38,distribucion!B$9:FK$201,7,0)</f>
        <v>30</v>
      </c>
      <c r="F38" s="1186" t="str">
        <f>VLOOKUP(B38,distribucion!$B$9:$DQ$288,14,0)</f>
        <v xml:space="preserve"> </v>
      </c>
      <c r="G38" s="1187">
        <f>ROUND((VLOOKUP(B38,distribucion!B$1:FK$201,103,0)),2)</f>
        <v>3450</v>
      </c>
      <c r="H38" s="1187">
        <f>ROUND((VLOOKUP(B38,distribucion!B$9:FJ$201,104,0)),2)</f>
        <v>750</v>
      </c>
      <c r="I38" s="1187">
        <f>G38+H38</f>
        <v>4200</v>
      </c>
      <c r="J38" s="1187">
        <f>VLOOKUP(B38,distribucion!B$9:FK$200,105,0)</f>
        <v>0</v>
      </c>
      <c r="K38" s="1187">
        <f>ROUND((VLOOKUP(B38,distribucion!B$9:FK$201,106,0)),2)</f>
        <v>0</v>
      </c>
      <c r="L38" s="1187">
        <f>VLOOKUP(B38,distribucion!B$9:FK$201,107,0)</f>
        <v>0</v>
      </c>
      <c r="M38" s="1187">
        <f>ROUND((VLOOKUP(B38,distribucion!B$9:FK$201,108,0)),2)</f>
        <v>0</v>
      </c>
      <c r="N38" s="1187">
        <v>0</v>
      </c>
      <c r="O38" s="1187">
        <f>ROUND((VLOOKUP(B38,distribucion!B$9:FK$201,36,0)),2)</f>
        <v>0</v>
      </c>
      <c r="P38" s="1187">
        <f>SUM(I38:O38)-J38-L38</f>
        <v>4200</v>
      </c>
      <c r="Q38" s="1187">
        <f>ROUND(((G38+K38+M38+N38+O38)*0.0483),2)</f>
        <v>166.64</v>
      </c>
      <c r="R38" s="1187">
        <f>ROUND((VLOOKUP(B38,distribucion!B$9:FK$201,151,0)),2)</f>
        <v>0</v>
      </c>
      <c r="S38" s="1187">
        <f>ROUND((VLOOKUP(B38,distribucion!B$9:FK$201,152,0)),2)</f>
        <v>747.15</v>
      </c>
      <c r="T38" s="1187">
        <f>ROUND((VLOOKUP(B38,distribucion!B$9:FK$201,153,0)),2)</f>
        <v>0</v>
      </c>
      <c r="U38" s="1187">
        <f>ROUND((VLOOKUP(B38,distribucion!$B$1:$FE$228,159,0)),2)</f>
        <v>0</v>
      </c>
      <c r="V38" s="1187">
        <f>ROUND((VLOOKUP(B38,distribucion!$B$1:$FE$228,158,0)),2)</f>
        <v>0</v>
      </c>
      <c r="W38" s="1187">
        <f>ROUND((VLOOKUP(B38,distribucion!$B$1:$FE$228,154,0)),2)</f>
        <v>451</v>
      </c>
      <c r="X38" s="1187">
        <f>ROUND((VLOOKUP(B38,distribucion!B$9:FK$201,160,0)),2)</f>
        <v>50</v>
      </c>
      <c r="Y38" s="1188">
        <f>SUM(Q38:X38)</f>
        <v>1414.79</v>
      </c>
      <c r="Z38" s="1187">
        <f>P38-Y38</f>
        <v>2785.21</v>
      </c>
      <c r="AA38" s="1985">
        <v>1562.1</v>
      </c>
      <c r="AB38" s="1180">
        <f t="shared" si="29"/>
        <v>1223.1100000000001</v>
      </c>
      <c r="AC38" s="1181">
        <f>VLOOKUP(B38,'[1]Nomina Unhesa'!$B$9:$AB$167,26,FALSE)</f>
        <v>1251.8499999999999</v>
      </c>
      <c r="AD38" s="1181">
        <f t="shared" si="6"/>
        <v>310.25</v>
      </c>
    </row>
    <row r="39" spans="1:39" ht="27" customHeight="1">
      <c r="A39" s="1140"/>
      <c r="B39" s="1198"/>
      <c r="C39" s="1199" t="s">
        <v>204</v>
      </c>
      <c r="D39" s="1200" t="s">
        <v>204</v>
      </c>
      <c r="E39" s="1201"/>
      <c r="F39" s="1176"/>
      <c r="G39" s="1202">
        <f t="shared" ref="G39:AB39" si="30">SUM(G37:G38)</f>
        <v>15450</v>
      </c>
      <c r="H39" s="1202">
        <f t="shared" si="30"/>
        <v>4750</v>
      </c>
      <c r="I39" s="1202">
        <f t="shared" si="30"/>
        <v>20200</v>
      </c>
      <c r="J39" s="1202">
        <f t="shared" si="30"/>
        <v>0</v>
      </c>
      <c r="K39" s="1202">
        <f t="shared" si="30"/>
        <v>0</v>
      </c>
      <c r="L39" s="1202">
        <f t="shared" si="30"/>
        <v>0</v>
      </c>
      <c r="M39" s="1202">
        <f t="shared" si="30"/>
        <v>0</v>
      </c>
      <c r="N39" s="1202">
        <f t="shared" si="30"/>
        <v>0</v>
      </c>
      <c r="O39" s="1202">
        <f t="shared" si="30"/>
        <v>0</v>
      </c>
      <c r="P39" s="1202">
        <f t="shared" si="30"/>
        <v>20200</v>
      </c>
      <c r="Q39" s="1202">
        <f t="shared" si="30"/>
        <v>746.24</v>
      </c>
      <c r="R39" s="1202">
        <f t="shared" si="30"/>
        <v>571.02</v>
      </c>
      <c r="S39" s="1202">
        <f t="shared" si="30"/>
        <v>747.15</v>
      </c>
      <c r="T39" s="1202">
        <f t="shared" si="30"/>
        <v>198</v>
      </c>
      <c r="U39" s="1202">
        <f t="shared" si="30"/>
        <v>0</v>
      </c>
      <c r="V39" s="1202">
        <f t="shared" si="30"/>
        <v>0</v>
      </c>
      <c r="W39" s="1202">
        <f t="shared" si="30"/>
        <v>451</v>
      </c>
      <c r="X39" s="1202">
        <f t="shared" si="30"/>
        <v>200</v>
      </c>
      <c r="Y39" s="1202">
        <f t="shared" si="30"/>
        <v>2913.41</v>
      </c>
      <c r="Z39" s="1202">
        <f t="shared" si="30"/>
        <v>17286.59</v>
      </c>
      <c r="AA39" s="1202">
        <f t="shared" si="30"/>
        <v>8966.7099999999991</v>
      </c>
      <c r="AB39" s="1202">
        <f t="shared" si="30"/>
        <v>8319.880000000001</v>
      </c>
      <c r="AC39" s="1181">
        <f t="shared" si="9"/>
        <v>0</v>
      </c>
      <c r="AD39" s="1181">
        <f t="shared" si="6"/>
        <v>8966.7099999999991</v>
      </c>
    </row>
    <row r="40" spans="1:39" ht="21.95" customHeight="1">
      <c r="A40" s="1140"/>
      <c r="B40" s="1198"/>
      <c r="C40" s="1199"/>
      <c r="D40" s="1200"/>
      <c r="E40" s="1201"/>
      <c r="F40" s="1176"/>
      <c r="G40" s="1210"/>
      <c r="H40" s="1210"/>
      <c r="I40" s="1210"/>
      <c r="J40" s="1210"/>
      <c r="K40" s="1210"/>
      <c r="L40" s="1210"/>
      <c r="M40" s="1210"/>
      <c r="N40" s="1210"/>
      <c r="O40" s="1210"/>
      <c r="P40" s="1210"/>
      <c r="Q40" s="1210"/>
      <c r="R40" s="1210"/>
      <c r="S40" s="1210"/>
      <c r="T40" s="1210"/>
      <c r="U40" s="1210"/>
      <c r="V40" s="1210"/>
      <c r="W40" s="1210"/>
      <c r="X40" s="1210"/>
      <c r="Y40" s="1210"/>
      <c r="Z40" s="1210"/>
      <c r="AA40" s="1210"/>
      <c r="AB40" s="1214"/>
      <c r="AC40" s="1181"/>
      <c r="AD40" s="1181">
        <f t="shared" si="6"/>
        <v>0</v>
      </c>
    </row>
    <row r="41" spans="1:39" s="1209" customFormat="1" ht="21.95" customHeight="1">
      <c r="A41" s="1140"/>
      <c r="B41" s="1167" t="s">
        <v>229</v>
      </c>
      <c r="C41" s="1231"/>
      <c r="D41" s="1199"/>
      <c r="E41" s="1232"/>
      <c r="F41" s="1176"/>
      <c r="G41" s="1177"/>
      <c r="H41" s="1179"/>
      <c r="I41" s="1179"/>
      <c r="J41" s="1179"/>
      <c r="K41" s="1233"/>
      <c r="L41" s="1233"/>
      <c r="M41" s="1233"/>
      <c r="N41" s="1233"/>
      <c r="O41" s="1233"/>
      <c r="P41" s="1234"/>
      <c r="Q41" s="1233"/>
      <c r="R41" s="1233"/>
      <c r="S41" s="1233"/>
      <c r="T41" s="1233"/>
      <c r="U41" s="1233"/>
      <c r="V41" s="1233"/>
      <c r="W41" s="1233"/>
      <c r="X41" s="1233"/>
      <c r="Y41" s="1179"/>
      <c r="Z41" s="1177"/>
      <c r="AA41" s="1177"/>
      <c r="AB41" s="1180"/>
      <c r="AC41" s="1235">
        <f>+AA41-AB41</f>
        <v>0</v>
      </c>
      <c r="AD41" s="1181">
        <f t="shared" si="6"/>
        <v>0</v>
      </c>
      <c r="AE41" s="1203"/>
      <c r="AF41" s="1144"/>
      <c r="AG41" s="1140"/>
      <c r="AH41" s="1140"/>
      <c r="AI41" s="1140"/>
      <c r="AJ41" s="1140"/>
      <c r="AK41" s="1142"/>
      <c r="AL41" s="1142"/>
      <c r="AM41" s="1142"/>
    </row>
    <row r="42" spans="1:39" s="1230" customFormat="1" ht="21.95" customHeight="1">
      <c r="A42" s="1190">
        <v>16</v>
      </c>
      <c r="B42" s="1236" t="str">
        <f>+distribucion!B54</f>
        <v>Gomez Aldana Jenifer Melissa</v>
      </c>
      <c r="C42" s="1224" t="str">
        <f>VLOOKUP(B42,distribucion!B$9:FK$200,2,0)</f>
        <v>Asistente de Aseguramiento de Calidad</v>
      </c>
      <c r="D42" s="1215">
        <f>G42+K42+M42</f>
        <v>4725</v>
      </c>
      <c r="E42" s="1226">
        <f>VLOOKUP(B42,distribucion!B$9:FK$201,7,0)</f>
        <v>30</v>
      </c>
      <c r="F42" s="1227">
        <f>VLOOKUP(B42,distribucion!$B$9:$DQ$288,14,0)</f>
        <v>0</v>
      </c>
      <c r="G42" s="1177">
        <f>ROUND((VLOOKUP(B42,distribucion!B$1:FK$201,103,0)),2)</f>
        <v>4500</v>
      </c>
      <c r="H42" s="1229">
        <f>ROUND((VLOOKUP(B42,distribucion!B$9:FJ$201,104,0)),2)</f>
        <v>500</v>
      </c>
      <c r="I42" s="1228">
        <f>G42+H42</f>
        <v>5000</v>
      </c>
      <c r="J42" s="1229">
        <f>VLOOKUP(B42,distribucion!B$9:FK$200,105,0)</f>
        <v>8</v>
      </c>
      <c r="K42" s="1224">
        <f>ROUND((VLOOKUP(B42,distribucion!B$9:FK$201,106,0)),2)</f>
        <v>225</v>
      </c>
      <c r="L42" s="1224">
        <f>VLOOKUP(B42,distribucion!B$9:FK$201,107,0)</f>
        <v>0</v>
      </c>
      <c r="M42" s="1224">
        <f>ROUND((VLOOKUP(B42,distribucion!B$9:FK$201,108,0)),2)</f>
        <v>0</v>
      </c>
      <c r="N42" s="1224">
        <v>0</v>
      </c>
      <c r="O42" s="1224">
        <f>ROUND((VLOOKUP(B42,distribucion!B$9:FK$201,36,0)),2)</f>
        <v>0</v>
      </c>
      <c r="P42" s="1225">
        <f>SUM(I42:O42)-J42-L42</f>
        <v>5225</v>
      </c>
      <c r="Q42" s="1224">
        <f>ROUND(((G42+K42+M42+N42+O42)*0.0483),2)</f>
        <v>228.22</v>
      </c>
      <c r="R42" s="1224">
        <f>ROUND((VLOOKUP(B42,distribucion!B$9:FK$201,151,0)),2)</f>
        <v>39.130000000000003</v>
      </c>
      <c r="S42" s="1224">
        <f>ROUND((VLOOKUP(B42,distribucion!B$9:FK$201,152,0)),2)</f>
        <v>0</v>
      </c>
      <c r="T42" s="1224">
        <f>ROUND((VLOOKUP(B42,distribucion!B$9:FK$201,153,0)),2)</f>
        <v>0</v>
      </c>
      <c r="U42" s="1224">
        <f>ROUND((VLOOKUP(B42,distribucion!$B$1:$FE$228,159,0)),2)</f>
        <v>0</v>
      </c>
      <c r="V42" s="1224">
        <f>ROUND((VLOOKUP(B42,distribucion!$B$1:$FE$228,158,0)),2)</f>
        <v>0</v>
      </c>
      <c r="W42" s="1224">
        <f>ROUND((VLOOKUP(B42,distribucion!$B$1:$FE$228,154,0)),2)</f>
        <v>191</v>
      </c>
      <c r="X42" s="1224">
        <f>ROUND((VLOOKUP(B42,distribucion!B$9:FK$201,160,0)),2)</f>
        <v>50</v>
      </c>
      <c r="Y42" s="1229">
        <f>SUM(Q42:X42)</f>
        <v>508.35</v>
      </c>
      <c r="Z42" s="1228">
        <f>P42-Y42</f>
        <v>4716.6499999999996</v>
      </c>
      <c r="AA42" s="1985">
        <v>2308.8200000000002</v>
      </c>
      <c r="AB42" s="1180">
        <f t="shared" ref="AB42:AB44" si="31">+Z42-AA42</f>
        <v>2407.8299999999995</v>
      </c>
      <c r="AC42" s="1181">
        <f>VLOOKUP(B42,'[1]Nomina Unhesa'!$B$9:$AB$167,26,FALSE)</f>
        <v>2292.3200000000002</v>
      </c>
      <c r="AD42" s="1181">
        <f t="shared" si="6"/>
        <v>16.5</v>
      </c>
      <c r="AE42" s="1215"/>
      <c r="AF42" s="1144"/>
      <c r="AG42" s="1215"/>
      <c r="AH42" s="1215"/>
      <c r="AI42" s="1215"/>
      <c r="AJ42" s="1215"/>
    </row>
    <row r="43" spans="1:39" s="1230" customFormat="1" ht="21.95" customHeight="1">
      <c r="A43" s="1190">
        <f>+A42+1</f>
        <v>17</v>
      </c>
      <c r="B43" s="1236" t="str">
        <f>+distribucion!B55</f>
        <v>Curruchiche Aguilar Triana Maria</v>
      </c>
      <c r="C43" s="1224" t="str">
        <f>VLOOKUP(B43,distribucion!B$9:FK$200,2,0)</f>
        <v>Auxiliar de Control De Calidad</v>
      </c>
      <c r="D43" s="1215">
        <f>G43+K43+M43</f>
        <v>3374.17</v>
      </c>
      <c r="E43" s="1226">
        <f>VLOOKUP(B43,distribucion!B$9:FK$201,7,0)</f>
        <v>30</v>
      </c>
      <c r="F43" s="1227">
        <f>VLOOKUP(B43,distribucion!$B$9:$DQ$288,14,0)</f>
        <v>0</v>
      </c>
      <c r="G43" s="1177">
        <f>ROUND((VLOOKUP(B43,distribucion!B$1:FK$201,103,0)),2)</f>
        <v>3166.38</v>
      </c>
      <c r="H43" s="1229">
        <f>ROUND((VLOOKUP(B43,distribucion!B$9:FJ$201,104,0)),2)</f>
        <v>833.62</v>
      </c>
      <c r="I43" s="1228">
        <f>G43+H43</f>
        <v>4000</v>
      </c>
      <c r="J43" s="1229">
        <f>VLOOKUP(B43,distribucion!B$9:FK$200,105,0)</f>
        <v>10.5</v>
      </c>
      <c r="K43" s="1224">
        <f>ROUND((VLOOKUP(B43,distribucion!B$9:FK$201,106,0)),2)</f>
        <v>207.79</v>
      </c>
      <c r="L43" s="1224">
        <f>VLOOKUP(B43,distribucion!B$9:FK$201,107,0)</f>
        <v>0</v>
      </c>
      <c r="M43" s="1224">
        <f>ROUND((VLOOKUP(B43,distribucion!B$9:FK$201,108,0)),2)</f>
        <v>0</v>
      </c>
      <c r="N43" s="1224">
        <v>0</v>
      </c>
      <c r="O43" s="1224">
        <f>ROUND((VLOOKUP(B43,distribucion!B$9:FK$201,36,0)),2)</f>
        <v>0</v>
      </c>
      <c r="P43" s="1225">
        <f>SUM(I43:O43)-J43-L43</f>
        <v>4207.79</v>
      </c>
      <c r="Q43" s="1224">
        <f>ROUND(((G43+K43+M43+N43+O43)*0.0483),2)</f>
        <v>162.97</v>
      </c>
      <c r="R43" s="1224">
        <f>ROUND((VLOOKUP(B43,distribucion!B$9:FK$201,151,0)),2)</f>
        <v>0</v>
      </c>
      <c r="S43" s="1224">
        <f>ROUND((VLOOKUP(B43,distribucion!B$9:FK$201,152,0)),2)</f>
        <v>0</v>
      </c>
      <c r="T43" s="1224">
        <f>ROUND((VLOOKUP(B43,distribucion!B$9:FK$201,153,0)),2)</f>
        <v>0</v>
      </c>
      <c r="U43" s="1224">
        <f>ROUND((VLOOKUP(B43,distribucion!$B$1:$FE$228,159,0)),2)</f>
        <v>0</v>
      </c>
      <c r="V43" s="1224">
        <f>ROUND((VLOOKUP(B43,distribucion!$B$1:$FE$228,158,0)),2)</f>
        <v>0</v>
      </c>
      <c r="W43" s="1224">
        <f>ROUND((VLOOKUP(B43,distribucion!$B$1:$FE$228,154,0)),2)</f>
        <v>71.5</v>
      </c>
      <c r="X43" s="1224">
        <f>ROUND((VLOOKUP(B43,distribucion!B$9:FK$201,160,0)),2)</f>
        <v>290</v>
      </c>
      <c r="Y43" s="1229">
        <f>SUM(Q43:X43)</f>
        <v>524.47</v>
      </c>
      <c r="Z43" s="1228">
        <f>P43-Y43</f>
        <v>3683.3199999999997</v>
      </c>
      <c r="AA43" s="1985">
        <v>1803.53</v>
      </c>
      <c r="AB43" s="1180">
        <f t="shared" si="31"/>
        <v>1879.7899999999997</v>
      </c>
      <c r="AC43" s="1181">
        <f>VLOOKUP(B43,'[1]Nomina Unhesa'!$B$9:$AB$167,26,FALSE)</f>
        <v>2263.6099999999997</v>
      </c>
      <c r="AD43" s="1181">
        <f t="shared" si="6"/>
        <v>-460.0799999999997</v>
      </c>
      <c r="AE43" s="1215"/>
      <c r="AF43" s="1144"/>
      <c r="AG43" s="1215"/>
      <c r="AH43" s="1215"/>
      <c r="AI43" s="1215"/>
      <c r="AJ43" s="1215"/>
    </row>
    <row r="44" spans="1:39" s="1230" customFormat="1" ht="21.95" customHeight="1">
      <c r="A44" s="1190">
        <f>+A43+1</f>
        <v>18</v>
      </c>
      <c r="B44" s="1236" t="str">
        <f>+distribucion!B56</f>
        <v>Hernandez Brenes Juan Pablo Jose</v>
      </c>
      <c r="C44" s="1224" t="str">
        <f>VLOOKUP(B44,distribucion!B$9:FK$200,2,0)</f>
        <v>Asistente de Control de Calidad</v>
      </c>
      <c r="D44" s="1215">
        <f>G44+K44+M44</f>
        <v>2050</v>
      </c>
      <c r="E44" s="1226">
        <f>VLOOKUP(B44,distribucion!B$9:FK$201,7,0)</f>
        <v>15</v>
      </c>
      <c r="F44" s="1227" t="str">
        <f>VLOOKUP(B44,distribucion!$B$9:$DQ$288,14,0)</f>
        <v>B.15.1.23</v>
      </c>
      <c r="G44" s="1177">
        <f>ROUND((VLOOKUP(B44,distribucion!B$1:FK$201,103,0)),2)</f>
        <v>2000</v>
      </c>
      <c r="H44" s="1229">
        <f>ROUND((VLOOKUP(B44,distribucion!B$9:FJ$201,104,0)),2)</f>
        <v>500</v>
      </c>
      <c r="I44" s="1228">
        <f>G44+H44</f>
        <v>2500</v>
      </c>
      <c r="J44" s="1229">
        <f>VLOOKUP(B44,distribucion!B$9:FK$200,105,0)</f>
        <v>2</v>
      </c>
      <c r="K44" s="1224">
        <f>ROUND((VLOOKUP(B44,distribucion!B$9:FK$201,106,0)),2)</f>
        <v>50</v>
      </c>
      <c r="L44" s="1224">
        <f>VLOOKUP(B44,distribucion!B$9:FK$201,107,0)</f>
        <v>0</v>
      </c>
      <c r="M44" s="1224">
        <f>ROUND((VLOOKUP(B44,distribucion!B$9:FK$201,108,0)),2)</f>
        <v>0</v>
      </c>
      <c r="N44" s="1224">
        <v>0</v>
      </c>
      <c r="O44" s="1224">
        <f>ROUND((VLOOKUP(B44,distribucion!B$9:FK$201,36,0)),2)</f>
        <v>0</v>
      </c>
      <c r="P44" s="1225">
        <f>SUM(I44:O44)-J44-L44</f>
        <v>2550</v>
      </c>
      <c r="Q44" s="1224">
        <f>ROUND(((G44+K44+M44+N44+O44)*0.0483),2)</f>
        <v>99.02</v>
      </c>
      <c r="R44" s="1224">
        <f>ROUND((VLOOKUP(B44,distribucion!B$9:FK$201,151,0)),2)</f>
        <v>0</v>
      </c>
      <c r="S44" s="1224">
        <f>ROUND((VLOOKUP(B44,distribucion!B$9:FK$201,152,0)),2)</f>
        <v>0</v>
      </c>
      <c r="T44" s="1224">
        <f>ROUND((VLOOKUP(B44,distribucion!B$9:FK$201,153,0)),2)</f>
        <v>0</v>
      </c>
      <c r="U44" s="1224">
        <f>ROUND((VLOOKUP(B44,distribucion!$B$1:$FE$228,159,0)),2)</f>
        <v>0</v>
      </c>
      <c r="V44" s="1224">
        <f>ROUND((VLOOKUP(B44,distribucion!$B$1:$FE$228,158,0)),2)</f>
        <v>0</v>
      </c>
      <c r="W44" s="1224">
        <f>ROUND((VLOOKUP(B44,distribucion!$B$1:$FE$228,154,0)),2)</f>
        <v>0</v>
      </c>
      <c r="X44" s="1224">
        <f>ROUND((VLOOKUP(B44,distribucion!B$9:FK$201,160,0)),2)</f>
        <v>0</v>
      </c>
      <c r="Y44" s="1229">
        <f>SUM(Q44:X44)</f>
        <v>99.02</v>
      </c>
      <c r="Z44" s="1228">
        <f>P44-Y44</f>
        <v>2450.98</v>
      </c>
      <c r="AA44" s="1985">
        <v>2450.98</v>
      </c>
      <c r="AB44" s="1180">
        <f t="shared" si="31"/>
        <v>0</v>
      </c>
      <c r="AC44" s="1181">
        <f>VLOOKUP(B44,'[1]Nomina Unhesa'!$B$9:$AB$167,26,FALSE)</f>
        <v>2823.86</v>
      </c>
      <c r="AD44" s="1181">
        <f t="shared" si="6"/>
        <v>-372.88000000000011</v>
      </c>
      <c r="AE44" s="1215"/>
      <c r="AF44" s="1144"/>
      <c r="AG44" s="1215"/>
      <c r="AH44" s="1215"/>
      <c r="AI44" s="1215"/>
      <c r="AJ44" s="1215"/>
    </row>
    <row r="45" spans="1:39" s="1196" customFormat="1" ht="27.75" customHeight="1">
      <c r="A45" s="1190"/>
      <c r="B45" s="1206"/>
      <c r="C45" s="1207"/>
      <c r="D45" s="1207"/>
      <c r="E45" s="1207"/>
      <c r="F45" s="1237"/>
      <c r="G45" s="1238">
        <f>+G42+G43+G44</f>
        <v>9666.380000000001</v>
      </c>
      <c r="H45" s="1238">
        <f t="shared" ref="H45:AB45" si="32">+H42+H43+H44</f>
        <v>1833.62</v>
      </c>
      <c r="I45" s="1238">
        <f t="shared" si="32"/>
        <v>11500</v>
      </c>
      <c r="J45" s="1238">
        <f t="shared" si="32"/>
        <v>20.5</v>
      </c>
      <c r="K45" s="1238">
        <f t="shared" si="32"/>
        <v>482.78999999999996</v>
      </c>
      <c r="L45" s="1238">
        <f t="shared" si="32"/>
        <v>0</v>
      </c>
      <c r="M45" s="1238">
        <f t="shared" si="32"/>
        <v>0</v>
      </c>
      <c r="N45" s="1238">
        <f t="shared" si="32"/>
        <v>0</v>
      </c>
      <c r="O45" s="1238">
        <f t="shared" si="32"/>
        <v>0</v>
      </c>
      <c r="P45" s="1238">
        <f t="shared" si="32"/>
        <v>11982.79</v>
      </c>
      <c r="Q45" s="1238">
        <f t="shared" si="32"/>
        <v>490.21</v>
      </c>
      <c r="R45" s="1238">
        <f t="shared" si="32"/>
        <v>39.130000000000003</v>
      </c>
      <c r="S45" s="1238">
        <f t="shared" si="32"/>
        <v>0</v>
      </c>
      <c r="T45" s="1238">
        <f t="shared" si="32"/>
        <v>0</v>
      </c>
      <c r="U45" s="1238">
        <f t="shared" si="32"/>
        <v>0</v>
      </c>
      <c r="V45" s="1238">
        <f t="shared" si="32"/>
        <v>0</v>
      </c>
      <c r="W45" s="1238">
        <f t="shared" si="32"/>
        <v>262.5</v>
      </c>
      <c r="X45" s="1238">
        <f t="shared" si="32"/>
        <v>340</v>
      </c>
      <c r="Y45" s="1238">
        <f t="shared" si="32"/>
        <v>1131.8400000000001</v>
      </c>
      <c r="Z45" s="1238">
        <f t="shared" si="32"/>
        <v>10850.949999999999</v>
      </c>
      <c r="AA45" s="1238">
        <f>+AA42+AA43+AA44</f>
        <v>6563.33</v>
      </c>
      <c r="AB45" s="1238">
        <f t="shared" si="32"/>
        <v>4287.619999999999</v>
      </c>
      <c r="AC45" s="1181">
        <f>+Z45-AA45-AB45</f>
        <v>0</v>
      </c>
      <c r="AD45" s="1181">
        <f>+AA45-AC45</f>
        <v>6563.33</v>
      </c>
      <c r="AE45" s="1207"/>
      <c r="AF45" s="1144"/>
      <c r="AG45" s="1207"/>
      <c r="AH45" s="1207"/>
      <c r="AI45" s="1207"/>
      <c r="AJ45" s="1207"/>
    </row>
    <row r="46" spans="1:39" ht="21.95" customHeight="1">
      <c r="A46" s="1140"/>
      <c r="B46" s="1167" t="s">
        <v>89</v>
      </c>
      <c r="C46" s="1199"/>
      <c r="D46" s="1200"/>
      <c r="E46" s="1201"/>
      <c r="F46" s="1176"/>
      <c r="G46" s="1217"/>
      <c r="H46" s="1217"/>
      <c r="I46" s="1217"/>
      <c r="J46" s="1217"/>
      <c r="K46" s="1217"/>
      <c r="L46" s="1217"/>
      <c r="M46" s="1217"/>
      <c r="N46" s="1217"/>
      <c r="O46" s="1217"/>
      <c r="P46" s="1217"/>
      <c r="Q46" s="1217"/>
      <c r="R46" s="1217"/>
      <c r="S46" s="1217"/>
      <c r="T46" s="1217"/>
      <c r="U46" s="1217"/>
      <c r="V46" s="1217"/>
      <c r="W46" s="1217"/>
      <c r="X46" s="1217"/>
      <c r="Y46" s="1218"/>
      <c r="Z46" s="1217"/>
      <c r="AA46" s="1177"/>
      <c r="AB46" s="1219"/>
      <c r="AC46" s="1181">
        <f>+Z46-AA46-AB46</f>
        <v>0</v>
      </c>
      <c r="AD46" s="1181">
        <f t="shared" si="6"/>
        <v>0</v>
      </c>
    </row>
    <row r="47" spans="1:39" ht="21.95" customHeight="1">
      <c r="A47" s="1140"/>
      <c r="B47" s="1158" t="s">
        <v>861</v>
      </c>
      <c r="C47" s="1199"/>
      <c r="D47" s="1200"/>
      <c r="E47" s="1201"/>
      <c r="F47" s="1176"/>
      <c r="G47" s="1217"/>
      <c r="H47" s="1217"/>
      <c r="I47" s="1217"/>
      <c r="J47" s="1217"/>
      <c r="K47" s="1217"/>
      <c r="L47" s="1217"/>
      <c r="M47" s="1217"/>
      <c r="N47" s="1217"/>
      <c r="O47" s="1217"/>
      <c r="P47" s="1217"/>
      <c r="Q47" s="1217"/>
      <c r="R47" s="1217"/>
      <c r="S47" s="1217"/>
      <c r="T47" s="1217"/>
      <c r="U47" s="1217"/>
      <c r="V47" s="1217"/>
      <c r="W47" s="1217"/>
      <c r="X47" s="1217"/>
      <c r="Y47" s="1218"/>
      <c r="Z47" s="1217"/>
      <c r="AA47" s="1177"/>
      <c r="AB47" s="1219"/>
      <c r="AC47" s="1181">
        <f>+Z47-AA47-AB47</f>
        <v>0</v>
      </c>
      <c r="AD47" s="1181">
        <f t="shared" si="6"/>
        <v>0</v>
      </c>
    </row>
    <row r="48" spans="1:39" ht="21.95" customHeight="1">
      <c r="A48" s="1140">
        <v>19</v>
      </c>
      <c r="B48" s="1236" t="str">
        <f>+distribucion!B84</f>
        <v>Rodas Morales Rony Alfonso</v>
      </c>
      <c r="C48" s="1224" t="str">
        <f>VLOOKUP(B48,distribucion!B$9:FK$200,2,0)</f>
        <v>Coordinador bodegas</v>
      </c>
      <c r="D48" s="1228">
        <f>G48+K48+M48</f>
        <v>6000</v>
      </c>
      <c r="E48" s="1226">
        <f>VLOOKUP(B48,distribucion!B$9:FK$201,7,0)</f>
        <v>30</v>
      </c>
      <c r="F48" s="1227">
        <f>VLOOKUP(B48,distribucion!$B$9:$DQ$288,14,0)</f>
        <v>0</v>
      </c>
      <c r="G48" s="1985">
        <f>ROUND((VLOOKUP(B48,distribucion!B$1:FK$242,103,0)),2)</f>
        <v>6000</v>
      </c>
      <c r="H48" s="1985">
        <f>ROUND((VLOOKUP(C48,distribucion!C$1:FL$242,103,0)),2)</f>
        <v>7709.09</v>
      </c>
      <c r="I48" s="1985">
        <f>G48+H48</f>
        <v>13709.09</v>
      </c>
      <c r="J48" s="1985">
        <f>VLOOKUP(B48,distribucion!B$9:FK$243,114,0)</f>
        <v>0</v>
      </c>
      <c r="K48" s="1985">
        <f>ROUND((VLOOKUP(B48,distribucion!B$9:FK$243,115,0)),2)</f>
        <v>0</v>
      </c>
      <c r="L48" s="1985">
        <f>VLOOKUP(B48,distribucion!B$9:FK$243,116,0)</f>
        <v>0</v>
      </c>
      <c r="M48" s="1985">
        <f>ROUND((VLOOKUP(B48,distribucion!B$9:FK$243,117,0)),2)</f>
        <v>0</v>
      </c>
      <c r="N48" s="1985">
        <v>0</v>
      </c>
      <c r="O48" s="1178">
        <f>ROUND((VLOOKUP(B48,distribucion!B$9:FK$204,36,0)),2)</f>
        <v>0</v>
      </c>
      <c r="P48" s="1985">
        <f>SUM(I48:O48)-J48-L48</f>
        <v>13709.09</v>
      </c>
      <c r="Q48" s="1985">
        <f>ROUND(((G48+K48+M48+N48+O48)*0.0483),2)</f>
        <v>289.8</v>
      </c>
      <c r="R48" s="1985">
        <f>ROUND((VLOOKUP(B48,distribucion!B$9:FK$243,151,0)),2)</f>
        <v>335.51</v>
      </c>
      <c r="S48" s="1985">
        <f>ROUND((VLOOKUP(B48,distribucion!B$9:FK$243,152,0)),2)</f>
        <v>0</v>
      </c>
      <c r="T48" s="1985">
        <f>ROUND((VLOOKUP(B48,distribucion!B$9:FK$243,153,0)),2)</f>
        <v>0</v>
      </c>
      <c r="U48" s="1985">
        <f>ROUND((VLOOKUP(B48,distribucion!$B$1:$FE$228,159,0)),2)</f>
        <v>0</v>
      </c>
      <c r="V48" s="1985">
        <f>ROUND((VLOOKUP(B48,distribucion!$B$1:$FE$228,158,0)),2)</f>
        <v>0</v>
      </c>
      <c r="W48" s="1985">
        <f>ROUND((VLOOKUP(B48,distribucion!$B$1:$FE$228,154,0)),2)</f>
        <v>283.75</v>
      </c>
      <c r="X48" s="1985">
        <f>ROUND((VLOOKUP(B48,distribucion!$B$9:$FK$243,160,0)),2)</f>
        <v>1010</v>
      </c>
      <c r="Y48" s="1179">
        <f>SUM(Q48:X48)</f>
        <v>1919.06</v>
      </c>
      <c r="Z48" s="1985">
        <f>P48-Y48</f>
        <v>11790.03</v>
      </c>
      <c r="AA48" s="1985">
        <v>9027.69</v>
      </c>
      <c r="AB48" s="1180">
        <f t="shared" ref="AB48:AB51" si="33">+Z48-AA48</f>
        <v>2762.34</v>
      </c>
      <c r="AC48" s="1181"/>
      <c r="AD48" s="1181"/>
    </row>
    <row r="49" spans="1:36" ht="21.95" customHeight="1">
      <c r="A49" s="1140">
        <v>20</v>
      </c>
      <c r="B49" s="1236" t="str">
        <f>+distribucion!B86</f>
        <v>Osoy Gonzalez Luis Antonio</v>
      </c>
      <c r="C49" s="1224" t="str">
        <f>VLOOKUP(B49,distribucion!B$9:FK$200,2,0)</f>
        <v>Supervisor</v>
      </c>
      <c r="D49" s="1228">
        <f>G49+K49+M49</f>
        <v>3751.88</v>
      </c>
      <c r="E49" s="1226">
        <f>VLOOKUP(B49,distribucion!B$9:FK$201,7,0)</f>
        <v>30</v>
      </c>
      <c r="F49" s="1227">
        <f>VLOOKUP(B49,distribucion!$B$9:$DQ$288,14,0)</f>
        <v>0</v>
      </c>
      <c r="G49" s="1177">
        <f>ROUND((VLOOKUP(B49,distribucion!B$1:FK$243,112,0)),2)</f>
        <v>3450</v>
      </c>
      <c r="H49" s="1177">
        <f>ROUND((VLOOKUP(B49,distribucion!B$9:FJ$243,113,0)),2)</f>
        <v>4702.1899999999996</v>
      </c>
      <c r="I49" s="1177">
        <f>G49+H49</f>
        <v>8152.19</v>
      </c>
      <c r="J49" s="1177">
        <f>VLOOKUP(B49,distribucion!B$9:FK$243,114,0)</f>
        <v>14</v>
      </c>
      <c r="K49" s="1177">
        <f>ROUND((VLOOKUP(B49,distribucion!B$9:FK$243,115,0)),2)</f>
        <v>301.88</v>
      </c>
      <c r="L49" s="1177">
        <f>VLOOKUP(B49,distribucion!B$9:FK$243,116,0)</f>
        <v>0</v>
      </c>
      <c r="M49" s="1177">
        <f>ROUND((VLOOKUP(B49,distribucion!B$9:FK$243,117,0)),2)</f>
        <v>0</v>
      </c>
      <c r="N49" s="1177">
        <v>0</v>
      </c>
      <c r="O49" s="1178">
        <f>ROUND((VLOOKUP(B49,distribucion!B$9:FK$204,36,0)),2)</f>
        <v>0</v>
      </c>
      <c r="P49" s="1177">
        <f>SUM(I49:O49)-J49-L49</f>
        <v>8454.07</v>
      </c>
      <c r="Q49" s="1177">
        <f>ROUND(((G49+K49+M49+N49+O49)*0.0483),2)</f>
        <v>181.22</v>
      </c>
      <c r="R49" s="1177">
        <f>ROUND((VLOOKUP(B49,distribucion!B$9:FK$243,151,0)),2)</f>
        <v>139.91999999999999</v>
      </c>
      <c r="S49" s="1177">
        <f>ROUND((VLOOKUP(B49,distribucion!B$9:FK$243,152,0)),2)</f>
        <v>0</v>
      </c>
      <c r="T49" s="1177">
        <f>ROUND((VLOOKUP(B49,distribucion!B$9:FK$243,153,0)),2)</f>
        <v>0</v>
      </c>
      <c r="U49" s="1177">
        <f>ROUND((VLOOKUP(B49,distribucion!$B$1:$FE$228,159,0)),2)</f>
        <v>0</v>
      </c>
      <c r="V49" s="1177">
        <f>ROUND((VLOOKUP(B49,distribucion!$B$1:$FE$228,158,0)),2)</f>
        <v>0</v>
      </c>
      <c r="W49" s="1177">
        <f>ROUND((VLOOKUP(B49,distribucion!$B$1:$FE$228,154,0)),2)</f>
        <v>590</v>
      </c>
      <c r="X49" s="1177">
        <f>ROUND((VLOOKUP(B49,distribucion!$B$9:$FK$243,160,0)),2)</f>
        <v>463.06</v>
      </c>
      <c r="Y49" s="1179">
        <f>SUM(Q49:X49)</f>
        <v>1374.2</v>
      </c>
      <c r="Z49" s="1177">
        <f>P49-Y49</f>
        <v>7079.87</v>
      </c>
      <c r="AA49" s="1985">
        <v>2697.34</v>
      </c>
      <c r="AB49" s="1180">
        <f t="shared" si="33"/>
        <v>4382.53</v>
      </c>
      <c r="AC49" s="1181">
        <f>VLOOKUP(B49,'[1]Nomina Unhesa'!$B$9:$AB$167,26,FALSE)</f>
        <v>1952.83</v>
      </c>
      <c r="AD49" s="1181">
        <f t="shared" si="6"/>
        <v>744.51000000000022</v>
      </c>
    </row>
    <row r="50" spans="1:36" ht="21.95" customHeight="1">
      <c r="A50" s="1140">
        <v>21</v>
      </c>
      <c r="B50" s="1236" t="str">
        <f>+distribucion!B89</f>
        <v>Gonzalez Vasquez Kevin Moises</v>
      </c>
      <c r="C50" s="1224" t="str">
        <f>VLOOKUP(B50,distribucion!B$9:FK$200,2,0)</f>
        <v>Verificador</v>
      </c>
      <c r="D50" s="1228">
        <f>G50+K50+M50</f>
        <v>3166.38</v>
      </c>
      <c r="E50" s="1226">
        <f>VLOOKUP(B50,distribucion!B$9:FK$201,7,0)</f>
        <v>30</v>
      </c>
      <c r="F50" s="1227">
        <f>VLOOKUP(B50,distribucion!$B$9:$DQ$288,14,0)</f>
        <v>0</v>
      </c>
      <c r="G50" s="1985">
        <f>ROUND((VLOOKUP(B50,distribucion!B$1:FK$243,103,0)),2)</f>
        <v>3166.38</v>
      </c>
      <c r="H50" s="1985">
        <f>ROUND((VLOOKUP(C50,distribucion!C$1:FL$243,103,0)),2)</f>
        <v>1950</v>
      </c>
      <c r="I50" s="1985">
        <f>G50+H50</f>
        <v>5116.38</v>
      </c>
      <c r="J50" s="1985">
        <f>VLOOKUP(B50,distribucion!B$9:FK$243,114,0)</f>
        <v>0</v>
      </c>
      <c r="K50" s="1985">
        <f>ROUND((VLOOKUP(B50,distribucion!B$9:FK$243,115,0)),2)</f>
        <v>0</v>
      </c>
      <c r="L50" s="1985">
        <f>VLOOKUP(B50,distribucion!B$9:FK$243,116,0)</f>
        <v>0</v>
      </c>
      <c r="M50" s="1985">
        <f>ROUND((VLOOKUP(B50,distribucion!B$9:FK$243,117,0)),2)</f>
        <v>0</v>
      </c>
      <c r="N50" s="1985">
        <v>0</v>
      </c>
      <c r="O50" s="1178">
        <f>ROUND((VLOOKUP(B50,distribucion!B$9:FK$204,36,0)),2)</f>
        <v>0</v>
      </c>
      <c r="P50" s="1985">
        <f>SUM(I50:O50)-J50-L50</f>
        <v>5116.38</v>
      </c>
      <c r="Q50" s="1985">
        <f>ROUND(((G50+K50+M50+N50+O50)*0.0483),2)</f>
        <v>152.94</v>
      </c>
      <c r="R50" s="1985">
        <f>ROUND((VLOOKUP(B50,distribucion!B$9:FK$243,151,0)),2)</f>
        <v>0</v>
      </c>
      <c r="S50" s="1985">
        <f>ROUND((VLOOKUP(B50,distribucion!B$9:FK$243,152,0)),2)</f>
        <v>0</v>
      </c>
      <c r="T50" s="1985">
        <f>ROUND((VLOOKUP(B50,distribucion!B$9:FK$243,153,0)),2)</f>
        <v>0</v>
      </c>
      <c r="U50" s="1985">
        <f>ROUND((VLOOKUP(B50,distribucion!$B$1:$FE$228,159,0)),2)</f>
        <v>0</v>
      </c>
      <c r="V50" s="1985">
        <f>ROUND((VLOOKUP(B50,distribucion!$B$1:$FE$228,158,0)),2)</f>
        <v>0</v>
      </c>
      <c r="W50" s="1985">
        <f>ROUND((VLOOKUP(B50,distribucion!$B$1:$FE$228,154,0)),2)</f>
        <v>579</v>
      </c>
      <c r="X50" s="1985">
        <f>ROUND((VLOOKUP(B50,distribucion!$B$9:$FK$243,160,0)),2)</f>
        <v>50</v>
      </c>
      <c r="Y50" s="1179">
        <f>SUM(Q50:X50)</f>
        <v>781.94</v>
      </c>
      <c r="Z50" s="1985">
        <f>P50-Y50</f>
        <v>4334.4400000000005</v>
      </c>
      <c r="AA50" s="1985">
        <v>1681.22</v>
      </c>
      <c r="AB50" s="1180">
        <f t="shared" si="33"/>
        <v>2653.2200000000003</v>
      </c>
      <c r="AC50" s="1181"/>
      <c r="AD50" s="1181"/>
    </row>
    <row r="51" spans="1:36" ht="21.75" customHeight="1">
      <c r="A51" s="1140">
        <v>22</v>
      </c>
      <c r="B51" s="1236" t="str">
        <f>+distribucion!B87</f>
        <v>Maldonado Solval Karla Elizabeth</v>
      </c>
      <c r="C51" s="1224" t="str">
        <f>VLOOKUP(B51,distribucion!B$9:FK$200,2,0)</f>
        <v>Supervisor</v>
      </c>
      <c r="D51" s="1215">
        <f>G51+K51+M51</f>
        <v>3892.0299999999997</v>
      </c>
      <c r="E51" s="1226">
        <f>VLOOKUP(B51,distribucion!B$9:FK$201,7,0)</f>
        <v>30</v>
      </c>
      <c r="F51" s="1227">
        <f>VLOOKUP(B51,distribucion!$B$9:$DQ$288,14,0)</f>
        <v>0</v>
      </c>
      <c r="G51" s="1177">
        <f>ROUND((VLOOKUP(B51,distribucion!B$1:FK$201,103,0)),2)</f>
        <v>3450</v>
      </c>
      <c r="H51" s="1229">
        <f>ROUND((VLOOKUP(B51,distribucion!B$9:FJ$201,104,0)),2)</f>
        <v>2815.73</v>
      </c>
      <c r="I51" s="1228">
        <f>G51+H51</f>
        <v>6265.73</v>
      </c>
      <c r="J51" s="1229">
        <f>VLOOKUP(B51,distribucion!B$9:FK$200,105,0)</f>
        <v>20.5</v>
      </c>
      <c r="K51" s="1224">
        <f>ROUND((VLOOKUP(B51,distribucion!B$9:FK$201,106,0)),2)</f>
        <v>442.03</v>
      </c>
      <c r="L51" s="1224">
        <f>VLOOKUP(B51,distribucion!B$9:FK$201,107,0)</f>
        <v>0</v>
      </c>
      <c r="M51" s="1224">
        <f>ROUND((VLOOKUP(B51,distribucion!B$9:FK$201,108,0)),2)</f>
        <v>0</v>
      </c>
      <c r="N51" s="1224">
        <v>0</v>
      </c>
      <c r="O51" s="1224">
        <f>ROUND((VLOOKUP(B51,distribucion!B$9:FK$201,36,0)),2)</f>
        <v>0</v>
      </c>
      <c r="P51" s="1225">
        <f>SUM(I51:O51)-J51-L51</f>
        <v>6707.7599999999993</v>
      </c>
      <c r="Q51" s="1224">
        <f>ROUND(((G51+K51+M51+N51+O51)*0.0483),2)</f>
        <v>187.99</v>
      </c>
      <c r="R51" s="1224">
        <f>ROUND((VLOOKUP(B51,distribucion!B$9:FK$201,151,0)),2)</f>
        <v>39.28</v>
      </c>
      <c r="S51" s="1224">
        <f>ROUND((VLOOKUP(B51,distribucion!B$9:FK$201,152,0)),2)</f>
        <v>0</v>
      </c>
      <c r="T51" s="1224">
        <f>ROUND((VLOOKUP(B51,distribucion!B$9:FK$201,153,0)),2)</f>
        <v>0</v>
      </c>
      <c r="U51" s="1224">
        <f>ROUND((VLOOKUP(B51,distribucion!$B$1:$FE$228,159,0)),2)</f>
        <v>0</v>
      </c>
      <c r="V51" s="1224">
        <f>ROUND((VLOOKUP(B51,distribucion!$B$1:$FE$228,158,0)),2)</f>
        <v>0</v>
      </c>
      <c r="W51" s="1224">
        <f>ROUND((VLOOKUP(B51,distribucion!$B$1:$FE$228,154,0)),2)</f>
        <v>588.5</v>
      </c>
      <c r="X51" s="1224">
        <f>ROUND((VLOOKUP(B51,distribucion!B$9:FK$201,160,0)),2)</f>
        <v>421.36</v>
      </c>
      <c r="Y51" s="1229">
        <f>SUM(Q51:X51)</f>
        <v>1237.1300000000001</v>
      </c>
      <c r="Z51" s="1228">
        <f>P51-Y51</f>
        <v>5470.6299999999992</v>
      </c>
      <c r="AA51" s="1985">
        <v>2767.26</v>
      </c>
      <c r="AB51" s="1180">
        <f t="shared" si="33"/>
        <v>2703.369999999999</v>
      </c>
      <c r="AC51" s="1181">
        <f>VLOOKUP(B51,'[1]Nomina Unhesa'!$B$9:$AB$167,26,FALSE)</f>
        <v>2030.92</v>
      </c>
      <c r="AD51" s="1181">
        <f t="shared" si="6"/>
        <v>736.34000000000015</v>
      </c>
    </row>
    <row r="52" spans="1:36" ht="29.25" customHeight="1">
      <c r="A52" s="1140"/>
      <c r="B52" s="1158"/>
      <c r="C52" s="1199" t="s">
        <v>204</v>
      </c>
      <c r="D52" s="1200" t="s">
        <v>204</v>
      </c>
      <c r="E52" s="1201"/>
      <c r="F52" s="1176"/>
      <c r="G52" s="1202">
        <f>SUM(G48:G51)</f>
        <v>16066.380000000001</v>
      </c>
      <c r="H52" s="1202">
        <f>SUM(H48:H51)</f>
        <v>17177.009999999998</v>
      </c>
      <c r="I52" s="1202">
        <f t="shared" ref="I52:AB52" si="34">SUM(I48:I51)</f>
        <v>33243.39</v>
      </c>
      <c r="J52" s="1202">
        <f t="shared" si="34"/>
        <v>34.5</v>
      </c>
      <c r="K52" s="1202">
        <f t="shared" si="34"/>
        <v>743.91</v>
      </c>
      <c r="L52" s="1202">
        <f t="shared" si="34"/>
        <v>0</v>
      </c>
      <c r="M52" s="1202">
        <f t="shared" si="34"/>
        <v>0</v>
      </c>
      <c r="N52" s="1202">
        <f t="shared" si="34"/>
        <v>0</v>
      </c>
      <c r="O52" s="1202">
        <f t="shared" si="34"/>
        <v>0</v>
      </c>
      <c r="P52" s="1202">
        <f t="shared" si="34"/>
        <v>33987.300000000003</v>
      </c>
      <c r="Q52" s="1202">
        <f t="shared" si="34"/>
        <v>811.95</v>
      </c>
      <c r="R52" s="1202">
        <f t="shared" si="34"/>
        <v>514.70999999999992</v>
      </c>
      <c r="S52" s="1202">
        <f t="shared" si="34"/>
        <v>0</v>
      </c>
      <c r="T52" s="1202">
        <f t="shared" si="34"/>
        <v>0</v>
      </c>
      <c r="U52" s="1202">
        <f t="shared" si="34"/>
        <v>0</v>
      </c>
      <c r="V52" s="1202">
        <f t="shared" si="34"/>
        <v>0</v>
      </c>
      <c r="W52" s="1202">
        <f t="shared" si="34"/>
        <v>2041.25</v>
      </c>
      <c r="X52" s="1202">
        <f t="shared" si="34"/>
        <v>1944.42</v>
      </c>
      <c r="Y52" s="1202">
        <f t="shared" si="34"/>
        <v>5312.33</v>
      </c>
      <c r="Z52" s="1202">
        <f t="shared" si="34"/>
        <v>28674.97</v>
      </c>
      <c r="AA52" s="1202">
        <f t="shared" si="34"/>
        <v>16173.51</v>
      </c>
      <c r="AB52" s="1202">
        <f t="shared" si="34"/>
        <v>12501.46</v>
      </c>
      <c r="AC52" s="1181">
        <f>+Z52-AA52-AB52</f>
        <v>0</v>
      </c>
      <c r="AD52" s="1181">
        <f t="shared" si="6"/>
        <v>16173.51</v>
      </c>
    </row>
    <row r="53" spans="1:36" ht="21.95" customHeight="1">
      <c r="A53" s="1140"/>
      <c r="B53" s="1158"/>
      <c r="C53" s="1199"/>
      <c r="D53" s="1200"/>
      <c r="E53" s="1201"/>
      <c r="F53" s="1176"/>
      <c r="G53" s="1210"/>
      <c r="H53" s="1210"/>
      <c r="I53" s="1210"/>
      <c r="J53" s="1210"/>
      <c r="K53" s="1210"/>
      <c r="L53" s="1210"/>
      <c r="M53" s="1210"/>
      <c r="N53" s="1210"/>
      <c r="O53" s="1210"/>
      <c r="P53" s="1210"/>
      <c r="Q53" s="1210"/>
      <c r="R53" s="1210"/>
      <c r="S53" s="1210"/>
      <c r="T53" s="1210"/>
      <c r="U53" s="1210"/>
      <c r="V53" s="1210"/>
      <c r="W53" s="1210"/>
      <c r="X53" s="1210"/>
      <c r="Y53" s="1210"/>
      <c r="Z53" s="1210"/>
      <c r="AA53" s="1210"/>
      <c r="AB53" s="1210"/>
      <c r="AC53" s="1181"/>
      <c r="AD53" s="1181">
        <f t="shared" si="6"/>
        <v>0</v>
      </c>
    </row>
    <row r="54" spans="1:36" ht="21.95" customHeight="1">
      <c r="A54" s="1140"/>
      <c r="B54" s="1167" t="s">
        <v>42</v>
      </c>
      <c r="C54" s="1203"/>
      <c r="D54" s="1204"/>
      <c r="E54" s="1175"/>
      <c r="F54" s="1176"/>
      <c r="G54" s="1221"/>
      <c r="H54" s="1221"/>
      <c r="I54" s="1221"/>
      <c r="J54" s="1239"/>
      <c r="K54" s="1221"/>
      <c r="L54" s="1221"/>
      <c r="M54" s="1221"/>
      <c r="N54" s="1221"/>
      <c r="O54" s="1221"/>
      <c r="P54" s="1221"/>
      <c r="Q54" s="1221"/>
      <c r="R54" s="1221"/>
      <c r="S54" s="1221"/>
      <c r="T54" s="1221"/>
      <c r="U54" s="1221"/>
      <c r="V54" s="1221"/>
      <c r="W54" s="1221"/>
      <c r="X54" s="1221"/>
      <c r="Y54" s="1222"/>
      <c r="Z54" s="1221"/>
      <c r="AA54" s="1177"/>
      <c r="AB54" s="1180"/>
      <c r="AC54" s="1181">
        <f t="shared" ref="AC54" si="35">+Z54-AA54-AB54</f>
        <v>0</v>
      </c>
      <c r="AD54" s="1181">
        <f t="shared" si="6"/>
        <v>0</v>
      </c>
    </row>
    <row r="55" spans="1:36" s="1230" customFormat="1" ht="21.95" customHeight="1">
      <c r="A55" s="1190">
        <v>23</v>
      </c>
      <c r="B55" s="1216" t="s">
        <v>556</v>
      </c>
      <c r="C55" s="1224" t="str">
        <f>VLOOKUP(B55,distribucion!B$9:FK$200,2,0)</f>
        <v>Empacadora de Sobres</v>
      </c>
      <c r="D55" s="1225">
        <f t="shared" ref="D55" si="36">G55+K55+M55+N55</f>
        <v>3166.38</v>
      </c>
      <c r="E55" s="1226">
        <f>VLOOKUP(B55,distribucion!B$9:FK$201,7,0)</f>
        <v>30</v>
      </c>
      <c r="F55" s="1227">
        <f>VLOOKUP(B55,distribucion!$B$9:$DQ$288,14,0)</f>
        <v>0</v>
      </c>
      <c r="G55" s="1228">
        <f>ROUND((VLOOKUP(B55,distribucion!B$1:FK$201,103,0)),2)</f>
        <v>3166.38</v>
      </c>
      <c r="H55" s="1228">
        <f>ROUND((VLOOKUP(B55,distribucion!B$9:FJ$201,104,0)),2)</f>
        <v>250</v>
      </c>
      <c r="I55" s="1228">
        <f t="shared" ref="I55:I59" si="37">G55+H55</f>
        <v>3416.38</v>
      </c>
      <c r="J55" s="1228">
        <f>VLOOKUP(B55,distribucion!B$9:FK$200,105,0)</f>
        <v>0</v>
      </c>
      <c r="K55" s="1228">
        <f>ROUND((VLOOKUP(B55,distribucion!B$9:FK$201,106,0)),2)</f>
        <v>0</v>
      </c>
      <c r="L55" s="1228">
        <f>VLOOKUP(B55,distribucion!B$9:FK$201,107,0)</f>
        <v>0</v>
      </c>
      <c r="M55" s="1228">
        <f>ROUND((VLOOKUP(B55,distribucion!B$9:FK$201,108,0)),2)</f>
        <v>0</v>
      </c>
      <c r="N55" s="1228">
        <v>0</v>
      </c>
      <c r="O55" s="1228">
        <f>ROUND((VLOOKUP(B55,distribucion!B$9:FK$201,36,0)),2)</f>
        <v>0</v>
      </c>
      <c r="P55" s="1228">
        <f t="shared" ref="P55:P60" si="38">SUM(I55:O55)-J55-L55</f>
        <v>3416.38</v>
      </c>
      <c r="Q55" s="1228">
        <f t="shared" ref="Q55:Q60" si="39">ROUND(((G55+K55+M55+N55+O55)*0.0483),2)</f>
        <v>152.94</v>
      </c>
      <c r="R55" s="1228">
        <f>ROUND((VLOOKUP(B55,distribucion!B$9:FK$201,151,0)),2)</f>
        <v>0</v>
      </c>
      <c r="S55" s="1228">
        <f>ROUND((VLOOKUP(B55,distribucion!B$9:FK$201,152,0)),2)</f>
        <v>0</v>
      </c>
      <c r="T55" s="1228">
        <f>ROUND((VLOOKUP(B55,distribucion!B$9:FK$201,153,0)),2)</f>
        <v>0</v>
      </c>
      <c r="U55" s="1228">
        <f>ROUND((VLOOKUP(B55,distribucion!$B$1:$FE$228,159,0)),2)</f>
        <v>0</v>
      </c>
      <c r="V55" s="1228">
        <f>ROUND((VLOOKUP(B55,distribucion!$B$1:$FE$228,158,0)),2)</f>
        <v>0</v>
      </c>
      <c r="W55" s="1228">
        <f>ROUND((VLOOKUP(B55,distribucion!$B$1:$FE$228,154,0)),2)</f>
        <v>0</v>
      </c>
      <c r="X55" s="1228">
        <f>ROUND((VLOOKUP(B55,distribucion!B$9:FK$201,160,0)),2)</f>
        <v>300</v>
      </c>
      <c r="Y55" s="1229">
        <f t="shared" ref="Y55:Y60" si="40">SUM(Q55:X55)</f>
        <v>452.94</v>
      </c>
      <c r="Z55" s="1228">
        <f t="shared" ref="Z55:Z60" si="41">P55-Y55</f>
        <v>2963.44</v>
      </c>
      <c r="AA55" s="1985">
        <v>1506.72</v>
      </c>
      <c r="AB55" s="1180">
        <f t="shared" ref="AB55:AB60" si="42">+Z55-AA55</f>
        <v>1456.72</v>
      </c>
      <c r="AC55" s="1181">
        <f>VLOOKUP(B55,'[1]Nomina Unhesa'!$B$9:$AB$167,26,FALSE)</f>
        <v>1408.1499999999999</v>
      </c>
      <c r="AD55" s="1181">
        <f t="shared" si="6"/>
        <v>98.570000000000164</v>
      </c>
      <c r="AF55" s="1144"/>
    </row>
    <row r="56" spans="1:36" s="1230" customFormat="1" ht="21.95" customHeight="1">
      <c r="A56" s="1986">
        <f>+A55+1</f>
        <v>24</v>
      </c>
      <c r="B56" s="1216" t="str">
        <f>+distribucion!B94</f>
        <v>Ramirez Ramos Brayan Neptaly</v>
      </c>
      <c r="C56" s="1224" t="str">
        <f>VLOOKUP(B56,distribucion!B$9:FK$200,2,0)</f>
        <v>Operario</v>
      </c>
      <c r="D56" s="1225">
        <f t="shared" ref="D56" si="43">G56+K56+M56+N56</f>
        <v>3819.4500000000003</v>
      </c>
      <c r="E56" s="1226">
        <f>VLOOKUP(B56,distribucion!B$9:FK$201,7,0)</f>
        <v>30</v>
      </c>
      <c r="F56" s="1227">
        <f>VLOOKUP(B56,distribucion!$B$9:$DQ$288,14,0)</f>
        <v>0</v>
      </c>
      <c r="G56" s="1228">
        <f>ROUND((VLOOKUP(B56,distribucion!B$1:FK$201,103,0)),2)</f>
        <v>3166.38</v>
      </c>
      <c r="H56" s="1228">
        <f>ROUND((VLOOKUP(B56,distribucion!B$9:FJ$201,104,0)),2)</f>
        <v>1600</v>
      </c>
      <c r="I56" s="1228">
        <f t="shared" ref="I56" si="44">G56+H56</f>
        <v>4766.38</v>
      </c>
      <c r="J56" s="1228">
        <f>VLOOKUP(B56,distribucion!B$9:FK$200,105,0)</f>
        <v>33</v>
      </c>
      <c r="K56" s="1228">
        <f>ROUND((VLOOKUP(B56,distribucion!B$9:FK$201,106,0)),2)</f>
        <v>653.07000000000005</v>
      </c>
      <c r="L56" s="1228">
        <f>VLOOKUP(B56,distribucion!B$9:FK$201,107,0)</f>
        <v>0</v>
      </c>
      <c r="M56" s="1228">
        <f>ROUND((VLOOKUP(B56,distribucion!B$9:FK$201,108,0)),2)</f>
        <v>0</v>
      </c>
      <c r="N56" s="1228">
        <v>0</v>
      </c>
      <c r="O56" s="1228">
        <f>ROUND((VLOOKUP(B56,distribucion!B$9:FK$201,36,0)),2)</f>
        <v>0</v>
      </c>
      <c r="P56" s="1228">
        <f t="shared" ref="P56" si="45">SUM(I56:O56)-J56-L56</f>
        <v>5419.45</v>
      </c>
      <c r="Q56" s="1228">
        <f t="shared" ref="Q56" si="46">ROUND(((G56+K56+M56+N56+O56)*0.0483),2)</f>
        <v>184.48</v>
      </c>
      <c r="R56" s="1228">
        <f>ROUND((VLOOKUP(B56,distribucion!B$9:FK$201,151,0)),2)</f>
        <v>0</v>
      </c>
      <c r="S56" s="1228">
        <f>ROUND((VLOOKUP(B56,distribucion!B$9:FK$201,152,0)),2)</f>
        <v>0</v>
      </c>
      <c r="T56" s="1228">
        <f>ROUND((VLOOKUP(B56,distribucion!B$9:FK$201,153,0)),2)</f>
        <v>0</v>
      </c>
      <c r="U56" s="1228">
        <f>ROUND((VLOOKUP(B56,distribucion!$B$1:$FE$228,159,0)),2)</f>
        <v>0</v>
      </c>
      <c r="V56" s="1228">
        <f>ROUND((VLOOKUP(B56,distribucion!$B$1:$FE$228,158,0)),2)</f>
        <v>0</v>
      </c>
      <c r="W56" s="1228">
        <f>ROUND((VLOOKUP(B56,distribucion!$B$1:$FE$228,154,0)),2)</f>
        <v>0</v>
      </c>
      <c r="X56" s="1228">
        <f>ROUND((VLOOKUP(B56,distribucion!B$9:FK$201,160,0)),2)</f>
        <v>50</v>
      </c>
      <c r="Y56" s="1229">
        <f t="shared" ref="Y56" si="47">SUM(Q56:X56)</f>
        <v>234.48</v>
      </c>
      <c r="Z56" s="1228">
        <f t="shared" ref="Z56" si="48">P56-Y56</f>
        <v>5184.97</v>
      </c>
      <c r="AA56" s="1985">
        <v>1631.72</v>
      </c>
      <c r="AB56" s="1180">
        <f t="shared" si="42"/>
        <v>3553.25</v>
      </c>
      <c r="AC56" s="1181">
        <f>VLOOKUP(B56,'[1]Nomina Unhesa'!$B$9:$AB$167,26,FALSE)</f>
        <v>1533.1499999999999</v>
      </c>
      <c r="AD56" s="1181">
        <f t="shared" si="6"/>
        <v>98.570000000000164</v>
      </c>
      <c r="AF56" s="1144"/>
    </row>
    <row r="57" spans="1:36" s="1230" customFormat="1" ht="21.95" customHeight="1">
      <c r="A57" s="1986">
        <f t="shared" ref="A57:A60" si="49">+A56+1</f>
        <v>25</v>
      </c>
      <c r="B57" s="1216" t="str">
        <f>+distribucion!B95</f>
        <v>Contreras Vasquez Oscar Jose</v>
      </c>
      <c r="C57" s="1224" t="str">
        <f>VLOOKUP(B57,distribucion!B$9:FK$200,2,0)</f>
        <v>Operario</v>
      </c>
      <c r="D57" s="1225">
        <f t="shared" ref="D57" si="50">G57+K57+M57+N57</f>
        <v>316.64</v>
      </c>
      <c r="E57" s="1226">
        <f>VLOOKUP(B57,distribucion!B$9:FK$201,7,0)</f>
        <v>3</v>
      </c>
      <c r="F57" s="1227" t="str">
        <f>VLOOKUP(B57,distribucion!$B$9:$DQ$288,14,0)</f>
        <v>B.3.1.22</v>
      </c>
      <c r="G57" s="1228">
        <f>ROUND((VLOOKUP(B57,distribucion!B$1:FK$201,103,0)),2)</f>
        <v>316.64</v>
      </c>
      <c r="H57" s="1228">
        <f>ROUND((VLOOKUP(B57,distribucion!B$9:FJ$201,104,0)),2)</f>
        <v>25</v>
      </c>
      <c r="I57" s="1228">
        <f t="shared" ref="I57" si="51">G57+H57</f>
        <v>341.64</v>
      </c>
      <c r="J57" s="1228">
        <f>VLOOKUP(B57,distribucion!B$9:FK$200,105,0)</f>
        <v>0</v>
      </c>
      <c r="K57" s="1228">
        <f>ROUND((VLOOKUP(B57,distribucion!B$9:FK$201,106,0)),2)</f>
        <v>0</v>
      </c>
      <c r="L57" s="1228">
        <f>VLOOKUP(B57,distribucion!B$9:FK$201,107,0)</f>
        <v>0</v>
      </c>
      <c r="M57" s="1228">
        <f>ROUND((VLOOKUP(B57,distribucion!B$9:FK$201,108,0)),2)</f>
        <v>0</v>
      </c>
      <c r="N57" s="1228">
        <v>0</v>
      </c>
      <c r="O57" s="1228">
        <f>ROUND((VLOOKUP(B57,distribucion!B$9:FK$201,36,0)),2)</f>
        <v>0</v>
      </c>
      <c r="P57" s="1228">
        <f t="shared" ref="P57" si="52">SUM(I57:O57)-J57-L57</f>
        <v>341.64</v>
      </c>
      <c r="Q57" s="1228">
        <f t="shared" ref="Q57" si="53">ROUND(((G57+K57+M57+N57+O57)*0.0483),2)</f>
        <v>15.29</v>
      </c>
      <c r="R57" s="1228">
        <f>ROUND((VLOOKUP(B57,distribucion!B$9:FK$201,151,0)),2)</f>
        <v>0</v>
      </c>
      <c r="S57" s="1228">
        <f>ROUND((VLOOKUP(B57,distribucion!B$9:FK$201,152,0)),2)</f>
        <v>0</v>
      </c>
      <c r="T57" s="1228">
        <f>ROUND((VLOOKUP(B57,distribucion!B$9:FK$201,153,0)),2)</f>
        <v>0</v>
      </c>
      <c r="U57" s="1228">
        <f>ROUND((VLOOKUP(B57,distribucion!$B$1:$FE$228,159,0)),2)</f>
        <v>0</v>
      </c>
      <c r="V57" s="1228">
        <f>ROUND((VLOOKUP(B57,distribucion!$B$1:$FE$228,158,0)),2)</f>
        <v>0</v>
      </c>
      <c r="W57" s="1228">
        <f>ROUND((VLOOKUP(B57,distribucion!$B$1:$FE$228,154,0)),2)</f>
        <v>0</v>
      </c>
      <c r="X57" s="1228">
        <f>ROUND((VLOOKUP(B57,distribucion!B$9:FK$201,160,0)),2)</f>
        <v>0</v>
      </c>
      <c r="Y57" s="1229">
        <f t="shared" ref="Y57" si="54">SUM(Q57:X57)</f>
        <v>15.29</v>
      </c>
      <c r="Z57" s="1228">
        <f t="shared" ref="Z57" si="55">P57-Y57</f>
        <v>326.34999999999997</v>
      </c>
      <c r="AA57" s="1985">
        <v>326.34999999999997</v>
      </c>
      <c r="AB57" s="1180">
        <f t="shared" si="42"/>
        <v>0</v>
      </c>
      <c r="AC57" s="1181"/>
      <c r="AD57" s="1181"/>
      <c r="AF57" s="1144"/>
    </row>
    <row r="58" spans="1:36" ht="21.95" customHeight="1">
      <c r="A58" s="1986">
        <f t="shared" si="49"/>
        <v>26</v>
      </c>
      <c r="B58" s="1216" t="str">
        <f>+distribucion!B96</f>
        <v xml:space="preserve">Chávez Velásquez Wendy Lorena </v>
      </c>
      <c r="C58" s="1173" t="str">
        <f>VLOOKUP(B58,distribucion!B$9:FK$200,2,0)</f>
        <v>Empacadora Liquidos</v>
      </c>
      <c r="D58" s="1174">
        <f t="shared" ref="D58" si="56">G58+K58+M58+N58</f>
        <v>3285.12</v>
      </c>
      <c r="E58" s="1175">
        <f>VLOOKUP(B58,distribucion!B$9:FK$201,7,0)</f>
        <v>30</v>
      </c>
      <c r="F58" s="1240">
        <f>VLOOKUP(B58,distribucion!$B$9:$DQ$288,14,0)</f>
        <v>0</v>
      </c>
      <c r="G58" s="1177">
        <f>ROUND((VLOOKUP(B58,distribucion!B$1:FK$201,103,0)),2)</f>
        <v>3166.38</v>
      </c>
      <c r="H58" s="1177">
        <f>ROUND((VLOOKUP(B58,distribucion!B$9:FJ$201,104,0)),2)</f>
        <v>925</v>
      </c>
      <c r="I58" s="1177">
        <f t="shared" ref="I58" si="57">G58+H58</f>
        <v>4091.38</v>
      </c>
      <c r="J58" s="1177">
        <f>VLOOKUP(B58,distribucion!B$9:FK$200,105,0)</f>
        <v>6</v>
      </c>
      <c r="K58" s="1177">
        <f>ROUND((VLOOKUP(B58,distribucion!B$9:FK$201,106,0)),2)</f>
        <v>118.74</v>
      </c>
      <c r="L58" s="1177">
        <f>VLOOKUP(B58,distribucion!B$9:FK$201,107,0)</f>
        <v>0</v>
      </c>
      <c r="M58" s="1177">
        <f>ROUND((VLOOKUP(B58,distribucion!B$9:FK$201,108,0)),2)</f>
        <v>0</v>
      </c>
      <c r="N58" s="1177">
        <v>0</v>
      </c>
      <c r="O58" s="1178">
        <f>ROUND((VLOOKUP(B58,distribucion!B$9:FK$201,36,0)),2)</f>
        <v>0</v>
      </c>
      <c r="P58" s="1177">
        <f t="shared" ref="P58" si="58">SUM(I58:O58)-J58-L58</f>
        <v>4210.12</v>
      </c>
      <c r="Q58" s="1177">
        <f t="shared" ref="Q58" si="59">ROUND(((G58+K58+M58+N58+O58)*0.0483),2)</f>
        <v>158.66999999999999</v>
      </c>
      <c r="R58" s="1177">
        <f>ROUND((VLOOKUP(B58,distribucion!B$9:FK$201,151,0)),2)</f>
        <v>39.979999999999997</v>
      </c>
      <c r="S58" s="1177">
        <f>ROUND((VLOOKUP(B58,distribucion!B$9:FK$201,152,0)),2)</f>
        <v>0</v>
      </c>
      <c r="T58" s="1177">
        <f>ROUND((VLOOKUP(B58,distribucion!B$9:FK$201,153,0)),2)</f>
        <v>0</v>
      </c>
      <c r="U58" s="1177">
        <f>ROUND((VLOOKUP(B58,distribucion!$B$1:$FE$228,159,0)),2)</f>
        <v>0</v>
      </c>
      <c r="V58" s="1177">
        <f>ROUND((VLOOKUP(B58,distribucion!$B$1:$FE$228,158,0)),2)</f>
        <v>0</v>
      </c>
      <c r="W58" s="1177">
        <f>ROUND((VLOOKUP(B58,distribucion!$B$1:$FE$228,154,0)),2)</f>
        <v>366.25</v>
      </c>
      <c r="X58" s="1177">
        <f>ROUND((VLOOKUP(B58,distribucion!B$9:FK$201,160,0)),2)</f>
        <v>50</v>
      </c>
      <c r="Y58" s="1179">
        <f t="shared" ref="Y58" si="60">SUM(Q58:X58)</f>
        <v>614.9</v>
      </c>
      <c r="Z58" s="1177">
        <f t="shared" ref="Z58" si="61">P58-Y58</f>
        <v>3595.22</v>
      </c>
      <c r="AA58" s="1985">
        <v>1446.22</v>
      </c>
      <c r="AB58" s="1180">
        <f t="shared" si="42"/>
        <v>2149</v>
      </c>
      <c r="AC58" s="1181">
        <f>VLOOKUP(B58,'[1]Nomina Unhesa'!$B$9:$AB$167,26,FALSE)</f>
        <v>786.53999999999985</v>
      </c>
      <c r="AD58" s="1181">
        <f t="shared" si="6"/>
        <v>659.68000000000018</v>
      </c>
    </row>
    <row r="59" spans="1:36" s="1247" customFormat="1" ht="21.95" customHeight="1">
      <c r="A59" s="1986">
        <f t="shared" si="49"/>
        <v>27</v>
      </c>
      <c r="B59" s="1241" t="s">
        <v>590</v>
      </c>
      <c r="C59" s="1192" t="str">
        <f>VLOOKUP(B59,distribucion!B$9:FK$200,2,0)</f>
        <v>Operario  Sobres</v>
      </c>
      <c r="D59" s="1192">
        <f t="shared" ref="D59:D60" si="62">G59+K59+M59+N59</f>
        <v>3443.44</v>
      </c>
      <c r="E59" s="1242">
        <f>VLOOKUP(B59,distribucion!B$9:FK$201,7,0)</f>
        <v>30</v>
      </c>
      <c r="F59" s="1243" t="str">
        <f>VLOOKUP(B59,distribucion!$B$9:$DQ$288,14,0)</f>
        <v xml:space="preserve"> </v>
      </c>
      <c r="G59" s="1244">
        <f>ROUND((VLOOKUP(B59,distribucion!B$1:FK$201,103,0)),2)</f>
        <v>3166.38</v>
      </c>
      <c r="H59" s="1244">
        <f>ROUND((VLOOKUP(B59,distribucion!B$9:FJ$201,104,0)),2)</f>
        <v>700</v>
      </c>
      <c r="I59" s="1244">
        <f t="shared" si="37"/>
        <v>3866.38</v>
      </c>
      <c r="J59" s="1244">
        <f>VLOOKUP(B59,distribucion!B$9:FK$200,105,0)</f>
        <v>14</v>
      </c>
      <c r="K59" s="1244">
        <f>ROUND((VLOOKUP(B59,distribucion!B$9:FK$201,106,0)),2)</f>
        <v>277.06</v>
      </c>
      <c r="L59" s="1244">
        <f>VLOOKUP(B59,distribucion!B$9:FK$201,107,0)</f>
        <v>0</v>
      </c>
      <c r="M59" s="1244">
        <f>ROUND((VLOOKUP(B59,distribucion!B$9:FK$201,108,0)),2)</f>
        <v>0</v>
      </c>
      <c r="N59" s="1244">
        <v>0</v>
      </c>
      <c r="O59" s="1244">
        <f>ROUND((VLOOKUP(B59,distribucion!B$9:FK$201,36,0)),2)</f>
        <v>0</v>
      </c>
      <c r="P59" s="1244">
        <f t="shared" si="38"/>
        <v>4143.4400000000005</v>
      </c>
      <c r="Q59" s="1244">
        <f t="shared" si="39"/>
        <v>166.32</v>
      </c>
      <c r="R59" s="1244">
        <f>ROUND((VLOOKUP(B59,distribucion!B$9:FK$201,151,0)),2)</f>
        <v>0</v>
      </c>
      <c r="S59" s="1244">
        <f>ROUND((VLOOKUP(B59,distribucion!B$9:FK$201,152,0)),2)</f>
        <v>544.61</v>
      </c>
      <c r="T59" s="1244">
        <f>ROUND((VLOOKUP(B59,distribucion!B$9:FK$201,153,0)),2)</f>
        <v>0</v>
      </c>
      <c r="U59" s="1244">
        <f>ROUND((VLOOKUP(B59,distribucion!$B$1:$FE$228,159,0)),2)</f>
        <v>0</v>
      </c>
      <c r="V59" s="1244">
        <f>ROUND((VLOOKUP(B59,distribucion!$B$1:$FE$228,158,0)),2)</f>
        <v>0</v>
      </c>
      <c r="W59" s="1244">
        <f>ROUND((VLOOKUP(B59,distribucion!$B$1:$FE$228,154,0)),2)</f>
        <v>0</v>
      </c>
      <c r="X59" s="1244">
        <f>ROUND((VLOOKUP(B59,distribucion!B$9:FK$201,160,0)),2)</f>
        <v>50</v>
      </c>
      <c r="Y59" s="1245">
        <f t="shared" si="40"/>
        <v>760.93000000000006</v>
      </c>
      <c r="Z59" s="1244">
        <f t="shared" si="41"/>
        <v>3382.51</v>
      </c>
      <c r="AA59" s="1985">
        <v>1359.41</v>
      </c>
      <c r="AB59" s="1180">
        <f t="shared" si="42"/>
        <v>2023.1000000000001</v>
      </c>
      <c r="AC59" s="1181">
        <f>VLOOKUP(B59,'[1]Nomina Unhesa'!$B$9:$AB$167,26,FALSE)</f>
        <v>1229.1699999999998</v>
      </c>
      <c r="AD59" s="1181">
        <f t="shared" si="6"/>
        <v>130.24000000000024</v>
      </c>
      <c r="AE59" s="1246"/>
      <c r="AF59" s="1146"/>
      <c r="AG59" s="1246"/>
      <c r="AH59" s="1246"/>
      <c r="AI59" s="1246"/>
      <c r="AJ59" s="1246"/>
    </row>
    <row r="60" spans="1:36" s="1247" customFormat="1" ht="21.95" customHeight="1">
      <c r="A60" s="1986">
        <f t="shared" si="49"/>
        <v>28</v>
      </c>
      <c r="B60" s="1241" t="s">
        <v>639</v>
      </c>
      <c r="C60" s="1192" t="str">
        <f>VLOOKUP(B60,distribucion!B$9:FK$200,2,0)</f>
        <v>Empacadora</v>
      </c>
      <c r="D60" s="1192">
        <f t="shared" si="62"/>
        <v>3265.33</v>
      </c>
      <c r="E60" s="1248">
        <f>VLOOKUP(B60,distribucion!B$9:FK$201,7,0)</f>
        <v>30</v>
      </c>
      <c r="F60" s="1249" t="str">
        <f>VLOOKUP(B60,distribucion!$B$9:$DQ$288,14,0)</f>
        <v xml:space="preserve"> </v>
      </c>
      <c r="G60" s="1244">
        <f>ROUND((VLOOKUP(B60,distribucion!B$1:FK$201,103,0)),2)</f>
        <v>3166.38</v>
      </c>
      <c r="H60" s="1244">
        <f>ROUND((VLOOKUP(B60,distribucion!B$9:FJ$201,104,0)),2)</f>
        <v>475</v>
      </c>
      <c r="I60" s="1244">
        <f t="shared" ref="I60" si="63">G60+H60</f>
        <v>3641.38</v>
      </c>
      <c r="J60" s="1244">
        <f>VLOOKUP(B60,distribucion!B$9:FK$200,105,0)</f>
        <v>5</v>
      </c>
      <c r="K60" s="1244">
        <f>ROUND((VLOOKUP(B60,distribucion!B$9:FK$201,106,0)),2)</f>
        <v>98.95</v>
      </c>
      <c r="L60" s="1244">
        <f>VLOOKUP(B60,distribucion!B$9:FK$201,107,0)</f>
        <v>0</v>
      </c>
      <c r="M60" s="1244">
        <f>ROUND((VLOOKUP(B60,distribucion!B$9:FK$201,108,0)),2)</f>
        <v>0</v>
      </c>
      <c r="N60" s="1244">
        <v>0</v>
      </c>
      <c r="O60" s="1244">
        <f>ROUND((VLOOKUP(B60,distribucion!B$9:FK$201,36,0)),2)</f>
        <v>0</v>
      </c>
      <c r="P60" s="1244">
        <f t="shared" si="38"/>
        <v>3740.33</v>
      </c>
      <c r="Q60" s="1244">
        <f t="shared" si="39"/>
        <v>157.72</v>
      </c>
      <c r="R60" s="1244">
        <f>ROUND((VLOOKUP(B60,distribucion!B$9:FK$201,151,0)),2)</f>
        <v>34.81</v>
      </c>
      <c r="S60" s="1244">
        <f>ROUND((VLOOKUP(B60,distribucion!B$9:FK$201,152,0)),2)</f>
        <v>0</v>
      </c>
      <c r="T60" s="1244">
        <f>ROUND((VLOOKUP(B60,distribucion!B$9:FK$201,153,0)),2)</f>
        <v>0</v>
      </c>
      <c r="U60" s="1244">
        <f>ROUND((VLOOKUP(B60,distribucion!$B$1:$FE$228,159,0)),2)</f>
        <v>0</v>
      </c>
      <c r="V60" s="1244">
        <f>ROUND((VLOOKUP(B60,distribucion!$B$1:$FE$228,158,0)),2)</f>
        <v>0</v>
      </c>
      <c r="W60" s="1244">
        <f>ROUND((VLOOKUP(B60,distribucion!$B$1:$FE$228,154,0)),2)</f>
        <v>517.75</v>
      </c>
      <c r="X60" s="1244">
        <f>ROUND((VLOOKUP(B60,distribucion!B$9:FK$201,160,0)),2)</f>
        <v>125</v>
      </c>
      <c r="Y60" s="1245">
        <f t="shared" si="40"/>
        <v>835.28</v>
      </c>
      <c r="Z60" s="1244">
        <f t="shared" si="41"/>
        <v>2905.05</v>
      </c>
      <c r="AA60" s="1985">
        <v>1389.97</v>
      </c>
      <c r="AB60" s="1180">
        <f t="shared" si="42"/>
        <v>1515.0800000000002</v>
      </c>
      <c r="AC60" s="1181">
        <f>VLOOKUP(B60,'[1]Nomina Unhesa'!$B$9:$AB$167,26,FALSE)</f>
        <v>1125.73</v>
      </c>
      <c r="AD60" s="1181">
        <f t="shared" si="6"/>
        <v>264.24</v>
      </c>
      <c r="AE60" s="1246"/>
      <c r="AF60" s="1197"/>
      <c r="AG60" s="1246"/>
      <c r="AH60" s="1246"/>
      <c r="AI60" s="1246"/>
      <c r="AJ60" s="1246"/>
    </row>
    <row r="61" spans="1:36" ht="30.75" customHeight="1">
      <c r="A61" s="1140"/>
      <c r="B61" s="1172"/>
      <c r="C61" s="1199" t="s">
        <v>204</v>
      </c>
      <c r="D61" s="1200" t="s">
        <v>204</v>
      </c>
      <c r="E61" s="1175"/>
      <c r="F61" s="1176"/>
      <c r="G61" s="1202">
        <f t="shared" ref="G61:AB61" si="64">+SUM(G55:G60)</f>
        <v>16148.54</v>
      </c>
      <c r="H61" s="1202">
        <f t="shared" si="64"/>
        <v>3975</v>
      </c>
      <c r="I61" s="1202">
        <f t="shared" si="64"/>
        <v>20123.54</v>
      </c>
      <c r="J61" s="1202">
        <f t="shared" si="64"/>
        <v>58</v>
      </c>
      <c r="K61" s="1202">
        <f t="shared" si="64"/>
        <v>1147.8200000000002</v>
      </c>
      <c r="L61" s="1202">
        <f t="shared" si="64"/>
        <v>0</v>
      </c>
      <c r="M61" s="1202">
        <f t="shared" si="64"/>
        <v>0</v>
      </c>
      <c r="N61" s="1202">
        <f t="shared" si="64"/>
        <v>0</v>
      </c>
      <c r="O61" s="1202">
        <f t="shared" si="64"/>
        <v>0</v>
      </c>
      <c r="P61" s="1202">
        <f t="shared" si="64"/>
        <v>21271.360000000001</v>
      </c>
      <c r="Q61" s="1202">
        <f t="shared" si="64"/>
        <v>835.42000000000007</v>
      </c>
      <c r="R61" s="1202">
        <f t="shared" si="64"/>
        <v>74.789999999999992</v>
      </c>
      <c r="S61" s="1202">
        <f t="shared" si="64"/>
        <v>544.61</v>
      </c>
      <c r="T61" s="1202">
        <f t="shared" si="64"/>
        <v>0</v>
      </c>
      <c r="U61" s="1202">
        <f t="shared" si="64"/>
        <v>0</v>
      </c>
      <c r="V61" s="1202">
        <f t="shared" si="64"/>
        <v>0</v>
      </c>
      <c r="W61" s="1202">
        <f t="shared" si="64"/>
        <v>884</v>
      </c>
      <c r="X61" s="1202">
        <f t="shared" si="64"/>
        <v>575</v>
      </c>
      <c r="Y61" s="1202">
        <f t="shared" si="64"/>
        <v>2913.8199999999997</v>
      </c>
      <c r="Z61" s="1202">
        <f t="shared" si="64"/>
        <v>18357.54</v>
      </c>
      <c r="AA61" s="1202">
        <f t="shared" si="64"/>
        <v>7660.39</v>
      </c>
      <c r="AB61" s="1202">
        <f t="shared" si="64"/>
        <v>10697.15</v>
      </c>
      <c r="AC61" s="1202">
        <f>+SUM(AC55:AC59)</f>
        <v>4957.0099999999993</v>
      </c>
      <c r="AD61" s="1181">
        <f t="shared" si="6"/>
        <v>2703.380000000001</v>
      </c>
      <c r="AE61" s="1202">
        <f>+SUM(AE55:AE59)</f>
        <v>0</v>
      </c>
    </row>
    <row r="62" spans="1:36" ht="21.95" customHeight="1">
      <c r="A62" s="1140"/>
      <c r="B62" s="1172"/>
      <c r="C62" s="1199"/>
      <c r="D62" s="1200"/>
      <c r="E62" s="1175"/>
      <c r="F62" s="1176"/>
      <c r="G62" s="1211"/>
      <c r="H62" s="1211"/>
      <c r="I62" s="1211"/>
      <c r="J62" s="1211"/>
      <c r="K62" s="1211"/>
      <c r="L62" s="1211"/>
      <c r="M62" s="1211"/>
      <c r="N62" s="1211"/>
      <c r="O62" s="1211"/>
      <c r="P62" s="1211"/>
      <c r="Q62" s="1211"/>
      <c r="R62" s="1211"/>
      <c r="S62" s="1211"/>
      <c r="T62" s="1211"/>
      <c r="U62" s="1211"/>
      <c r="V62" s="1211"/>
      <c r="W62" s="1211"/>
      <c r="X62" s="1211"/>
      <c r="Y62" s="1213"/>
      <c r="Z62" s="1211"/>
      <c r="AA62" s="1211"/>
      <c r="AB62" s="1214"/>
      <c r="AC62" s="1181">
        <f t="shared" ref="AC62:AC69" si="65">+Z62-AA62-AB62</f>
        <v>0</v>
      </c>
      <c r="AD62" s="1181">
        <f t="shared" si="6"/>
        <v>0</v>
      </c>
    </row>
    <row r="63" spans="1:36" ht="21.75" customHeight="1">
      <c r="A63" s="1140"/>
      <c r="B63" s="1167" t="s">
        <v>418</v>
      </c>
      <c r="C63" s="1199"/>
      <c r="D63" s="1200"/>
      <c r="E63" s="1175"/>
      <c r="F63" s="1176"/>
      <c r="G63" s="1211"/>
      <c r="H63" s="1211"/>
      <c r="I63" s="1211"/>
      <c r="J63" s="1211"/>
      <c r="K63" s="1211"/>
      <c r="L63" s="1211"/>
      <c r="M63" s="1211"/>
      <c r="N63" s="1211"/>
      <c r="O63" s="1211"/>
      <c r="P63" s="1211"/>
      <c r="Q63" s="1211"/>
      <c r="R63" s="1211"/>
      <c r="S63" s="1211"/>
      <c r="T63" s="1211"/>
      <c r="U63" s="1211"/>
      <c r="V63" s="1211"/>
      <c r="W63" s="1211"/>
      <c r="X63" s="1211"/>
      <c r="Y63" s="1213"/>
      <c r="Z63" s="1211"/>
      <c r="AA63" s="1211"/>
      <c r="AB63" s="1214"/>
      <c r="AC63" s="1181">
        <f t="shared" si="65"/>
        <v>0</v>
      </c>
      <c r="AD63" s="1181">
        <f t="shared" si="6"/>
        <v>0</v>
      </c>
    </row>
    <row r="64" spans="1:36" ht="21.95" customHeight="1">
      <c r="A64" s="1140">
        <v>29</v>
      </c>
      <c r="B64" s="1172" t="s">
        <v>549</v>
      </c>
      <c r="C64" s="1173" t="str">
        <f>VLOOKUP(B64,distribucion!B$9:FK$200,2,0)</f>
        <v>Auxiliar de Limpieza</v>
      </c>
      <c r="D64" s="1174">
        <f>G64+K64+M64+N64</f>
        <v>3166.38</v>
      </c>
      <c r="E64" s="1175">
        <f>VLOOKUP(B64,distribucion!B$9:FK$201,7,0)</f>
        <v>30</v>
      </c>
      <c r="F64" s="1176" t="str">
        <f>VLOOKUP(B64,distribucion!$B$9:$DQ$288,14,0)</f>
        <v xml:space="preserve"> </v>
      </c>
      <c r="G64" s="1177">
        <f>ROUND((VLOOKUP(B64,distribucion!B$1:FK$201,103,0)),2)</f>
        <v>3166.38</v>
      </c>
      <c r="H64" s="1177">
        <f>ROUND((VLOOKUP(B64,distribucion!B$9:FJ$201,104,0)),2)</f>
        <v>250</v>
      </c>
      <c r="I64" s="1177">
        <f>G64+H64</f>
        <v>3416.38</v>
      </c>
      <c r="J64" s="1177">
        <f>VLOOKUP(B64,distribucion!B$9:FK$200,105,0)</f>
        <v>0</v>
      </c>
      <c r="K64" s="1177">
        <f>ROUND((VLOOKUP(B64,distribucion!B$9:FK$201,106,0)),2)</f>
        <v>0</v>
      </c>
      <c r="L64" s="1177">
        <f>VLOOKUP(B64,distribucion!B$9:FK$201,107,0)</f>
        <v>0</v>
      </c>
      <c r="M64" s="1177">
        <f>ROUND((VLOOKUP(B64,distribucion!B$9:FK$201,108,0)),2)</f>
        <v>0</v>
      </c>
      <c r="N64" s="1177">
        <v>0</v>
      </c>
      <c r="O64" s="1178">
        <f>ROUND((VLOOKUP(B64,distribucion!B$9:FK$201,36,0)),2)</f>
        <v>0</v>
      </c>
      <c r="P64" s="1177">
        <f>SUM(I64:O64)-J64-L64</f>
        <v>3416.38</v>
      </c>
      <c r="Q64" s="1177">
        <f>ROUND(((G64+K64+M64+N64+O64)*0.0483),2)</f>
        <v>152.94</v>
      </c>
      <c r="R64" s="1177">
        <f>ROUND((VLOOKUP(B64,distribucion!B$9:FK$201,151,0)),2)</f>
        <v>0</v>
      </c>
      <c r="S64" s="1177">
        <f>ROUND((VLOOKUP(B64,distribucion!B$9:FK$201,152,0)),2)</f>
        <v>0</v>
      </c>
      <c r="T64" s="1177">
        <f>ROUND((VLOOKUP(B64,distribucion!B$9:FK$201,153,0)),2)</f>
        <v>0</v>
      </c>
      <c r="U64" s="1177">
        <f>ROUND((VLOOKUP(B64,distribucion!$B$1:$FE$228,159,0)),2)</f>
        <v>0</v>
      </c>
      <c r="V64" s="1177">
        <f>ROUND((VLOOKUP(B64,distribucion!$B$1:$FE$228,158,0)),2)</f>
        <v>0</v>
      </c>
      <c r="W64" s="1177">
        <f>ROUND((VLOOKUP(B64,distribucion!$B$1:$FE$228,154,0)),2)</f>
        <v>142.5</v>
      </c>
      <c r="X64" s="1177">
        <f>ROUND((VLOOKUP(B64,distribucion!B$9:FK$201,160,0)),2)</f>
        <v>50</v>
      </c>
      <c r="Y64" s="1179">
        <f>SUM(Q64:X64)</f>
        <v>345.44</v>
      </c>
      <c r="Z64" s="1177">
        <f>P64-Y64</f>
        <v>3070.94</v>
      </c>
      <c r="AA64" s="1985">
        <v>1554.22</v>
      </c>
      <c r="AB64" s="1180">
        <f t="shared" ref="AB64" si="66">+Z64-AA64</f>
        <v>1516.72</v>
      </c>
      <c r="AC64" s="1181">
        <f>VLOOKUP(B64,'[1]Nomina Unhesa'!$B$9:$AB$167,26,FALSE)</f>
        <v>1453.48</v>
      </c>
      <c r="AD64" s="1181">
        <f t="shared" si="6"/>
        <v>100.74000000000001</v>
      </c>
    </row>
    <row r="65" spans="1:32" ht="29.25" customHeight="1">
      <c r="A65" s="1140"/>
      <c r="B65" s="1172"/>
      <c r="C65" s="1199"/>
      <c r="D65" s="1200"/>
      <c r="E65" s="1175"/>
      <c r="F65" s="1176"/>
      <c r="G65" s="1208">
        <f t="shared" ref="G65:Z65" si="67">SUM(G64:G64)</f>
        <v>3166.38</v>
      </c>
      <c r="H65" s="1208">
        <f t="shared" si="67"/>
        <v>250</v>
      </c>
      <c r="I65" s="1208">
        <f t="shared" si="67"/>
        <v>3416.38</v>
      </c>
      <c r="J65" s="1208">
        <f t="shared" si="67"/>
        <v>0</v>
      </c>
      <c r="K65" s="1208">
        <f t="shared" si="67"/>
        <v>0</v>
      </c>
      <c r="L65" s="1208">
        <f t="shared" si="67"/>
        <v>0</v>
      </c>
      <c r="M65" s="1208">
        <f t="shared" si="67"/>
        <v>0</v>
      </c>
      <c r="N65" s="1208">
        <f t="shared" si="67"/>
        <v>0</v>
      </c>
      <c r="O65" s="1208">
        <f t="shared" si="67"/>
        <v>0</v>
      </c>
      <c r="P65" s="1208">
        <f t="shared" si="67"/>
        <v>3416.38</v>
      </c>
      <c r="Q65" s="1208">
        <f t="shared" si="67"/>
        <v>152.94</v>
      </c>
      <c r="R65" s="1208">
        <f t="shared" si="67"/>
        <v>0</v>
      </c>
      <c r="S65" s="1208">
        <f t="shared" si="67"/>
        <v>0</v>
      </c>
      <c r="T65" s="1208">
        <f t="shared" si="67"/>
        <v>0</v>
      </c>
      <c r="U65" s="1208">
        <f t="shared" si="67"/>
        <v>0</v>
      </c>
      <c r="V65" s="1208">
        <f t="shared" si="67"/>
        <v>0</v>
      </c>
      <c r="W65" s="1208">
        <f t="shared" si="67"/>
        <v>142.5</v>
      </c>
      <c r="X65" s="1208">
        <f t="shared" si="67"/>
        <v>50</v>
      </c>
      <c r="Y65" s="1208">
        <f t="shared" si="67"/>
        <v>345.44</v>
      </c>
      <c r="Z65" s="1208">
        <f t="shared" si="67"/>
        <v>3070.94</v>
      </c>
      <c r="AA65" s="1208">
        <f>SUM(AA64:AA64)</f>
        <v>1554.22</v>
      </c>
      <c r="AB65" s="1208">
        <f>SUM(AB64:AB64)</f>
        <v>1516.72</v>
      </c>
      <c r="AC65" s="1181">
        <f t="shared" si="65"/>
        <v>0</v>
      </c>
      <c r="AD65" s="1181">
        <f t="shared" si="6"/>
        <v>1554.22</v>
      </c>
    </row>
    <row r="66" spans="1:32" ht="21.95" customHeight="1">
      <c r="A66" s="1140"/>
      <c r="B66" s="1216"/>
      <c r="C66" s="1199"/>
      <c r="D66" s="1200"/>
      <c r="E66" s="1175"/>
      <c r="F66" s="1176"/>
      <c r="G66" s="1211"/>
      <c r="H66" s="1211"/>
      <c r="I66" s="1211"/>
      <c r="J66" s="1211"/>
      <c r="K66" s="1211"/>
      <c r="L66" s="1211"/>
      <c r="M66" s="1211"/>
      <c r="N66" s="1211"/>
      <c r="O66" s="1211"/>
      <c r="P66" s="1211"/>
      <c r="Q66" s="1211"/>
      <c r="R66" s="1211"/>
      <c r="S66" s="1211"/>
      <c r="T66" s="1211"/>
      <c r="U66" s="1211"/>
      <c r="V66" s="1211"/>
      <c r="W66" s="1211"/>
      <c r="X66" s="1211"/>
      <c r="Y66" s="1213"/>
      <c r="Z66" s="1211"/>
      <c r="AA66" s="1177"/>
      <c r="AB66" s="1212"/>
      <c r="AC66" s="1181">
        <f t="shared" si="65"/>
        <v>0</v>
      </c>
      <c r="AD66" s="1181">
        <f t="shared" si="6"/>
        <v>0</v>
      </c>
    </row>
    <row r="67" spans="1:32" ht="25.5" customHeight="1">
      <c r="A67" s="1140"/>
      <c r="B67" s="1216"/>
      <c r="C67" s="1199"/>
      <c r="D67" s="1250" t="s">
        <v>234</v>
      </c>
      <c r="E67" s="1175"/>
      <c r="F67" s="1251"/>
      <c r="G67" s="1202">
        <f t="shared" ref="G67:AB67" si="68">+G52+G61+G65</f>
        <v>35381.300000000003</v>
      </c>
      <c r="H67" s="1202">
        <f t="shared" si="68"/>
        <v>21402.01</v>
      </c>
      <c r="I67" s="1202">
        <f t="shared" si="68"/>
        <v>56783.31</v>
      </c>
      <c r="J67" s="1202">
        <f t="shared" si="68"/>
        <v>92.5</v>
      </c>
      <c r="K67" s="1202">
        <f t="shared" si="68"/>
        <v>1891.73</v>
      </c>
      <c r="L67" s="1202">
        <f t="shared" si="68"/>
        <v>0</v>
      </c>
      <c r="M67" s="1202">
        <f t="shared" si="68"/>
        <v>0</v>
      </c>
      <c r="N67" s="1202">
        <f t="shared" si="68"/>
        <v>0</v>
      </c>
      <c r="O67" s="1202">
        <f t="shared" si="68"/>
        <v>0</v>
      </c>
      <c r="P67" s="1202">
        <f t="shared" si="68"/>
        <v>58675.040000000001</v>
      </c>
      <c r="Q67" s="1202">
        <f t="shared" si="68"/>
        <v>1800.3100000000002</v>
      </c>
      <c r="R67" s="1202">
        <f t="shared" si="68"/>
        <v>589.49999999999989</v>
      </c>
      <c r="S67" s="1202">
        <f t="shared" si="68"/>
        <v>544.61</v>
      </c>
      <c r="T67" s="1202">
        <f t="shared" si="68"/>
        <v>0</v>
      </c>
      <c r="U67" s="1202">
        <f t="shared" si="68"/>
        <v>0</v>
      </c>
      <c r="V67" s="1202">
        <f t="shared" si="68"/>
        <v>0</v>
      </c>
      <c r="W67" s="1202">
        <f t="shared" si="68"/>
        <v>3067.75</v>
      </c>
      <c r="X67" s="1202">
        <f t="shared" si="68"/>
        <v>2569.42</v>
      </c>
      <c r="Y67" s="1202">
        <f t="shared" si="68"/>
        <v>8571.59</v>
      </c>
      <c r="Z67" s="1202">
        <f t="shared" si="68"/>
        <v>50103.450000000004</v>
      </c>
      <c r="AA67" s="1202">
        <f t="shared" si="68"/>
        <v>25388.120000000003</v>
      </c>
      <c r="AB67" s="1202">
        <f t="shared" si="68"/>
        <v>24715.33</v>
      </c>
      <c r="AC67" s="1181"/>
      <c r="AD67" s="1181">
        <f t="shared" si="6"/>
        <v>25388.120000000003</v>
      </c>
    </row>
    <row r="68" spans="1:32" ht="21.95" customHeight="1">
      <c r="A68" s="1140"/>
      <c r="B68" s="1167" t="s">
        <v>180</v>
      </c>
      <c r="C68" s="1199"/>
      <c r="D68" s="1200"/>
      <c r="E68" s="1175"/>
      <c r="F68" s="1176"/>
      <c r="G68" s="1217"/>
      <c r="H68" s="1217"/>
      <c r="I68" s="1217"/>
      <c r="J68" s="1217"/>
      <c r="K68" s="1217"/>
      <c r="L68" s="1217"/>
      <c r="M68" s="1217"/>
      <c r="N68" s="1217"/>
      <c r="O68" s="1217"/>
      <c r="P68" s="1217"/>
      <c r="Q68" s="1217"/>
      <c r="R68" s="1217"/>
      <c r="S68" s="1217"/>
      <c r="T68" s="1217"/>
      <c r="U68" s="1217"/>
      <c r="V68" s="1217"/>
      <c r="W68" s="1217"/>
      <c r="X68" s="1217"/>
      <c r="Y68" s="1218"/>
      <c r="Z68" s="1217"/>
      <c r="AA68" s="1177"/>
      <c r="AB68" s="1219"/>
      <c r="AC68" s="1181">
        <f t="shared" si="65"/>
        <v>0</v>
      </c>
      <c r="AD68" s="1181">
        <f t="shared" si="6"/>
        <v>0</v>
      </c>
    </row>
    <row r="69" spans="1:32" ht="21.95" customHeight="1">
      <c r="A69" s="1140"/>
      <c r="B69" s="1252" t="s">
        <v>105</v>
      </c>
      <c r="C69" s="1199"/>
      <c r="D69" s="1200"/>
      <c r="E69" s="1175"/>
      <c r="F69" s="1176"/>
      <c r="G69" s="1217"/>
      <c r="H69" s="1217"/>
      <c r="I69" s="1217"/>
      <c r="J69" s="1217"/>
      <c r="K69" s="1217"/>
      <c r="L69" s="1217"/>
      <c r="M69" s="1217"/>
      <c r="N69" s="1217"/>
      <c r="O69" s="1178" t="s">
        <v>54</v>
      </c>
      <c r="P69" s="1217"/>
      <c r="Q69" s="1217"/>
      <c r="R69" s="1217"/>
      <c r="S69" s="1217"/>
      <c r="T69" s="1217"/>
      <c r="U69" s="1217"/>
      <c r="V69" s="1217"/>
      <c r="W69" s="1217"/>
      <c r="X69" s="1217"/>
      <c r="Y69" s="1218"/>
      <c r="Z69" s="1217"/>
      <c r="AA69" s="1177"/>
      <c r="AB69" s="1219"/>
      <c r="AC69" s="1181">
        <f t="shared" si="65"/>
        <v>0</v>
      </c>
      <c r="AD69" s="1181">
        <f t="shared" si="6"/>
        <v>0</v>
      </c>
    </row>
    <row r="70" spans="1:32" ht="21.95" customHeight="1">
      <c r="A70" s="1140">
        <v>30</v>
      </c>
      <c r="B70" s="1253" t="str">
        <f>+distribucion!B125</f>
        <v>Jimenez Ventura Angel Eduardo</v>
      </c>
      <c r="C70" s="1173" t="str">
        <f>VLOOKUP(B70,distribucion!B$9:FK$200,2,0)</f>
        <v>Asistente de Vta en Linea</v>
      </c>
      <c r="D70" s="1174">
        <f t="shared" ref="D70:D72" si="69">G70+K70+M70+N70</f>
        <v>3601.76</v>
      </c>
      <c r="E70" s="1175">
        <f>VLOOKUP(B70,distribucion!B$9:FK$201,7,0)</f>
        <v>30</v>
      </c>
      <c r="F70" s="1176">
        <f>VLOOKUP(B70,distribucion!$B$9:$DQ$288,14,0)</f>
        <v>0</v>
      </c>
      <c r="G70" s="1177">
        <f>ROUND((VLOOKUP(B70,distribucion!B$1:FK$201,103,0)),2)</f>
        <v>3166.38</v>
      </c>
      <c r="H70" s="1177">
        <f>ROUND((VLOOKUP(B70,distribucion!B$9:FJ$201,104,0)),2)</f>
        <v>250</v>
      </c>
      <c r="I70" s="1177">
        <f t="shared" ref="I70:I72" si="70">G70+H70</f>
        <v>3416.38</v>
      </c>
      <c r="J70" s="1177">
        <f>VLOOKUP(B70,distribucion!B$9:FK$200,105,0)</f>
        <v>22</v>
      </c>
      <c r="K70" s="1177">
        <f>ROUND((VLOOKUP(B70,distribucion!B$9:FK$201,106,0)),2)</f>
        <v>435.38</v>
      </c>
      <c r="L70" s="1177">
        <f>VLOOKUP(B70,distribucion!B$9:FK$201,107,0)</f>
        <v>0</v>
      </c>
      <c r="M70" s="1177">
        <f>ROUND((VLOOKUP(B70,distribucion!B$9:FK$201,108,0)),2)</f>
        <v>0</v>
      </c>
      <c r="N70" s="1177">
        <v>0</v>
      </c>
      <c r="O70" s="1178">
        <f>ROUND((VLOOKUP(B70,distribucion!B$9:FK$201,36,0)),2)</f>
        <v>0</v>
      </c>
      <c r="P70" s="1177">
        <f t="shared" ref="P70:P72" si="71">SUM(I70:O70)-J70-L70</f>
        <v>3851.76</v>
      </c>
      <c r="Q70" s="1177">
        <f t="shared" ref="Q70:Q72" si="72">ROUND(((G70+K70+M70+N70+O70)*0.0483),2)</f>
        <v>173.97</v>
      </c>
      <c r="R70" s="1177">
        <f>ROUND((VLOOKUP(B70,distribucion!B$9:FK$201,151,0)),2)</f>
        <v>0</v>
      </c>
      <c r="S70" s="1177">
        <f>ROUND((VLOOKUP(B70,distribucion!B$9:FK$201,152,0)),2)</f>
        <v>0</v>
      </c>
      <c r="T70" s="1177">
        <f>ROUND((VLOOKUP(B70,distribucion!B$9:FK$201,153,0)),2)</f>
        <v>0</v>
      </c>
      <c r="U70" s="1177">
        <f>ROUND((VLOOKUP(B70,distribucion!$B$1:$FE$228,159,0)),2)</f>
        <v>0</v>
      </c>
      <c r="V70" s="1177">
        <f>ROUND((VLOOKUP(B70,distribucion!$B$1:$FE$228,158,0)),2)</f>
        <v>0</v>
      </c>
      <c r="W70" s="1177">
        <f>ROUND((VLOOKUP(B70,distribucion!$B$1:$FE$228,154,0)),2)</f>
        <v>0</v>
      </c>
      <c r="X70" s="1177">
        <f>ROUND((VLOOKUP(B70,distribucion!B$9:FK$201,160,0)),2)</f>
        <v>50</v>
      </c>
      <c r="Y70" s="1179">
        <f t="shared" ref="Y70:Y72" si="73">SUM(Q70:X70)</f>
        <v>223.97</v>
      </c>
      <c r="Z70" s="1177">
        <f t="shared" ref="Z70:Z72" si="74">P70-Y70</f>
        <v>3627.7900000000004</v>
      </c>
      <c r="AA70" s="1985">
        <v>1631.72</v>
      </c>
      <c r="AB70" s="1180">
        <f t="shared" ref="AB70:AB72" si="75">+Z70-AA70</f>
        <v>1996.0700000000004</v>
      </c>
      <c r="AC70" s="1181">
        <f>VLOOKUP(B70,'[1]Nomina Unhesa'!$B$9:$AB$167,26,FALSE)</f>
        <v>1533.1499999999999</v>
      </c>
      <c r="AD70" s="1181">
        <f t="shared" ref="AD70:AD132" si="76">+AA70-AC70</f>
        <v>98.570000000000164</v>
      </c>
    </row>
    <row r="71" spans="1:32" ht="21.95" customHeight="1">
      <c r="A71" s="1140">
        <f t="shared" ref="A71:A72" si="77">+A70+1</f>
        <v>31</v>
      </c>
      <c r="B71" s="1254" t="str">
        <f>+distribucion!B132</f>
        <v>Cajbon Chacat Mario Adolfo</v>
      </c>
      <c r="C71" s="1173" t="str">
        <f>VLOOKUP(B71,distribucion!B$9:FK$200,2,0)</f>
        <v xml:space="preserve">Facturador </v>
      </c>
      <c r="D71" s="1174">
        <f t="shared" si="69"/>
        <v>3403.86</v>
      </c>
      <c r="E71" s="1175">
        <f>VLOOKUP(B71,distribucion!B$9:FK$201,7,0)</f>
        <v>30</v>
      </c>
      <c r="F71" s="1176">
        <f>VLOOKUP(B71,distribucion!$B$9:$DQ$288,14,0)</f>
        <v>0</v>
      </c>
      <c r="G71" s="1177">
        <f>ROUND((VLOOKUP(B71,distribucion!B$1:FK$201,103,0)),2)</f>
        <v>3166.38</v>
      </c>
      <c r="H71" s="1177">
        <f>ROUND((VLOOKUP(B71,distribucion!B$9:FJ$201,104,0)),2)</f>
        <v>250</v>
      </c>
      <c r="I71" s="1177">
        <f t="shared" si="70"/>
        <v>3416.38</v>
      </c>
      <c r="J71" s="1177">
        <f>VLOOKUP(B71,distribucion!B$9:FK$200,105,0)</f>
        <v>12</v>
      </c>
      <c r="K71" s="1177">
        <f>ROUND((VLOOKUP(B71,distribucion!B$9:FK$201,106,0)),2)</f>
        <v>237.48</v>
      </c>
      <c r="L71" s="1177">
        <f>VLOOKUP(B71,distribucion!B$9:FK$201,107,0)</f>
        <v>0</v>
      </c>
      <c r="M71" s="1177">
        <f>ROUND((VLOOKUP(B71,distribucion!B$9:FK$201,108,0)),2)</f>
        <v>0</v>
      </c>
      <c r="N71" s="1177">
        <v>0</v>
      </c>
      <c r="O71" s="1178">
        <f>ROUND((VLOOKUP(B71,distribucion!B$9:FK$201,36,0)),2)</f>
        <v>0</v>
      </c>
      <c r="P71" s="1177">
        <f t="shared" si="71"/>
        <v>3653.86</v>
      </c>
      <c r="Q71" s="1177">
        <f t="shared" si="72"/>
        <v>164.41</v>
      </c>
      <c r="R71" s="1177">
        <f>ROUND((VLOOKUP(B71,distribucion!B$9:FK$201,151,0)),2)</f>
        <v>0</v>
      </c>
      <c r="S71" s="1177">
        <f>ROUND((VLOOKUP(B71,distribucion!B$9:FK$201,152,0)),2)</f>
        <v>0</v>
      </c>
      <c r="T71" s="1177">
        <f>ROUND((VLOOKUP(B71,distribucion!B$9:FK$201,153,0)),2)</f>
        <v>0</v>
      </c>
      <c r="U71" s="1177">
        <f>ROUND((VLOOKUP(B71,distribucion!$B$1:$FE$228,159,0)),2)</f>
        <v>0</v>
      </c>
      <c r="V71" s="1177">
        <f>ROUND((VLOOKUP(B71,distribucion!$B$1:$FE$228,158,0)),2)</f>
        <v>0</v>
      </c>
      <c r="W71" s="1177">
        <f>ROUND((VLOOKUP(B71,distribucion!$B$1:$FE$228,154,0)),2)</f>
        <v>142.5</v>
      </c>
      <c r="X71" s="1177">
        <f>ROUND((VLOOKUP(B71,distribucion!B$9:FK$201,160,0)),2)</f>
        <v>50</v>
      </c>
      <c r="Y71" s="1179">
        <f t="shared" si="73"/>
        <v>356.90999999999997</v>
      </c>
      <c r="Z71" s="1177">
        <f t="shared" si="74"/>
        <v>3296.9500000000003</v>
      </c>
      <c r="AA71" s="1985">
        <v>1599.72</v>
      </c>
      <c r="AB71" s="1180">
        <f t="shared" si="75"/>
        <v>1697.2300000000002</v>
      </c>
      <c r="AC71" s="1181">
        <f>VLOOKUP(B71,'[1]Nomina Unhesa'!$B$9:$AB$167,26,FALSE)</f>
        <v>1552.55</v>
      </c>
      <c r="AD71" s="1181">
        <f t="shared" si="76"/>
        <v>47.170000000000073</v>
      </c>
    </row>
    <row r="72" spans="1:32" s="1230" customFormat="1" ht="21.75" customHeight="1">
      <c r="A72" s="1140">
        <f t="shared" si="77"/>
        <v>32</v>
      </c>
      <c r="B72" s="1236" t="s">
        <v>579</v>
      </c>
      <c r="C72" s="1173" t="str">
        <f>VLOOKUP(B72,distribucion!B$9:FK$200,2,0)</f>
        <v>Encargado de Bodega PT</v>
      </c>
      <c r="D72" s="1225">
        <f t="shared" si="69"/>
        <v>3562.1800000000003</v>
      </c>
      <c r="E72" s="1226">
        <f>VLOOKUP(B72,distribucion!B$9:FK$201,7,0)</f>
        <v>30</v>
      </c>
      <c r="F72" s="1227">
        <f>VLOOKUP(B72,distribucion!$B$9:$DQ$288,14,0)</f>
        <v>0</v>
      </c>
      <c r="G72" s="1228">
        <f>ROUND((VLOOKUP(B72,distribucion!B$1:FK$201,103,0)),2)</f>
        <v>3166.38</v>
      </c>
      <c r="H72" s="1228">
        <f>ROUND((VLOOKUP(B72,distribucion!B$9:FJ$201,104,0)),2)</f>
        <v>1000</v>
      </c>
      <c r="I72" s="1228">
        <f t="shared" si="70"/>
        <v>4166.38</v>
      </c>
      <c r="J72" s="1228">
        <f>VLOOKUP(B72,distribucion!B$9:FK$200,105,0)</f>
        <v>20</v>
      </c>
      <c r="K72" s="1228">
        <f>ROUND((VLOOKUP(B72,distribucion!B$9:FK$201,106,0)),2)</f>
        <v>395.8</v>
      </c>
      <c r="L72" s="1228">
        <f>VLOOKUP(B72,distribucion!B$9:FK$201,107,0)</f>
        <v>0</v>
      </c>
      <c r="M72" s="1228">
        <f>ROUND((VLOOKUP(B72,distribucion!B$9:FK$201,108,0)),2)</f>
        <v>0</v>
      </c>
      <c r="N72" s="1228">
        <v>0</v>
      </c>
      <c r="O72" s="1228">
        <f>ROUND((VLOOKUP(B72,distribucion!B$9:FK$201,36,0)),2)</f>
        <v>0</v>
      </c>
      <c r="P72" s="1228">
        <f t="shared" si="71"/>
        <v>4562.18</v>
      </c>
      <c r="Q72" s="1228">
        <f t="shared" si="72"/>
        <v>172.05</v>
      </c>
      <c r="R72" s="1228">
        <f>ROUND((VLOOKUP(B72,distribucion!B$9:FK$201,151,0)),2)</f>
        <v>19.670000000000002</v>
      </c>
      <c r="S72" s="1228">
        <f>ROUND((VLOOKUP(B72,distribucion!B$9:FK$201,152,0)),2)</f>
        <v>1163.6400000000001</v>
      </c>
      <c r="T72" s="1228">
        <f>ROUND((VLOOKUP(B72,distribucion!B$9:FK$201,153,0)),2)</f>
        <v>58</v>
      </c>
      <c r="U72" s="1228">
        <f>ROUND((VLOOKUP(B72,distribucion!$B$1:$FE$228,159,0)),2)</f>
        <v>160</v>
      </c>
      <c r="V72" s="1228">
        <f>ROUND((VLOOKUP(B72,distribucion!$B$1:$FE$228,158,0)),2)</f>
        <v>0</v>
      </c>
      <c r="W72" s="1228">
        <f>ROUND((VLOOKUP(B72,distribucion!$B$1:$FE$228,154,0)),2)</f>
        <v>0</v>
      </c>
      <c r="X72" s="1228">
        <f>ROUND((VLOOKUP(B72,distribucion!B$9:FK$201,160,0)),2)</f>
        <v>50</v>
      </c>
      <c r="Y72" s="1229">
        <f t="shared" si="73"/>
        <v>1623.3600000000001</v>
      </c>
      <c r="Z72" s="1228">
        <f t="shared" si="74"/>
        <v>2938.82</v>
      </c>
      <c r="AA72" s="1985">
        <v>1344.9</v>
      </c>
      <c r="AB72" s="1180">
        <f t="shared" si="75"/>
        <v>1593.92</v>
      </c>
      <c r="AC72" s="1181">
        <f>VLOOKUP(B72,'[1]Nomina Unhesa'!$B$9:$AB$167,26,FALSE)</f>
        <v>560.90999999999985</v>
      </c>
      <c r="AD72" s="1181">
        <f t="shared" si="76"/>
        <v>783.99000000000024</v>
      </c>
      <c r="AF72" s="1144"/>
    </row>
    <row r="73" spans="1:32" ht="30.75" customHeight="1">
      <c r="A73" s="1140"/>
      <c r="B73" s="1198"/>
      <c r="C73" s="1199" t="s">
        <v>204</v>
      </c>
      <c r="D73" s="1200"/>
      <c r="E73" s="1199"/>
      <c r="F73" s="1255"/>
      <c r="G73" s="1208">
        <f t="shared" ref="G73:AB73" si="78">SUM(G70:G72)</f>
        <v>9499.14</v>
      </c>
      <c r="H73" s="1208">
        <f t="shared" si="78"/>
        <v>1500</v>
      </c>
      <c r="I73" s="1208">
        <f t="shared" si="78"/>
        <v>10999.14</v>
      </c>
      <c r="J73" s="1208">
        <f t="shared" si="78"/>
        <v>54</v>
      </c>
      <c r="K73" s="1208">
        <f t="shared" si="78"/>
        <v>1068.6600000000001</v>
      </c>
      <c r="L73" s="1208">
        <f t="shared" si="78"/>
        <v>0</v>
      </c>
      <c r="M73" s="1208">
        <f t="shared" si="78"/>
        <v>0</v>
      </c>
      <c r="N73" s="1208">
        <f t="shared" si="78"/>
        <v>0</v>
      </c>
      <c r="O73" s="1208">
        <f t="shared" si="78"/>
        <v>0</v>
      </c>
      <c r="P73" s="1208">
        <f t="shared" si="78"/>
        <v>12067.800000000001</v>
      </c>
      <c r="Q73" s="1208">
        <f t="shared" si="78"/>
        <v>510.43</v>
      </c>
      <c r="R73" s="1208">
        <f t="shared" si="78"/>
        <v>19.670000000000002</v>
      </c>
      <c r="S73" s="1208">
        <f t="shared" si="78"/>
        <v>1163.6400000000001</v>
      </c>
      <c r="T73" s="1208">
        <f t="shared" si="78"/>
        <v>58</v>
      </c>
      <c r="U73" s="1208">
        <f t="shared" si="78"/>
        <v>160</v>
      </c>
      <c r="V73" s="1208">
        <f t="shared" si="78"/>
        <v>0</v>
      </c>
      <c r="W73" s="1208">
        <f t="shared" si="78"/>
        <v>142.5</v>
      </c>
      <c r="X73" s="1208">
        <f t="shared" si="78"/>
        <v>150</v>
      </c>
      <c r="Y73" s="1208">
        <f t="shared" si="78"/>
        <v>2204.2400000000002</v>
      </c>
      <c r="Z73" s="1208">
        <f t="shared" si="78"/>
        <v>9863.5600000000013</v>
      </c>
      <c r="AA73" s="1208">
        <f t="shared" si="78"/>
        <v>4576.34</v>
      </c>
      <c r="AB73" s="1208">
        <f t="shared" si="78"/>
        <v>5287.2200000000012</v>
      </c>
      <c r="AC73" s="1181">
        <f t="shared" ref="AC73:AC80" si="79">+Z73-AA73-AB73</f>
        <v>0</v>
      </c>
      <c r="AD73" s="1181">
        <f t="shared" si="76"/>
        <v>4576.34</v>
      </c>
    </row>
    <row r="74" spans="1:32" ht="21.95" customHeight="1">
      <c r="A74" s="1140"/>
      <c r="B74" s="1216"/>
      <c r="C74" s="1199"/>
      <c r="D74" s="1200"/>
      <c r="E74" s="1175"/>
      <c r="F74" s="1176"/>
      <c r="G74" s="1217"/>
      <c r="H74" s="1217"/>
      <c r="I74" s="1217"/>
      <c r="J74" s="1217"/>
      <c r="K74" s="1217"/>
      <c r="L74" s="1217"/>
      <c r="M74" s="1217"/>
      <c r="N74" s="1217"/>
      <c r="O74" s="1217"/>
      <c r="P74" s="1217"/>
      <c r="Q74" s="1217"/>
      <c r="R74" s="1217"/>
      <c r="S74" s="1217"/>
      <c r="T74" s="1217"/>
      <c r="U74" s="1217"/>
      <c r="V74" s="1217"/>
      <c r="W74" s="1217"/>
      <c r="X74" s="1217"/>
      <c r="Y74" s="1218"/>
      <c r="Z74" s="1217"/>
      <c r="AA74" s="1177"/>
      <c r="AB74" s="1219"/>
      <c r="AC74" s="1181">
        <f t="shared" si="79"/>
        <v>0</v>
      </c>
      <c r="AD74" s="1181">
        <f t="shared" si="76"/>
        <v>0</v>
      </c>
    </row>
    <row r="75" spans="1:32" ht="21.95" customHeight="1">
      <c r="A75" s="1140"/>
      <c r="B75" s="1252" t="s">
        <v>319</v>
      </c>
      <c r="C75" s="1199"/>
      <c r="D75" s="1200"/>
      <c r="E75" s="1175"/>
      <c r="F75" s="1176"/>
      <c r="G75" s="1217"/>
      <c r="H75" s="1217"/>
      <c r="I75" s="1217"/>
      <c r="J75" s="1217"/>
      <c r="K75" s="1217"/>
      <c r="L75" s="1217"/>
      <c r="M75" s="1217"/>
      <c r="N75" s="1217"/>
      <c r="O75" s="1217"/>
      <c r="P75" s="1217"/>
      <c r="Q75" s="1217"/>
      <c r="R75" s="1217"/>
      <c r="S75" s="1217"/>
      <c r="T75" s="1217"/>
      <c r="U75" s="1217"/>
      <c r="V75" s="1217"/>
      <c r="W75" s="1217"/>
      <c r="X75" s="1217"/>
      <c r="Y75" s="1218"/>
      <c r="Z75" s="1217"/>
      <c r="AA75" s="1177"/>
      <c r="AB75" s="1219"/>
      <c r="AC75" s="1181">
        <f t="shared" si="79"/>
        <v>0</v>
      </c>
      <c r="AD75" s="1181">
        <f t="shared" si="76"/>
        <v>0</v>
      </c>
    </row>
    <row r="76" spans="1:32" s="1197" customFormat="1" ht="21.95" customHeight="1">
      <c r="A76" s="1190">
        <f>A72+1</f>
        <v>33</v>
      </c>
      <c r="B76" s="1241" t="s">
        <v>614</v>
      </c>
      <c r="C76" s="1191" t="str">
        <f>VLOOKUP(B76,distribucion!B$9:FK$200,2,0)</f>
        <v>Auxiliar de Bodega</v>
      </c>
      <c r="D76" s="1192">
        <f>G76+K76+M76+N76</f>
        <v>3542.3900000000003</v>
      </c>
      <c r="E76" s="1193">
        <f>VLOOKUP(B76,distribucion!B$9:FK$201,7,0)</f>
        <v>30</v>
      </c>
      <c r="F76" s="1194">
        <f>VLOOKUP(B76,distribucion!$B$9:$DQ$288,14,0)</f>
        <v>0</v>
      </c>
      <c r="G76" s="1178">
        <f>ROUND((VLOOKUP(B76,distribucion!B$1:FK$201,103,0)),2)</f>
        <v>3166.38</v>
      </c>
      <c r="H76" s="1178">
        <f>ROUND((VLOOKUP(B76,distribucion!B$9:FJ$201,104,0)),2)</f>
        <v>700</v>
      </c>
      <c r="I76" s="1178">
        <f>G76+H76</f>
        <v>3866.38</v>
      </c>
      <c r="J76" s="1178">
        <f>VLOOKUP(B76,distribucion!B$9:FK$200,105,0)</f>
        <v>19</v>
      </c>
      <c r="K76" s="1178">
        <f>ROUND((VLOOKUP(B76,distribucion!B$9:FK$201,106,0)),2)</f>
        <v>376.01</v>
      </c>
      <c r="L76" s="1178">
        <f>VLOOKUP(B76,distribucion!B$9:FK$201,107,0)</f>
        <v>0</v>
      </c>
      <c r="M76" s="1178">
        <f>ROUND((VLOOKUP(B76,distribucion!B$9:FK$201,108,0)),2)</f>
        <v>0</v>
      </c>
      <c r="N76" s="1178">
        <v>0</v>
      </c>
      <c r="O76" s="1178">
        <f>ROUND((VLOOKUP(B76,distribucion!B$9:FK$201,36,0)),2)</f>
        <v>0</v>
      </c>
      <c r="P76" s="1178">
        <f>SUM(I76:O76)-J76-L76</f>
        <v>4242.3900000000003</v>
      </c>
      <c r="Q76" s="1178">
        <f>ROUND(((G76+K76+M76+N76+O76)*0.0483),2)</f>
        <v>171.1</v>
      </c>
      <c r="R76" s="1178">
        <f>ROUND((VLOOKUP(B76,distribucion!B$9:FK$201,151,0)),2)</f>
        <v>0</v>
      </c>
      <c r="S76" s="1178">
        <f>ROUND((VLOOKUP(B76,distribucion!B$9:FK$201,152,0)),2)</f>
        <v>0</v>
      </c>
      <c r="T76" s="1178">
        <f>ROUND((VLOOKUP(B76,distribucion!B$9:FK$201,153,0)),2)</f>
        <v>0</v>
      </c>
      <c r="U76" s="1178">
        <f>ROUND((VLOOKUP(B76,distribucion!$B$1:$FE$228,159,0)),2)</f>
        <v>0</v>
      </c>
      <c r="V76" s="1178">
        <f>ROUND((VLOOKUP(B76,distribucion!$B$1:$FE$228,158,0)),2)</f>
        <v>0</v>
      </c>
      <c r="W76" s="1178">
        <f>ROUND((VLOOKUP(B76,distribucion!$B$1:$FE$228,154,0)),2)</f>
        <v>0</v>
      </c>
      <c r="X76" s="1178">
        <f>ROUND((VLOOKUP(B76,distribucion!B$9:FK$201,160,0)),2)</f>
        <v>50</v>
      </c>
      <c r="Y76" s="1195">
        <f>SUM(Q76:X76)</f>
        <v>221.1</v>
      </c>
      <c r="Z76" s="1178">
        <f>P76-Y76</f>
        <v>4021.2900000000004</v>
      </c>
      <c r="AA76" s="1985">
        <v>1706.72</v>
      </c>
      <c r="AB76" s="1180">
        <f t="shared" ref="AB76:AB77" si="80">+Z76-AA76</f>
        <v>2314.5700000000006</v>
      </c>
      <c r="AC76" s="1181">
        <f>VLOOKUP(B76,'[1]Nomina Unhesa'!$B$9:$AB$167,26,FALSE)</f>
        <v>1608.1499999999999</v>
      </c>
      <c r="AD76" s="1181">
        <f t="shared" si="76"/>
        <v>98.570000000000164</v>
      </c>
    </row>
    <row r="77" spans="1:32" s="1197" customFormat="1" ht="21.95" customHeight="1">
      <c r="A77" s="1190">
        <v>34</v>
      </c>
      <c r="B77" s="1241" t="str">
        <f>+distribucion!B139</f>
        <v>Marroquin Cruz Kevin Omar</v>
      </c>
      <c r="C77" s="1191" t="str">
        <f>VLOOKUP(B77,distribucion!B$9:FK$200,2,0)</f>
        <v>Auxiliar de Bodega</v>
      </c>
      <c r="D77" s="1192">
        <f>G77+K77+M77+N77</f>
        <v>3839.2400000000002</v>
      </c>
      <c r="E77" s="1193">
        <f>VLOOKUP(B77,distribucion!B$9:FK$201,7,0)</f>
        <v>30</v>
      </c>
      <c r="F77" s="1194">
        <f>VLOOKUP(B77,distribucion!$B$9:$DQ$288,14,0)</f>
        <v>0</v>
      </c>
      <c r="G77" s="1178">
        <f>ROUND((VLOOKUP(B77,distribucion!B$1:FK$201,103,0)),2)</f>
        <v>3166.38</v>
      </c>
      <c r="H77" s="1178">
        <f>ROUND((VLOOKUP(B77,distribucion!B$9:FJ$201,104,0)),2)</f>
        <v>490</v>
      </c>
      <c r="I77" s="1178">
        <f>G77+H77</f>
        <v>3656.38</v>
      </c>
      <c r="J77" s="1178">
        <f>VLOOKUP(B77,distribucion!B$9:FK$200,105,0)</f>
        <v>34</v>
      </c>
      <c r="K77" s="1178">
        <f>ROUND((VLOOKUP(B77,distribucion!B$9:FK$201,106,0)),2)</f>
        <v>672.86</v>
      </c>
      <c r="L77" s="1178">
        <f>VLOOKUP(B77,distribucion!B$9:FK$201,107,0)</f>
        <v>0</v>
      </c>
      <c r="M77" s="1178">
        <f>ROUND((VLOOKUP(B77,distribucion!B$9:FK$201,108,0)),2)</f>
        <v>0</v>
      </c>
      <c r="N77" s="1178">
        <v>0</v>
      </c>
      <c r="O77" s="1178">
        <f>ROUND((VLOOKUP(B77,distribucion!B$9:FK$201,36,0)),2)</f>
        <v>0</v>
      </c>
      <c r="P77" s="1178">
        <f>SUM(I77:O77)-J77-L77</f>
        <v>4329.24</v>
      </c>
      <c r="Q77" s="1178">
        <f>ROUND(((G77+K77+M77+N77+O77)*0.0483),2)</f>
        <v>185.44</v>
      </c>
      <c r="R77" s="1178">
        <f>ROUND((VLOOKUP(B77,distribucion!B$9:FK$201,151,0)),2)</f>
        <v>0</v>
      </c>
      <c r="S77" s="1178">
        <f>ROUND((VLOOKUP(B77,distribucion!B$9:FK$201,152,0)),2)</f>
        <v>0</v>
      </c>
      <c r="T77" s="1178">
        <f>ROUND((VLOOKUP(B77,distribucion!B$9:FK$201,153,0)),2)</f>
        <v>0</v>
      </c>
      <c r="U77" s="1178">
        <f>ROUND((VLOOKUP(B77,distribucion!$B$1:$FE$228,159,0)),2)</f>
        <v>0</v>
      </c>
      <c r="V77" s="1178">
        <f>ROUND((VLOOKUP(B77,distribucion!$B$1:$FE$228,158,0)),2)</f>
        <v>0</v>
      </c>
      <c r="W77" s="1178">
        <f>ROUND((VLOOKUP(B77,distribucion!$B$1:$FE$228,154,0)),2)</f>
        <v>0</v>
      </c>
      <c r="X77" s="1178">
        <f>ROUND((VLOOKUP(B77,distribucion!B$9:FK$201,160,0)),2)</f>
        <v>50</v>
      </c>
      <c r="Y77" s="1195">
        <f>SUM(Q77:X77)</f>
        <v>235.44</v>
      </c>
      <c r="Z77" s="1178">
        <f>P77-Y77</f>
        <v>4093.7999999999997</v>
      </c>
      <c r="AA77" s="1985">
        <v>1631.72</v>
      </c>
      <c r="AB77" s="1180">
        <f t="shared" si="80"/>
        <v>2462.08</v>
      </c>
      <c r="AC77" s="1181" t="e">
        <f>VLOOKUP(B77,'[1]Nomina Unhesa'!$B$9:$AB$167,26,FALSE)</f>
        <v>#N/A</v>
      </c>
      <c r="AD77" s="1181" t="e">
        <f t="shared" si="76"/>
        <v>#N/A</v>
      </c>
    </row>
    <row r="78" spans="1:32" ht="21.95" customHeight="1">
      <c r="A78" s="1140"/>
      <c r="B78" s="1198"/>
      <c r="C78" s="1199"/>
      <c r="D78" s="1200"/>
      <c r="E78" s="1199"/>
      <c r="F78" s="1255"/>
      <c r="G78" s="1208">
        <f>+G76+G77</f>
        <v>6332.76</v>
      </c>
      <c r="H78" s="1208">
        <f t="shared" ref="H78:AB78" si="81">+H76+H77</f>
        <v>1190</v>
      </c>
      <c r="I78" s="1208">
        <f t="shared" si="81"/>
        <v>7522.76</v>
      </c>
      <c r="J78" s="1208">
        <f t="shared" si="81"/>
        <v>53</v>
      </c>
      <c r="K78" s="1208">
        <f t="shared" si="81"/>
        <v>1048.8699999999999</v>
      </c>
      <c r="L78" s="1208">
        <f t="shared" si="81"/>
        <v>0</v>
      </c>
      <c r="M78" s="1208">
        <f t="shared" si="81"/>
        <v>0</v>
      </c>
      <c r="N78" s="1208">
        <f t="shared" si="81"/>
        <v>0</v>
      </c>
      <c r="O78" s="1208">
        <f t="shared" si="81"/>
        <v>0</v>
      </c>
      <c r="P78" s="1208">
        <f t="shared" si="81"/>
        <v>8571.630000000001</v>
      </c>
      <c r="Q78" s="1208">
        <f t="shared" si="81"/>
        <v>356.53999999999996</v>
      </c>
      <c r="R78" s="1208">
        <f t="shared" si="81"/>
        <v>0</v>
      </c>
      <c r="S78" s="1208">
        <f t="shared" si="81"/>
        <v>0</v>
      </c>
      <c r="T78" s="1208">
        <f t="shared" si="81"/>
        <v>0</v>
      </c>
      <c r="U78" s="1208">
        <f t="shared" si="81"/>
        <v>0</v>
      </c>
      <c r="V78" s="1208">
        <f t="shared" si="81"/>
        <v>0</v>
      </c>
      <c r="W78" s="1208">
        <f t="shared" si="81"/>
        <v>0</v>
      </c>
      <c r="X78" s="1208">
        <f t="shared" si="81"/>
        <v>100</v>
      </c>
      <c r="Y78" s="1208">
        <f t="shared" si="81"/>
        <v>456.53999999999996</v>
      </c>
      <c r="Z78" s="1208">
        <f t="shared" si="81"/>
        <v>8115.09</v>
      </c>
      <c r="AA78" s="1208">
        <f>+AA76+AA77</f>
        <v>3338.44</v>
      </c>
      <c r="AB78" s="1208">
        <f t="shared" si="81"/>
        <v>4776.6500000000005</v>
      </c>
      <c r="AC78" s="1208"/>
      <c r="AD78" s="1181">
        <f t="shared" si="76"/>
        <v>3338.44</v>
      </c>
      <c r="AE78" s="1208"/>
    </row>
    <row r="79" spans="1:32" ht="21.95" customHeight="1">
      <c r="A79" s="1140"/>
      <c r="B79" s="1198"/>
      <c r="C79" s="1199"/>
      <c r="D79" s="1200"/>
      <c r="E79" s="1199"/>
      <c r="F79" s="1255"/>
      <c r="G79" s="1208"/>
      <c r="H79" s="1208"/>
      <c r="I79" s="1208"/>
      <c r="J79" s="1208"/>
      <c r="K79" s="1208"/>
      <c r="L79" s="1208"/>
      <c r="M79" s="1208"/>
      <c r="N79" s="1208"/>
      <c r="O79" s="1208"/>
      <c r="P79" s="1208"/>
      <c r="Q79" s="1208"/>
      <c r="R79" s="1208"/>
      <c r="S79" s="1208"/>
      <c r="T79" s="1208"/>
      <c r="U79" s="1208"/>
      <c r="V79" s="1208"/>
      <c r="W79" s="1208"/>
      <c r="X79" s="1208"/>
      <c r="Y79" s="1220"/>
      <c r="Z79" s="1208"/>
      <c r="AA79" s="1208"/>
      <c r="AB79" s="1256"/>
      <c r="AC79" s="1181">
        <f t="shared" si="79"/>
        <v>0</v>
      </c>
      <c r="AD79" s="1181">
        <f t="shared" si="76"/>
        <v>0</v>
      </c>
    </row>
    <row r="80" spans="1:32" ht="33" customHeight="1">
      <c r="A80" s="1140"/>
      <c r="B80" s="1172"/>
      <c r="C80" s="1257"/>
      <c r="D80" s="1250" t="s">
        <v>235</v>
      </c>
      <c r="E80" s="1175"/>
      <c r="F80" s="1251"/>
      <c r="G80" s="1202">
        <f t="shared" ref="G80:AB80" si="82">+G73+G78</f>
        <v>15831.9</v>
      </c>
      <c r="H80" s="1202">
        <f t="shared" si="82"/>
        <v>2690</v>
      </c>
      <c r="I80" s="1202">
        <f t="shared" si="82"/>
        <v>18521.900000000001</v>
      </c>
      <c r="J80" s="1202">
        <f t="shared" si="82"/>
        <v>107</v>
      </c>
      <c r="K80" s="1202">
        <f t="shared" si="82"/>
        <v>2117.5299999999997</v>
      </c>
      <c r="L80" s="1202">
        <f t="shared" si="82"/>
        <v>0</v>
      </c>
      <c r="M80" s="1202">
        <f t="shared" si="82"/>
        <v>0</v>
      </c>
      <c r="N80" s="1202">
        <f t="shared" si="82"/>
        <v>0</v>
      </c>
      <c r="O80" s="1202">
        <f t="shared" si="82"/>
        <v>0</v>
      </c>
      <c r="P80" s="1202">
        <f t="shared" si="82"/>
        <v>20639.43</v>
      </c>
      <c r="Q80" s="1202">
        <f t="shared" si="82"/>
        <v>866.97</v>
      </c>
      <c r="R80" s="1202">
        <f t="shared" si="82"/>
        <v>19.670000000000002</v>
      </c>
      <c r="S80" s="1202">
        <f t="shared" si="82"/>
        <v>1163.6400000000001</v>
      </c>
      <c r="T80" s="1202">
        <f t="shared" si="82"/>
        <v>58</v>
      </c>
      <c r="U80" s="1202">
        <f t="shared" si="82"/>
        <v>160</v>
      </c>
      <c r="V80" s="1202">
        <f t="shared" si="82"/>
        <v>0</v>
      </c>
      <c r="W80" s="1202">
        <f t="shared" si="82"/>
        <v>142.5</v>
      </c>
      <c r="X80" s="1202">
        <f t="shared" si="82"/>
        <v>250</v>
      </c>
      <c r="Y80" s="1202">
        <f t="shared" si="82"/>
        <v>2660.78</v>
      </c>
      <c r="Z80" s="1202">
        <f t="shared" si="82"/>
        <v>17978.650000000001</v>
      </c>
      <c r="AA80" s="1202">
        <f>+AA73+AA78</f>
        <v>7914.7800000000007</v>
      </c>
      <c r="AB80" s="1202">
        <f t="shared" si="82"/>
        <v>10063.870000000003</v>
      </c>
      <c r="AC80" s="1181">
        <f t="shared" si="79"/>
        <v>0</v>
      </c>
      <c r="AD80" s="1181">
        <f t="shared" si="76"/>
        <v>7914.7800000000007</v>
      </c>
    </row>
    <row r="81" spans="1:32" ht="21.95" customHeight="1">
      <c r="A81" s="1140"/>
      <c r="B81" s="1172"/>
      <c r="C81" s="1257"/>
      <c r="D81" s="1250"/>
      <c r="E81" s="1175"/>
      <c r="F81" s="1251"/>
      <c r="G81" s="1210"/>
      <c r="H81" s="1210"/>
      <c r="I81" s="1210"/>
      <c r="J81" s="1210"/>
      <c r="K81" s="1210"/>
      <c r="L81" s="1210"/>
      <c r="M81" s="1210"/>
      <c r="N81" s="1210"/>
      <c r="O81" s="1210"/>
      <c r="P81" s="1210"/>
      <c r="Q81" s="1210"/>
      <c r="R81" s="1210"/>
      <c r="S81" s="1210"/>
      <c r="T81" s="1210"/>
      <c r="U81" s="1210"/>
      <c r="V81" s="1210"/>
      <c r="W81" s="1210"/>
      <c r="X81" s="1210"/>
      <c r="Y81" s="1210"/>
      <c r="Z81" s="1210"/>
      <c r="AA81" s="1210"/>
      <c r="AB81" s="1214"/>
      <c r="AC81" s="1181"/>
      <c r="AD81" s="1181">
        <f t="shared" si="76"/>
        <v>0</v>
      </c>
    </row>
    <row r="82" spans="1:32" ht="21.95" customHeight="1">
      <c r="A82" s="1140"/>
      <c r="B82" s="1172"/>
      <c r="C82" s="1257"/>
      <c r="D82" s="1250"/>
      <c r="E82" s="1175"/>
      <c r="F82" s="1251"/>
      <c r="G82" s="1210"/>
      <c r="H82" s="1210"/>
      <c r="I82" s="1210"/>
      <c r="J82" s="1210"/>
      <c r="K82" s="1210"/>
      <c r="L82" s="1210"/>
      <c r="M82" s="1210"/>
      <c r="N82" s="1210"/>
      <c r="O82" s="1210"/>
      <c r="P82" s="1210"/>
      <c r="Q82" s="1210"/>
      <c r="R82" s="1210"/>
      <c r="S82" s="1210"/>
      <c r="T82" s="1210"/>
      <c r="U82" s="1210"/>
      <c r="V82" s="1210"/>
      <c r="W82" s="1210"/>
      <c r="X82" s="1210"/>
      <c r="Y82" s="1210"/>
      <c r="Z82" s="1210"/>
      <c r="AA82" s="1210"/>
      <c r="AB82" s="1214"/>
      <c r="AC82" s="1181"/>
      <c r="AD82" s="1181">
        <f t="shared" si="76"/>
        <v>0</v>
      </c>
    </row>
    <row r="83" spans="1:32" ht="21.95" customHeight="1">
      <c r="A83" s="1140"/>
      <c r="B83" s="1167" t="s">
        <v>117</v>
      </c>
      <c r="C83" s="1257"/>
      <c r="D83" s="1250"/>
      <c r="E83" s="1175"/>
      <c r="F83" s="1251"/>
      <c r="G83" s="1210"/>
      <c r="H83" s="1210"/>
      <c r="I83" s="1210"/>
      <c r="J83" s="1210"/>
      <c r="K83" s="1210"/>
      <c r="L83" s="1210"/>
      <c r="M83" s="1210"/>
      <c r="N83" s="1210"/>
      <c r="O83" s="1210"/>
      <c r="P83" s="1210"/>
      <c r="Q83" s="1210"/>
      <c r="R83" s="1210"/>
      <c r="S83" s="1210"/>
      <c r="T83" s="1210"/>
      <c r="U83" s="1210"/>
      <c r="V83" s="1210"/>
      <c r="W83" s="1210"/>
      <c r="X83" s="1210"/>
      <c r="Y83" s="1210"/>
      <c r="Z83" s="1210"/>
      <c r="AA83" s="1210"/>
      <c r="AB83" s="1214"/>
      <c r="AC83" s="1181"/>
      <c r="AD83" s="1181">
        <f t="shared" si="76"/>
        <v>0</v>
      </c>
    </row>
    <row r="84" spans="1:32" s="1262" customFormat="1" ht="21.95" customHeight="1">
      <c r="A84" s="1246">
        <v>35</v>
      </c>
      <c r="B84" s="1236" t="s">
        <v>552</v>
      </c>
      <c r="C84" s="1225" t="str">
        <f>VLOOKUP(B84,distribucion!B$9:FK$200,2,0)</f>
        <v>Auxiliar de Mantenimiento</v>
      </c>
      <c r="D84" s="1225">
        <f>G84+K84+M84+N84</f>
        <v>3265.33</v>
      </c>
      <c r="E84" s="1258">
        <f>VLOOKUP(B84,distribucion!B$9:FK$201,7,0)</f>
        <v>30</v>
      </c>
      <c r="F84" s="1259">
        <f>VLOOKUP(B84,distribucion!$B$9:$DQ$288,14,0)</f>
        <v>0</v>
      </c>
      <c r="G84" s="1260">
        <f>ROUND((VLOOKUP(B84,distribucion!B$1:FK$201,103,0)),2)</f>
        <v>3166.38</v>
      </c>
      <c r="H84" s="1260">
        <f>ROUND((VLOOKUP(B84,distribucion!B$9:FJ$201,104,0)),2)</f>
        <v>2625</v>
      </c>
      <c r="I84" s="1260">
        <f>G84+H84</f>
        <v>5791.38</v>
      </c>
      <c r="J84" s="1260">
        <f>VLOOKUP(B84,distribucion!B$9:FK$200,105,0)</f>
        <v>5</v>
      </c>
      <c r="K84" s="1260">
        <f>ROUND((VLOOKUP(B84,distribucion!B$9:FK$201,106,0)),2)</f>
        <v>98.95</v>
      </c>
      <c r="L84" s="1260">
        <f>VLOOKUP(B84,distribucion!B$9:FK$201,107,0)</f>
        <v>0</v>
      </c>
      <c r="M84" s="1260">
        <f>ROUND((VLOOKUP(B84,distribucion!B$9:FK$201,108,0)),2)</f>
        <v>0</v>
      </c>
      <c r="N84" s="1260">
        <v>0</v>
      </c>
      <c r="O84" s="1260">
        <f>ROUND((VLOOKUP(B84,distribucion!B$9:FK$201,36,0)),2)</f>
        <v>0</v>
      </c>
      <c r="P84" s="1260">
        <f>SUM(I84:O84)-J84-L84</f>
        <v>5890.33</v>
      </c>
      <c r="Q84" s="1260">
        <f>ROUND(((G84+K84+M84+N84+O84)*0.0483),2)</f>
        <v>157.72</v>
      </c>
      <c r="R84" s="1260">
        <f>ROUND((VLOOKUP(B84,distribucion!B$9:FK$201,151,0)),2)</f>
        <v>153.97</v>
      </c>
      <c r="S84" s="1260">
        <f>ROUND((VLOOKUP(B84,distribucion!B$9:FK$201,152,0)),2)</f>
        <v>0</v>
      </c>
      <c r="T84" s="1260">
        <f>ROUND((VLOOKUP(B84,distribucion!B$9:FK$201,153,0)),2)</f>
        <v>0</v>
      </c>
      <c r="U84" s="1260">
        <f>ROUND((VLOOKUP(B84,distribucion!$B$1:$FE$228,159,0)),2)</f>
        <v>0</v>
      </c>
      <c r="V84" s="1260">
        <f>ROUND((VLOOKUP(B84,distribucion!$B$1:$FE$228,158,0)),2)</f>
        <v>0</v>
      </c>
      <c r="W84" s="1260">
        <f>ROUND((VLOOKUP(B84,distribucion!$B$1:$FE$228,154,0)),2)</f>
        <v>562.5</v>
      </c>
      <c r="X84" s="1260">
        <f>ROUND((VLOOKUP(B84,distribucion!B$9:FK$201,160,0)),2)</f>
        <v>50</v>
      </c>
      <c r="Y84" s="1261">
        <f>SUM(Q84:X84)</f>
        <v>924.19</v>
      </c>
      <c r="Z84" s="1260">
        <f>P84-Y84</f>
        <v>4966.1399999999994</v>
      </c>
      <c r="AA84" s="1985">
        <v>1369.22</v>
      </c>
      <c r="AB84" s="1180">
        <f t="shared" ref="AB84" si="83">+Z84-AA84</f>
        <v>3596.9199999999992</v>
      </c>
      <c r="AC84" s="1181">
        <f>VLOOKUP(B84,'[1]Nomina Unhesa'!$B$9:$AB$167,26,FALSE)</f>
        <v>1174.5</v>
      </c>
      <c r="AD84" s="1181">
        <f t="shared" si="76"/>
        <v>194.72000000000003</v>
      </c>
      <c r="AF84" s="1144"/>
    </row>
    <row r="85" spans="1:32" ht="27" customHeight="1" thickBot="1">
      <c r="A85" s="1140"/>
      <c r="B85" s="1172"/>
      <c r="C85" s="1199" t="s">
        <v>204</v>
      </c>
      <c r="D85" s="1200" t="s">
        <v>204</v>
      </c>
      <c r="E85" s="1175"/>
      <c r="F85" s="1251"/>
      <c r="G85" s="1263">
        <f>SUM(G84)</f>
        <v>3166.38</v>
      </c>
      <c r="H85" s="1263">
        <f t="shared" ref="H85:Z85" si="84">SUM(H84)</f>
        <v>2625</v>
      </c>
      <c r="I85" s="1263">
        <f t="shared" si="84"/>
        <v>5791.38</v>
      </c>
      <c r="J85" s="1263">
        <f t="shared" si="84"/>
        <v>5</v>
      </c>
      <c r="K85" s="1263">
        <f t="shared" si="84"/>
        <v>98.95</v>
      </c>
      <c r="L85" s="1263">
        <f t="shared" si="84"/>
        <v>0</v>
      </c>
      <c r="M85" s="1263">
        <f t="shared" si="84"/>
        <v>0</v>
      </c>
      <c r="N85" s="1263">
        <f t="shared" si="84"/>
        <v>0</v>
      </c>
      <c r="O85" s="1263">
        <f t="shared" si="84"/>
        <v>0</v>
      </c>
      <c r="P85" s="1263">
        <f t="shared" si="84"/>
        <v>5890.33</v>
      </c>
      <c r="Q85" s="1263">
        <f t="shared" si="84"/>
        <v>157.72</v>
      </c>
      <c r="R85" s="1263">
        <f t="shared" si="84"/>
        <v>153.97</v>
      </c>
      <c r="S85" s="1263">
        <f t="shared" si="84"/>
        <v>0</v>
      </c>
      <c r="T85" s="1263">
        <f t="shared" si="84"/>
        <v>0</v>
      </c>
      <c r="U85" s="1263">
        <f t="shared" si="84"/>
        <v>0</v>
      </c>
      <c r="V85" s="1263">
        <f t="shared" si="84"/>
        <v>0</v>
      </c>
      <c r="W85" s="1263">
        <f t="shared" si="84"/>
        <v>562.5</v>
      </c>
      <c r="X85" s="1263">
        <f t="shared" si="84"/>
        <v>50</v>
      </c>
      <c r="Y85" s="1263">
        <f t="shared" si="84"/>
        <v>924.19</v>
      </c>
      <c r="Z85" s="1263">
        <f t="shared" si="84"/>
        <v>4966.1399999999994</v>
      </c>
      <c r="AA85" s="1263">
        <f>SUM(AA84)</f>
        <v>1369.22</v>
      </c>
      <c r="AB85" s="1263">
        <f>SUM(AB84)</f>
        <v>3596.9199999999992</v>
      </c>
      <c r="AC85" s="1181"/>
      <c r="AD85" s="1181">
        <f t="shared" si="76"/>
        <v>1369.22</v>
      </c>
    </row>
    <row r="86" spans="1:32" ht="27" customHeight="1">
      <c r="A86" s="1140"/>
      <c r="B86" s="1172"/>
      <c r="C86" s="1199"/>
      <c r="D86" s="1200"/>
      <c r="E86" s="1175"/>
      <c r="F86" s="1251"/>
      <c r="G86" s="1210"/>
      <c r="H86" s="1210"/>
      <c r="I86" s="1210"/>
      <c r="J86" s="1210"/>
      <c r="K86" s="1210"/>
      <c r="L86" s="1210"/>
      <c r="M86" s="1210"/>
      <c r="N86" s="1210"/>
      <c r="O86" s="1210"/>
      <c r="P86" s="1210"/>
      <c r="Q86" s="1210"/>
      <c r="R86" s="1210"/>
      <c r="S86" s="1210"/>
      <c r="T86" s="1210"/>
      <c r="U86" s="1210"/>
      <c r="V86" s="1210"/>
      <c r="W86" s="1210"/>
      <c r="X86" s="1210"/>
      <c r="Y86" s="1210"/>
      <c r="Z86" s="1210"/>
      <c r="AA86" s="1210"/>
      <c r="AB86" s="1210"/>
      <c r="AC86" s="1181"/>
      <c r="AD86" s="1181">
        <f t="shared" si="76"/>
        <v>0</v>
      </c>
    </row>
    <row r="87" spans="1:32" ht="27" customHeight="1">
      <c r="A87" s="1140"/>
      <c r="B87" s="1172"/>
      <c r="C87" s="1199"/>
      <c r="D87" s="1200"/>
      <c r="E87" s="1175"/>
      <c r="F87" s="1251"/>
      <c r="G87" s="1210"/>
      <c r="H87" s="1210"/>
      <c r="I87" s="1210"/>
      <c r="J87" s="1210"/>
      <c r="K87" s="1210"/>
      <c r="L87" s="1210"/>
      <c r="M87" s="1210"/>
      <c r="N87" s="1210"/>
      <c r="O87" s="1210"/>
      <c r="P87" s="1210"/>
      <c r="Q87" s="1210"/>
      <c r="R87" s="1210"/>
      <c r="S87" s="1210"/>
      <c r="T87" s="1210"/>
      <c r="U87" s="1210"/>
      <c r="V87" s="1210"/>
      <c r="W87" s="1210"/>
      <c r="X87" s="1210"/>
      <c r="Y87" s="1210"/>
      <c r="Z87" s="1210"/>
      <c r="AA87" s="1210"/>
      <c r="AB87" s="1210"/>
      <c r="AC87" s="1181"/>
      <c r="AD87" s="1181">
        <f t="shared" si="76"/>
        <v>0</v>
      </c>
    </row>
    <row r="88" spans="1:32" ht="27" customHeight="1">
      <c r="A88" s="1140"/>
      <c r="B88" s="1172"/>
      <c r="C88" s="1199"/>
      <c r="D88" s="1200"/>
      <c r="E88" s="1175"/>
      <c r="F88" s="1251"/>
      <c r="G88" s="1210"/>
      <c r="H88" s="1210"/>
      <c r="I88" s="1210"/>
      <c r="J88" s="1210"/>
      <c r="K88" s="1210"/>
      <c r="L88" s="1210"/>
      <c r="M88" s="1210"/>
      <c r="N88" s="1210"/>
      <c r="O88" s="1210"/>
      <c r="P88" s="1210"/>
      <c r="Q88" s="1210"/>
      <c r="R88" s="1210"/>
      <c r="S88" s="1210"/>
      <c r="T88" s="1210"/>
      <c r="U88" s="1210"/>
      <c r="V88" s="1210"/>
      <c r="W88" s="1210"/>
      <c r="X88" s="1210"/>
      <c r="Y88" s="1210"/>
      <c r="Z88" s="1210"/>
      <c r="AA88" s="1210"/>
      <c r="AB88" s="1210"/>
      <c r="AC88" s="1181"/>
      <c r="AD88" s="1181">
        <f t="shared" si="76"/>
        <v>0</v>
      </c>
    </row>
    <row r="89" spans="1:32" ht="27" customHeight="1">
      <c r="A89" s="1140"/>
      <c r="B89" s="1307" t="s">
        <v>714</v>
      </c>
      <c r="C89" s="1199"/>
      <c r="D89" s="1200"/>
      <c r="E89" s="1175"/>
      <c r="F89" s="1251"/>
      <c r="G89" s="1210"/>
      <c r="H89" s="1210"/>
      <c r="I89" s="1313" t="s">
        <v>716</v>
      </c>
      <c r="J89" s="1313"/>
      <c r="K89" s="1313"/>
      <c r="L89" s="1210"/>
      <c r="M89" s="1210"/>
      <c r="N89" s="1210"/>
      <c r="O89" s="1210"/>
      <c r="P89" s="1210"/>
      <c r="Q89" s="1210"/>
      <c r="R89" s="1210"/>
      <c r="S89" s="1210"/>
      <c r="T89" s="1210"/>
      <c r="U89" s="1210"/>
      <c r="V89" s="1210"/>
      <c r="W89" s="1210"/>
      <c r="X89" s="1210"/>
      <c r="Y89" s="1210"/>
      <c r="Z89" s="1210"/>
      <c r="AA89" s="1210"/>
      <c r="AB89" s="1210"/>
      <c r="AC89" s="1181"/>
      <c r="AD89" s="1181">
        <f t="shared" si="76"/>
        <v>0</v>
      </c>
    </row>
    <row r="90" spans="1:32" ht="27" customHeight="1">
      <c r="A90" s="1140"/>
      <c r="B90" s="1172"/>
      <c r="C90" s="1199"/>
      <c r="D90" s="1200"/>
      <c r="E90" s="1175"/>
      <c r="F90" s="1251"/>
      <c r="G90" s="1210"/>
      <c r="H90" s="1210"/>
      <c r="I90" s="1210"/>
      <c r="J90" s="1210"/>
      <c r="K90" s="1210"/>
      <c r="L90" s="1210"/>
      <c r="M90" s="1210"/>
      <c r="N90" s="1210"/>
      <c r="O90" s="1210"/>
      <c r="P90" s="1210"/>
      <c r="Q90" s="1210"/>
      <c r="R90" s="1210"/>
      <c r="S90" s="1210"/>
      <c r="T90" s="1210"/>
      <c r="U90" s="1210"/>
      <c r="V90" s="1210"/>
      <c r="W90" s="1210"/>
      <c r="X90" s="1210"/>
      <c r="Y90" s="1210"/>
      <c r="Z90" s="1210"/>
      <c r="AA90" s="1210"/>
      <c r="AB90" s="1210"/>
      <c r="AC90" s="1181"/>
      <c r="AD90" s="1181">
        <f t="shared" si="76"/>
        <v>0</v>
      </c>
    </row>
    <row r="91" spans="1:32" ht="27" customHeight="1">
      <c r="A91" s="1140"/>
      <c r="B91" s="1172"/>
      <c r="C91" s="1199"/>
      <c r="D91" s="1200"/>
      <c r="E91" s="1175"/>
      <c r="F91" s="1251"/>
      <c r="G91" s="1210"/>
      <c r="H91" s="1210"/>
      <c r="I91" s="1210"/>
      <c r="J91" s="1210"/>
      <c r="K91" s="1210"/>
      <c r="L91" s="1210"/>
      <c r="M91" s="1210"/>
      <c r="N91" s="1210"/>
      <c r="O91" s="1210"/>
      <c r="P91" s="1210"/>
      <c r="Q91" s="1210"/>
      <c r="R91" s="1210"/>
      <c r="S91" s="1210"/>
      <c r="T91" s="1210"/>
      <c r="U91" s="1210"/>
      <c r="V91" s="1210"/>
      <c r="W91" s="1210"/>
      <c r="X91" s="1210"/>
      <c r="Y91" s="1210"/>
      <c r="Z91" s="1210"/>
      <c r="AA91" s="1210"/>
      <c r="AB91" s="1210"/>
      <c r="AC91" s="1181"/>
      <c r="AD91" s="1181">
        <f t="shared" si="76"/>
        <v>0</v>
      </c>
    </row>
    <row r="92" spans="1:32" ht="27" customHeight="1">
      <c r="A92" s="1140"/>
      <c r="B92" s="1172"/>
      <c r="C92" s="1199"/>
      <c r="D92" s="1200"/>
      <c r="E92" s="1175"/>
      <c r="F92" s="1251"/>
      <c r="G92" s="1210"/>
      <c r="H92" s="1210"/>
      <c r="I92" s="1210"/>
      <c r="J92" s="1210"/>
      <c r="K92" s="1210"/>
      <c r="L92" s="1210"/>
      <c r="M92" s="1210"/>
      <c r="N92" s="1210"/>
      <c r="O92" s="1210"/>
      <c r="P92" s="1210"/>
      <c r="Q92" s="1210"/>
      <c r="R92" s="1210"/>
      <c r="S92" s="1210"/>
      <c r="T92" s="1210"/>
      <c r="U92" s="1210"/>
      <c r="V92" s="1210"/>
      <c r="W92" s="1210"/>
      <c r="X92" s="1210"/>
      <c r="Y92" s="1210"/>
      <c r="Z92" s="1210"/>
      <c r="AA92" s="1210"/>
      <c r="AB92" s="1210"/>
      <c r="AC92" s="1181"/>
      <c r="AD92" s="1181">
        <f t="shared" si="76"/>
        <v>0</v>
      </c>
    </row>
    <row r="93" spans="1:32" ht="27" customHeight="1">
      <c r="A93" s="1140"/>
      <c r="B93" s="1172"/>
      <c r="C93" s="1199"/>
      <c r="D93" s="1200"/>
      <c r="E93" s="1175"/>
      <c r="F93" s="1251"/>
      <c r="G93" s="1210"/>
      <c r="H93" s="1210"/>
      <c r="I93" s="1210"/>
      <c r="J93" s="1210"/>
      <c r="K93" s="1210"/>
      <c r="L93" s="1210"/>
      <c r="M93" s="1210"/>
      <c r="N93" s="1210"/>
      <c r="O93" s="1210"/>
      <c r="P93" s="1210"/>
      <c r="Q93" s="1210"/>
      <c r="R93" s="1210"/>
      <c r="S93" s="1210"/>
      <c r="T93" s="1210"/>
      <c r="U93" s="1210"/>
      <c r="V93" s="1210"/>
      <c r="W93" s="1210"/>
      <c r="X93" s="1210"/>
      <c r="Y93" s="1210"/>
      <c r="Z93" s="1210"/>
      <c r="AA93" s="1210"/>
      <c r="AB93" s="1210"/>
      <c r="AC93" s="1181"/>
      <c r="AD93" s="1181">
        <f t="shared" si="76"/>
        <v>0</v>
      </c>
    </row>
    <row r="94" spans="1:32" ht="27" customHeight="1">
      <c r="A94" s="1140"/>
      <c r="B94" s="1307" t="s">
        <v>715</v>
      </c>
      <c r="C94" s="1199"/>
      <c r="D94" s="1200"/>
      <c r="E94" s="1175"/>
      <c r="F94" s="1251"/>
      <c r="G94" s="1210"/>
      <c r="H94" s="1210"/>
      <c r="I94" s="1319" t="s">
        <v>703</v>
      </c>
      <c r="J94" s="1319"/>
      <c r="K94" s="1319"/>
      <c r="L94" s="1210"/>
      <c r="M94" s="1210"/>
      <c r="N94" s="1210"/>
      <c r="O94" s="1210"/>
      <c r="P94" s="1210"/>
      <c r="Q94" s="1210"/>
      <c r="R94" s="1210"/>
      <c r="S94" s="1210"/>
      <c r="T94" s="1210"/>
      <c r="U94" s="1210"/>
      <c r="V94" s="1210"/>
      <c r="W94" s="1210"/>
      <c r="X94" s="1210"/>
      <c r="Y94" s="1210"/>
      <c r="Z94" s="1210"/>
      <c r="AA94" s="1210"/>
      <c r="AB94" s="1210"/>
      <c r="AC94" s="1181"/>
      <c r="AD94" s="1181">
        <f t="shared" si="76"/>
        <v>0</v>
      </c>
    </row>
    <row r="95" spans="1:32" ht="27" customHeight="1">
      <c r="A95" s="1140"/>
      <c r="B95" s="1172"/>
      <c r="C95" s="1199"/>
      <c r="D95" s="1200"/>
      <c r="E95" s="1175"/>
      <c r="F95" s="1251"/>
      <c r="G95" s="1210"/>
      <c r="H95" s="1210"/>
      <c r="I95" s="1210"/>
      <c r="J95" s="1210"/>
      <c r="K95" s="1210"/>
      <c r="L95" s="1210"/>
      <c r="M95" s="1210"/>
      <c r="N95" s="1210"/>
      <c r="O95" s="1210"/>
      <c r="P95" s="1210"/>
      <c r="Q95" s="1210"/>
      <c r="R95" s="1210"/>
      <c r="S95" s="1210"/>
      <c r="T95" s="1210"/>
      <c r="U95" s="1210"/>
      <c r="V95" s="1210"/>
      <c r="W95" s="1210"/>
      <c r="X95" s="1210"/>
      <c r="Y95" s="1210"/>
      <c r="Z95" s="1210"/>
      <c r="AA95" s="1210"/>
      <c r="AB95" s="1210"/>
      <c r="AC95" s="1181"/>
      <c r="AD95" s="1181">
        <f t="shared" si="76"/>
        <v>0</v>
      </c>
    </row>
    <row r="96" spans="1:32" ht="27" customHeight="1">
      <c r="A96" s="1140"/>
      <c r="B96" s="1172"/>
      <c r="C96" s="1199"/>
      <c r="D96" s="1200"/>
      <c r="E96" s="1175"/>
      <c r="F96" s="1251"/>
      <c r="G96" s="1210"/>
      <c r="H96" s="1210"/>
      <c r="I96" s="1210"/>
      <c r="J96" s="1210"/>
      <c r="K96" s="1210"/>
      <c r="L96" s="1210"/>
      <c r="M96" s="1210"/>
      <c r="N96" s="1210"/>
      <c r="O96" s="1210"/>
      <c r="P96" s="1210"/>
      <c r="Q96" s="1210"/>
      <c r="R96" s="1210"/>
      <c r="S96" s="1210"/>
      <c r="T96" s="1210"/>
      <c r="U96" s="1210"/>
      <c r="V96" s="1210"/>
      <c r="W96" s="1210"/>
      <c r="X96" s="1210"/>
      <c r="Y96" s="1210"/>
      <c r="Z96" s="1210"/>
      <c r="AA96" s="1210"/>
      <c r="AB96" s="1210"/>
      <c r="AC96" s="1181"/>
      <c r="AD96" s="1181">
        <f t="shared" si="76"/>
        <v>0</v>
      </c>
    </row>
    <row r="97" spans="1:32" ht="21.95" customHeight="1">
      <c r="A97" s="1140"/>
      <c r="B97" s="1172"/>
      <c r="C97" s="1257"/>
      <c r="D97" s="1250"/>
      <c r="E97" s="1175"/>
      <c r="F97" s="1251"/>
      <c r="G97" s="1210"/>
      <c r="H97" s="1210"/>
      <c r="I97" s="1210"/>
      <c r="J97" s="1210"/>
      <c r="K97" s="1210"/>
      <c r="L97" s="1210"/>
      <c r="M97" s="1210"/>
      <c r="N97" s="1210"/>
      <c r="O97" s="1210"/>
      <c r="P97" s="1210"/>
      <c r="Q97" s="1210"/>
      <c r="R97" s="1210"/>
      <c r="S97" s="1210"/>
      <c r="T97" s="1210"/>
      <c r="U97" s="1210"/>
      <c r="V97" s="1210"/>
      <c r="W97" s="1210"/>
      <c r="X97" s="1210"/>
      <c r="Y97" s="1210"/>
      <c r="Z97" s="1210"/>
      <c r="AA97" s="1210"/>
      <c r="AB97" s="1214"/>
      <c r="AC97" s="1181"/>
      <c r="AD97" s="1181">
        <f t="shared" si="76"/>
        <v>0</v>
      </c>
    </row>
    <row r="98" spans="1:32" s="1209" customFormat="1" ht="21.95" customHeight="1">
      <c r="A98" s="1140"/>
      <c r="B98" s="1216"/>
      <c r="C98" s="1199"/>
      <c r="D98" s="1200"/>
      <c r="E98" s="1175"/>
      <c r="F98" s="1176"/>
      <c r="G98" s="1217"/>
      <c r="H98" s="1217"/>
      <c r="I98" s="1217"/>
      <c r="J98" s="1217"/>
      <c r="K98" s="1217"/>
      <c r="L98" s="1217"/>
      <c r="M98" s="1217"/>
      <c r="N98" s="1217"/>
      <c r="O98" s="1217"/>
      <c r="P98" s="1217"/>
      <c r="Q98" s="1217"/>
      <c r="R98" s="1217"/>
      <c r="S98" s="1217"/>
      <c r="T98" s="1217"/>
      <c r="U98" s="1217"/>
      <c r="V98" s="1217"/>
      <c r="W98" s="1217"/>
      <c r="X98" s="1217"/>
      <c r="Y98" s="1218"/>
      <c r="Z98" s="1217"/>
      <c r="AA98" s="1177"/>
      <c r="AB98" s="1219"/>
      <c r="AC98" s="1181">
        <f t="shared" ref="AC98:AC133" si="85">+Z98-AA98-AB98</f>
        <v>0</v>
      </c>
      <c r="AD98" s="1181">
        <f t="shared" si="76"/>
        <v>0</v>
      </c>
      <c r="AF98" s="1144"/>
    </row>
    <row r="99" spans="1:32" ht="21.95" customHeight="1">
      <c r="A99" s="1140"/>
      <c r="B99" s="1198" t="s">
        <v>236</v>
      </c>
      <c r="C99" s="1199"/>
      <c r="D99" s="1200"/>
      <c r="E99" s="1175"/>
      <c r="F99" s="1176"/>
      <c r="G99" s="1217"/>
      <c r="H99" s="1217"/>
      <c r="I99" s="1217"/>
      <c r="J99" s="1217"/>
      <c r="K99" s="1217"/>
      <c r="L99" s="1217"/>
      <c r="M99" s="1217"/>
      <c r="N99" s="1217"/>
      <c r="O99" s="1217"/>
      <c r="P99" s="1217"/>
      <c r="Q99" s="1217"/>
      <c r="R99" s="1217"/>
      <c r="S99" s="1217"/>
      <c r="T99" s="1217"/>
      <c r="U99" s="1217"/>
      <c r="V99" s="1217"/>
      <c r="W99" s="1217"/>
      <c r="X99" s="1217"/>
      <c r="Y99" s="1218"/>
      <c r="Z99" s="1217"/>
      <c r="AA99" s="1177"/>
      <c r="AB99" s="1219"/>
      <c r="AC99" s="1181">
        <f t="shared" si="85"/>
        <v>0</v>
      </c>
      <c r="AD99" s="1181">
        <f t="shared" si="76"/>
        <v>0</v>
      </c>
    </row>
    <row r="100" spans="1:32" ht="21.95" customHeight="1">
      <c r="A100" s="1140"/>
      <c r="B100" s="1264" t="s">
        <v>320</v>
      </c>
      <c r="C100" s="1173"/>
      <c r="D100" s="1174"/>
      <c r="E100" s="1175"/>
      <c r="F100" s="1176"/>
      <c r="G100" s="1177"/>
      <c r="H100" s="1177"/>
      <c r="I100" s="1177"/>
      <c r="J100" s="1177"/>
      <c r="K100" s="1177"/>
      <c r="L100" s="1177"/>
      <c r="M100" s="1177"/>
      <c r="N100" s="1177"/>
      <c r="O100" s="1177"/>
      <c r="P100" s="1177"/>
      <c r="Q100" s="1177"/>
      <c r="R100" s="1177"/>
      <c r="S100" s="1177"/>
      <c r="T100" s="1177"/>
      <c r="U100" s="1177"/>
      <c r="V100" s="1177"/>
      <c r="W100" s="1177"/>
      <c r="X100" s="1177"/>
      <c r="Y100" s="1179"/>
      <c r="Z100" s="1177"/>
      <c r="AA100" s="1177"/>
      <c r="AB100" s="1180"/>
      <c r="AC100" s="1181">
        <f t="shared" si="85"/>
        <v>0</v>
      </c>
      <c r="AD100" s="1181">
        <f t="shared" si="76"/>
        <v>0</v>
      </c>
    </row>
    <row r="101" spans="1:32" ht="21.95" customHeight="1">
      <c r="A101" s="1140"/>
      <c r="B101" s="1167" t="s">
        <v>321</v>
      </c>
      <c r="C101" s="1203"/>
      <c r="D101" s="1204"/>
      <c r="E101" s="1175"/>
      <c r="F101" s="1176"/>
      <c r="G101" s="1221"/>
      <c r="H101" s="1221"/>
      <c r="I101" s="1221"/>
      <c r="J101" s="1239"/>
      <c r="K101" s="1221"/>
      <c r="L101" s="1221"/>
      <c r="M101" s="1221"/>
      <c r="N101" s="1221"/>
      <c r="O101" s="1221"/>
      <c r="P101" s="1221"/>
      <c r="Q101" s="1221"/>
      <c r="R101" s="1221"/>
      <c r="S101" s="1221"/>
      <c r="T101" s="1221"/>
      <c r="U101" s="1221"/>
      <c r="V101" s="1221"/>
      <c r="W101" s="1221"/>
      <c r="X101" s="1221"/>
      <c r="Y101" s="1222"/>
      <c r="Z101" s="1221"/>
      <c r="AA101" s="1177"/>
      <c r="AB101" s="1180"/>
      <c r="AC101" s="1181">
        <f t="shared" si="85"/>
        <v>0</v>
      </c>
      <c r="AD101" s="1181">
        <f t="shared" si="76"/>
        <v>0</v>
      </c>
    </row>
    <row r="102" spans="1:32" s="1209" customFormat="1" ht="21.95" customHeight="1">
      <c r="A102" s="1140">
        <f>+A84+1</f>
        <v>36</v>
      </c>
      <c r="B102" s="1265" t="s">
        <v>551</v>
      </c>
      <c r="C102" s="1173" t="str">
        <f>VLOOKUP(B102,distribucion!B$9:FK$200,2,0)</f>
        <v>Gerente Comercial</v>
      </c>
      <c r="D102" s="1174">
        <f>G102+K102+M102+N102+O102</f>
        <v>19460</v>
      </c>
      <c r="E102" s="1175">
        <f>VLOOKUP(B102,distribucion!B$9:FK$201,7,0)</f>
        <v>30</v>
      </c>
      <c r="F102" s="1176" t="str">
        <f>VLOOKUP(B102,distribucion!$B$9:$DQ$287,14,0)</f>
        <v xml:space="preserve"> </v>
      </c>
      <c r="G102" s="1177">
        <f>ROUND((VLOOKUP(B102,distribucion!B$1:FK$201,103,0)),2)</f>
        <v>19460</v>
      </c>
      <c r="H102" s="1177">
        <f>ROUND((VLOOKUP(B102,distribucion!B$9:FJ$201,104,0)),2)</f>
        <v>17750</v>
      </c>
      <c r="I102" s="1177">
        <f>G102+H102</f>
        <v>37210</v>
      </c>
      <c r="J102" s="1177">
        <f>VLOOKUP(B102,distribucion!B$9:FK$200,105,0)</f>
        <v>0</v>
      </c>
      <c r="K102" s="1177">
        <f>ROUND((VLOOKUP(B102,distribucion!B$9:FK$201,106,0)),2)</f>
        <v>0</v>
      </c>
      <c r="L102" s="1177">
        <f>VLOOKUP(B102,distribucion!B$9:FK$201,107,0)</f>
        <v>0</v>
      </c>
      <c r="M102" s="1177">
        <f>ROUND((VLOOKUP(B102,distribucion!B$9:FK$201,108,0)),2)</f>
        <v>0</v>
      </c>
      <c r="N102" s="1177">
        <v>0</v>
      </c>
      <c r="O102" s="1178">
        <f>ROUND((VLOOKUP(B102,distribucion!B$9:FK$201,36,0)),2)</f>
        <v>0</v>
      </c>
      <c r="P102" s="1177">
        <f>SUM(I102:O102)-J102-L102</f>
        <v>37210</v>
      </c>
      <c r="Q102" s="1177">
        <f>ROUND(((G102+K102+M102+N102+O102)*0.0483),2)</f>
        <v>939.92</v>
      </c>
      <c r="R102" s="1177">
        <f>ROUND((VLOOKUP(B102,distribucion!B$9:FK$201,151,0)),2)</f>
        <v>1373.91</v>
      </c>
      <c r="S102" s="1177">
        <f>ROUND((VLOOKUP(B102,distribucion!B$9:FK$201,152,0)),2)</f>
        <v>5247.52</v>
      </c>
      <c r="T102" s="1177">
        <f>ROUND((VLOOKUP(B102,distribucion!B$9:FK$201,153,0)),2)</f>
        <v>437</v>
      </c>
      <c r="U102" s="1177">
        <f>ROUND((VLOOKUP(B102,distribucion!$B$1:$FE$228,159,0)),2)</f>
        <v>0</v>
      </c>
      <c r="V102" s="1177">
        <f>ROUND((VLOOKUP(B102,distribucion!$B$1:$FE$228,158,0)),2)</f>
        <v>0</v>
      </c>
      <c r="W102" s="1177">
        <f>ROUND((VLOOKUP(B102,distribucion!$B$1:$FE$228,154,0)),2)</f>
        <v>0</v>
      </c>
      <c r="X102" s="1177">
        <f>ROUND((VLOOKUP(B102,distribucion!B$9:FK$201,160,0)),2)</f>
        <v>562.5</v>
      </c>
      <c r="Y102" s="1179">
        <f>SUM(Q102:X102)</f>
        <v>8560.85</v>
      </c>
      <c r="Z102" s="1177">
        <f>P102-Y102</f>
        <v>28649.15</v>
      </c>
      <c r="AA102" s="1985">
        <v>23387</v>
      </c>
      <c r="AB102" s="1180">
        <f t="shared" ref="AB102:AB104" si="86">+Z102-AA102</f>
        <v>5262.1500000000015</v>
      </c>
      <c r="AC102" s="1181">
        <f>VLOOKUP(B102,'[1]Nomina Unhesa'!$B$9:$AB$167,26,FALSE)</f>
        <v>13211.109999999995</v>
      </c>
      <c r="AD102" s="1181">
        <f>+AA102-AC102</f>
        <v>10175.890000000005</v>
      </c>
      <c r="AF102" s="1144"/>
    </row>
    <row r="103" spans="1:32" s="1209" customFormat="1" ht="21.95" customHeight="1">
      <c r="A103" s="1140">
        <f>+A102+1</f>
        <v>37</v>
      </c>
      <c r="B103" s="1241" t="s">
        <v>643</v>
      </c>
      <c r="C103" s="1173" t="str">
        <f>VLOOKUP(B103,distribucion!B$9:FK$200,2,0)</f>
        <v>Auxiliar de Telemarketing</v>
      </c>
      <c r="D103" s="1174">
        <f>G103+K103+M103+N103+O103</f>
        <v>3166.38</v>
      </c>
      <c r="E103" s="1175">
        <f>VLOOKUP(B103,distribucion!B$9:FK$201,7,0)</f>
        <v>30</v>
      </c>
      <c r="F103" s="1176">
        <f>VLOOKUP(B103,distribucion!$B$9:$DQ$287,14,0)</f>
        <v>0</v>
      </c>
      <c r="G103" s="1177">
        <f>ROUND((VLOOKUP(B103,distribucion!B$1:FK$201,103,0)),2)</f>
        <v>3166.38</v>
      </c>
      <c r="H103" s="1177">
        <f>ROUND((VLOOKUP(B103,distribucion!B$9:FJ$201,104,0)),2)</f>
        <v>1704.6</v>
      </c>
      <c r="I103" s="1177">
        <f>G103+H103</f>
        <v>4870.9799999999996</v>
      </c>
      <c r="J103" s="1177">
        <f>VLOOKUP(B103,distribucion!B$9:FK$200,105,0)</f>
        <v>0</v>
      </c>
      <c r="K103" s="1177">
        <f>ROUND((VLOOKUP(B103,distribucion!B$9:FK$201,106,0)),2)</f>
        <v>0</v>
      </c>
      <c r="L103" s="1177">
        <f>VLOOKUP(B103,distribucion!B$9:FK$201,107,0)</f>
        <v>0</v>
      </c>
      <c r="M103" s="1177">
        <f>ROUND((VLOOKUP(B103,distribucion!B$9:FK$201,108,0)),2)</f>
        <v>0</v>
      </c>
      <c r="N103" s="1177">
        <v>0</v>
      </c>
      <c r="O103" s="1178">
        <f>ROUND((VLOOKUP(B103,distribucion!B$9:FK$201,36,0)),2)</f>
        <v>0</v>
      </c>
      <c r="P103" s="1177">
        <f>SUM(I103:O103)-J103-L103</f>
        <v>4870.9799999999996</v>
      </c>
      <c r="Q103" s="1177">
        <f>ROUND(((G103+K103+M103+N103+O103)*0.0483),2)</f>
        <v>152.94</v>
      </c>
      <c r="R103" s="1177">
        <f>ROUND((VLOOKUP(B103,distribucion!B$9:FK$201,151,0)),2)</f>
        <v>0</v>
      </c>
      <c r="S103" s="1177">
        <f>ROUND((VLOOKUP(B103,distribucion!B$9:FK$201,152,0)),2)</f>
        <v>0</v>
      </c>
      <c r="T103" s="1177">
        <f>ROUND((VLOOKUP(B103,distribucion!B$9:FK$201,153,0)),2)</f>
        <v>100</v>
      </c>
      <c r="U103" s="1177">
        <f>ROUND((VLOOKUP(B103,distribucion!$B$1:$FE$228,159,0)),2)</f>
        <v>0</v>
      </c>
      <c r="V103" s="1177">
        <f>ROUND((VLOOKUP(B103,distribucion!$B$1:$FE$228,158,0)),2)</f>
        <v>0</v>
      </c>
      <c r="W103" s="1177">
        <f>ROUND((VLOOKUP(B103,distribucion!$B$1:$FE$228,154,0)),2)</f>
        <v>0</v>
      </c>
      <c r="X103" s="1177">
        <f>ROUND((VLOOKUP(B103,distribucion!B$9:FK$201,160,0)),2)</f>
        <v>1500</v>
      </c>
      <c r="Y103" s="1179">
        <f>SUM(Q103:X103)</f>
        <v>1752.94</v>
      </c>
      <c r="Z103" s="1177">
        <f>P103-Y103</f>
        <v>3118.0399999999995</v>
      </c>
      <c r="AA103" s="1985">
        <v>3086.32</v>
      </c>
      <c r="AB103" s="1180">
        <f t="shared" si="86"/>
        <v>31.719999999999345</v>
      </c>
      <c r="AC103" s="1181">
        <f>VLOOKUP(B103,'[1]Nomina Unhesa'!$B$9:$AB$167,26,FALSE)</f>
        <v>2961.05</v>
      </c>
      <c r="AD103" s="1181">
        <f>+AA103-AC103</f>
        <v>125.26999999999998</v>
      </c>
      <c r="AF103" s="1144"/>
    </row>
    <row r="104" spans="1:32" s="1209" customFormat="1" ht="21.95" customHeight="1">
      <c r="A104" s="1140">
        <f>+A103+1</f>
        <v>38</v>
      </c>
      <c r="B104" s="1172" t="s">
        <v>543</v>
      </c>
      <c r="C104" s="1173" t="str">
        <f>VLOOKUP(B104,distribucion!B$9:FK$200,2,0)</f>
        <v>Encargado Administrativo</v>
      </c>
      <c r="D104" s="1174">
        <f>G104+K104+M104+N104</f>
        <v>4150</v>
      </c>
      <c r="E104" s="1175">
        <f>VLOOKUP(B104,distribucion!B$9:FK$201,7,0)</f>
        <v>30</v>
      </c>
      <c r="F104" s="1176">
        <f>VLOOKUP(B104,distribucion!$B$9:$DQ$287,14,0)</f>
        <v>0</v>
      </c>
      <c r="G104" s="1177">
        <f>ROUND((VLOOKUP(B104,distribucion!B$1:FK$201,103,0)),2)</f>
        <v>4150</v>
      </c>
      <c r="H104" s="1177">
        <f>ROUND((VLOOKUP(B104,distribucion!B$9:FJ$201,104,0)),2)</f>
        <v>1500</v>
      </c>
      <c r="I104" s="1177">
        <f>G104+H104</f>
        <v>5650</v>
      </c>
      <c r="J104" s="1177">
        <f>VLOOKUP(B104,distribucion!B$9:FK$200,105,0)</f>
        <v>0</v>
      </c>
      <c r="K104" s="1177">
        <f>ROUND((VLOOKUP(B104,distribucion!B$9:FK$201,106,0)),2)</f>
        <v>0</v>
      </c>
      <c r="L104" s="1177">
        <f>VLOOKUP(B104,distribucion!B$9:FK$201,107,0)</f>
        <v>0</v>
      </c>
      <c r="M104" s="1177">
        <f>ROUND((VLOOKUP(B104,distribucion!B$9:FK$201,108,0)),2)</f>
        <v>0</v>
      </c>
      <c r="N104" s="1177">
        <v>0</v>
      </c>
      <c r="O104" s="1178">
        <f>ROUND((VLOOKUP(B104,distribucion!B$9:FK$201,36,0)),2)</f>
        <v>0</v>
      </c>
      <c r="P104" s="1177">
        <f>SUM(I104:O104)-J104-L104</f>
        <v>5650</v>
      </c>
      <c r="Q104" s="1177">
        <f>ROUND(((G104+K104+M104+N104+O104)*0.0483),2)</f>
        <v>200.45</v>
      </c>
      <c r="R104" s="1177">
        <f>ROUND((VLOOKUP(B104,distribucion!B$9:FK$201,151,0)),2)</f>
        <v>72.48</v>
      </c>
      <c r="S104" s="1177">
        <f>ROUND((VLOOKUP(B104,distribucion!B$9:FK$201,152,0)),2)</f>
        <v>0</v>
      </c>
      <c r="T104" s="1177">
        <f>ROUND((VLOOKUP(B104,distribucion!B$9:FK$201,153,0)),2)</f>
        <v>0</v>
      </c>
      <c r="U104" s="1177">
        <f>ROUND((VLOOKUP(B104,distribucion!$B$1:$FE$228,159,0)),2)</f>
        <v>0</v>
      </c>
      <c r="V104" s="1177">
        <f>ROUND((VLOOKUP(B104,distribucion!$B$1:$FE$228,158,0)),2)</f>
        <v>0</v>
      </c>
      <c r="W104" s="1177">
        <f>ROUND((VLOOKUP(B104,distribucion!$B$1:$FE$228,154,0)),2)</f>
        <v>0</v>
      </c>
      <c r="X104" s="1177">
        <f>ROUND((VLOOKUP(B104,distribucion!B$9:FK$201,160,0)),2)</f>
        <v>200</v>
      </c>
      <c r="Y104" s="1179">
        <f>SUM(Q104:X104)</f>
        <v>472.93</v>
      </c>
      <c r="Z104" s="1177">
        <f>P104-Y104</f>
        <v>5177.07</v>
      </c>
      <c r="AA104" s="1985">
        <v>2724.78</v>
      </c>
      <c r="AB104" s="1180">
        <f t="shared" si="86"/>
        <v>2452.2899999999995</v>
      </c>
      <c r="AC104" s="1181">
        <f>VLOOKUP(B104,'[1]Nomina Unhesa'!$B$9:$AB$167,26,FALSE)</f>
        <v>2481.9499999999998</v>
      </c>
      <c r="AD104" s="1181">
        <f>+AA104-AC104</f>
        <v>242.83000000000038</v>
      </c>
      <c r="AF104" s="1144"/>
    </row>
    <row r="105" spans="1:32" s="1266" customFormat="1" ht="38.25" customHeight="1">
      <c r="A105" s="1140"/>
      <c r="B105" s="1198"/>
      <c r="C105" s="1199" t="s">
        <v>204</v>
      </c>
      <c r="D105" s="1200" t="s">
        <v>204</v>
      </c>
      <c r="E105" s="1199"/>
      <c r="F105" s="1255"/>
      <c r="G105" s="1208">
        <f t="shared" ref="G105:AB105" si="87">SUM(G102:G104)</f>
        <v>26776.38</v>
      </c>
      <c r="H105" s="1208">
        <f t="shared" si="87"/>
        <v>20954.599999999999</v>
      </c>
      <c r="I105" s="1208">
        <f t="shared" si="87"/>
        <v>47730.979999999996</v>
      </c>
      <c r="J105" s="1208">
        <f t="shared" si="87"/>
        <v>0</v>
      </c>
      <c r="K105" s="1208">
        <f t="shared" si="87"/>
        <v>0</v>
      </c>
      <c r="L105" s="1208">
        <f t="shared" si="87"/>
        <v>0</v>
      </c>
      <c r="M105" s="1208">
        <f t="shared" si="87"/>
        <v>0</v>
      </c>
      <c r="N105" s="1208">
        <f t="shared" si="87"/>
        <v>0</v>
      </c>
      <c r="O105" s="1208">
        <f t="shared" si="87"/>
        <v>0</v>
      </c>
      <c r="P105" s="1208">
        <f t="shared" si="87"/>
        <v>47730.979999999996</v>
      </c>
      <c r="Q105" s="1208">
        <f t="shared" si="87"/>
        <v>1293.31</v>
      </c>
      <c r="R105" s="1208">
        <f t="shared" si="87"/>
        <v>1446.39</v>
      </c>
      <c r="S105" s="1208">
        <f t="shared" si="87"/>
        <v>5247.52</v>
      </c>
      <c r="T105" s="1208">
        <f t="shared" si="87"/>
        <v>537</v>
      </c>
      <c r="U105" s="1208">
        <f t="shared" si="87"/>
        <v>0</v>
      </c>
      <c r="V105" s="1208">
        <f t="shared" si="87"/>
        <v>0</v>
      </c>
      <c r="W105" s="1208">
        <f t="shared" si="87"/>
        <v>0</v>
      </c>
      <c r="X105" s="1208">
        <f t="shared" si="87"/>
        <v>2262.5</v>
      </c>
      <c r="Y105" s="1208">
        <f t="shared" si="87"/>
        <v>10786.720000000001</v>
      </c>
      <c r="Z105" s="1208">
        <f t="shared" si="87"/>
        <v>36944.26</v>
      </c>
      <c r="AA105" s="1208">
        <f>SUM(AA102:AA104)</f>
        <v>29198.1</v>
      </c>
      <c r="AB105" s="1208">
        <f t="shared" si="87"/>
        <v>7746.16</v>
      </c>
      <c r="AC105" s="1181">
        <v>18654.11</v>
      </c>
      <c r="AD105" s="1181">
        <f t="shared" si="76"/>
        <v>10543.989999999998</v>
      </c>
      <c r="AF105" s="1144"/>
    </row>
    <row r="106" spans="1:32" s="1266" customFormat="1" ht="21.95" customHeight="1">
      <c r="A106" s="1140"/>
      <c r="B106" s="1198"/>
      <c r="C106" s="1199"/>
      <c r="D106" s="1200"/>
      <c r="E106" s="1199"/>
      <c r="F106" s="1255"/>
      <c r="G106" s="1211"/>
      <c r="H106" s="1211"/>
      <c r="I106" s="1211"/>
      <c r="J106" s="1211"/>
      <c r="K106" s="1211"/>
      <c r="L106" s="1211"/>
      <c r="M106" s="1211"/>
      <c r="N106" s="1211"/>
      <c r="O106" s="1211"/>
      <c r="P106" s="1211"/>
      <c r="Q106" s="1211"/>
      <c r="R106" s="1211"/>
      <c r="S106" s="1211"/>
      <c r="T106" s="1211"/>
      <c r="U106" s="1211"/>
      <c r="V106" s="1211"/>
      <c r="W106" s="1211"/>
      <c r="X106" s="1211"/>
      <c r="Y106" s="1213"/>
      <c r="Z106" s="1211"/>
      <c r="AA106" s="1177"/>
      <c r="AB106" s="1212"/>
      <c r="AC106" s="1181">
        <f t="shared" si="85"/>
        <v>0</v>
      </c>
      <c r="AD106" s="1181">
        <f t="shared" si="76"/>
        <v>0</v>
      </c>
      <c r="AF106" s="1144"/>
    </row>
    <row r="107" spans="1:32" s="1209" customFormat="1" ht="21.95" customHeight="1">
      <c r="A107" s="1140"/>
      <c r="B107" s="1267" t="s">
        <v>486</v>
      </c>
      <c r="C107" s="1173"/>
      <c r="D107" s="1174"/>
      <c r="E107" s="1175"/>
      <c r="F107" s="1176"/>
      <c r="G107" s="1177"/>
      <c r="H107" s="1177"/>
      <c r="I107" s="1177"/>
      <c r="J107" s="1177"/>
      <c r="K107" s="1177"/>
      <c r="L107" s="1177"/>
      <c r="M107" s="1177"/>
      <c r="N107" s="1177"/>
      <c r="O107" s="1177"/>
      <c r="P107" s="1177"/>
      <c r="Q107" s="1177"/>
      <c r="R107" s="1177"/>
      <c r="S107" s="1177"/>
      <c r="T107" s="1177"/>
      <c r="U107" s="1177"/>
      <c r="V107" s="1177"/>
      <c r="W107" s="1177"/>
      <c r="X107" s="1177"/>
      <c r="Y107" s="1179"/>
      <c r="Z107" s="1177"/>
      <c r="AA107" s="1177"/>
      <c r="AB107" s="1180"/>
      <c r="AC107" s="1181">
        <f t="shared" si="85"/>
        <v>0</v>
      </c>
      <c r="AD107" s="1181">
        <f t="shared" si="76"/>
        <v>0</v>
      </c>
      <c r="AF107" s="1144"/>
    </row>
    <row r="108" spans="1:32" ht="21.95" customHeight="1">
      <c r="A108" s="1140">
        <v>39</v>
      </c>
      <c r="B108" s="1172" t="str">
        <f>+distribucion!B170</f>
        <v>Borrayo  Martinez Barbara Ivon</v>
      </c>
      <c r="C108" s="1173" t="str">
        <f>VLOOKUP(B108,distribucion!B$9:FK$200,2,0)</f>
        <v>Vendedor</v>
      </c>
      <c r="D108" s="1174">
        <f>G108+K108+M108+N108</f>
        <v>3166.38</v>
      </c>
      <c r="E108" s="1175">
        <f>VLOOKUP(B108,distribucion!B$9:FK$201,7,0)</f>
        <v>30</v>
      </c>
      <c r="F108" s="1176">
        <f>VLOOKUP(B108,distribucion!$B$9:$DQ$287,14,0)</f>
        <v>0</v>
      </c>
      <c r="G108" s="1177">
        <f>ROUND((VLOOKUP(B108,distribucion!B$1:FK$201,103,0)),2)</f>
        <v>3166.38</v>
      </c>
      <c r="H108" s="1177">
        <f>ROUND((VLOOKUP(B108,distribucion!B$9:FJ$201,104,0)),2)</f>
        <v>897.54</v>
      </c>
      <c r="I108" s="1177">
        <f>G108+H108</f>
        <v>4063.92</v>
      </c>
      <c r="J108" s="1177">
        <f>VLOOKUP(B108,distribucion!B$9:FK$200,105,0)</f>
        <v>0</v>
      </c>
      <c r="K108" s="1177">
        <f>ROUND((VLOOKUP(B108,distribucion!B$9:FK$201,106,0)),2)</f>
        <v>0</v>
      </c>
      <c r="L108" s="1177">
        <f>VLOOKUP(B108,distribucion!B$9:FK$201,107,0)</f>
        <v>0</v>
      </c>
      <c r="M108" s="1177">
        <f>ROUND((VLOOKUP(B108,distribucion!B$9:FK$201,108,0)),2)</f>
        <v>0</v>
      </c>
      <c r="N108" s="1177">
        <v>0</v>
      </c>
      <c r="O108" s="1178">
        <f>ROUND((VLOOKUP(B108,distribucion!B$9:FK$201,36,0)),2)</f>
        <v>0</v>
      </c>
      <c r="P108" s="1177">
        <f>SUM(I108:O108)-J108-L108</f>
        <v>4063.92</v>
      </c>
      <c r="Q108" s="1177">
        <f>ROUND(((G108+K108+M108+N108+O108)*0.0483),2)</f>
        <v>152.94</v>
      </c>
      <c r="R108" s="1177">
        <f>ROUND((VLOOKUP(B108,distribucion!B$9:FK$201,151,0)),2)</f>
        <v>0</v>
      </c>
      <c r="S108" s="1177">
        <f>ROUND((VLOOKUP(B108,distribucion!B$9:FK$201,152,0)),2)</f>
        <v>0</v>
      </c>
      <c r="T108" s="1177">
        <f>ROUND((VLOOKUP(B108,distribucion!B$9:FK$201,153,0)),2)</f>
        <v>0</v>
      </c>
      <c r="U108" s="1177">
        <f>ROUND((VLOOKUP(B108,distribucion!$B$1:$FE$228,159,0)),2)</f>
        <v>0</v>
      </c>
      <c r="V108" s="1177">
        <f>ROUND((VLOOKUP(B108,distribucion!$B$1:$FE$228,158,0)),2)</f>
        <v>0</v>
      </c>
      <c r="W108" s="1177">
        <f>ROUND((VLOOKUP(B108,distribucion!$B$1:$FE$228,154,0)),2)</f>
        <v>0</v>
      </c>
      <c r="X108" s="1177">
        <f>ROUND((VLOOKUP(B108,distribucion!B$9:FK$201,160,0)),2)</f>
        <v>50</v>
      </c>
      <c r="Y108" s="1179">
        <f>SUM(Q108:X108)</f>
        <v>202.94</v>
      </c>
      <c r="Z108" s="1177">
        <f>P108-Y108</f>
        <v>3860.98</v>
      </c>
      <c r="AA108" s="1985">
        <v>2279.2600000000002</v>
      </c>
      <c r="AB108" s="1180">
        <f t="shared" ref="AB108" si="88">+Z108-AA108</f>
        <v>1581.7199999999998</v>
      </c>
      <c r="AC108" s="1181">
        <f>VLOOKUP(B108,'[1]Nomina Unhesa'!$B$9:$AB$167,26,FALSE)</f>
        <v>2705.7599999999998</v>
      </c>
      <c r="AD108" s="1181">
        <f t="shared" si="76"/>
        <v>-426.49999999999955</v>
      </c>
    </row>
    <row r="109" spans="1:32" s="1142" customFormat="1" ht="21.95" customHeight="1">
      <c r="A109" s="1140"/>
      <c r="B109" s="1253"/>
      <c r="C109" s="1199"/>
      <c r="D109" s="1200" t="s">
        <v>204</v>
      </c>
      <c r="E109" s="1232"/>
      <c r="F109" s="1211"/>
      <c r="G109" s="1208">
        <f>SUM(G108:G108)</f>
        <v>3166.38</v>
      </c>
      <c r="H109" s="1208">
        <f t="shared" ref="H109:AB109" si="89">SUM(H108:H108)</f>
        <v>897.54</v>
      </c>
      <c r="I109" s="1208">
        <f t="shared" si="89"/>
        <v>4063.92</v>
      </c>
      <c r="J109" s="1208">
        <f t="shared" si="89"/>
        <v>0</v>
      </c>
      <c r="K109" s="1208">
        <f t="shared" si="89"/>
        <v>0</v>
      </c>
      <c r="L109" s="1208">
        <f t="shared" si="89"/>
        <v>0</v>
      </c>
      <c r="M109" s="1208">
        <f t="shared" si="89"/>
        <v>0</v>
      </c>
      <c r="N109" s="1208">
        <f t="shared" si="89"/>
        <v>0</v>
      </c>
      <c r="O109" s="1208">
        <f t="shared" si="89"/>
        <v>0</v>
      </c>
      <c r="P109" s="1208">
        <f t="shared" si="89"/>
        <v>4063.92</v>
      </c>
      <c r="Q109" s="1208">
        <f t="shared" si="89"/>
        <v>152.94</v>
      </c>
      <c r="R109" s="1208">
        <f t="shared" si="89"/>
        <v>0</v>
      </c>
      <c r="S109" s="1208">
        <f t="shared" si="89"/>
        <v>0</v>
      </c>
      <c r="T109" s="1208">
        <f t="shared" si="89"/>
        <v>0</v>
      </c>
      <c r="U109" s="1208">
        <f t="shared" si="89"/>
        <v>0</v>
      </c>
      <c r="V109" s="1208">
        <f t="shared" si="89"/>
        <v>0</v>
      </c>
      <c r="W109" s="1208">
        <f t="shared" si="89"/>
        <v>0</v>
      </c>
      <c r="X109" s="1208">
        <f t="shared" si="89"/>
        <v>50</v>
      </c>
      <c r="Y109" s="1208">
        <f t="shared" si="89"/>
        <v>202.94</v>
      </c>
      <c r="Z109" s="1208">
        <f t="shared" si="89"/>
        <v>3860.98</v>
      </c>
      <c r="AA109" s="1208">
        <f>SUM(AA108:AA108)</f>
        <v>2279.2600000000002</v>
      </c>
      <c r="AB109" s="1208">
        <f t="shared" si="89"/>
        <v>1581.7199999999998</v>
      </c>
      <c r="AC109" s="1181"/>
      <c r="AD109" s="1181">
        <f t="shared" si="76"/>
        <v>2279.2600000000002</v>
      </c>
      <c r="AF109" s="1144"/>
    </row>
    <row r="110" spans="1:32" s="1142" customFormat="1" ht="21.95" customHeight="1">
      <c r="A110" s="1140"/>
      <c r="B110" s="1253"/>
      <c r="C110" s="1199"/>
      <c r="D110" s="1200"/>
      <c r="E110" s="1232"/>
      <c r="F110" s="1211"/>
      <c r="G110" s="1211"/>
      <c r="H110" s="1211"/>
      <c r="I110" s="1211"/>
      <c r="J110" s="1211"/>
      <c r="K110" s="1211"/>
      <c r="L110" s="1211"/>
      <c r="M110" s="1211"/>
      <c r="N110" s="1211"/>
      <c r="O110" s="1211"/>
      <c r="P110" s="1211"/>
      <c r="Q110" s="1211"/>
      <c r="R110" s="1211"/>
      <c r="S110" s="1211"/>
      <c r="T110" s="1211"/>
      <c r="U110" s="1211"/>
      <c r="V110" s="1211"/>
      <c r="W110" s="1211"/>
      <c r="X110" s="1211"/>
      <c r="Y110" s="1211"/>
      <c r="Z110" s="1211"/>
      <c r="AA110" s="1211"/>
      <c r="AB110" s="1211"/>
      <c r="AC110" s="1181">
        <f t="shared" si="85"/>
        <v>0</v>
      </c>
      <c r="AD110" s="1181">
        <f t="shared" si="76"/>
        <v>0</v>
      </c>
      <c r="AF110" s="1144"/>
    </row>
    <row r="111" spans="1:32" ht="21.95" customHeight="1">
      <c r="A111" s="1140"/>
      <c r="B111" s="1267" t="s">
        <v>487</v>
      </c>
      <c r="C111" s="1173"/>
      <c r="D111" s="1174"/>
      <c r="E111" s="1175"/>
      <c r="F111" s="1176"/>
      <c r="G111" s="1177"/>
      <c r="H111" s="1177"/>
      <c r="I111" s="1177"/>
      <c r="J111" s="1177"/>
      <c r="K111" s="1177"/>
      <c r="L111" s="1177"/>
      <c r="M111" s="1177"/>
      <c r="N111" s="1177"/>
      <c r="O111" s="1178"/>
      <c r="P111" s="1177"/>
      <c r="Q111" s="1177"/>
      <c r="R111" s="1177"/>
      <c r="S111" s="1177"/>
      <c r="T111" s="1177"/>
      <c r="U111" s="1177"/>
      <c r="V111" s="1177"/>
      <c r="W111" s="1177"/>
      <c r="X111" s="1177"/>
      <c r="Y111" s="1179"/>
      <c r="Z111" s="1177"/>
      <c r="AA111" s="1177"/>
      <c r="AB111" s="1205"/>
      <c r="AC111" s="1181">
        <f t="shared" si="85"/>
        <v>0</v>
      </c>
      <c r="AD111" s="1181">
        <f t="shared" si="76"/>
        <v>0</v>
      </c>
    </row>
    <row r="112" spans="1:32" s="1142" customFormat="1" ht="21.95" customHeight="1">
      <c r="A112" s="1140"/>
      <c r="B112" s="1253"/>
      <c r="C112" s="1199"/>
      <c r="D112" s="1200" t="s">
        <v>204</v>
      </c>
      <c r="E112" s="1232"/>
      <c r="F112" s="1211" t="s">
        <v>54</v>
      </c>
      <c r="G112" s="1208">
        <v>0</v>
      </c>
      <c r="H112" s="1208">
        <v>0</v>
      </c>
      <c r="I112" s="1208">
        <v>0</v>
      </c>
      <c r="J112" s="1208">
        <v>0</v>
      </c>
      <c r="K112" s="1208">
        <v>0</v>
      </c>
      <c r="L112" s="1208">
        <v>0</v>
      </c>
      <c r="M112" s="1208">
        <v>0</v>
      </c>
      <c r="N112" s="1208">
        <v>0</v>
      </c>
      <c r="O112" s="1208">
        <v>0</v>
      </c>
      <c r="P112" s="1208">
        <v>0</v>
      </c>
      <c r="Q112" s="1208">
        <v>0</v>
      </c>
      <c r="R112" s="1208">
        <v>0</v>
      </c>
      <c r="S112" s="1208">
        <v>0</v>
      </c>
      <c r="T112" s="1208">
        <v>0</v>
      </c>
      <c r="U112" s="1208">
        <v>0</v>
      </c>
      <c r="V112" s="1208">
        <v>0</v>
      </c>
      <c r="W112" s="1208">
        <v>0</v>
      </c>
      <c r="X112" s="1208">
        <v>0</v>
      </c>
      <c r="Y112" s="1208">
        <v>0</v>
      </c>
      <c r="Z112" s="1208">
        <v>0</v>
      </c>
      <c r="AA112" s="1208">
        <v>0</v>
      </c>
      <c r="AB112" s="1268">
        <f>+Z112-AA112</f>
        <v>0</v>
      </c>
      <c r="AC112" s="1181">
        <f t="shared" si="85"/>
        <v>0</v>
      </c>
      <c r="AD112" s="1181">
        <f t="shared" si="76"/>
        <v>0</v>
      </c>
      <c r="AF112" s="1144"/>
    </row>
    <row r="113" spans="1:32" s="1142" customFormat="1" ht="21.95" customHeight="1">
      <c r="A113" s="1140"/>
      <c r="B113" s="1253"/>
      <c r="C113" s="1199"/>
      <c r="D113" s="1200"/>
      <c r="E113" s="1232"/>
      <c r="F113" s="1211"/>
      <c r="G113" s="1211"/>
      <c r="H113" s="1211"/>
      <c r="I113" s="1211"/>
      <c r="J113" s="1211"/>
      <c r="K113" s="1211"/>
      <c r="L113" s="1211"/>
      <c r="M113" s="1211"/>
      <c r="N113" s="1211"/>
      <c r="O113" s="1211"/>
      <c r="P113" s="1211"/>
      <c r="Q113" s="1211"/>
      <c r="R113" s="1211"/>
      <c r="S113" s="1211"/>
      <c r="T113" s="1211"/>
      <c r="U113" s="1211"/>
      <c r="V113" s="1211"/>
      <c r="W113" s="1211"/>
      <c r="X113" s="1211"/>
      <c r="Y113" s="1211"/>
      <c r="Z113" s="1211"/>
      <c r="AA113" s="1211"/>
      <c r="AB113" s="1211"/>
      <c r="AC113" s="1181">
        <f t="shared" si="85"/>
        <v>0</v>
      </c>
      <c r="AD113" s="1181">
        <f t="shared" si="76"/>
        <v>0</v>
      </c>
      <c r="AF113" s="1144"/>
    </row>
    <row r="114" spans="1:32" s="1146" customFormat="1" ht="21.95" customHeight="1">
      <c r="A114" s="1140"/>
      <c r="B114" s="1267" t="s">
        <v>488</v>
      </c>
      <c r="C114" s="1174"/>
      <c r="D114" s="1174"/>
      <c r="E114" s="1269"/>
      <c r="F114" s="1270"/>
      <c r="G114" s="1205"/>
      <c r="H114" s="1205"/>
      <c r="I114" s="1205"/>
      <c r="J114" s="1205"/>
      <c r="K114" s="1205"/>
      <c r="L114" s="1205"/>
      <c r="M114" s="1205"/>
      <c r="N114" s="1205"/>
      <c r="O114" s="1178"/>
      <c r="P114" s="1205"/>
      <c r="Q114" s="1177"/>
      <c r="R114" s="1177"/>
      <c r="S114" s="1177"/>
      <c r="T114" s="1177"/>
      <c r="U114" s="1177"/>
      <c r="V114" s="1177"/>
      <c r="W114" s="1177"/>
      <c r="X114" s="1177"/>
      <c r="Y114" s="1171"/>
      <c r="Z114" s="1205"/>
      <c r="AA114" s="1177"/>
      <c r="AB114" s="1205"/>
      <c r="AC114" s="1181">
        <f t="shared" si="85"/>
        <v>0</v>
      </c>
      <c r="AD114" s="1181">
        <f t="shared" si="76"/>
        <v>0</v>
      </c>
      <c r="AF114" s="1144"/>
    </row>
    <row r="115" spans="1:32" s="1142" customFormat="1" ht="21.95" customHeight="1">
      <c r="A115" s="1140"/>
      <c r="B115" s="1253"/>
      <c r="C115" s="1140"/>
      <c r="D115" s="1200" t="s">
        <v>204</v>
      </c>
      <c r="E115" s="1232"/>
      <c r="F115" s="1211" t="s">
        <v>54</v>
      </c>
      <c r="G115" s="1208">
        <v>0</v>
      </c>
      <c r="H115" s="1208">
        <v>0</v>
      </c>
      <c r="I115" s="1208">
        <v>0</v>
      </c>
      <c r="J115" s="1208">
        <v>0</v>
      </c>
      <c r="K115" s="1208">
        <v>0</v>
      </c>
      <c r="L115" s="1208">
        <v>0</v>
      </c>
      <c r="M115" s="1208">
        <v>0</v>
      </c>
      <c r="N115" s="1208">
        <v>0</v>
      </c>
      <c r="O115" s="1208">
        <v>0</v>
      </c>
      <c r="P115" s="1208">
        <v>0</v>
      </c>
      <c r="Q115" s="1208">
        <v>0</v>
      </c>
      <c r="R115" s="1208">
        <v>0</v>
      </c>
      <c r="S115" s="1208">
        <v>0</v>
      </c>
      <c r="T115" s="1208">
        <v>0</v>
      </c>
      <c r="U115" s="1208">
        <v>0</v>
      </c>
      <c r="V115" s="1208">
        <v>0</v>
      </c>
      <c r="W115" s="1208">
        <v>0</v>
      </c>
      <c r="X115" s="1208">
        <v>0</v>
      </c>
      <c r="Y115" s="1208">
        <v>0</v>
      </c>
      <c r="Z115" s="1208">
        <v>0</v>
      </c>
      <c r="AA115" s="1208">
        <v>0</v>
      </c>
      <c r="AB115" s="1268">
        <f>+Z115-AA115</f>
        <v>0</v>
      </c>
      <c r="AC115" s="1181">
        <f t="shared" si="85"/>
        <v>0</v>
      </c>
      <c r="AD115" s="1181">
        <f t="shared" si="76"/>
        <v>0</v>
      </c>
      <c r="AF115" s="1144"/>
    </row>
    <row r="116" spans="1:32" s="1142" customFormat="1" ht="21.95" customHeight="1">
      <c r="A116" s="1140"/>
      <c r="B116" s="1253"/>
      <c r="C116" s="1140"/>
      <c r="D116" s="1200"/>
      <c r="E116" s="1232"/>
      <c r="F116" s="1211"/>
      <c r="G116" s="1211"/>
      <c r="H116" s="1211"/>
      <c r="I116" s="1211"/>
      <c r="J116" s="1211"/>
      <c r="K116" s="1211"/>
      <c r="L116" s="1211"/>
      <c r="M116" s="1211"/>
      <c r="N116" s="1211"/>
      <c r="O116" s="1211"/>
      <c r="P116" s="1211"/>
      <c r="Q116" s="1211"/>
      <c r="R116" s="1211"/>
      <c r="S116" s="1211"/>
      <c r="T116" s="1211"/>
      <c r="U116" s="1211"/>
      <c r="V116" s="1211"/>
      <c r="W116" s="1211"/>
      <c r="X116" s="1211"/>
      <c r="Y116" s="1211"/>
      <c r="Z116" s="1211"/>
      <c r="AA116" s="1211"/>
      <c r="AB116" s="1211"/>
      <c r="AC116" s="1181">
        <f t="shared" si="85"/>
        <v>0</v>
      </c>
      <c r="AD116" s="1181">
        <f t="shared" si="76"/>
        <v>0</v>
      </c>
      <c r="AF116" s="1144"/>
    </row>
    <row r="117" spans="1:32" ht="21.75" customHeight="1">
      <c r="A117" s="1140"/>
      <c r="B117" s="1267" t="s">
        <v>436</v>
      </c>
      <c r="C117" s="1173"/>
      <c r="D117" s="1174"/>
      <c r="E117" s="1175"/>
      <c r="F117" s="1176"/>
      <c r="G117" s="1177"/>
      <c r="H117" s="1177"/>
      <c r="I117" s="1177"/>
      <c r="J117" s="1177"/>
      <c r="K117" s="1177"/>
      <c r="L117" s="1177"/>
      <c r="M117" s="1177"/>
      <c r="N117" s="1177"/>
      <c r="O117" s="1177"/>
      <c r="P117" s="1177"/>
      <c r="Q117" s="1177"/>
      <c r="R117" s="1177"/>
      <c r="S117" s="1177"/>
      <c r="T117" s="1177"/>
      <c r="U117" s="1177"/>
      <c r="V117" s="1177"/>
      <c r="W117" s="1177"/>
      <c r="X117" s="1177"/>
      <c r="Y117" s="1179"/>
      <c r="Z117" s="1177"/>
      <c r="AA117" s="1177"/>
      <c r="AB117" s="1180"/>
      <c r="AC117" s="1181">
        <f t="shared" si="85"/>
        <v>0</v>
      </c>
      <c r="AD117" s="1181">
        <f t="shared" si="76"/>
        <v>0</v>
      </c>
    </row>
    <row r="118" spans="1:32" ht="21.75" customHeight="1">
      <c r="A118" s="1140">
        <v>40</v>
      </c>
      <c r="B118" s="1172" t="s">
        <v>538</v>
      </c>
      <c r="C118" s="1173" t="str">
        <f>VLOOKUP(B118,distribucion!B$9:FK$200,2,0)</f>
        <v>Vendedor Mayorista</v>
      </c>
      <c r="D118" s="1174">
        <f>G118+K118+M118+N118</f>
        <v>3166.38</v>
      </c>
      <c r="E118" s="1175">
        <f>VLOOKUP(B118,distribucion!B$9:FK$201,7,0)</f>
        <v>30</v>
      </c>
      <c r="F118" s="1176">
        <f>VLOOKUP(B118,distribucion!$B$9:$DQ$288,14,0)</f>
        <v>0</v>
      </c>
      <c r="G118" s="1177">
        <f>ROUND((VLOOKUP(B118,distribucion!B$1:FK$201,103,0)),2)</f>
        <v>3166.38</v>
      </c>
      <c r="H118" s="1177">
        <f>ROUND((VLOOKUP(B118,distribucion!B$9:FJ$201,104,0)),2)</f>
        <v>27208.39</v>
      </c>
      <c r="I118" s="1177">
        <f>G118+H118</f>
        <v>30374.77</v>
      </c>
      <c r="J118" s="1177">
        <f>VLOOKUP(B118,distribucion!B$9:FK$200,105,0)</f>
        <v>0</v>
      </c>
      <c r="K118" s="1177">
        <f>ROUND((VLOOKUP(B118,distribucion!B$9:FK$201,106,0)),2)</f>
        <v>0</v>
      </c>
      <c r="L118" s="1177">
        <f>VLOOKUP(B118,distribucion!B$9:FK$201,107,0)</f>
        <v>0</v>
      </c>
      <c r="M118" s="1177">
        <f>ROUND((VLOOKUP(B118,distribucion!B$9:FK$201,108,0)),2)</f>
        <v>0</v>
      </c>
      <c r="N118" s="1177">
        <v>0</v>
      </c>
      <c r="O118" s="1178">
        <f>ROUND((VLOOKUP(B118,distribucion!B$9:FK$201,36,0)),2)</f>
        <v>0</v>
      </c>
      <c r="P118" s="1177">
        <f>SUM(I118:O118)-J118-L118</f>
        <v>30374.77</v>
      </c>
      <c r="Q118" s="1177">
        <f>ROUND(((G118+K118+M118+N118+O118)*0.0483),2)</f>
        <v>152.94</v>
      </c>
      <c r="R118" s="1177">
        <f>ROUND((VLOOKUP(B118,distribucion!B$9:FK$201,151,0)),2)</f>
        <v>489.98</v>
      </c>
      <c r="S118" s="1177">
        <f>ROUND((VLOOKUP(B118,distribucion!B$9:FK$201,152,0)),2)</f>
        <v>0</v>
      </c>
      <c r="T118" s="1177">
        <f>ROUND((VLOOKUP(B118,distribucion!B$9:FK$201,153,0)),2)</f>
        <v>178</v>
      </c>
      <c r="U118" s="1177">
        <f>ROUND((VLOOKUP(B118,distribucion!$B$1:$FE$228,159,0)),2)</f>
        <v>0</v>
      </c>
      <c r="V118" s="1177">
        <f>ROUND((VLOOKUP(B118,distribucion!$B$1:$FE$228,158,0)),2)</f>
        <v>0</v>
      </c>
      <c r="W118" s="1177">
        <f>ROUND((VLOOKUP(B118,distribucion!$B$1:$FE$228,154,0)),2)</f>
        <v>0</v>
      </c>
      <c r="X118" s="1177">
        <f>ROUND((VLOOKUP(B118,distribucion!B$9:FK$201,160,0)),2)</f>
        <v>1877.49</v>
      </c>
      <c r="Y118" s="1179">
        <f>SUM(Q118:X118)</f>
        <v>2698.41</v>
      </c>
      <c r="Z118" s="1205">
        <f>P118-Y118</f>
        <v>27676.36</v>
      </c>
      <c r="AA118" s="1985">
        <v>27676.359999999997</v>
      </c>
      <c r="AB118" s="1180">
        <f t="shared" ref="AB118:AB119" si="90">+Z118-AA118</f>
        <v>0</v>
      </c>
      <c r="AC118" s="1181">
        <f>VLOOKUP(B118,'[1]Nomina Unhesa'!$B$9:$AB$167,26,FALSE)</f>
        <v>8148.4400000000023</v>
      </c>
      <c r="AD118" s="1181">
        <f>+AA118-AC118</f>
        <v>19527.919999999995</v>
      </c>
    </row>
    <row r="119" spans="1:32" ht="21.75" customHeight="1">
      <c r="A119" s="1140">
        <v>41</v>
      </c>
      <c r="B119" s="1172" t="str">
        <f>+distribucion!B178</f>
        <v>Argueta Hernandez Annika Lorena</v>
      </c>
      <c r="C119" s="1173" t="str">
        <f>VLOOKUP(B119,distribucion!B$9:FK$200,2,0)</f>
        <v xml:space="preserve">Vendedor   </v>
      </c>
      <c r="D119" s="1174">
        <f>G119+K119+M119+N119</f>
        <v>3166.38</v>
      </c>
      <c r="E119" s="1175">
        <f>VLOOKUP(B119,distribucion!B$9:FK$201,7,0)</f>
        <v>30</v>
      </c>
      <c r="F119" s="1176">
        <f>VLOOKUP(B119,distribucion!$B$9:$DQ$288,14,0)</f>
        <v>0</v>
      </c>
      <c r="G119" s="1177">
        <f>ROUND((VLOOKUP(B119,distribucion!B$1:FK$201,103,0)),2)</f>
        <v>3166.38</v>
      </c>
      <c r="H119" s="1177">
        <f>ROUND((VLOOKUP(B119,distribucion!B$9:FJ$201,104,0)),2)</f>
        <v>1409.18</v>
      </c>
      <c r="I119" s="1177">
        <f>G119+H119</f>
        <v>4575.5600000000004</v>
      </c>
      <c r="J119" s="1177">
        <f>VLOOKUP(B119,distribucion!B$9:FK$200,105,0)</f>
        <v>0</v>
      </c>
      <c r="K119" s="1177">
        <f>ROUND((VLOOKUP(B119,distribucion!B$9:FK$201,106,0)),2)</f>
        <v>0</v>
      </c>
      <c r="L119" s="1177">
        <f>VLOOKUP(B119,distribucion!B$9:FK$201,107,0)</f>
        <v>0</v>
      </c>
      <c r="M119" s="1177">
        <f>ROUND((VLOOKUP(B119,distribucion!B$9:FK$201,108,0)),2)</f>
        <v>0</v>
      </c>
      <c r="N119" s="1177">
        <v>0</v>
      </c>
      <c r="O119" s="1178">
        <f>ROUND((VLOOKUP(B119,distribucion!B$9:FK$201,36,0)),2)</f>
        <v>0</v>
      </c>
      <c r="P119" s="1177">
        <f>SUM(I119:O119)-J119-L119</f>
        <v>4575.5600000000004</v>
      </c>
      <c r="Q119" s="1177">
        <f>ROUND(((G119+K119+M119+N119+O119)*0.0483),2)</f>
        <v>152.94</v>
      </c>
      <c r="R119" s="1177">
        <f>ROUND((VLOOKUP(B119,distribucion!B$9:FK$201,151,0)),2)</f>
        <v>0</v>
      </c>
      <c r="S119" s="1177">
        <f>ROUND((VLOOKUP(B119,distribucion!B$9:FK$201,152,0)),2)</f>
        <v>0</v>
      </c>
      <c r="T119" s="1177">
        <f>ROUND((VLOOKUP(B119,distribucion!B$9:FK$201,153,0)),2)</f>
        <v>0</v>
      </c>
      <c r="U119" s="1177">
        <f>ROUND((VLOOKUP(B119,distribucion!$B$1:$FE$228,159,0)),2)</f>
        <v>0</v>
      </c>
      <c r="V119" s="1177">
        <f>ROUND((VLOOKUP(B119,distribucion!$B$1:$FE$228,158,0)),2)</f>
        <v>0</v>
      </c>
      <c r="W119" s="1177">
        <f>ROUND((VLOOKUP(B119,distribucion!$B$1:$FE$228,154,0)),2)</f>
        <v>0</v>
      </c>
      <c r="X119" s="1177">
        <f>ROUND((VLOOKUP(B119,distribucion!B$9:FK$201,160,0)),2)</f>
        <v>50</v>
      </c>
      <c r="Y119" s="1179">
        <f>SUM(Q119:X119)</f>
        <v>202.94</v>
      </c>
      <c r="Z119" s="1205">
        <f>P119-Y119</f>
        <v>4372.6200000000008</v>
      </c>
      <c r="AA119" s="1985">
        <v>2790.9</v>
      </c>
      <c r="AB119" s="1180">
        <f t="shared" si="90"/>
        <v>1581.7200000000007</v>
      </c>
      <c r="AC119" s="1181">
        <f>VLOOKUP(B119,'[1]Nomina Unhesa'!$B$9:$AB$167,26,FALSE)</f>
        <v>2160.61</v>
      </c>
      <c r="AD119" s="1181">
        <f t="shared" si="76"/>
        <v>630.29</v>
      </c>
    </row>
    <row r="120" spans="1:32" s="1142" customFormat="1" ht="29.25" customHeight="1">
      <c r="A120" s="1140"/>
      <c r="B120" s="1253"/>
      <c r="C120" s="1199" t="s">
        <v>204</v>
      </c>
      <c r="D120" s="1200" t="s">
        <v>439</v>
      </c>
      <c r="E120" s="1232"/>
      <c r="F120" s="1211"/>
      <c r="G120" s="1208">
        <f>+G118+G119</f>
        <v>6332.76</v>
      </c>
      <c r="H120" s="1208">
        <f t="shared" ref="H120:AB120" si="91">+H118+H119</f>
        <v>28617.57</v>
      </c>
      <c r="I120" s="1208">
        <f t="shared" si="91"/>
        <v>34950.33</v>
      </c>
      <c r="J120" s="1208">
        <f t="shared" si="91"/>
        <v>0</v>
      </c>
      <c r="K120" s="1208">
        <f t="shared" si="91"/>
        <v>0</v>
      </c>
      <c r="L120" s="1208">
        <f t="shared" si="91"/>
        <v>0</v>
      </c>
      <c r="M120" s="1208">
        <f t="shared" si="91"/>
        <v>0</v>
      </c>
      <c r="N120" s="1208">
        <f t="shared" si="91"/>
        <v>0</v>
      </c>
      <c r="O120" s="1208">
        <f t="shared" si="91"/>
        <v>0</v>
      </c>
      <c r="P120" s="1208">
        <f t="shared" si="91"/>
        <v>34950.33</v>
      </c>
      <c r="Q120" s="1208">
        <f t="shared" si="91"/>
        <v>305.88</v>
      </c>
      <c r="R120" s="1208">
        <f t="shared" si="91"/>
        <v>489.98</v>
      </c>
      <c r="S120" s="1208">
        <f t="shared" si="91"/>
        <v>0</v>
      </c>
      <c r="T120" s="1208">
        <f t="shared" si="91"/>
        <v>178</v>
      </c>
      <c r="U120" s="1208">
        <f t="shared" si="91"/>
        <v>0</v>
      </c>
      <c r="V120" s="1208">
        <f t="shared" si="91"/>
        <v>0</v>
      </c>
      <c r="W120" s="1208">
        <f t="shared" si="91"/>
        <v>0</v>
      </c>
      <c r="X120" s="1208">
        <f t="shared" si="91"/>
        <v>1927.49</v>
      </c>
      <c r="Y120" s="1208">
        <f t="shared" si="91"/>
        <v>2901.35</v>
      </c>
      <c r="Z120" s="1208">
        <f t="shared" si="91"/>
        <v>32048.980000000003</v>
      </c>
      <c r="AA120" s="1208">
        <f>+AA118+AA119</f>
        <v>30467.26</v>
      </c>
      <c r="AB120" s="1208">
        <f t="shared" si="91"/>
        <v>1581.7200000000007</v>
      </c>
      <c r="AC120" s="1181"/>
      <c r="AD120" s="1181">
        <f t="shared" si="76"/>
        <v>30467.26</v>
      </c>
      <c r="AF120" s="1144"/>
    </row>
    <row r="121" spans="1:32" s="1142" customFormat="1" ht="21.95" customHeight="1">
      <c r="A121" s="1140"/>
      <c r="B121" s="1253"/>
      <c r="C121" s="1199"/>
      <c r="D121" s="1200"/>
      <c r="E121" s="1232"/>
      <c r="F121" s="1211"/>
      <c r="G121" s="1211"/>
      <c r="H121" s="1211"/>
      <c r="I121" s="1211"/>
      <c r="J121" s="1211"/>
      <c r="K121" s="1211"/>
      <c r="L121" s="1211"/>
      <c r="M121" s="1211"/>
      <c r="N121" s="1211"/>
      <c r="O121" s="1211"/>
      <c r="P121" s="1211"/>
      <c r="Q121" s="1211"/>
      <c r="R121" s="1211"/>
      <c r="S121" s="1211"/>
      <c r="T121" s="1211"/>
      <c r="U121" s="1211"/>
      <c r="V121" s="1211"/>
      <c r="W121" s="1211"/>
      <c r="X121" s="1211"/>
      <c r="Y121" s="1211"/>
      <c r="Z121" s="1211"/>
      <c r="AA121" s="1211"/>
      <c r="AB121" s="1212"/>
      <c r="AC121" s="1181">
        <f t="shared" si="85"/>
        <v>0</v>
      </c>
      <c r="AD121" s="1181">
        <f t="shared" si="76"/>
        <v>0</v>
      </c>
      <c r="AF121" s="1144"/>
    </row>
    <row r="122" spans="1:32" ht="21.95" customHeight="1">
      <c r="A122" s="1140"/>
      <c r="B122" s="1267" t="s">
        <v>438</v>
      </c>
      <c r="C122" s="1173"/>
      <c r="D122" s="1174"/>
      <c r="E122" s="1175"/>
      <c r="F122" s="1271"/>
      <c r="G122" s="1177"/>
      <c r="H122" s="1177"/>
      <c r="I122" s="1177"/>
      <c r="J122" s="1177"/>
      <c r="K122" s="1177"/>
      <c r="L122" s="1177"/>
      <c r="M122" s="1177"/>
      <c r="N122" s="1177"/>
      <c r="O122" s="1177"/>
      <c r="P122" s="1177"/>
      <c r="Q122" s="1177"/>
      <c r="R122" s="1177"/>
      <c r="S122" s="1177"/>
      <c r="T122" s="1177"/>
      <c r="U122" s="1177"/>
      <c r="V122" s="1177"/>
      <c r="W122" s="1177"/>
      <c r="X122" s="1177"/>
      <c r="Y122" s="1179"/>
      <c r="Z122" s="1177"/>
      <c r="AA122" s="1177"/>
      <c r="AB122" s="1180"/>
      <c r="AC122" s="1181">
        <f t="shared" si="85"/>
        <v>0</v>
      </c>
      <c r="AD122" s="1181">
        <f t="shared" si="76"/>
        <v>0</v>
      </c>
    </row>
    <row r="123" spans="1:32" s="1146" customFormat="1" ht="21.95" customHeight="1">
      <c r="A123" s="1141">
        <v>42</v>
      </c>
      <c r="B123" s="1272" t="str">
        <f>+distribucion!B181</f>
        <v>Recinos Martinez Dany Gudiel</v>
      </c>
      <c r="C123" s="1173" t="str">
        <f>VLOOKUP(B123,distribucion!B$9:FK$200,2,0)</f>
        <v>Vendedor Mayorista</v>
      </c>
      <c r="D123" s="1174">
        <f>G123+K123+M123+N123</f>
        <v>3166.38</v>
      </c>
      <c r="E123" s="1175">
        <f>VLOOKUP(B123,distribucion!B$9:FK$201,7,0)</f>
        <v>30</v>
      </c>
      <c r="F123" s="1176">
        <f>VLOOKUP(B123,distribucion!$B$9:$DQ$288,14,0)</f>
        <v>0</v>
      </c>
      <c r="G123" s="1177">
        <f>ROUND((VLOOKUP(B123,distribucion!B$1:FK$201,103,0)),2)</f>
        <v>3166.38</v>
      </c>
      <c r="H123" s="1177">
        <f>ROUND((VLOOKUP(B123,distribucion!B$9:FJ$201,104,0)),2)</f>
        <v>1892.36</v>
      </c>
      <c r="I123" s="1177">
        <f>G123+H123</f>
        <v>5058.74</v>
      </c>
      <c r="J123" s="1177">
        <f>VLOOKUP(B123,distribucion!B$9:FK$200,105,0)</f>
        <v>0</v>
      </c>
      <c r="K123" s="1177">
        <f>ROUND((VLOOKUP(B123,distribucion!B$9:FK$201,106,0)),2)</f>
        <v>0</v>
      </c>
      <c r="L123" s="1177">
        <f>VLOOKUP(B123,distribucion!B$9:FK$201,107,0)</f>
        <v>0</v>
      </c>
      <c r="M123" s="1177">
        <f>ROUND((VLOOKUP(B123,distribucion!B$9:FK$201,108,0)),2)</f>
        <v>0</v>
      </c>
      <c r="N123" s="1177">
        <v>0</v>
      </c>
      <c r="O123" s="1178">
        <f>ROUND((VLOOKUP(B123,distribucion!B$9:FK$201,36,0)),2)</f>
        <v>0</v>
      </c>
      <c r="P123" s="1177">
        <f>SUM(I123:O123)-J123-L123</f>
        <v>5058.74</v>
      </c>
      <c r="Q123" s="1177">
        <f>ROUND(((G123+K123+M123+N123+O123)*0.0483),2)</f>
        <v>152.94</v>
      </c>
      <c r="R123" s="1177">
        <f>ROUND((VLOOKUP(B123,distribucion!B$9:FK$201,151,0)),2)</f>
        <v>0</v>
      </c>
      <c r="S123" s="1177">
        <f>ROUND((VLOOKUP(B123,distribucion!B$9:FK$201,152,0)),2)</f>
        <v>0</v>
      </c>
      <c r="T123" s="1177">
        <f>ROUND((VLOOKUP(B123,distribucion!B$9:FK$201,153,0)),2)</f>
        <v>0</v>
      </c>
      <c r="U123" s="1177">
        <f>ROUND((VLOOKUP(B123,distribucion!$B$1:$FE$228,159,0)),2)</f>
        <v>0</v>
      </c>
      <c r="V123" s="1177">
        <f>ROUND((VLOOKUP(B123,distribucion!$B$1:$FE$228,158,0)),2)</f>
        <v>0</v>
      </c>
      <c r="W123" s="1177">
        <f>ROUND((VLOOKUP(B123,distribucion!$B$1:$FE$228,154,0)),2)</f>
        <v>0</v>
      </c>
      <c r="X123" s="1177">
        <f>ROUND((VLOOKUP(B123,distribucion!B$9:FK$201,160,0)),2)</f>
        <v>50</v>
      </c>
      <c r="Y123" s="1179">
        <f>SUM(Q123:X123)</f>
        <v>202.94</v>
      </c>
      <c r="Z123" s="1205">
        <f>P123-Y123</f>
        <v>4855.8</v>
      </c>
      <c r="AA123" s="1985">
        <v>3274.0800000000004</v>
      </c>
      <c r="AB123" s="1180">
        <f t="shared" ref="AB123" si="92">+Z123-AA123</f>
        <v>1581.7199999999998</v>
      </c>
      <c r="AC123" s="1181">
        <f>VLOOKUP(B123,'[1]Nomina Unhesa'!$B$9:$AB$167,26,FALSE)</f>
        <v>1485.05</v>
      </c>
      <c r="AD123" s="1181">
        <f t="shared" si="76"/>
        <v>1789.0300000000004</v>
      </c>
      <c r="AF123" s="1144"/>
    </row>
    <row r="124" spans="1:32" s="1146" customFormat="1" ht="21.95" customHeight="1">
      <c r="A124" s="1141"/>
      <c r="B124" s="1272"/>
      <c r="C124" s="1173"/>
      <c r="D124" s="1174"/>
      <c r="E124" s="1175"/>
      <c r="F124" s="1176"/>
      <c r="G124" s="1177"/>
      <c r="H124" s="1177"/>
      <c r="I124" s="1177"/>
      <c r="J124" s="1177"/>
      <c r="K124" s="1177"/>
      <c r="L124" s="1177"/>
      <c r="M124" s="1177"/>
      <c r="N124" s="1177"/>
      <c r="O124" s="1178"/>
      <c r="P124" s="1177"/>
      <c r="Q124" s="1177"/>
      <c r="R124" s="1177"/>
      <c r="S124" s="1177"/>
      <c r="T124" s="1177"/>
      <c r="U124" s="1177"/>
      <c r="V124" s="1177"/>
      <c r="W124" s="1177"/>
      <c r="X124" s="1177"/>
      <c r="Y124" s="1179"/>
      <c r="Z124" s="1205"/>
      <c r="AA124" s="1177"/>
      <c r="AB124" s="1180"/>
      <c r="AC124" s="1181"/>
      <c r="AD124" s="1181">
        <f t="shared" si="76"/>
        <v>0</v>
      </c>
      <c r="AF124" s="1144"/>
    </row>
    <row r="125" spans="1:32" s="1142" customFormat="1" ht="21.95" customHeight="1">
      <c r="A125" s="1140"/>
      <c r="B125" s="1253"/>
      <c r="C125" s="1199" t="s">
        <v>204</v>
      </c>
      <c r="D125" s="1200" t="s">
        <v>440</v>
      </c>
      <c r="E125" s="1232"/>
      <c r="F125" s="1211"/>
      <c r="G125" s="1208">
        <f>+G123</f>
        <v>3166.38</v>
      </c>
      <c r="H125" s="1208">
        <f t="shared" ref="H125:Z125" si="93">+H123</f>
        <v>1892.36</v>
      </c>
      <c r="I125" s="1208">
        <f t="shared" si="93"/>
        <v>5058.74</v>
      </c>
      <c r="J125" s="1208">
        <f t="shared" si="93"/>
        <v>0</v>
      </c>
      <c r="K125" s="1208">
        <f t="shared" si="93"/>
        <v>0</v>
      </c>
      <c r="L125" s="1208">
        <f t="shared" si="93"/>
        <v>0</v>
      </c>
      <c r="M125" s="1208">
        <f t="shared" si="93"/>
        <v>0</v>
      </c>
      <c r="N125" s="1208">
        <f t="shared" si="93"/>
        <v>0</v>
      </c>
      <c r="O125" s="1208">
        <f t="shared" si="93"/>
        <v>0</v>
      </c>
      <c r="P125" s="1208">
        <f t="shared" si="93"/>
        <v>5058.74</v>
      </c>
      <c r="Q125" s="1208">
        <f t="shared" si="93"/>
        <v>152.94</v>
      </c>
      <c r="R125" s="1208">
        <f t="shared" si="93"/>
        <v>0</v>
      </c>
      <c r="S125" s="1208">
        <f t="shared" si="93"/>
        <v>0</v>
      </c>
      <c r="T125" s="1208">
        <f t="shared" si="93"/>
        <v>0</v>
      </c>
      <c r="U125" s="1208">
        <f t="shared" si="93"/>
        <v>0</v>
      </c>
      <c r="V125" s="1208">
        <f t="shared" si="93"/>
        <v>0</v>
      </c>
      <c r="W125" s="1208">
        <f t="shared" si="93"/>
        <v>0</v>
      </c>
      <c r="X125" s="1208">
        <f t="shared" si="93"/>
        <v>50</v>
      </c>
      <c r="Y125" s="1208">
        <f t="shared" si="93"/>
        <v>202.94</v>
      </c>
      <c r="Z125" s="1208">
        <f t="shared" si="93"/>
        <v>4855.8</v>
      </c>
      <c r="AA125" s="1208">
        <f>+AA123</f>
        <v>3274.0800000000004</v>
      </c>
      <c r="AB125" s="1273">
        <f>+AB123</f>
        <v>1581.7199999999998</v>
      </c>
      <c r="AC125" s="1181">
        <f t="shared" si="85"/>
        <v>0</v>
      </c>
      <c r="AD125" s="1181">
        <f t="shared" si="76"/>
        <v>3274.0800000000004</v>
      </c>
      <c r="AF125" s="1144"/>
    </row>
    <row r="126" spans="1:32" s="1142" customFormat="1" ht="21.95" customHeight="1">
      <c r="A126" s="1140"/>
      <c r="B126" s="1253"/>
      <c r="C126" s="1199"/>
      <c r="D126" s="1200"/>
      <c r="E126" s="1232"/>
      <c r="F126" s="1211"/>
      <c r="G126" s="1211"/>
      <c r="H126" s="1211"/>
      <c r="I126" s="1211"/>
      <c r="J126" s="1211"/>
      <c r="K126" s="1211"/>
      <c r="L126" s="1211"/>
      <c r="M126" s="1211"/>
      <c r="N126" s="1211"/>
      <c r="O126" s="1211"/>
      <c r="P126" s="1211"/>
      <c r="Q126" s="1211"/>
      <c r="R126" s="1211"/>
      <c r="S126" s="1211"/>
      <c r="T126" s="1211"/>
      <c r="U126" s="1211"/>
      <c r="V126" s="1211"/>
      <c r="W126" s="1211"/>
      <c r="X126" s="1211"/>
      <c r="Y126" s="1211"/>
      <c r="Z126" s="1211"/>
      <c r="AA126" s="1211"/>
      <c r="AB126" s="1212"/>
      <c r="AC126" s="1181">
        <f t="shared" si="85"/>
        <v>0</v>
      </c>
      <c r="AD126" s="1181">
        <f t="shared" si="76"/>
        <v>0</v>
      </c>
      <c r="AF126" s="1144"/>
    </row>
    <row r="127" spans="1:32" ht="21.95" customHeight="1">
      <c r="A127" s="1140"/>
      <c r="B127" s="1267" t="s">
        <v>437</v>
      </c>
      <c r="C127" s="1173"/>
      <c r="D127" s="1174"/>
      <c r="E127" s="1175"/>
      <c r="F127" s="1176"/>
      <c r="G127" s="1177"/>
      <c r="H127" s="1177"/>
      <c r="I127" s="1177"/>
      <c r="J127" s="1177"/>
      <c r="K127" s="1177"/>
      <c r="L127" s="1177"/>
      <c r="M127" s="1177"/>
      <c r="N127" s="1177"/>
      <c r="O127" s="1177"/>
      <c r="P127" s="1177"/>
      <c r="Q127" s="1177"/>
      <c r="R127" s="1177"/>
      <c r="S127" s="1177"/>
      <c r="T127" s="1177"/>
      <c r="U127" s="1177"/>
      <c r="V127" s="1177"/>
      <c r="W127" s="1177"/>
      <c r="X127" s="1177"/>
      <c r="Y127" s="1179"/>
      <c r="Z127" s="1177"/>
      <c r="AA127" s="1177"/>
      <c r="AB127" s="1180"/>
      <c r="AC127" s="1181">
        <f t="shared" si="85"/>
        <v>0</v>
      </c>
      <c r="AD127" s="1181">
        <f t="shared" si="76"/>
        <v>0</v>
      </c>
    </row>
    <row r="128" spans="1:32" ht="21.95" customHeight="1">
      <c r="A128" s="1140"/>
      <c r="B128" s="1172"/>
      <c r="C128" s="1174"/>
      <c r="D128" s="1174"/>
      <c r="E128" s="1269"/>
      <c r="F128" s="1270"/>
      <c r="G128" s="1205"/>
      <c r="H128" s="1205"/>
      <c r="I128" s="1205"/>
      <c r="J128" s="1205"/>
      <c r="K128" s="1205"/>
      <c r="L128" s="1205"/>
      <c r="M128" s="1205"/>
      <c r="N128" s="1205"/>
      <c r="O128" s="1244"/>
      <c r="P128" s="1205"/>
      <c r="Q128" s="1205"/>
      <c r="R128" s="1177"/>
      <c r="S128" s="1177"/>
      <c r="T128" s="1177"/>
      <c r="U128" s="1177"/>
      <c r="V128" s="1177"/>
      <c r="W128" s="1177"/>
      <c r="X128" s="1177"/>
      <c r="Y128" s="1171"/>
      <c r="Z128" s="1205"/>
      <c r="AA128" s="1177"/>
      <c r="AB128" s="1205"/>
      <c r="AC128" s="1181"/>
      <c r="AD128" s="1181">
        <f t="shared" si="76"/>
        <v>0</v>
      </c>
    </row>
    <row r="129" spans="1:33" ht="21.95" customHeight="1">
      <c r="A129" s="1140"/>
      <c r="B129" s="1172"/>
      <c r="C129" s="1199" t="s">
        <v>204</v>
      </c>
      <c r="D129" s="1200" t="s">
        <v>441</v>
      </c>
      <c r="E129" s="1175"/>
      <c r="F129" s="1211"/>
      <c r="G129" s="1208">
        <f t="shared" ref="G129:AB129" si="94">+G128</f>
        <v>0</v>
      </c>
      <c r="H129" s="1208">
        <f t="shared" si="94"/>
        <v>0</v>
      </c>
      <c r="I129" s="1208">
        <f t="shared" si="94"/>
        <v>0</v>
      </c>
      <c r="J129" s="1208">
        <f t="shared" si="94"/>
        <v>0</v>
      </c>
      <c r="K129" s="1208">
        <f t="shared" si="94"/>
        <v>0</v>
      </c>
      <c r="L129" s="1208">
        <f t="shared" si="94"/>
        <v>0</v>
      </c>
      <c r="M129" s="1208">
        <f t="shared" si="94"/>
        <v>0</v>
      </c>
      <c r="N129" s="1208">
        <f t="shared" si="94"/>
        <v>0</v>
      </c>
      <c r="O129" s="1208">
        <f t="shared" si="94"/>
        <v>0</v>
      </c>
      <c r="P129" s="1208">
        <f t="shared" si="94"/>
        <v>0</v>
      </c>
      <c r="Q129" s="1208">
        <f t="shared" si="94"/>
        <v>0</v>
      </c>
      <c r="R129" s="1208">
        <f t="shared" si="94"/>
        <v>0</v>
      </c>
      <c r="S129" s="1208">
        <f t="shared" si="94"/>
        <v>0</v>
      </c>
      <c r="T129" s="1208">
        <f t="shared" si="94"/>
        <v>0</v>
      </c>
      <c r="U129" s="1208">
        <f t="shared" si="94"/>
        <v>0</v>
      </c>
      <c r="V129" s="1208">
        <f t="shared" si="94"/>
        <v>0</v>
      </c>
      <c r="W129" s="1208">
        <f t="shared" si="94"/>
        <v>0</v>
      </c>
      <c r="X129" s="1208">
        <f t="shared" si="94"/>
        <v>0</v>
      </c>
      <c r="Y129" s="1208">
        <f t="shared" si="94"/>
        <v>0</v>
      </c>
      <c r="Z129" s="1208">
        <f t="shared" si="94"/>
        <v>0</v>
      </c>
      <c r="AA129" s="1208">
        <f t="shared" si="94"/>
        <v>0</v>
      </c>
      <c r="AB129" s="1273">
        <f t="shared" si="94"/>
        <v>0</v>
      </c>
      <c r="AC129" s="1181">
        <f t="shared" si="85"/>
        <v>0</v>
      </c>
      <c r="AD129" s="1181">
        <f t="shared" si="76"/>
        <v>0</v>
      </c>
    </row>
    <row r="130" spans="1:33" s="1142" customFormat="1" ht="21.75" customHeight="1">
      <c r="A130" s="1140"/>
      <c r="B130" s="1253"/>
      <c r="C130" s="1140"/>
      <c r="D130" s="1141"/>
      <c r="E130" s="1232"/>
      <c r="F130" s="1211"/>
      <c r="G130" s="1208"/>
      <c r="H130" s="1208"/>
      <c r="I130" s="1208"/>
      <c r="J130" s="1208"/>
      <c r="K130" s="1208"/>
      <c r="L130" s="1208"/>
      <c r="M130" s="1208"/>
      <c r="N130" s="1208"/>
      <c r="O130" s="1208"/>
      <c r="P130" s="1208"/>
      <c r="Q130" s="1208"/>
      <c r="R130" s="1208"/>
      <c r="S130" s="1208"/>
      <c r="T130" s="1208"/>
      <c r="U130" s="1208"/>
      <c r="V130" s="1208"/>
      <c r="W130" s="1208"/>
      <c r="X130" s="1208"/>
      <c r="Y130" s="1208"/>
      <c r="Z130" s="1208"/>
      <c r="AA130" s="1208"/>
      <c r="AB130" s="1273"/>
      <c r="AC130" s="1181">
        <f t="shared" si="85"/>
        <v>0</v>
      </c>
      <c r="AD130" s="1181">
        <f t="shared" si="76"/>
        <v>0</v>
      </c>
      <c r="AF130" s="1144"/>
    </row>
    <row r="131" spans="1:33" ht="27" customHeight="1">
      <c r="A131" s="1140"/>
      <c r="B131" s="1172"/>
      <c r="C131" s="1199"/>
      <c r="D131" s="1200" t="s">
        <v>489</v>
      </c>
      <c r="E131" s="1175"/>
      <c r="F131" s="1211"/>
      <c r="G131" s="1202">
        <f>+G115+G120+G125+G105+G129+G112+G109</f>
        <v>39441.9</v>
      </c>
      <c r="H131" s="1202">
        <f t="shared" ref="H131:Z131" si="95">+H115+H120+H125+H105+H129+H112+H109</f>
        <v>52362.07</v>
      </c>
      <c r="I131" s="1202">
        <f t="shared" si="95"/>
        <v>91803.969999999987</v>
      </c>
      <c r="J131" s="1202">
        <f t="shared" si="95"/>
        <v>0</v>
      </c>
      <c r="K131" s="1202">
        <f t="shared" si="95"/>
        <v>0</v>
      </c>
      <c r="L131" s="1202">
        <f t="shared" si="95"/>
        <v>0</v>
      </c>
      <c r="M131" s="1202">
        <f t="shared" si="95"/>
        <v>0</v>
      </c>
      <c r="N131" s="1202">
        <f t="shared" si="95"/>
        <v>0</v>
      </c>
      <c r="O131" s="1202">
        <f t="shared" si="95"/>
        <v>0</v>
      </c>
      <c r="P131" s="1202">
        <f t="shared" si="95"/>
        <v>91803.969999999987</v>
      </c>
      <c r="Q131" s="1202">
        <f t="shared" si="95"/>
        <v>1905.07</v>
      </c>
      <c r="R131" s="1202">
        <f t="shared" si="95"/>
        <v>1936.3700000000001</v>
      </c>
      <c r="S131" s="1202">
        <f t="shared" si="95"/>
        <v>5247.52</v>
      </c>
      <c r="T131" s="1202">
        <f t="shared" si="95"/>
        <v>715</v>
      </c>
      <c r="U131" s="1202">
        <f t="shared" si="95"/>
        <v>0</v>
      </c>
      <c r="V131" s="1202">
        <f t="shared" si="95"/>
        <v>0</v>
      </c>
      <c r="W131" s="1202">
        <f t="shared" si="95"/>
        <v>0</v>
      </c>
      <c r="X131" s="1202">
        <f t="shared" si="95"/>
        <v>4289.99</v>
      </c>
      <c r="Y131" s="1202">
        <f t="shared" si="95"/>
        <v>14093.950000000003</v>
      </c>
      <c r="Z131" s="1202">
        <f t="shared" si="95"/>
        <v>77710.02</v>
      </c>
      <c r="AA131" s="1202">
        <f>+AA115+AA120+AA125+AA105+AA129+AA112+AA109</f>
        <v>65218.7</v>
      </c>
      <c r="AB131" s="1202">
        <f>+AB115+AB120+AB125+AB105+AB129+AB112+AB109</f>
        <v>12491.32</v>
      </c>
      <c r="AC131" s="1181"/>
      <c r="AD131" s="1181">
        <f t="shared" si="76"/>
        <v>65218.7</v>
      </c>
    </row>
    <row r="132" spans="1:33" ht="21.95" customHeight="1">
      <c r="A132" s="1140"/>
      <c r="B132" s="1167" t="s">
        <v>134</v>
      </c>
      <c r="C132" s="1199"/>
      <c r="D132" s="1200"/>
      <c r="E132" s="1199"/>
      <c r="F132" s="1255"/>
      <c r="G132" s="1211"/>
      <c r="H132" s="1211"/>
      <c r="I132" s="1211"/>
      <c r="J132" s="1211"/>
      <c r="K132" s="1211"/>
      <c r="L132" s="1211"/>
      <c r="M132" s="1211"/>
      <c r="N132" s="1211"/>
      <c r="O132" s="1211"/>
      <c r="P132" s="1211"/>
      <c r="Q132" s="1211"/>
      <c r="R132" s="1211"/>
      <c r="S132" s="1211"/>
      <c r="T132" s="1211"/>
      <c r="U132" s="1211"/>
      <c r="V132" s="1211"/>
      <c r="W132" s="1211"/>
      <c r="X132" s="1211"/>
      <c r="Y132" s="1213"/>
      <c r="Z132" s="1211"/>
      <c r="AA132" s="1177"/>
      <c r="AB132" s="1212"/>
      <c r="AC132" s="1181">
        <f t="shared" si="85"/>
        <v>0</v>
      </c>
      <c r="AD132" s="1181">
        <f t="shared" si="76"/>
        <v>0</v>
      </c>
    </row>
    <row r="133" spans="1:33" ht="21.95" customHeight="1">
      <c r="A133" s="1140"/>
      <c r="B133" s="1198" t="s">
        <v>135</v>
      </c>
      <c r="C133" s="1199"/>
      <c r="D133" s="1200"/>
      <c r="E133" s="1199"/>
      <c r="F133" s="1255"/>
      <c r="G133" s="1211"/>
      <c r="H133" s="1211"/>
      <c r="I133" s="1211"/>
      <c r="J133" s="1211"/>
      <c r="K133" s="1211"/>
      <c r="L133" s="1211"/>
      <c r="M133" s="1211"/>
      <c r="N133" s="1211"/>
      <c r="O133" s="1211"/>
      <c r="P133" s="1211"/>
      <c r="Q133" s="1211"/>
      <c r="R133" s="1211"/>
      <c r="S133" s="1211"/>
      <c r="T133" s="1211"/>
      <c r="U133" s="1211"/>
      <c r="V133" s="1211"/>
      <c r="W133" s="1211"/>
      <c r="X133" s="1211"/>
      <c r="Y133" s="1213"/>
      <c r="Z133" s="1211"/>
      <c r="AA133" s="1177"/>
      <c r="AB133" s="1212"/>
      <c r="AC133" s="1181">
        <f t="shared" si="85"/>
        <v>0</v>
      </c>
      <c r="AD133" s="1181">
        <f t="shared" ref="AD133:AD163" si="96">+AA133-AC133</f>
        <v>0</v>
      </c>
    </row>
    <row r="134" spans="1:33" s="1247" customFormat="1" ht="21.95" customHeight="1">
      <c r="A134" s="1246">
        <v>43</v>
      </c>
      <c r="B134" s="1241" t="s">
        <v>584</v>
      </c>
      <c r="C134" s="1192" t="str">
        <f>VLOOKUP(B134,distribucion!B$9:FK$200,2,0)</f>
        <v>Communitry Manager</v>
      </c>
      <c r="D134" s="1192">
        <f>G134+K134+M134+N134</f>
        <v>4750</v>
      </c>
      <c r="E134" s="1248">
        <f>VLOOKUP(B134,distribucion!B$9:FK$201,7,0)</f>
        <v>30</v>
      </c>
      <c r="F134" s="1249">
        <f>VLOOKUP(B134,distribucion!$B$9:$DQ$288,14,0)</f>
        <v>0</v>
      </c>
      <c r="G134" s="1244">
        <f>ROUND((VLOOKUP(B134,distribucion!B$1:FK$201,103,0)),2)</f>
        <v>4750</v>
      </c>
      <c r="H134" s="1244">
        <f>ROUND((VLOOKUP(B134,distribucion!B$9:FJ$201,104,0)),2)</f>
        <v>2097.41</v>
      </c>
      <c r="I134" s="1244">
        <f>G134+H134</f>
        <v>6847.41</v>
      </c>
      <c r="J134" s="1244">
        <f>VLOOKUP(B134,distribucion!B$9:FK$200,105,0)</f>
        <v>0</v>
      </c>
      <c r="K134" s="1244">
        <f>ROUND((VLOOKUP(B134,distribucion!B$9:FK$201,106,0)),2)</f>
        <v>0</v>
      </c>
      <c r="L134" s="1244">
        <f>VLOOKUP(B134,distribucion!B$9:FK$201,107,0)</f>
        <v>0</v>
      </c>
      <c r="M134" s="1244">
        <f>ROUND((VLOOKUP(B134,distribucion!B$9:FK$201,108,0)),2)</f>
        <v>0</v>
      </c>
      <c r="N134" s="1244">
        <v>0</v>
      </c>
      <c r="O134" s="1244">
        <f>ROUND((VLOOKUP(B134,distribucion!B$9:FK$201,36,0)),2)</f>
        <v>0</v>
      </c>
      <c r="P134" s="1244">
        <f>SUM(I134:O134)-J134-L134</f>
        <v>6847.41</v>
      </c>
      <c r="Q134" s="1244">
        <f>ROUND(((G134+K134+M134+N134+O134)*0.0483),2)</f>
        <v>229.43</v>
      </c>
      <c r="R134" s="1244">
        <f>ROUND((VLOOKUP(B134,distribucion!B$9:FK$201,151,0)),2)</f>
        <v>141.03</v>
      </c>
      <c r="S134" s="1244">
        <f>ROUND((VLOOKUP(B134,distribucion!B$9:FK$201,152,0)),2)</f>
        <v>0</v>
      </c>
      <c r="T134" s="1244">
        <f>ROUND((VLOOKUP(B134,distribucion!B$9:FK$201,153,0)),2)</f>
        <v>0</v>
      </c>
      <c r="U134" s="1244">
        <f>ROUND((VLOOKUP(B134,distribucion!$B$1:$FE$228,159,0)),2)</f>
        <v>0</v>
      </c>
      <c r="V134" s="1244">
        <f>ROUND((VLOOKUP(B134,distribucion!$B$1:$FE$228,158,0)),2)</f>
        <v>0</v>
      </c>
      <c r="W134" s="1244">
        <f>ROUND((VLOOKUP(B134,distribucion!$B$1:$FE$228,154,0)),2)</f>
        <v>0</v>
      </c>
      <c r="X134" s="1244">
        <f>ROUND((VLOOKUP(B134,distribucion!B$9:FK$201,160,0)),2)</f>
        <v>50</v>
      </c>
      <c r="Y134" s="1245">
        <f>SUM(Q134:X134)</f>
        <v>420.46000000000004</v>
      </c>
      <c r="Z134" s="1244">
        <f>P134-Y134</f>
        <v>6426.95</v>
      </c>
      <c r="AA134" s="1985">
        <v>3732.7</v>
      </c>
      <c r="AB134" s="1180">
        <f t="shared" ref="AB134:AB135" si="97">+Z134-AA134</f>
        <v>2694.25</v>
      </c>
      <c r="AC134" s="1181">
        <f>VLOOKUP(B134,'[1]Nomina Unhesa'!$B$9:$AB$167,26,FALSE)</f>
        <v>4100.41</v>
      </c>
      <c r="AD134" s="1181">
        <f t="shared" si="96"/>
        <v>-367.71000000000004</v>
      </c>
      <c r="AF134" s="1144"/>
    </row>
    <row r="135" spans="1:33" s="1197" customFormat="1" ht="21.95" customHeight="1">
      <c r="A135" s="1190">
        <v>44</v>
      </c>
      <c r="B135" s="1274" t="s">
        <v>586</v>
      </c>
      <c r="C135" s="1191" t="str">
        <f>VLOOKUP(B135,distribucion!B$9:FK$200,2,0)</f>
        <v>Gerente de Mercadeo</v>
      </c>
      <c r="D135" s="1192">
        <f>G135+K135+M135+N135</f>
        <v>20750</v>
      </c>
      <c r="E135" s="1193">
        <f>VLOOKUP(B135,distribucion!B$9:FK$201,7,0)</f>
        <v>30</v>
      </c>
      <c r="F135" s="1194">
        <f>VLOOKUP(B135,distribucion!$B$9:$DQ$288,14,0)</f>
        <v>0</v>
      </c>
      <c r="G135" s="1178">
        <f>ROUND((VLOOKUP(B135,distribucion!B$1:FK$201,103,0)),2)</f>
        <v>20750</v>
      </c>
      <c r="H135" s="1178">
        <f>ROUND((VLOOKUP(B135,distribucion!B$9:FJ$201,104,0)),2)</f>
        <v>3250</v>
      </c>
      <c r="I135" s="1178">
        <f>G135+H135</f>
        <v>24000</v>
      </c>
      <c r="J135" s="1178">
        <f>VLOOKUP(B135,distribucion!B$9:FK$200,105,0)</f>
        <v>0</v>
      </c>
      <c r="K135" s="1178">
        <f>ROUND((VLOOKUP(B135,distribucion!B$9:FK$201,106,0)),2)</f>
        <v>0</v>
      </c>
      <c r="L135" s="1178">
        <f>VLOOKUP(B135,distribucion!B$9:FK$201,107,0)</f>
        <v>0</v>
      </c>
      <c r="M135" s="1178">
        <f>ROUND((VLOOKUP(B135,distribucion!B$9:FK$201,108,0)),2)</f>
        <v>0</v>
      </c>
      <c r="N135" s="1244">
        <v>0</v>
      </c>
      <c r="O135" s="1178">
        <f>ROUND((VLOOKUP(B135,distribucion!B$9:FK$201,36,0)),2)</f>
        <v>0</v>
      </c>
      <c r="P135" s="1178">
        <f>SUM(I135:O135)-J135-L135</f>
        <v>24000</v>
      </c>
      <c r="Q135" s="1178">
        <f>ROUND(((G135+K135+M135+N135+O135)*0.0483),2)</f>
        <v>1002.23</v>
      </c>
      <c r="R135" s="1178">
        <f>ROUND((VLOOKUP(B135,distribucion!B$9:FK$201,151,0)),2)</f>
        <v>949.89</v>
      </c>
      <c r="S135" s="1178">
        <f>ROUND((VLOOKUP(B135,distribucion!B$9:FK$201,152,0)),2)</f>
        <v>0</v>
      </c>
      <c r="T135" s="1178">
        <f>ROUND((VLOOKUP(B135,distribucion!B$9:FK$201,153,0)),2)</f>
        <v>0</v>
      </c>
      <c r="U135" s="1178">
        <f>ROUND((VLOOKUP(B135,distribucion!$B$1:$FE$228,159,0)),2)</f>
        <v>0</v>
      </c>
      <c r="V135" s="1178">
        <f>ROUND((VLOOKUP(B135,distribucion!$B$1:$FE$228,158,0)),2)</f>
        <v>0</v>
      </c>
      <c r="W135" s="1178">
        <f>ROUND((VLOOKUP(B135,distribucion!$B$1:$FE$228,154,0)),2)</f>
        <v>0</v>
      </c>
      <c r="X135" s="1178">
        <f>ROUND((VLOOKUP(B135,distribucion!B$9:FK$201,160,0)),2)</f>
        <v>0</v>
      </c>
      <c r="Y135" s="1195">
        <f>SUM(Q135:X135)</f>
        <v>1952.12</v>
      </c>
      <c r="Z135" s="1178">
        <f>P135-Y135</f>
        <v>22047.88</v>
      </c>
      <c r="AA135" s="1985">
        <v>10998.71</v>
      </c>
      <c r="AB135" s="1180">
        <f t="shared" si="97"/>
        <v>11049.170000000002</v>
      </c>
      <c r="AC135" s="1181">
        <f>VLOOKUP(B135,'[1]Nomina Unhesa'!$B$9:$AB$167,26,FALSE)</f>
        <v>10998.71</v>
      </c>
      <c r="AD135" s="1181">
        <f t="shared" si="96"/>
        <v>0</v>
      </c>
      <c r="AF135" s="1144"/>
      <c r="AG135" s="1197" t="s">
        <v>54</v>
      </c>
    </row>
    <row r="136" spans="1:33" ht="29.25" customHeight="1">
      <c r="A136" s="1140"/>
      <c r="B136" s="1198"/>
      <c r="C136" s="1199" t="s">
        <v>204</v>
      </c>
      <c r="D136" s="1200"/>
      <c r="E136" s="1199"/>
      <c r="F136" s="1255"/>
      <c r="G136" s="1208">
        <f>SUM(G134:G135)</f>
        <v>25500</v>
      </c>
      <c r="H136" s="1208">
        <f t="shared" ref="H136:Z136" si="98">SUM(H134:H135)</f>
        <v>5347.41</v>
      </c>
      <c r="I136" s="1208">
        <f t="shared" si="98"/>
        <v>30847.41</v>
      </c>
      <c r="J136" s="1208">
        <f t="shared" si="98"/>
        <v>0</v>
      </c>
      <c r="K136" s="1208">
        <f t="shared" si="98"/>
        <v>0</v>
      </c>
      <c r="L136" s="1208">
        <f t="shared" si="98"/>
        <v>0</v>
      </c>
      <c r="M136" s="1208">
        <f t="shared" si="98"/>
        <v>0</v>
      </c>
      <c r="N136" s="1208">
        <f t="shared" si="98"/>
        <v>0</v>
      </c>
      <c r="O136" s="1208">
        <f t="shared" si="98"/>
        <v>0</v>
      </c>
      <c r="P136" s="1208">
        <f t="shared" si="98"/>
        <v>30847.41</v>
      </c>
      <c r="Q136" s="1208">
        <f t="shared" si="98"/>
        <v>1231.6600000000001</v>
      </c>
      <c r="R136" s="1208">
        <f t="shared" si="98"/>
        <v>1090.92</v>
      </c>
      <c r="S136" s="1208">
        <f t="shared" si="98"/>
        <v>0</v>
      </c>
      <c r="T136" s="1208">
        <f t="shared" si="98"/>
        <v>0</v>
      </c>
      <c r="U136" s="1208">
        <f t="shared" si="98"/>
        <v>0</v>
      </c>
      <c r="V136" s="1208">
        <f t="shared" si="98"/>
        <v>0</v>
      </c>
      <c r="W136" s="1208">
        <f t="shared" si="98"/>
        <v>0</v>
      </c>
      <c r="X136" s="1208">
        <f t="shared" si="98"/>
        <v>50</v>
      </c>
      <c r="Y136" s="1208">
        <f t="shared" si="98"/>
        <v>2372.58</v>
      </c>
      <c r="Z136" s="1208">
        <f t="shared" si="98"/>
        <v>28474.83</v>
      </c>
      <c r="AA136" s="1208">
        <f>SUM(AA134:AA135)</f>
        <v>14731.41</v>
      </c>
      <c r="AB136" s="1208">
        <f>SUM(AB134:AB135)</f>
        <v>13743.420000000002</v>
      </c>
      <c r="AC136" s="1181"/>
      <c r="AD136" s="1181">
        <f t="shared" si="96"/>
        <v>14731.41</v>
      </c>
    </row>
    <row r="137" spans="1:33" ht="21.95" customHeight="1">
      <c r="A137" s="1140"/>
      <c r="B137" s="1198"/>
      <c r="C137" s="1199"/>
      <c r="D137" s="1200"/>
      <c r="E137" s="1201"/>
      <c r="F137" s="1176"/>
      <c r="G137" s="1275"/>
      <c r="H137" s="1275"/>
      <c r="I137" s="1275"/>
      <c r="J137" s="1275"/>
      <c r="K137" s="1275"/>
      <c r="L137" s="1275"/>
      <c r="M137" s="1275"/>
      <c r="N137" s="1275"/>
      <c r="O137" s="1275"/>
      <c r="P137" s="1275"/>
      <c r="Q137" s="1275"/>
      <c r="R137" s="1275"/>
      <c r="S137" s="1275"/>
      <c r="T137" s="1275"/>
      <c r="U137" s="1275"/>
      <c r="V137" s="1275"/>
      <c r="W137" s="1275"/>
      <c r="X137" s="1275"/>
      <c r="Y137" s="1275"/>
      <c r="Z137" s="1275"/>
      <c r="AA137" s="1275"/>
      <c r="AB137" s="1276"/>
      <c r="AC137" s="1181">
        <f t="shared" ref="AC137:AC138" si="99">+Z137-AA137-AB137</f>
        <v>0</v>
      </c>
      <c r="AD137" s="1181">
        <f t="shared" si="96"/>
        <v>0</v>
      </c>
    </row>
    <row r="138" spans="1:33" ht="21.95" customHeight="1">
      <c r="A138" s="1140"/>
      <c r="B138" s="1264" t="s">
        <v>399</v>
      </c>
      <c r="C138" s="1173"/>
      <c r="D138" s="1174"/>
      <c r="E138" s="1175"/>
      <c r="F138" s="1176"/>
      <c r="G138" s="1177"/>
      <c r="H138" s="1177"/>
      <c r="I138" s="1177"/>
      <c r="J138" s="1177"/>
      <c r="K138" s="1177"/>
      <c r="L138" s="1177"/>
      <c r="M138" s="1177"/>
      <c r="N138" s="1177"/>
      <c r="O138" s="1177"/>
      <c r="P138" s="1177"/>
      <c r="Q138" s="1177"/>
      <c r="R138" s="1177"/>
      <c r="S138" s="1177"/>
      <c r="T138" s="1177"/>
      <c r="U138" s="1177"/>
      <c r="V138" s="1177"/>
      <c r="W138" s="1177"/>
      <c r="X138" s="1177"/>
      <c r="Y138" s="1179"/>
      <c r="Z138" s="1177"/>
      <c r="AA138" s="1177"/>
      <c r="AB138" s="1180"/>
      <c r="AC138" s="1181">
        <f t="shared" si="99"/>
        <v>0</v>
      </c>
      <c r="AD138" s="1181">
        <f t="shared" si="96"/>
        <v>0</v>
      </c>
    </row>
    <row r="139" spans="1:33" ht="21.95" customHeight="1">
      <c r="A139" s="1140">
        <v>45</v>
      </c>
      <c r="B139" s="1216" t="str">
        <f>+distribucion!B206</f>
        <v>Garrido Aguilar Maria Elena</v>
      </c>
      <c r="C139" s="1173" t="str">
        <f>VLOOKUP(B139,distribucion!B$9:FK$206,2,0)</f>
        <v>Empacadora de Sobres</v>
      </c>
      <c r="D139" s="1174">
        <f t="shared" ref="D139:D142" si="100">G139+K139+M139+N139</f>
        <v>3205.96</v>
      </c>
      <c r="E139" s="1175">
        <f>VLOOKUP(B139,distribucion!B$9:FK$206,7,0)</f>
        <v>30</v>
      </c>
      <c r="F139" s="1176" t="str">
        <f>VLOOKUP(B139,distribucion!$B$9:$DQ$288,14,0)</f>
        <v xml:space="preserve"> </v>
      </c>
      <c r="G139" s="1177">
        <f>ROUND((VLOOKUP(B139,distribucion!B$1:FK$243,112,0)),2)</f>
        <v>3166.38</v>
      </c>
      <c r="H139" s="1177">
        <f>ROUND((VLOOKUP(B139,distribucion!B$9:FJ$243,113,0)),2)</f>
        <v>250</v>
      </c>
      <c r="I139" s="1177">
        <f t="shared" ref="I139" si="101">G139+H139</f>
        <v>3416.38</v>
      </c>
      <c r="J139" s="1177">
        <f>VLOOKUP(B139,distribucion!B$9:FK$243,114,0)</f>
        <v>2</v>
      </c>
      <c r="K139" s="1177">
        <f>ROUND((VLOOKUP(B139,distribucion!B$9:FK$243,115,0)),2)</f>
        <v>39.58</v>
      </c>
      <c r="L139" s="1177">
        <f>VLOOKUP(B139,distribucion!B$9:FK$243,116,0)</f>
        <v>0</v>
      </c>
      <c r="M139" s="1177">
        <f>ROUND((VLOOKUP(B139,distribucion!B$9:FK$243,117,0)),2)</f>
        <v>0</v>
      </c>
      <c r="N139" s="1177">
        <v>0</v>
      </c>
      <c r="O139" s="1178">
        <f>ROUND((VLOOKUP(B139,distribucion!B$9:FK$206,36,0)),2)</f>
        <v>0</v>
      </c>
      <c r="P139" s="1177">
        <f t="shared" ref="P139:P142" si="102">SUM(I139:O139)-J139-L139</f>
        <v>3455.96</v>
      </c>
      <c r="Q139" s="1177">
        <f t="shared" ref="Q139:Q142" si="103">ROUND(((G139+K139+M139+N139+O139)*0.0483),2)</f>
        <v>154.85</v>
      </c>
      <c r="R139" s="1177">
        <f>ROUND((VLOOKUP(B139,distribucion!B$9:FK$243,151,0)),2)</f>
        <v>0</v>
      </c>
      <c r="S139" s="1177">
        <f>ROUND((VLOOKUP(B139,distribucion!B$9:FK$243,152,0)),2)</f>
        <v>0</v>
      </c>
      <c r="T139" s="1177">
        <f>ROUND((VLOOKUP(B139,distribucion!B$9:FK$243,153,0)),2)</f>
        <v>0</v>
      </c>
      <c r="U139" s="1177">
        <f>ROUND((VLOOKUP(B139,distribucion!$B$1:$FE$228,159,0)),2)</f>
        <v>0</v>
      </c>
      <c r="V139" s="1177">
        <f>ROUND((VLOOKUP(B139,distribucion!$B$1:$FE$228,158,0)),2)</f>
        <v>0</v>
      </c>
      <c r="W139" s="1177">
        <f>ROUND((VLOOKUP(B139,distribucion!$B$1:$FE$228,154,0)),2)</f>
        <v>419.75</v>
      </c>
      <c r="X139" s="1177">
        <f>ROUND((VLOOKUP(B139,distribucion!$B$9:$FK$243,160,0)),2)</f>
        <v>50</v>
      </c>
      <c r="Y139" s="1179">
        <f t="shared" ref="Y139:Y142" si="104">SUM(Q139:X139)</f>
        <v>624.6</v>
      </c>
      <c r="Z139" s="1177">
        <f t="shared" ref="Z139:Z142" si="105">P139-Y139</f>
        <v>2831.36</v>
      </c>
      <c r="AA139" s="1985">
        <v>1428.72</v>
      </c>
      <c r="AB139" s="1180">
        <f t="shared" ref="AB139:AB149" si="106">+Z139-AA139</f>
        <v>1402.64</v>
      </c>
      <c r="AC139" s="1181">
        <f>VLOOKUP(B139,'[1]Nomina Unhesa'!$B$9:$AB$167,26,FALSE)</f>
        <v>1292.3999999999999</v>
      </c>
      <c r="AD139" s="1181">
        <f t="shared" si="96"/>
        <v>136.32000000000016</v>
      </c>
    </row>
    <row r="140" spans="1:33" ht="21.95" customHeight="1">
      <c r="A140" s="1140">
        <f>+A139+1</f>
        <v>46</v>
      </c>
      <c r="B140" s="1216" t="str">
        <f>+distribucion!B205</f>
        <v>Boror López Mayra Guadalupe</v>
      </c>
      <c r="C140" s="1173" t="str">
        <f>VLOOKUP(B140,distribucion!B$9:FK$205,2,0)</f>
        <v>Empacadora</v>
      </c>
      <c r="D140" s="1174">
        <f t="shared" si="100"/>
        <v>3285.12</v>
      </c>
      <c r="E140" s="1175">
        <f>VLOOKUP(B140,distribucion!B$9:FK$205,7,0)</f>
        <v>30</v>
      </c>
      <c r="F140" s="1176">
        <f>VLOOKUP(B140,distribucion!$B$9:$DQ$288,14,0)</f>
        <v>0</v>
      </c>
      <c r="G140" s="1177">
        <f>ROUND((VLOOKUP(B140,distribucion!B$1:FK$243,112,0)),2)</f>
        <v>3166.38</v>
      </c>
      <c r="H140" s="1177">
        <f>ROUND((VLOOKUP(B140,distribucion!B$9:FJ$243,113,0)),2)</f>
        <v>925</v>
      </c>
      <c r="I140" s="1177">
        <f t="shared" ref="I140:I142" si="107">G140+H140</f>
        <v>4091.38</v>
      </c>
      <c r="J140" s="1177">
        <f>VLOOKUP(B140,distribucion!B$9:FK$243,114,0)</f>
        <v>6</v>
      </c>
      <c r="K140" s="1177">
        <f>ROUND((VLOOKUP(B140,distribucion!B$9:FK$243,115,0)),2)</f>
        <v>118.74</v>
      </c>
      <c r="L140" s="1177">
        <f>VLOOKUP(B140,distribucion!B$9:FK$243,116,0)</f>
        <v>0</v>
      </c>
      <c r="M140" s="1177">
        <f>ROUND((VLOOKUP(B140,distribucion!B$9:FK$243,117,0)),2)</f>
        <v>0</v>
      </c>
      <c r="N140" s="1177">
        <v>0</v>
      </c>
      <c r="O140" s="1178">
        <f>ROUND((VLOOKUP(B140,distribucion!B$9:FK$205,36,0)),2)</f>
        <v>0</v>
      </c>
      <c r="P140" s="1177">
        <f t="shared" si="102"/>
        <v>4210.12</v>
      </c>
      <c r="Q140" s="1177">
        <f t="shared" si="103"/>
        <v>158.66999999999999</v>
      </c>
      <c r="R140" s="1177">
        <f>ROUND((VLOOKUP(B140,distribucion!B$9:FK$243,151,0)),2)</f>
        <v>35.270000000000003</v>
      </c>
      <c r="S140" s="1177">
        <f>ROUND((VLOOKUP(B140,distribucion!B$9:FK$243,152,0)),2)</f>
        <v>1079.7</v>
      </c>
      <c r="T140" s="1177">
        <f>ROUND((VLOOKUP(B140,distribucion!B$9:FK$243,153,0)),2)</f>
        <v>0</v>
      </c>
      <c r="U140" s="1177">
        <f>ROUND((VLOOKUP(B140,distribucion!$B$1:$FE$228,159,0)),2)</f>
        <v>0</v>
      </c>
      <c r="V140" s="1177">
        <f>ROUND((VLOOKUP(B140,distribucion!$B$1:$FE$228,158,0)),2)</f>
        <v>0</v>
      </c>
      <c r="W140" s="1177">
        <f>ROUND((VLOOKUP(B140,distribucion!$B$1:$FE$228,154,0)),2)</f>
        <v>419.25</v>
      </c>
      <c r="X140" s="1177">
        <f>ROUND((VLOOKUP(B140,distribucion!$B$9:$FK$243,160,0)),2)</f>
        <v>50</v>
      </c>
      <c r="Y140" s="1179">
        <f t="shared" si="104"/>
        <v>1742.89</v>
      </c>
      <c r="Z140" s="1177">
        <f t="shared" si="105"/>
        <v>2467.2299999999996</v>
      </c>
      <c r="AA140" s="1985">
        <v>884.12</v>
      </c>
      <c r="AB140" s="1180">
        <f t="shared" si="106"/>
        <v>1583.1099999999997</v>
      </c>
      <c r="AC140" s="1181">
        <f>VLOOKUP(B140,'[1]Nomina Unhesa'!$B$9:$AB$167,26,FALSE)</f>
        <v>793.29999999999984</v>
      </c>
      <c r="AD140" s="1181">
        <f t="shared" si="96"/>
        <v>90.820000000000164</v>
      </c>
    </row>
    <row r="141" spans="1:33" ht="21.95" customHeight="1">
      <c r="A141" s="1140">
        <f t="shared" ref="A141:A149" si="108">+A140+1</f>
        <v>47</v>
      </c>
      <c r="B141" s="1216" t="str">
        <f>+distribucion!B208</f>
        <v>Gomez Martinez Sandor Felipe</v>
      </c>
      <c r="C141" s="1173" t="str">
        <f>VLOOKUP(B141,distribucion!B$9:FK$208,2,0)</f>
        <v>Operador</v>
      </c>
      <c r="D141" s="1174">
        <f t="shared" si="100"/>
        <v>3463.23</v>
      </c>
      <c r="E141" s="1175">
        <f>VLOOKUP(B141,distribucion!B$9:FK$208,7,0)</f>
        <v>30</v>
      </c>
      <c r="F141" s="1176">
        <f>VLOOKUP(B141,distribucion!$B$9:$DQ$288,14,0)</f>
        <v>0</v>
      </c>
      <c r="G141" s="1177">
        <f>ROUND((VLOOKUP(B141,distribucion!B$1:FK$243,112,0)),2)</f>
        <v>3166.38</v>
      </c>
      <c r="H141" s="1177">
        <f>ROUND((VLOOKUP(B141,distribucion!B$9:FJ$243,113,0)),2)</f>
        <v>925</v>
      </c>
      <c r="I141" s="1177">
        <f t="shared" si="107"/>
        <v>4091.38</v>
      </c>
      <c r="J141" s="1177">
        <f>VLOOKUP(B141,distribucion!B$9:FK$243,114,0)</f>
        <v>15</v>
      </c>
      <c r="K141" s="1177">
        <f>ROUND((VLOOKUP(B141,distribucion!B$9:FK$243,115,0)),2)</f>
        <v>296.85000000000002</v>
      </c>
      <c r="L141" s="1177">
        <f>VLOOKUP(B141,distribucion!B$9:FK$243,116,0)</f>
        <v>0</v>
      </c>
      <c r="M141" s="1177">
        <f>ROUND((VLOOKUP(B141,distribucion!B$9:FK$243,117,0)),2)</f>
        <v>0</v>
      </c>
      <c r="N141" s="1177">
        <v>0</v>
      </c>
      <c r="O141" s="1178">
        <f>ROUND((VLOOKUP(B141,distribucion!B$9:FK$208,36,0)),2)</f>
        <v>0</v>
      </c>
      <c r="P141" s="1177">
        <f t="shared" si="102"/>
        <v>4388.2300000000005</v>
      </c>
      <c r="Q141" s="1177">
        <f t="shared" si="103"/>
        <v>167.27</v>
      </c>
      <c r="R141" s="1177">
        <f>ROUND((VLOOKUP(B141,distribucion!B$9:FK$243,151,0)),2)</f>
        <v>69.92</v>
      </c>
      <c r="S141" s="1177">
        <f>ROUND((VLOOKUP(B141,distribucion!B$9:FK$243,152,0)),2)</f>
        <v>1342.13</v>
      </c>
      <c r="T141" s="1177">
        <f>ROUND((VLOOKUP(B141,distribucion!B$9:FK$243,153,0)),2)</f>
        <v>0</v>
      </c>
      <c r="U141" s="1177">
        <f>ROUND((VLOOKUP(B141,distribucion!$B$1:$FE$228,159,0)),2)</f>
        <v>0</v>
      </c>
      <c r="V141" s="1177">
        <f>ROUND((VLOOKUP(B141,distribucion!$B$1:$FE$228,158,0)),2)</f>
        <v>0</v>
      </c>
      <c r="W141" s="1177">
        <f>ROUND((VLOOKUP(B141,distribucion!$B$1:$FE$228,154,0)),2)</f>
        <v>731</v>
      </c>
      <c r="X141" s="1177">
        <f>ROUND((VLOOKUP(B141,distribucion!$B$9:$FK$243,160,0)),2)</f>
        <v>227.02</v>
      </c>
      <c r="Y141" s="1179">
        <f t="shared" si="104"/>
        <v>2537.34</v>
      </c>
      <c r="Z141" s="1177">
        <f t="shared" si="105"/>
        <v>1850.8900000000003</v>
      </c>
      <c r="AA141" s="1985">
        <v>553.3900000000001</v>
      </c>
      <c r="AB141" s="1180">
        <f t="shared" si="106"/>
        <v>1297.5000000000002</v>
      </c>
      <c r="AC141" s="1181">
        <f>VLOOKUP(B141,'[1]Nomina Unhesa'!$B$9:$AB$167,26,FALSE)</f>
        <v>464.40999999999985</v>
      </c>
      <c r="AD141" s="1181">
        <f t="shared" si="96"/>
        <v>88.980000000000246</v>
      </c>
    </row>
    <row r="142" spans="1:33" ht="21.95" customHeight="1">
      <c r="A142" s="1140">
        <f t="shared" si="108"/>
        <v>48</v>
      </c>
      <c r="B142" s="1216" t="str">
        <f>+distribucion!B207</f>
        <v>Salvatierra de Leon Jakeline Marisela</v>
      </c>
      <c r="C142" s="1173" t="str">
        <f>VLOOKUP(B142,distribucion!B$9:FK$208,2,0)</f>
        <v>Empacadora</v>
      </c>
      <c r="D142" s="1174">
        <f t="shared" si="100"/>
        <v>0</v>
      </c>
      <c r="E142" s="1175">
        <f>VLOOKUP(B142,distribucion!B$9:FK$208,7,0)</f>
        <v>0</v>
      </c>
      <c r="F142" s="1176" t="str">
        <f>VLOOKUP(B142,distribucion!$B$9:$DQ$288,14,0)</f>
        <v xml:space="preserve">suspendida por mat desde 10/10 hasta 1/01/2023 BAJA 2/1 POR ABANDONO D LABORES </v>
      </c>
      <c r="G142" s="1177">
        <f>ROUND((VLOOKUP(B142,distribucion!B$1:FK$243,112,0)),2)</f>
        <v>0</v>
      </c>
      <c r="H142" s="1177">
        <f>ROUND((VLOOKUP(B142,distribucion!B$9:FJ$207,113,0)),2)</f>
        <v>0</v>
      </c>
      <c r="I142" s="1177">
        <f t="shared" si="107"/>
        <v>0</v>
      </c>
      <c r="J142" s="1177">
        <f>VLOOKUP(B142,distribucion!B$9:FK$243,114,0)</f>
        <v>0</v>
      </c>
      <c r="K142" s="1177">
        <f>ROUND((VLOOKUP(B142,distribucion!B$9:FK$207,115,0)),2)</f>
        <v>0</v>
      </c>
      <c r="L142" s="1177">
        <f>VLOOKUP(B142,distribucion!B$9:FK$243,116,0)</f>
        <v>0</v>
      </c>
      <c r="M142" s="1177">
        <f>ROUND((VLOOKUP(B142,distribucion!B$9:FK$243,117,0)),2)</f>
        <v>0</v>
      </c>
      <c r="N142" s="1177">
        <v>0</v>
      </c>
      <c r="O142" s="1178">
        <f>ROUND((VLOOKUP(B142,distribucion!B$9:FK$208,36,0)),2)</f>
        <v>0</v>
      </c>
      <c r="P142" s="1177">
        <f t="shared" si="102"/>
        <v>0</v>
      </c>
      <c r="Q142" s="1177">
        <f t="shared" si="103"/>
        <v>0</v>
      </c>
      <c r="R142" s="1177">
        <f>ROUND((VLOOKUP(B142,distribucion!B$9:FK$243,151,0)),2)</f>
        <v>0</v>
      </c>
      <c r="S142" s="1177">
        <f>ROUND((VLOOKUP(B142,distribucion!B$9:FK$243,152,0)),2)</f>
        <v>0</v>
      </c>
      <c r="T142" s="1177">
        <f>ROUND((VLOOKUP(B142,distribucion!B$9:FK$243,153,0)),2)</f>
        <v>0</v>
      </c>
      <c r="U142" s="1177">
        <f>ROUND((VLOOKUP(B142,distribucion!$B$1:$FE$228,159,0)),2)</f>
        <v>0</v>
      </c>
      <c r="V142" s="1177">
        <f>ROUND((VLOOKUP(B142,distribucion!$B$1:$FE$228,158,0)),2)</f>
        <v>0</v>
      </c>
      <c r="W142" s="1177">
        <f>ROUND((VLOOKUP(B142,distribucion!$B$1:$FE$228,154,0)),2)</f>
        <v>0</v>
      </c>
      <c r="X142" s="1177">
        <f>ROUND((VLOOKUP(B142,distribucion!$B$9:$FK$243,160,0)),2)</f>
        <v>0</v>
      </c>
      <c r="Y142" s="1179">
        <f t="shared" si="104"/>
        <v>0</v>
      </c>
      <c r="Z142" s="1177">
        <f t="shared" si="105"/>
        <v>0</v>
      </c>
      <c r="AA142" s="1985">
        <v>0</v>
      </c>
      <c r="AB142" s="1180">
        <f t="shared" si="106"/>
        <v>0</v>
      </c>
      <c r="AC142" s="1181">
        <f>VLOOKUP(B142,'[1]Nomina Unhesa'!$B$9:$AB$167,26,FALSE)</f>
        <v>1207.6499999999999</v>
      </c>
      <c r="AD142" s="1181">
        <f t="shared" si="96"/>
        <v>-1207.6499999999999</v>
      </c>
    </row>
    <row r="143" spans="1:33" ht="21.95" customHeight="1">
      <c r="A143" s="1140">
        <f t="shared" si="108"/>
        <v>49</v>
      </c>
      <c r="B143" s="1172" t="s">
        <v>537</v>
      </c>
      <c r="C143" s="1173" t="str">
        <f>VLOOKUP(B143,distribucion!B$9:FK$225,2,0)</f>
        <v>Operario Liquidos</v>
      </c>
      <c r="D143" s="1174">
        <f t="shared" ref="D143:D149" si="109">G143+K143+M143+N143</f>
        <v>3562.18</v>
      </c>
      <c r="E143" s="1175">
        <f>VLOOKUP(B143,distribucion!B$9:FK$210,7,0)</f>
        <v>30</v>
      </c>
      <c r="F143" s="1176">
        <f>VLOOKUP(B143,distribucion!$B$9:$DQ$288,14,0)</f>
        <v>0</v>
      </c>
      <c r="G143" s="1177">
        <f>ROUND((VLOOKUP(B143,distribucion!B$1:FK$243,112,0)),2)</f>
        <v>3166.38</v>
      </c>
      <c r="H143" s="1177">
        <f>ROUND((VLOOKUP(B143,distribucion!B$9:FJ$243,113,0)),2)</f>
        <v>900</v>
      </c>
      <c r="I143" s="1177">
        <f t="shared" ref="I143:I149" si="110">G143+H143</f>
        <v>4066.38</v>
      </c>
      <c r="J143" s="1177">
        <f>VLOOKUP(B143,distribucion!B$9:FK$243,114,0)</f>
        <v>4</v>
      </c>
      <c r="K143" s="1177">
        <f>ROUND((VLOOKUP(B143,distribucion!B$9:FK$243,115,0)),2)</f>
        <v>79.16</v>
      </c>
      <c r="L143" s="1177">
        <f>VLOOKUP(B143,distribucion!B$9:FK$243,116,0)</f>
        <v>12</v>
      </c>
      <c r="M143" s="1177">
        <f>ROUND((VLOOKUP(B143,distribucion!B$9:FK$243,117,0)),2)</f>
        <v>316.64</v>
      </c>
      <c r="N143" s="1177">
        <v>0</v>
      </c>
      <c r="O143" s="1178">
        <f>ROUND((VLOOKUP(B143,distribucion!B$9:FK$225,36,0)),2)</f>
        <v>0</v>
      </c>
      <c r="P143" s="1177">
        <f t="shared" ref="P143:P149" si="111">SUM(I143:O143)-J143-L143</f>
        <v>4462.18</v>
      </c>
      <c r="Q143" s="1177">
        <f t="shared" ref="Q143:Q149" si="112">ROUND(((G143+K143+M143+N143+O143)*0.0483),2)</f>
        <v>172.05</v>
      </c>
      <c r="R143" s="1177">
        <f>ROUND((VLOOKUP(B143,distribucion!B$9:FK$243,151,0)),2)</f>
        <v>82.22</v>
      </c>
      <c r="S143" s="1177">
        <f>ROUND((VLOOKUP(B143,distribucion!B$9:FK$243,152,0)),2)</f>
        <v>748.92</v>
      </c>
      <c r="T143" s="1177">
        <f>ROUND((VLOOKUP(B143,distribucion!B$9:FK$243,153,0)),2)</f>
        <v>0</v>
      </c>
      <c r="U143" s="1177">
        <f>ROUND((VLOOKUP(B143,distribucion!$B$1:$FE$228,159,0)),2)</f>
        <v>0</v>
      </c>
      <c r="V143" s="1177">
        <f>ROUND((VLOOKUP(B143,distribucion!$B$1:$FE$228,158,0)),2)</f>
        <v>0</v>
      </c>
      <c r="W143" s="1177">
        <f>ROUND((VLOOKUP(B143,distribucion!$B$1:$FE$228,154,0)),2)</f>
        <v>0</v>
      </c>
      <c r="X143" s="1177">
        <f>ROUND((VLOOKUP(B143,distribucion!$B$9:$FK$243,160,0)),2)</f>
        <v>50</v>
      </c>
      <c r="Y143" s="1179">
        <f t="shared" ref="Y143:Y149" si="113">SUM(Q143:X143)</f>
        <v>1053.19</v>
      </c>
      <c r="Z143" s="1177">
        <f t="shared" ref="Z143:Z148" si="114">P143-Y143</f>
        <v>3408.9900000000002</v>
      </c>
      <c r="AA143" s="1985">
        <v>1357.2600000000002</v>
      </c>
      <c r="AB143" s="1180">
        <f t="shared" si="106"/>
        <v>2051.73</v>
      </c>
      <c r="AC143" s="1181">
        <f>VLOOKUP(B143,'[1]Nomina Unhesa'!$B$9:$AB$167,26,FALSE)</f>
        <v>1277.9099999999999</v>
      </c>
      <c r="AD143" s="1181">
        <f t="shared" si="96"/>
        <v>79.350000000000364</v>
      </c>
    </row>
    <row r="144" spans="1:33" ht="21.95" customHeight="1">
      <c r="A144" s="1140">
        <f t="shared" si="108"/>
        <v>50</v>
      </c>
      <c r="B144" s="1172" t="str">
        <f>+distribucion!B209</f>
        <v>Cisneros Lopez Marvin Daniel</v>
      </c>
      <c r="C144" s="1173" t="str">
        <f>VLOOKUP(B144,distribucion!B$9:FK$225,2,0)</f>
        <v>Operario  Sobres</v>
      </c>
      <c r="D144" s="1174">
        <f t="shared" ref="D144" si="115">G144+K144+M144+N144</f>
        <v>3641.34</v>
      </c>
      <c r="E144" s="1175">
        <f>VLOOKUP(B144,distribucion!B$9:FK$209,7,0)</f>
        <v>30</v>
      </c>
      <c r="F144" s="1176">
        <f>VLOOKUP(B144,distribucion!$B$9:$DQ$288,14,0)</f>
        <v>0</v>
      </c>
      <c r="G144" s="1177">
        <f>ROUND((VLOOKUP(B144,distribucion!B$1:FK$243,112,0)),2)</f>
        <v>3166.38</v>
      </c>
      <c r="H144" s="1177">
        <f>ROUND((VLOOKUP(B144,distribucion!B$9:FJ$243,113,0)),2)</f>
        <v>1600</v>
      </c>
      <c r="I144" s="1177">
        <f t="shared" ref="I144" si="116">G144+H144</f>
        <v>4766.38</v>
      </c>
      <c r="J144" s="1177">
        <f>VLOOKUP(B144,distribucion!B$9:FK$243,114,0)</f>
        <v>24</v>
      </c>
      <c r="K144" s="1177">
        <f>ROUND((VLOOKUP(B144,distribucion!B$9:FK$243,115,0)),2)</f>
        <v>474.96</v>
      </c>
      <c r="L144" s="1177">
        <f>VLOOKUP(B144,distribucion!B$9:FK$243,116,0)</f>
        <v>0</v>
      </c>
      <c r="M144" s="1177">
        <f>ROUND((VLOOKUP(B144,distribucion!B$9:FK$243,117,0)),2)</f>
        <v>0</v>
      </c>
      <c r="N144" s="1177">
        <v>0</v>
      </c>
      <c r="O144" s="1178">
        <f>ROUND((VLOOKUP(B144,distribucion!B$9:FK$225,36,0)),2)</f>
        <v>0</v>
      </c>
      <c r="P144" s="1177">
        <f t="shared" ref="P144" si="117">SUM(I144:O144)-J144-L144</f>
        <v>5241.34</v>
      </c>
      <c r="Q144" s="1177">
        <f t="shared" ref="Q144" si="118">ROUND(((G144+K144+M144+N144+O144)*0.0483),2)</f>
        <v>175.88</v>
      </c>
      <c r="R144" s="1177">
        <f>ROUND((VLOOKUP(B144,distribucion!B$9:FK$243,151,0)),2)</f>
        <v>56.87</v>
      </c>
      <c r="S144" s="1177">
        <f>ROUND((VLOOKUP(B144,distribucion!B$9:FK$243,152,0)),2)</f>
        <v>573.22</v>
      </c>
      <c r="T144" s="1177">
        <f>ROUND((VLOOKUP(B144,distribucion!B$9:FK$243,153,0)),2)</f>
        <v>0</v>
      </c>
      <c r="U144" s="1177">
        <f>ROUND((VLOOKUP(B144,distribucion!$B$1:$FE$228,159,0)),2)</f>
        <v>0</v>
      </c>
      <c r="V144" s="1177">
        <f>ROUND((VLOOKUP(B144,distribucion!$B$1:$FE$228,158,0)),2)</f>
        <v>0</v>
      </c>
      <c r="W144" s="1177">
        <f>ROUND((VLOOKUP(B144,distribucion!$B$1:$FE$228,154,0)),2)</f>
        <v>527</v>
      </c>
      <c r="X144" s="1177">
        <f>ROUND((VLOOKUP(B144,distribucion!$B$9:$FK$243,160,0)),2)</f>
        <v>105</v>
      </c>
      <c r="Y144" s="1179">
        <f>SUM(Q144:X144)</f>
        <v>1437.97</v>
      </c>
      <c r="Z144" s="1177">
        <f t="shared" ref="Z144" si="119">P144-Y144</f>
        <v>3803.37</v>
      </c>
      <c r="AA144" s="1985">
        <v>1110.1100000000001</v>
      </c>
      <c r="AB144" s="1180">
        <f t="shared" si="106"/>
        <v>2693.2599999999998</v>
      </c>
      <c r="AC144" s="1181">
        <f>VLOOKUP(B144,'[1]Nomina Unhesa'!$B$9:$AB$167,26,FALSE)</f>
        <v>0</v>
      </c>
      <c r="AD144" s="1181">
        <f t="shared" si="96"/>
        <v>1110.1100000000001</v>
      </c>
    </row>
    <row r="145" spans="1:36" ht="21.95" customHeight="1">
      <c r="A145" s="1140">
        <f t="shared" si="108"/>
        <v>51</v>
      </c>
      <c r="B145" s="1216" t="s">
        <v>378</v>
      </c>
      <c r="C145" s="1173" t="str">
        <f>VLOOKUP(B145,distribucion!B$9:FK$225,2,0)</f>
        <v>Operario Liquidos</v>
      </c>
      <c r="D145" s="1174">
        <f t="shared" si="109"/>
        <v>3878.82</v>
      </c>
      <c r="E145" s="1175">
        <f>VLOOKUP(B145,distribucion!B$9:FK$225,7,0)</f>
        <v>30</v>
      </c>
      <c r="F145" s="1277">
        <f>VLOOKUP(B145,distribucion!$B$9:$DQ$288,14,0)</f>
        <v>0</v>
      </c>
      <c r="G145" s="1177">
        <f>ROUND((VLOOKUP(B145,distribucion!B$1:FK$243,112,0)),2)</f>
        <v>3166.38</v>
      </c>
      <c r="H145" s="1177">
        <f>ROUND((VLOOKUP(B145,distribucion!B$9:FJ$243,113,0)),2)</f>
        <v>1600</v>
      </c>
      <c r="I145" s="1177">
        <f t="shared" si="110"/>
        <v>4766.38</v>
      </c>
      <c r="J145" s="1177">
        <f>VLOOKUP(B145,distribucion!B$9:FK$243,114,0)</f>
        <v>36</v>
      </c>
      <c r="K145" s="1177">
        <f>ROUND((VLOOKUP(B145,distribucion!B$9:FK$243,115,0)),2)</f>
        <v>712.44</v>
      </c>
      <c r="L145" s="1177">
        <f>VLOOKUP(B145,distribucion!B$9:FK$243,116,0)</f>
        <v>0</v>
      </c>
      <c r="M145" s="1177">
        <f>ROUND((VLOOKUP(B145,distribucion!B$9:FK$243,117,0)),2)</f>
        <v>0</v>
      </c>
      <c r="N145" s="1177">
        <v>0</v>
      </c>
      <c r="O145" s="1178">
        <f>ROUND((VLOOKUP(B145,distribucion!B$9:FK$225,36,0)),2)</f>
        <v>0</v>
      </c>
      <c r="P145" s="1177">
        <f t="shared" si="111"/>
        <v>5478.82</v>
      </c>
      <c r="Q145" s="1177">
        <f t="shared" si="112"/>
        <v>187.35</v>
      </c>
      <c r="R145" s="1177">
        <f>ROUND((VLOOKUP(B145,distribucion!B$9:FK$243,151,0)),2)</f>
        <v>99.57</v>
      </c>
      <c r="S145" s="1177">
        <f>ROUND((VLOOKUP(B145,distribucion!B$9:FK$243,152,0)),2)</f>
        <v>0</v>
      </c>
      <c r="T145" s="1177">
        <f>ROUND((VLOOKUP(B145,distribucion!B$9:FK$243,153,0)),2)</f>
        <v>0</v>
      </c>
      <c r="U145" s="1177">
        <f>ROUND((VLOOKUP(B145,distribucion!$B$1:$FE$228,159,0)),2)</f>
        <v>0</v>
      </c>
      <c r="V145" s="1177">
        <f>ROUND((VLOOKUP(B145,distribucion!$B$1:$FE$228,158,0)),2)</f>
        <v>0</v>
      </c>
      <c r="W145" s="1177">
        <f>ROUND((VLOOKUP(B145,distribucion!$B$1:$FE$228,154,0)),2)</f>
        <v>415</v>
      </c>
      <c r="X145" s="1177">
        <f>ROUND((VLOOKUP(B145,distribucion!$B$9:$FK$243,160,0)),2)</f>
        <v>50</v>
      </c>
      <c r="Y145" s="1179">
        <f t="shared" si="113"/>
        <v>751.92</v>
      </c>
      <c r="Z145" s="1177">
        <f t="shared" si="114"/>
        <v>4726.8999999999996</v>
      </c>
      <c r="AA145" s="1985">
        <v>1469.72</v>
      </c>
      <c r="AB145" s="1180">
        <f t="shared" si="106"/>
        <v>3257.1799999999994</v>
      </c>
      <c r="AC145" s="1181">
        <f>VLOOKUP(B145,'[1]Nomina Unhesa'!$B$9:$AB$167,26,FALSE)</f>
        <v>1269.73</v>
      </c>
      <c r="AD145" s="1181">
        <f t="shared" si="96"/>
        <v>199.99</v>
      </c>
    </row>
    <row r="146" spans="1:36" s="1247" customFormat="1" ht="21.95" customHeight="1">
      <c r="A146" s="1140">
        <f t="shared" si="108"/>
        <v>52</v>
      </c>
      <c r="B146" s="1278" t="s">
        <v>577</v>
      </c>
      <c r="C146" s="1173" t="str">
        <f>VLOOKUP(B146,distribucion!B$9:FK$225,2,0)</f>
        <v>Empacadora Liquidos</v>
      </c>
      <c r="D146" s="1174">
        <f t="shared" si="109"/>
        <v>3205.96</v>
      </c>
      <c r="E146" s="1175">
        <f>VLOOKUP(B146,distribucion!B$9:FK$225,7,0)</f>
        <v>30</v>
      </c>
      <c r="F146" s="1243">
        <f>VLOOKUP(B146,distribucion!$B$9:$DQ$288,14,0)</f>
        <v>0</v>
      </c>
      <c r="G146" s="1177">
        <f>ROUND((VLOOKUP(B146,distribucion!B$1:FK$243,112,0)),2)</f>
        <v>3166.38</v>
      </c>
      <c r="H146" s="1177">
        <f>ROUND((VLOOKUP(B146,distribucion!B$9:FJ$243,113,0)),2)</f>
        <v>250</v>
      </c>
      <c r="I146" s="1244">
        <f t="shared" si="110"/>
        <v>3416.38</v>
      </c>
      <c r="J146" s="1177">
        <f>VLOOKUP(B146,distribucion!B$9:FK$243,114,0)</f>
        <v>2</v>
      </c>
      <c r="K146" s="1177">
        <f>ROUND((VLOOKUP(B146,distribucion!B$9:FK$243,115,0)),2)</f>
        <v>39.58</v>
      </c>
      <c r="L146" s="1177">
        <f>VLOOKUP(B146,distribucion!B$9:FK$243,116,0)</f>
        <v>0</v>
      </c>
      <c r="M146" s="1177">
        <f>ROUND((VLOOKUP(B146,distribucion!B$9:FK$243,117,0)),2)</f>
        <v>0</v>
      </c>
      <c r="N146" s="1177">
        <v>0</v>
      </c>
      <c r="O146" s="1178">
        <f>ROUND((VLOOKUP(B146,distribucion!B$9:FK$225,36,0)),2)</f>
        <v>0</v>
      </c>
      <c r="P146" s="1177">
        <f t="shared" si="111"/>
        <v>3455.96</v>
      </c>
      <c r="Q146" s="1177">
        <f t="shared" si="112"/>
        <v>154.85</v>
      </c>
      <c r="R146" s="1177">
        <f>ROUND((VLOOKUP(B146,distribucion!B$9:FK$243,151,0)),2)</f>
        <v>41.41</v>
      </c>
      <c r="S146" s="1177">
        <f>ROUND((VLOOKUP(B146,distribucion!B$9:FK$243,152,0)),2)</f>
        <v>0</v>
      </c>
      <c r="T146" s="1177">
        <f>ROUND((VLOOKUP(B146,distribucion!B$9:FK$243,153,0)),2)</f>
        <v>0</v>
      </c>
      <c r="U146" s="1177">
        <f>ROUND((VLOOKUP(B146,distribucion!$B$1:$FE$228,159,0)),2)</f>
        <v>0</v>
      </c>
      <c r="V146" s="1177">
        <f>ROUND((VLOOKUP(B146,distribucion!$B$1:$FE$228,158,0)),2)</f>
        <v>0</v>
      </c>
      <c r="W146" s="1177">
        <f>ROUND((VLOOKUP(B146,distribucion!$B$1:$FE$228,154,0)),2)</f>
        <v>0</v>
      </c>
      <c r="X146" s="1177">
        <f>ROUND((VLOOKUP(B146,distribucion!$B$9:$FK$243,160,0)),2)</f>
        <v>50</v>
      </c>
      <c r="Y146" s="1179">
        <f t="shared" si="113"/>
        <v>246.26</v>
      </c>
      <c r="Z146" s="1177">
        <f t="shared" si="114"/>
        <v>3209.7</v>
      </c>
      <c r="AA146" s="1985">
        <v>1631.72</v>
      </c>
      <c r="AB146" s="1180">
        <f t="shared" si="106"/>
        <v>1577.9799999999998</v>
      </c>
      <c r="AC146" s="1181">
        <f>VLOOKUP(B146,'[1]Nomina Unhesa'!$B$9:$AB$167,26,FALSE)</f>
        <v>1533.1499999999999</v>
      </c>
      <c r="AD146" s="1181">
        <f t="shared" si="96"/>
        <v>98.570000000000164</v>
      </c>
      <c r="AF146" s="1144"/>
    </row>
    <row r="147" spans="1:36" s="1247" customFormat="1" ht="21.95" customHeight="1">
      <c r="A147" s="1140">
        <f t="shared" si="108"/>
        <v>53</v>
      </c>
      <c r="B147" s="1278" t="s">
        <v>632</v>
      </c>
      <c r="C147" s="1173" t="str">
        <f>VLOOKUP(B147,distribucion!B$9:FK$225,2,0)</f>
        <v>Empacadora Liquidos</v>
      </c>
      <c r="D147" s="1174">
        <f t="shared" si="109"/>
        <v>3285.12</v>
      </c>
      <c r="E147" s="1175">
        <f>VLOOKUP(B147,distribucion!B$9:FK$225,7,0)</f>
        <v>30</v>
      </c>
      <c r="F147" s="1243">
        <f>VLOOKUP(B147,distribucion!$B$9:$DQ$288,14,0)</f>
        <v>0</v>
      </c>
      <c r="G147" s="1177">
        <f>ROUND((VLOOKUP(B147,distribucion!B$1:FK$243,112,0)),2)</f>
        <v>3166.38</v>
      </c>
      <c r="H147" s="1177">
        <f>ROUND((VLOOKUP(B147,distribucion!B$9:FJ$243,113,0)),2)</f>
        <v>925</v>
      </c>
      <c r="I147" s="1244">
        <f t="shared" si="110"/>
        <v>4091.38</v>
      </c>
      <c r="J147" s="1177">
        <f>VLOOKUP(B147,distribucion!B$9:FK$243,114,0)</f>
        <v>6</v>
      </c>
      <c r="K147" s="1177">
        <f>ROUND((VLOOKUP(B147,distribucion!B$9:FK$243,115,0)),2)</f>
        <v>118.74</v>
      </c>
      <c r="L147" s="1177">
        <f>VLOOKUP(B147,distribucion!B$9:FK$243,116,0)</f>
        <v>0</v>
      </c>
      <c r="M147" s="1177">
        <f>ROUND((VLOOKUP(B147,distribucion!B$9:FK$243,117,0)),2)</f>
        <v>0</v>
      </c>
      <c r="N147" s="1177">
        <v>0</v>
      </c>
      <c r="O147" s="1178">
        <f>ROUND((VLOOKUP(B147,distribucion!B$9:FK$225,36,0)),2)</f>
        <v>0</v>
      </c>
      <c r="P147" s="1177">
        <f t="shared" si="111"/>
        <v>4210.12</v>
      </c>
      <c r="Q147" s="1177">
        <f t="shared" si="112"/>
        <v>158.66999999999999</v>
      </c>
      <c r="R147" s="1177">
        <f>ROUND((VLOOKUP(B147,distribucion!B$9:FK$243,151,0)),2)</f>
        <v>9.92</v>
      </c>
      <c r="S147" s="1177">
        <f>ROUND((VLOOKUP(B147,distribucion!B$9:FK$243,152,0)),2)</f>
        <v>0</v>
      </c>
      <c r="T147" s="1177">
        <f>ROUND((VLOOKUP(B147,distribucion!B$9:FK$243,153,0)),2)</f>
        <v>0</v>
      </c>
      <c r="U147" s="1177">
        <f>ROUND((VLOOKUP(B147,distribucion!$B$1:$FE$228,159,0)),2)</f>
        <v>0</v>
      </c>
      <c r="V147" s="1177">
        <f>ROUND((VLOOKUP(B147,distribucion!$B$1:$FE$228,158,0)),2)</f>
        <v>0</v>
      </c>
      <c r="W147" s="1177">
        <f>ROUND((VLOOKUP(B147,distribucion!$B$1:$FE$228,154,0)),2)</f>
        <v>649.75</v>
      </c>
      <c r="X147" s="1177">
        <f>ROUND((VLOOKUP(B147,distribucion!$B$9:$FK$243,160,0)),2)</f>
        <v>50</v>
      </c>
      <c r="Y147" s="1179">
        <f t="shared" si="113"/>
        <v>868.33999999999992</v>
      </c>
      <c r="Z147" s="1177">
        <f t="shared" si="114"/>
        <v>3341.7799999999997</v>
      </c>
      <c r="AA147" s="1985">
        <v>1353.97</v>
      </c>
      <c r="AB147" s="1180">
        <f t="shared" si="106"/>
        <v>1987.8099999999997</v>
      </c>
      <c r="AC147" s="1181">
        <f>VLOOKUP(B147,'[1]Nomina Unhesa'!$B$9:$AB$167,26,FALSE)</f>
        <v>1257.6499999999999</v>
      </c>
      <c r="AD147" s="1181">
        <f t="shared" si="96"/>
        <v>96.320000000000164</v>
      </c>
      <c r="AF147" s="1144"/>
    </row>
    <row r="148" spans="1:36" s="1146" customFormat="1" ht="21.95" customHeight="1">
      <c r="A148" s="1140">
        <f t="shared" si="108"/>
        <v>54</v>
      </c>
      <c r="B148" s="1272" t="s">
        <v>528</v>
      </c>
      <c r="C148" s="1174" t="str">
        <f>VLOOKUP(B148,distribucion!B$9:FK$225,2,0)</f>
        <v>Empacadora Liquidos</v>
      </c>
      <c r="D148" s="1174">
        <f t="shared" si="109"/>
        <v>1978.99</v>
      </c>
      <c r="E148" s="1269">
        <f>VLOOKUP(B148,distribucion!B$9:FK$225,7,0)</f>
        <v>18</v>
      </c>
      <c r="F148" s="1270" t="str">
        <f>VLOOKUP(B148,distribucion!$B$9:$DQ$288,14,0)</f>
        <v>suspe del 13 al 24/1</v>
      </c>
      <c r="G148" s="1205">
        <f>ROUND((VLOOKUP(B148,distribucion!B$1:FK$243,112,0)),2)</f>
        <v>1899.83</v>
      </c>
      <c r="H148" s="1205">
        <f>ROUND((VLOOKUP(B148,distribucion!B$9:FJ$243,113,0)),2)</f>
        <v>600</v>
      </c>
      <c r="I148" s="1244">
        <f t="shared" si="110"/>
        <v>2499.83</v>
      </c>
      <c r="J148" s="1205">
        <f>VLOOKUP(B148,distribucion!B$9:FK$243,114,0)</f>
        <v>4</v>
      </c>
      <c r="K148" s="1205">
        <f>ROUND((VLOOKUP(B148,distribucion!B$9:FK$243,115,0)),2)</f>
        <v>79.16</v>
      </c>
      <c r="L148" s="1205">
        <f>VLOOKUP(B148,distribucion!B$9:FK$243,116,0)</f>
        <v>0</v>
      </c>
      <c r="M148" s="1205">
        <f>ROUND((VLOOKUP(B148,distribucion!B$9:FK$243,117,0)),2)</f>
        <v>0</v>
      </c>
      <c r="N148" s="1205">
        <v>0</v>
      </c>
      <c r="O148" s="1244">
        <f>ROUND((VLOOKUP(B148,distribucion!B$9:FK$225,36,0)),2)</f>
        <v>0</v>
      </c>
      <c r="P148" s="1205">
        <f t="shared" si="111"/>
        <v>2578.9899999999998</v>
      </c>
      <c r="Q148" s="1205">
        <f t="shared" si="112"/>
        <v>95.59</v>
      </c>
      <c r="R148" s="1205">
        <f>ROUND((VLOOKUP(B148,distribucion!B$9:FK$243,151,0)),2)</f>
        <v>16.600000000000001</v>
      </c>
      <c r="S148" s="1205">
        <f>ROUND((VLOOKUP(B148,distribucion!B$9:FK$243,152,0)),2)</f>
        <v>0</v>
      </c>
      <c r="T148" s="1205">
        <f>ROUND((VLOOKUP(B148,distribucion!B$9:FK$243,153,0)),2)</f>
        <v>0</v>
      </c>
      <c r="U148" s="1205">
        <f>ROUND((VLOOKUP(B148,distribucion!$B$1:$FE$228,159,0)),2)</f>
        <v>0</v>
      </c>
      <c r="V148" s="1205">
        <f>ROUND((VLOOKUP(B148,distribucion!$B$1:$FE$228,158,0)),2)</f>
        <v>0</v>
      </c>
      <c r="W148" s="1205">
        <f>ROUND((VLOOKUP(B148,distribucion!$B$1:$FE$228,154,0)),2)</f>
        <v>0</v>
      </c>
      <c r="X148" s="1205">
        <f>ROUND((VLOOKUP(B148,distribucion!$B$9:$FK$243,160,0)),2)</f>
        <v>50</v>
      </c>
      <c r="Y148" s="1171">
        <f t="shared" si="113"/>
        <v>162.19</v>
      </c>
      <c r="Z148" s="1205">
        <f t="shared" si="114"/>
        <v>2416.7999999999997</v>
      </c>
      <c r="AA148" s="1985">
        <v>1631.72</v>
      </c>
      <c r="AB148" s="1180">
        <f t="shared" si="106"/>
        <v>785.0799999999997</v>
      </c>
      <c r="AC148" s="1181">
        <f>VLOOKUP(B148,'[1]Nomina Unhesa'!$B$9:$AB$167,26,FALSE)</f>
        <v>1533.1499999999999</v>
      </c>
      <c r="AD148" s="1181">
        <f t="shared" si="96"/>
        <v>98.570000000000164</v>
      </c>
      <c r="AE148" s="1204"/>
      <c r="AF148" s="1144"/>
      <c r="AG148" s="1204"/>
      <c r="AH148" s="1204"/>
      <c r="AI148" s="1204"/>
      <c r="AJ148" s="1204"/>
    </row>
    <row r="149" spans="1:36" s="1146" customFormat="1" ht="21.95" customHeight="1">
      <c r="A149" s="1140">
        <f t="shared" si="108"/>
        <v>55</v>
      </c>
      <c r="B149" s="1272" t="s">
        <v>519</v>
      </c>
      <c r="C149" s="1174" t="str">
        <f>VLOOKUP(B149,distribucion!B$9:FK$225,2,0)</f>
        <v>Operario  Liquidos</v>
      </c>
      <c r="D149" s="1174">
        <f t="shared" si="109"/>
        <v>3740.29</v>
      </c>
      <c r="E149" s="1269">
        <f>VLOOKUP(B149,distribucion!B$9:FK$225,7,0)</f>
        <v>30</v>
      </c>
      <c r="F149" s="1270">
        <f>VLOOKUP(B149,distribucion!$B$9:$DQ$288,14,0)</f>
        <v>0</v>
      </c>
      <c r="G149" s="1205">
        <f>ROUND((VLOOKUP(B149,distribucion!B$1:FK$243,112,0)),2)</f>
        <v>3166.38</v>
      </c>
      <c r="H149" s="1205">
        <f>ROUND((VLOOKUP(B149,distribucion!B$9:FJ$243,113,0)),2)</f>
        <v>1600</v>
      </c>
      <c r="I149" s="1244">
        <f t="shared" si="110"/>
        <v>4766.38</v>
      </c>
      <c r="J149" s="1205">
        <f>VLOOKUP(B149,distribucion!B$9:FK$243,114,0)</f>
        <v>29</v>
      </c>
      <c r="K149" s="1205">
        <f>ROUND((VLOOKUP(B149,distribucion!B$9:FK$243,115,0)),2)</f>
        <v>573.91</v>
      </c>
      <c r="L149" s="1205">
        <f>VLOOKUP(B149,distribucion!B$9:FK$243,116,0)</f>
        <v>0</v>
      </c>
      <c r="M149" s="1205">
        <f>ROUND((VLOOKUP(B149,distribucion!B$9:FK$243,117,0)),2)</f>
        <v>0</v>
      </c>
      <c r="N149" s="1205">
        <v>0</v>
      </c>
      <c r="O149" s="1244">
        <f>ROUND((VLOOKUP(B149,distribucion!B$9:FK$225,36,0)),2)</f>
        <v>0</v>
      </c>
      <c r="P149" s="1205">
        <f t="shared" si="111"/>
        <v>5340.29</v>
      </c>
      <c r="Q149" s="1205">
        <f t="shared" si="112"/>
        <v>180.66</v>
      </c>
      <c r="R149" s="1205">
        <f>ROUND((VLOOKUP(B149,distribucion!B$9:FK$243,151,0)),2)</f>
        <v>98.52</v>
      </c>
      <c r="S149" s="1205">
        <f>ROUND((VLOOKUP(B149,distribucion!B$9:FK$243,152,0)),2)</f>
        <v>623.4</v>
      </c>
      <c r="T149" s="1205">
        <f>ROUND((VLOOKUP(B149,distribucion!B$9:FK$243,153,0)),2)</f>
        <v>0</v>
      </c>
      <c r="U149" s="1205">
        <f>ROUND((VLOOKUP(B149,distribucion!$B$1:$FE$228,159,0)),2)</f>
        <v>0</v>
      </c>
      <c r="V149" s="1205">
        <f>ROUND((VLOOKUP(B149,distribucion!$B$1:$FE$228,158,0)),2)</f>
        <v>0</v>
      </c>
      <c r="W149" s="1205">
        <f>ROUND((VLOOKUP(B149,distribucion!$B$1:$FE$228,154,0)),2)</f>
        <v>0</v>
      </c>
      <c r="X149" s="1205">
        <f>ROUND((VLOOKUP(B149,distribucion!$B$9:$FK$243,160,0)),2)</f>
        <v>50</v>
      </c>
      <c r="Y149" s="1171">
        <f t="shared" si="113"/>
        <v>952.57999999999993</v>
      </c>
      <c r="Z149" s="1205">
        <f>P149-Y149</f>
        <v>4387.71</v>
      </c>
      <c r="AA149" s="1985">
        <v>1320.02</v>
      </c>
      <c r="AB149" s="1180">
        <f t="shared" si="106"/>
        <v>3067.69</v>
      </c>
      <c r="AC149" s="1181">
        <f>VLOOKUP(B149,'[1]Nomina Unhesa'!$B$9:$AB$167,26,FALSE)</f>
        <v>1083.03</v>
      </c>
      <c r="AD149" s="1181">
        <f t="shared" si="96"/>
        <v>236.99</v>
      </c>
      <c r="AE149" s="1204"/>
      <c r="AF149" s="1144"/>
      <c r="AG149" s="1204"/>
      <c r="AH149" s="1204"/>
      <c r="AI149" s="1204"/>
      <c r="AJ149" s="1204"/>
    </row>
    <row r="150" spans="1:36" ht="27" customHeight="1" thickBot="1">
      <c r="A150" s="1140"/>
      <c r="B150" s="1198"/>
      <c r="C150" s="1199" t="s">
        <v>204</v>
      </c>
      <c r="D150" s="1200" t="s">
        <v>204</v>
      </c>
      <c r="E150" s="1201"/>
      <c r="F150" s="1176"/>
      <c r="G150" s="1280">
        <f t="shared" ref="G150:AB150" si="120">SUM(G139:G149)</f>
        <v>30397.250000000004</v>
      </c>
      <c r="H150" s="1280">
        <f t="shared" si="120"/>
        <v>9575</v>
      </c>
      <c r="I150" s="1280">
        <f t="shared" si="120"/>
        <v>39972.25</v>
      </c>
      <c r="J150" s="1280">
        <f t="shared" si="120"/>
        <v>128</v>
      </c>
      <c r="K150" s="1280">
        <f t="shared" si="120"/>
        <v>2533.12</v>
      </c>
      <c r="L150" s="1280">
        <f t="shared" si="120"/>
        <v>12</v>
      </c>
      <c r="M150" s="1280">
        <f t="shared" si="120"/>
        <v>316.64</v>
      </c>
      <c r="N150" s="1280">
        <f t="shared" si="120"/>
        <v>0</v>
      </c>
      <c r="O150" s="1280">
        <f t="shared" si="120"/>
        <v>0</v>
      </c>
      <c r="P150" s="1280">
        <f t="shared" si="120"/>
        <v>42822.01</v>
      </c>
      <c r="Q150" s="1280">
        <f t="shared" si="120"/>
        <v>1605.84</v>
      </c>
      <c r="R150" s="1280">
        <f t="shared" si="120"/>
        <v>510.3</v>
      </c>
      <c r="S150" s="1280">
        <f t="shared" si="120"/>
        <v>4367.37</v>
      </c>
      <c r="T150" s="1280">
        <f t="shared" si="120"/>
        <v>0</v>
      </c>
      <c r="U150" s="1280">
        <f t="shared" si="120"/>
        <v>0</v>
      </c>
      <c r="V150" s="1280">
        <f t="shared" si="120"/>
        <v>0</v>
      </c>
      <c r="W150" s="1280">
        <f t="shared" si="120"/>
        <v>3161.75</v>
      </c>
      <c r="X150" s="1280">
        <f t="shared" si="120"/>
        <v>732.02</v>
      </c>
      <c r="Y150" s="1280">
        <f t="shared" si="120"/>
        <v>10377.280000000001</v>
      </c>
      <c r="Z150" s="1280">
        <f t="shared" si="120"/>
        <v>32444.729999999996</v>
      </c>
      <c r="AA150" s="1280">
        <f t="shared" si="120"/>
        <v>12740.75</v>
      </c>
      <c r="AB150" s="1280">
        <f t="shared" si="120"/>
        <v>19703.979999999996</v>
      </c>
      <c r="AC150" s="1181"/>
      <c r="AD150" s="1181">
        <f t="shared" si="96"/>
        <v>12740.75</v>
      </c>
    </row>
    <row r="151" spans="1:36" ht="21.95" customHeight="1" thickTop="1">
      <c r="A151" s="1140"/>
      <c r="B151" s="1198"/>
      <c r="C151" s="1199"/>
      <c r="D151" s="1200"/>
      <c r="E151" s="1201"/>
      <c r="F151" s="1176"/>
      <c r="G151" s="1210"/>
      <c r="H151" s="1210"/>
      <c r="I151" s="1210"/>
      <c r="J151" s="1210"/>
      <c r="K151" s="1210"/>
      <c r="L151" s="1210"/>
      <c r="M151" s="1210"/>
      <c r="N151" s="1210"/>
      <c r="O151" s="1210"/>
      <c r="P151" s="1210"/>
      <c r="Q151" s="1210"/>
      <c r="R151" s="1210"/>
      <c r="S151" s="1210"/>
      <c r="T151" s="1210"/>
      <c r="U151" s="1210"/>
      <c r="V151" s="1210"/>
      <c r="W151" s="1210"/>
      <c r="X151" s="1210"/>
      <c r="Y151" s="1210"/>
      <c r="Z151" s="1210"/>
      <c r="AA151" s="1210"/>
      <c r="AB151" s="1214"/>
      <c r="AC151" s="1181">
        <f t="shared" ref="AC151:AC166" si="121">+Z151-AA151-AB151</f>
        <v>0</v>
      </c>
      <c r="AD151" s="1181">
        <f t="shared" si="96"/>
        <v>0</v>
      </c>
    </row>
    <row r="152" spans="1:36" ht="21.95" customHeight="1">
      <c r="A152" s="1140"/>
      <c r="B152" s="1264" t="s">
        <v>401</v>
      </c>
      <c r="C152" s="1199"/>
      <c r="D152" s="1200"/>
      <c r="E152" s="1201"/>
      <c r="F152" s="1176"/>
      <c r="G152" s="1177"/>
      <c r="H152" s="1210"/>
      <c r="I152" s="1210"/>
      <c r="J152" s="1210"/>
      <c r="K152" s="1210"/>
      <c r="L152" s="1210"/>
      <c r="M152" s="1210"/>
      <c r="N152" s="1210"/>
      <c r="O152" s="1210"/>
      <c r="P152" s="1210"/>
      <c r="Q152" s="1210"/>
      <c r="R152" s="1210"/>
      <c r="S152" s="1210"/>
      <c r="T152" s="1177"/>
      <c r="U152" s="1210"/>
      <c r="V152" s="1210"/>
      <c r="W152" s="1210"/>
      <c r="X152" s="1210"/>
      <c r="Y152" s="1210"/>
      <c r="Z152" s="1210"/>
      <c r="AA152" s="1210"/>
      <c r="AB152" s="1214"/>
      <c r="AC152" s="1181">
        <f t="shared" si="121"/>
        <v>0</v>
      </c>
      <c r="AD152" s="1181">
        <f t="shared" si="96"/>
        <v>0</v>
      </c>
    </row>
    <row r="153" spans="1:36" ht="21.95" customHeight="1">
      <c r="A153" s="1140"/>
      <c r="B153" s="1172"/>
      <c r="C153" s="1173" t="s">
        <v>54</v>
      </c>
      <c r="D153" s="1174"/>
      <c r="E153" s="1174"/>
      <c r="F153" s="1174" t="s">
        <v>54</v>
      </c>
      <c r="G153" s="1174">
        <v>0</v>
      </c>
      <c r="H153" s="1174">
        <v>0</v>
      </c>
      <c r="I153" s="1174">
        <v>0</v>
      </c>
      <c r="J153" s="1174">
        <v>0</v>
      </c>
      <c r="K153" s="1174">
        <v>0</v>
      </c>
      <c r="L153" s="1174">
        <v>0</v>
      </c>
      <c r="M153" s="1174">
        <v>0</v>
      </c>
      <c r="N153" s="1174">
        <v>0</v>
      </c>
      <c r="O153" s="1174">
        <v>0</v>
      </c>
      <c r="P153" s="1174">
        <v>0</v>
      </c>
      <c r="Q153" s="1174">
        <v>0</v>
      </c>
      <c r="R153" s="1174">
        <v>0</v>
      </c>
      <c r="S153" s="1174">
        <v>0</v>
      </c>
      <c r="T153" s="1174">
        <v>0</v>
      </c>
      <c r="U153" s="1174">
        <v>0</v>
      </c>
      <c r="V153" s="1174">
        <v>0</v>
      </c>
      <c r="W153" s="1174">
        <v>0</v>
      </c>
      <c r="X153" s="1174">
        <v>0</v>
      </c>
      <c r="Y153" s="1174">
        <v>0</v>
      </c>
      <c r="Z153" s="1281">
        <v>0</v>
      </c>
      <c r="AA153" s="1177">
        <f>+Z153</f>
        <v>0</v>
      </c>
      <c r="AB153" s="1180">
        <f>+Z153-AA153</f>
        <v>0</v>
      </c>
      <c r="AC153" s="1181">
        <f t="shared" si="121"/>
        <v>0</v>
      </c>
      <c r="AD153" s="1181">
        <f t="shared" si="96"/>
        <v>0</v>
      </c>
    </row>
    <row r="154" spans="1:36" ht="21.95" customHeight="1">
      <c r="A154" s="1140"/>
      <c r="B154" s="1198"/>
      <c r="C154" s="1199" t="s">
        <v>204</v>
      </c>
      <c r="D154" s="1200" t="s">
        <v>204</v>
      </c>
      <c r="E154" s="1201"/>
      <c r="F154" s="1176"/>
      <c r="G154" s="1202">
        <f t="shared" ref="G154:AB154" si="122">+G153</f>
        <v>0</v>
      </c>
      <c r="H154" s="1202">
        <f t="shared" si="122"/>
        <v>0</v>
      </c>
      <c r="I154" s="1202">
        <f t="shared" si="122"/>
        <v>0</v>
      </c>
      <c r="J154" s="1202">
        <f t="shared" si="122"/>
        <v>0</v>
      </c>
      <c r="K154" s="1202">
        <f t="shared" si="122"/>
        <v>0</v>
      </c>
      <c r="L154" s="1202">
        <f t="shared" si="122"/>
        <v>0</v>
      </c>
      <c r="M154" s="1202">
        <f t="shared" si="122"/>
        <v>0</v>
      </c>
      <c r="N154" s="1202">
        <f t="shared" si="122"/>
        <v>0</v>
      </c>
      <c r="O154" s="1202">
        <f t="shared" si="122"/>
        <v>0</v>
      </c>
      <c r="P154" s="1202">
        <f t="shared" si="122"/>
        <v>0</v>
      </c>
      <c r="Q154" s="1202">
        <f t="shared" si="122"/>
        <v>0</v>
      </c>
      <c r="R154" s="1202">
        <f t="shared" si="122"/>
        <v>0</v>
      </c>
      <c r="S154" s="1202">
        <f t="shared" si="122"/>
        <v>0</v>
      </c>
      <c r="T154" s="1202">
        <f t="shared" si="122"/>
        <v>0</v>
      </c>
      <c r="U154" s="1202">
        <f t="shared" si="122"/>
        <v>0</v>
      </c>
      <c r="V154" s="1202">
        <f t="shared" si="122"/>
        <v>0</v>
      </c>
      <c r="W154" s="1202">
        <f t="shared" si="122"/>
        <v>0</v>
      </c>
      <c r="X154" s="1202">
        <f t="shared" si="122"/>
        <v>0</v>
      </c>
      <c r="Y154" s="1202">
        <f t="shared" si="122"/>
        <v>0</v>
      </c>
      <c r="Z154" s="1202">
        <f t="shared" si="122"/>
        <v>0</v>
      </c>
      <c r="AA154" s="1202">
        <f>+AA153</f>
        <v>0</v>
      </c>
      <c r="AB154" s="1202">
        <f t="shared" si="122"/>
        <v>0</v>
      </c>
      <c r="AC154" s="1181">
        <f t="shared" si="121"/>
        <v>0</v>
      </c>
      <c r="AD154" s="1181">
        <f t="shared" si="96"/>
        <v>0</v>
      </c>
    </row>
    <row r="155" spans="1:36" ht="21.95" customHeight="1">
      <c r="A155" s="1140"/>
      <c r="B155" s="1264" t="s">
        <v>402</v>
      </c>
      <c r="C155" s="1199"/>
      <c r="D155" s="1200"/>
      <c r="E155" s="1201"/>
      <c r="F155" s="1176"/>
      <c r="G155" s="1210"/>
      <c r="H155" s="1210"/>
      <c r="I155" s="1210"/>
      <c r="J155" s="1210"/>
      <c r="K155" s="1210"/>
      <c r="L155" s="1210"/>
      <c r="M155" s="1210"/>
      <c r="N155" s="1210"/>
      <c r="O155" s="1210"/>
      <c r="P155" s="1210"/>
      <c r="Q155" s="1210"/>
      <c r="R155" s="1210"/>
      <c r="S155" s="1210"/>
      <c r="T155" s="1210"/>
      <c r="U155" s="1210"/>
      <c r="V155" s="1210"/>
      <c r="W155" s="1210"/>
      <c r="X155" s="1214"/>
      <c r="Y155" s="1210"/>
      <c r="Z155" s="1210"/>
      <c r="AA155" s="1210"/>
      <c r="AB155" s="1214"/>
      <c r="AC155" s="1181">
        <f t="shared" si="121"/>
        <v>0</v>
      </c>
      <c r="AD155" s="1181">
        <f t="shared" si="96"/>
        <v>0</v>
      </c>
    </row>
    <row r="156" spans="1:36" ht="21.95" customHeight="1">
      <c r="A156" s="1140">
        <f>A149+1</f>
        <v>56</v>
      </c>
      <c r="B156" s="1172" t="s">
        <v>540</v>
      </c>
      <c r="C156" s="1173" t="str">
        <f>VLOOKUP(B156,distribucion!B$9:FK$224,2,0)</f>
        <v>Desarrollador de Vta consumidor</v>
      </c>
      <c r="D156" s="1174">
        <f>G156+K156+M156+N156</f>
        <v>3166.38</v>
      </c>
      <c r="E156" s="1175">
        <f>VLOOKUP(B156,distribucion!B$9:FK$224,7,0)</f>
        <v>30</v>
      </c>
      <c r="F156" s="1176">
        <f>VLOOKUP(B156,distribucion!$B$9:$DQ$288,14,0)</f>
        <v>0</v>
      </c>
      <c r="G156" s="1177">
        <f>ROUND((VLOOKUP(B156,distribucion!B$1:FK$243,103,0)),2)</f>
        <v>3166.38</v>
      </c>
      <c r="H156" s="1177">
        <f>ROUND((VLOOKUP(B156,distribucion!B$9:FJ$243,104,0)),2)</f>
        <v>5139.42</v>
      </c>
      <c r="I156" s="1177">
        <f>G156+H156</f>
        <v>8305.7999999999993</v>
      </c>
      <c r="J156" s="1177">
        <f>VLOOKUP(B156,distribucion!B$9:FK$243,105,0)</f>
        <v>0</v>
      </c>
      <c r="K156" s="1177">
        <f>ROUND((VLOOKUP(B156,distribucion!B$9:FK$243,106,0)),2)</f>
        <v>0</v>
      </c>
      <c r="L156" s="1177">
        <f>VLOOKUP(B156,distribucion!B$9:FK$243,107,0)</f>
        <v>0</v>
      </c>
      <c r="M156" s="1177">
        <f>ROUND((VLOOKUP(B156,distribucion!B$9:FK$243,108,0)),2)</f>
        <v>0</v>
      </c>
      <c r="N156" s="1177">
        <v>0</v>
      </c>
      <c r="O156" s="1178">
        <f>ROUND((VLOOKUP(B156,distribucion!B$9:FK$225,36,0)),2)</f>
        <v>0</v>
      </c>
      <c r="P156" s="1177">
        <f>SUM(I156:O156)-J156-L156</f>
        <v>8305.7999999999993</v>
      </c>
      <c r="Q156" s="1177">
        <f>ROUND(((G156+K156+M156+N156+O156)*0.0483),2)</f>
        <v>152.94</v>
      </c>
      <c r="R156" s="1177">
        <f>ROUND((VLOOKUP(B156,distribucion!B$9:FK$243,151,0)),2)</f>
        <v>375.67</v>
      </c>
      <c r="S156" s="1177">
        <f>ROUND((VLOOKUP(B156,distribucion!B$9:FK$243,152,0)),2)</f>
        <v>0</v>
      </c>
      <c r="T156" s="1177">
        <f>ROUND((VLOOKUP(B156,distribucion!B$9:FK$243,153,0)),2)</f>
        <v>0</v>
      </c>
      <c r="U156" s="1177">
        <f>ROUND((VLOOKUP(B156,distribucion!$B$1:$FE$228,159,0)),2)</f>
        <v>0</v>
      </c>
      <c r="V156" s="1177">
        <f>ROUND((VLOOKUP(B156,distribucion!$B$1:$FE$228,158,0)),2)</f>
        <v>0</v>
      </c>
      <c r="W156" s="1177">
        <f>ROUND((VLOOKUP(B156,distribucion!$B$1:$FE$228,154,0)),2)</f>
        <v>0</v>
      </c>
      <c r="X156" s="1205">
        <f>ROUND((VLOOKUP(B156,distribucion!$B$9:$FK$243,160,0)),2)</f>
        <v>275</v>
      </c>
      <c r="Y156" s="1179">
        <f>SUM(Q156:X156)</f>
        <v>803.61</v>
      </c>
      <c r="Z156" s="1177">
        <f>P156-Y156</f>
        <v>7502.19</v>
      </c>
      <c r="AA156" s="1985">
        <v>6333.64</v>
      </c>
      <c r="AB156" s="1180">
        <f t="shared" ref="AB156:AB157" si="123">+Z156-AA156</f>
        <v>1168.5499999999993</v>
      </c>
      <c r="AC156" s="1181">
        <f>VLOOKUP(B156,'[1]Nomina Unhesa'!$B$9:$AB$167,26,FALSE)</f>
        <v>5953.2100000000009</v>
      </c>
      <c r="AD156" s="1181">
        <f t="shared" si="96"/>
        <v>380.42999999999938</v>
      </c>
    </row>
    <row r="157" spans="1:36" ht="21.75" customHeight="1">
      <c r="A157" s="1140">
        <f>A156+1</f>
        <v>57</v>
      </c>
      <c r="B157" s="1172" t="s">
        <v>544</v>
      </c>
      <c r="C157" s="1173" t="str">
        <f>+distribucion!C225</f>
        <v>Desarrollador de Vta consumidor</v>
      </c>
      <c r="D157" s="1174">
        <f>G157+K157+M157+N157</f>
        <v>3166.38</v>
      </c>
      <c r="E157" s="1175">
        <f>+distribucion!H225</f>
        <v>30</v>
      </c>
      <c r="F157" s="1176">
        <f>VLOOKUP(B157,distribucion!$B$9:$DQ$288,14,0)</f>
        <v>0</v>
      </c>
      <c r="G157" s="1177">
        <f>ROUND((VLOOKUP(B157,distribucion!B$1:FK$243,103,0)),2)</f>
        <v>3166.38</v>
      </c>
      <c r="H157" s="1177">
        <f>ROUND((VLOOKUP(B157,distribucion!B$9:FJ$243,104,0)),2)</f>
        <v>1610.55</v>
      </c>
      <c r="I157" s="1177">
        <f>G157+H157</f>
        <v>4776.93</v>
      </c>
      <c r="J157" s="1177">
        <f>VLOOKUP(B157,distribucion!B$9:FK$243,105,0)</f>
        <v>0</v>
      </c>
      <c r="K157" s="1177">
        <f>ROUND((VLOOKUP(B157,distribucion!B$9:FK$243,106,0)),2)</f>
        <v>0</v>
      </c>
      <c r="L157" s="1177">
        <f>VLOOKUP(B157,distribucion!B$9:FK$243,107,0)</f>
        <v>0</v>
      </c>
      <c r="M157" s="1177">
        <f>ROUND((VLOOKUP(B157,distribucion!B$9:FK$243,108,0)),2)</f>
        <v>0</v>
      </c>
      <c r="N157" s="1177">
        <v>0</v>
      </c>
      <c r="O157" s="1178">
        <f>ROUND((VLOOKUP(B157,distribucion!B$9:FK$225,36,0)),2)</f>
        <v>0</v>
      </c>
      <c r="P157" s="1177">
        <f>SUM(I157:O157)-J157-L157</f>
        <v>4776.93</v>
      </c>
      <c r="Q157" s="1177">
        <f>ROUND(((G157+K157+M157+N157+O157)*0.0483),2)</f>
        <v>152.94</v>
      </c>
      <c r="R157" s="1177">
        <f>ROUND((VLOOKUP(B157,distribucion!B$9:FK$243,151,0)),2)</f>
        <v>76.92</v>
      </c>
      <c r="S157" s="1177">
        <f>ROUND((VLOOKUP(B157,distribucion!B$9:FK$243,152,0)),2)</f>
        <v>0</v>
      </c>
      <c r="T157" s="1177">
        <f>ROUND((VLOOKUP(B157,distribucion!B$9:FK$243,153,0)),2)</f>
        <v>0</v>
      </c>
      <c r="U157" s="1177">
        <f>ROUND((VLOOKUP(B157,distribucion!$B$1:$FE$228,159,0)),2)</f>
        <v>0</v>
      </c>
      <c r="V157" s="1177">
        <f>ROUND((VLOOKUP(B157,distribucion!$B$1:$FE$228,158,0)),2)</f>
        <v>0</v>
      </c>
      <c r="W157" s="1177">
        <f>ROUND((VLOOKUP(B157,distribucion!$B$1:$FE$228,154,0)),2)</f>
        <v>0</v>
      </c>
      <c r="X157" s="1205">
        <f>ROUND((VLOOKUP(B157,distribucion!$B$9:$FK$243,160,0)),2)</f>
        <v>110</v>
      </c>
      <c r="Y157" s="1179">
        <f>SUM(Q157:X157)</f>
        <v>339.86</v>
      </c>
      <c r="Z157" s="1177">
        <f>P157-Y157</f>
        <v>4437.0700000000006</v>
      </c>
      <c r="AA157" s="1985">
        <v>2962.27</v>
      </c>
      <c r="AB157" s="1180">
        <f t="shared" si="123"/>
        <v>1474.8000000000006</v>
      </c>
      <c r="AC157" s="1181">
        <f>VLOOKUP(B157,'[1]Nomina Unhesa'!$B$9:$AB$167,26,FALSE)</f>
        <v>3090.0600000000004</v>
      </c>
      <c r="AD157" s="1181">
        <f t="shared" si="96"/>
        <v>-127.79000000000042</v>
      </c>
    </row>
    <row r="158" spans="1:36" ht="30.75" customHeight="1" thickBot="1">
      <c r="A158" s="1140"/>
      <c r="B158" s="1198"/>
      <c r="C158" s="1199" t="s">
        <v>204</v>
      </c>
      <c r="D158" s="1200" t="s">
        <v>204</v>
      </c>
      <c r="E158" s="1201"/>
      <c r="F158" s="1176"/>
      <c r="G158" s="1280">
        <f t="shared" ref="G158:Z158" si="124">SUM(G156:G157)</f>
        <v>6332.76</v>
      </c>
      <c r="H158" s="1280">
        <f t="shared" si="124"/>
        <v>6749.97</v>
      </c>
      <c r="I158" s="1280">
        <f t="shared" si="124"/>
        <v>13082.73</v>
      </c>
      <c r="J158" s="1280">
        <f t="shared" si="124"/>
        <v>0</v>
      </c>
      <c r="K158" s="1280">
        <f t="shared" si="124"/>
        <v>0</v>
      </c>
      <c r="L158" s="1280">
        <f t="shared" si="124"/>
        <v>0</v>
      </c>
      <c r="M158" s="1280">
        <f t="shared" si="124"/>
        <v>0</v>
      </c>
      <c r="N158" s="1280">
        <f t="shared" si="124"/>
        <v>0</v>
      </c>
      <c r="O158" s="1280">
        <f t="shared" si="124"/>
        <v>0</v>
      </c>
      <c r="P158" s="1280">
        <f t="shared" si="124"/>
        <v>13082.73</v>
      </c>
      <c r="Q158" s="1280">
        <f t="shared" si="124"/>
        <v>305.88</v>
      </c>
      <c r="R158" s="1280">
        <f t="shared" si="124"/>
        <v>452.59000000000003</v>
      </c>
      <c r="S158" s="1280">
        <f t="shared" si="124"/>
        <v>0</v>
      </c>
      <c r="T158" s="1280">
        <f t="shared" si="124"/>
        <v>0</v>
      </c>
      <c r="U158" s="1280">
        <f t="shared" si="124"/>
        <v>0</v>
      </c>
      <c r="V158" s="1280">
        <f t="shared" si="124"/>
        <v>0</v>
      </c>
      <c r="W158" s="1280">
        <f t="shared" si="124"/>
        <v>0</v>
      </c>
      <c r="X158" s="1280">
        <f t="shared" si="124"/>
        <v>385</v>
      </c>
      <c r="Y158" s="1280">
        <f t="shared" si="124"/>
        <v>1143.47</v>
      </c>
      <c r="Z158" s="1280">
        <f t="shared" si="124"/>
        <v>11939.26</v>
      </c>
      <c r="AA158" s="1280">
        <f>SUM(AA156:AA157)</f>
        <v>9295.91</v>
      </c>
      <c r="AB158" s="1280">
        <f>SUM(AB156:AB157)</f>
        <v>2643.35</v>
      </c>
      <c r="AC158" s="1181"/>
      <c r="AD158" s="1181">
        <f t="shared" si="96"/>
        <v>9295.91</v>
      </c>
    </row>
    <row r="159" spans="1:36" ht="21.95" customHeight="1" thickTop="1">
      <c r="A159" s="1140"/>
      <c r="B159" s="1198"/>
      <c r="C159" s="1199"/>
      <c r="D159" s="1200"/>
      <c r="E159" s="1201"/>
      <c r="F159" s="1176"/>
      <c r="G159" s="1210"/>
      <c r="H159" s="1210"/>
      <c r="I159" s="1210"/>
      <c r="J159" s="1210"/>
      <c r="K159" s="1210"/>
      <c r="L159" s="1210"/>
      <c r="M159" s="1210"/>
      <c r="N159" s="1210"/>
      <c r="O159" s="1210"/>
      <c r="P159" s="1210"/>
      <c r="Q159" s="1210"/>
      <c r="R159" s="1210"/>
      <c r="S159" s="1210"/>
      <c r="T159" s="1210"/>
      <c r="U159" s="1210"/>
      <c r="V159" s="1210"/>
      <c r="W159" s="1210"/>
      <c r="X159" s="1210"/>
      <c r="Y159" s="1210"/>
      <c r="Z159" s="1210"/>
      <c r="AA159" s="1210"/>
      <c r="AB159" s="1214"/>
      <c r="AC159" s="1181">
        <f t="shared" si="121"/>
        <v>0</v>
      </c>
      <c r="AD159" s="1181">
        <f t="shared" si="96"/>
        <v>0</v>
      </c>
    </row>
    <row r="160" spans="1:36" ht="21.95" customHeight="1">
      <c r="A160" s="1140"/>
      <c r="B160" s="1158"/>
      <c r="C160" s="1199" t="s">
        <v>403</v>
      </c>
      <c r="D160" s="1282">
        <f>SUM(D13:D157)</f>
        <v>244310.69</v>
      </c>
      <c r="E160" s="1283"/>
      <c r="F160" s="1283"/>
      <c r="G160" s="1217">
        <f t="shared" ref="G160:Z160" si="125">+G150+G154+G158</f>
        <v>36730.01</v>
      </c>
      <c r="H160" s="1217">
        <f t="shared" si="125"/>
        <v>16324.970000000001</v>
      </c>
      <c r="I160" s="1217">
        <f t="shared" si="125"/>
        <v>53054.979999999996</v>
      </c>
      <c r="J160" s="1217">
        <f t="shared" si="125"/>
        <v>128</v>
      </c>
      <c r="K160" s="1217">
        <f t="shared" si="125"/>
        <v>2533.12</v>
      </c>
      <c r="L160" s="1217">
        <f t="shared" si="125"/>
        <v>12</v>
      </c>
      <c r="M160" s="1217">
        <f t="shared" si="125"/>
        <v>316.64</v>
      </c>
      <c r="N160" s="1217">
        <f t="shared" si="125"/>
        <v>0</v>
      </c>
      <c r="O160" s="1217">
        <f t="shared" si="125"/>
        <v>0</v>
      </c>
      <c r="P160" s="1217">
        <f t="shared" si="125"/>
        <v>55904.740000000005</v>
      </c>
      <c r="Q160" s="1217">
        <f t="shared" si="125"/>
        <v>1911.7199999999998</v>
      </c>
      <c r="R160" s="1217">
        <f t="shared" si="125"/>
        <v>962.8900000000001</v>
      </c>
      <c r="S160" s="1217">
        <f t="shared" si="125"/>
        <v>4367.37</v>
      </c>
      <c r="T160" s="1217">
        <f t="shared" si="125"/>
        <v>0</v>
      </c>
      <c r="U160" s="1217">
        <f t="shared" si="125"/>
        <v>0</v>
      </c>
      <c r="V160" s="1217">
        <f t="shared" si="125"/>
        <v>0</v>
      </c>
      <c r="W160" s="1217">
        <f t="shared" si="125"/>
        <v>3161.75</v>
      </c>
      <c r="X160" s="1217">
        <f t="shared" si="125"/>
        <v>1117.02</v>
      </c>
      <c r="Y160" s="1217">
        <f t="shared" si="125"/>
        <v>11520.75</v>
      </c>
      <c r="Z160" s="1217">
        <f t="shared" si="125"/>
        <v>44383.99</v>
      </c>
      <c r="AA160" s="1217">
        <f>+AA150+AA154+AA158</f>
        <v>22036.66</v>
      </c>
      <c r="AB160" s="1217">
        <f>+AB150+AB154+AB158</f>
        <v>22347.329999999994</v>
      </c>
      <c r="AC160" s="1181"/>
      <c r="AD160" s="1181">
        <f t="shared" si="96"/>
        <v>22036.66</v>
      </c>
    </row>
    <row r="161" spans="1:32" ht="21.95" customHeight="1">
      <c r="A161" s="1140"/>
      <c r="B161" s="1158"/>
      <c r="C161" s="1199"/>
      <c r="D161" s="1284"/>
      <c r="E161" s="1283"/>
      <c r="F161" s="1283"/>
      <c r="G161" s="1217"/>
      <c r="H161" s="1217"/>
      <c r="I161" s="1217"/>
      <c r="J161" s="1217"/>
      <c r="K161" s="1217"/>
      <c r="L161" s="1217"/>
      <c r="M161" s="1217"/>
      <c r="N161" s="1217"/>
      <c r="O161" s="1217"/>
      <c r="P161" s="1217"/>
      <c r="Q161" s="1217"/>
      <c r="R161" s="1217"/>
      <c r="S161" s="1217"/>
      <c r="T161" s="1217"/>
      <c r="U161" s="1217"/>
      <c r="V161" s="1217"/>
      <c r="W161" s="1217"/>
      <c r="X161" s="1217"/>
      <c r="Y161" s="1217"/>
      <c r="Z161" s="1217"/>
      <c r="AA161" s="1217"/>
      <c r="AB161" s="1219"/>
      <c r="AC161" s="1181">
        <f t="shared" si="121"/>
        <v>0</v>
      </c>
      <c r="AD161" s="1181">
        <f t="shared" si="96"/>
        <v>0</v>
      </c>
    </row>
    <row r="162" spans="1:32" ht="21.95" customHeight="1">
      <c r="A162" s="1140"/>
      <c r="B162" s="1158"/>
      <c r="C162" s="1283"/>
      <c r="D162" s="1284"/>
      <c r="E162" s="1283"/>
      <c r="F162" s="1283"/>
      <c r="G162" s="1217"/>
      <c r="H162" s="1217"/>
      <c r="I162" s="1217"/>
      <c r="J162" s="1217"/>
      <c r="K162" s="1217"/>
      <c r="L162" s="1217"/>
      <c r="M162" s="1217"/>
      <c r="N162" s="1217"/>
      <c r="O162" s="1217"/>
      <c r="P162" s="1217"/>
      <c r="Q162" s="1217"/>
      <c r="R162" s="1217"/>
      <c r="S162" s="1217"/>
      <c r="T162" s="1217"/>
      <c r="U162" s="1217"/>
      <c r="V162" s="1217"/>
      <c r="W162" s="1217"/>
      <c r="X162" s="1217"/>
      <c r="Y162" s="1217"/>
      <c r="Z162" s="1217"/>
      <c r="AA162" s="1217"/>
      <c r="AB162" s="1219"/>
      <c r="AC162" s="1181">
        <f>+Z162-AA162-AB162</f>
        <v>0</v>
      </c>
      <c r="AD162" s="1181">
        <f t="shared" si="96"/>
        <v>0</v>
      </c>
    </row>
    <row r="163" spans="1:32" s="1290" customFormat="1" ht="21.95" customHeight="1" thickBot="1">
      <c r="A163" s="1285"/>
      <c r="B163" s="1286"/>
      <c r="C163" s="1287"/>
      <c r="D163" s="1288" t="s">
        <v>54</v>
      </c>
      <c r="E163" s="1287"/>
      <c r="F163" s="1287"/>
      <c r="G163" s="1289">
        <f t="shared" ref="G163:AB163" si="126">+G14+G18+G31+G34+G39+G67+G80+G131+G160+G136+G85+G45+G21</f>
        <v>267952.69</v>
      </c>
      <c r="H163" s="1289">
        <f t="shared" si="126"/>
        <v>125817.16</v>
      </c>
      <c r="I163" s="1289">
        <f t="shared" si="126"/>
        <v>393769.84999999992</v>
      </c>
      <c r="J163" s="1289">
        <f t="shared" si="126"/>
        <v>353</v>
      </c>
      <c r="K163" s="1289">
        <f t="shared" si="126"/>
        <v>7124.119999999999</v>
      </c>
      <c r="L163" s="1289">
        <f t="shared" si="126"/>
        <v>12</v>
      </c>
      <c r="M163" s="1289">
        <f t="shared" si="126"/>
        <v>316.64</v>
      </c>
      <c r="N163" s="1289">
        <f t="shared" si="126"/>
        <v>0</v>
      </c>
      <c r="O163" s="1289">
        <f t="shared" si="126"/>
        <v>0</v>
      </c>
      <c r="P163" s="1289">
        <f t="shared" si="126"/>
        <v>401210.60999999993</v>
      </c>
      <c r="Q163" s="1289">
        <f t="shared" si="126"/>
        <v>12347.71</v>
      </c>
      <c r="R163" s="1289">
        <f t="shared" si="126"/>
        <v>7241.2300000000014</v>
      </c>
      <c r="S163" s="1289">
        <f t="shared" si="126"/>
        <v>14093.14</v>
      </c>
      <c r="T163" s="1289">
        <f t="shared" si="126"/>
        <v>1767</v>
      </c>
      <c r="U163" s="1289">
        <f t="shared" si="126"/>
        <v>160</v>
      </c>
      <c r="V163" s="1289">
        <f t="shared" si="126"/>
        <v>0</v>
      </c>
      <c r="W163" s="1289">
        <f t="shared" si="126"/>
        <v>9029</v>
      </c>
      <c r="X163" s="1289">
        <f t="shared" si="126"/>
        <v>10276.43</v>
      </c>
      <c r="Y163" s="1289">
        <f t="shared" si="126"/>
        <v>54914.510000000009</v>
      </c>
      <c r="Z163" s="1289">
        <f t="shared" si="126"/>
        <v>346296.10000000003</v>
      </c>
      <c r="AA163" s="1289">
        <f t="shared" si="126"/>
        <v>200256.13</v>
      </c>
      <c r="AB163" s="1289">
        <f t="shared" si="126"/>
        <v>146039.97000000003</v>
      </c>
      <c r="AC163" s="1181"/>
      <c r="AD163" s="1181">
        <f t="shared" si="96"/>
        <v>200256.13</v>
      </c>
      <c r="AF163" s="1144"/>
    </row>
    <row r="164" spans="1:32" s="1203" customFormat="1" ht="21.95" customHeight="1" thickTop="1">
      <c r="A164" s="1140"/>
      <c r="B164" s="1172"/>
      <c r="C164" s="1283"/>
      <c r="D164" s="1284"/>
      <c r="E164" s="1283"/>
      <c r="F164" s="1283"/>
      <c r="G164" s="1217"/>
      <c r="H164" s="1217"/>
      <c r="I164" s="1217"/>
      <c r="J164" s="1217"/>
      <c r="K164" s="1217"/>
      <c r="L164" s="1217"/>
      <c r="M164" s="1217"/>
      <c r="N164" s="1217"/>
      <c r="O164" s="1217"/>
      <c r="P164" s="1217"/>
      <c r="Q164" s="1217"/>
      <c r="R164" s="1217"/>
      <c r="S164" s="1217"/>
      <c r="T164" s="1217"/>
      <c r="U164" s="1217"/>
      <c r="V164" s="1217"/>
      <c r="W164" s="1217"/>
      <c r="X164" s="1217"/>
      <c r="Y164" s="1217"/>
      <c r="Z164" s="1217"/>
      <c r="AA164" s="1217"/>
      <c r="AB164" s="1219"/>
      <c r="AC164" s="1181">
        <f t="shared" si="121"/>
        <v>0</v>
      </c>
    </row>
    <row r="165" spans="1:32" s="1203" customFormat="1" ht="33" customHeight="1">
      <c r="A165" s="1140"/>
      <c r="B165" s="1172"/>
      <c r="C165" s="1283"/>
      <c r="D165" s="1284"/>
      <c r="E165" s="1283"/>
      <c r="F165" s="1283"/>
      <c r="G165" s="1291">
        <f t="shared" ref="G165:AB165" si="127">SUM(G8:G163)-G14-G18-G31-G34-G39-G52-G61-G67-G73-G78-G80-G105-G115-G120-G125-G131-G136-G150-G154-G158-G160-G163-G65-G129-G112-G109-G85-G45-G21</f>
        <v>267952.68999999989</v>
      </c>
      <c r="H165" s="1291">
        <f t="shared" si="127"/>
        <v>125817.15999999996</v>
      </c>
      <c r="I165" s="1291">
        <f t="shared" si="127"/>
        <v>393769.85000000091</v>
      </c>
      <c r="J165" s="1291">
        <f t="shared" si="127"/>
        <v>353</v>
      </c>
      <c r="K165" s="1291">
        <f t="shared" si="127"/>
        <v>7124.1200000000044</v>
      </c>
      <c r="L165" s="1291">
        <f t="shared" si="127"/>
        <v>12</v>
      </c>
      <c r="M165" s="1291">
        <f t="shared" si="127"/>
        <v>316.64</v>
      </c>
      <c r="N165" s="1291">
        <f t="shared" si="127"/>
        <v>0</v>
      </c>
      <c r="O165" s="1291">
        <f t="shared" si="127"/>
        <v>0</v>
      </c>
      <c r="P165" s="1291">
        <f t="shared" si="127"/>
        <v>401210.61000000034</v>
      </c>
      <c r="Q165" s="1291">
        <f t="shared" si="127"/>
        <v>12347.709999999986</v>
      </c>
      <c r="R165" s="1291">
        <f t="shared" si="127"/>
        <v>7241.2299999999959</v>
      </c>
      <c r="S165" s="1291">
        <f t="shared" si="127"/>
        <v>14093.140000000007</v>
      </c>
      <c r="T165" s="1291">
        <f t="shared" si="127"/>
        <v>1767</v>
      </c>
      <c r="U165" s="1291">
        <f t="shared" si="127"/>
        <v>160</v>
      </c>
      <c r="V165" s="1291">
        <f t="shared" si="127"/>
        <v>0</v>
      </c>
      <c r="W165" s="1291">
        <f t="shared" si="127"/>
        <v>9029</v>
      </c>
      <c r="X165" s="1291">
        <f t="shared" si="127"/>
        <v>10276.43</v>
      </c>
      <c r="Y165" s="1291">
        <f t="shared" si="127"/>
        <v>54914.510000000038</v>
      </c>
      <c r="Z165" s="1291">
        <f t="shared" si="127"/>
        <v>346296.10000000003</v>
      </c>
      <c r="AA165" s="1291">
        <f t="shared" si="127"/>
        <v>200256.13000000027</v>
      </c>
      <c r="AB165" s="1291">
        <f t="shared" si="127"/>
        <v>146039.97</v>
      </c>
      <c r="AC165" s="1181"/>
      <c r="AD165" s="1991">
        <f>+AD150+AD136+AD123+AD120+AD105</f>
        <v>70272.44</v>
      </c>
    </row>
    <row r="166" spans="1:32" s="1203" customFormat="1" ht="21.95" customHeight="1">
      <c r="A166" s="1140"/>
      <c r="B166" s="1172"/>
      <c r="C166" s="1283"/>
      <c r="D166" s="1284"/>
      <c r="E166" s="1283"/>
      <c r="F166" s="1283"/>
      <c r="G166" s="1235">
        <f>ROUND((G165-G163),2)</f>
        <v>0</v>
      </c>
      <c r="H166" s="1235">
        <f t="shared" ref="H166:Z166" si="128">ROUND((H165-H163),2)</f>
        <v>0</v>
      </c>
      <c r="I166" s="1235">
        <f t="shared" si="128"/>
        <v>0</v>
      </c>
      <c r="J166" s="1235">
        <f t="shared" si="128"/>
        <v>0</v>
      </c>
      <c r="K166" s="1235">
        <f t="shared" si="128"/>
        <v>0</v>
      </c>
      <c r="L166" s="1235">
        <f t="shared" si="128"/>
        <v>0</v>
      </c>
      <c r="M166" s="1235">
        <f t="shared" si="128"/>
        <v>0</v>
      </c>
      <c r="N166" s="1235">
        <f t="shared" si="128"/>
        <v>0</v>
      </c>
      <c r="O166" s="1235">
        <f t="shared" si="128"/>
        <v>0</v>
      </c>
      <c r="P166" s="1235">
        <f t="shared" si="128"/>
        <v>0</v>
      </c>
      <c r="Q166" s="1235">
        <f t="shared" si="128"/>
        <v>0</v>
      </c>
      <c r="R166" s="1235">
        <f t="shared" si="128"/>
        <v>0</v>
      </c>
      <c r="S166" s="1235">
        <f t="shared" si="128"/>
        <v>0</v>
      </c>
      <c r="T166" s="1235">
        <f t="shared" si="128"/>
        <v>0</v>
      </c>
      <c r="U166" s="1235">
        <f t="shared" si="128"/>
        <v>0</v>
      </c>
      <c r="V166" s="1235">
        <f t="shared" si="128"/>
        <v>0</v>
      </c>
      <c r="W166" s="1235">
        <f t="shared" si="128"/>
        <v>0</v>
      </c>
      <c r="X166" s="1235">
        <f t="shared" si="128"/>
        <v>0</v>
      </c>
      <c r="Y166" s="1235">
        <f t="shared" si="128"/>
        <v>0</v>
      </c>
      <c r="Z166" s="1235">
        <f t="shared" si="128"/>
        <v>0</v>
      </c>
      <c r="AA166" s="1235">
        <f>ROUND((AA165-AA163),2)</f>
        <v>0</v>
      </c>
      <c r="AB166" s="1235">
        <f>ROUND((AB165-AB163),2)</f>
        <v>0</v>
      </c>
      <c r="AC166" s="1181">
        <f t="shared" si="121"/>
        <v>0</v>
      </c>
    </row>
    <row r="167" spans="1:32" s="1204" customFormat="1" ht="21.95" customHeight="1">
      <c r="A167" s="1141"/>
      <c r="B167" s="1272"/>
      <c r="C167" s="1284"/>
      <c r="D167" s="1284"/>
      <c r="E167" s="1284"/>
      <c r="F167" s="1284"/>
      <c r="G167" s="1279"/>
      <c r="H167" s="1279"/>
      <c r="I167" s="1279"/>
      <c r="J167" s="1279"/>
      <c r="K167" s="1279"/>
      <c r="L167" s="1279"/>
      <c r="M167" s="1279"/>
      <c r="N167" s="1279"/>
      <c r="O167" s="1279"/>
      <c r="P167" s="1279"/>
      <c r="Q167" s="1279"/>
      <c r="R167" s="1279"/>
      <c r="S167" s="1279"/>
      <c r="T167" s="1279"/>
      <c r="U167" s="1279"/>
      <c r="V167" s="1279"/>
      <c r="W167" s="1279"/>
      <c r="X167" s="1279"/>
      <c r="Y167" s="1279"/>
      <c r="Z167" s="1279"/>
      <c r="AA167" s="1279"/>
      <c r="AB167" s="1279"/>
      <c r="AC167" s="1292"/>
    </row>
    <row r="168" spans="1:32" s="1204" customFormat="1" ht="21.95" customHeight="1">
      <c r="A168" s="1141"/>
      <c r="B168" s="1272"/>
      <c r="C168" s="1284"/>
      <c r="D168" s="1284"/>
      <c r="E168" s="1284"/>
      <c r="F168" s="1284"/>
      <c r="G168" s="1279"/>
      <c r="H168" s="1279"/>
      <c r="I168" s="1279"/>
      <c r="J168" s="1279"/>
      <c r="K168" s="1279"/>
      <c r="L168" s="1279"/>
      <c r="M168" s="1279"/>
      <c r="N168" s="1279"/>
      <c r="O168" s="1279"/>
      <c r="P168" s="1279"/>
      <c r="Q168" s="1279"/>
      <c r="R168" s="1279"/>
      <c r="S168" s="1279"/>
      <c r="T168" s="1279"/>
      <c r="U168" s="1279"/>
      <c r="V168" s="1279"/>
      <c r="W168" s="1279"/>
      <c r="X168" s="1279"/>
      <c r="Y168" s="1279"/>
      <c r="Z168" s="1279"/>
      <c r="AA168" s="1279"/>
      <c r="AB168" s="1279"/>
      <c r="AC168" s="1292"/>
    </row>
    <row r="169" spans="1:32" s="1204" customFormat="1" ht="21.95" customHeight="1">
      <c r="A169" s="1141"/>
      <c r="B169" s="1272"/>
      <c r="C169" s="1284"/>
      <c r="D169" s="1284"/>
      <c r="E169" s="1284"/>
      <c r="F169" s="1284"/>
      <c r="G169" s="1279"/>
      <c r="H169" s="1279"/>
      <c r="I169" s="1279"/>
      <c r="J169" s="1279"/>
      <c r="K169" s="1279"/>
      <c r="L169" s="1279"/>
      <c r="M169" s="1279"/>
      <c r="N169" s="1279"/>
      <c r="O169" s="1279"/>
      <c r="P169" s="1279"/>
      <c r="Q169" s="1279"/>
      <c r="R169" s="1279"/>
      <c r="S169" s="1279"/>
      <c r="T169" s="1279"/>
      <c r="U169" s="1279"/>
      <c r="V169" s="1279"/>
      <c r="W169" s="1279"/>
      <c r="X169" s="1279"/>
      <c r="Y169" s="1279"/>
      <c r="Z169" s="1279"/>
      <c r="AA169" s="1279"/>
      <c r="AB169" s="1279"/>
      <c r="AC169" s="1292"/>
    </row>
    <row r="170" spans="1:32" s="1204" customFormat="1" ht="21.95" customHeight="1">
      <c r="A170" s="1141"/>
      <c r="B170" s="1272"/>
      <c r="C170" s="1284"/>
      <c r="D170" s="1284"/>
      <c r="E170" s="1284"/>
      <c r="F170" s="1284"/>
      <c r="G170" s="1279"/>
      <c r="H170" s="1279"/>
      <c r="I170" s="1279"/>
      <c r="J170" s="1279"/>
      <c r="K170" s="1279"/>
      <c r="L170" s="1279"/>
      <c r="M170" s="1279"/>
      <c r="N170" s="1279"/>
      <c r="O170" s="1279"/>
      <c r="P170" s="1279"/>
      <c r="Q170" s="1279"/>
      <c r="R170" s="1279"/>
      <c r="S170" s="1279"/>
      <c r="T170" s="1279"/>
      <c r="U170" s="1279"/>
      <c r="V170" s="1279"/>
      <c r="W170" s="1279"/>
      <c r="X170" s="1279"/>
      <c r="Y170" s="1279"/>
      <c r="Z170" s="1279"/>
      <c r="AA170" s="1279"/>
      <c r="AB170" s="1279"/>
      <c r="AC170" s="1292"/>
    </row>
    <row r="171" spans="1:32" s="1204" customFormat="1" ht="21.95" customHeight="1">
      <c r="A171" s="1141"/>
      <c r="B171" s="1272"/>
      <c r="C171" s="1284"/>
      <c r="D171" s="1284"/>
      <c r="E171" s="1284"/>
      <c r="F171" s="1284"/>
      <c r="G171" s="1293" t="str">
        <f t="shared" ref="G171:Z171" si="129">IF(G166&lt;&gt;0,"Error,  Total general no coincide  con la suma individual","")</f>
        <v/>
      </c>
      <c r="H171" s="1293" t="str">
        <f t="shared" si="129"/>
        <v/>
      </c>
      <c r="I171" s="1293" t="str">
        <f t="shared" si="129"/>
        <v/>
      </c>
      <c r="J171" s="1293" t="str">
        <f t="shared" si="129"/>
        <v/>
      </c>
      <c r="K171" s="1293" t="str">
        <f t="shared" si="129"/>
        <v/>
      </c>
      <c r="L171" s="1293" t="str">
        <f t="shared" si="129"/>
        <v/>
      </c>
      <c r="M171" s="1293" t="str">
        <f t="shared" si="129"/>
        <v/>
      </c>
      <c r="N171" s="1293" t="str">
        <f t="shared" si="129"/>
        <v/>
      </c>
      <c r="O171" s="1293" t="str">
        <f t="shared" si="129"/>
        <v/>
      </c>
      <c r="P171" s="1293" t="str">
        <f t="shared" si="129"/>
        <v/>
      </c>
      <c r="Q171" s="1293" t="str">
        <f t="shared" si="129"/>
        <v/>
      </c>
      <c r="R171" s="1293" t="str">
        <f t="shared" si="129"/>
        <v/>
      </c>
      <c r="S171" s="1293" t="str">
        <f t="shared" si="129"/>
        <v/>
      </c>
      <c r="T171" s="1293" t="str">
        <f t="shared" si="129"/>
        <v/>
      </c>
      <c r="U171" s="1293" t="str">
        <f t="shared" si="129"/>
        <v/>
      </c>
      <c r="V171" s="1293" t="str">
        <f t="shared" si="129"/>
        <v/>
      </c>
      <c r="W171" s="1293" t="str">
        <f t="shared" si="129"/>
        <v/>
      </c>
      <c r="X171" s="1293" t="str">
        <f t="shared" si="129"/>
        <v/>
      </c>
      <c r="Y171" s="1293" t="str">
        <f t="shared" si="129"/>
        <v/>
      </c>
      <c r="Z171" s="1293" t="str">
        <f t="shared" si="129"/>
        <v/>
      </c>
      <c r="AA171" s="1293"/>
      <c r="AB171" s="1293"/>
      <c r="AC171" s="1292"/>
    </row>
    <row r="172" spans="1:32" s="1203" customFormat="1" ht="21.95" customHeight="1">
      <c r="A172" s="1140"/>
      <c r="B172" s="1172"/>
      <c r="C172" s="1283"/>
      <c r="D172" s="1284"/>
      <c r="E172" s="1283"/>
      <c r="F172" s="1283"/>
      <c r="G172" s="1217"/>
      <c r="H172" s="1217"/>
      <c r="I172" s="1217"/>
      <c r="J172" s="1217"/>
      <c r="K172" s="1217"/>
      <c r="L172" s="1217"/>
      <c r="M172" s="1217"/>
      <c r="N172" s="1217"/>
      <c r="O172" s="1217"/>
      <c r="P172" s="1217"/>
      <c r="Q172" s="1217"/>
      <c r="R172" s="1217"/>
      <c r="S172" s="1217"/>
      <c r="T172" s="1217"/>
      <c r="U172" s="1217"/>
      <c r="V172" s="1217"/>
      <c r="W172" s="1217"/>
      <c r="X172" s="1217"/>
      <c r="Y172" s="1217"/>
      <c r="Z172" s="1294" t="s">
        <v>22</v>
      </c>
      <c r="AA172" s="1177"/>
      <c r="AB172" s="1219"/>
    </row>
    <row r="173" spans="1:32" s="1318" customFormat="1" ht="30.75" customHeight="1">
      <c r="A173" s="1306"/>
      <c r="B173" s="1307" t="s">
        <v>714</v>
      </c>
      <c r="C173" s="1308"/>
      <c r="D173" s="1309"/>
      <c r="E173" s="1310"/>
      <c r="F173" s="1310"/>
      <c r="G173" s="1311"/>
      <c r="H173" s="1312"/>
      <c r="I173" s="1313" t="s">
        <v>716</v>
      </c>
      <c r="J173" s="1313"/>
      <c r="K173" s="1313"/>
      <c r="L173" s="1312"/>
      <c r="M173" s="1312"/>
      <c r="N173" s="1312"/>
      <c r="O173" s="1312"/>
      <c r="P173" s="1312"/>
      <c r="Q173" s="1312"/>
      <c r="R173" s="1312"/>
      <c r="S173" s="1312"/>
      <c r="T173" s="1312"/>
      <c r="U173" s="1312"/>
      <c r="V173" s="1312"/>
      <c r="W173" s="1312"/>
      <c r="X173" s="1312"/>
      <c r="Y173" s="1314"/>
      <c r="Z173" s="1315"/>
      <c r="AA173" s="1316"/>
      <c r="AB173" s="1316"/>
      <c r="AC173" s="1316"/>
      <c r="AD173" s="1310"/>
      <c r="AE173" s="1310"/>
      <c r="AF173" s="1317"/>
    </row>
    <row r="174" spans="1:32" ht="21.95" customHeight="1">
      <c r="A174" s="1140"/>
      <c r="B174" s="1172"/>
      <c r="C174" s="1203"/>
      <c r="D174" s="1141"/>
      <c r="E174" s="1140"/>
      <c r="F174" s="1140"/>
      <c r="G174" s="1177"/>
      <c r="H174" s="1177"/>
      <c r="I174" s="1177"/>
      <c r="J174" s="1177"/>
      <c r="K174" s="1177"/>
      <c r="L174" s="1177"/>
      <c r="M174" s="1177"/>
      <c r="N174" s="1177"/>
      <c r="O174" s="1177"/>
      <c r="P174" s="1177"/>
      <c r="Q174" s="1177"/>
      <c r="R174" s="1177"/>
      <c r="S174" s="1177"/>
      <c r="T174" s="1177"/>
      <c r="U174" s="1177"/>
      <c r="V174" s="1177"/>
      <c r="W174" s="1177"/>
      <c r="X174" s="1177"/>
      <c r="Y174" s="1179"/>
      <c r="Z174" s="1992"/>
      <c r="AA174" s="1993"/>
      <c r="AB174" s="1994"/>
      <c r="AC174" s="1296"/>
      <c r="AD174" s="1203"/>
      <c r="AE174" s="1203"/>
    </row>
    <row r="175" spans="1:32" ht="21.95" customHeight="1">
      <c r="A175" s="1140"/>
      <c r="B175" s="1172"/>
      <c r="C175" s="1203"/>
      <c r="D175" s="1141"/>
      <c r="E175" s="1140"/>
      <c r="F175" s="1140"/>
      <c r="G175" s="1177"/>
      <c r="H175" s="1177"/>
      <c r="I175" s="1177"/>
      <c r="J175" s="1177"/>
      <c r="K175" s="1177"/>
      <c r="L175" s="1177"/>
      <c r="M175" s="1177"/>
      <c r="N175" s="1177"/>
      <c r="O175" s="1177"/>
      <c r="P175" s="1177"/>
      <c r="Q175" s="1177"/>
      <c r="R175" s="1177"/>
      <c r="S175" s="1177"/>
      <c r="T175" s="1177"/>
      <c r="U175" s="1177"/>
      <c r="V175" s="1177"/>
      <c r="W175" s="1177"/>
      <c r="X175" s="1177"/>
      <c r="Y175" s="1297"/>
      <c r="Z175" s="1992"/>
      <c r="AA175" s="1993"/>
      <c r="AB175" s="1994"/>
      <c r="AC175" s="1296"/>
      <c r="AD175" s="1203"/>
      <c r="AE175" s="1203"/>
    </row>
    <row r="176" spans="1:32" ht="21.95" customHeight="1">
      <c r="A176" s="1140"/>
      <c r="B176" s="1172"/>
      <c r="C176" s="1203"/>
      <c r="D176" s="1141"/>
      <c r="E176" s="1140"/>
      <c r="F176" s="1140"/>
      <c r="G176" s="1177"/>
      <c r="H176" s="1177"/>
      <c r="I176" s="1177"/>
      <c r="J176" s="1177"/>
      <c r="K176" s="1177"/>
      <c r="L176" s="1177"/>
      <c r="M176" s="1177"/>
      <c r="N176" s="1177"/>
      <c r="O176" s="1177"/>
      <c r="P176" s="1177"/>
      <c r="Q176" s="1177"/>
      <c r="R176" s="1177"/>
      <c r="S176" s="1177"/>
      <c r="T176" s="1177"/>
      <c r="U176" s="1177"/>
      <c r="V176" s="1177"/>
      <c r="W176" s="1177"/>
      <c r="X176" s="1177"/>
      <c r="Y176" s="1297"/>
      <c r="Z176" s="1992"/>
      <c r="AA176" s="1993"/>
      <c r="AB176" s="1994"/>
      <c r="AC176" s="1296"/>
      <c r="AD176" s="1203"/>
      <c r="AE176" s="1203"/>
    </row>
    <row r="177" spans="1:31" ht="21.95" customHeight="1">
      <c r="A177" s="1140"/>
      <c r="B177" s="1172"/>
      <c r="C177" s="1203"/>
      <c r="D177" s="1141"/>
      <c r="E177" s="1140"/>
      <c r="F177" s="1140"/>
      <c r="G177" s="1177"/>
      <c r="H177" s="1177"/>
      <c r="I177" s="1177"/>
      <c r="J177" s="1177"/>
      <c r="K177" s="1177"/>
      <c r="L177" s="1177"/>
      <c r="M177" s="1177"/>
      <c r="N177" s="1177"/>
      <c r="O177" s="1177"/>
      <c r="P177" s="1177"/>
      <c r="Q177" s="1177"/>
      <c r="R177" s="1177"/>
      <c r="S177" s="1177"/>
      <c r="T177" s="1177"/>
      <c r="U177" s="1177"/>
      <c r="V177" s="1177"/>
      <c r="W177" s="1177"/>
      <c r="X177" s="1177"/>
      <c r="Y177" s="1297"/>
      <c r="Z177" s="1992"/>
      <c r="AA177" s="1993"/>
      <c r="AB177" s="1994"/>
      <c r="AC177" s="1296"/>
      <c r="AD177" s="1203"/>
      <c r="AE177" s="1203"/>
    </row>
    <row r="178" spans="1:31" ht="21.95" customHeight="1">
      <c r="A178" s="1140"/>
      <c r="B178" s="1172"/>
      <c r="C178" s="1203"/>
      <c r="D178" s="1141"/>
      <c r="E178" s="1140"/>
      <c r="F178" s="1140"/>
      <c r="G178" s="1177"/>
      <c r="H178" s="1177"/>
      <c r="I178" s="1177"/>
      <c r="J178" s="1177"/>
      <c r="K178" s="1177"/>
      <c r="L178" s="1177"/>
      <c r="M178" s="1177"/>
      <c r="N178" s="1177"/>
      <c r="O178" s="1177"/>
      <c r="P178" s="1177"/>
      <c r="Q178" s="1177"/>
      <c r="R178" s="1177"/>
      <c r="S178" s="1177"/>
      <c r="T178" s="1177"/>
      <c r="U178" s="1177"/>
      <c r="V178" s="1177"/>
      <c r="W178" s="1177"/>
      <c r="X178" s="1177"/>
      <c r="Y178" s="1297"/>
      <c r="Z178" s="1195"/>
      <c r="AA178" s="1295"/>
      <c r="AB178" s="1178"/>
      <c r="AC178" s="1296"/>
      <c r="AD178" s="1203"/>
      <c r="AE178" s="1203"/>
    </row>
    <row r="179" spans="1:31" ht="21.95" customHeight="1">
      <c r="A179" s="1140"/>
      <c r="B179" s="1172"/>
      <c r="C179" s="1203"/>
      <c r="D179" s="1141"/>
      <c r="E179" s="1140"/>
      <c r="F179" s="1140"/>
      <c r="G179" s="1177"/>
      <c r="H179" s="1177"/>
      <c r="I179" s="1177"/>
      <c r="J179" s="1177"/>
      <c r="K179" s="1177"/>
      <c r="L179" s="1177"/>
      <c r="M179" s="1177"/>
      <c r="N179" s="1177"/>
      <c r="O179" s="1177"/>
      <c r="P179" s="1177"/>
      <c r="Q179" s="1177"/>
      <c r="R179" s="1177"/>
      <c r="S179" s="1177"/>
      <c r="T179" s="1177"/>
      <c r="U179" s="1177"/>
      <c r="V179" s="1177"/>
      <c r="W179" s="1177"/>
      <c r="X179" s="1177"/>
      <c r="Y179" s="1297"/>
      <c r="Z179" s="1195"/>
      <c r="AA179" s="1295"/>
      <c r="AB179" s="1178"/>
      <c r="AC179" s="1296"/>
      <c r="AD179" s="1203"/>
      <c r="AE179" s="1203"/>
    </row>
    <row r="180" spans="1:31" ht="21.95" customHeight="1">
      <c r="A180" s="1140"/>
      <c r="B180" s="1298"/>
      <c r="C180" s="1203"/>
      <c r="D180" s="1141"/>
      <c r="E180" s="1140"/>
      <c r="F180" s="1140"/>
      <c r="G180" s="1177"/>
      <c r="H180" s="1177"/>
      <c r="I180" s="1177"/>
      <c r="J180" s="1177"/>
      <c r="K180" s="1177"/>
      <c r="L180" s="1177"/>
      <c r="M180" s="1177"/>
      <c r="N180" s="1177"/>
      <c r="O180" s="1177"/>
      <c r="P180" s="1177"/>
      <c r="Q180" s="1177"/>
      <c r="R180" s="1177"/>
      <c r="S180" s="1177"/>
      <c r="T180" s="1177"/>
      <c r="U180" s="1177"/>
      <c r="V180" s="1177"/>
      <c r="W180" s="1177"/>
      <c r="X180" s="1177"/>
      <c r="Y180" s="1218"/>
      <c r="Z180" s="1195"/>
      <c r="AA180" s="1299"/>
      <c r="AB180" s="1300"/>
      <c r="AC180" s="1203"/>
      <c r="AD180" s="1203"/>
      <c r="AE180" s="1203"/>
    </row>
    <row r="181" spans="1:31" ht="21.95" customHeight="1">
      <c r="A181" s="1140"/>
      <c r="B181" s="1172"/>
      <c r="C181" s="1203"/>
      <c r="D181" s="1141"/>
      <c r="E181" s="1140"/>
      <c r="F181" s="1140"/>
      <c r="G181" s="1177"/>
      <c r="H181" s="1177"/>
      <c r="I181" s="1177"/>
      <c r="J181" s="1177"/>
      <c r="K181" s="1177"/>
      <c r="L181" s="1177"/>
      <c r="M181" s="1177"/>
      <c r="N181" s="1177"/>
      <c r="O181" s="1177"/>
      <c r="P181" s="1177"/>
      <c r="Q181" s="1177"/>
      <c r="R181" s="1177"/>
      <c r="S181" s="1177"/>
      <c r="T181" s="1177"/>
      <c r="U181" s="1177"/>
      <c r="V181" s="1177"/>
      <c r="W181" s="1177"/>
      <c r="X181" s="1177"/>
      <c r="Y181" s="1297"/>
      <c r="Z181" s="1195"/>
      <c r="AA181" s="1177"/>
      <c r="AB181" s="1245"/>
      <c r="AC181" s="1203"/>
      <c r="AD181" s="1203"/>
      <c r="AE181" s="1203"/>
    </row>
    <row r="182" spans="1:31" ht="21.95" customHeight="1">
      <c r="A182" s="1140"/>
      <c r="B182" s="1172"/>
      <c r="C182" s="1203"/>
      <c r="D182" s="1141"/>
      <c r="E182" s="1140"/>
      <c r="F182" s="1140"/>
      <c r="G182" s="1140"/>
      <c r="H182" s="1177"/>
      <c r="I182" s="1177"/>
      <c r="J182" s="1177"/>
      <c r="K182" s="1177"/>
      <c r="L182" s="1177"/>
      <c r="M182" s="1177"/>
      <c r="N182" s="1177"/>
      <c r="O182" s="1177"/>
      <c r="P182" s="1177"/>
      <c r="Q182" s="1177"/>
      <c r="R182" s="1177"/>
      <c r="S182" s="1177"/>
      <c r="T182" s="1177"/>
      <c r="U182" s="1177"/>
      <c r="V182" s="1177"/>
      <c r="W182" s="1177"/>
      <c r="X182" s="1177"/>
      <c r="Y182" s="1297"/>
      <c r="Z182" s="1195"/>
      <c r="AA182" s="1177"/>
      <c r="AB182" s="1245"/>
      <c r="AC182" s="1203">
        <v>250</v>
      </c>
      <c r="AD182" s="1203"/>
      <c r="AE182" s="1203"/>
    </row>
    <row r="183" spans="1:31" ht="21.95" customHeight="1">
      <c r="A183" s="1140"/>
      <c r="B183" s="1172"/>
      <c r="C183" s="1203"/>
      <c r="D183" s="1141"/>
      <c r="E183" s="1140"/>
      <c r="F183" s="1140"/>
      <c r="G183" s="1177"/>
      <c r="H183" s="1177"/>
      <c r="I183" s="1177"/>
      <c r="J183" s="1177"/>
      <c r="K183" s="1177"/>
      <c r="L183" s="1177"/>
      <c r="M183" s="1177"/>
      <c r="N183" s="1177"/>
      <c r="O183" s="1177"/>
      <c r="P183" s="1177"/>
      <c r="Q183" s="1177"/>
      <c r="R183" s="1177"/>
      <c r="S183" s="1177"/>
      <c r="T183" s="1177"/>
      <c r="U183" s="1177"/>
      <c r="V183" s="1177"/>
      <c r="W183" s="1177"/>
      <c r="X183" s="1177"/>
      <c r="Y183" s="1297"/>
      <c r="Z183" s="1179"/>
      <c r="AA183" s="1177"/>
      <c r="AB183" s="1171"/>
      <c r="AC183" s="1203"/>
      <c r="AD183" s="1203"/>
      <c r="AE183" s="1203"/>
    </row>
    <row r="184" spans="1:31" s="1318" customFormat="1" ht="38.25" customHeight="1">
      <c r="A184" s="1306"/>
      <c r="B184" s="1307" t="s">
        <v>715</v>
      </c>
      <c r="C184" s="1310"/>
      <c r="D184" s="1309"/>
      <c r="E184" s="1310"/>
      <c r="F184" s="1310"/>
      <c r="G184" s="1311"/>
      <c r="H184" s="1311"/>
      <c r="I184" s="1319" t="s">
        <v>703</v>
      </c>
      <c r="J184" s="1319"/>
      <c r="K184" s="1319"/>
      <c r="L184" s="1311"/>
      <c r="M184" s="1311"/>
      <c r="N184" s="1311"/>
      <c r="O184" s="1311"/>
      <c r="P184" s="1311"/>
      <c r="Q184" s="1311"/>
      <c r="R184" s="1311"/>
      <c r="S184" s="1311"/>
      <c r="T184" s="1311"/>
      <c r="U184" s="1311"/>
      <c r="V184" s="1311"/>
      <c r="W184" s="1311"/>
      <c r="X184" s="1311"/>
      <c r="Y184" s="1314"/>
      <c r="Z184" s="1314"/>
      <c r="AA184" s="1311"/>
      <c r="AB184" s="1316"/>
      <c r="AC184" s="1310"/>
      <c r="AD184" s="1310"/>
      <c r="AE184" s="1310"/>
    </row>
    <row r="185" spans="1:31" ht="21.95" customHeight="1">
      <c r="A185" s="1140"/>
      <c r="B185" s="1172"/>
      <c r="C185" s="1203"/>
      <c r="D185" s="1204"/>
      <c r="E185" s="1203"/>
      <c r="F185" s="1203"/>
      <c r="G185" s="1301"/>
      <c r="H185" s="1301"/>
      <c r="I185" s="1301"/>
      <c r="J185" s="1301"/>
      <c r="K185" s="1301"/>
      <c r="L185" s="1301"/>
      <c r="M185" s="1301"/>
      <c r="N185" s="1301"/>
      <c r="O185" s="1301"/>
      <c r="P185" s="1301"/>
      <c r="Q185" s="1301"/>
      <c r="R185" s="1301"/>
      <c r="S185" s="1301"/>
      <c r="T185" s="1301"/>
      <c r="U185" s="1301"/>
      <c r="V185" s="1301"/>
      <c r="W185" s="1301"/>
      <c r="X185" s="1301"/>
      <c r="Y185" s="1218"/>
      <c r="Z185" s="1297"/>
      <c r="AA185" s="1301"/>
      <c r="AB185" s="1302"/>
      <c r="AC185" s="1203"/>
      <c r="AD185" s="1203"/>
      <c r="AE185" s="1203"/>
    </row>
    <row r="186" spans="1:31" ht="21.95" customHeight="1">
      <c r="A186" s="1140"/>
      <c r="B186" s="1172"/>
      <c r="C186" s="1203"/>
      <c r="D186" s="1204"/>
      <c r="E186" s="1203"/>
      <c r="F186" s="1203"/>
      <c r="G186" s="1301"/>
      <c r="H186" s="1301"/>
      <c r="I186" s="1301"/>
      <c r="J186" s="1301"/>
      <c r="K186" s="1301"/>
      <c r="L186" s="1301"/>
      <c r="M186" s="1301"/>
      <c r="N186" s="1301"/>
      <c r="O186" s="1301"/>
      <c r="P186" s="1301"/>
      <c r="Q186" s="1301"/>
      <c r="R186" s="1301"/>
      <c r="S186" s="1301"/>
      <c r="T186" s="1301"/>
      <c r="U186" s="1301"/>
      <c r="V186" s="1301"/>
      <c r="W186" s="1301"/>
      <c r="X186" s="1301"/>
      <c r="Y186" s="1297"/>
      <c r="Z186" s="1297"/>
      <c r="AA186" s="1301"/>
      <c r="AB186" s="1302"/>
      <c r="AC186" s="1203"/>
      <c r="AD186" s="1203"/>
      <c r="AE186" s="1203"/>
    </row>
    <row r="187" spans="1:31" ht="21.95" customHeight="1">
      <c r="A187" s="1140"/>
      <c r="B187" s="1172"/>
      <c r="C187" s="1203"/>
      <c r="D187" s="1204"/>
      <c r="E187" s="1203"/>
      <c r="F187" s="1203"/>
      <c r="G187" s="1301"/>
      <c r="H187" s="1301"/>
      <c r="I187" s="1301"/>
      <c r="J187" s="1301"/>
      <c r="K187" s="1301"/>
      <c r="L187" s="1301"/>
      <c r="M187" s="1301"/>
      <c r="N187" s="1301"/>
      <c r="O187" s="1301"/>
      <c r="P187" s="1301"/>
      <c r="Q187" s="1301"/>
      <c r="R187" s="1301"/>
      <c r="S187" s="1301"/>
      <c r="T187" s="1301"/>
      <c r="U187" s="1301"/>
      <c r="V187" s="1301"/>
      <c r="W187" s="1301"/>
      <c r="X187" s="1301"/>
      <c r="Y187" s="1241"/>
      <c r="Z187" s="1297"/>
      <c r="AA187" s="1301"/>
      <c r="AB187" s="1302"/>
      <c r="AC187" s="1203"/>
      <c r="AD187" s="1203"/>
      <c r="AE187" s="1203"/>
    </row>
    <row r="188" spans="1:31" ht="21.95" customHeight="1">
      <c r="A188" s="1140"/>
      <c r="B188" s="1172"/>
      <c r="C188" s="1203"/>
      <c r="D188" s="1204"/>
      <c r="E188" s="1203"/>
      <c r="F188" s="1203"/>
      <c r="G188" s="1301"/>
      <c r="H188" s="1301"/>
      <c r="I188" s="1301"/>
      <c r="J188" s="1301"/>
      <c r="K188" s="1301"/>
      <c r="L188" s="1301"/>
      <c r="M188" s="1301"/>
      <c r="N188" s="1301"/>
      <c r="O188" s="1301"/>
      <c r="P188" s="1301"/>
      <c r="Q188" s="1301"/>
      <c r="R188" s="1301"/>
      <c r="S188" s="1301"/>
      <c r="T188" s="1301"/>
      <c r="U188" s="1301"/>
      <c r="V188" s="1301"/>
      <c r="W188" s="1301"/>
      <c r="X188" s="1301"/>
      <c r="Y188" s="1254"/>
      <c r="Z188" s="1297"/>
      <c r="AA188" s="1301"/>
      <c r="AB188" s="1302"/>
      <c r="AC188" s="1203"/>
      <c r="AD188" s="1203"/>
      <c r="AE188" s="1203"/>
    </row>
    <row r="189" spans="1:31" ht="21.95" customHeight="1">
      <c r="A189" s="1140"/>
      <c r="B189" s="1172"/>
      <c r="C189" s="1203"/>
      <c r="D189" s="1204"/>
      <c r="E189" s="1203"/>
      <c r="F189" s="1203"/>
      <c r="G189" s="1301"/>
      <c r="H189" s="1301"/>
      <c r="I189" s="1301"/>
      <c r="J189" s="1301"/>
      <c r="K189" s="1301"/>
      <c r="L189" s="1301"/>
      <c r="M189" s="1301"/>
      <c r="N189" s="1301"/>
      <c r="O189" s="1301"/>
      <c r="P189" s="1301"/>
      <c r="Q189" s="1301"/>
      <c r="R189" s="1301"/>
      <c r="S189" s="1301"/>
      <c r="T189" s="1301"/>
      <c r="U189" s="1301"/>
      <c r="V189" s="1301"/>
      <c r="W189" s="1301"/>
      <c r="X189" s="1301"/>
      <c r="Y189" s="1254"/>
      <c r="Z189" s="1297"/>
      <c r="AA189" s="1301"/>
      <c r="AB189" s="1302"/>
      <c r="AC189" s="1203"/>
      <c r="AD189" s="1203"/>
      <c r="AE189" s="1203"/>
    </row>
    <row r="190" spans="1:31">
      <c r="A190" s="1140"/>
      <c r="B190" s="1172"/>
      <c r="C190" s="1203"/>
      <c r="D190" s="1204"/>
      <c r="E190" s="1203"/>
      <c r="F190" s="1203"/>
      <c r="G190" s="1301"/>
      <c r="H190" s="1301"/>
      <c r="I190" s="1301"/>
      <c r="J190" s="1301"/>
      <c r="K190" s="1301"/>
      <c r="L190" s="1301"/>
      <c r="M190" s="1301"/>
      <c r="N190" s="1301"/>
      <c r="O190" s="1301"/>
      <c r="P190" s="1301"/>
      <c r="Q190" s="1301"/>
      <c r="R190" s="1301"/>
      <c r="S190" s="1301"/>
      <c r="T190" s="1301"/>
      <c r="U190" s="1301"/>
      <c r="V190" s="1301"/>
      <c r="W190" s="1301"/>
      <c r="X190" s="1301"/>
      <c r="Y190" s="1241"/>
      <c r="Z190" s="1297"/>
      <c r="AA190" s="1301"/>
      <c r="AB190" s="1302"/>
      <c r="AC190" s="1203"/>
      <c r="AD190" s="1203"/>
      <c r="AE190" s="1203"/>
    </row>
    <row r="191" spans="1:31">
      <c r="A191" s="1140"/>
      <c r="B191" s="1172"/>
      <c r="C191" s="1203"/>
      <c r="D191" s="1204"/>
      <c r="E191" s="1203"/>
      <c r="F191" s="1203"/>
      <c r="G191" s="1301"/>
      <c r="H191" s="1301"/>
      <c r="I191" s="1301"/>
      <c r="J191" s="1301"/>
      <c r="K191" s="1301"/>
      <c r="L191" s="1301"/>
      <c r="M191" s="1301"/>
      <c r="N191" s="1301"/>
      <c r="O191" s="1301"/>
      <c r="P191" s="1301"/>
      <c r="Q191" s="1301"/>
      <c r="R191" s="1301"/>
      <c r="S191" s="1301"/>
      <c r="T191" s="1301"/>
      <c r="U191" s="1301"/>
      <c r="V191" s="1301"/>
      <c r="W191" s="1301"/>
      <c r="X191" s="1301"/>
      <c r="Y191" s="1241"/>
      <c r="Z191" s="1297"/>
      <c r="AA191" s="1301"/>
      <c r="AB191" s="1302"/>
      <c r="AC191" s="1203"/>
      <c r="AD191" s="1203"/>
      <c r="AE191" s="1203"/>
    </row>
    <row r="192" spans="1:31" ht="26.25">
      <c r="A192" s="1140"/>
      <c r="B192" s="1172"/>
      <c r="C192" s="1203"/>
      <c r="D192" s="1204"/>
      <c r="E192" s="1203"/>
      <c r="F192" s="1203"/>
      <c r="G192" s="1301"/>
      <c r="H192" s="1301"/>
      <c r="I192" s="1301"/>
      <c r="J192" s="1301"/>
      <c r="K192" s="1301"/>
      <c r="L192" s="1301"/>
      <c r="M192" s="1301"/>
      <c r="N192" s="1301"/>
      <c r="O192" s="1301"/>
      <c r="P192" s="1301"/>
      <c r="Q192" s="1301"/>
      <c r="R192" s="1301"/>
      <c r="S192" s="1301"/>
      <c r="T192" s="1301"/>
      <c r="U192" s="1301"/>
      <c r="V192" s="1301"/>
      <c r="W192" s="1301"/>
      <c r="X192" s="1301"/>
      <c r="Y192" s="1218"/>
      <c r="Z192" s="1218"/>
      <c r="AA192" s="1299"/>
      <c r="AB192" s="1303"/>
      <c r="AC192" s="1203"/>
      <c r="AD192" s="1203"/>
      <c r="AE192" s="1203"/>
    </row>
    <row r="193" spans="1:31">
      <c r="A193" s="1140"/>
      <c r="B193" s="1172"/>
      <c r="C193" s="1203"/>
      <c r="D193" s="1204"/>
      <c r="E193" s="1203"/>
      <c r="F193" s="1203"/>
      <c r="G193" s="1301"/>
      <c r="H193" s="1301"/>
      <c r="I193" s="1301"/>
      <c r="J193" s="1301"/>
      <c r="K193" s="1301"/>
      <c r="L193" s="1301"/>
      <c r="M193" s="1301"/>
      <c r="N193" s="1301"/>
      <c r="O193" s="1301"/>
      <c r="P193" s="1301"/>
      <c r="Q193" s="1301"/>
      <c r="R193" s="1301"/>
      <c r="S193" s="1301"/>
      <c r="T193" s="1301"/>
      <c r="U193" s="1301"/>
      <c r="V193" s="1301"/>
      <c r="W193" s="1301"/>
      <c r="X193" s="1301"/>
      <c r="Y193" s="1297"/>
      <c r="Z193" s="1297"/>
      <c r="AA193" s="1301"/>
      <c r="AB193" s="1302"/>
      <c r="AC193" s="1203"/>
      <c r="AD193" s="1203"/>
      <c r="AE193" s="1203"/>
    </row>
    <row r="194" spans="1:31" ht="26.25">
      <c r="A194" s="1140"/>
      <c r="B194" s="1172"/>
      <c r="C194" s="1203"/>
      <c r="D194" s="1204"/>
      <c r="E194" s="1203"/>
      <c r="F194" s="1203"/>
      <c r="G194" s="1301"/>
      <c r="H194" s="1301"/>
      <c r="I194" s="1301"/>
      <c r="J194" s="1301"/>
      <c r="K194" s="1301"/>
      <c r="L194" s="1301"/>
      <c r="M194" s="1301"/>
      <c r="N194" s="1301"/>
      <c r="O194" s="1301"/>
      <c r="P194" s="1301"/>
      <c r="Q194" s="1301"/>
      <c r="R194" s="1301"/>
      <c r="S194" s="1301"/>
      <c r="T194" s="1301"/>
      <c r="U194" s="1301"/>
      <c r="V194" s="1301"/>
      <c r="W194" s="1301"/>
      <c r="X194" s="1301"/>
      <c r="Y194" s="1218"/>
      <c r="Z194" s="1218"/>
      <c r="AA194" s="1299"/>
      <c r="AB194" s="1303"/>
      <c r="AC194" s="1203"/>
      <c r="AD194" s="1203"/>
      <c r="AE194" s="1203"/>
    </row>
    <row r="195" spans="1:31">
      <c r="A195" s="1140"/>
      <c r="B195" s="1172"/>
      <c r="C195" s="1203"/>
      <c r="D195" s="1204"/>
      <c r="E195" s="1203"/>
      <c r="F195" s="1203"/>
      <c r="G195" s="1301"/>
      <c r="H195" s="1301"/>
      <c r="I195" s="1301"/>
      <c r="J195" s="1301"/>
      <c r="K195" s="1301"/>
      <c r="L195" s="1301"/>
      <c r="M195" s="1301"/>
      <c r="N195" s="1301"/>
      <c r="O195" s="1301"/>
      <c r="P195" s="1301"/>
      <c r="Q195" s="1301"/>
      <c r="R195" s="1301"/>
      <c r="S195" s="1301"/>
      <c r="T195" s="1301"/>
      <c r="U195" s="1301"/>
      <c r="V195" s="1301"/>
      <c r="W195" s="1301"/>
      <c r="X195" s="1301"/>
      <c r="Y195" s="1297"/>
      <c r="Z195" s="1297"/>
      <c r="AA195" s="1301"/>
      <c r="AB195" s="1302"/>
      <c r="AC195" s="1203"/>
      <c r="AD195" s="1203"/>
      <c r="AE195" s="1203"/>
    </row>
    <row r="196" spans="1:31">
      <c r="A196" s="1140"/>
      <c r="B196" s="1172"/>
      <c r="C196" s="1203"/>
      <c r="D196" s="1204"/>
      <c r="E196" s="1203"/>
      <c r="F196" s="1203"/>
      <c r="G196" s="1301"/>
      <c r="H196" s="1301"/>
      <c r="I196" s="1301"/>
      <c r="J196" s="1301"/>
      <c r="K196" s="1301"/>
      <c r="L196" s="1301"/>
      <c r="M196" s="1301"/>
      <c r="N196" s="1301"/>
      <c r="O196" s="1301"/>
      <c r="P196" s="1301"/>
      <c r="Q196" s="1301"/>
      <c r="R196" s="1301"/>
      <c r="S196" s="1301"/>
      <c r="T196" s="1301"/>
      <c r="U196" s="1301"/>
      <c r="V196" s="1301"/>
      <c r="W196" s="1301"/>
      <c r="X196" s="1301"/>
      <c r="Y196" s="1297"/>
      <c r="Z196" s="1297"/>
      <c r="AA196" s="1301"/>
      <c r="AB196" s="1302"/>
      <c r="AC196" s="1203"/>
      <c r="AD196" s="1203"/>
      <c r="AE196" s="1203"/>
    </row>
    <row r="197" spans="1:31">
      <c r="A197" s="1140"/>
      <c r="B197" s="1172"/>
      <c r="C197" s="1203"/>
      <c r="D197" s="1204"/>
      <c r="E197" s="1203"/>
      <c r="F197" s="1203"/>
      <c r="G197" s="1301"/>
      <c r="H197" s="1301"/>
      <c r="I197" s="1301"/>
      <c r="J197" s="1301"/>
      <c r="K197" s="1301"/>
      <c r="L197" s="1301"/>
      <c r="M197" s="1301"/>
      <c r="N197" s="1301"/>
      <c r="O197" s="1301"/>
      <c r="P197" s="1301"/>
      <c r="Q197" s="1301"/>
      <c r="R197" s="1301"/>
      <c r="S197" s="1301"/>
      <c r="T197" s="1301"/>
      <c r="U197" s="1301"/>
      <c r="V197" s="1301"/>
      <c r="W197" s="1301"/>
      <c r="X197" s="1301"/>
      <c r="Y197" s="1297"/>
      <c r="Z197" s="1297"/>
      <c r="AA197" s="1301"/>
      <c r="AB197" s="1302"/>
      <c r="AC197" s="1203"/>
      <c r="AD197" s="1203"/>
      <c r="AE197" s="1203"/>
    </row>
    <row r="198" spans="1:31" ht="26.25">
      <c r="A198" s="1140"/>
      <c r="B198" s="1172"/>
      <c r="C198" s="1203"/>
      <c r="D198" s="1204"/>
      <c r="E198" s="1203"/>
      <c r="F198" s="1203"/>
      <c r="G198" s="1301"/>
      <c r="H198" s="1301"/>
      <c r="I198" s="1301"/>
      <c r="J198" s="1301"/>
      <c r="K198" s="1301"/>
      <c r="L198" s="1301"/>
      <c r="M198" s="1301"/>
      <c r="N198" s="1301"/>
      <c r="O198" s="1301"/>
      <c r="P198" s="1301"/>
      <c r="Q198" s="1301"/>
      <c r="R198" s="1301"/>
      <c r="S198" s="1301"/>
      <c r="T198" s="1301"/>
      <c r="U198" s="1301"/>
      <c r="V198" s="1301"/>
      <c r="W198" s="1301"/>
      <c r="X198" s="1301"/>
      <c r="Y198" s="1218"/>
      <c r="Z198" s="1218"/>
      <c r="AA198" s="1299"/>
      <c r="AB198" s="1302"/>
      <c r="AC198" s="1203"/>
      <c r="AD198" s="1203"/>
      <c r="AE198" s="1203"/>
    </row>
    <row r="199" spans="1:31" ht="26.25">
      <c r="A199" s="1140"/>
      <c r="B199" s="1172"/>
      <c r="C199" s="1203"/>
      <c r="D199" s="1204"/>
      <c r="E199" s="1203"/>
      <c r="F199" s="1203"/>
      <c r="G199" s="1301"/>
      <c r="H199" s="1301"/>
      <c r="I199" s="1301"/>
      <c r="J199" s="1301"/>
      <c r="K199" s="1301"/>
      <c r="L199" s="1301"/>
      <c r="M199" s="1301"/>
      <c r="N199" s="1301"/>
      <c r="O199" s="1301"/>
      <c r="P199" s="1301"/>
      <c r="Q199" s="1301"/>
      <c r="R199" s="1301"/>
      <c r="S199" s="1301"/>
      <c r="T199" s="1301"/>
      <c r="U199" s="1301"/>
      <c r="V199" s="1301"/>
      <c r="W199" s="1301"/>
      <c r="X199" s="1301"/>
      <c r="Y199" s="1218"/>
      <c r="Z199" s="1218"/>
      <c r="AA199" s="1299"/>
      <c r="AB199" s="1302"/>
      <c r="AC199" s="1203"/>
      <c r="AD199" s="1203"/>
      <c r="AE199" s="1203"/>
    </row>
    <row r="200" spans="1:31">
      <c r="A200" s="1140"/>
      <c r="B200" s="1172"/>
      <c r="C200" s="1203"/>
      <c r="D200" s="1204"/>
      <c r="E200" s="1203"/>
      <c r="F200" s="1203"/>
      <c r="G200" s="1301"/>
      <c r="H200" s="1301"/>
      <c r="I200" s="1301"/>
      <c r="J200" s="1301"/>
      <c r="K200" s="1301"/>
      <c r="L200" s="1301"/>
      <c r="M200" s="1301"/>
      <c r="N200" s="1301"/>
      <c r="O200" s="1301"/>
      <c r="P200" s="1301"/>
      <c r="Q200" s="1301"/>
      <c r="R200" s="1301"/>
      <c r="S200" s="1301"/>
      <c r="T200" s="1301"/>
      <c r="U200" s="1301"/>
      <c r="V200" s="1301"/>
      <c r="W200" s="1301"/>
      <c r="X200" s="1301"/>
      <c r="Y200" s="1297"/>
      <c r="Z200" s="1297"/>
      <c r="AA200" s="1301"/>
      <c r="AB200" s="1302"/>
      <c r="AC200" s="1203"/>
      <c r="AD200" s="1203"/>
      <c r="AE200" s="1203"/>
    </row>
    <row r="201" spans="1:31">
      <c r="A201" s="1140"/>
      <c r="B201" s="1172"/>
      <c r="C201" s="1203"/>
      <c r="D201" s="1204"/>
      <c r="E201" s="1203"/>
      <c r="F201" s="1203"/>
      <c r="G201" s="1301"/>
      <c r="H201" s="1301"/>
      <c r="I201" s="1301"/>
      <c r="J201" s="1301"/>
      <c r="K201" s="1301"/>
      <c r="L201" s="1301"/>
      <c r="M201" s="1301"/>
      <c r="N201" s="1301"/>
      <c r="O201" s="1301"/>
      <c r="P201" s="1301"/>
      <c r="Q201" s="1301"/>
      <c r="R201" s="1301"/>
      <c r="S201" s="1301"/>
      <c r="T201" s="1301"/>
      <c r="U201" s="1301"/>
      <c r="V201" s="1301"/>
      <c r="W201" s="1301"/>
      <c r="X201" s="1301"/>
      <c r="Y201" s="1297"/>
      <c r="Z201" s="1297"/>
      <c r="AA201" s="1301"/>
      <c r="AB201" s="1302"/>
      <c r="AC201" s="1203"/>
      <c r="AD201" s="1203"/>
      <c r="AE201" s="1203"/>
    </row>
    <row r="202" spans="1:31">
      <c r="A202" s="1140"/>
      <c r="B202" s="1172"/>
      <c r="C202" s="1203"/>
      <c r="D202" s="1204"/>
      <c r="E202" s="1203"/>
      <c r="F202" s="1203"/>
      <c r="G202" s="1301"/>
      <c r="H202" s="1301"/>
      <c r="I202" s="1301"/>
      <c r="J202" s="1301"/>
      <c r="K202" s="1301"/>
      <c r="L202" s="1301"/>
      <c r="M202" s="1301"/>
      <c r="N202" s="1301"/>
      <c r="O202" s="1301"/>
      <c r="P202" s="1301"/>
      <c r="Q202" s="1301"/>
      <c r="R202" s="1301"/>
      <c r="S202" s="1301"/>
      <c r="T202" s="1301"/>
      <c r="U202" s="1301"/>
      <c r="V202" s="1301"/>
      <c r="W202" s="1301"/>
      <c r="X202" s="1301"/>
      <c r="Y202" s="1297"/>
      <c r="Z202" s="1297"/>
      <c r="AA202" s="1301"/>
      <c r="AB202" s="1302"/>
      <c r="AC202" s="1203"/>
      <c r="AD202" s="1203"/>
      <c r="AE202" s="1203"/>
    </row>
    <row r="203" spans="1:31">
      <c r="A203" s="1140"/>
      <c r="B203" s="1172"/>
      <c r="C203" s="1203"/>
      <c r="D203" s="1204"/>
      <c r="E203" s="1203"/>
      <c r="F203" s="1203"/>
      <c r="G203" s="1301"/>
      <c r="H203" s="1301"/>
      <c r="I203" s="1301"/>
      <c r="J203" s="1301"/>
      <c r="K203" s="1301"/>
      <c r="L203" s="1301"/>
      <c r="M203" s="1301"/>
      <c r="N203" s="1301"/>
      <c r="O203" s="1301"/>
      <c r="P203" s="1301"/>
      <c r="Q203" s="1301"/>
      <c r="R203" s="1301"/>
      <c r="S203" s="1301"/>
      <c r="T203" s="1301"/>
      <c r="U203" s="1301"/>
      <c r="V203" s="1301"/>
      <c r="W203" s="1301"/>
      <c r="X203" s="1301"/>
      <c r="Y203" s="1297"/>
      <c r="Z203" s="1297"/>
      <c r="AA203" s="1301"/>
      <c r="AB203" s="1302"/>
      <c r="AC203" s="1203"/>
      <c r="AD203" s="1203"/>
      <c r="AE203" s="1203"/>
    </row>
    <row r="204" spans="1:31">
      <c r="A204" s="1140"/>
      <c r="B204" s="1172"/>
      <c r="C204" s="1203"/>
      <c r="D204" s="1204"/>
      <c r="E204" s="1203"/>
      <c r="F204" s="1203"/>
      <c r="G204" s="1301"/>
      <c r="H204" s="1301"/>
      <c r="I204" s="1301"/>
      <c r="J204" s="1301"/>
      <c r="K204" s="1301"/>
      <c r="L204" s="1301"/>
      <c r="M204" s="1301"/>
      <c r="N204" s="1301"/>
      <c r="O204" s="1301"/>
      <c r="P204" s="1301"/>
      <c r="Q204" s="1301"/>
      <c r="R204" s="1301"/>
      <c r="S204" s="1301"/>
      <c r="T204" s="1301"/>
      <c r="U204" s="1301"/>
      <c r="V204" s="1301"/>
      <c r="W204" s="1301"/>
      <c r="X204" s="1301"/>
      <c r="Y204" s="1297"/>
      <c r="Z204" s="1297"/>
      <c r="AA204" s="1301"/>
    </row>
    <row r="205" spans="1:31">
      <c r="A205" s="1140"/>
      <c r="B205" s="1172"/>
      <c r="C205" s="1203"/>
      <c r="D205" s="1204"/>
      <c r="E205" s="1203"/>
      <c r="F205" s="1203"/>
      <c r="G205" s="1301"/>
      <c r="H205" s="1301"/>
      <c r="I205" s="1301"/>
      <c r="J205" s="1301"/>
      <c r="K205" s="1301"/>
      <c r="L205" s="1301"/>
      <c r="M205" s="1301"/>
      <c r="N205" s="1301"/>
      <c r="O205" s="1301"/>
      <c r="P205" s="1301"/>
      <c r="Q205" s="1301"/>
      <c r="R205" s="1301"/>
      <c r="S205" s="1301"/>
      <c r="T205" s="1301"/>
      <c r="U205" s="1301"/>
      <c r="V205" s="1301"/>
      <c r="W205" s="1301"/>
      <c r="X205" s="1301"/>
      <c r="Y205" s="1297"/>
      <c r="Z205" s="1297"/>
      <c r="AA205" s="1301"/>
    </row>
    <row r="206" spans="1:31">
      <c r="A206" s="1140"/>
      <c r="B206" s="1172"/>
      <c r="C206" s="1203"/>
      <c r="D206" s="1204"/>
      <c r="E206" s="1203"/>
      <c r="F206" s="1203"/>
      <c r="G206" s="1301"/>
      <c r="H206" s="1301"/>
      <c r="I206" s="1301"/>
      <c r="J206" s="1301"/>
      <c r="K206" s="1301"/>
      <c r="L206" s="1301"/>
      <c r="M206" s="1301"/>
      <c r="N206" s="1301"/>
      <c r="O206" s="1301"/>
      <c r="P206" s="1301"/>
      <c r="Q206" s="1301"/>
      <c r="R206" s="1301"/>
      <c r="S206" s="1301"/>
      <c r="T206" s="1301"/>
      <c r="U206" s="1301"/>
      <c r="V206" s="1301"/>
      <c r="W206" s="1301"/>
      <c r="X206" s="1301"/>
      <c r="Y206" s="1297"/>
      <c r="Z206" s="1297"/>
      <c r="AA206" s="1301"/>
    </row>
    <row r="207" spans="1:31">
      <c r="A207" s="1140"/>
      <c r="B207" s="1172"/>
      <c r="C207" s="1203"/>
      <c r="D207" s="1204"/>
      <c r="E207" s="1203"/>
      <c r="F207" s="1203"/>
      <c r="G207" s="1301"/>
      <c r="H207" s="1301"/>
      <c r="I207" s="1301"/>
      <c r="J207" s="1301"/>
      <c r="K207" s="1301"/>
      <c r="L207" s="1301"/>
      <c r="M207" s="1301"/>
      <c r="N207" s="1301"/>
      <c r="O207" s="1301"/>
      <c r="P207" s="1301"/>
      <c r="Q207" s="1301"/>
      <c r="R207" s="1301"/>
      <c r="S207" s="1301"/>
      <c r="T207" s="1301"/>
      <c r="U207" s="1301"/>
      <c r="V207" s="1301"/>
      <c r="W207" s="1301"/>
      <c r="X207" s="1301"/>
      <c r="Y207" s="1297"/>
      <c r="Z207" s="1297"/>
      <c r="AA207" s="1301"/>
    </row>
    <row r="208" spans="1:31">
      <c r="A208" s="1140"/>
      <c r="B208" s="1172"/>
      <c r="C208" s="1203"/>
      <c r="D208" s="1204"/>
      <c r="E208" s="1203"/>
      <c r="F208" s="1203"/>
      <c r="G208" s="1301"/>
      <c r="H208" s="1301"/>
      <c r="I208" s="1301"/>
      <c r="J208" s="1301"/>
      <c r="K208" s="1301"/>
      <c r="L208" s="1301"/>
      <c r="M208" s="1301"/>
      <c r="N208" s="1301"/>
      <c r="O208" s="1301"/>
      <c r="P208" s="1301"/>
      <c r="Q208" s="1301"/>
      <c r="R208" s="1301"/>
      <c r="S208" s="1301"/>
      <c r="T208" s="1301"/>
      <c r="U208" s="1301"/>
      <c r="V208" s="1301"/>
      <c r="W208" s="1301"/>
      <c r="X208" s="1301"/>
      <c r="Y208" s="1297"/>
      <c r="Z208" s="1297"/>
      <c r="AA208" s="1301"/>
    </row>
    <row r="209" spans="1:27">
      <c r="A209" s="1140"/>
      <c r="B209" s="1172"/>
      <c r="C209" s="1203"/>
      <c r="D209" s="1204"/>
      <c r="E209" s="1203"/>
      <c r="F209" s="1203"/>
      <c r="G209" s="1301"/>
      <c r="H209" s="1301"/>
      <c r="I209" s="1301"/>
      <c r="J209" s="1301"/>
      <c r="K209" s="1301"/>
      <c r="L209" s="1301"/>
      <c r="M209" s="1301"/>
      <c r="N209" s="1301"/>
      <c r="O209" s="1301"/>
      <c r="P209" s="1301"/>
      <c r="Q209" s="1301"/>
      <c r="R209" s="1301"/>
      <c r="S209" s="1301"/>
      <c r="T209" s="1301"/>
      <c r="U209" s="1301"/>
      <c r="V209" s="1301"/>
      <c r="W209" s="1301"/>
      <c r="X209" s="1301"/>
      <c r="Y209" s="1297"/>
      <c r="Z209" s="1297"/>
      <c r="AA209" s="1301"/>
    </row>
    <row r="210" spans="1:27">
      <c r="A210" s="1140"/>
      <c r="B210" s="1172"/>
      <c r="C210" s="1203"/>
      <c r="D210" s="1204"/>
      <c r="E210" s="1203"/>
      <c r="F210" s="1203"/>
      <c r="G210" s="1301"/>
      <c r="H210" s="1301"/>
      <c r="I210" s="1301"/>
      <c r="J210" s="1301"/>
      <c r="K210" s="1301"/>
      <c r="L210" s="1301"/>
      <c r="M210" s="1301"/>
      <c r="N210" s="1301"/>
      <c r="O210" s="1301"/>
      <c r="P210" s="1301"/>
      <c r="Q210" s="1301"/>
      <c r="R210" s="1301"/>
      <c r="S210" s="1301"/>
      <c r="T210" s="1301"/>
      <c r="U210" s="1301"/>
      <c r="V210" s="1301"/>
      <c r="W210" s="1301"/>
      <c r="X210" s="1301"/>
      <c r="Y210" s="1297"/>
      <c r="Z210" s="1297"/>
      <c r="AA210" s="1301"/>
    </row>
    <row r="211" spans="1:27">
      <c r="A211" s="1140"/>
      <c r="B211" s="1172"/>
      <c r="C211" s="1203"/>
      <c r="D211" s="1204"/>
      <c r="E211" s="1203"/>
      <c r="F211" s="1203"/>
      <c r="G211" s="1301"/>
      <c r="H211" s="1301"/>
      <c r="I211" s="1301"/>
      <c r="J211" s="1301"/>
      <c r="K211" s="1301"/>
      <c r="L211" s="1301"/>
      <c r="M211" s="1301"/>
      <c r="N211" s="1301"/>
      <c r="O211" s="1301"/>
      <c r="P211" s="1301"/>
      <c r="Q211" s="1301"/>
      <c r="R211" s="1301"/>
      <c r="S211" s="1301"/>
      <c r="T211" s="1301"/>
      <c r="U211" s="1301"/>
      <c r="V211" s="1301"/>
      <c r="W211" s="1301"/>
      <c r="X211" s="1301"/>
      <c r="Y211" s="1297"/>
      <c r="Z211" s="1297"/>
      <c r="AA211" s="1301"/>
    </row>
    <row r="212" spans="1:27">
      <c r="A212" s="1140"/>
      <c r="B212" s="1172"/>
      <c r="C212" s="1203"/>
      <c r="D212" s="1204"/>
      <c r="E212" s="1203"/>
      <c r="F212" s="1203"/>
      <c r="G212" s="1301"/>
      <c r="H212" s="1301"/>
      <c r="I212" s="1301"/>
      <c r="J212" s="1301"/>
      <c r="K212" s="1301"/>
      <c r="L212" s="1301"/>
      <c r="M212" s="1301"/>
      <c r="N212" s="1301"/>
      <c r="O212" s="1301"/>
      <c r="P212" s="1301"/>
      <c r="Q212" s="1301"/>
      <c r="R212" s="1301"/>
      <c r="S212" s="1301"/>
      <c r="T212" s="1301"/>
      <c r="U212" s="1301"/>
      <c r="V212" s="1301"/>
      <c r="W212" s="1301"/>
      <c r="X212" s="1301"/>
      <c r="Y212" s="1297"/>
      <c r="Z212" s="1297"/>
      <c r="AA212" s="1301"/>
    </row>
    <row r="213" spans="1:27">
      <c r="A213" s="1140"/>
      <c r="B213" s="1172"/>
      <c r="C213" s="1203"/>
      <c r="D213" s="1204"/>
      <c r="E213" s="1203"/>
      <c r="F213" s="1203"/>
      <c r="G213" s="1301"/>
      <c r="H213" s="1301"/>
      <c r="I213" s="1301"/>
      <c r="J213" s="1301"/>
      <c r="K213" s="1301"/>
      <c r="L213" s="1301"/>
      <c r="M213" s="1301"/>
      <c r="N213" s="1301"/>
      <c r="O213" s="1301"/>
      <c r="P213" s="1301"/>
      <c r="Q213" s="1301"/>
      <c r="R213" s="1301"/>
      <c r="S213" s="1301"/>
      <c r="T213" s="1301"/>
      <c r="U213" s="1301"/>
      <c r="V213" s="1301"/>
      <c r="W213" s="1301"/>
      <c r="X213" s="1301"/>
      <c r="Y213" s="1297"/>
      <c r="Z213" s="1297"/>
      <c r="AA213" s="1301"/>
    </row>
    <row r="214" spans="1:27">
      <c r="A214" s="1140"/>
      <c r="B214" s="1172"/>
      <c r="C214" s="1203"/>
      <c r="D214" s="1204"/>
      <c r="E214" s="1203"/>
      <c r="F214" s="1203"/>
      <c r="G214" s="1301"/>
      <c r="H214" s="1301"/>
      <c r="I214" s="1301"/>
      <c r="J214" s="1301"/>
      <c r="K214" s="1301"/>
      <c r="L214" s="1301"/>
      <c r="M214" s="1301"/>
      <c r="N214" s="1301"/>
      <c r="O214" s="1301"/>
      <c r="P214" s="1301"/>
      <c r="Q214" s="1301"/>
      <c r="R214" s="1301"/>
      <c r="S214" s="1301"/>
      <c r="T214" s="1301"/>
      <c r="U214" s="1301"/>
      <c r="V214" s="1301"/>
      <c r="W214" s="1301"/>
      <c r="X214" s="1301"/>
      <c r="Y214" s="1297"/>
      <c r="Z214" s="1297"/>
      <c r="AA214" s="1301"/>
    </row>
    <row r="215" spans="1:27">
      <c r="A215" s="1140"/>
      <c r="B215" s="1172"/>
      <c r="C215" s="1203"/>
      <c r="D215" s="1204"/>
      <c r="E215" s="1203"/>
      <c r="F215" s="1203"/>
      <c r="G215" s="1301"/>
      <c r="H215" s="1301"/>
      <c r="I215" s="1301"/>
      <c r="J215" s="1301"/>
      <c r="K215" s="1301"/>
      <c r="L215" s="1301"/>
      <c r="M215" s="1301"/>
      <c r="N215" s="1301"/>
      <c r="O215" s="1301"/>
      <c r="P215" s="1301"/>
      <c r="Q215" s="1301"/>
      <c r="R215" s="1301"/>
      <c r="S215" s="1301"/>
      <c r="T215" s="1301"/>
      <c r="U215" s="1301"/>
      <c r="V215" s="1301"/>
      <c r="W215" s="1301"/>
      <c r="X215" s="1301"/>
      <c r="Y215" s="1297"/>
      <c r="Z215" s="1297"/>
      <c r="AA215" s="1301"/>
    </row>
    <row r="216" spans="1:27">
      <c r="A216" s="1140"/>
      <c r="B216" s="1172"/>
      <c r="C216" s="1203"/>
      <c r="D216" s="1204"/>
      <c r="E216" s="1203"/>
      <c r="F216" s="1203"/>
      <c r="G216" s="1301"/>
      <c r="H216" s="1301"/>
      <c r="I216" s="1301"/>
      <c r="J216" s="1301"/>
      <c r="K216" s="1301"/>
      <c r="L216" s="1301"/>
      <c r="M216" s="1301"/>
      <c r="N216" s="1301"/>
      <c r="O216" s="1301"/>
      <c r="P216" s="1301"/>
      <c r="Q216" s="1301"/>
      <c r="R216" s="1301"/>
      <c r="S216" s="1301"/>
      <c r="T216" s="1301"/>
      <c r="U216" s="1301"/>
      <c r="V216" s="1301"/>
      <c r="W216" s="1301"/>
      <c r="X216" s="1301"/>
      <c r="Y216" s="1297"/>
      <c r="Z216" s="1297"/>
      <c r="AA216" s="1301"/>
    </row>
    <row r="217" spans="1:27">
      <c r="A217" s="1140"/>
      <c r="B217" s="1172"/>
      <c r="C217" s="1203"/>
      <c r="D217" s="1204"/>
      <c r="E217" s="1203"/>
      <c r="F217" s="1203"/>
      <c r="G217" s="1301"/>
      <c r="H217" s="1301"/>
      <c r="I217" s="1301"/>
      <c r="J217" s="1301"/>
      <c r="K217" s="1301"/>
      <c r="L217" s="1301"/>
      <c r="M217" s="1301"/>
      <c r="N217" s="1301"/>
      <c r="O217" s="1301"/>
      <c r="P217" s="1301"/>
      <c r="Q217" s="1301"/>
      <c r="R217" s="1301"/>
      <c r="S217" s="1301"/>
      <c r="T217" s="1301"/>
      <c r="U217" s="1301"/>
      <c r="V217" s="1301"/>
      <c r="W217" s="1301"/>
      <c r="X217" s="1301"/>
      <c r="Y217" s="1297"/>
      <c r="Z217" s="1297"/>
      <c r="AA217" s="1301"/>
    </row>
    <row r="218" spans="1:27">
      <c r="A218" s="1140"/>
      <c r="B218" s="1172"/>
      <c r="C218" s="1203"/>
      <c r="D218" s="1204"/>
      <c r="E218" s="1203"/>
      <c r="F218" s="1203"/>
      <c r="G218" s="1301"/>
      <c r="H218" s="1301"/>
      <c r="I218" s="1301"/>
      <c r="J218" s="1301"/>
      <c r="K218" s="1301"/>
      <c r="L218" s="1301"/>
      <c r="M218" s="1301"/>
      <c r="N218" s="1301"/>
      <c r="O218" s="1301"/>
      <c r="P218" s="1301"/>
      <c r="Q218" s="1301"/>
      <c r="R218" s="1301"/>
      <c r="S218" s="1301"/>
      <c r="T218" s="1301"/>
      <c r="U218" s="1301"/>
      <c r="V218" s="1301"/>
      <c r="W218" s="1301"/>
      <c r="X218" s="1301"/>
      <c r="Y218" s="1297"/>
      <c r="Z218" s="1297"/>
      <c r="AA218" s="1301"/>
    </row>
    <row r="219" spans="1:27">
      <c r="A219" s="1140"/>
      <c r="B219" s="1172"/>
      <c r="C219" s="1203"/>
      <c r="D219" s="1204"/>
      <c r="E219" s="1203"/>
      <c r="F219" s="1203"/>
      <c r="G219" s="1301"/>
      <c r="H219" s="1301"/>
      <c r="I219" s="1301"/>
      <c r="J219" s="1301"/>
      <c r="K219" s="1301"/>
      <c r="L219" s="1301"/>
      <c r="M219" s="1301"/>
      <c r="N219" s="1301"/>
      <c r="O219" s="1301"/>
      <c r="P219" s="1301"/>
      <c r="Q219" s="1301"/>
      <c r="R219" s="1301"/>
      <c r="S219" s="1301"/>
      <c r="T219" s="1301"/>
      <c r="U219" s="1301"/>
      <c r="V219" s="1301"/>
      <c r="W219" s="1301"/>
      <c r="X219" s="1301"/>
      <c r="Y219" s="1297"/>
      <c r="Z219" s="1297"/>
      <c r="AA219" s="1301"/>
    </row>
    <row r="220" spans="1:27">
      <c r="A220" s="1140"/>
      <c r="B220" s="1172"/>
      <c r="C220" s="1203"/>
      <c r="D220" s="1204"/>
      <c r="E220" s="1203"/>
      <c r="F220" s="1203"/>
      <c r="G220" s="1301"/>
      <c r="H220" s="1301"/>
      <c r="I220" s="1301"/>
      <c r="J220" s="1301"/>
      <c r="K220" s="1301"/>
      <c r="L220" s="1301"/>
      <c r="M220" s="1301"/>
      <c r="N220" s="1301"/>
      <c r="O220" s="1301"/>
      <c r="P220" s="1301"/>
      <c r="Q220" s="1301"/>
      <c r="R220" s="1301"/>
      <c r="S220" s="1301"/>
      <c r="T220" s="1301"/>
      <c r="U220" s="1301"/>
      <c r="V220" s="1301"/>
      <c r="W220" s="1301"/>
      <c r="X220" s="1301"/>
      <c r="Y220" s="1297"/>
      <c r="Z220" s="1297"/>
      <c r="AA220" s="1301"/>
    </row>
    <row r="221" spans="1:27">
      <c r="A221" s="1140"/>
      <c r="B221" s="1172"/>
      <c r="C221" s="1203"/>
      <c r="D221" s="1204"/>
      <c r="E221" s="1203"/>
      <c r="F221" s="1203"/>
      <c r="G221" s="1301"/>
      <c r="H221" s="1301"/>
      <c r="I221" s="1301"/>
      <c r="J221" s="1301"/>
      <c r="K221" s="1301"/>
      <c r="L221" s="1301"/>
      <c r="M221" s="1301"/>
      <c r="N221" s="1301"/>
      <c r="O221" s="1301"/>
      <c r="P221" s="1301"/>
      <c r="Q221" s="1301"/>
      <c r="R221" s="1301"/>
      <c r="S221" s="1301"/>
      <c r="T221" s="1301"/>
      <c r="U221" s="1301"/>
      <c r="V221" s="1301"/>
      <c r="W221" s="1301"/>
      <c r="X221" s="1301"/>
      <c r="Y221" s="1297"/>
      <c r="Z221" s="1297"/>
      <c r="AA221" s="1301"/>
    </row>
    <row r="222" spans="1:27">
      <c r="A222" s="1140"/>
      <c r="B222" s="1172"/>
      <c r="C222" s="1203"/>
      <c r="D222" s="1204"/>
      <c r="E222" s="1203"/>
      <c r="F222" s="1203"/>
      <c r="G222" s="1301"/>
      <c r="H222" s="1301"/>
      <c r="I222" s="1301"/>
      <c r="J222" s="1301"/>
      <c r="K222" s="1301"/>
      <c r="L222" s="1301"/>
      <c r="M222" s="1301"/>
      <c r="N222" s="1301"/>
      <c r="O222" s="1301"/>
      <c r="P222" s="1301"/>
      <c r="Q222" s="1301"/>
      <c r="R222" s="1301"/>
      <c r="S222" s="1301"/>
      <c r="T222" s="1301"/>
      <c r="U222" s="1301"/>
      <c r="V222" s="1301"/>
      <c r="W222" s="1301"/>
      <c r="X222" s="1301"/>
      <c r="Y222" s="1297"/>
      <c r="Z222" s="1297"/>
      <c r="AA222" s="1301"/>
    </row>
    <row r="223" spans="1:27">
      <c r="A223" s="1140"/>
      <c r="B223" s="1172"/>
      <c r="C223" s="1203"/>
      <c r="D223" s="1204"/>
      <c r="E223" s="1203"/>
      <c r="F223" s="1203"/>
      <c r="G223" s="1301"/>
      <c r="H223" s="1301"/>
      <c r="I223" s="1301"/>
      <c r="J223" s="1301"/>
      <c r="K223" s="1301"/>
      <c r="L223" s="1301"/>
      <c r="M223" s="1301"/>
      <c r="N223" s="1301"/>
      <c r="O223" s="1301"/>
      <c r="P223" s="1301"/>
      <c r="Q223" s="1301"/>
      <c r="R223" s="1301"/>
      <c r="S223" s="1301"/>
      <c r="T223" s="1301"/>
      <c r="U223" s="1301"/>
      <c r="V223" s="1301"/>
      <c r="W223" s="1301"/>
      <c r="X223" s="1301"/>
      <c r="Y223" s="1297"/>
      <c r="Z223" s="1297"/>
      <c r="AA223" s="1301"/>
    </row>
    <row r="224" spans="1:27">
      <c r="A224" s="1140"/>
      <c r="B224" s="1172"/>
      <c r="C224" s="1203"/>
      <c r="D224" s="1204"/>
      <c r="E224" s="1203"/>
      <c r="F224" s="1203"/>
      <c r="G224" s="1301"/>
      <c r="H224" s="1301"/>
      <c r="I224" s="1301"/>
      <c r="J224" s="1301"/>
      <c r="K224" s="1301"/>
      <c r="L224" s="1301"/>
      <c r="M224" s="1301"/>
      <c r="N224" s="1301"/>
      <c r="O224" s="1301"/>
      <c r="P224" s="1301"/>
      <c r="Q224" s="1301"/>
      <c r="R224" s="1301"/>
      <c r="S224" s="1301"/>
      <c r="T224" s="1301"/>
      <c r="U224" s="1301"/>
      <c r="V224" s="1301"/>
      <c r="W224" s="1301"/>
      <c r="X224" s="1301"/>
      <c r="Y224" s="1297"/>
      <c r="Z224" s="1297"/>
      <c r="AA224" s="1301"/>
    </row>
    <row r="225" spans="1:27">
      <c r="A225" s="1140"/>
      <c r="B225" s="1172"/>
      <c r="C225" s="1203"/>
      <c r="D225" s="1204"/>
      <c r="E225" s="1203"/>
      <c r="F225" s="1203"/>
      <c r="G225" s="1301"/>
      <c r="H225" s="1301"/>
      <c r="I225" s="1301"/>
      <c r="J225" s="1301"/>
      <c r="K225" s="1301"/>
      <c r="L225" s="1301"/>
      <c r="M225" s="1301"/>
      <c r="N225" s="1301"/>
      <c r="O225" s="1301"/>
      <c r="P225" s="1301"/>
      <c r="Q225" s="1301"/>
      <c r="R225" s="1301"/>
      <c r="S225" s="1301"/>
      <c r="T225" s="1301"/>
      <c r="U225" s="1301"/>
      <c r="V225" s="1301"/>
      <c r="W225" s="1301"/>
      <c r="X225" s="1301"/>
      <c r="Y225" s="1297"/>
      <c r="Z225" s="1297"/>
      <c r="AA225" s="1301"/>
    </row>
    <row r="226" spans="1:27">
      <c r="A226" s="1140"/>
      <c r="B226" s="1172"/>
      <c r="C226" s="1203"/>
      <c r="D226" s="1204"/>
      <c r="E226" s="1203"/>
      <c r="F226" s="1203"/>
      <c r="G226" s="1301"/>
      <c r="H226" s="1301"/>
      <c r="I226" s="1301"/>
      <c r="J226" s="1301"/>
      <c r="K226" s="1301"/>
      <c r="L226" s="1301"/>
      <c r="M226" s="1301"/>
      <c r="N226" s="1301"/>
      <c r="O226" s="1301"/>
      <c r="P226" s="1301"/>
      <c r="Q226" s="1301"/>
      <c r="R226" s="1301"/>
      <c r="S226" s="1301"/>
      <c r="T226" s="1301"/>
      <c r="U226" s="1301"/>
      <c r="V226" s="1301"/>
      <c r="W226" s="1301"/>
      <c r="X226" s="1301"/>
      <c r="Y226" s="1297"/>
      <c r="Z226" s="1297"/>
      <c r="AA226" s="1301"/>
    </row>
    <row r="227" spans="1:27">
      <c r="A227" s="1140"/>
      <c r="B227" s="1172"/>
      <c r="C227" s="1203"/>
      <c r="D227" s="1204"/>
      <c r="E227" s="1203"/>
      <c r="F227" s="1203"/>
      <c r="G227" s="1301"/>
      <c r="H227" s="1301"/>
      <c r="I227" s="1301"/>
      <c r="J227" s="1301"/>
      <c r="K227" s="1301"/>
      <c r="L227" s="1301"/>
      <c r="M227" s="1301"/>
      <c r="N227" s="1301"/>
      <c r="O227" s="1301"/>
      <c r="P227" s="1301"/>
      <c r="Q227" s="1301"/>
      <c r="R227" s="1301"/>
      <c r="S227" s="1301"/>
      <c r="T227" s="1301"/>
      <c r="U227" s="1301"/>
      <c r="V227" s="1301"/>
      <c r="W227" s="1301"/>
      <c r="X227" s="1301"/>
      <c r="Y227" s="1297"/>
      <c r="Z227" s="1297"/>
      <c r="AA227" s="1301"/>
    </row>
    <row r="228" spans="1:27">
      <c r="A228" s="1140"/>
      <c r="B228" s="1172"/>
      <c r="C228" s="1203"/>
      <c r="D228" s="1204"/>
      <c r="E228" s="1203"/>
      <c r="F228" s="1203"/>
      <c r="G228" s="1301"/>
      <c r="H228" s="1301"/>
      <c r="I228" s="1301"/>
      <c r="J228" s="1301"/>
      <c r="K228" s="1301"/>
      <c r="L228" s="1301"/>
      <c r="M228" s="1301"/>
      <c r="N228" s="1301"/>
      <c r="O228" s="1301"/>
      <c r="P228" s="1301"/>
      <c r="Q228" s="1301"/>
      <c r="R228" s="1301"/>
      <c r="S228" s="1301"/>
      <c r="T228" s="1301"/>
      <c r="U228" s="1301"/>
      <c r="V228" s="1301"/>
      <c r="W228" s="1301"/>
      <c r="X228" s="1301"/>
      <c r="Y228" s="1297"/>
      <c r="Z228" s="1297"/>
      <c r="AA228" s="1301"/>
    </row>
    <row r="229" spans="1:27">
      <c r="A229" s="1140"/>
      <c r="B229" s="1172"/>
      <c r="C229" s="1203"/>
      <c r="D229" s="1204"/>
      <c r="E229" s="1203"/>
      <c r="F229" s="1203"/>
      <c r="G229" s="1301"/>
      <c r="H229" s="1301"/>
      <c r="I229" s="1301"/>
      <c r="J229" s="1301"/>
      <c r="K229" s="1301"/>
      <c r="L229" s="1301"/>
      <c r="M229" s="1301"/>
      <c r="N229" s="1301"/>
      <c r="O229" s="1301"/>
      <c r="P229" s="1301"/>
      <c r="Q229" s="1301"/>
      <c r="R229" s="1301"/>
      <c r="S229" s="1301"/>
      <c r="T229" s="1301"/>
      <c r="U229" s="1301"/>
      <c r="V229" s="1301"/>
      <c r="W229" s="1301"/>
      <c r="X229" s="1301"/>
      <c r="Y229" s="1297"/>
      <c r="Z229" s="1297"/>
      <c r="AA229" s="1301"/>
    </row>
    <row r="230" spans="1:27">
      <c r="A230" s="1140"/>
      <c r="B230" s="1172"/>
      <c r="C230" s="1203"/>
      <c r="D230" s="1204"/>
      <c r="E230" s="1203"/>
      <c r="F230" s="1203"/>
      <c r="G230" s="1301"/>
      <c r="H230" s="1301"/>
      <c r="I230" s="1301"/>
      <c r="J230" s="1301"/>
      <c r="K230" s="1301"/>
      <c r="L230" s="1301"/>
      <c r="M230" s="1301"/>
      <c r="N230" s="1301"/>
      <c r="O230" s="1301"/>
      <c r="P230" s="1301"/>
      <c r="Q230" s="1301"/>
      <c r="R230" s="1301"/>
      <c r="S230" s="1301"/>
      <c r="T230" s="1301"/>
      <c r="U230" s="1301"/>
      <c r="V230" s="1301"/>
      <c r="W230" s="1301"/>
      <c r="X230" s="1301"/>
      <c r="Y230" s="1297"/>
      <c r="Z230" s="1297"/>
      <c r="AA230" s="1301"/>
    </row>
    <row r="231" spans="1:27">
      <c r="A231" s="1140"/>
      <c r="B231" s="1172"/>
      <c r="C231" s="1203"/>
      <c r="D231" s="1204"/>
      <c r="E231" s="1203"/>
      <c r="F231" s="1203"/>
      <c r="G231" s="1301"/>
      <c r="H231" s="1301"/>
      <c r="I231" s="1301"/>
      <c r="J231" s="1301"/>
      <c r="K231" s="1301"/>
      <c r="L231" s="1301"/>
      <c r="M231" s="1301"/>
      <c r="N231" s="1301"/>
      <c r="O231" s="1301"/>
      <c r="P231" s="1301"/>
      <c r="Q231" s="1301"/>
      <c r="R231" s="1301"/>
      <c r="S231" s="1301"/>
      <c r="T231" s="1301"/>
      <c r="U231" s="1301"/>
      <c r="V231" s="1301"/>
      <c r="W231" s="1301"/>
      <c r="X231" s="1301"/>
      <c r="Y231" s="1297"/>
      <c r="Z231" s="1297"/>
      <c r="AA231" s="1301"/>
    </row>
    <row r="232" spans="1:27">
      <c r="A232" s="1140"/>
      <c r="B232" s="1172"/>
      <c r="C232" s="1203"/>
      <c r="D232" s="1204"/>
      <c r="E232" s="1203"/>
      <c r="F232" s="1203"/>
      <c r="G232" s="1301"/>
      <c r="H232" s="1301"/>
      <c r="I232" s="1301"/>
      <c r="J232" s="1301"/>
      <c r="K232" s="1301"/>
      <c r="L232" s="1301"/>
      <c r="M232" s="1301"/>
      <c r="N232" s="1301"/>
      <c r="O232" s="1301"/>
      <c r="P232" s="1301"/>
      <c r="Q232" s="1301"/>
      <c r="R232" s="1301"/>
      <c r="S232" s="1301"/>
      <c r="T232" s="1301"/>
      <c r="U232" s="1301"/>
      <c r="V232" s="1301"/>
      <c r="W232" s="1301"/>
      <c r="X232" s="1301"/>
      <c r="Y232" s="1297"/>
      <c r="Z232" s="1297"/>
      <c r="AA232" s="1301"/>
    </row>
    <row r="233" spans="1:27">
      <c r="A233" s="1140"/>
      <c r="B233" s="1172"/>
      <c r="C233" s="1203"/>
      <c r="D233" s="1204"/>
      <c r="E233" s="1203"/>
      <c r="F233" s="1203"/>
      <c r="G233" s="1301"/>
      <c r="H233" s="1301"/>
      <c r="I233" s="1301"/>
      <c r="J233" s="1301"/>
      <c r="K233" s="1301"/>
      <c r="L233" s="1301"/>
      <c r="M233" s="1301"/>
      <c r="N233" s="1301"/>
      <c r="O233" s="1301"/>
      <c r="P233" s="1301"/>
      <c r="Q233" s="1301"/>
      <c r="R233" s="1301"/>
      <c r="S233" s="1301"/>
      <c r="T233" s="1301"/>
      <c r="U233" s="1301"/>
      <c r="V233" s="1301"/>
      <c r="W233" s="1301"/>
      <c r="X233" s="1301"/>
      <c r="Y233" s="1297"/>
      <c r="Z233" s="1297"/>
      <c r="AA233" s="1301"/>
    </row>
    <row r="234" spans="1:27">
      <c r="A234" s="1140"/>
      <c r="B234" s="1172"/>
      <c r="C234" s="1203"/>
      <c r="D234" s="1204"/>
      <c r="E234" s="1203"/>
      <c r="F234" s="1203"/>
      <c r="G234" s="1301"/>
      <c r="H234" s="1301"/>
      <c r="I234" s="1301"/>
      <c r="J234" s="1301"/>
      <c r="K234" s="1301"/>
      <c r="L234" s="1301"/>
      <c r="M234" s="1301"/>
      <c r="N234" s="1301"/>
      <c r="O234" s="1301"/>
      <c r="P234" s="1301"/>
      <c r="Q234" s="1301"/>
      <c r="R234" s="1301"/>
      <c r="S234" s="1301"/>
      <c r="T234" s="1301"/>
      <c r="U234" s="1301"/>
      <c r="V234" s="1301"/>
      <c r="W234" s="1301"/>
      <c r="X234" s="1301"/>
      <c r="Y234" s="1297"/>
      <c r="Z234" s="1297"/>
      <c r="AA234" s="1301"/>
    </row>
  </sheetData>
  <sheetProtection selectLockedCells="1" selectUnlockedCells="1"/>
  <autoFilter ref="A6:AM39" xr:uid="{00000000-0009-0000-0000-000006000000}"/>
  <mergeCells count="27">
    <mergeCell ref="F4:F6"/>
    <mergeCell ref="S4:S6"/>
    <mergeCell ref="G4:G6"/>
    <mergeCell ref="H4:H6"/>
    <mergeCell ref="I4:I6"/>
    <mergeCell ref="J4:J6"/>
    <mergeCell ref="K4:K6"/>
    <mergeCell ref="L4:L6"/>
    <mergeCell ref="M4:M6"/>
    <mergeCell ref="N4:N6"/>
    <mergeCell ref="P4:P6"/>
    <mergeCell ref="Q4:Q6"/>
    <mergeCell ref="A4:A6"/>
    <mergeCell ref="B4:B6"/>
    <mergeCell ref="C4:C6"/>
    <mergeCell ref="D4:D6"/>
    <mergeCell ref="E4:E6"/>
    <mergeCell ref="AB4:AB6"/>
    <mergeCell ref="Y4:Y6"/>
    <mergeCell ref="R4:R6"/>
    <mergeCell ref="W4:W6"/>
    <mergeCell ref="X4:X6"/>
    <mergeCell ref="Z4:Z6"/>
    <mergeCell ref="AA4:AA6"/>
    <mergeCell ref="T4:T6"/>
    <mergeCell ref="U4:U6"/>
    <mergeCell ref="V4:V6"/>
  </mergeCells>
  <conditionalFormatting sqref="B148">
    <cfRule type="duplicateValues" dxfId="125" priority="75"/>
    <cfRule type="duplicateValues" dxfId="124" priority="76"/>
  </conditionalFormatting>
  <conditionalFormatting sqref="B149">
    <cfRule type="duplicateValues" dxfId="123" priority="73"/>
    <cfRule type="duplicateValues" dxfId="122" priority="74"/>
  </conditionalFormatting>
  <conditionalFormatting sqref="B104 A22:B24 A103:A104 A78:B93 A95:B102 A94 A26:B26 A25 B27:B30 B56:B59 A1:B20 A31:B47 A61:B75 A105:B1048576 A49:B55">
    <cfRule type="duplicateValues" dxfId="121" priority="72"/>
  </conditionalFormatting>
  <conditionalFormatting sqref="B150:B1048576 B46:B47 B61:B75 B104:B147 B1:B20 B22:B24 B78:B93 B95:B102 B26:B40 B49:B58">
    <cfRule type="duplicateValues" dxfId="120" priority="151"/>
  </conditionalFormatting>
  <conditionalFormatting sqref="B104:B1048576 B61:B75 B1:B20 B22:B24 B78:B93 B95:B102 B26:B47 B49:B59">
    <cfRule type="duplicateValues" dxfId="119" priority="71"/>
  </conditionalFormatting>
  <conditionalFormatting sqref="B104:B1048576">
    <cfRule type="duplicateValues" dxfId="118" priority="67"/>
  </conditionalFormatting>
  <conditionalFormatting sqref="Z173">
    <cfRule type="duplicateValues" dxfId="117" priority="46"/>
    <cfRule type="duplicateValues" dxfId="116" priority="47"/>
  </conditionalFormatting>
  <conditionalFormatting sqref="Z173">
    <cfRule type="duplicateValues" dxfId="115" priority="45"/>
  </conditionalFormatting>
  <conditionalFormatting sqref="Z173">
    <cfRule type="duplicateValues" dxfId="114" priority="44"/>
  </conditionalFormatting>
  <conditionalFormatting sqref="Z173">
    <cfRule type="duplicateValues" dxfId="113" priority="43"/>
  </conditionalFormatting>
  <conditionalFormatting sqref="A21:B21">
    <cfRule type="duplicateValues" dxfId="112" priority="33"/>
  </conditionalFormatting>
  <conditionalFormatting sqref="B21">
    <cfRule type="duplicateValues" dxfId="111" priority="34"/>
  </conditionalFormatting>
  <conditionalFormatting sqref="B21">
    <cfRule type="duplicateValues" dxfId="110" priority="32"/>
  </conditionalFormatting>
  <conditionalFormatting sqref="B21">
    <cfRule type="duplicateValues" dxfId="109" priority="31"/>
  </conditionalFormatting>
  <conditionalFormatting sqref="A76:B77">
    <cfRule type="duplicateValues" dxfId="108" priority="1522"/>
  </conditionalFormatting>
  <conditionalFormatting sqref="B76:B77">
    <cfRule type="duplicateValues" dxfId="107" priority="1523"/>
  </conditionalFormatting>
  <conditionalFormatting sqref="B76:B77">
    <cfRule type="duplicateValues" dxfId="106" priority="1524"/>
  </conditionalFormatting>
  <conditionalFormatting sqref="B49:B51">
    <cfRule type="duplicateValues" dxfId="105" priority="28"/>
    <cfRule type="duplicateValues" dxfId="104" priority="29"/>
  </conditionalFormatting>
  <conditionalFormatting sqref="B59">
    <cfRule type="duplicateValues" dxfId="103" priority="2985"/>
    <cfRule type="duplicateValues" dxfId="102" priority="2986"/>
  </conditionalFormatting>
  <conditionalFormatting sqref="B103">
    <cfRule type="duplicateValues" dxfId="101" priority="4025"/>
  </conditionalFormatting>
  <conditionalFormatting sqref="B89">
    <cfRule type="duplicateValues" dxfId="100" priority="22"/>
  </conditionalFormatting>
  <conditionalFormatting sqref="B94">
    <cfRule type="duplicateValues" dxfId="99" priority="20"/>
  </conditionalFormatting>
  <conditionalFormatting sqref="B94">
    <cfRule type="duplicateValues" dxfId="98" priority="17"/>
  </conditionalFormatting>
  <conditionalFormatting sqref="B94">
    <cfRule type="duplicateValues" dxfId="97" priority="16"/>
  </conditionalFormatting>
  <conditionalFormatting sqref="B94">
    <cfRule type="duplicateValues" dxfId="96" priority="15"/>
  </conditionalFormatting>
  <conditionalFormatting sqref="B60">
    <cfRule type="duplicateValues" dxfId="95" priority="4753"/>
    <cfRule type="duplicateValues" dxfId="94" priority="4754"/>
  </conditionalFormatting>
  <conditionalFormatting sqref="B60">
    <cfRule type="duplicateValues" dxfId="93" priority="4755"/>
  </conditionalFormatting>
  <conditionalFormatting sqref="B25">
    <cfRule type="duplicateValues" dxfId="92" priority="11"/>
  </conditionalFormatting>
  <conditionalFormatting sqref="B25">
    <cfRule type="duplicateValues" dxfId="91" priority="12"/>
  </conditionalFormatting>
  <conditionalFormatting sqref="B25">
    <cfRule type="duplicateValues" dxfId="90" priority="10"/>
  </conditionalFormatting>
  <conditionalFormatting sqref="B41:B45">
    <cfRule type="duplicateValues" dxfId="89" priority="6032"/>
    <cfRule type="duplicateValues" dxfId="88" priority="6033"/>
  </conditionalFormatting>
  <conditionalFormatting sqref="A27:A30">
    <cfRule type="duplicateValues" dxfId="87" priority="6"/>
  </conditionalFormatting>
  <conditionalFormatting sqref="A48:B48">
    <cfRule type="duplicateValues" dxfId="86" priority="4"/>
  </conditionalFormatting>
  <conditionalFormatting sqref="B48">
    <cfRule type="duplicateValues" dxfId="85" priority="5"/>
  </conditionalFormatting>
  <conditionalFormatting sqref="B48">
    <cfRule type="duplicateValues" dxfId="84" priority="3"/>
  </conditionalFormatting>
  <conditionalFormatting sqref="B48">
    <cfRule type="duplicateValues" dxfId="83" priority="1"/>
    <cfRule type="duplicateValues" dxfId="82" priority="2"/>
  </conditionalFormatting>
  <conditionalFormatting sqref="A56:A60">
    <cfRule type="duplicateValues" dxfId="81" priority="7735"/>
  </conditionalFormatting>
  <pageMargins left="0.31496062992125984" right="0.27559055118110237" top="0.74803149606299213" bottom="0.74803149606299213" header="0.51181102362204722" footer="0.51181102362204722"/>
  <pageSetup paperSize="5" scale="21" firstPageNumber="0" orientation="landscape" horizontalDpi="4294967293" verticalDpi="300" r:id="rId1"/>
  <headerFooter alignWithMargins="0"/>
  <rowBreaks count="1" manualBreakCount="1">
    <brk id="97" max="2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KRN59"/>
  <sheetViews>
    <sheetView zoomScale="77" zoomScaleNormal="77" workbookViewId="0">
      <pane xSplit="3" ySplit="2" topLeftCell="M34" activePane="bottomRight" state="frozen"/>
      <selection activeCell="H25" sqref="H25"/>
      <selection pane="topRight" activeCell="H25" sqref="H25"/>
      <selection pane="bottomLeft" activeCell="H25" sqref="H25"/>
      <selection pane="bottomRight" activeCell="Z3" sqref="Z3:Z59"/>
    </sheetView>
  </sheetViews>
  <sheetFormatPr baseColWidth="10" defaultColWidth="11.42578125" defaultRowHeight="15"/>
  <cols>
    <col min="1" max="1" width="7.85546875" style="26" customWidth="1"/>
    <col min="2" max="2" width="33.140625" style="144" customWidth="1"/>
    <col min="3" max="3" width="19.5703125" style="144" customWidth="1"/>
    <col min="4" max="4" width="34.5703125" style="144" customWidth="1"/>
    <col min="5" max="5" width="29.5703125" style="144" customWidth="1"/>
    <col min="6" max="6" width="9.5703125" style="144" customWidth="1"/>
    <col min="7" max="7" width="12.85546875" style="144" customWidth="1"/>
    <col min="8" max="8" width="10.5703125" style="144" customWidth="1"/>
    <col min="9" max="9" width="8.42578125" style="144" customWidth="1"/>
    <col min="10" max="10" width="11.28515625" style="2" customWidth="1"/>
    <col min="11" max="11" width="9.7109375" style="144" customWidth="1"/>
    <col min="12" max="12" width="11.42578125" style="144" customWidth="1"/>
    <col min="13" max="13" width="11.28515625" style="144" customWidth="1"/>
    <col min="14" max="14" width="10.7109375" style="140" customWidth="1"/>
    <col min="15" max="15" width="10.140625" style="140" customWidth="1"/>
    <col min="16" max="16" width="10.42578125" style="140" customWidth="1"/>
    <col min="17" max="17" width="12.5703125" style="140" customWidth="1"/>
    <col min="18" max="18" width="9" style="140" customWidth="1"/>
    <col min="19" max="20" width="12" style="140" customWidth="1"/>
    <col min="21" max="21" width="12.42578125" style="140" customWidth="1"/>
    <col min="22" max="22" width="10.28515625" style="140" customWidth="1"/>
    <col min="23" max="23" width="10.7109375" style="140" customWidth="1"/>
    <col min="24" max="24" width="12.5703125" style="140" customWidth="1"/>
    <col min="25" max="25" width="16.140625" style="300" customWidth="1"/>
    <col min="26" max="26" width="13.42578125" style="140" customWidth="1"/>
    <col min="27" max="27" width="23.28515625" style="447" hidden="1" customWidth="1"/>
    <col min="28" max="28" width="21" style="182" hidden="1" customWidth="1"/>
    <col min="29" max="16372" width="11.42578125" style="3"/>
    <col min="16373" max="16384" width="8.85546875" style="3" customWidth="1"/>
  </cols>
  <sheetData>
    <row r="1" spans="1:7918">
      <c r="B1" s="149">
        <v>1</v>
      </c>
      <c r="C1" s="149">
        <v>2</v>
      </c>
      <c r="D1" s="149">
        <v>3</v>
      </c>
      <c r="E1" s="149">
        <v>4</v>
      </c>
      <c r="F1" s="149">
        <v>5</v>
      </c>
      <c r="G1" s="149">
        <v>6</v>
      </c>
      <c r="H1" s="149">
        <v>7</v>
      </c>
      <c r="I1" s="149">
        <v>8</v>
      </c>
      <c r="J1" s="149">
        <v>9</v>
      </c>
      <c r="K1" s="149">
        <v>10</v>
      </c>
      <c r="L1" s="149">
        <v>11</v>
      </c>
      <c r="M1" s="149">
        <v>12</v>
      </c>
      <c r="N1" s="149">
        <v>13</v>
      </c>
      <c r="O1" s="149">
        <v>14</v>
      </c>
      <c r="P1" s="149">
        <v>15</v>
      </c>
      <c r="Q1" s="149">
        <v>16</v>
      </c>
      <c r="R1" s="149">
        <v>17</v>
      </c>
      <c r="S1" s="149">
        <v>18</v>
      </c>
      <c r="T1" s="149">
        <v>19</v>
      </c>
      <c r="U1" s="149">
        <v>20</v>
      </c>
      <c r="V1" s="149">
        <v>21</v>
      </c>
      <c r="W1" s="149">
        <v>22</v>
      </c>
      <c r="X1" s="149">
        <v>23</v>
      </c>
      <c r="Y1" s="256">
        <v>24</v>
      </c>
      <c r="Z1" s="149">
        <v>25</v>
      </c>
      <c r="AA1" s="438">
        <v>26</v>
      </c>
      <c r="AB1" s="149">
        <v>27</v>
      </c>
    </row>
    <row r="2" spans="1:7918" ht="30" customHeight="1">
      <c r="B2" s="291" t="s">
        <v>240</v>
      </c>
      <c r="C2" s="293" t="s">
        <v>241</v>
      </c>
      <c r="D2" s="293" t="s">
        <v>242</v>
      </c>
      <c r="E2" s="293" t="s">
        <v>312</v>
      </c>
      <c r="F2" s="384" t="s">
        <v>209</v>
      </c>
      <c r="G2" s="384" t="s">
        <v>244</v>
      </c>
      <c r="H2" s="384" t="s">
        <v>245</v>
      </c>
      <c r="I2" s="384" t="s">
        <v>246</v>
      </c>
      <c r="J2" s="190" t="s">
        <v>247</v>
      </c>
      <c r="K2" s="384" t="s">
        <v>248</v>
      </c>
      <c r="L2" s="384" t="s">
        <v>249</v>
      </c>
      <c r="M2" s="384" t="s">
        <v>218</v>
      </c>
      <c r="N2" s="191" t="s">
        <v>250</v>
      </c>
      <c r="O2" s="192" t="s">
        <v>251</v>
      </c>
      <c r="P2" s="192" t="s">
        <v>252</v>
      </c>
      <c r="Q2" s="192" t="s">
        <v>253</v>
      </c>
      <c r="R2" s="192" t="s">
        <v>254</v>
      </c>
      <c r="S2" s="192" t="s">
        <v>35</v>
      </c>
      <c r="T2" s="192" t="s">
        <v>34</v>
      </c>
      <c r="U2" s="192" t="s">
        <v>33</v>
      </c>
      <c r="V2" s="191" t="s">
        <v>255</v>
      </c>
      <c r="W2" s="191" t="s">
        <v>256</v>
      </c>
      <c r="X2" s="191" t="s">
        <v>323</v>
      </c>
      <c r="Y2" s="299" t="s">
        <v>324</v>
      </c>
      <c r="Z2" s="191" t="s">
        <v>325</v>
      </c>
      <c r="AA2" s="439" t="s">
        <v>259</v>
      </c>
      <c r="AB2" s="385" t="s">
        <v>260</v>
      </c>
    </row>
    <row r="3" spans="1:7918">
      <c r="A3" s="26">
        <v>1</v>
      </c>
      <c r="B3" s="386" t="s">
        <v>536</v>
      </c>
      <c r="C3" s="180">
        <v>4510765</v>
      </c>
      <c r="D3" s="386" t="s">
        <v>536</v>
      </c>
      <c r="E3" s="149" t="str">
        <f>VLOOKUP($B3,'Nomina Unhesa'!$B$4:$AB$209,2,0)</f>
        <v>Presidente</v>
      </c>
      <c r="F3" s="149">
        <f>VLOOKUP($B3,'Nomina Unhesa'!$B$4:$AB$209,4,0)</f>
        <v>30</v>
      </c>
      <c r="G3" s="230">
        <f>VLOOKUP($B3,'Nomina Unhesa'!$B$4:$AB$209,6,0)</f>
        <v>19750</v>
      </c>
      <c r="H3" s="230">
        <f>VLOOKUP($B3,'Nomina Unhesa'!$B$4:$AB$209,7,0)</f>
        <v>250</v>
      </c>
      <c r="I3" s="230">
        <f>VLOOKUP($B3,'Nomina Unhesa'!$B$4:$AB$209,9,0)</f>
        <v>0</v>
      </c>
      <c r="J3" s="232">
        <f>VLOOKUP($B3,'Nomina Unhesa'!$B$4:$AB$209,10,0)</f>
        <v>0</v>
      </c>
      <c r="K3" s="230">
        <f>VLOOKUP($B3,'Nomina Unhesa'!$B$4:$AB$209,11,0)</f>
        <v>0</v>
      </c>
      <c r="L3" s="230">
        <f>VLOOKUP($B3,'Nomina Unhesa'!$B$4:$AB$209,12,0)</f>
        <v>0</v>
      </c>
      <c r="M3" s="230">
        <f>VLOOKUP($B3,'Nomina Unhesa'!$B$4:$AB$209,14,0)</f>
        <v>0</v>
      </c>
      <c r="N3" s="232">
        <f>VLOOKUP($B3,'Nomina Unhesa'!$B$4:$AB$209,15,0)</f>
        <v>20000</v>
      </c>
      <c r="O3" s="232">
        <f>VLOOKUP($B3,'Nomina Unhesa'!$B$4:$AB$209,16,0)</f>
        <v>0</v>
      </c>
      <c r="P3" s="232">
        <f>VLOOKUP($B3,'Nomina Unhesa'!$B$4:$AB$209,17,0)</f>
        <v>0</v>
      </c>
      <c r="Q3" s="232">
        <f>VLOOKUP($B3,'Nomina Unhesa'!$B$4:$AB$209,18,0)</f>
        <v>0</v>
      </c>
      <c r="R3" s="232">
        <f>VLOOKUP($B3,'Nomina Unhesa'!$B$4:$AB$209,19,0)</f>
        <v>0</v>
      </c>
      <c r="S3" s="232">
        <f>VLOOKUP($B3,'Nomina Unhesa'!$B$4:$AB$209,20,0)</f>
        <v>0</v>
      </c>
      <c r="T3" s="232">
        <f>VLOOKUP($B3,'Nomina Unhesa'!$B$4:$AB$209,21,0)</f>
        <v>0</v>
      </c>
      <c r="U3" s="232">
        <f>VLOOKUP($B3,'Nomina Unhesa'!$B$4:$AB$209,22,0)</f>
        <v>0</v>
      </c>
      <c r="V3" s="232">
        <f>ROUND((VLOOKUP($B3,'Nomina Unhesa'!$B$4:$AB$209,23,0)),2)</f>
        <v>0</v>
      </c>
      <c r="W3" s="232">
        <f>VLOOKUP($B3,'Nomina Unhesa'!$B$4:$AB$209,24,0)</f>
        <v>0</v>
      </c>
      <c r="X3" s="232">
        <f>VLOOKUP(B3,'Nomina Unhesa'!$B$9:$Z$163,25,FALSE)</f>
        <v>20000</v>
      </c>
      <c r="Y3" s="236">
        <f>ROUND((VLOOKUP(B3,'Nomina Unhesa'!$B$9:$AB$157,26,FALSE)),2)</f>
        <v>10000</v>
      </c>
      <c r="Z3" s="211">
        <f>VLOOKUP(B3,'Nomina Unhesa'!$B$9:$AB$158,27,FALSE)</f>
        <v>10000</v>
      </c>
      <c r="AA3" s="438" t="e">
        <f>VLOOKUP($B3,$A$22:$D$365,4,0)</f>
        <v>#N/A</v>
      </c>
      <c r="AB3" s="387">
        <f>+IFERROR(VLOOKUP(B3,'Nomina Unhesa'!B9:D157,3,0),"")</f>
        <v>19750</v>
      </c>
    </row>
    <row r="4" spans="1:7918">
      <c r="A4" s="26">
        <f>+A3+1</f>
        <v>2</v>
      </c>
      <c r="B4" s="388" t="s">
        <v>537</v>
      </c>
      <c r="C4" s="176">
        <v>140059550</v>
      </c>
      <c r="D4" s="386" t="s">
        <v>537</v>
      </c>
      <c r="E4" s="149" t="str">
        <f>VLOOKUP($B4,'Nomina Unhesa'!$B$4:$AB$209,2,0)</f>
        <v>Operario Liquidos</v>
      </c>
      <c r="F4" s="149">
        <f>VLOOKUP($B4,'Nomina Unhesa'!$B$4:$AB$209,4,0)</f>
        <v>30</v>
      </c>
      <c r="G4" s="230">
        <f>VLOOKUP($B4,'Nomina Unhesa'!$B$4:$AB$209,6,0)</f>
        <v>3166.38</v>
      </c>
      <c r="H4" s="230">
        <f>VLOOKUP($B4,'Nomina Unhesa'!$B$4:$AB$209,7,0)</f>
        <v>900</v>
      </c>
      <c r="I4" s="230">
        <f>VLOOKUP($B4,'Nomina Unhesa'!$B$4:$AB$209,9,0)</f>
        <v>4</v>
      </c>
      <c r="J4" s="232">
        <f>VLOOKUP($B4,'Nomina Unhesa'!$B$4:$AB$209,10,0)</f>
        <v>79.16</v>
      </c>
      <c r="K4" s="230">
        <f>VLOOKUP($B4,'Nomina Unhesa'!$B$4:$AB$209,11,0)</f>
        <v>12</v>
      </c>
      <c r="L4" s="230">
        <f>VLOOKUP($B4,'Nomina Unhesa'!$B$4:$AB$209,12,0)</f>
        <v>316.64</v>
      </c>
      <c r="M4" s="230">
        <f>VLOOKUP($B4,'Nomina Unhesa'!$B$4:$AB$209,14,0)</f>
        <v>0</v>
      </c>
      <c r="N4" s="232">
        <f>VLOOKUP($B4,'Nomina Unhesa'!$B$4:$AB$209,15,0)</f>
        <v>4462.18</v>
      </c>
      <c r="O4" s="232">
        <f>VLOOKUP($B4,'Nomina Unhesa'!$B$4:$AB$209,16,0)</f>
        <v>172.05</v>
      </c>
      <c r="P4" s="232">
        <f>VLOOKUP($B4,'Nomina Unhesa'!$B$4:$AB$209,17,0)</f>
        <v>82.22</v>
      </c>
      <c r="Q4" s="232">
        <f>VLOOKUP($B4,'Nomina Unhesa'!$B$4:$AB$209,18,0)</f>
        <v>748.92</v>
      </c>
      <c r="R4" s="232">
        <f>VLOOKUP($B4,'Nomina Unhesa'!$B$4:$AB$209,19,0)</f>
        <v>0</v>
      </c>
      <c r="S4" s="232">
        <f>VLOOKUP($B4,'Nomina Unhesa'!$B$4:$AB$209,20,0)</f>
        <v>0</v>
      </c>
      <c r="T4" s="232">
        <f>VLOOKUP($B4,'Nomina Unhesa'!$B$4:$AB$209,21,0)</f>
        <v>0</v>
      </c>
      <c r="U4" s="232">
        <f>VLOOKUP($B4,'Nomina Unhesa'!$B$4:$AB$209,22,0)</f>
        <v>0</v>
      </c>
      <c r="V4" s="232">
        <f>ROUND((VLOOKUP($B4,'Nomina Unhesa'!$B$4:$AB$209,23,0)),2)</f>
        <v>50</v>
      </c>
      <c r="W4" s="232">
        <f>VLOOKUP($B4,'Nomina Unhesa'!$B$4:$AB$209,24,0)</f>
        <v>1053.19</v>
      </c>
      <c r="X4" s="232">
        <f>VLOOKUP(B4,'Nomina Unhesa'!$B$9:$Z$163,25,FALSE)</f>
        <v>3408.9900000000002</v>
      </c>
      <c r="Y4" s="236">
        <f>ROUND((VLOOKUP(B4,'Nomina Unhesa'!$B$9:$AB$157,26,FALSE)),2)</f>
        <v>1357.26</v>
      </c>
      <c r="Z4" s="211">
        <f>VLOOKUP(B4,'Nomina Unhesa'!$B$9:$AB$158,27,FALSE)</f>
        <v>2051.73</v>
      </c>
      <c r="AA4" s="438" t="e">
        <f>VLOOKUP($B4,$A$22:$D$365,4,0)</f>
        <v>#N/A</v>
      </c>
      <c r="AB4" s="387">
        <f>+IFERROR(VLOOKUP(B4,'Nomina Unhesa'!B14:D159,3,0),"")</f>
        <v>3562.18</v>
      </c>
    </row>
    <row r="5" spans="1:7918">
      <c r="A5" s="26">
        <f t="shared" ref="A5:A59" si="0">+A4+1</f>
        <v>3</v>
      </c>
      <c r="B5" s="388" t="s">
        <v>538</v>
      </c>
      <c r="C5" s="177">
        <v>1170074924</v>
      </c>
      <c r="D5" s="386" t="s">
        <v>538</v>
      </c>
      <c r="E5" s="149" t="str">
        <f>VLOOKUP($B5,'Nomina Unhesa'!$B$4:$AB$209,2,0)</f>
        <v>Vendedor Mayorista</v>
      </c>
      <c r="F5" s="149">
        <f>VLOOKUP($B5,'Nomina Unhesa'!$B$4:$AB$209,4,0)</f>
        <v>30</v>
      </c>
      <c r="G5" s="230">
        <f>VLOOKUP($B5,'Nomina Unhesa'!$B$4:$AB$209,6,0)</f>
        <v>3166.38</v>
      </c>
      <c r="H5" s="230">
        <f>VLOOKUP($B5,'Nomina Unhesa'!$B$4:$AB$209,7,0)</f>
        <v>27208.39</v>
      </c>
      <c r="I5" s="230">
        <f>VLOOKUP($B5,'Nomina Unhesa'!$B$4:$AB$209,9,0)</f>
        <v>0</v>
      </c>
      <c r="J5" s="232">
        <f>VLOOKUP($B5,'Nomina Unhesa'!$B$4:$AB$209,10,0)</f>
        <v>0</v>
      </c>
      <c r="K5" s="230">
        <f>VLOOKUP($B5,'Nomina Unhesa'!$B$4:$AB$209,11,0)</f>
        <v>0</v>
      </c>
      <c r="L5" s="230">
        <f>VLOOKUP($B5,'Nomina Unhesa'!$B$4:$AB$209,12,0)</f>
        <v>0</v>
      </c>
      <c r="M5" s="230">
        <f>VLOOKUP($B5,'Nomina Unhesa'!$B$4:$AB$209,14,0)</f>
        <v>0</v>
      </c>
      <c r="N5" s="232">
        <f>VLOOKUP($B5,'Nomina Unhesa'!$B$4:$AB$209,15,0)</f>
        <v>30374.77</v>
      </c>
      <c r="O5" s="232">
        <f>VLOOKUP($B5,'Nomina Unhesa'!$B$4:$AB$209,16,0)</f>
        <v>152.94</v>
      </c>
      <c r="P5" s="232">
        <f>VLOOKUP($B5,'Nomina Unhesa'!$B$4:$AB$209,17,0)</f>
        <v>489.98</v>
      </c>
      <c r="Q5" s="232">
        <f>VLOOKUP($B5,'Nomina Unhesa'!$B$4:$AB$209,18,0)</f>
        <v>0</v>
      </c>
      <c r="R5" s="232">
        <f>VLOOKUP($B5,'Nomina Unhesa'!$B$4:$AB$209,19,0)</f>
        <v>178</v>
      </c>
      <c r="S5" s="232">
        <f>VLOOKUP($B5,'Nomina Unhesa'!$B$4:$AB$209,20,0)</f>
        <v>0</v>
      </c>
      <c r="T5" s="232">
        <f>VLOOKUP($B5,'Nomina Unhesa'!$B$4:$AB$209,21,0)</f>
        <v>0</v>
      </c>
      <c r="U5" s="232">
        <f>VLOOKUP($B5,'Nomina Unhesa'!$B$4:$AB$209,22,0)</f>
        <v>0</v>
      </c>
      <c r="V5" s="232">
        <f>ROUND((VLOOKUP($B5,'Nomina Unhesa'!$B$4:$AB$209,23,0)),2)</f>
        <v>1877.49</v>
      </c>
      <c r="W5" s="232">
        <f>VLOOKUP($B5,'Nomina Unhesa'!$B$4:$AB$209,24,0)</f>
        <v>2698.41</v>
      </c>
      <c r="X5" s="232">
        <f>VLOOKUP(B5,'Nomina Unhesa'!$B$9:$Z$163,25,FALSE)</f>
        <v>27676.36</v>
      </c>
      <c r="Y5" s="236">
        <f>ROUND((VLOOKUP(B5,'Nomina Unhesa'!$B$9:$AB$157,26,FALSE)),2)</f>
        <v>27676.36</v>
      </c>
      <c r="Z5" s="211">
        <f>VLOOKUP(B5,'Nomina Unhesa'!$B$9:$AB$158,27,FALSE)</f>
        <v>0</v>
      </c>
      <c r="AA5" s="440" t="e">
        <f>VLOOKUP($B5,$A$22:$D$365,4,0)</f>
        <v>#N/A</v>
      </c>
      <c r="AB5" s="387">
        <f>+IFERROR(VLOOKUP(B5,'Nomina Unhesa'!B17:D161,3,0),"")</f>
        <v>3166.38</v>
      </c>
    </row>
    <row r="6" spans="1:7918">
      <c r="A6" s="26">
        <f t="shared" si="0"/>
        <v>4</v>
      </c>
      <c r="B6" s="388" t="s">
        <v>106</v>
      </c>
      <c r="C6" s="177">
        <v>1430017788</v>
      </c>
      <c r="D6" s="386" t="s">
        <v>106</v>
      </c>
      <c r="E6" s="149" t="str">
        <f>VLOOKUP($B6,'Nomina Unhesa'!$B$4:$AB$209,2,0)</f>
        <v>Coordinador bodegas</v>
      </c>
      <c r="F6" s="149">
        <f>VLOOKUP($B6,'Nomina Unhesa'!$B$4:$AB$209,4,0)</f>
        <v>30</v>
      </c>
      <c r="G6" s="230">
        <f>VLOOKUP($B6,'Nomina Unhesa'!$B$4:$AB$209,6,0)</f>
        <v>6000</v>
      </c>
      <c r="H6" s="230">
        <f>VLOOKUP($B6,'Nomina Unhesa'!$B$4:$AB$209,7,0)</f>
        <v>7709.09</v>
      </c>
      <c r="I6" s="230">
        <f>VLOOKUP($B6,'Nomina Unhesa'!$B$4:$AB$209,9,0)</f>
        <v>0</v>
      </c>
      <c r="J6" s="232">
        <f>VLOOKUP($B6,'Nomina Unhesa'!$B$4:$AB$209,10,0)</f>
        <v>0</v>
      </c>
      <c r="K6" s="230">
        <f>VLOOKUP($B6,'Nomina Unhesa'!$B$4:$AB$209,11,0)</f>
        <v>0</v>
      </c>
      <c r="L6" s="230">
        <f>VLOOKUP($B6,'Nomina Unhesa'!$B$4:$AB$209,12,0)</f>
        <v>0</v>
      </c>
      <c r="M6" s="230">
        <f>VLOOKUP($B6,'Nomina Unhesa'!$B$4:$AB$209,14,0)</f>
        <v>0</v>
      </c>
      <c r="N6" s="232">
        <f>VLOOKUP($B6,'Nomina Unhesa'!$B$4:$AB$209,15,0)</f>
        <v>13709.09</v>
      </c>
      <c r="O6" s="232">
        <f>VLOOKUP($B6,'Nomina Unhesa'!$B$4:$AB$209,16,0)</f>
        <v>289.8</v>
      </c>
      <c r="P6" s="232">
        <f>VLOOKUP($B6,'Nomina Unhesa'!$B$4:$AB$209,17,0)</f>
        <v>335.51</v>
      </c>
      <c r="Q6" s="232">
        <f>VLOOKUP($B6,'Nomina Unhesa'!$B$4:$AB$209,18,0)</f>
        <v>0</v>
      </c>
      <c r="R6" s="232">
        <f>VLOOKUP($B6,'Nomina Unhesa'!$B$4:$AB$209,19,0)</f>
        <v>0</v>
      </c>
      <c r="S6" s="232">
        <f>VLOOKUP($B6,'Nomina Unhesa'!$B$4:$AB$209,20,0)</f>
        <v>0</v>
      </c>
      <c r="T6" s="232">
        <f>VLOOKUP($B6,'Nomina Unhesa'!$B$4:$AB$209,21,0)</f>
        <v>0</v>
      </c>
      <c r="U6" s="232">
        <f>VLOOKUP($B6,'Nomina Unhesa'!$B$4:$AB$209,22,0)</f>
        <v>283.75</v>
      </c>
      <c r="V6" s="232">
        <f>ROUND((VLOOKUP($B6,'Nomina Unhesa'!$B$4:$AB$209,23,0)),2)</f>
        <v>1010</v>
      </c>
      <c r="W6" s="232">
        <f>VLOOKUP($B6,'Nomina Unhesa'!$B$4:$AB$209,24,0)</f>
        <v>1919.06</v>
      </c>
      <c r="X6" s="232">
        <f>VLOOKUP(B6,'Nomina Unhesa'!$B$9:$Z$163,25,FALSE)</f>
        <v>11790.03</v>
      </c>
      <c r="Y6" s="236">
        <f>ROUND((VLOOKUP(B6,'Nomina Unhesa'!$B$9:$AB$157,26,FALSE)),2)</f>
        <v>9027.69</v>
      </c>
      <c r="Z6" s="211">
        <f>VLOOKUP(B6,'Nomina Unhesa'!$B$9:$AB$158,27,FALSE)</f>
        <v>2762.34</v>
      </c>
      <c r="AA6" s="438">
        <v>186268116</v>
      </c>
      <c r="AB6" s="387">
        <f>+IFERROR(VLOOKUP(B6,'Nomina Unhesa'!B17:D162,3,0),"")</f>
        <v>6000</v>
      </c>
    </row>
    <row r="7" spans="1:7918">
      <c r="A7" s="26">
        <f t="shared" si="0"/>
        <v>5</v>
      </c>
      <c r="B7" s="388" t="s">
        <v>539</v>
      </c>
      <c r="C7" s="177">
        <v>141273606</v>
      </c>
      <c r="D7" s="386" t="s">
        <v>539</v>
      </c>
      <c r="E7" s="149" t="str">
        <f>VLOOKUP($B7,'Nomina Unhesa'!$B$4:$AB$209,2,0)</f>
        <v>Jefe de Recursos Humanos</v>
      </c>
      <c r="F7" s="149">
        <f>VLOOKUP($B7,'Nomina Unhesa'!$B$4:$AB$209,4,0)</f>
        <v>30</v>
      </c>
      <c r="G7" s="230">
        <f>VLOOKUP($B7,'Nomina Unhesa'!$B$4:$AB$209,6,0)</f>
        <v>8000</v>
      </c>
      <c r="H7" s="230">
        <f>VLOOKUP($B7,'Nomina Unhesa'!$B$4:$AB$209,7,0)</f>
        <v>4000</v>
      </c>
      <c r="I7" s="230">
        <f>VLOOKUP($B7,'Nomina Unhesa'!$B$4:$AB$209,9,0)</f>
        <v>0</v>
      </c>
      <c r="J7" s="232">
        <f>VLOOKUP($B7,'Nomina Unhesa'!$B$4:$AB$209,10,0)</f>
        <v>0</v>
      </c>
      <c r="K7" s="230">
        <f>VLOOKUP($B7,'Nomina Unhesa'!$B$4:$AB$209,11,0)</f>
        <v>0</v>
      </c>
      <c r="L7" s="230">
        <f>VLOOKUP($B7,'Nomina Unhesa'!$B$4:$AB$209,12,0)</f>
        <v>0</v>
      </c>
      <c r="M7" s="230">
        <f>VLOOKUP($B7,'Nomina Unhesa'!$B$4:$AB$209,14,0)</f>
        <v>0</v>
      </c>
      <c r="N7" s="232">
        <f>VLOOKUP($B7,'Nomina Unhesa'!$B$4:$AB$209,15,0)</f>
        <v>12000</v>
      </c>
      <c r="O7" s="232">
        <f>VLOOKUP($B7,'Nomina Unhesa'!$B$4:$AB$209,16,0)</f>
        <v>386.4</v>
      </c>
      <c r="P7" s="232">
        <f>VLOOKUP($B7,'Nomina Unhesa'!$B$4:$AB$209,17,0)</f>
        <v>380.68</v>
      </c>
      <c r="Q7" s="232">
        <f>VLOOKUP($B7,'Nomina Unhesa'!$B$4:$AB$209,18,0)</f>
        <v>0</v>
      </c>
      <c r="R7" s="232">
        <f>VLOOKUP($B7,'Nomina Unhesa'!$B$4:$AB$209,19,0)</f>
        <v>0</v>
      </c>
      <c r="S7" s="232">
        <f>VLOOKUP($B7,'Nomina Unhesa'!$B$4:$AB$209,20,0)</f>
        <v>0</v>
      </c>
      <c r="T7" s="232">
        <f>VLOOKUP($B7,'Nomina Unhesa'!$B$4:$AB$209,21,0)</f>
        <v>0</v>
      </c>
      <c r="U7" s="232">
        <f>VLOOKUP($B7,'Nomina Unhesa'!$B$4:$AB$209,22,0)</f>
        <v>478</v>
      </c>
      <c r="V7" s="232">
        <f>ROUND((VLOOKUP($B7,'Nomina Unhesa'!$B$4:$AB$209,23,0)),2)</f>
        <v>100</v>
      </c>
      <c r="W7" s="232">
        <f>VLOOKUP($B7,'Nomina Unhesa'!$B$4:$AB$209,24,0)</f>
        <v>1345.08</v>
      </c>
      <c r="X7" s="232">
        <f>VLOOKUP(B7,'Nomina Unhesa'!$B$9:$Z$163,25,FALSE)</f>
        <v>10654.92</v>
      </c>
      <c r="Y7" s="236">
        <f>ROUND((VLOOKUP(B7,'Nomina Unhesa'!$B$9:$AB$157,26,FALSE)),2)</f>
        <v>5466.35</v>
      </c>
      <c r="Z7" s="211">
        <f>VLOOKUP(B7,'Nomina Unhesa'!$B$9:$AB$158,27,FALSE)</f>
        <v>5188.57</v>
      </c>
      <c r="AA7" s="438">
        <v>270078835</v>
      </c>
      <c r="AB7" s="387">
        <f>+IFERROR(VLOOKUP(B7,'Nomina Unhesa'!B23:D164,3,0),"")</f>
        <v>8000</v>
      </c>
    </row>
    <row r="8" spans="1:7918">
      <c r="A8" s="26">
        <f t="shared" si="0"/>
        <v>6</v>
      </c>
      <c r="B8" s="388" t="s">
        <v>540</v>
      </c>
      <c r="C8" s="180">
        <v>4817847</v>
      </c>
      <c r="D8" s="386" t="s">
        <v>540</v>
      </c>
      <c r="E8" s="149" t="str">
        <f>VLOOKUP($B8,'Nomina Unhesa'!$B$4:$AB$209,2,0)</f>
        <v>Desarrollador de Vta consumidor</v>
      </c>
      <c r="F8" s="149">
        <f>VLOOKUP($B8,'Nomina Unhesa'!$B$4:$AB$209,4,0)</f>
        <v>30</v>
      </c>
      <c r="G8" s="230">
        <f>VLOOKUP($B8,'Nomina Unhesa'!$B$4:$AB$209,6,0)</f>
        <v>3166.38</v>
      </c>
      <c r="H8" s="230">
        <f>VLOOKUP($B8,'Nomina Unhesa'!$B$4:$AB$209,7,0)</f>
        <v>5139.42</v>
      </c>
      <c r="I8" s="230">
        <f>VLOOKUP($B8,'Nomina Unhesa'!$B$4:$AB$209,9,0)</f>
        <v>0</v>
      </c>
      <c r="J8" s="232">
        <f>VLOOKUP($B8,'Nomina Unhesa'!$B$4:$AB$209,10,0)</f>
        <v>0</v>
      </c>
      <c r="K8" s="230">
        <f>VLOOKUP($B8,'Nomina Unhesa'!$B$4:$AB$209,11,0)</f>
        <v>0</v>
      </c>
      <c r="L8" s="230">
        <f>VLOOKUP($B8,'Nomina Unhesa'!$B$4:$AB$209,12,0)</f>
        <v>0</v>
      </c>
      <c r="M8" s="230">
        <f>VLOOKUP($B8,'Nomina Unhesa'!$B$4:$AB$209,14,0)</f>
        <v>0</v>
      </c>
      <c r="N8" s="232">
        <f>VLOOKUP($B8,'Nomina Unhesa'!$B$4:$AB$209,15,0)</f>
        <v>8305.7999999999993</v>
      </c>
      <c r="O8" s="232">
        <f>VLOOKUP($B8,'Nomina Unhesa'!$B$4:$AB$209,16,0)</f>
        <v>152.94</v>
      </c>
      <c r="P8" s="232">
        <f>VLOOKUP($B8,'Nomina Unhesa'!$B$4:$AB$209,17,0)</f>
        <v>375.67</v>
      </c>
      <c r="Q8" s="232">
        <f>VLOOKUP($B8,'Nomina Unhesa'!$B$4:$AB$209,18,0)</f>
        <v>0</v>
      </c>
      <c r="R8" s="232">
        <f>VLOOKUP($B8,'Nomina Unhesa'!$B$4:$AB$209,19,0)</f>
        <v>0</v>
      </c>
      <c r="S8" s="232">
        <f>VLOOKUP($B8,'Nomina Unhesa'!$B$4:$AB$209,20,0)</f>
        <v>0</v>
      </c>
      <c r="T8" s="232">
        <f>VLOOKUP($B8,'Nomina Unhesa'!$B$4:$AB$209,21,0)</f>
        <v>0</v>
      </c>
      <c r="U8" s="232">
        <f>VLOOKUP($B8,'Nomina Unhesa'!$B$4:$AB$209,22,0)</f>
        <v>0</v>
      </c>
      <c r="V8" s="232">
        <f>ROUND((VLOOKUP($B8,'Nomina Unhesa'!$B$4:$AB$209,23,0)),2)</f>
        <v>275</v>
      </c>
      <c r="W8" s="232">
        <f>VLOOKUP($B8,'Nomina Unhesa'!$B$4:$AB$209,24,0)</f>
        <v>803.61</v>
      </c>
      <c r="X8" s="232">
        <f>VLOOKUP(B8,'Nomina Unhesa'!$B$9:$Z$163,25,FALSE)</f>
        <v>7502.19</v>
      </c>
      <c r="Y8" s="236">
        <f>ROUND((VLOOKUP(B8,'Nomina Unhesa'!$B$9:$AB$157,26,FALSE)),2)</f>
        <v>6333.64</v>
      </c>
      <c r="Z8" s="211">
        <f>VLOOKUP(B8,'Nomina Unhesa'!$B$9:$AB$158,27,FALSE)</f>
        <v>1168.5499999999993</v>
      </c>
      <c r="AA8" s="438">
        <v>182328765</v>
      </c>
      <c r="AB8" s="387">
        <f>+IFERROR(VLOOKUP(B8,'Nomina Unhesa'!B24:D165,3,0),"")</f>
        <v>3166.38</v>
      </c>
    </row>
    <row r="9" spans="1:7918">
      <c r="A9" s="26">
        <f t="shared" si="0"/>
        <v>7</v>
      </c>
      <c r="B9" s="388" t="s">
        <v>542</v>
      </c>
      <c r="C9" s="149">
        <v>4630038695</v>
      </c>
      <c r="D9" s="386" t="s">
        <v>542</v>
      </c>
      <c r="E9" s="149" t="str">
        <f>VLOOKUP($B9,'Nomina Unhesa'!$B$4:$AB$209,2,0)</f>
        <v>conserje</v>
      </c>
      <c r="F9" s="149">
        <f>VLOOKUP($B9,'Nomina Unhesa'!$B$4:$AB$209,4,0)</f>
        <v>30</v>
      </c>
      <c r="G9" s="230">
        <f>VLOOKUP($B9,'Nomina Unhesa'!$B$4:$AB$209,6,0)</f>
        <v>3166.38</v>
      </c>
      <c r="H9" s="230">
        <f>VLOOKUP($B9,'Nomina Unhesa'!$B$4:$AB$209,7,0)</f>
        <v>250</v>
      </c>
      <c r="I9" s="230">
        <f>VLOOKUP($B9,'Nomina Unhesa'!$B$4:$AB$209,9,0)</f>
        <v>0</v>
      </c>
      <c r="J9" s="232">
        <f>VLOOKUP($B9,'Nomina Unhesa'!$B$4:$AB$209,10,0)</f>
        <v>0</v>
      </c>
      <c r="K9" s="230">
        <f>VLOOKUP($B9,'Nomina Unhesa'!$B$4:$AB$209,11,0)</f>
        <v>0</v>
      </c>
      <c r="L9" s="230">
        <f>VLOOKUP($B9,'Nomina Unhesa'!$B$4:$AB$209,12,0)</f>
        <v>0</v>
      </c>
      <c r="M9" s="230">
        <f>VLOOKUP($B9,'Nomina Unhesa'!$B$4:$AB$209,14,0)</f>
        <v>0</v>
      </c>
      <c r="N9" s="232">
        <f>VLOOKUP($B9,'Nomina Unhesa'!$B$4:$AB$209,15,0)</f>
        <v>3416.38</v>
      </c>
      <c r="O9" s="232">
        <f>VLOOKUP($B9,'Nomina Unhesa'!$B$4:$AB$209,16,0)</f>
        <v>152.94</v>
      </c>
      <c r="P9" s="232">
        <f>VLOOKUP($B9,'Nomina Unhesa'!$B$4:$AB$209,17,0)</f>
        <v>0</v>
      </c>
      <c r="Q9" s="232">
        <f>VLOOKUP($B9,'Nomina Unhesa'!$B$4:$AB$209,18,0)</f>
        <v>0</v>
      </c>
      <c r="R9" s="232">
        <f>VLOOKUP($B9,'Nomina Unhesa'!$B$4:$AB$209,19,0)</f>
        <v>0</v>
      </c>
      <c r="S9" s="232">
        <f>VLOOKUP($B9,'Nomina Unhesa'!$B$4:$AB$209,20,0)</f>
        <v>0</v>
      </c>
      <c r="T9" s="232">
        <f>VLOOKUP($B9,'Nomina Unhesa'!$B$4:$AB$209,21,0)</f>
        <v>0</v>
      </c>
      <c r="U9" s="232">
        <f>VLOOKUP($B9,'Nomina Unhesa'!$B$4:$AB$209,22,0)</f>
        <v>0</v>
      </c>
      <c r="V9" s="232">
        <f>ROUND((VLOOKUP($B9,'Nomina Unhesa'!$B$4:$AB$209,23,0)),2)</f>
        <v>170</v>
      </c>
      <c r="W9" s="232">
        <f>VLOOKUP($B9,'Nomina Unhesa'!$B$4:$AB$209,24,0)</f>
        <v>322.94</v>
      </c>
      <c r="X9" s="232">
        <f>VLOOKUP(B9,'Nomina Unhesa'!$B$9:$Z$163,25,FALSE)</f>
        <v>3093.44</v>
      </c>
      <c r="Y9" s="236">
        <f>ROUND((VLOOKUP(B9,'Nomina Unhesa'!$B$9:$AB$157,26,FALSE)),2)</f>
        <v>1631.72</v>
      </c>
      <c r="Z9" s="211">
        <f>VLOOKUP(B9,'Nomina Unhesa'!$B$9:$AB$158,27,FALSE)</f>
        <v>1461.72</v>
      </c>
      <c r="AA9" s="438">
        <v>201600115710</v>
      </c>
      <c r="AB9" s="387">
        <f>+IFERROR(VLOOKUP(B9,'Nomina Unhesa'!B9:D157,3,0),"")</f>
        <v>3166.38</v>
      </c>
    </row>
    <row r="10" spans="1:7918" s="378" customFormat="1">
      <c r="A10" s="26">
        <f t="shared" si="0"/>
        <v>8</v>
      </c>
      <c r="B10" s="388" t="s">
        <v>574</v>
      </c>
      <c r="C10" s="225">
        <v>2300061930</v>
      </c>
      <c r="D10" s="386" t="s">
        <v>574</v>
      </c>
      <c r="E10" s="149" t="str">
        <f>VLOOKUP($B10,'Nomina Unhesa'!$B$4:$AB$209,2,0)</f>
        <v>Empacadora Liquidos</v>
      </c>
      <c r="F10" s="221">
        <f>VLOOKUP($B10,'Nomina Unhesa'!$B$4:$AB$209,4,0)</f>
        <v>30</v>
      </c>
      <c r="G10" s="229">
        <f>VLOOKUP($B10,'Nomina Unhesa'!$B$4:$AB$209,6,0)</f>
        <v>3166.38</v>
      </c>
      <c r="H10" s="229">
        <f>VLOOKUP($B10,'Nomina Unhesa'!$B$4:$AB$209,7,0)</f>
        <v>925</v>
      </c>
      <c r="I10" s="229">
        <f>VLOOKUP($B10,'Nomina Unhesa'!$B$4:$AB$209,9,0)</f>
        <v>6</v>
      </c>
      <c r="J10" s="234">
        <f>VLOOKUP($B10,'Nomina Unhesa'!$B$4:$AB$209,10,0)</f>
        <v>118.74</v>
      </c>
      <c r="K10" s="229">
        <f>VLOOKUP($B10,'Nomina Unhesa'!$B$4:$AB$209,11,0)</f>
        <v>0</v>
      </c>
      <c r="L10" s="229">
        <f>VLOOKUP($B10,'Nomina Unhesa'!$B$4:$AB$209,12,0)</f>
        <v>0</v>
      </c>
      <c r="M10" s="229">
        <f>VLOOKUP($B10,'Nomina Unhesa'!$B$4:$AB$209,14,0)</f>
        <v>0</v>
      </c>
      <c r="N10" s="234">
        <f>VLOOKUP($B10,'Nomina Unhesa'!$B$4:$AB$209,15,0)</f>
        <v>4210.12</v>
      </c>
      <c r="O10" s="234">
        <f>VLOOKUP($B10,'Nomina Unhesa'!$B$4:$AB$209,16,0)</f>
        <v>158.66999999999999</v>
      </c>
      <c r="P10" s="234">
        <f>VLOOKUP($B10,'Nomina Unhesa'!$B$4:$AB$209,17,0)</f>
        <v>39.979999999999997</v>
      </c>
      <c r="Q10" s="234">
        <f>VLOOKUP($B10,'Nomina Unhesa'!$B$4:$AB$209,18,0)</f>
        <v>0</v>
      </c>
      <c r="R10" s="234">
        <f>VLOOKUP($B10,'Nomina Unhesa'!$B$4:$AB$209,19,0)</f>
        <v>0</v>
      </c>
      <c r="S10" s="234">
        <f>VLOOKUP($B10,'Nomina Unhesa'!$B$4:$AB$209,20,0)</f>
        <v>0</v>
      </c>
      <c r="T10" s="234">
        <f>VLOOKUP($B10,'Nomina Unhesa'!$B$4:$AB$209,21,0)</f>
        <v>0</v>
      </c>
      <c r="U10" s="234">
        <f>VLOOKUP($B10,'Nomina Unhesa'!$B$4:$AB$209,22,0)</f>
        <v>366.25</v>
      </c>
      <c r="V10" s="234">
        <f>ROUND((VLOOKUP($B10,'Nomina Unhesa'!$B$4:$AB$209,23,0)),2)</f>
        <v>50</v>
      </c>
      <c r="W10" s="234">
        <f>VLOOKUP($B10,'Nomina Unhesa'!$B$4:$AB$209,24,0)</f>
        <v>614.9</v>
      </c>
      <c r="X10" s="234">
        <f>VLOOKUP(B10,'Nomina Unhesa'!$B$9:$Z$163,25,FALSE)</f>
        <v>3595.22</v>
      </c>
      <c r="Y10" s="255">
        <f>ROUND((VLOOKUP(B10,'Nomina Unhesa'!$B$9:$AB$157,26,FALSE)),2)</f>
        <v>1446.22</v>
      </c>
      <c r="Z10" s="219">
        <f>VLOOKUP(B10,'Nomina Unhesa'!$B$9:$AB$158,27,FALSE)</f>
        <v>2149</v>
      </c>
      <c r="AA10" s="441">
        <v>0</v>
      </c>
      <c r="AB10" s="389">
        <f>+IFERROR(VLOOKUP(B10,'Nomina Unhesa'!B14:D159,3,0),"")</f>
        <v>3285.12</v>
      </c>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c r="AQA10" s="3"/>
      <c r="AQB10" s="3"/>
      <c r="AQC10" s="3"/>
      <c r="AQD10" s="3"/>
      <c r="AQE10" s="3"/>
      <c r="AQF10" s="3"/>
      <c r="AQG10" s="3"/>
      <c r="AQH10" s="3"/>
      <c r="AQI10" s="3"/>
      <c r="AQJ10" s="3"/>
      <c r="AQK10" s="3"/>
      <c r="AQL10" s="3"/>
      <c r="AQM10" s="3"/>
      <c r="AQN10" s="3"/>
      <c r="AQO10" s="3"/>
      <c r="AQP10" s="3"/>
      <c r="AQQ10" s="3"/>
      <c r="AQR10" s="3"/>
      <c r="AQS10" s="3"/>
      <c r="AQT10" s="3"/>
      <c r="AQU10" s="3"/>
      <c r="AQV10" s="3"/>
      <c r="AQW10" s="3"/>
      <c r="AQX10" s="3"/>
      <c r="AQY10" s="3"/>
      <c r="AQZ10" s="3"/>
      <c r="ARA10" s="3"/>
      <c r="ARB10" s="3"/>
      <c r="ARC10" s="3"/>
      <c r="ARD10" s="3"/>
      <c r="ARE10" s="3"/>
      <c r="ARF10" s="3"/>
      <c r="ARG10" s="3"/>
      <c r="ARH10" s="3"/>
      <c r="ARI10" s="3"/>
      <c r="ARJ10" s="3"/>
      <c r="ARK10" s="3"/>
      <c r="ARL10" s="3"/>
      <c r="ARM10" s="3"/>
      <c r="ARN10" s="3"/>
      <c r="ARO10" s="3"/>
      <c r="ARP10" s="3"/>
      <c r="ARQ10" s="3"/>
      <c r="ARR10" s="3"/>
      <c r="ARS10" s="3"/>
      <c r="ART10" s="3"/>
      <c r="ARU10" s="3"/>
      <c r="ARV10" s="3"/>
      <c r="ARW10" s="3"/>
      <c r="ARX10" s="3"/>
      <c r="ARY10" s="3"/>
      <c r="ARZ10" s="3"/>
      <c r="ASA10" s="3"/>
      <c r="ASB10" s="3"/>
      <c r="ASC10" s="3"/>
      <c r="ASD10" s="3"/>
      <c r="ASE10" s="3"/>
      <c r="ASF10" s="3"/>
      <c r="ASG10" s="3"/>
      <c r="ASH10" s="3"/>
      <c r="ASI10" s="3"/>
      <c r="ASJ10" s="3"/>
      <c r="ASK10" s="3"/>
      <c r="ASL10" s="3"/>
      <c r="ASM10" s="3"/>
      <c r="ASN10" s="3"/>
      <c r="ASO10" s="3"/>
      <c r="ASP10" s="3"/>
      <c r="ASQ10" s="3"/>
      <c r="ASR10" s="3"/>
      <c r="ASS10" s="3"/>
      <c r="AST10" s="3"/>
      <c r="ASU10" s="3"/>
      <c r="ASV10" s="3"/>
      <c r="ASW10" s="3"/>
      <c r="ASX10" s="3"/>
      <c r="ASY10" s="3"/>
      <c r="ASZ10" s="3"/>
      <c r="ATA10" s="3"/>
      <c r="ATB10" s="3"/>
      <c r="ATC10" s="3"/>
      <c r="ATD10" s="3"/>
      <c r="ATE10" s="3"/>
      <c r="ATF10" s="3"/>
      <c r="ATG10" s="3"/>
      <c r="ATH10" s="3"/>
      <c r="ATI10" s="3"/>
      <c r="ATJ10" s="3"/>
      <c r="ATK10" s="3"/>
      <c r="ATL10" s="3"/>
      <c r="ATM10" s="3"/>
      <c r="ATN10" s="3"/>
      <c r="ATO10" s="3"/>
      <c r="ATP10" s="3"/>
      <c r="ATQ10" s="3"/>
      <c r="ATR10" s="3"/>
      <c r="ATS10" s="3"/>
      <c r="ATT10" s="3"/>
      <c r="ATU10" s="3"/>
      <c r="ATV10" s="3"/>
      <c r="ATW10" s="3"/>
      <c r="ATX10" s="3"/>
      <c r="ATY10" s="3"/>
      <c r="ATZ10" s="3"/>
      <c r="AUA10" s="3"/>
      <c r="AUB10" s="3"/>
      <c r="AUC10" s="3"/>
      <c r="AUD10" s="3"/>
      <c r="AUE10" s="3"/>
      <c r="AUF10" s="3"/>
      <c r="AUG10" s="3"/>
      <c r="AUH10" s="3"/>
      <c r="AUI10" s="3"/>
      <c r="AUJ10" s="3"/>
      <c r="AUK10" s="3"/>
      <c r="AUL10" s="3"/>
      <c r="AUM10" s="3"/>
      <c r="AUN10" s="3"/>
      <c r="AUO10" s="3"/>
      <c r="AUP10" s="3"/>
      <c r="AUQ10" s="3"/>
      <c r="AUR10" s="3"/>
      <c r="AUS10" s="3"/>
      <c r="AUT10" s="3"/>
      <c r="AUU10" s="3"/>
      <c r="AUV10" s="3"/>
      <c r="AUW10" s="3"/>
      <c r="AUX10" s="3"/>
      <c r="AUY10" s="3"/>
      <c r="AUZ10" s="3"/>
      <c r="AVA10" s="3"/>
      <c r="AVB10" s="3"/>
      <c r="AVC10" s="3"/>
      <c r="AVD10" s="3"/>
      <c r="AVE10" s="3"/>
      <c r="AVF10" s="3"/>
      <c r="AVG10" s="3"/>
      <c r="AVH10" s="3"/>
      <c r="AVI10" s="3"/>
      <c r="AVJ10" s="3"/>
      <c r="AVK10" s="3"/>
      <c r="AVL10" s="3"/>
      <c r="AVM10" s="3"/>
      <c r="AVN10" s="3"/>
      <c r="AVO10" s="3"/>
      <c r="AVP10" s="3"/>
      <c r="AVQ10" s="3"/>
      <c r="AVR10" s="3"/>
      <c r="AVS10" s="3"/>
      <c r="AVT10" s="3"/>
      <c r="AVU10" s="3"/>
      <c r="AVV10" s="3"/>
      <c r="AVW10" s="3"/>
      <c r="AVX10" s="3"/>
      <c r="AVY10" s="3"/>
      <c r="AVZ10" s="3"/>
      <c r="AWA10" s="3"/>
      <c r="AWB10" s="3"/>
      <c r="AWC10" s="3"/>
      <c r="AWD10" s="3"/>
      <c r="AWE10" s="3"/>
      <c r="AWF10" s="3"/>
      <c r="AWG10" s="3"/>
      <c r="AWH10" s="3"/>
      <c r="AWI10" s="3"/>
      <c r="AWJ10" s="3"/>
      <c r="AWK10" s="3"/>
      <c r="AWL10" s="3"/>
      <c r="AWM10" s="3"/>
      <c r="AWN10" s="3"/>
      <c r="AWO10" s="3"/>
      <c r="AWP10" s="3"/>
      <c r="AWQ10" s="3"/>
      <c r="AWR10" s="3"/>
      <c r="AWS10" s="3"/>
      <c r="AWT10" s="3"/>
      <c r="AWU10" s="3"/>
      <c r="AWV10" s="3"/>
      <c r="AWW10" s="3"/>
      <c r="AWX10" s="3"/>
      <c r="AWY10" s="3"/>
      <c r="AWZ10" s="3"/>
      <c r="AXA10" s="3"/>
      <c r="AXB10" s="3"/>
      <c r="AXC10" s="3"/>
      <c r="AXD10" s="3"/>
      <c r="AXE10" s="3"/>
      <c r="AXF10" s="3"/>
      <c r="AXG10" s="3"/>
      <c r="AXH10" s="3"/>
      <c r="AXI10" s="3"/>
      <c r="AXJ10" s="3"/>
      <c r="AXK10" s="3"/>
      <c r="AXL10" s="3"/>
      <c r="AXM10" s="3"/>
      <c r="AXN10" s="3"/>
      <c r="AXO10" s="3"/>
      <c r="AXP10" s="3"/>
      <c r="AXQ10" s="3"/>
      <c r="AXR10" s="3"/>
      <c r="AXS10" s="3"/>
      <c r="AXT10" s="3"/>
      <c r="AXU10" s="3"/>
      <c r="AXV10" s="3"/>
      <c r="AXW10" s="3"/>
      <c r="AXX10" s="3"/>
      <c r="AXY10" s="3"/>
      <c r="AXZ10" s="3"/>
      <c r="AYA10" s="3"/>
      <c r="AYB10" s="3"/>
      <c r="AYC10" s="3"/>
      <c r="AYD10" s="3"/>
      <c r="AYE10" s="3"/>
      <c r="AYF10" s="3"/>
      <c r="AYG10" s="3"/>
      <c r="AYH10" s="3"/>
      <c r="AYI10" s="3"/>
      <c r="AYJ10" s="3"/>
      <c r="AYK10" s="3"/>
      <c r="AYL10" s="3"/>
      <c r="AYM10" s="3"/>
      <c r="AYN10" s="3"/>
      <c r="AYO10" s="3"/>
      <c r="AYP10" s="3"/>
      <c r="AYQ10" s="3"/>
      <c r="AYR10" s="3"/>
      <c r="AYS10" s="3"/>
      <c r="AYT10" s="3"/>
      <c r="AYU10" s="3"/>
      <c r="AYV10" s="3"/>
      <c r="AYW10" s="3"/>
      <c r="AYX10" s="3"/>
      <c r="AYY10" s="3"/>
      <c r="AYZ10" s="3"/>
      <c r="AZA10" s="3"/>
      <c r="AZB10" s="3"/>
      <c r="AZC10" s="3"/>
      <c r="AZD10" s="3"/>
      <c r="AZE10" s="3"/>
      <c r="AZF10" s="3"/>
      <c r="AZG10" s="3"/>
      <c r="AZH10" s="3"/>
      <c r="AZI10" s="3"/>
      <c r="AZJ10" s="3"/>
      <c r="AZK10" s="3"/>
      <c r="AZL10" s="3"/>
      <c r="AZM10" s="3"/>
      <c r="AZN10" s="3"/>
      <c r="AZO10" s="3"/>
      <c r="AZP10" s="3"/>
      <c r="AZQ10" s="3"/>
      <c r="AZR10" s="3"/>
      <c r="AZS10" s="3"/>
      <c r="AZT10" s="3"/>
      <c r="AZU10" s="3"/>
      <c r="AZV10" s="3"/>
      <c r="AZW10" s="3"/>
      <c r="AZX10" s="3"/>
      <c r="AZY10" s="3"/>
      <c r="AZZ10" s="3"/>
      <c r="BAA10" s="3"/>
      <c r="BAB10" s="3"/>
      <c r="BAC10" s="3"/>
      <c r="BAD10" s="3"/>
      <c r="BAE10" s="3"/>
      <c r="BAF10" s="3"/>
      <c r="BAG10" s="3"/>
      <c r="BAH10" s="3"/>
      <c r="BAI10" s="3"/>
      <c r="BAJ10" s="3"/>
      <c r="BAK10" s="3"/>
      <c r="BAL10" s="3"/>
      <c r="BAM10" s="3"/>
      <c r="BAN10" s="3"/>
      <c r="BAO10" s="3"/>
      <c r="BAP10" s="3"/>
      <c r="BAQ10" s="3"/>
      <c r="BAR10" s="3"/>
      <c r="BAS10" s="3"/>
      <c r="BAT10" s="3"/>
      <c r="BAU10" s="3"/>
      <c r="BAV10" s="3"/>
      <c r="BAW10" s="3"/>
      <c r="BAX10" s="3"/>
      <c r="BAY10" s="3"/>
      <c r="BAZ10" s="3"/>
      <c r="BBA10" s="3"/>
      <c r="BBB10" s="3"/>
      <c r="BBC10" s="3"/>
      <c r="BBD10" s="3"/>
      <c r="BBE10" s="3"/>
      <c r="BBF10" s="3"/>
      <c r="BBG10" s="3"/>
      <c r="BBH10" s="3"/>
      <c r="BBI10" s="3"/>
      <c r="BBJ10" s="3"/>
      <c r="BBK10" s="3"/>
      <c r="BBL10" s="3"/>
      <c r="BBM10" s="3"/>
      <c r="BBN10" s="3"/>
      <c r="BBO10" s="3"/>
      <c r="BBP10" s="3"/>
      <c r="BBQ10" s="3"/>
      <c r="BBR10" s="3"/>
      <c r="BBS10" s="3"/>
      <c r="BBT10" s="3"/>
      <c r="BBU10" s="3"/>
      <c r="BBV10" s="3"/>
      <c r="BBW10" s="3"/>
      <c r="BBX10" s="3"/>
      <c r="BBY10" s="3"/>
      <c r="BBZ10" s="3"/>
      <c r="BCA10" s="3"/>
      <c r="BCB10" s="3"/>
      <c r="BCC10" s="3"/>
      <c r="BCD10" s="3"/>
      <c r="BCE10" s="3"/>
      <c r="BCF10" s="3"/>
      <c r="BCG10" s="3"/>
      <c r="BCH10" s="3"/>
      <c r="BCI10" s="3"/>
      <c r="BCJ10" s="3"/>
      <c r="BCK10" s="3"/>
      <c r="BCL10" s="3"/>
      <c r="BCM10" s="3"/>
      <c r="BCN10" s="3"/>
      <c r="BCO10" s="3"/>
      <c r="BCP10" s="3"/>
      <c r="BCQ10" s="3"/>
      <c r="BCR10" s="3"/>
      <c r="BCS10" s="3"/>
      <c r="BCT10" s="3"/>
      <c r="BCU10" s="3"/>
      <c r="BCV10" s="3"/>
      <c r="BCW10" s="3"/>
      <c r="BCX10" s="3"/>
      <c r="BCY10" s="3"/>
      <c r="BCZ10" s="3"/>
      <c r="BDA10" s="3"/>
      <c r="BDB10" s="3"/>
      <c r="BDC10" s="3"/>
      <c r="BDD10" s="3"/>
      <c r="BDE10" s="3"/>
      <c r="BDF10" s="3"/>
      <c r="BDG10" s="3"/>
      <c r="BDH10" s="3"/>
      <c r="BDI10" s="3"/>
      <c r="BDJ10" s="3"/>
      <c r="BDK10" s="3"/>
      <c r="BDL10" s="3"/>
      <c r="BDM10" s="3"/>
      <c r="BDN10" s="3"/>
      <c r="BDO10" s="3"/>
      <c r="BDP10" s="3"/>
      <c r="BDQ10" s="3"/>
      <c r="BDR10" s="3"/>
      <c r="BDS10" s="3"/>
      <c r="BDT10" s="3"/>
      <c r="BDU10" s="3"/>
      <c r="BDV10" s="3"/>
      <c r="BDW10" s="3"/>
      <c r="BDX10" s="3"/>
      <c r="BDY10" s="3"/>
      <c r="BDZ10" s="3"/>
      <c r="BEA10" s="3"/>
      <c r="BEB10" s="3"/>
      <c r="BEC10" s="3"/>
      <c r="BED10" s="3"/>
      <c r="BEE10" s="3"/>
      <c r="BEF10" s="3"/>
      <c r="BEG10" s="3"/>
      <c r="BEH10" s="3"/>
      <c r="BEI10" s="3"/>
      <c r="BEJ10" s="3"/>
      <c r="BEK10" s="3"/>
      <c r="BEL10" s="3"/>
      <c r="BEM10" s="3"/>
      <c r="BEN10" s="3"/>
      <c r="BEO10" s="3"/>
      <c r="BEP10" s="3"/>
      <c r="BEQ10" s="3"/>
      <c r="BER10" s="3"/>
      <c r="BES10" s="3"/>
      <c r="BET10" s="3"/>
      <c r="BEU10" s="3"/>
      <c r="BEV10" s="3"/>
      <c r="BEW10" s="3"/>
      <c r="BEX10" s="3"/>
      <c r="BEY10" s="3"/>
      <c r="BEZ10" s="3"/>
      <c r="BFA10" s="3"/>
      <c r="BFB10" s="3"/>
      <c r="BFC10" s="3"/>
      <c r="BFD10" s="3"/>
      <c r="BFE10" s="3"/>
      <c r="BFF10" s="3"/>
      <c r="BFG10" s="3"/>
      <c r="BFH10" s="3"/>
      <c r="BFI10" s="3"/>
      <c r="BFJ10" s="3"/>
      <c r="BFK10" s="3"/>
      <c r="BFL10" s="3"/>
      <c r="BFM10" s="3"/>
      <c r="BFN10" s="3"/>
      <c r="BFO10" s="3"/>
      <c r="BFP10" s="3"/>
      <c r="BFQ10" s="3"/>
      <c r="BFR10" s="3"/>
      <c r="BFS10" s="3"/>
      <c r="BFT10" s="3"/>
      <c r="BFU10" s="3"/>
      <c r="BFV10" s="3"/>
      <c r="BFW10" s="3"/>
      <c r="BFX10" s="3"/>
      <c r="BFY10" s="3"/>
      <c r="BFZ10" s="3"/>
      <c r="BGA10" s="3"/>
      <c r="BGB10" s="3"/>
      <c r="BGC10" s="3"/>
      <c r="BGD10" s="3"/>
      <c r="BGE10" s="3"/>
      <c r="BGF10" s="3"/>
      <c r="BGG10" s="3"/>
      <c r="BGH10" s="3"/>
      <c r="BGI10" s="3"/>
      <c r="BGJ10" s="3"/>
      <c r="BGK10" s="3"/>
      <c r="BGL10" s="3"/>
      <c r="BGM10" s="3"/>
      <c r="BGN10" s="3"/>
      <c r="BGO10" s="3"/>
      <c r="BGP10" s="3"/>
      <c r="BGQ10" s="3"/>
      <c r="BGR10" s="3"/>
      <c r="BGS10" s="3"/>
      <c r="BGT10" s="3"/>
      <c r="BGU10" s="3"/>
      <c r="BGV10" s="3"/>
      <c r="BGW10" s="3"/>
      <c r="BGX10" s="3"/>
      <c r="BGY10" s="3"/>
      <c r="BGZ10" s="3"/>
      <c r="BHA10" s="3"/>
      <c r="BHB10" s="3"/>
      <c r="BHC10" s="3"/>
      <c r="BHD10" s="3"/>
      <c r="BHE10" s="3"/>
      <c r="BHF10" s="3"/>
      <c r="BHG10" s="3"/>
      <c r="BHH10" s="3"/>
      <c r="BHI10" s="3"/>
      <c r="BHJ10" s="3"/>
      <c r="BHK10" s="3"/>
      <c r="BHL10" s="3"/>
      <c r="BHM10" s="3"/>
      <c r="BHN10" s="3"/>
      <c r="BHO10" s="3"/>
      <c r="BHP10" s="3"/>
      <c r="BHQ10" s="3"/>
      <c r="BHR10" s="3"/>
      <c r="BHS10" s="3"/>
      <c r="BHT10" s="3"/>
      <c r="BHU10" s="3"/>
      <c r="BHV10" s="3"/>
      <c r="BHW10" s="3"/>
      <c r="BHX10" s="3"/>
      <c r="BHY10" s="3"/>
      <c r="BHZ10" s="3"/>
      <c r="BIA10" s="3"/>
      <c r="BIB10" s="3"/>
      <c r="BIC10" s="3"/>
      <c r="BID10" s="3"/>
      <c r="BIE10" s="3"/>
      <c r="BIF10" s="3"/>
      <c r="BIG10" s="3"/>
      <c r="BIH10" s="3"/>
      <c r="BII10" s="3"/>
      <c r="BIJ10" s="3"/>
      <c r="BIK10" s="3"/>
      <c r="BIL10" s="3"/>
      <c r="BIM10" s="3"/>
      <c r="BIN10" s="3"/>
      <c r="BIO10" s="3"/>
      <c r="BIP10" s="3"/>
      <c r="BIQ10" s="3"/>
      <c r="BIR10" s="3"/>
      <c r="BIS10" s="3"/>
      <c r="BIT10" s="3"/>
      <c r="BIU10" s="3"/>
      <c r="BIV10" s="3"/>
      <c r="BIW10" s="3"/>
      <c r="BIX10" s="3"/>
      <c r="BIY10" s="3"/>
      <c r="BIZ10" s="3"/>
      <c r="BJA10" s="3"/>
      <c r="BJB10" s="3"/>
      <c r="BJC10" s="3"/>
      <c r="BJD10" s="3"/>
      <c r="BJE10" s="3"/>
      <c r="BJF10" s="3"/>
      <c r="BJG10" s="3"/>
      <c r="BJH10" s="3"/>
      <c r="BJI10" s="3"/>
      <c r="BJJ10" s="3"/>
      <c r="BJK10" s="3"/>
      <c r="BJL10" s="3"/>
      <c r="BJM10" s="3"/>
      <c r="BJN10" s="3"/>
      <c r="BJO10" s="3"/>
      <c r="BJP10" s="3"/>
      <c r="BJQ10" s="3"/>
      <c r="BJR10" s="3"/>
      <c r="BJS10" s="3"/>
      <c r="BJT10" s="3"/>
      <c r="BJU10" s="3"/>
      <c r="BJV10" s="3"/>
      <c r="BJW10" s="3"/>
      <c r="BJX10" s="3"/>
      <c r="BJY10" s="3"/>
      <c r="BJZ10" s="3"/>
      <c r="BKA10" s="3"/>
      <c r="BKB10" s="3"/>
      <c r="BKC10" s="3"/>
      <c r="BKD10" s="3"/>
      <c r="BKE10" s="3"/>
      <c r="BKF10" s="3"/>
      <c r="BKG10" s="3"/>
      <c r="BKH10" s="3"/>
      <c r="BKI10" s="3"/>
      <c r="BKJ10" s="3"/>
      <c r="BKK10" s="3"/>
      <c r="BKL10" s="3"/>
      <c r="BKM10" s="3"/>
      <c r="BKN10" s="3"/>
      <c r="BKO10" s="3"/>
      <c r="BKP10" s="3"/>
      <c r="BKQ10" s="3"/>
      <c r="BKR10" s="3"/>
      <c r="BKS10" s="3"/>
      <c r="BKT10" s="3"/>
      <c r="BKU10" s="3"/>
      <c r="BKV10" s="3"/>
      <c r="BKW10" s="3"/>
      <c r="BKX10" s="3"/>
      <c r="BKY10" s="3"/>
      <c r="BKZ10" s="3"/>
      <c r="BLA10" s="3"/>
      <c r="BLB10" s="3"/>
      <c r="BLC10" s="3"/>
      <c r="BLD10" s="3"/>
      <c r="BLE10" s="3"/>
      <c r="BLF10" s="3"/>
      <c r="BLG10" s="3"/>
      <c r="BLH10" s="3"/>
      <c r="BLI10" s="3"/>
      <c r="BLJ10" s="3"/>
      <c r="BLK10" s="3"/>
      <c r="BLL10" s="3"/>
      <c r="BLM10" s="3"/>
      <c r="BLN10" s="3"/>
      <c r="BLO10" s="3"/>
      <c r="BLP10" s="3"/>
      <c r="BLQ10" s="3"/>
      <c r="BLR10" s="3"/>
      <c r="BLS10" s="3"/>
      <c r="BLT10" s="3"/>
      <c r="BLU10" s="3"/>
      <c r="BLV10" s="3"/>
      <c r="BLW10" s="3"/>
      <c r="BLX10" s="3"/>
      <c r="BLY10" s="3"/>
      <c r="BLZ10" s="3"/>
      <c r="BMA10" s="3"/>
      <c r="BMB10" s="3"/>
      <c r="BMC10" s="3"/>
      <c r="BMD10" s="3"/>
      <c r="BME10" s="3"/>
      <c r="BMF10" s="3"/>
      <c r="BMG10" s="3"/>
      <c r="BMH10" s="3"/>
      <c r="BMI10" s="3"/>
      <c r="BMJ10" s="3"/>
      <c r="BMK10" s="3"/>
      <c r="BML10" s="3"/>
      <c r="BMM10" s="3"/>
      <c r="BMN10" s="3"/>
      <c r="BMO10" s="3"/>
      <c r="BMP10" s="3"/>
      <c r="BMQ10" s="3"/>
      <c r="BMR10" s="3"/>
      <c r="BMS10" s="3"/>
      <c r="BMT10" s="3"/>
      <c r="BMU10" s="3"/>
      <c r="BMV10" s="3"/>
      <c r="BMW10" s="3"/>
      <c r="BMX10" s="3"/>
      <c r="BMY10" s="3"/>
      <c r="BMZ10" s="3"/>
      <c r="BNA10" s="3"/>
      <c r="BNB10" s="3"/>
      <c r="BNC10" s="3"/>
      <c r="BND10" s="3"/>
      <c r="BNE10" s="3"/>
      <c r="BNF10" s="3"/>
      <c r="BNG10" s="3"/>
      <c r="BNH10" s="3"/>
      <c r="BNI10" s="3"/>
      <c r="BNJ10" s="3"/>
      <c r="BNK10" s="3"/>
      <c r="BNL10" s="3"/>
      <c r="BNM10" s="3"/>
      <c r="BNN10" s="3"/>
      <c r="BNO10" s="3"/>
      <c r="BNP10" s="3"/>
      <c r="BNQ10" s="3"/>
      <c r="BNR10" s="3"/>
      <c r="BNS10" s="3"/>
      <c r="BNT10" s="3"/>
      <c r="BNU10" s="3"/>
      <c r="BNV10" s="3"/>
      <c r="BNW10" s="3"/>
      <c r="BNX10" s="3"/>
      <c r="BNY10" s="3"/>
      <c r="BNZ10" s="3"/>
      <c r="BOA10" s="3"/>
      <c r="BOB10" s="3"/>
      <c r="BOC10" s="3"/>
      <c r="BOD10" s="3"/>
      <c r="BOE10" s="3"/>
      <c r="BOF10" s="3"/>
      <c r="BOG10" s="3"/>
      <c r="BOH10" s="3"/>
      <c r="BOI10" s="3"/>
      <c r="BOJ10" s="3"/>
      <c r="BOK10" s="3"/>
      <c r="BOL10" s="3"/>
      <c r="BOM10" s="3"/>
      <c r="BON10" s="3"/>
      <c r="BOO10" s="3"/>
      <c r="BOP10" s="3"/>
      <c r="BOQ10" s="3"/>
      <c r="BOR10" s="3"/>
      <c r="BOS10" s="3"/>
      <c r="BOT10" s="3"/>
      <c r="BOU10" s="3"/>
      <c r="BOV10" s="3"/>
      <c r="BOW10" s="3"/>
      <c r="BOX10" s="3"/>
      <c r="BOY10" s="3"/>
      <c r="BOZ10" s="3"/>
      <c r="BPA10" s="3"/>
      <c r="BPB10" s="3"/>
      <c r="BPC10" s="3"/>
      <c r="BPD10" s="3"/>
      <c r="BPE10" s="3"/>
      <c r="BPF10" s="3"/>
      <c r="BPG10" s="3"/>
      <c r="BPH10" s="3"/>
      <c r="BPI10" s="3"/>
      <c r="BPJ10" s="3"/>
      <c r="BPK10" s="3"/>
      <c r="BPL10" s="3"/>
      <c r="BPM10" s="3"/>
      <c r="BPN10" s="3"/>
      <c r="BPO10" s="3"/>
      <c r="BPP10" s="3"/>
      <c r="BPQ10" s="3"/>
      <c r="BPR10" s="3"/>
      <c r="BPS10" s="3"/>
      <c r="BPT10" s="3"/>
      <c r="BPU10" s="3"/>
      <c r="BPV10" s="3"/>
      <c r="BPW10" s="3"/>
      <c r="BPX10" s="3"/>
      <c r="BPY10" s="3"/>
      <c r="BPZ10" s="3"/>
      <c r="BQA10" s="3"/>
      <c r="BQB10" s="3"/>
      <c r="BQC10" s="3"/>
      <c r="BQD10" s="3"/>
      <c r="BQE10" s="3"/>
      <c r="BQF10" s="3"/>
      <c r="BQG10" s="3"/>
      <c r="BQH10" s="3"/>
      <c r="BQI10" s="3"/>
      <c r="BQJ10" s="3"/>
      <c r="BQK10" s="3"/>
      <c r="BQL10" s="3"/>
      <c r="BQM10" s="3"/>
      <c r="BQN10" s="3"/>
      <c r="BQO10" s="3"/>
      <c r="BQP10" s="3"/>
      <c r="BQQ10" s="3"/>
      <c r="BQR10" s="3"/>
      <c r="BQS10" s="3"/>
      <c r="BQT10" s="3"/>
      <c r="BQU10" s="3"/>
      <c r="BQV10" s="3"/>
      <c r="BQW10" s="3"/>
      <c r="BQX10" s="3"/>
      <c r="BQY10" s="3"/>
      <c r="BQZ10" s="3"/>
      <c r="BRA10" s="3"/>
      <c r="BRB10" s="3"/>
      <c r="BRC10" s="3"/>
      <c r="BRD10" s="3"/>
      <c r="BRE10" s="3"/>
      <c r="BRF10" s="3"/>
      <c r="BRG10" s="3"/>
      <c r="BRH10" s="3"/>
      <c r="BRI10" s="3"/>
      <c r="BRJ10" s="3"/>
      <c r="BRK10" s="3"/>
      <c r="BRL10" s="3"/>
      <c r="BRM10" s="3"/>
      <c r="BRN10" s="3"/>
      <c r="BRO10" s="3"/>
      <c r="BRP10" s="3"/>
      <c r="BRQ10" s="3"/>
      <c r="BRR10" s="3"/>
      <c r="BRS10" s="3"/>
      <c r="BRT10" s="3"/>
      <c r="BRU10" s="3"/>
      <c r="BRV10" s="3"/>
      <c r="BRW10" s="3"/>
      <c r="BRX10" s="3"/>
      <c r="BRY10" s="3"/>
      <c r="BRZ10" s="3"/>
      <c r="BSA10" s="3"/>
      <c r="BSB10" s="3"/>
      <c r="BSC10" s="3"/>
      <c r="BSD10" s="3"/>
      <c r="BSE10" s="3"/>
      <c r="BSF10" s="3"/>
      <c r="BSG10" s="3"/>
      <c r="BSH10" s="3"/>
      <c r="BSI10" s="3"/>
      <c r="BSJ10" s="3"/>
      <c r="BSK10" s="3"/>
      <c r="BSL10" s="3"/>
      <c r="BSM10" s="3"/>
      <c r="BSN10" s="3"/>
      <c r="BSO10" s="3"/>
      <c r="BSP10" s="3"/>
      <c r="BSQ10" s="3"/>
      <c r="BSR10" s="3"/>
      <c r="BSS10" s="3"/>
      <c r="BST10" s="3"/>
      <c r="BSU10" s="3"/>
      <c r="BSV10" s="3"/>
      <c r="BSW10" s="3"/>
      <c r="BSX10" s="3"/>
      <c r="BSY10" s="3"/>
      <c r="BSZ10" s="3"/>
      <c r="BTA10" s="3"/>
      <c r="BTB10" s="3"/>
      <c r="BTC10" s="3"/>
      <c r="BTD10" s="3"/>
      <c r="BTE10" s="3"/>
      <c r="BTF10" s="3"/>
      <c r="BTG10" s="3"/>
      <c r="BTH10" s="3"/>
      <c r="BTI10" s="3"/>
      <c r="BTJ10" s="3"/>
      <c r="BTK10" s="3"/>
      <c r="BTL10" s="3"/>
      <c r="BTM10" s="3"/>
      <c r="BTN10" s="3"/>
      <c r="BTO10" s="3"/>
      <c r="BTP10" s="3"/>
      <c r="BTQ10" s="3"/>
      <c r="BTR10" s="3"/>
      <c r="BTS10" s="3"/>
      <c r="BTT10" s="3"/>
      <c r="BTU10" s="3"/>
      <c r="BTV10" s="3"/>
      <c r="BTW10" s="3"/>
      <c r="BTX10" s="3"/>
      <c r="BTY10" s="3"/>
      <c r="BTZ10" s="3"/>
      <c r="BUA10" s="3"/>
      <c r="BUB10" s="3"/>
      <c r="BUC10" s="3"/>
      <c r="BUD10" s="3"/>
      <c r="BUE10" s="3"/>
      <c r="BUF10" s="3"/>
      <c r="BUG10" s="3"/>
      <c r="BUH10" s="3"/>
      <c r="BUI10" s="3"/>
      <c r="BUJ10" s="3"/>
      <c r="BUK10" s="3"/>
      <c r="BUL10" s="3"/>
      <c r="BUM10" s="3"/>
      <c r="BUN10" s="3"/>
      <c r="BUO10" s="3"/>
      <c r="BUP10" s="3"/>
      <c r="BUQ10" s="3"/>
      <c r="BUR10" s="3"/>
      <c r="BUS10" s="3"/>
      <c r="BUT10" s="3"/>
      <c r="BUU10" s="3"/>
      <c r="BUV10" s="3"/>
      <c r="BUW10" s="3"/>
      <c r="BUX10" s="3"/>
      <c r="BUY10" s="3"/>
      <c r="BUZ10" s="3"/>
      <c r="BVA10" s="3"/>
      <c r="BVB10" s="3"/>
      <c r="BVC10" s="3"/>
      <c r="BVD10" s="3"/>
      <c r="BVE10" s="3"/>
      <c r="BVF10" s="3"/>
      <c r="BVG10" s="3"/>
      <c r="BVH10" s="3"/>
      <c r="BVI10" s="3"/>
      <c r="BVJ10" s="3"/>
      <c r="BVK10" s="3"/>
      <c r="BVL10" s="3"/>
      <c r="BVM10" s="3"/>
      <c r="BVN10" s="3"/>
      <c r="BVO10" s="3"/>
      <c r="BVP10" s="3"/>
      <c r="BVQ10" s="3"/>
      <c r="BVR10" s="3"/>
      <c r="BVS10" s="3"/>
      <c r="BVT10" s="3"/>
      <c r="BVU10" s="3"/>
      <c r="BVV10" s="3"/>
      <c r="BVW10" s="3"/>
      <c r="BVX10" s="3"/>
      <c r="BVY10" s="3"/>
      <c r="BVZ10" s="3"/>
      <c r="BWA10" s="3"/>
      <c r="BWB10" s="3"/>
      <c r="BWC10" s="3"/>
      <c r="BWD10" s="3"/>
      <c r="BWE10" s="3"/>
      <c r="BWF10" s="3"/>
      <c r="BWG10" s="3"/>
      <c r="BWH10" s="3"/>
      <c r="BWI10" s="3"/>
      <c r="BWJ10" s="3"/>
      <c r="BWK10" s="3"/>
      <c r="BWL10" s="3"/>
      <c r="BWM10" s="3"/>
      <c r="BWN10" s="3"/>
      <c r="BWO10" s="3"/>
      <c r="BWP10" s="3"/>
      <c r="BWQ10" s="3"/>
      <c r="BWR10" s="3"/>
      <c r="BWS10" s="3"/>
      <c r="BWT10" s="3"/>
      <c r="BWU10" s="3"/>
      <c r="BWV10" s="3"/>
      <c r="BWW10" s="3"/>
      <c r="BWX10" s="3"/>
      <c r="BWY10" s="3"/>
      <c r="BWZ10" s="3"/>
      <c r="BXA10" s="3"/>
      <c r="BXB10" s="3"/>
      <c r="BXC10" s="3"/>
      <c r="BXD10" s="3"/>
      <c r="BXE10" s="3"/>
      <c r="BXF10" s="3"/>
      <c r="BXG10" s="3"/>
      <c r="BXH10" s="3"/>
      <c r="BXI10" s="3"/>
      <c r="BXJ10" s="3"/>
      <c r="BXK10" s="3"/>
      <c r="BXL10" s="3"/>
      <c r="BXM10" s="3"/>
      <c r="BXN10" s="3"/>
      <c r="BXO10" s="3"/>
      <c r="BXP10" s="3"/>
      <c r="BXQ10" s="3"/>
      <c r="BXR10" s="3"/>
      <c r="BXS10" s="3"/>
      <c r="BXT10" s="3"/>
      <c r="BXU10" s="3"/>
      <c r="BXV10" s="3"/>
      <c r="BXW10" s="3"/>
      <c r="BXX10" s="3"/>
      <c r="BXY10" s="3"/>
      <c r="BXZ10" s="3"/>
      <c r="BYA10" s="3"/>
      <c r="BYB10" s="3"/>
      <c r="BYC10" s="3"/>
      <c r="BYD10" s="3"/>
      <c r="BYE10" s="3"/>
      <c r="BYF10" s="3"/>
      <c r="BYG10" s="3"/>
      <c r="BYH10" s="3"/>
      <c r="BYI10" s="3"/>
      <c r="BYJ10" s="3"/>
      <c r="BYK10" s="3"/>
      <c r="BYL10" s="3"/>
      <c r="BYM10" s="3"/>
      <c r="BYN10" s="3"/>
      <c r="BYO10" s="3"/>
      <c r="BYP10" s="3"/>
      <c r="BYQ10" s="3"/>
      <c r="BYR10" s="3"/>
      <c r="BYS10" s="3"/>
      <c r="BYT10" s="3"/>
      <c r="BYU10" s="3"/>
      <c r="BYV10" s="3"/>
      <c r="BYW10" s="3"/>
      <c r="BYX10" s="3"/>
      <c r="BYY10" s="3"/>
      <c r="BYZ10" s="3"/>
      <c r="BZA10" s="3"/>
      <c r="BZB10" s="3"/>
      <c r="BZC10" s="3"/>
      <c r="BZD10" s="3"/>
      <c r="BZE10" s="3"/>
      <c r="BZF10" s="3"/>
      <c r="BZG10" s="3"/>
      <c r="BZH10" s="3"/>
      <c r="BZI10" s="3"/>
      <c r="BZJ10" s="3"/>
      <c r="BZK10" s="3"/>
      <c r="BZL10" s="3"/>
      <c r="BZM10" s="3"/>
      <c r="BZN10" s="3"/>
      <c r="BZO10" s="3"/>
      <c r="BZP10" s="3"/>
      <c r="BZQ10" s="3"/>
      <c r="BZR10" s="3"/>
      <c r="BZS10" s="3"/>
      <c r="BZT10" s="3"/>
      <c r="BZU10" s="3"/>
      <c r="BZV10" s="3"/>
      <c r="BZW10" s="3"/>
      <c r="BZX10" s="3"/>
      <c r="BZY10" s="3"/>
      <c r="BZZ10" s="3"/>
      <c r="CAA10" s="3"/>
      <c r="CAB10" s="3"/>
      <c r="CAC10" s="3"/>
      <c r="CAD10" s="3"/>
      <c r="CAE10" s="3"/>
      <c r="CAF10" s="3"/>
      <c r="CAG10" s="3"/>
      <c r="CAH10" s="3"/>
      <c r="CAI10" s="3"/>
      <c r="CAJ10" s="3"/>
      <c r="CAK10" s="3"/>
      <c r="CAL10" s="3"/>
      <c r="CAM10" s="3"/>
      <c r="CAN10" s="3"/>
      <c r="CAO10" s="3"/>
      <c r="CAP10" s="3"/>
      <c r="CAQ10" s="3"/>
      <c r="CAR10" s="3"/>
      <c r="CAS10" s="3"/>
      <c r="CAT10" s="3"/>
      <c r="CAU10" s="3"/>
      <c r="CAV10" s="3"/>
      <c r="CAW10" s="3"/>
      <c r="CAX10" s="3"/>
      <c r="CAY10" s="3"/>
      <c r="CAZ10" s="3"/>
      <c r="CBA10" s="3"/>
      <c r="CBB10" s="3"/>
      <c r="CBC10" s="3"/>
      <c r="CBD10" s="3"/>
      <c r="CBE10" s="3"/>
      <c r="CBF10" s="3"/>
      <c r="CBG10" s="3"/>
      <c r="CBH10" s="3"/>
      <c r="CBI10" s="3"/>
      <c r="CBJ10" s="3"/>
      <c r="CBK10" s="3"/>
      <c r="CBL10" s="3"/>
      <c r="CBM10" s="3"/>
      <c r="CBN10" s="3"/>
      <c r="CBO10" s="3"/>
      <c r="CBP10" s="3"/>
      <c r="CBQ10" s="3"/>
      <c r="CBR10" s="3"/>
      <c r="CBS10" s="3"/>
      <c r="CBT10" s="3"/>
      <c r="CBU10" s="3"/>
      <c r="CBV10" s="3"/>
      <c r="CBW10" s="3"/>
      <c r="CBX10" s="3"/>
      <c r="CBY10" s="3"/>
      <c r="CBZ10" s="3"/>
      <c r="CCA10" s="3"/>
      <c r="CCB10" s="3"/>
      <c r="CCC10" s="3"/>
      <c r="CCD10" s="3"/>
      <c r="CCE10" s="3"/>
      <c r="CCF10" s="3"/>
      <c r="CCG10" s="3"/>
      <c r="CCH10" s="3"/>
      <c r="CCI10" s="3"/>
      <c r="CCJ10" s="3"/>
      <c r="CCK10" s="3"/>
      <c r="CCL10" s="3"/>
      <c r="CCM10" s="3"/>
      <c r="CCN10" s="3"/>
      <c r="CCO10" s="3"/>
      <c r="CCP10" s="3"/>
      <c r="CCQ10" s="3"/>
      <c r="CCR10" s="3"/>
      <c r="CCS10" s="3"/>
      <c r="CCT10" s="3"/>
      <c r="CCU10" s="3"/>
      <c r="CCV10" s="3"/>
      <c r="CCW10" s="3"/>
      <c r="CCX10" s="3"/>
      <c r="CCY10" s="3"/>
      <c r="CCZ10" s="3"/>
      <c r="CDA10" s="3"/>
      <c r="CDB10" s="3"/>
      <c r="CDC10" s="3"/>
      <c r="CDD10" s="3"/>
      <c r="CDE10" s="3"/>
      <c r="CDF10" s="3"/>
      <c r="CDG10" s="3"/>
      <c r="CDH10" s="3"/>
      <c r="CDI10" s="3"/>
      <c r="CDJ10" s="3"/>
      <c r="CDK10" s="3"/>
      <c r="CDL10" s="3"/>
      <c r="CDM10" s="3"/>
      <c r="CDN10" s="3"/>
      <c r="CDO10" s="3"/>
      <c r="CDP10" s="3"/>
      <c r="CDQ10" s="3"/>
      <c r="CDR10" s="3"/>
      <c r="CDS10" s="3"/>
      <c r="CDT10" s="3"/>
      <c r="CDU10" s="3"/>
      <c r="CDV10" s="3"/>
      <c r="CDW10" s="3"/>
      <c r="CDX10" s="3"/>
      <c r="CDY10" s="3"/>
      <c r="CDZ10" s="3"/>
      <c r="CEA10" s="3"/>
      <c r="CEB10" s="3"/>
      <c r="CEC10" s="3"/>
      <c r="CED10" s="3"/>
      <c r="CEE10" s="3"/>
      <c r="CEF10" s="3"/>
      <c r="CEG10" s="3"/>
      <c r="CEH10" s="3"/>
      <c r="CEI10" s="3"/>
      <c r="CEJ10" s="3"/>
      <c r="CEK10" s="3"/>
      <c r="CEL10" s="3"/>
      <c r="CEM10" s="3"/>
      <c r="CEN10" s="3"/>
      <c r="CEO10" s="3"/>
      <c r="CEP10" s="3"/>
      <c r="CEQ10" s="3"/>
      <c r="CER10" s="3"/>
      <c r="CES10" s="3"/>
      <c r="CET10" s="3"/>
      <c r="CEU10" s="3"/>
      <c r="CEV10" s="3"/>
      <c r="CEW10" s="3"/>
      <c r="CEX10" s="3"/>
      <c r="CEY10" s="3"/>
      <c r="CEZ10" s="3"/>
      <c r="CFA10" s="3"/>
      <c r="CFB10" s="3"/>
      <c r="CFC10" s="3"/>
      <c r="CFD10" s="3"/>
      <c r="CFE10" s="3"/>
      <c r="CFF10" s="3"/>
      <c r="CFG10" s="3"/>
      <c r="CFH10" s="3"/>
      <c r="CFI10" s="3"/>
      <c r="CFJ10" s="3"/>
      <c r="CFK10" s="3"/>
      <c r="CFL10" s="3"/>
      <c r="CFM10" s="3"/>
      <c r="CFN10" s="3"/>
      <c r="CFO10" s="3"/>
      <c r="CFP10" s="3"/>
      <c r="CFQ10" s="3"/>
      <c r="CFR10" s="3"/>
      <c r="CFS10" s="3"/>
      <c r="CFT10" s="3"/>
      <c r="CFU10" s="3"/>
      <c r="CFV10" s="3"/>
      <c r="CFW10" s="3"/>
      <c r="CFX10" s="3"/>
      <c r="CFY10" s="3"/>
      <c r="CFZ10" s="3"/>
      <c r="CGA10" s="3"/>
      <c r="CGB10" s="3"/>
      <c r="CGC10" s="3"/>
      <c r="CGD10" s="3"/>
      <c r="CGE10" s="3"/>
      <c r="CGF10" s="3"/>
      <c r="CGG10" s="3"/>
      <c r="CGH10" s="3"/>
      <c r="CGI10" s="3"/>
      <c r="CGJ10" s="3"/>
      <c r="CGK10" s="3"/>
      <c r="CGL10" s="3"/>
      <c r="CGM10" s="3"/>
      <c r="CGN10" s="3"/>
      <c r="CGO10" s="3"/>
      <c r="CGP10" s="3"/>
      <c r="CGQ10" s="3"/>
      <c r="CGR10" s="3"/>
      <c r="CGS10" s="3"/>
      <c r="CGT10" s="3"/>
      <c r="CGU10" s="3"/>
      <c r="CGV10" s="3"/>
      <c r="CGW10" s="3"/>
      <c r="CGX10" s="3"/>
      <c r="CGY10" s="3"/>
      <c r="CGZ10" s="3"/>
      <c r="CHA10" s="3"/>
      <c r="CHB10" s="3"/>
      <c r="CHC10" s="3"/>
      <c r="CHD10" s="3"/>
      <c r="CHE10" s="3"/>
      <c r="CHF10" s="3"/>
      <c r="CHG10" s="3"/>
      <c r="CHH10" s="3"/>
      <c r="CHI10" s="3"/>
      <c r="CHJ10" s="3"/>
      <c r="CHK10" s="3"/>
      <c r="CHL10" s="3"/>
      <c r="CHM10" s="3"/>
      <c r="CHN10" s="3"/>
      <c r="CHO10" s="3"/>
      <c r="CHP10" s="3"/>
      <c r="CHQ10" s="3"/>
      <c r="CHR10" s="3"/>
      <c r="CHS10" s="3"/>
      <c r="CHT10" s="3"/>
      <c r="CHU10" s="3"/>
      <c r="CHV10" s="3"/>
      <c r="CHW10" s="3"/>
      <c r="CHX10" s="3"/>
      <c r="CHY10" s="3"/>
      <c r="CHZ10" s="3"/>
      <c r="CIA10" s="3"/>
      <c r="CIB10" s="3"/>
      <c r="CIC10" s="3"/>
      <c r="CID10" s="3"/>
      <c r="CIE10" s="3"/>
      <c r="CIF10" s="3"/>
      <c r="CIG10" s="3"/>
      <c r="CIH10" s="3"/>
      <c r="CII10" s="3"/>
      <c r="CIJ10" s="3"/>
      <c r="CIK10" s="3"/>
      <c r="CIL10" s="3"/>
      <c r="CIM10" s="3"/>
      <c r="CIN10" s="3"/>
      <c r="CIO10" s="3"/>
      <c r="CIP10" s="3"/>
      <c r="CIQ10" s="3"/>
      <c r="CIR10" s="3"/>
      <c r="CIS10" s="3"/>
      <c r="CIT10" s="3"/>
      <c r="CIU10" s="3"/>
      <c r="CIV10" s="3"/>
      <c r="CIW10" s="3"/>
      <c r="CIX10" s="3"/>
      <c r="CIY10" s="3"/>
      <c r="CIZ10" s="3"/>
      <c r="CJA10" s="3"/>
      <c r="CJB10" s="3"/>
      <c r="CJC10" s="3"/>
      <c r="CJD10" s="3"/>
      <c r="CJE10" s="3"/>
      <c r="CJF10" s="3"/>
      <c r="CJG10" s="3"/>
      <c r="CJH10" s="3"/>
      <c r="CJI10" s="3"/>
      <c r="CJJ10" s="3"/>
      <c r="CJK10" s="3"/>
      <c r="CJL10" s="3"/>
      <c r="CJM10" s="3"/>
      <c r="CJN10" s="3"/>
      <c r="CJO10" s="3"/>
      <c r="CJP10" s="3"/>
      <c r="CJQ10" s="3"/>
      <c r="CJR10" s="3"/>
      <c r="CJS10" s="3"/>
      <c r="CJT10" s="3"/>
      <c r="CJU10" s="3"/>
      <c r="CJV10" s="3"/>
      <c r="CJW10" s="3"/>
      <c r="CJX10" s="3"/>
      <c r="CJY10" s="3"/>
      <c r="CJZ10" s="3"/>
      <c r="CKA10" s="3"/>
      <c r="CKB10" s="3"/>
      <c r="CKC10" s="3"/>
      <c r="CKD10" s="3"/>
      <c r="CKE10" s="3"/>
      <c r="CKF10" s="3"/>
      <c r="CKG10" s="3"/>
      <c r="CKH10" s="3"/>
      <c r="CKI10" s="3"/>
      <c r="CKJ10" s="3"/>
      <c r="CKK10" s="3"/>
      <c r="CKL10" s="3"/>
      <c r="CKM10" s="3"/>
      <c r="CKN10" s="3"/>
      <c r="CKO10" s="3"/>
      <c r="CKP10" s="3"/>
      <c r="CKQ10" s="3"/>
      <c r="CKR10" s="3"/>
      <c r="CKS10" s="3"/>
      <c r="CKT10" s="3"/>
      <c r="CKU10" s="3"/>
      <c r="CKV10" s="3"/>
      <c r="CKW10" s="3"/>
      <c r="CKX10" s="3"/>
      <c r="CKY10" s="3"/>
      <c r="CKZ10" s="3"/>
      <c r="CLA10" s="3"/>
      <c r="CLB10" s="3"/>
      <c r="CLC10" s="3"/>
      <c r="CLD10" s="3"/>
      <c r="CLE10" s="3"/>
      <c r="CLF10" s="3"/>
      <c r="CLG10" s="3"/>
      <c r="CLH10" s="3"/>
      <c r="CLI10" s="3"/>
      <c r="CLJ10" s="3"/>
      <c r="CLK10" s="3"/>
      <c r="CLL10" s="3"/>
      <c r="CLM10" s="3"/>
      <c r="CLN10" s="3"/>
      <c r="CLO10" s="3"/>
      <c r="CLP10" s="3"/>
      <c r="CLQ10" s="3"/>
      <c r="CLR10" s="3"/>
      <c r="CLS10" s="3"/>
      <c r="CLT10" s="3"/>
      <c r="CLU10" s="3"/>
      <c r="CLV10" s="3"/>
      <c r="CLW10" s="3"/>
      <c r="CLX10" s="3"/>
      <c r="CLY10" s="3"/>
      <c r="CLZ10" s="3"/>
      <c r="CMA10" s="3"/>
      <c r="CMB10" s="3"/>
      <c r="CMC10" s="3"/>
      <c r="CMD10" s="3"/>
      <c r="CME10" s="3"/>
      <c r="CMF10" s="3"/>
      <c r="CMG10" s="3"/>
      <c r="CMH10" s="3"/>
      <c r="CMI10" s="3"/>
      <c r="CMJ10" s="3"/>
      <c r="CMK10" s="3"/>
      <c r="CML10" s="3"/>
      <c r="CMM10" s="3"/>
      <c r="CMN10" s="3"/>
      <c r="CMO10" s="3"/>
      <c r="CMP10" s="3"/>
      <c r="CMQ10" s="3"/>
      <c r="CMR10" s="3"/>
      <c r="CMS10" s="3"/>
      <c r="CMT10" s="3"/>
      <c r="CMU10" s="3"/>
      <c r="CMV10" s="3"/>
      <c r="CMW10" s="3"/>
      <c r="CMX10" s="3"/>
      <c r="CMY10" s="3"/>
      <c r="CMZ10" s="3"/>
      <c r="CNA10" s="3"/>
      <c r="CNB10" s="3"/>
      <c r="CNC10" s="3"/>
      <c r="CND10" s="3"/>
      <c r="CNE10" s="3"/>
      <c r="CNF10" s="3"/>
      <c r="CNG10" s="3"/>
      <c r="CNH10" s="3"/>
      <c r="CNI10" s="3"/>
      <c r="CNJ10" s="3"/>
      <c r="CNK10" s="3"/>
      <c r="CNL10" s="3"/>
      <c r="CNM10" s="3"/>
      <c r="CNN10" s="3"/>
      <c r="CNO10" s="3"/>
      <c r="CNP10" s="3"/>
      <c r="CNQ10" s="3"/>
      <c r="CNR10" s="3"/>
      <c r="CNS10" s="3"/>
      <c r="CNT10" s="3"/>
      <c r="CNU10" s="3"/>
      <c r="CNV10" s="3"/>
      <c r="CNW10" s="3"/>
      <c r="CNX10" s="3"/>
      <c r="CNY10" s="3"/>
      <c r="CNZ10" s="3"/>
      <c r="COA10" s="3"/>
      <c r="COB10" s="3"/>
      <c r="COC10" s="3"/>
      <c r="COD10" s="3"/>
      <c r="COE10" s="3"/>
      <c r="COF10" s="3"/>
      <c r="COG10" s="3"/>
      <c r="COH10" s="3"/>
      <c r="COI10" s="3"/>
      <c r="COJ10" s="3"/>
      <c r="COK10" s="3"/>
      <c r="COL10" s="3"/>
      <c r="COM10" s="3"/>
      <c r="CON10" s="3"/>
      <c r="COO10" s="3"/>
      <c r="COP10" s="3"/>
      <c r="COQ10" s="3"/>
      <c r="COR10" s="3"/>
      <c r="COS10" s="3"/>
      <c r="COT10" s="3"/>
      <c r="COU10" s="3"/>
      <c r="COV10" s="3"/>
      <c r="COW10" s="3"/>
      <c r="COX10" s="3"/>
      <c r="COY10" s="3"/>
      <c r="COZ10" s="3"/>
      <c r="CPA10" s="3"/>
      <c r="CPB10" s="3"/>
      <c r="CPC10" s="3"/>
      <c r="CPD10" s="3"/>
      <c r="CPE10" s="3"/>
      <c r="CPF10" s="3"/>
      <c r="CPG10" s="3"/>
      <c r="CPH10" s="3"/>
      <c r="CPI10" s="3"/>
      <c r="CPJ10" s="3"/>
      <c r="CPK10" s="3"/>
      <c r="CPL10" s="3"/>
      <c r="CPM10" s="3"/>
      <c r="CPN10" s="3"/>
      <c r="CPO10" s="3"/>
      <c r="CPP10" s="3"/>
      <c r="CPQ10" s="3"/>
      <c r="CPR10" s="3"/>
      <c r="CPS10" s="3"/>
      <c r="CPT10" s="3"/>
      <c r="CPU10" s="3"/>
      <c r="CPV10" s="3"/>
      <c r="CPW10" s="3"/>
      <c r="CPX10" s="3"/>
      <c r="CPY10" s="3"/>
      <c r="CPZ10" s="3"/>
      <c r="CQA10" s="3"/>
      <c r="CQB10" s="3"/>
      <c r="CQC10" s="3"/>
      <c r="CQD10" s="3"/>
      <c r="CQE10" s="3"/>
      <c r="CQF10" s="3"/>
      <c r="CQG10" s="3"/>
      <c r="CQH10" s="3"/>
      <c r="CQI10" s="3"/>
      <c r="CQJ10" s="3"/>
      <c r="CQK10" s="3"/>
      <c r="CQL10" s="3"/>
      <c r="CQM10" s="3"/>
      <c r="CQN10" s="3"/>
      <c r="CQO10" s="3"/>
      <c r="CQP10" s="3"/>
      <c r="CQQ10" s="3"/>
      <c r="CQR10" s="3"/>
      <c r="CQS10" s="3"/>
      <c r="CQT10" s="3"/>
      <c r="CQU10" s="3"/>
      <c r="CQV10" s="3"/>
      <c r="CQW10" s="3"/>
      <c r="CQX10" s="3"/>
      <c r="CQY10" s="3"/>
      <c r="CQZ10" s="3"/>
      <c r="CRA10" s="3"/>
      <c r="CRB10" s="3"/>
      <c r="CRC10" s="3"/>
      <c r="CRD10" s="3"/>
      <c r="CRE10" s="3"/>
      <c r="CRF10" s="3"/>
      <c r="CRG10" s="3"/>
      <c r="CRH10" s="3"/>
      <c r="CRI10" s="3"/>
      <c r="CRJ10" s="3"/>
      <c r="CRK10" s="3"/>
      <c r="CRL10" s="3"/>
      <c r="CRM10" s="3"/>
      <c r="CRN10" s="3"/>
      <c r="CRO10" s="3"/>
      <c r="CRP10" s="3"/>
      <c r="CRQ10" s="3"/>
      <c r="CRR10" s="3"/>
      <c r="CRS10" s="3"/>
      <c r="CRT10" s="3"/>
      <c r="CRU10" s="3"/>
      <c r="CRV10" s="3"/>
      <c r="CRW10" s="3"/>
      <c r="CRX10" s="3"/>
      <c r="CRY10" s="3"/>
      <c r="CRZ10" s="3"/>
      <c r="CSA10" s="3"/>
      <c r="CSB10" s="3"/>
      <c r="CSC10" s="3"/>
      <c r="CSD10" s="3"/>
      <c r="CSE10" s="3"/>
      <c r="CSF10" s="3"/>
      <c r="CSG10" s="3"/>
      <c r="CSH10" s="3"/>
      <c r="CSI10" s="3"/>
      <c r="CSJ10" s="3"/>
      <c r="CSK10" s="3"/>
      <c r="CSL10" s="3"/>
      <c r="CSM10" s="3"/>
      <c r="CSN10" s="3"/>
      <c r="CSO10" s="3"/>
      <c r="CSP10" s="3"/>
      <c r="CSQ10" s="3"/>
      <c r="CSR10" s="3"/>
      <c r="CSS10" s="3"/>
      <c r="CST10" s="3"/>
      <c r="CSU10" s="3"/>
      <c r="CSV10" s="3"/>
      <c r="CSW10" s="3"/>
      <c r="CSX10" s="3"/>
      <c r="CSY10" s="3"/>
      <c r="CSZ10" s="3"/>
      <c r="CTA10" s="3"/>
      <c r="CTB10" s="3"/>
      <c r="CTC10" s="3"/>
      <c r="CTD10" s="3"/>
      <c r="CTE10" s="3"/>
      <c r="CTF10" s="3"/>
      <c r="CTG10" s="3"/>
      <c r="CTH10" s="3"/>
      <c r="CTI10" s="3"/>
      <c r="CTJ10" s="3"/>
      <c r="CTK10" s="3"/>
      <c r="CTL10" s="3"/>
      <c r="CTM10" s="3"/>
      <c r="CTN10" s="3"/>
      <c r="CTO10" s="3"/>
      <c r="CTP10" s="3"/>
      <c r="CTQ10" s="3"/>
      <c r="CTR10" s="3"/>
      <c r="CTS10" s="3"/>
      <c r="CTT10" s="3"/>
      <c r="CTU10" s="3"/>
      <c r="CTV10" s="3"/>
      <c r="CTW10" s="3"/>
      <c r="CTX10" s="3"/>
      <c r="CTY10" s="3"/>
      <c r="CTZ10" s="3"/>
      <c r="CUA10" s="3"/>
      <c r="CUB10" s="3"/>
      <c r="CUC10" s="3"/>
      <c r="CUD10" s="3"/>
      <c r="CUE10" s="3"/>
      <c r="CUF10" s="3"/>
      <c r="CUG10" s="3"/>
      <c r="CUH10" s="3"/>
      <c r="CUI10" s="3"/>
      <c r="CUJ10" s="3"/>
      <c r="CUK10" s="3"/>
      <c r="CUL10" s="3"/>
      <c r="CUM10" s="3"/>
      <c r="CUN10" s="3"/>
      <c r="CUO10" s="3"/>
      <c r="CUP10" s="3"/>
      <c r="CUQ10" s="3"/>
      <c r="CUR10" s="3"/>
      <c r="CUS10" s="3"/>
      <c r="CUT10" s="3"/>
      <c r="CUU10" s="3"/>
      <c r="CUV10" s="3"/>
      <c r="CUW10" s="3"/>
      <c r="CUX10" s="3"/>
      <c r="CUY10" s="3"/>
      <c r="CUZ10" s="3"/>
      <c r="CVA10" s="3"/>
      <c r="CVB10" s="3"/>
      <c r="CVC10" s="3"/>
      <c r="CVD10" s="3"/>
      <c r="CVE10" s="3"/>
      <c r="CVF10" s="3"/>
      <c r="CVG10" s="3"/>
      <c r="CVH10" s="3"/>
      <c r="CVI10" s="3"/>
      <c r="CVJ10" s="3"/>
      <c r="CVK10" s="3"/>
      <c r="CVL10" s="3"/>
      <c r="CVM10" s="3"/>
      <c r="CVN10" s="3"/>
      <c r="CVO10" s="3"/>
      <c r="CVP10" s="3"/>
      <c r="CVQ10" s="3"/>
      <c r="CVR10" s="3"/>
      <c r="CVS10" s="3"/>
      <c r="CVT10" s="3"/>
      <c r="CVU10" s="3"/>
      <c r="CVV10" s="3"/>
      <c r="CVW10" s="3"/>
      <c r="CVX10" s="3"/>
      <c r="CVY10" s="3"/>
      <c r="CVZ10" s="3"/>
      <c r="CWA10" s="3"/>
      <c r="CWB10" s="3"/>
      <c r="CWC10" s="3"/>
      <c r="CWD10" s="3"/>
      <c r="CWE10" s="3"/>
      <c r="CWF10" s="3"/>
      <c r="CWG10" s="3"/>
      <c r="CWH10" s="3"/>
      <c r="CWI10" s="3"/>
      <c r="CWJ10" s="3"/>
      <c r="CWK10" s="3"/>
      <c r="CWL10" s="3"/>
      <c r="CWM10" s="3"/>
      <c r="CWN10" s="3"/>
      <c r="CWO10" s="3"/>
      <c r="CWP10" s="3"/>
      <c r="CWQ10" s="3"/>
      <c r="CWR10" s="3"/>
      <c r="CWS10" s="3"/>
      <c r="CWT10" s="3"/>
      <c r="CWU10" s="3"/>
      <c r="CWV10" s="3"/>
      <c r="CWW10" s="3"/>
      <c r="CWX10" s="3"/>
      <c r="CWY10" s="3"/>
      <c r="CWZ10" s="3"/>
      <c r="CXA10" s="3"/>
      <c r="CXB10" s="3"/>
      <c r="CXC10" s="3"/>
      <c r="CXD10" s="3"/>
      <c r="CXE10" s="3"/>
      <c r="CXF10" s="3"/>
      <c r="CXG10" s="3"/>
      <c r="CXH10" s="3"/>
      <c r="CXI10" s="3"/>
      <c r="CXJ10" s="3"/>
      <c r="CXK10" s="3"/>
      <c r="CXL10" s="3"/>
      <c r="CXM10" s="3"/>
      <c r="CXN10" s="3"/>
      <c r="CXO10" s="3"/>
      <c r="CXP10" s="3"/>
      <c r="CXQ10" s="3"/>
      <c r="CXR10" s="3"/>
      <c r="CXS10" s="3"/>
      <c r="CXT10" s="3"/>
      <c r="CXU10" s="3"/>
      <c r="CXV10" s="3"/>
      <c r="CXW10" s="3"/>
      <c r="CXX10" s="3"/>
      <c r="CXY10" s="3"/>
      <c r="CXZ10" s="3"/>
      <c r="CYA10" s="3"/>
      <c r="CYB10" s="3"/>
      <c r="CYC10" s="3"/>
      <c r="CYD10" s="3"/>
      <c r="CYE10" s="3"/>
      <c r="CYF10" s="3"/>
      <c r="CYG10" s="3"/>
      <c r="CYH10" s="3"/>
      <c r="CYI10" s="3"/>
      <c r="CYJ10" s="3"/>
      <c r="CYK10" s="3"/>
      <c r="CYL10" s="3"/>
      <c r="CYM10" s="3"/>
      <c r="CYN10" s="3"/>
      <c r="CYO10" s="3"/>
      <c r="CYP10" s="3"/>
      <c r="CYQ10" s="3"/>
      <c r="CYR10" s="3"/>
      <c r="CYS10" s="3"/>
      <c r="CYT10" s="3"/>
      <c r="CYU10" s="3"/>
      <c r="CYV10" s="3"/>
      <c r="CYW10" s="3"/>
      <c r="CYX10" s="3"/>
      <c r="CYY10" s="3"/>
      <c r="CYZ10" s="3"/>
      <c r="CZA10" s="3"/>
      <c r="CZB10" s="3"/>
      <c r="CZC10" s="3"/>
      <c r="CZD10" s="3"/>
      <c r="CZE10" s="3"/>
      <c r="CZF10" s="3"/>
      <c r="CZG10" s="3"/>
      <c r="CZH10" s="3"/>
      <c r="CZI10" s="3"/>
      <c r="CZJ10" s="3"/>
      <c r="CZK10" s="3"/>
      <c r="CZL10" s="3"/>
      <c r="CZM10" s="3"/>
      <c r="CZN10" s="3"/>
      <c r="CZO10" s="3"/>
      <c r="CZP10" s="3"/>
      <c r="CZQ10" s="3"/>
      <c r="CZR10" s="3"/>
      <c r="CZS10" s="3"/>
      <c r="CZT10" s="3"/>
      <c r="CZU10" s="3"/>
      <c r="CZV10" s="3"/>
      <c r="CZW10" s="3"/>
      <c r="CZX10" s="3"/>
      <c r="CZY10" s="3"/>
      <c r="CZZ10" s="3"/>
      <c r="DAA10" s="3"/>
      <c r="DAB10" s="3"/>
      <c r="DAC10" s="3"/>
      <c r="DAD10" s="3"/>
      <c r="DAE10" s="3"/>
      <c r="DAF10" s="3"/>
      <c r="DAG10" s="3"/>
      <c r="DAH10" s="3"/>
      <c r="DAI10" s="3"/>
      <c r="DAJ10" s="3"/>
      <c r="DAK10" s="3"/>
      <c r="DAL10" s="3"/>
      <c r="DAM10" s="3"/>
      <c r="DAN10" s="3"/>
      <c r="DAO10" s="3"/>
      <c r="DAP10" s="3"/>
      <c r="DAQ10" s="3"/>
      <c r="DAR10" s="3"/>
      <c r="DAS10" s="3"/>
      <c r="DAT10" s="3"/>
      <c r="DAU10" s="3"/>
      <c r="DAV10" s="3"/>
      <c r="DAW10" s="3"/>
      <c r="DAX10" s="3"/>
      <c r="DAY10" s="3"/>
      <c r="DAZ10" s="3"/>
      <c r="DBA10" s="3"/>
      <c r="DBB10" s="3"/>
      <c r="DBC10" s="3"/>
      <c r="DBD10" s="3"/>
      <c r="DBE10" s="3"/>
      <c r="DBF10" s="3"/>
      <c r="DBG10" s="3"/>
      <c r="DBH10" s="3"/>
      <c r="DBI10" s="3"/>
      <c r="DBJ10" s="3"/>
      <c r="DBK10" s="3"/>
      <c r="DBL10" s="3"/>
      <c r="DBM10" s="3"/>
      <c r="DBN10" s="3"/>
      <c r="DBO10" s="3"/>
      <c r="DBP10" s="3"/>
      <c r="DBQ10" s="3"/>
      <c r="DBR10" s="3"/>
      <c r="DBS10" s="3"/>
      <c r="DBT10" s="3"/>
      <c r="DBU10" s="3"/>
      <c r="DBV10" s="3"/>
      <c r="DBW10" s="3"/>
      <c r="DBX10" s="3"/>
      <c r="DBY10" s="3"/>
      <c r="DBZ10" s="3"/>
      <c r="DCA10" s="3"/>
      <c r="DCB10" s="3"/>
      <c r="DCC10" s="3"/>
      <c r="DCD10" s="3"/>
      <c r="DCE10" s="3"/>
      <c r="DCF10" s="3"/>
      <c r="DCG10" s="3"/>
      <c r="DCH10" s="3"/>
      <c r="DCI10" s="3"/>
      <c r="DCJ10" s="3"/>
      <c r="DCK10" s="3"/>
      <c r="DCL10" s="3"/>
      <c r="DCM10" s="3"/>
      <c r="DCN10" s="3"/>
      <c r="DCO10" s="3"/>
      <c r="DCP10" s="3"/>
      <c r="DCQ10" s="3"/>
      <c r="DCR10" s="3"/>
      <c r="DCS10" s="3"/>
      <c r="DCT10" s="3"/>
      <c r="DCU10" s="3"/>
      <c r="DCV10" s="3"/>
      <c r="DCW10" s="3"/>
      <c r="DCX10" s="3"/>
      <c r="DCY10" s="3"/>
      <c r="DCZ10" s="3"/>
      <c r="DDA10" s="3"/>
      <c r="DDB10" s="3"/>
      <c r="DDC10" s="3"/>
      <c r="DDD10" s="3"/>
      <c r="DDE10" s="3"/>
      <c r="DDF10" s="3"/>
      <c r="DDG10" s="3"/>
      <c r="DDH10" s="3"/>
      <c r="DDI10" s="3"/>
      <c r="DDJ10" s="3"/>
      <c r="DDK10" s="3"/>
      <c r="DDL10" s="3"/>
      <c r="DDM10" s="3"/>
      <c r="DDN10" s="3"/>
      <c r="DDO10" s="3"/>
      <c r="DDP10" s="3"/>
      <c r="DDQ10" s="3"/>
      <c r="DDR10" s="3"/>
      <c r="DDS10" s="3"/>
      <c r="DDT10" s="3"/>
      <c r="DDU10" s="3"/>
      <c r="DDV10" s="3"/>
      <c r="DDW10" s="3"/>
      <c r="DDX10" s="3"/>
      <c r="DDY10" s="3"/>
      <c r="DDZ10" s="3"/>
      <c r="DEA10" s="3"/>
      <c r="DEB10" s="3"/>
      <c r="DEC10" s="3"/>
      <c r="DED10" s="3"/>
      <c r="DEE10" s="3"/>
      <c r="DEF10" s="3"/>
      <c r="DEG10" s="3"/>
      <c r="DEH10" s="3"/>
      <c r="DEI10" s="3"/>
      <c r="DEJ10" s="3"/>
      <c r="DEK10" s="3"/>
      <c r="DEL10" s="3"/>
      <c r="DEM10" s="3"/>
      <c r="DEN10" s="3"/>
      <c r="DEO10" s="3"/>
      <c r="DEP10" s="3"/>
      <c r="DEQ10" s="3"/>
      <c r="DER10" s="3"/>
      <c r="DES10" s="3"/>
      <c r="DET10" s="3"/>
      <c r="DEU10" s="3"/>
      <c r="DEV10" s="3"/>
      <c r="DEW10" s="3"/>
      <c r="DEX10" s="3"/>
      <c r="DEY10" s="3"/>
      <c r="DEZ10" s="3"/>
      <c r="DFA10" s="3"/>
      <c r="DFB10" s="3"/>
      <c r="DFC10" s="3"/>
      <c r="DFD10" s="3"/>
      <c r="DFE10" s="3"/>
      <c r="DFF10" s="3"/>
      <c r="DFG10" s="3"/>
      <c r="DFH10" s="3"/>
      <c r="DFI10" s="3"/>
      <c r="DFJ10" s="3"/>
      <c r="DFK10" s="3"/>
      <c r="DFL10" s="3"/>
      <c r="DFM10" s="3"/>
      <c r="DFN10" s="3"/>
      <c r="DFO10" s="3"/>
      <c r="DFP10" s="3"/>
      <c r="DFQ10" s="3"/>
      <c r="DFR10" s="3"/>
      <c r="DFS10" s="3"/>
      <c r="DFT10" s="3"/>
      <c r="DFU10" s="3"/>
      <c r="DFV10" s="3"/>
      <c r="DFW10" s="3"/>
      <c r="DFX10" s="3"/>
      <c r="DFY10" s="3"/>
      <c r="DFZ10" s="3"/>
      <c r="DGA10" s="3"/>
      <c r="DGB10" s="3"/>
      <c r="DGC10" s="3"/>
      <c r="DGD10" s="3"/>
      <c r="DGE10" s="3"/>
      <c r="DGF10" s="3"/>
      <c r="DGG10" s="3"/>
      <c r="DGH10" s="3"/>
      <c r="DGI10" s="3"/>
      <c r="DGJ10" s="3"/>
      <c r="DGK10" s="3"/>
      <c r="DGL10" s="3"/>
      <c r="DGM10" s="3"/>
      <c r="DGN10" s="3"/>
      <c r="DGO10" s="3"/>
      <c r="DGP10" s="3"/>
      <c r="DGQ10" s="3"/>
      <c r="DGR10" s="3"/>
      <c r="DGS10" s="3"/>
      <c r="DGT10" s="3"/>
      <c r="DGU10" s="3"/>
      <c r="DGV10" s="3"/>
      <c r="DGW10" s="3"/>
      <c r="DGX10" s="3"/>
      <c r="DGY10" s="3"/>
      <c r="DGZ10" s="3"/>
      <c r="DHA10" s="3"/>
      <c r="DHB10" s="3"/>
      <c r="DHC10" s="3"/>
      <c r="DHD10" s="3"/>
      <c r="DHE10" s="3"/>
      <c r="DHF10" s="3"/>
      <c r="DHG10" s="3"/>
      <c r="DHH10" s="3"/>
      <c r="DHI10" s="3"/>
      <c r="DHJ10" s="3"/>
      <c r="DHK10" s="3"/>
      <c r="DHL10" s="3"/>
      <c r="DHM10" s="3"/>
      <c r="DHN10" s="3"/>
      <c r="DHO10" s="3"/>
      <c r="DHP10" s="3"/>
      <c r="DHQ10" s="3"/>
      <c r="DHR10" s="3"/>
      <c r="DHS10" s="3"/>
      <c r="DHT10" s="3"/>
      <c r="DHU10" s="3"/>
      <c r="DHV10" s="3"/>
      <c r="DHW10" s="3"/>
      <c r="DHX10" s="3"/>
      <c r="DHY10" s="3"/>
      <c r="DHZ10" s="3"/>
      <c r="DIA10" s="3"/>
      <c r="DIB10" s="3"/>
      <c r="DIC10" s="3"/>
      <c r="DID10" s="3"/>
      <c r="DIE10" s="3"/>
      <c r="DIF10" s="3"/>
      <c r="DIG10" s="3"/>
      <c r="DIH10" s="3"/>
      <c r="DII10" s="3"/>
      <c r="DIJ10" s="3"/>
      <c r="DIK10" s="3"/>
      <c r="DIL10" s="3"/>
      <c r="DIM10" s="3"/>
      <c r="DIN10" s="3"/>
      <c r="DIO10" s="3"/>
      <c r="DIP10" s="3"/>
      <c r="DIQ10" s="3"/>
      <c r="DIR10" s="3"/>
      <c r="DIS10" s="3"/>
      <c r="DIT10" s="3"/>
      <c r="DIU10" s="3"/>
      <c r="DIV10" s="3"/>
      <c r="DIW10" s="3"/>
      <c r="DIX10" s="3"/>
      <c r="DIY10" s="3"/>
      <c r="DIZ10" s="3"/>
      <c r="DJA10" s="3"/>
      <c r="DJB10" s="3"/>
      <c r="DJC10" s="3"/>
      <c r="DJD10" s="3"/>
      <c r="DJE10" s="3"/>
      <c r="DJF10" s="3"/>
      <c r="DJG10" s="3"/>
      <c r="DJH10" s="3"/>
      <c r="DJI10" s="3"/>
      <c r="DJJ10" s="3"/>
      <c r="DJK10" s="3"/>
      <c r="DJL10" s="3"/>
      <c r="DJM10" s="3"/>
      <c r="DJN10" s="3"/>
      <c r="DJO10" s="3"/>
      <c r="DJP10" s="3"/>
      <c r="DJQ10" s="3"/>
      <c r="DJR10" s="3"/>
      <c r="DJS10" s="3"/>
      <c r="DJT10" s="3"/>
      <c r="DJU10" s="3"/>
      <c r="DJV10" s="3"/>
      <c r="DJW10" s="3"/>
      <c r="DJX10" s="3"/>
      <c r="DJY10" s="3"/>
      <c r="DJZ10" s="3"/>
      <c r="DKA10" s="3"/>
      <c r="DKB10" s="3"/>
      <c r="DKC10" s="3"/>
      <c r="DKD10" s="3"/>
      <c r="DKE10" s="3"/>
      <c r="DKF10" s="3"/>
      <c r="DKG10" s="3"/>
      <c r="DKH10" s="3"/>
      <c r="DKI10" s="3"/>
      <c r="DKJ10" s="3"/>
      <c r="DKK10" s="3"/>
      <c r="DKL10" s="3"/>
      <c r="DKM10" s="3"/>
      <c r="DKN10" s="3"/>
      <c r="DKO10" s="3"/>
      <c r="DKP10" s="3"/>
      <c r="DKQ10" s="3"/>
      <c r="DKR10" s="3"/>
      <c r="DKS10" s="3"/>
      <c r="DKT10" s="3"/>
      <c r="DKU10" s="3"/>
      <c r="DKV10" s="3"/>
      <c r="DKW10" s="3"/>
      <c r="DKX10" s="3"/>
      <c r="DKY10" s="3"/>
      <c r="DKZ10" s="3"/>
      <c r="DLA10" s="3"/>
      <c r="DLB10" s="3"/>
      <c r="DLC10" s="3"/>
      <c r="DLD10" s="3"/>
      <c r="DLE10" s="3"/>
      <c r="DLF10" s="3"/>
      <c r="DLG10" s="3"/>
      <c r="DLH10" s="3"/>
      <c r="DLI10" s="3"/>
      <c r="DLJ10" s="3"/>
      <c r="DLK10" s="3"/>
      <c r="DLL10" s="3"/>
      <c r="DLM10" s="3"/>
      <c r="DLN10" s="3"/>
      <c r="DLO10" s="3"/>
      <c r="DLP10" s="3"/>
      <c r="DLQ10" s="3"/>
      <c r="DLR10" s="3"/>
      <c r="DLS10" s="3"/>
      <c r="DLT10" s="3"/>
      <c r="DLU10" s="3"/>
      <c r="DLV10" s="3"/>
      <c r="DLW10" s="3"/>
      <c r="DLX10" s="3"/>
      <c r="DLY10" s="3"/>
      <c r="DLZ10" s="3"/>
      <c r="DMA10" s="3"/>
      <c r="DMB10" s="3"/>
      <c r="DMC10" s="3"/>
      <c r="DMD10" s="3"/>
      <c r="DME10" s="3"/>
      <c r="DMF10" s="3"/>
      <c r="DMG10" s="3"/>
      <c r="DMH10" s="3"/>
      <c r="DMI10" s="3"/>
      <c r="DMJ10" s="3"/>
      <c r="DMK10" s="3"/>
      <c r="DML10" s="3"/>
      <c r="DMM10" s="3"/>
      <c r="DMN10" s="3"/>
      <c r="DMO10" s="3"/>
      <c r="DMP10" s="3"/>
      <c r="DMQ10" s="3"/>
      <c r="DMR10" s="3"/>
      <c r="DMS10" s="3"/>
      <c r="DMT10" s="3"/>
      <c r="DMU10" s="3"/>
      <c r="DMV10" s="3"/>
      <c r="DMW10" s="3"/>
      <c r="DMX10" s="3"/>
      <c r="DMY10" s="3"/>
      <c r="DMZ10" s="3"/>
      <c r="DNA10" s="3"/>
      <c r="DNB10" s="3"/>
      <c r="DNC10" s="3"/>
      <c r="DND10" s="3"/>
      <c r="DNE10" s="3"/>
      <c r="DNF10" s="3"/>
      <c r="DNG10" s="3"/>
      <c r="DNH10" s="3"/>
      <c r="DNI10" s="3"/>
      <c r="DNJ10" s="3"/>
      <c r="DNK10" s="3"/>
      <c r="DNL10" s="3"/>
      <c r="DNM10" s="3"/>
      <c r="DNN10" s="3"/>
      <c r="DNO10" s="3"/>
      <c r="DNP10" s="3"/>
      <c r="DNQ10" s="3"/>
      <c r="DNR10" s="3"/>
      <c r="DNS10" s="3"/>
      <c r="DNT10" s="3"/>
      <c r="DNU10" s="3"/>
      <c r="DNV10" s="3"/>
      <c r="DNW10" s="3"/>
      <c r="DNX10" s="3"/>
      <c r="DNY10" s="3"/>
      <c r="DNZ10" s="3"/>
      <c r="DOA10" s="3"/>
      <c r="DOB10" s="3"/>
      <c r="DOC10" s="3"/>
      <c r="DOD10" s="3"/>
      <c r="DOE10" s="3"/>
      <c r="DOF10" s="3"/>
      <c r="DOG10" s="3"/>
      <c r="DOH10" s="3"/>
      <c r="DOI10" s="3"/>
      <c r="DOJ10" s="3"/>
      <c r="DOK10" s="3"/>
      <c r="DOL10" s="3"/>
      <c r="DOM10" s="3"/>
      <c r="DON10" s="3"/>
      <c r="DOO10" s="3"/>
      <c r="DOP10" s="3"/>
      <c r="DOQ10" s="3"/>
      <c r="DOR10" s="3"/>
      <c r="DOS10" s="3"/>
      <c r="DOT10" s="3"/>
      <c r="DOU10" s="3"/>
      <c r="DOV10" s="3"/>
      <c r="DOW10" s="3"/>
      <c r="DOX10" s="3"/>
      <c r="DOY10" s="3"/>
      <c r="DOZ10" s="3"/>
      <c r="DPA10" s="3"/>
      <c r="DPB10" s="3"/>
      <c r="DPC10" s="3"/>
      <c r="DPD10" s="3"/>
      <c r="DPE10" s="3"/>
      <c r="DPF10" s="3"/>
      <c r="DPG10" s="3"/>
      <c r="DPH10" s="3"/>
      <c r="DPI10" s="3"/>
      <c r="DPJ10" s="3"/>
      <c r="DPK10" s="3"/>
      <c r="DPL10" s="3"/>
      <c r="DPM10" s="3"/>
      <c r="DPN10" s="3"/>
      <c r="DPO10" s="3"/>
      <c r="DPP10" s="3"/>
      <c r="DPQ10" s="3"/>
      <c r="DPR10" s="3"/>
      <c r="DPS10" s="3"/>
      <c r="DPT10" s="3"/>
      <c r="DPU10" s="3"/>
      <c r="DPV10" s="3"/>
      <c r="DPW10" s="3"/>
      <c r="DPX10" s="3"/>
      <c r="DPY10" s="3"/>
      <c r="DPZ10" s="3"/>
      <c r="DQA10" s="3"/>
      <c r="DQB10" s="3"/>
      <c r="DQC10" s="3"/>
      <c r="DQD10" s="3"/>
      <c r="DQE10" s="3"/>
      <c r="DQF10" s="3"/>
      <c r="DQG10" s="3"/>
      <c r="DQH10" s="3"/>
      <c r="DQI10" s="3"/>
      <c r="DQJ10" s="3"/>
      <c r="DQK10" s="3"/>
      <c r="DQL10" s="3"/>
      <c r="DQM10" s="3"/>
      <c r="DQN10" s="3"/>
      <c r="DQO10" s="3"/>
      <c r="DQP10" s="3"/>
      <c r="DQQ10" s="3"/>
      <c r="DQR10" s="3"/>
      <c r="DQS10" s="3"/>
      <c r="DQT10" s="3"/>
      <c r="DQU10" s="3"/>
      <c r="DQV10" s="3"/>
      <c r="DQW10" s="3"/>
      <c r="DQX10" s="3"/>
      <c r="DQY10" s="3"/>
      <c r="DQZ10" s="3"/>
      <c r="DRA10" s="3"/>
      <c r="DRB10" s="3"/>
      <c r="DRC10" s="3"/>
      <c r="DRD10" s="3"/>
      <c r="DRE10" s="3"/>
      <c r="DRF10" s="3"/>
      <c r="DRG10" s="3"/>
      <c r="DRH10" s="3"/>
      <c r="DRI10" s="3"/>
      <c r="DRJ10" s="3"/>
      <c r="DRK10" s="3"/>
      <c r="DRL10" s="3"/>
      <c r="DRM10" s="3"/>
      <c r="DRN10" s="3"/>
      <c r="DRO10" s="3"/>
      <c r="DRP10" s="3"/>
      <c r="DRQ10" s="3"/>
      <c r="DRR10" s="3"/>
      <c r="DRS10" s="3"/>
      <c r="DRT10" s="3"/>
      <c r="DRU10" s="3"/>
      <c r="DRV10" s="3"/>
      <c r="DRW10" s="3"/>
      <c r="DRX10" s="3"/>
      <c r="DRY10" s="3"/>
      <c r="DRZ10" s="3"/>
      <c r="DSA10" s="3"/>
      <c r="DSB10" s="3"/>
      <c r="DSC10" s="3"/>
      <c r="DSD10" s="3"/>
      <c r="DSE10" s="3"/>
      <c r="DSF10" s="3"/>
      <c r="DSG10" s="3"/>
      <c r="DSH10" s="3"/>
      <c r="DSI10" s="3"/>
      <c r="DSJ10" s="3"/>
      <c r="DSK10" s="3"/>
      <c r="DSL10" s="3"/>
      <c r="DSM10" s="3"/>
      <c r="DSN10" s="3"/>
      <c r="DSO10" s="3"/>
      <c r="DSP10" s="3"/>
      <c r="DSQ10" s="3"/>
      <c r="DSR10" s="3"/>
      <c r="DSS10" s="3"/>
      <c r="DST10" s="3"/>
      <c r="DSU10" s="3"/>
      <c r="DSV10" s="3"/>
      <c r="DSW10" s="3"/>
      <c r="DSX10" s="3"/>
      <c r="DSY10" s="3"/>
      <c r="DSZ10" s="3"/>
      <c r="DTA10" s="3"/>
      <c r="DTB10" s="3"/>
      <c r="DTC10" s="3"/>
      <c r="DTD10" s="3"/>
      <c r="DTE10" s="3"/>
      <c r="DTF10" s="3"/>
      <c r="DTG10" s="3"/>
      <c r="DTH10" s="3"/>
      <c r="DTI10" s="3"/>
      <c r="DTJ10" s="3"/>
      <c r="DTK10" s="3"/>
      <c r="DTL10" s="3"/>
      <c r="DTM10" s="3"/>
      <c r="DTN10" s="3"/>
      <c r="DTO10" s="3"/>
      <c r="DTP10" s="3"/>
      <c r="DTQ10" s="3"/>
      <c r="DTR10" s="3"/>
      <c r="DTS10" s="3"/>
      <c r="DTT10" s="3"/>
      <c r="DTU10" s="3"/>
      <c r="DTV10" s="3"/>
      <c r="DTW10" s="3"/>
      <c r="DTX10" s="3"/>
      <c r="DTY10" s="3"/>
      <c r="DTZ10" s="3"/>
      <c r="DUA10" s="3"/>
      <c r="DUB10" s="3"/>
      <c r="DUC10" s="3"/>
      <c r="DUD10" s="3"/>
      <c r="DUE10" s="3"/>
      <c r="DUF10" s="3"/>
      <c r="DUG10" s="3"/>
      <c r="DUH10" s="3"/>
      <c r="DUI10" s="3"/>
      <c r="DUJ10" s="3"/>
      <c r="DUK10" s="3"/>
      <c r="DUL10" s="3"/>
      <c r="DUM10" s="3"/>
      <c r="DUN10" s="3"/>
      <c r="DUO10" s="3"/>
      <c r="DUP10" s="3"/>
      <c r="DUQ10" s="3"/>
      <c r="DUR10" s="3"/>
      <c r="DUS10" s="3"/>
      <c r="DUT10" s="3"/>
      <c r="DUU10" s="3"/>
      <c r="DUV10" s="3"/>
      <c r="DUW10" s="3"/>
      <c r="DUX10" s="3"/>
      <c r="DUY10" s="3"/>
      <c r="DUZ10" s="3"/>
      <c r="DVA10" s="3"/>
      <c r="DVB10" s="3"/>
      <c r="DVC10" s="3"/>
      <c r="DVD10" s="3"/>
      <c r="DVE10" s="3"/>
      <c r="DVF10" s="3"/>
      <c r="DVG10" s="3"/>
      <c r="DVH10" s="3"/>
      <c r="DVI10" s="3"/>
      <c r="DVJ10" s="3"/>
      <c r="DVK10" s="3"/>
      <c r="DVL10" s="3"/>
      <c r="DVM10" s="3"/>
      <c r="DVN10" s="3"/>
      <c r="DVO10" s="3"/>
      <c r="DVP10" s="3"/>
      <c r="DVQ10" s="3"/>
      <c r="DVR10" s="3"/>
      <c r="DVS10" s="3"/>
      <c r="DVT10" s="3"/>
      <c r="DVU10" s="3"/>
      <c r="DVV10" s="3"/>
      <c r="DVW10" s="3"/>
      <c r="DVX10" s="3"/>
      <c r="DVY10" s="3"/>
      <c r="DVZ10" s="3"/>
      <c r="DWA10" s="3"/>
      <c r="DWB10" s="3"/>
      <c r="DWC10" s="3"/>
      <c r="DWD10" s="3"/>
      <c r="DWE10" s="3"/>
      <c r="DWF10" s="3"/>
      <c r="DWG10" s="3"/>
      <c r="DWH10" s="3"/>
      <c r="DWI10" s="3"/>
      <c r="DWJ10" s="3"/>
      <c r="DWK10" s="3"/>
      <c r="DWL10" s="3"/>
      <c r="DWM10" s="3"/>
      <c r="DWN10" s="3"/>
      <c r="DWO10" s="3"/>
      <c r="DWP10" s="3"/>
      <c r="DWQ10" s="3"/>
      <c r="DWR10" s="3"/>
      <c r="DWS10" s="3"/>
      <c r="DWT10" s="3"/>
      <c r="DWU10" s="3"/>
      <c r="DWV10" s="3"/>
      <c r="DWW10" s="3"/>
      <c r="DWX10" s="3"/>
      <c r="DWY10" s="3"/>
      <c r="DWZ10" s="3"/>
      <c r="DXA10" s="3"/>
      <c r="DXB10" s="3"/>
      <c r="DXC10" s="3"/>
      <c r="DXD10" s="3"/>
      <c r="DXE10" s="3"/>
      <c r="DXF10" s="3"/>
      <c r="DXG10" s="3"/>
      <c r="DXH10" s="3"/>
      <c r="DXI10" s="3"/>
      <c r="DXJ10" s="3"/>
      <c r="DXK10" s="3"/>
      <c r="DXL10" s="3"/>
      <c r="DXM10" s="3"/>
      <c r="DXN10" s="3"/>
      <c r="DXO10" s="3"/>
      <c r="DXP10" s="3"/>
      <c r="DXQ10" s="3"/>
      <c r="DXR10" s="3"/>
      <c r="DXS10" s="3"/>
      <c r="DXT10" s="3"/>
      <c r="DXU10" s="3"/>
      <c r="DXV10" s="3"/>
      <c r="DXW10" s="3"/>
      <c r="DXX10" s="3"/>
      <c r="DXY10" s="3"/>
      <c r="DXZ10" s="3"/>
      <c r="DYA10" s="3"/>
      <c r="DYB10" s="3"/>
      <c r="DYC10" s="3"/>
      <c r="DYD10" s="3"/>
      <c r="DYE10" s="3"/>
      <c r="DYF10" s="3"/>
      <c r="DYG10" s="3"/>
      <c r="DYH10" s="3"/>
      <c r="DYI10" s="3"/>
      <c r="DYJ10" s="3"/>
      <c r="DYK10" s="3"/>
      <c r="DYL10" s="3"/>
      <c r="DYM10" s="3"/>
      <c r="DYN10" s="3"/>
      <c r="DYO10" s="3"/>
      <c r="DYP10" s="3"/>
      <c r="DYQ10" s="3"/>
      <c r="DYR10" s="3"/>
      <c r="DYS10" s="3"/>
      <c r="DYT10" s="3"/>
      <c r="DYU10" s="3"/>
      <c r="DYV10" s="3"/>
      <c r="DYW10" s="3"/>
      <c r="DYX10" s="3"/>
      <c r="DYY10" s="3"/>
      <c r="DYZ10" s="3"/>
      <c r="DZA10" s="3"/>
      <c r="DZB10" s="3"/>
      <c r="DZC10" s="3"/>
      <c r="DZD10" s="3"/>
      <c r="DZE10" s="3"/>
      <c r="DZF10" s="3"/>
      <c r="DZG10" s="3"/>
      <c r="DZH10" s="3"/>
      <c r="DZI10" s="3"/>
      <c r="DZJ10" s="3"/>
      <c r="DZK10" s="3"/>
      <c r="DZL10" s="3"/>
      <c r="DZM10" s="3"/>
      <c r="DZN10" s="3"/>
      <c r="DZO10" s="3"/>
      <c r="DZP10" s="3"/>
      <c r="DZQ10" s="3"/>
      <c r="DZR10" s="3"/>
      <c r="DZS10" s="3"/>
      <c r="DZT10" s="3"/>
      <c r="DZU10" s="3"/>
      <c r="DZV10" s="3"/>
      <c r="DZW10" s="3"/>
      <c r="DZX10" s="3"/>
      <c r="DZY10" s="3"/>
      <c r="DZZ10" s="3"/>
      <c r="EAA10" s="3"/>
      <c r="EAB10" s="3"/>
      <c r="EAC10" s="3"/>
      <c r="EAD10" s="3"/>
      <c r="EAE10" s="3"/>
      <c r="EAF10" s="3"/>
      <c r="EAG10" s="3"/>
      <c r="EAH10" s="3"/>
      <c r="EAI10" s="3"/>
      <c r="EAJ10" s="3"/>
      <c r="EAK10" s="3"/>
      <c r="EAL10" s="3"/>
      <c r="EAM10" s="3"/>
      <c r="EAN10" s="3"/>
      <c r="EAO10" s="3"/>
      <c r="EAP10" s="3"/>
      <c r="EAQ10" s="3"/>
      <c r="EAR10" s="3"/>
      <c r="EAS10" s="3"/>
      <c r="EAT10" s="3"/>
      <c r="EAU10" s="3"/>
      <c r="EAV10" s="3"/>
      <c r="EAW10" s="3"/>
      <c r="EAX10" s="3"/>
      <c r="EAY10" s="3"/>
      <c r="EAZ10" s="3"/>
      <c r="EBA10" s="3"/>
      <c r="EBB10" s="3"/>
      <c r="EBC10" s="3"/>
      <c r="EBD10" s="3"/>
      <c r="EBE10" s="3"/>
      <c r="EBF10" s="3"/>
      <c r="EBG10" s="3"/>
      <c r="EBH10" s="3"/>
      <c r="EBI10" s="3"/>
      <c r="EBJ10" s="3"/>
      <c r="EBK10" s="3"/>
      <c r="EBL10" s="3"/>
      <c r="EBM10" s="3"/>
      <c r="EBN10" s="3"/>
      <c r="EBO10" s="3"/>
      <c r="EBP10" s="3"/>
      <c r="EBQ10" s="3"/>
      <c r="EBR10" s="3"/>
      <c r="EBS10" s="3"/>
      <c r="EBT10" s="3"/>
      <c r="EBU10" s="3"/>
      <c r="EBV10" s="3"/>
      <c r="EBW10" s="3"/>
      <c r="EBX10" s="3"/>
      <c r="EBY10" s="3"/>
      <c r="EBZ10" s="3"/>
      <c r="ECA10" s="3"/>
      <c r="ECB10" s="3"/>
      <c r="ECC10" s="3"/>
      <c r="ECD10" s="3"/>
      <c r="ECE10" s="3"/>
      <c r="ECF10" s="3"/>
      <c r="ECG10" s="3"/>
      <c r="ECH10" s="3"/>
      <c r="ECI10" s="3"/>
      <c r="ECJ10" s="3"/>
      <c r="ECK10" s="3"/>
      <c r="ECL10" s="3"/>
      <c r="ECM10" s="3"/>
      <c r="ECN10" s="3"/>
      <c r="ECO10" s="3"/>
      <c r="ECP10" s="3"/>
      <c r="ECQ10" s="3"/>
      <c r="ECR10" s="3"/>
      <c r="ECS10" s="3"/>
      <c r="ECT10" s="3"/>
      <c r="ECU10" s="3"/>
      <c r="ECV10" s="3"/>
      <c r="ECW10" s="3"/>
      <c r="ECX10" s="3"/>
      <c r="ECY10" s="3"/>
      <c r="ECZ10" s="3"/>
      <c r="EDA10" s="3"/>
      <c r="EDB10" s="3"/>
      <c r="EDC10" s="3"/>
      <c r="EDD10" s="3"/>
      <c r="EDE10" s="3"/>
      <c r="EDF10" s="3"/>
      <c r="EDG10" s="3"/>
      <c r="EDH10" s="3"/>
      <c r="EDI10" s="3"/>
      <c r="EDJ10" s="3"/>
      <c r="EDK10" s="3"/>
      <c r="EDL10" s="3"/>
      <c r="EDM10" s="3"/>
      <c r="EDN10" s="3"/>
      <c r="EDO10" s="3"/>
      <c r="EDP10" s="3"/>
      <c r="EDQ10" s="3"/>
      <c r="EDR10" s="3"/>
      <c r="EDS10" s="3"/>
      <c r="EDT10" s="3"/>
      <c r="EDU10" s="3"/>
      <c r="EDV10" s="3"/>
      <c r="EDW10" s="3"/>
      <c r="EDX10" s="3"/>
      <c r="EDY10" s="3"/>
      <c r="EDZ10" s="3"/>
      <c r="EEA10" s="3"/>
      <c r="EEB10" s="3"/>
      <c r="EEC10" s="3"/>
      <c r="EED10" s="3"/>
      <c r="EEE10" s="3"/>
      <c r="EEF10" s="3"/>
      <c r="EEG10" s="3"/>
      <c r="EEH10" s="3"/>
      <c r="EEI10" s="3"/>
      <c r="EEJ10" s="3"/>
      <c r="EEK10" s="3"/>
      <c r="EEL10" s="3"/>
      <c r="EEM10" s="3"/>
      <c r="EEN10" s="3"/>
      <c r="EEO10" s="3"/>
      <c r="EEP10" s="3"/>
      <c r="EEQ10" s="3"/>
      <c r="EER10" s="3"/>
      <c r="EES10" s="3"/>
      <c r="EET10" s="3"/>
      <c r="EEU10" s="3"/>
      <c r="EEV10" s="3"/>
      <c r="EEW10" s="3"/>
      <c r="EEX10" s="3"/>
      <c r="EEY10" s="3"/>
      <c r="EEZ10" s="3"/>
      <c r="EFA10" s="3"/>
      <c r="EFB10" s="3"/>
      <c r="EFC10" s="3"/>
      <c r="EFD10" s="3"/>
      <c r="EFE10" s="3"/>
      <c r="EFF10" s="3"/>
      <c r="EFG10" s="3"/>
      <c r="EFH10" s="3"/>
      <c r="EFI10" s="3"/>
      <c r="EFJ10" s="3"/>
      <c r="EFK10" s="3"/>
      <c r="EFL10" s="3"/>
      <c r="EFM10" s="3"/>
      <c r="EFN10" s="3"/>
      <c r="EFO10" s="3"/>
      <c r="EFP10" s="3"/>
      <c r="EFQ10" s="3"/>
      <c r="EFR10" s="3"/>
      <c r="EFS10" s="3"/>
      <c r="EFT10" s="3"/>
      <c r="EFU10" s="3"/>
      <c r="EFV10" s="3"/>
      <c r="EFW10" s="3"/>
      <c r="EFX10" s="3"/>
      <c r="EFY10" s="3"/>
      <c r="EFZ10" s="3"/>
      <c r="EGA10" s="3"/>
      <c r="EGB10" s="3"/>
      <c r="EGC10" s="3"/>
      <c r="EGD10" s="3"/>
      <c r="EGE10" s="3"/>
      <c r="EGF10" s="3"/>
      <c r="EGG10" s="3"/>
      <c r="EGH10" s="3"/>
      <c r="EGI10" s="3"/>
      <c r="EGJ10" s="3"/>
      <c r="EGK10" s="3"/>
      <c r="EGL10" s="3"/>
      <c r="EGM10" s="3"/>
      <c r="EGN10" s="3"/>
      <c r="EGO10" s="3"/>
      <c r="EGP10" s="3"/>
      <c r="EGQ10" s="3"/>
      <c r="EGR10" s="3"/>
      <c r="EGS10" s="3"/>
      <c r="EGT10" s="3"/>
      <c r="EGU10" s="3"/>
      <c r="EGV10" s="3"/>
      <c r="EGW10" s="3"/>
      <c r="EGX10" s="3"/>
      <c r="EGY10" s="3"/>
      <c r="EGZ10" s="3"/>
      <c r="EHA10" s="3"/>
      <c r="EHB10" s="3"/>
      <c r="EHC10" s="3"/>
      <c r="EHD10" s="3"/>
      <c r="EHE10" s="3"/>
      <c r="EHF10" s="3"/>
      <c r="EHG10" s="3"/>
      <c r="EHH10" s="3"/>
      <c r="EHI10" s="3"/>
      <c r="EHJ10" s="3"/>
      <c r="EHK10" s="3"/>
      <c r="EHL10" s="3"/>
      <c r="EHM10" s="3"/>
      <c r="EHN10" s="3"/>
      <c r="EHO10" s="3"/>
      <c r="EHP10" s="3"/>
      <c r="EHQ10" s="3"/>
      <c r="EHR10" s="3"/>
      <c r="EHS10" s="3"/>
      <c r="EHT10" s="3"/>
      <c r="EHU10" s="3"/>
      <c r="EHV10" s="3"/>
      <c r="EHW10" s="3"/>
      <c r="EHX10" s="3"/>
      <c r="EHY10" s="3"/>
      <c r="EHZ10" s="3"/>
      <c r="EIA10" s="3"/>
      <c r="EIB10" s="3"/>
      <c r="EIC10" s="3"/>
      <c r="EID10" s="3"/>
      <c r="EIE10" s="3"/>
      <c r="EIF10" s="3"/>
      <c r="EIG10" s="3"/>
      <c r="EIH10" s="3"/>
      <c r="EII10" s="3"/>
      <c r="EIJ10" s="3"/>
      <c r="EIK10" s="3"/>
      <c r="EIL10" s="3"/>
      <c r="EIM10" s="3"/>
      <c r="EIN10" s="3"/>
      <c r="EIO10" s="3"/>
      <c r="EIP10" s="3"/>
      <c r="EIQ10" s="3"/>
      <c r="EIR10" s="3"/>
      <c r="EIS10" s="3"/>
      <c r="EIT10" s="3"/>
      <c r="EIU10" s="3"/>
      <c r="EIV10" s="3"/>
      <c r="EIW10" s="3"/>
      <c r="EIX10" s="3"/>
      <c r="EIY10" s="3"/>
      <c r="EIZ10" s="3"/>
      <c r="EJA10" s="3"/>
      <c r="EJB10" s="3"/>
      <c r="EJC10" s="3"/>
      <c r="EJD10" s="3"/>
      <c r="EJE10" s="3"/>
      <c r="EJF10" s="3"/>
      <c r="EJG10" s="3"/>
      <c r="EJH10" s="3"/>
      <c r="EJI10" s="3"/>
      <c r="EJJ10" s="3"/>
      <c r="EJK10" s="3"/>
      <c r="EJL10" s="3"/>
      <c r="EJM10" s="3"/>
      <c r="EJN10" s="3"/>
      <c r="EJO10" s="3"/>
      <c r="EJP10" s="3"/>
      <c r="EJQ10" s="3"/>
      <c r="EJR10" s="3"/>
      <c r="EJS10" s="3"/>
      <c r="EJT10" s="3"/>
      <c r="EJU10" s="3"/>
      <c r="EJV10" s="3"/>
      <c r="EJW10" s="3"/>
      <c r="EJX10" s="3"/>
      <c r="EJY10" s="3"/>
      <c r="EJZ10" s="3"/>
      <c r="EKA10" s="3"/>
      <c r="EKB10" s="3"/>
      <c r="EKC10" s="3"/>
      <c r="EKD10" s="3"/>
      <c r="EKE10" s="3"/>
      <c r="EKF10" s="3"/>
      <c r="EKG10" s="3"/>
      <c r="EKH10" s="3"/>
      <c r="EKI10" s="3"/>
      <c r="EKJ10" s="3"/>
      <c r="EKK10" s="3"/>
      <c r="EKL10" s="3"/>
      <c r="EKM10" s="3"/>
      <c r="EKN10" s="3"/>
      <c r="EKO10" s="3"/>
      <c r="EKP10" s="3"/>
      <c r="EKQ10" s="3"/>
      <c r="EKR10" s="3"/>
      <c r="EKS10" s="3"/>
      <c r="EKT10" s="3"/>
      <c r="EKU10" s="3"/>
      <c r="EKV10" s="3"/>
      <c r="EKW10" s="3"/>
      <c r="EKX10" s="3"/>
      <c r="EKY10" s="3"/>
      <c r="EKZ10" s="3"/>
      <c r="ELA10" s="3"/>
      <c r="ELB10" s="3"/>
      <c r="ELC10" s="3"/>
      <c r="ELD10" s="3"/>
      <c r="ELE10" s="3"/>
      <c r="ELF10" s="3"/>
      <c r="ELG10" s="3"/>
      <c r="ELH10" s="3"/>
      <c r="ELI10" s="3"/>
      <c r="ELJ10" s="3"/>
      <c r="ELK10" s="3"/>
      <c r="ELL10" s="3"/>
      <c r="ELM10" s="3"/>
      <c r="ELN10" s="3"/>
      <c r="ELO10" s="3"/>
      <c r="ELP10" s="3"/>
      <c r="ELQ10" s="3"/>
      <c r="ELR10" s="3"/>
      <c r="ELS10" s="3"/>
      <c r="ELT10" s="3"/>
      <c r="ELU10" s="3"/>
      <c r="ELV10" s="3"/>
      <c r="ELW10" s="3"/>
      <c r="ELX10" s="3"/>
      <c r="ELY10" s="3"/>
      <c r="ELZ10" s="3"/>
      <c r="EMA10" s="3"/>
      <c r="EMB10" s="3"/>
      <c r="EMC10" s="3"/>
      <c r="EMD10" s="3"/>
      <c r="EME10" s="3"/>
      <c r="EMF10" s="3"/>
      <c r="EMG10" s="3"/>
      <c r="EMH10" s="3"/>
      <c r="EMI10" s="3"/>
      <c r="EMJ10" s="3"/>
      <c r="EMK10" s="3"/>
      <c r="EML10" s="3"/>
      <c r="EMM10" s="3"/>
      <c r="EMN10" s="3"/>
      <c r="EMO10" s="3"/>
      <c r="EMP10" s="3"/>
      <c r="EMQ10" s="3"/>
      <c r="EMR10" s="3"/>
      <c r="EMS10" s="3"/>
      <c r="EMT10" s="3"/>
      <c r="EMU10" s="3"/>
      <c r="EMV10" s="3"/>
      <c r="EMW10" s="3"/>
      <c r="EMX10" s="3"/>
      <c r="EMY10" s="3"/>
      <c r="EMZ10" s="3"/>
      <c r="ENA10" s="3"/>
      <c r="ENB10" s="3"/>
      <c r="ENC10" s="3"/>
      <c r="END10" s="3"/>
      <c r="ENE10" s="3"/>
      <c r="ENF10" s="3"/>
      <c r="ENG10" s="3"/>
      <c r="ENH10" s="3"/>
      <c r="ENI10" s="3"/>
      <c r="ENJ10" s="3"/>
      <c r="ENK10" s="3"/>
      <c r="ENL10" s="3"/>
      <c r="ENM10" s="3"/>
      <c r="ENN10" s="3"/>
      <c r="ENO10" s="3"/>
      <c r="ENP10" s="3"/>
      <c r="ENQ10" s="3"/>
      <c r="ENR10" s="3"/>
      <c r="ENS10" s="3"/>
      <c r="ENT10" s="3"/>
      <c r="ENU10" s="3"/>
      <c r="ENV10" s="3"/>
      <c r="ENW10" s="3"/>
      <c r="ENX10" s="3"/>
      <c r="ENY10" s="3"/>
      <c r="ENZ10" s="3"/>
      <c r="EOA10" s="3"/>
      <c r="EOB10" s="3"/>
      <c r="EOC10" s="3"/>
      <c r="EOD10" s="3"/>
      <c r="EOE10" s="3"/>
      <c r="EOF10" s="3"/>
      <c r="EOG10" s="3"/>
      <c r="EOH10" s="3"/>
      <c r="EOI10" s="3"/>
      <c r="EOJ10" s="3"/>
      <c r="EOK10" s="3"/>
      <c r="EOL10" s="3"/>
      <c r="EOM10" s="3"/>
      <c r="EON10" s="3"/>
      <c r="EOO10" s="3"/>
      <c r="EOP10" s="3"/>
      <c r="EOQ10" s="3"/>
      <c r="EOR10" s="3"/>
      <c r="EOS10" s="3"/>
      <c r="EOT10" s="3"/>
      <c r="EOU10" s="3"/>
      <c r="EOV10" s="3"/>
      <c r="EOW10" s="3"/>
      <c r="EOX10" s="3"/>
      <c r="EOY10" s="3"/>
      <c r="EOZ10" s="3"/>
      <c r="EPA10" s="3"/>
      <c r="EPB10" s="3"/>
      <c r="EPC10" s="3"/>
      <c r="EPD10" s="3"/>
      <c r="EPE10" s="3"/>
      <c r="EPF10" s="3"/>
      <c r="EPG10" s="3"/>
      <c r="EPH10" s="3"/>
      <c r="EPI10" s="3"/>
      <c r="EPJ10" s="3"/>
      <c r="EPK10" s="3"/>
      <c r="EPL10" s="3"/>
      <c r="EPM10" s="3"/>
      <c r="EPN10" s="3"/>
      <c r="EPO10" s="3"/>
      <c r="EPP10" s="3"/>
      <c r="EPQ10" s="3"/>
      <c r="EPR10" s="3"/>
      <c r="EPS10" s="3"/>
      <c r="EPT10" s="3"/>
      <c r="EPU10" s="3"/>
      <c r="EPV10" s="3"/>
      <c r="EPW10" s="3"/>
      <c r="EPX10" s="3"/>
      <c r="EPY10" s="3"/>
      <c r="EPZ10" s="3"/>
      <c r="EQA10" s="3"/>
      <c r="EQB10" s="3"/>
      <c r="EQC10" s="3"/>
      <c r="EQD10" s="3"/>
      <c r="EQE10" s="3"/>
      <c r="EQF10" s="3"/>
      <c r="EQG10" s="3"/>
      <c r="EQH10" s="3"/>
      <c r="EQI10" s="3"/>
      <c r="EQJ10" s="3"/>
      <c r="EQK10" s="3"/>
      <c r="EQL10" s="3"/>
      <c r="EQM10" s="3"/>
      <c r="EQN10" s="3"/>
      <c r="EQO10" s="3"/>
      <c r="EQP10" s="3"/>
      <c r="EQQ10" s="3"/>
      <c r="EQR10" s="3"/>
      <c r="EQS10" s="3"/>
      <c r="EQT10" s="3"/>
      <c r="EQU10" s="3"/>
      <c r="EQV10" s="3"/>
      <c r="EQW10" s="3"/>
      <c r="EQX10" s="3"/>
      <c r="EQY10" s="3"/>
      <c r="EQZ10" s="3"/>
      <c r="ERA10" s="3"/>
      <c r="ERB10" s="3"/>
      <c r="ERC10" s="3"/>
      <c r="ERD10" s="3"/>
      <c r="ERE10" s="3"/>
      <c r="ERF10" s="3"/>
      <c r="ERG10" s="3"/>
      <c r="ERH10" s="3"/>
      <c r="ERI10" s="3"/>
      <c r="ERJ10" s="3"/>
      <c r="ERK10" s="3"/>
      <c r="ERL10" s="3"/>
      <c r="ERM10" s="3"/>
      <c r="ERN10" s="3"/>
      <c r="ERO10" s="3"/>
      <c r="ERP10" s="3"/>
      <c r="ERQ10" s="3"/>
      <c r="ERR10" s="3"/>
      <c r="ERS10" s="3"/>
      <c r="ERT10" s="3"/>
      <c r="ERU10" s="3"/>
      <c r="ERV10" s="3"/>
      <c r="ERW10" s="3"/>
      <c r="ERX10" s="3"/>
      <c r="ERY10" s="3"/>
      <c r="ERZ10" s="3"/>
      <c r="ESA10" s="3"/>
      <c r="ESB10" s="3"/>
      <c r="ESC10" s="3"/>
      <c r="ESD10" s="3"/>
      <c r="ESE10" s="3"/>
      <c r="ESF10" s="3"/>
      <c r="ESG10" s="3"/>
      <c r="ESH10" s="3"/>
      <c r="ESI10" s="3"/>
      <c r="ESJ10" s="3"/>
      <c r="ESK10" s="3"/>
      <c r="ESL10" s="3"/>
      <c r="ESM10" s="3"/>
      <c r="ESN10" s="3"/>
      <c r="ESO10" s="3"/>
      <c r="ESP10" s="3"/>
      <c r="ESQ10" s="3"/>
      <c r="ESR10" s="3"/>
      <c r="ESS10" s="3"/>
      <c r="EST10" s="3"/>
      <c r="ESU10" s="3"/>
      <c r="ESV10" s="3"/>
      <c r="ESW10" s="3"/>
      <c r="ESX10" s="3"/>
      <c r="ESY10" s="3"/>
      <c r="ESZ10" s="3"/>
      <c r="ETA10" s="3"/>
      <c r="ETB10" s="3"/>
      <c r="ETC10" s="3"/>
      <c r="ETD10" s="3"/>
      <c r="ETE10" s="3"/>
      <c r="ETF10" s="3"/>
      <c r="ETG10" s="3"/>
      <c r="ETH10" s="3"/>
      <c r="ETI10" s="3"/>
      <c r="ETJ10" s="3"/>
      <c r="ETK10" s="3"/>
      <c r="ETL10" s="3"/>
      <c r="ETM10" s="3"/>
      <c r="ETN10" s="3"/>
      <c r="ETO10" s="3"/>
      <c r="ETP10" s="3"/>
      <c r="ETQ10" s="3"/>
      <c r="ETR10" s="3"/>
      <c r="ETS10" s="3"/>
      <c r="ETT10" s="3"/>
      <c r="ETU10" s="3"/>
      <c r="ETV10" s="3"/>
      <c r="ETW10" s="3"/>
      <c r="ETX10" s="3"/>
      <c r="ETY10" s="3"/>
      <c r="ETZ10" s="3"/>
      <c r="EUA10" s="3"/>
      <c r="EUB10" s="3"/>
      <c r="EUC10" s="3"/>
      <c r="EUD10" s="3"/>
      <c r="EUE10" s="3"/>
      <c r="EUF10" s="3"/>
      <c r="EUG10" s="3"/>
      <c r="EUH10" s="3"/>
      <c r="EUI10" s="3"/>
      <c r="EUJ10" s="3"/>
      <c r="EUK10" s="3"/>
      <c r="EUL10" s="3"/>
      <c r="EUM10" s="3"/>
      <c r="EUN10" s="3"/>
      <c r="EUO10" s="3"/>
      <c r="EUP10" s="3"/>
      <c r="EUQ10" s="3"/>
      <c r="EUR10" s="3"/>
      <c r="EUS10" s="3"/>
      <c r="EUT10" s="3"/>
      <c r="EUU10" s="3"/>
      <c r="EUV10" s="3"/>
      <c r="EUW10" s="3"/>
      <c r="EUX10" s="3"/>
      <c r="EUY10" s="3"/>
      <c r="EUZ10" s="3"/>
      <c r="EVA10" s="3"/>
      <c r="EVB10" s="3"/>
      <c r="EVC10" s="3"/>
      <c r="EVD10" s="3"/>
      <c r="EVE10" s="3"/>
      <c r="EVF10" s="3"/>
      <c r="EVG10" s="3"/>
      <c r="EVH10" s="3"/>
      <c r="EVI10" s="3"/>
      <c r="EVJ10" s="3"/>
      <c r="EVK10" s="3"/>
      <c r="EVL10" s="3"/>
      <c r="EVM10" s="3"/>
      <c r="EVN10" s="3"/>
      <c r="EVO10" s="3"/>
      <c r="EVP10" s="3"/>
      <c r="EVQ10" s="3"/>
      <c r="EVR10" s="3"/>
      <c r="EVS10" s="3"/>
      <c r="EVT10" s="3"/>
      <c r="EVU10" s="3"/>
      <c r="EVV10" s="3"/>
      <c r="EVW10" s="3"/>
      <c r="EVX10" s="3"/>
      <c r="EVY10" s="3"/>
      <c r="EVZ10" s="3"/>
      <c r="EWA10" s="3"/>
      <c r="EWB10" s="3"/>
      <c r="EWC10" s="3"/>
      <c r="EWD10" s="3"/>
      <c r="EWE10" s="3"/>
      <c r="EWF10" s="3"/>
      <c r="EWG10" s="3"/>
      <c r="EWH10" s="3"/>
      <c r="EWI10" s="3"/>
      <c r="EWJ10" s="3"/>
      <c r="EWK10" s="3"/>
      <c r="EWL10" s="3"/>
      <c r="EWM10" s="3"/>
      <c r="EWN10" s="3"/>
      <c r="EWO10" s="3"/>
      <c r="EWP10" s="3"/>
      <c r="EWQ10" s="3"/>
      <c r="EWR10" s="3"/>
      <c r="EWS10" s="3"/>
      <c r="EWT10" s="3"/>
      <c r="EWU10" s="3"/>
      <c r="EWV10" s="3"/>
      <c r="EWW10" s="3"/>
      <c r="EWX10" s="3"/>
      <c r="EWY10" s="3"/>
      <c r="EWZ10" s="3"/>
      <c r="EXA10" s="3"/>
      <c r="EXB10" s="3"/>
      <c r="EXC10" s="3"/>
      <c r="EXD10" s="3"/>
      <c r="EXE10" s="3"/>
      <c r="EXF10" s="3"/>
      <c r="EXG10" s="3"/>
      <c r="EXH10" s="3"/>
      <c r="EXI10" s="3"/>
      <c r="EXJ10" s="3"/>
      <c r="EXK10" s="3"/>
      <c r="EXL10" s="3"/>
      <c r="EXM10" s="3"/>
      <c r="EXN10" s="3"/>
      <c r="EXO10" s="3"/>
      <c r="EXP10" s="3"/>
      <c r="EXQ10" s="3"/>
      <c r="EXR10" s="3"/>
      <c r="EXS10" s="3"/>
      <c r="EXT10" s="3"/>
      <c r="EXU10" s="3"/>
      <c r="EXV10" s="3"/>
      <c r="EXW10" s="3"/>
      <c r="EXX10" s="3"/>
      <c r="EXY10" s="3"/>
      <c r="EXZ10" s="3"/>
      <c r="EYA10" s="3"/>
      <c r="EYB10" s="3"/>
      <c r="EYC10" s="3"/>
      <c r="EYD10" s="3"/>
      <c r="EYE10" s="3"/>
      <c r="EYF10" s="3"/>
      <c r="EYG10" s="3"/>
      <c r="EYH10" s="3"/>
      <c r="EYI10" s="3"/>
      <c r="EYJ10" s="3"/>
      <c r="EYK10" s="3"/>
      <c r="EYL10" s="3"/>
      <c r="EYM10" s="3"/>
      <c r="EYN10" s="3"/>
      <c r="EYO10" s="3"/>
      <c r="EYP10" s="3"/>
      <c r="EYQ10" s="3"/>
      <c r="EYR10" s="3"/>
      <c r="EYS10" s="3"/>
      <c r="EYT10" s="3"/>
      <c r="EYU10" s="3"/>
      <c r="EYV10" s="3"/>
      <c r="EYW10" s="3"/>
      <c r="EYX10" s="3"/>
      <c r="EYY10" s="3"/>
      <c r="EYZ10" s="3"/>
      <c r="EZA10" s="3"/>
      <c r="EZB10" s="3"/>
      <c r="EZC10" s="3"/>
      <c r="EZD10" s="3"/>
      <c r="EZE10" s="3"/>
      <c r="EZF10" s="3"/>
      <c r="EZG10" s="3"/>
      <c r="EZH10" s="3"/>
      <c r="EZI10" s="3"/>
      <c r="EZJ10" s="3"/>
      <c r="EZK10" s="3"/>
      <c r="EZL10" s="3"/>
      <c r="EZM10" s="3"/>
      <c r="EZN10" s="3"/>
      <c r="EZO10" s="3"/>
      <c r="EZP10" s="3"/>
      <c r="EZQ10" s="3"/>
      <c r="EZR10" s="3"/>
      <c r="EZS10" s="3"/>
      <c r="EZT10" s="3"/>
      <c r="EZU10" s="3"/>
      <c r="EZV10" s="3"/>
      <c r="EZW10" s="3"/>
      <c r="EZX10" s="3"/>
      <c r="EZY10" s="3"/>
      <c r="EZZ10" s="3"/>
      <c r="FAA10" s="3"/>
      <c r="FAB10" s="3"/>
      <c r="FAC10" s="3"/>
      <c r="FAD10" s="3"/>
      <c r="FAE10" s="3"/>
      <c r="FAF10" s="3"/>
      <c r="FAG10" s="3"/>
      <c r="FAH10" s="3"/>
      <c r="FAI10" s="3"/>
      <c r="FAJ10" s="3"/>
      <c r="FAK10" s="3"/>
      <c r="FAL10" s="3"/>
      <c r="FAM10" s="3"/>
      <c r="FAN10" s="3"/>
      <c r="FAO10" s="3"/>
      <c r="FAP10" s="3"/>
      <c r="FAQ10" s="3"/>
      <c r="FAR10" s="3"/>
      <c r="FAS10" s="3"/>
      <c r="FAT10" s="3"/>
      <c r="FAU10" s="3"/>
      <c r="FAV10" s="3"/>
      <c r="FAW10" s="3"/>
      <c r="FAX10" s="3"/>
      <c r="FAY10" s="3"/>
      <c r="FAZ10" s="3"/>
      <c r="FBA10" s="3"/>
      <c r="FBB10" s="3"/>
      <c r="FBC10" s="3"/>
      <c r="FBD10" s="3"/>
      <c r="FBE10" s="3"/>
      <c r="FBF10" s="3"/>
      <c r="FBG10" s="3"/>
      <c r="FBH10" s="3"/>
      <c r="FBI10" s="3"/>
      <c r="FBJ10" s="3"/>
      <c r="FBK10" s="3"/>
      <c r="FBL10" s="3"/>
      <c r="FBM10" s="3"/>
      <c r="FBN10" s="3"/>
      <c r="FBO10" s="3"/>
      <c r="FBP10" s="3"/>
      <c r="FBQ10" s="3"/>
      <c r="FBR10" s="3"/>
      <c r="FBS10" s="3"/>
      <c r="FBT10" s="3"/>
      <c r="FBU10" s="3"/>
      <c r="FBV10" s="3"/>
      <c r="FBW10" s="3"/>
      <c r="FBX10" s="3"/>
      <c r="FBY10" s="3"/>
      <c r="FBZ10" s="3"/>
      <c r="FCA10" s="3"/>
      <c r="FCB10" s="3"/>
      <c r="FCC10" s="3"/>
      <c r="FCD10" s="3"/>
      <c r="FCE10" s="3"/>
      <c r="FCF10" s="3"/>
      <c r="FCG10" s="3"/>
      <c r="FCH10" s="3"/>
      <c r="FCI10" s="3"/>
      <c r="FCJ10" s="3"/>
      <c r="FCK10" s="3"/>
      <c r="FCL10" s="3"/>
      <c r="FCM10" s="3"/>
      <c r="FCN10" s="3"/>
      <c r="FCO10" s="3"/>
      <c r="FCP10" s="3"/>
      <c r="FCQ10" s="3"/>
      <c r="FCR10" s="3"/>
      <c r="FCS10" s="3"/>
      <c r="FCT10" s="3"/>
      <c r="FCU10" s="3"/>
      <c r="FCV10" s="3"/>
      <c r="FCW10" s="3"/>
      <c r="FCX10" s="3"/>
      <c r="FCY10" s="3"/>
      <c r="FCZ10" s="3"/>
      <c r="FDA10" s="3"/>
      <c r="FDB10" s="3"/>
      <c r="FDC10" s="3"/>
      <c r="FDD10" s="3"/>
      <c r="FDE10" s="3"/>
      <c r="FDF10" s="3"/>
      <c r="FDG10" s="3"/>
      <c r="FDH10" s="3"/>
      <c r="FDI10" s="3"/>
      <c r="FDJ10" s="3"/>
      <c r="FDK10" s="3"/>
      <c r="FDL10" s="3"/>
      <c r="FDM10" s="3"/>
      <c r="FDN10" s="3"/>
      <c r="FDO10" s="3"/>
      <c r="FDP10" s="3"/>
      <c r="FDQ10" s="3"/>
      <c r="FDR10" s="3"/>
      <c r="FDS10" s="3"/>
      <c r="FDT10" s="3"/>
      <c r="FDU10" s="3"/>
      <c r="FDV10" s="3"/>
      <c r="FDW10" s="3"/>
      <c r="FDX10" s="3"/>
      <c r="FDY10" s="3"/>
      <c r="FDZ10" s="3"/>
      <c r="FEA10" s="3"/>
      <c r="FEB10" s="3"/>
      <c r="FEC10" s="3"/>
      <c r="FED10" s="3"/>
      <c r="FEE10" s="3"/>
      <c r="FEF10" s="3"/>
      <c r="FEG10" s="3"/>
      <c r="FEH10" s="3"/>
      <c r="FEI10" s="3"/>
      <c r="FEJ10" s="3"/>
      <c r="FEK10" s="3"/>
      <c r="FEL10" s="3"/>
      <c r="FEM10" s="3"/>
      <c r="FEN10" s="3"/>
      <c r="FEO10" s="3"/>
      <c r="FEP10" s="3"/>
      <c r="FEQ10" s="3"/>
      <c r="FER10" s="3"/>
      <c r="FES10" s="3"/>
      <c r="FET10" s="3"/>
      <c r="FEU10" s="3"/>
      <c r="FEV10" s="3"/>
      <c r="FEW10" s="3"/>
      <c r="FEX10" s="3"/>
      <c r="FEY10" s="3"/>
      <c r="FEZ10" s="3"/>
      <c r="FFA10" s="3"/>
      <c r="FFB10" s="3"/>
      <c r="FFC10" s="3"/>
      <c r="FFD10" s="3"/>
      <c r="FFE10" s="3"/>
      <c r="FFF10" s="3"/>
      <c r="FFG10" s="3"/>
      <c r="FFH10" s="3"/>
      <c r="FFI10" s="3"/>
      <c r="FFJ10" s="3"/>
      <c r="FFK10" s="3"/>
      <c r="FFL10" s="3"/>
      <c r="FFM10" s="3"/>
      <c r="FFN10" s="3"/>
      <c r="FFO10" s="3"/>
      <c r="FFP10" s="3"/>
      <c r="FFQ10" s="3"/>
      <c r="FFR10" s="3"/>
      <c r="FFS10" s="3"/>
      <c r="FFT10" s="3"/>
      <c r="FFU10" s="3"/>
      <c r="FFV10" s="3"/>
      <c r="FFW10" s="3"/>
      <c r="FFX10" s="3"/>
      <c r="FFY10" s="3"/>
      <c r="FFZ10" s="3"/>
      <c r="FGA10" s="3"/>
      <c r="FGB10" s="3"/>
      <c r="FGC10" s="3"/>
      <c r="FGD10" s="3"/>
      <c r="FGE10" s="3"/>
      <c r="FGF10" s="3"/>
      <c r="FGG10" s="3"/>
      <c r="FGH10" s="3"/>
      <c r="FGI10" s="3"/>
      <c r="FGJ10" s="3"/>
      <c r="FGK10" s="3"/>
      <c r="FGL10" s="3"/>
      <c r="FGM10" s="3"/>
      <c r="FGN10" s="3"/>
      <c r="FGO10" s="3"/>
      <c r="FGP10" s="3"/>
      <c r="FGQ10" s="3"/>
      <c r="FGR10" s="3"/>
      <c r="FGS10" s="3"/>
      <c r="FGT10" s="3"/>
      <c r="FGU10" s="3"/>
      <c r="FGV10" s="3"/>
      <c r="FGW10" s="3"/>
      <c r="FGX10" s="3"/>
      <c r="FGY10" s="3"/>
      <c r="FGZ10" s="3"/>
      <c r="FHA10" s="3"/>
      <c r="FHB10" s="3"/>
      <c r="FHC10" s="3"/>
      <c r="FHD10" s="3"/>
      <c r="FHE10" s="3"/>
      <c r="FHF10" s="3"/>
      <c r="FHG10" s="3"/>
      <c r="FHH10" s="3"/>
      <c r="FHI10" s="3"/>
      <c r="FHJ10" s="3"/>
      <c r="FHK10" s="3"/>
      <c r="FHL10" s="3"/>
      <c r="FHM10" s="3"/>
      <c r="FHN10" s="3"/>
      <c r="FHO10" s="3"/>
      <c r="FHP10" s="3"/>
      <c r="FHQ10" s="3"/>
      <c r="FHR10" s="3"/>
      <c r="FHS10" s="3"/>
      <c r="FHT10" s="3"/>
      <c r="FHU10" s="3"/>
      <c r="FHV10" s="3"/>
      <c r="FHW10" s="3"/>
      <c r="FHX10" s="3"/>
      <c r="FHY10" s="3"/>
      <c r="FHZ10" s="3"/>
      <c r="FIA10" s="3"/>
      <c r="FIB10" s="3"/>
      <c r="FIC10" s="3"/>
      <c r="FID10" s="3"/>
      <c r="FIE10" s="3"/>
      <c r="FIF10" s="3"/>
      <c r="FIG10" s="3"/>
      <c r="FIH10" s="3"/>
      <c r="FII10" s="3"/>
      <c r="FIJ10" s="3"/>
      <c r="FIK10" s="3"/>
      <c r="FIL10" s="3"/>
      <c r="FIM10" s="3"/>
      <c r="FIN10" s="3"/>
      <c r="FIO10" s="3"/>
      <c r="FIP10" s="3"/>
      <c r="FIQ10" s="3"/>
      <c r="FIR10" s="3"/>
      <c r="FIS10" s="3"/>
      <c r="FIT10" s="3"/>
      <c r="FIU10" s="3"/>
      <c r="FIV10" s="3"/>
      <c r="FIW10" s="3"/>
      <c r="FIX10" s="3"/>
      <c r="FIY10" s="3"/>
      <c r="FIZ10" s="3"/>
      <c r="FJA10" s="3"/>
      <c r="FJB10" s="3"/>
      <c r="FJC10" s="3"/>
      <c r="FJD10" s="3"/>
      <c r="FJE10" s="3"/>
      <c r="FJF10" s="3"/>
      <c r="FJG10" s="3"/>
      <c r="FJH10" s="3"/>
      <c r="FJI10" s="3"/>
      <c r="FJJ10" s="3"/>
      <c r="FJK10" s="3"/>
      <c r="FJL10" s="3"/>
      <c r="FJM10" s="3"/>
      <c r="FJN10" s="3"/>
      <c r="FJO10" s="3"/>
      <c r="FJP10" s="3"/>
      <c r="FJQ10" s="3"/>
      <c r="FJR10" s="3"/>
      <c r="FJS10" s="3"/>
      <c r="FJT10" s="3"/>
      <c r="FJU10" s="3"/>
      <c r="FJV10" s="3"/>
      <c r="FJW10" s="3"/>
      <c r="FJX10" s="3"/>
      <c r="FJY10" s="3"/>
      <c r="FJZ10" s="3"/>
      <c r="FKA10" s="3"/>
      <c r="FKB10" s="3"/>
      <c r="FKC10" s="3"/>
      <c r="FKD10" s="3"/>
      <c r="FKE10" s="3"/>
      <c r="FKF10" s="3"/>
      <c r="FKG10" s="3"/>
      <c r="FKH10" s="3"/>
      <c r="FKI10" s="3"/>
      <c r="FKJ10" s="3"/>
      <c r="FKK10" s="3"/>
      <c r="FKL10" s="3"/>
      <c r="FKM10" s="3"/>
      <c r="FKN10" s="3"/>
      <c r="FKO10" s="3"/>
      <c r="FKP10" s="3"/>
      <c r="FKQ10" s="3"/>
      <c r="FKR10" s="3"/>
      <c r="FKS10" s="3"/>
      <c r="FKT10" s="3"/>
      <c r="FKU10" s="3"/>
      <c r="FKV10" s="3"/>
      <c r="FKW10" s="3"/>
      <c r="FKX10" s="3"/>
      <c r="FKY10" s="3"/>
      <c r="FKZ10" s="3"/>
      <c r="FLA10" s="3"/>
      <c r="FLB10" s="3"/>
      <c r="FLC10" s="3"/>
      <c r="FLD10" s="3"/>
      <c r="FLE10" s="3"/>
      <c r="FLF10" s="3"/>
      <c r="FLG10" s="3"/>
      <c r="FLH10" s="3"/>
      <c r="FLI10" s="3"/>
      <c r="FLJ10" s="3"/>
      <c r="FLK10" s="3"/>
      <c r="FLL10" s="3"/>
      <c r="FLM10" s="3"/>
      <c r="FLN10" s="3"/>
      <c r="FLO10" s="3"/>
      <c r="FLP10" s="3"/>
      <c r="FLQ10" s="3"/>
      <c r="FLR10" s="3"/>
      <c r="FLS10" s="3"/>
      <c r="FLT10" s="3"/>
      <c r="FLU10" s="3"/>
      <c r="FLV10" s="3"/>
      <c r="FLW10" s="3"/>
      <c r="FLX10" s="3"/>
      <c r="FLY10" s="3"/>
      <c r="FLZ10" s="3"/>
      <c r="FMA10" s="3"/>
      <c r="FMB10" s="3"/>
      <c r="FMC10" s="3"/>
      <c r="FMD10" s="3"/>
      <c r="FME10" s="3"/>
      <c r="FMF10" s="3"/>
      <c r="FMG10" s="3"/>
      <c r="FMH10" s="3"/>
      <c r="FMI10" s="3"/>
      <c r="FMJ10" s="3"/>
      <c r="FMK10" s="3"/>
      <c r="FML10" s="3"/>
      <c r="FMM10" s="3"/>
      <c r="FMN10" s="3"/>
      <c r="FMO10" s="3"/>
      <c r="FMP10" s="3"/>
      <c r="FMQ10" s="3"/>
      <c r="FMR10" s="3"/>
      <c r="FMS10" s="3"/>
      <c r="FMT10" s="3"/>
      <c r="FMU10" s="3"/>
      <c r="FMV10" s="3"/>
      <c r="FMW10" s="3"/>
      <c r="FMX10" s="3"/>
      <c r="FMY10" s="3"/>
      <c r="FMZ10" s="3"/>
      <c r="FNA10" s="3"/>
      <c r="FNB10" s="3"/>
      <c r="FNC10" s="3"/>
      <c r="FND10" s="3"/>
      <c r="FNE10" s="3"/>
      <c r="FNF10" s="3"/>
      <c r="FNG10" s="3"/>
      <c r="FNH10" s="3"/>
      <c r="FNI10" s="3"/>
      <c r="FNJ10" s="3"/>
      <c r="FNK10" s="3"/>
      <c r="FNL10" s="3"/>
      <c r="FNM10" s="3"/>
      <c r="FNN10" s="3"/>
      <c r="FNO10" s="3"/>
      <c r="FNP10" s="3"/>
      <c r="FNQ10" s="3"/>
      <c r="FNR10" s="3"/>
      <c r="FNS10" s="3"/>
      <c r="FNT10" s="3"/>
      <c r="FNU10" s="3"/>
      <c r="FNV10" s="3"/>
      <c r="FNW10" s="3"/>
      <c r="FNX10" s="3"/>
      <c r="FNY10" s="3"/>
      <c r="FNZ10" s="3"/>
      <c r="FOA10" s="3"/>
      <c r="FOB10" s="3"/>
      <c r="FOC10" s="3"/>
      <c r="FOD10" s="3"/>
      <c r="FOE10" s="3"/>
      <c r="FOF10" s="3"/>
      <c r="FOG10" s="3"/>
      <c r="FOH10" s="3"/>
      <c r="FOI10" s="3"/>
      <c r="FOJ10" s="3"/>
      <c r="FOK10" s="3"/>
      <c r="FOL10" s="3"/>
      <c r="FOM10" s="3"/>
      <c r="FON10" s="3"/>
      <c r="FOO10" s="3"/>
      <c r="FOP10" s="3"/>
      <c r="FOQ10" s="3"/>
      <c r="FOR10" s="3"/>
      <c r="FOS10" s="3"/>
      <c r="FOT10" s="3"/>
      <c r="FOU10" s="3"/>
      <c r="FOV10" s="3"/>
      <c r="FOW10" s="3"/>
      <c r="FOX10" s="3"/>
      <c r="FOY10" s="3"/>
      <c r="FOZ10" s="3"/>
      <c r="FPA10" s="3"/>
      <c r="FPB10" s="3"/>
      <c r="FPC10" s="3"/>
      <c r="FPD10" s="3"/>
      <c r="FPE10" s="3"/>
      <c r="FPF10" s="3"/>
      <c r="FPG10" s="3"/>
      <c r="FPH10" s="3"/>
      <c r="FPI10" s="3"/>
      <c r="FPJ10" s="3"/>
      <c r="FPK10" s="3"/>
      <c r="FPL10" s="3"/>
      <c r="FPM10" s="3"/>
      <c r="FPN10" s="3"/>
      <c r="FPO10" s="3"/>
      <c r="FPP10" s="3"/>
      <c r="FPQ10" s="3"/>
      <c r="FPR10" s="3"/>
      <c r="FPS10" s="3"/>
      <c r="FPT10" s="3"/>
      <c r="FPU10" s="3"/>
      <c r="FPV10" s="3"/>
      <c r="FPW10" s="3"/>
      <c r="FPX10" s="3"/>
      <c r="FPY10" s="3"/>
      <c r="FPZ10" s="3"/>
      <c r="FQA10" s="3"/>
      <c r="FQB10" s="3"/>
      <c r="FQC10" s="3"/>
      <c r="FQD10" s="3"/>
      <c r="FQE10" s="3"/>
      <c r="FQF10" s="3"/>
      <c r="FQG10" s="3"/>
      <c r="FQH10" s="3"/>
      <c r="FQI10" s="3"/>
      <c r="FQJ10" s="3"/>
      <c r="FQK10" s="3"/>
      <c r="FQL10" s="3"/>
      <c r="FQM10" s="3"/>
      <c r="FQN10" s="3"/>
      <c r="FQO10" s="3"/>
      <c r="FQP10" s="3"/>
      <c r="FQQ10" s="3"/>
      <c r="FQR10" s="3"/>
      <c r="FQS10" s="3"/>
      <c r="FQT10" s="3"/>
      <c r="FQU10" s="3"/>
      <c r="FQV10" s="3"/>
      <c r="FQW10" s="3"/>
      <c r="FQX10" s="3"/>
      <c r="FQY10" s="3"/>
      <c r="FQZ10" s="3"/>
      <c r="FRA10" s="3"/>
      <c r="FRB10" s="3"/>
      <c r="FRC10" s="3"/>
      <c r="FRD10" s="3"/>
      <c r="FRE10" s="3"/>
      <c r="FRF10" s="3"/>
      <c r="FRG10" s="3"/>
      <c r="FRH10" s="3"/>
      <c r="FRI10" s="3"/>
      <c r="FRJ10" s="3"/>
      <c r="FRK10" s="3"/>
      <c r="FRL10" s="3"/>
      <c r="FRM10" s="3"/>
      <c r="FRN10" s="3"/>
      <c r="FRO10" s="3"/>
      <c r="FRP10" s="3"/>
      <c r="FRQ10" s="3"/>
      <c r="FRR10" s="3"/>
      <c r="FRS10" s="3"/>
      <c r="FRT10" s="3"/>
      <c r="FRU10" s="3"/>
      <c r="FRV10" s="3"/>
      <c r="FRW10" s="3"/>
      <c r="FRX10" s="3"/>
      <c r="FRY10" s="3"/>
      <c r="FRZ10" s="3"/>
      <c r="FSA10" s="3"/>
      <c r="FSB10" s="3"/>
      <c r="FSC10" s="3"/>
      <c r="FSD10" s="3"/>
      <c r="FSE10" s="3"/>
      <c r="FSF10" s="3"/>
      <c r="FSG10" s="3"/>
      <c r="FSH10" s="3"/>
      <c r="FSI10" s="3"/>
      <c r="FSJ10" s="3"/>
      <c r="FSK10" s="3"/>
      <c r="FSL10" s="3"/>
      <c r="FSM10" s="3"/>
      <c r="FSN10" s="3"/>
      <c r="FSO10" s="3"/>
      <c r="FSP10" s="3"/>
      <c r="FSQ10" s="3"/>
      <c r="FSR10" s="3"/>
      <c r="FSS10" s="3"/>
      <c r="FST10" s="3"/>
      <c r="FSU10" s="3"/>
      <c r="FSV10" s="3"/>
      <c r="FSW10" s="3"/>
      <c r="FSX10" s="3"/>
      <c r="FSY10" s="3"/>
      <c r="FSZ10" s="3"/>
      <c r="FTA10" s="3"/>
      <c r="FTB10" s="3"/>
      <c r="FTC10" s="3"/>
      <c r="FTD10" s="3"/>
      <c r="FTE10" s="3"/>
      <c r="FTF10" s="3"/>
      <c r="FTG10" s="3"/>
      <c r="FTH10" s="3"/>
      <c r="FTI10" s="3"/>
      <c r="FTJ10" s="3"/>
      <c r="FTK10" s="3"/>
      <c r="FTL10" s="3"/>
      <c r="FTM10" s="3"/>
      <c r="FTN10" s="3"/>
      <c r="FTO10" s="3"/>
      <c r="FTP10" s="3"/>
      <c r="FTQ10" s="3"/>
      <c r="FTR10" s="3"/>
      <c r="FTS10" s="3"/>
      <c r="FTT10" s="3"/>
      <c r="FTU10" s="3"/>
      <c r="FTV10" s="3"/>
      <c r="FTW10" s="3"/>
      <c r="FTX10" s="3"/>
      <c r="FTY10" s="3"/>
      <c r="FTZ10" s="3"/>
      <c r="FUA10" s="3"/>
      <c r="FUB10" s="3"/>
      <c r="FUC10" s="3"/>
      <c r="FUD10" s="3"/>
      <c r="FUE10" s="3"/>
      <c r="FUF10" s="3"/>
      <c r="FUG10" s="3"/>
      <c r="FUH10" s="3"/>
      <c r="FUI10" s="3"/>
      <c r="FUJ10" s="3"/>
      <c r="FUK10" s="3"/>
      <c r="FUL10" s="3"/>
      <c r="FUM10" s="3"/>
      <c r="FUN10" s="3"/>
      <c r="FUO10" s="3"/>
      <c r="FUP10" s="3"/>
      <c r="FUQ10" s="3"/>
      <c r="FUR10" s="3"/>
      <c r="FUS10" s="3"/>
      <c r="FUT10" s="3"/>
      <c r="FUU10" s="3"/>
      <c r="FUV10" s="3"/>
      <c r="FUW10" s="3"/>
      <c r="FUX10" s="3"/>
      <c r="FUY10" s="3"/>
      <c r="FUZ10" s="3"/>
      <c r="FVA10" s="3"/>
      <c r="FVB10" s="3"/>
      <c r="FVC10" s="3"/>
      <c r="FVD10" s="3"/>
      <c r="FVE10" s="3"/>
      <c r="FVF10" s="3"/>
      <c r="FVG10" s="3"/>
      <c r="FVH10" s="3"/>
      <c r="FVI10" s="3"/>
      <c r="FVJ10" s="3"/>
      <c r="FVK10" s="3"/>
      <c r="FVL10" s="3"/>
      <c r="FVM10" s="3"/>
      <c r="FVN10" s="3"/>
      <c r="FVO10" s="3"/>
      <c r="FVP10" s="3"/>
      <c r="FVQ10" s="3"/>
      <c r="FVR10" s="3"/>
      <c r="FVS10" s="3"/>
      <c r="FVT10" s="3"/>
      <c r="FVU10" s="3"/>
      <c r="FVV10" s="3"/>
      <c r="FVW10" s="3"/>
      <c r="FVX10" s="3"/>
      <c r="FVY10" s="3"/>
      <c r="FVZ10" s="3"/>
      <c r="FWA10" s="3"/>
      <c r="FWB10" s="3"/>
      <c r="FWC10" s="3"/>
      <c r="FWD10" s="3"/>
      <c r="FWE10" s="3"/>
      <c r="FWF10" s="3"/>
      <c r="FWG10" s="3"/>
      <c r="FWH10" s="3"/>
      <c r="FWI10" s="3"/>
      <c r="FWJ10" s="3"/>
      <c r="FWK10" s="3"/>
      <c r="FWL10" s="3"/>
      <c r="FWM10" s="3"/>
      <c r="FWN10" s="3"/>
      <c r="FWO10" s="3"/>
      <c r="FWP10" s="3"/>
      <c r="FWQ10" s="3"/>
      <c r="FWR10" s="3"/>
      <c r="FWS10" s="3"/>
      <c r="FWT10" s="3"/>
      <c r="FWU10" s="3"/>
      <c r="FWV10" s="3"/>
      <c r="FWW10" s="3"/>
      <c r="FWX10" s="3"/>
      <c r="FWY10" s="3"/>
      <c r="FWZ10" s="3"/>
      <c r="FXA10" s="3"/>
      <c r="FXB10" s="3"/>
      <c r="FXC10" s="3"/>
      <c r="FXD10" s="3"/>
      <c r="FXE10" s="3"/>
      <c r="FXF10" s="3"/>
      <c r="FXG10" s="3"/>
      <c r="FXH10" s="3"/>
      <c r="FXI10" s="3"/>
      <c r="FXJ10" s="3"/>
      <c r="FXK10" s="3"/>
      <c r="FXL10" s="3"/>
      <c r="FXM10" s="3"/>
      <c r="FXN10" s="3"/>
      <c r="FXO10" s="3"/>
      <c r="FXP10" s="3"/>
      <c r="FXQ10" s="3"/>
      <c r="FXR10" s="3"/>
      <c r="FXS10" s="3"/>
      <c r="FXT10" s="3"/>
      <c r="FXU10" s="3"/>
      <c r="FXV10" s="3"/>
      <c r="FXW10" s="3"/>
      <c r="FXX10" s="3"/>
      <c r="FXY10" s="3"/>
      <c r="FXZ10" s="3"/>
      <c r="FYA10" s="3"/>
      <c r="FYB10" s="3"/>
      <c r="FYC10" s="3"/>
      <c r="FYD10" s="3"/>
      <c r="FYE10" s="3"/>
      <c r="FYF10" s="3"/>
      <c r="FYG10" s="3"/>
      <c r="FYH10" s="3"/>
      <c r="FYI10" s="3"/>
      <c r="FYJ10" s="3"/>
      <c r="FYK10" s="3"/>
      <c r="FYL10" s="3"/>
      <c r="FYM10" s="3"/>
      <c r="FYN10" s="3"/>
      <c r="FYO10" s="3"/>
      <c r="FYP10" s="3"/>
      <c r="FYQ10" s="3"/>
      <c r="FYR10" s="3"/>
      <c r="FYS10" s="3"/>
      <c r="FYT10" s="3"/>
      <c r="FYU10" s="3"/>
      <c r="FYV10" s="3"/>
      <c r="FYW10" s="3"/>
      <c r="FYX10" s="3"/>
      <c r="FYY10" s="3"/>
      <c r="FYZ10" s="3"/>
      <c r="FZA10" s="3"/>
      <c r="FZB10" s="3"/>
      <c r="FZC10" s="3"/>
      <c r="FZD10" s="3"/>
      <c r="FZE10" s="3"/>
      <c r="FZF10" s="3"/>
      <c r="FZG10" s="3"/>
      <c r="FZH10" s="3"/>
      <c r="FZI10" s="3"/>
      <c r="FZJ10" s="3"/>
      <c r="FZK10" s="3"/>
      <c r="FZL10" s="3"/>
      <c r="FZM10" s="3"/>
      <c r="FZN10" s="3"/>
      <c r="FZO10" s="3"/>
      <c r="FZP10" s="3"/>
      <c r="FZQ10" s="3"/>
      <c r="FZR10" s="3"/>
      <c r="FZS10" s="3"/>
      <c r="FZT10" s="3"/>
      <c r="FZU10" s="3"/>
      <c r="FZV10" s="3"/>
      <c r="FZW10" s="3"/>
      <c r="FZX10" s="3"/>
      <c r="FZY10" s="3"/>
      <c r="FZZ10" s="3"/>
      <c r="GAA10" s="3"/>
      <c r="GAB10" s="3"/>
      <c r="GAC10" s="3"/>
      <c r="GAD10" s="3"/>
      <c r="GAE10" s="3"/>
      <c r="GAF10" s="3"/>
      <c r="GAG10" s="3"/>
      <c r="GAH10" s="3"/>
      <c r="GAI10" s="3"/>
      <c r="GAJ10" s="3"/>
      <c r="GAK10" s="3"/>
      <c r="GAL10" s="3"/>
      <c r="GAM10" s="3"/>
      <c r="GAN10" s="3"/>
      <c r="GAO10" s="3"/>
      <c r="GAP10" s="3"/>
      <c r="GAQ10" s="3"/>
      <c r="GAR10" s="3"/>
      <c r="GAS10" s="3"/>
      <c r="GAT10" s="3"/>
      <c r="GAU10" s="3"/>
      <c r="GAV10" s="3"/>
      <c r="GAW10" s="3"/>
      <c r="GAX10" s="3"/>
      <c r="GAY10" s="3"/>
      <c r="GAZ10" s="3"/>
      <c r="GBA10" s="3"/>
      <c r="GBB10" s="3"/>
      <c r="GBC10" s="3"/>
      <c r="GBD10" s="3"/>
      <c r="GBE10" s="3"/>
      <c r="GBF10" s="3"/>
      <c r="GBG10" s="3"/>
      <c r="GBH10" s="3"/>
      <c r="GBI10" s="3"/>
      <c r="GBJ10" s="3"/>
      <c r="GBK10" s="3"/>
      <c r="GBL10" s="3"/>
      <c r="GBM10" s="3"/>
      <c r="GBN10" s="3"/>
      <c r="GBO10" s="3"/>
      <c r="GBP10" s="3"/>
      <c r="GBQ10" s="3"/>
      <c r="GBR10" s="3"/>
      <c r="GBS10" s="3"/>
      <c r="GBT10" s="3"/>
      <c r="GBU10" s="3"/>
      <c r="GBV10" s="3"/>
      <c r="GBW10" s="3"/>
      <c r="GBX10" s="3"/>
      <c r="GBY10" s="3"/>
      <c r="GBZ10" s="3"/>
      <c r="GCA10" s="3"/>
      <c r="GCB10" s="3"/>
      <c r="GCC10" s="3"/>
      <c r="GCD10" s="3"/>
      <c r="GCE10" s="3"/>
      <c r="GCF10" s="3"/>
      <c r="GCG10" s="3"/>
      <c r="GCH10" s="3"/>
      <c r="GCI10" s="3"/>
      <c r="GCJ10" s="3"/>
      <c r="GCK10" s="3"/>
      <c r="GCL10" s="3"/>
      <c r="GCM10" s="3"/>
      <c r="GCN10" s="3"/>
      <c r="GCO10" s="3"/>
      <c r="GCP10" s="3"/>
      <c r="GCQ10" s="3"/>
      <c r="GCR10" s="3"/>
      <c r="GCS10" s="3"/>
      <c r="GCT10" s="3"/>
      <c r="GCU10" s="3"/>
      <c r="GCV10" s="3"/>
      <c r="GCW10" s="3"/>
      <c r="GCX10" s="3"/>
      <c r="GCY10" s="3"/>
      <c r="GCZ10" s="3"/>
      <c r="GDA10" s="3"/>
      <c r="GDB10" s="3"/>
      <c r="GDC10" s="3"/>
      <c r="GDD10" s="3"/>
      <c r="GDE10" s="3"/>
      <c r="GDF10" s="3"/>
      <c r="GDG10" s="3"/>
      <c r="GDH10" s="3"/>
      <c r="GDI10" s="3"/>
      <c r="GDJ10" s="3"/>
      <c r="GDK10" s="3"/>
      <c r="GDL10" s="3"/>
      <c r="GDM10" s="3"/>
      <c r="GDN10" s="3"/>
      <c r="GDO10" s="3"/>
      <c r="GDP10" s="3"/>
      <c r="GDQ10" s="3"/>
      <c r="GDR10" s="3"/>
      <c r="GDS10" s="3"/>
      <c r="GDT10" s="3"/>
      <c r="GDU10" s="3"/>
      <c r="GDV10" s="3"/>
      <c r="GDW10" s="3"/>
      <c r="GDX10" s="3"/>
      <c r="GDY10" s="3"/>
      <c r="GDZ10" s="3"/>
      <c r="GEA10" s="3"/>
      <c r="GEB10" s="3"/>
      <c r="GEC10" s="3"/>
      <c r="GED10" s="3"/>
      <c r="GEE10" s="3"/>
      <c r="GEF10" s="3"/>
      <c r="GEG10" s="3"/>
      <c r="GEH10" s="3"/>
      <c r="GEI10" s="3"/>
      <c r="GEJ10" s="3"/>
      <c r="GEK10" s="3"/>
      <c r="GEL10" s="3"/>
      <c r="GEM10" s="3"/>
      <c r="GEN10" s="3"/>
      <c r="GEO10" s="3"/>
      <c r="GEP10" s="3"/>
      <c r="GEQ10" s="3"/>
      <c r="GER10" s="3"/>
      <c r="GES10" s="3"/>
      <c r="GET10" s="3"/>
      <c r="GEU10" s="3"/>
      <c r="GEV10" s="3"/>
      <c r="GEW10" s="3"/>
      <c r="GEX10" s="3"/>
      <c r="GEY10" s="3"/>
      <c r="GEZ10" s="3"/>
      <c r="GFA10" s="3"/>
      <c r="GFB10" s="3"/>
      <c r="GFC10" s="3"/>
      <c r="GFD10" s="3"/>
      <c r="GFE10" s="3"/>
      <c r="GFF10" s="3"/>
      <c r="GFG10" s="3"/>
      <c r="GFH10" s="3"/>
      <c r="GFI10" s="3"/>
      <c r="GFJ10" s="3"/>
      <c r="GFK10" s="3"/>
      <c r="GFL10" s="3"/>
      <c r="GFM10" s="3"/>
      <c r="GFN10" s="3"/>
      <c r="GFO10" s="3"/>
      <c r="GFP10" s="3"/>
      <c r="GFQ10" s="3"/>
      <c r="GFR10" s="3"/>
      <c r="GFS10" s="3"/>
      <c r="GFT10" s="3"/>
      <c r="GFU10" s="3"/>
      <c r="GFV10" s="3"/>
      <c r="GFW10" s="3"/>
      <c r="GFX10" s="3"/>
      <c r="GFY10" s="3"/>
      <c r="GFZ10" s="3"/>
      <c r="GGA10" s="3"/>
      <c r="GGB10" s="3"/>
      <c r="GGC10" s="3"/>
      <c r="GGD10" s="3"/>
      <c r="GGE10" s="3"/>
      <c r="GGF10" s="3"/>
      <c r="GGG10" s="3"/>
      <c r="GGH10" s="3"/>
      <c r="GGI10" s="3"/>
      <c r="GGJ10" s="3"/>
      <c r="GGK10" s="3"/>
      <c r="GGL10" s="3"/>
      <c r="GGM10" s="3"/>
      <c r="GGN10" s="3"/>
      <c r="GGO10" s="3"/>
      <c r="GGP10" s="3"/>
      <c r="GGQ10" s="3"/>
      <c r="GGR10" s="3"/>
      <c r="GGS10" s="3"/>
      <c r="GGT10" s="3"/>
      <c r="GGU10" s="3"/>
      <c r="GGV10" s="3"/>
      <c r="GGW10" s="3"/>
      <c r="GGX10" s="3"/>
      <c r="GGY10" s="3"/>
      <c r="GGZ10" s="3"/>
      <c r="GHA10" s="3"/>
      <c r="GHB10" s="3"/>
      <c r="GHC10" s="3"/>
      <c r="GHD10" s="3"/>
      <c r="GHE10" s="3"/>
      <c r="GHF10" s="3"/>
      <c r="GHG10" s="3"/>
      <c r="GHH10" s="3"/>
      <c r="GHI10" s="3"/>
      <c r="GHJ10" s="3"/>
      <c r="GHK10" s="3"/>
      <c r="GHL10" s="3"/>
      <c r="GHM10" s="3"/>
      <c r="GHN10" s="3"/>
      <c r="GHO10" s="3"/>
      <c r="GHP10" s="3"/>
      <c r="GHQ10" s="3"/>
      <c r="GHR10" s="3"/>
      <c r="GHS10" s="3"/>
      <c r="GHT10" s="3"/>
      <c r="GHU10" s="3"/>
      <c r="GHV10" s="3"/>
      <c r="GHW10" s="3"/>
      <c r="GHX10" s="3"/>
      <c r="GHY10" s="3"/>
      <c r="GHZ10" s="3"/>
      <c r="GIA10" s="3"/>
      <c r="GIB10" s="3"/>
      <c r="GIC10" s="3"/>
      <c r="GID10" s="3"/>
      <c r="GIE10" s="3"/>
      <c r="GIF10" s="3"/>
      <c r="GIG10" s="3"/>
      <c r="GIH10" s="3"/>
      <c r="GII10" s="3"/>
      <c r="GIJ10" s="3"/>
      <c r="GIK10" s="3"/>
      <c r="GIL10" s="3"/>
      <c r="GIM10" s="3"/>
      <c r="GIN10" s="3"/>
      <c r="GIO10" s="3"/>
      <c r="GIP10" s="3"/>
      <c r="GIQ10" s="3"/>
      <c r="GIR10" s="3"/>
      <c r="GIS10" s="3"/>
      <c r="GIT10" s="3"/>
      <c r="GIU10" s="3"/>
      <c r="GIV10" s="3"/>
      <c r="GIW10" s="3"/>
      <c r="GIX10" s="3"/>
      <c r="GIY10" s="3"/>
      <c r="GIZ10" s="3"/>
      <c r="GJA10" s="3"/>
      <c r="GJB10" s="3"/>
      <c r="GJC10" s="3"/>
      <c r="GJD10" s="3"/>
      <c r="GJE10" s="3"/>
      <c r="GJF10" s="3"/>
      <c r="GJG10" s="3"/>
      <c r="GJH10" s="3"/>
      <c r="GJI10" s="3"/>
      <c r="GJJ10" s="3"/>
      <c r="GJK10" s="3"/>
      <c r="GJL10" s="3"/>
      <c r="GJM10" s="3"/>
      <c r="GJN10" s="3"/>
      <c r="GJO10" s="3"/>
      <c r="GJP10" s="3"/>
      <c r="GJQ10" s="3"/>
      <c r="GJR10" s="3"/>
      <c r="GJS10" s="3"/>
      <c r="GJT10" s="3"/>
      <c r="GJU10" s="3"/>
      <c r="GJV10" s="3"/>
      <c r="GJW10" s="3"/>
      <c r="GJX10" s="3"/>
      <c r="GJY10" s="3"/>
      <c r="GJZ10" s="3"/>
      <c r="GKA10" s="3"/>
      <c r="GKB10" s="3"/>
      <c r="GKC10" s="3"/>
      <c r="GKD10" s="3"/>
      <c r="GKE10" s="3"/>
      <c r="GKF10" s="3"/>
      <c r="GKG10" s="3"/>
      <c r="GKH10" s="3"/>
      <c r="GKI10" s="3"/>
      <c r="GKJ10" s="3"/>
      <c r="GKK10" s="3"/>
      <c r="GKL10" s="3"/>
      <c r="GKM10" s="3"/>
      <c r="GKN10" s="3"/>
      <c r="GKO10" s="3"/>
      <c r="GKP10" s="3"/>
      <c r="GKQ10" s="3"/>
      <c r="GKR10" s="3"/>
      <c r="GKS10" s="3"/>
      <c r="GKT10" s="3"/>
      <c r="GKU10" s="3"/>
      <c r="GKV10" s="3"/>
      <c r="GKW10" s="3"/>
      <c r="GKX10" s="3"/>
      <c r="GKY10" s="3"/>
      <c r="GKZ10" s="3"/>
      <c r="GLA10" s="3"/>
      <c r="GLB10" s="3"/>
      <c r="GLC10" s="3"/>
      <c r="GLD10" s="3"/>
      <c r="GLE10" s="3"/>
      <c r="GLF10" s="3"/>
      <c r="GLG10" s="3"/>
      <c r="GLH10" s="3"/>
      <c r="GLI10" s="3"/>
      <c r="GLJ10" s="3"/>
      <c r="GLK10" s="3"/>
      <c r="GLL10" s="3"/>
      <c r="GLM10" s="3"/>
      <c r="GLN10" s="3"/>
      <c r="GLO10" s="3"/>
      <c r="GLP10" s="3"/>
      <c r="GLQ10" s="3"/>
      <c r="GLR10" s="3"/>
      <c r="GLS10" s="3"/>
      <c r="GLT10" s="3"/>
      <c r="GLU10" s="3"/>
      <c r="GLV10" s="3"/>
      <c r="GLW10" s="3"/>
      <c r="GLX10" s="3"/>
      <c r="GLY10" s="3"/>
      <c r="GLZ10" s="3"/>
      <c r="GMA10" s="3"/>
      <c r="GMB10" s="3"/>
      <c r="GMC10" s="3"/>
      <c r="GMD10" s="3"/>
      <c r="GME10" s="3"/>
      <c r="GMF10" s="3"/>
      <c r="GMG10" s="3"/>
      <c r="GMH10" s="3"/>
      <c r="GMI10" s="3"/>
      <c r="GMJ10" s="3"/>
      <c r="GMK10" s="3"/>
      <c r="GML10" s="3"/>
      <c r="GMM10" s="3"/>
      <c r="GMN10" s="3"/>
      <c r="GMO10" s="3"/>
      <c r="GMP10" s="3"/>
      <c r="GMQ10" s="3"/>
      <c r="GMR10" s="3"/>
      <c r="GMS10" s="3"/>
      <c r="GMT10" s="3"/>
      <c r="GMU10" s="3"/>
      <c r="GMV10" s="3"/>
      <c r="GMW10" s="3"/>
      <c r="GMX10" s="3"/>
      <c r="GMY10" s="3"/>
      <c r="GMZ10" s="3"/>
      <c r="GNA10" s="3"/>
      <c r="GNB10" s="3"/>
      <c r="GNC10" s="3"/>
      <c r="GND10" s="3"/>
      <c r="GNE10" s="3"/>
      <c r="GNF10" s="3"/>
      <c r="GNG10" s="3"/>
      <c r="GNH10" s="3"/>
      <c r="GNI10" s="3"/>
      <c r="GNJ10" s="3"/>
      <c r="GNK10" s="3"/>
      <c r="GNL10" s="3"/>
      <c r="GNM10" s="3"/>
      <c r="GNN10" s="3"/>
      <c r="GNO10" s="3"/>
      <c r="GNP10" s="3"/>
      <c r="GNQ10" s="3"/>
      <c r="GNR10" s="3"/>
      <c r="GNS10" s="3"/>
      <c r="GNT10" s="3"/>
      <c r="GNU10" s="3"/>
      <c r="GNV10" s="3"/>
      <c r="GNW10" s="3"/>
      <c r="GNX10" s="3"/>
      <c r="GNY10" s="3"/>
      <c r="GNZ10" s="3"/>
      <c r="GOA10" s="3"/>
      <c r="GOB10" s="3"/>
      <c r="GOC10" s="3"/>
      <c r="GOD10" s="3"/>
      <c r="GOE10" s="3"/>
      <c r="GOF10" s="3"/>
      <c r="GOG10" s="3"/>
      <c r="GOH10" s="3"/>
      <c r="GOI10" s="3"/>
      <c r="GOJ10" s="3"/>
      <c r="GOK10" s="3"/>
      <c r="GOL10" s="3"/>
      <c r="GOM10" s="3"/>
      <c r="GON10" s="3"/>
      <c r="GOO10" s="3"/>
      <c r="GOP10" s="3"/>
      <c r="GOQ10" s="3"/>
      <c r="GOR10" s="3"/>
      <c r="GOS10" s="3"/>
      <c r="GOT10" s="3"/>
      <c r="GOU10" s="3"/>
      <c r="GOV10" s="3"/>
      <c r="GOW10" s="3"/>
      <c r="GOX10" s="3"/>
      <c r="GOY10" s="3"/>
      <c r="GOZ10" s="3"/>
      <c r="GPA10" s="3"/>
      <c r="GPB10" s="3"/>
      <c r="GPC10" s="3"/>
      <c r="GPD10" s="3"/>
      <c r="GPE10" s="3"/>
      <c r="GPF10" s="3"/>
      <c r="GPG10" s="3"/>
      <c r="GPH10" s="3"/>
      <c r="GPI10" s="3"/>
      <c r="GPJ10" s="3"/>
      <c r="GPK10" s="3"/>
      <c r="GPL10" s="3"/>
      <c r="GPM10" s="3"/>
      <c r="GPN10" s="3"/>
      <c r="GPO10" s="3"/>
      <c r="GPP10" s="3"/>
      <c r="GPQ10" s="3"/>
      <c r="GPR10" s="3"/>
      <c r="GPS10" s="3"/>
      <c r="GPT10" s="3"/>
      <c r="GPU10" s="3"/>
      <c r="GPV10" s="3"/>
      <c r="GPW10" s="3"/>
      <c r="GPX10" s="3"/>
      <c r="GPY10" s="3"/>
      <c r="GPZ10" s="3"/>
      <c r="GQA10" s="3"/>
      <c r="GQB10" s="3"/>
      <c r="GQC10" s="3"/>
      <c r="GQD10" s="3"/>
      <c r="GQE10" s="3"/>
      <c r="GQF10" s="3"/>
      <c r="GQG10" s="3"/>
      <c r="GQH10" s="3"/>
      <c r="GQI10" s="3"/>
      <c r="GQJ10" s="3"/>
      <c r="GQK10" s="3"/>
      <c r="GQL10" s="3"/>
      <c r="GQM10" s="3"/>
      <c r="GQN10" s="3"/>
      <c r="GQO10" s="3"/>
      <c r="GQP10" s="3"/>
      <c r="GQQ10" s="3"/>
      <c r="GQR10" s="3"/>
      <c r="GQS10" s="3"/>
      <c r="GQT10" s="3"/>
      <c r="GQU10" s="3"/>
      <c r="GQV10" s="3"/>
      <c r="GQW10" s="3"/>
      <c r="GQX10" s="3"/>
      <c r="GQY10" s="3"/>
      <c r="GQZ10" s="3"/>
      <c r="GRA10" s="3"/>
      <c r="GRB10" s="3"/>
      <c r="GRC10" s="3"/>
      <c r="GRD10" s="3"/>
      <c r="GRE10" s="3"/>
      <c r="GRF10" s="3"/>
      <c r="GRG10" s="3"/>
      <c r="GRH10" s="3"/>
      <c r="GRI10" s="3"/>
      <c r="GRJ10" s="3"/>
      <c r="GRK10" s="3"/>
      <c r="GRL10" s="3"/>
      <c r="GRM10" s="3"/>
      <c r="GRN10" s="3"/>
      <c r="GRO10" s="3"/>
      <c r="GRP10" s="3"/>
      <c r="GRQ10" s="3"/>
      <c r="GRR10" s="3"/>
      <c r="GRS10" s="3"/>
      <c r="GRT10" s="3"/>
      <c r="GRU10" s="3"/>
      <c r="GRV10" s="3"/>
      <c r="GRW10" s="3"/>
      <c r="GRX10" s="3"/>
      <c r="GRY10" s="3"/>
      <c r="GRZ10" s="3"/>
      <c r="GSA10" s="3"/>
      <c r="GSB10" s="3"/>
      <c r="GSC10" s="3"/>
      <c r="GSD10" s="3"/>
      <c r="GSE10" s="3"/>
      <c r="GSF10" s="3"/>
      <c r="GSG10" s="3"/>
      <c r="GSH10" s="3"/>
      <c r="GSI10" s="3"/>
      <c r="GSJ10" s="3"/>
      <c r="GSK10" s="3"/>
      <c r="GSL10" s="3"/>
      <c r="GSM10" s="3"/>
      <c r="GSN10" s="3"/>
      <c r="GSO10" s="3"/>
      <c r="GSP10" s="3"/>
      <c r="GSQ10" s="3"/>
      <c r="GSR10" s="3"/>
      <c r="GSS10" s="3"/>
      <c r="GST10" s="3"/>
      <c r="GSU10" s="3"/>
      <c r="GSV10" s="3"/>
      <c r="GSW10" s="3"/>
      <c r="GSX10" s="3"/>
      <c r="GSY10" s="3"/>
      <c r="GSZ10" s="3"/>
      <c r="GTA10" s="3"/>
      <c r="GTB10" s="3"/>
      <c r="GTC10" s="3"/>
      <c r="GTD10" s="3"/>
      <c r="GTE10" s="3"/>
      <c r="GTF10" s="3"/>
      <c r="GTG10" s="3"/>
      <c r="GTH10" s="3"/>
      <c r="GTI10" s="3"/>
      <c r="GTJ10" s="3"/>
      <c r="GTK10" s="3"/>
      <c r="GTL10" s="3"/>
      <c r="GTM10" s="3"/>
      <c r="GTN10" s="3"/>
      <c r="GTO10" s="3"/>
      <c r="GTP10" s="3"/>
      <c r="GTQ10" s="3"/>
      <c r="GTR10" s="3"/>
      <c r="GTS10" s="3"/>
      <c r="GTT10" s="3"/>
      <c r="GTU10" s="3"/>
      <c r="GTV10" s="3"/>
      <c r="GTW10" s="3"/>
      <c r="GTX10" s="3"/>
      <c r="GTY10" s="3"/>
      <c r="GTZ10" s="3"/>
      <c r="GUA10" s="3"/>
      <c r="GUB10" s="3"/>
      <c r="GUC10" s="3"/>
      <c r="GUD10" s="3"/>
      <c r="GUE10" s="3"/>
      <c r="GUF10" s="3"/>
      <c r="GUG10" s="3"/>
      <c r="GUH10" s="3"/>
      <c r="GUI10" s="3"/>
      <c r="GUJ10" s="3"/>
      <c r="GUK10" s="3"/>
      <c r="GUL10" s="3"/>
      <c r="GUM10" s="3"/>
      <c r="GUN10" s="3"/>
      <c r="GUO10" s="3"/>
      <c r="GUP10" s="3"/>
      <c r="GUQ10" s="3"/>
      <c r="GUR10" s="3"/>
      <c r="GUS10" s="3"/>
      <c r="GUT10" s="3"/>
      <c r="GUU10" s="3"/>
      <c r="GUV10" s="3"/>
      <c r="GUW10" s="3"/>
      <c r="GUX10" s="3"/>
      <c r="GUY10" s="3"/>
      <c r="GUZ10" s="3"/>
      <c r="GVA10" s="3"/>
      <c r="GVB10" s="3"/>
      <c r="GVC10" s="3"/>
      <c r="GVD10" s="3"/>
      <c r="GVE10" s="3"/>
      <c r="GVF10" s="3"/>
      <c r="GVG10" s="3"/>
      <c r="GVH10" s="3"/>
      <c r="GVI10" s="3"/>
      <c r="GVJ10" s="3"/>
      <c r="GVK10" s="3"/>
      <c r="GVL10" s="3"/>
      <c r="GVM10" s="3"/>
      <c r="GVN10" s="3"/>
      <c r="GVO10" s="3"/>
      <c r="GVP10" s="3"/>
      <c r="GVQ10" s="3"/>
      <c r="GVR10" s="3"/>
      <c r="GVS10" s="3"/>
      <c r="GVT10" s="3"/>
      <c r="GVU10" s="3"/>
      <c r="GVV10" s="3"/>
      <c r="GVW10" s="3"/>
      <c r="GVX10" s="3"/>
      <c r="GVY10" s="3"/>
      <c r="GVZ10" s="3"/>
      <c r="GWA10" s="3"/>
      <c r="GWB10" s="3"/>
      <c r="GWC10" s="3"/>
      <c r="GWD10" s="3"/>
      <c r="GWE10" s="3"/>
      <c r="GWF10" s="3"/>
      <c r="GWG10" s="3"/>
      <c r="GWH10" s="3"/>
      <c r="GWI10" s="3"/>
      <c r="GWJ10" s="3"/>
      <c r="GWK10" s="3"/>
      <c r="GWL10" s="3"/>
      <c r="GWM10" s="3"/>
      <c r="GWN10" s="3"/>
      <c r="GWO10" s="3"/>
      <c r="GWP10" s="3"/>
      <c r="GWQ10" s="3"/>
      <c r="GWR10" s="3"/>
      <c r="GWS10" s="3"/>
      <c r="GWT10" s="3"/>
      <c r="GWU10" s="3"/>
      <c r="GWV10" s="3"/>
      <c r="GWW10" s="3"/>
      <c r="GWX10" s="3"/>
      <c r="GWY10" s="3"/>
      <c r="GWZ10" s="3"/>
      <c r="GXA10" s="3"/>
      <c r="GXB10" s="3"/>
      <c r="GXC10" s="3"/>
      <c r="GXD10" s="3"/>
      <c r="GXE10" s="3"/>
      <c r="GXF10" s="3"/>
      <c r="GXG10" s="3"/>
      <c r="GXH10" s="3"/>
      <c r="GXI10" s="3"/>
      <c r="GXJ10" s="3"/>
      <c r="GXK10" s="3"/>
      <c r="GXL10" s="3"/>
      <c r="GXM10" s="3"/>
      <c r="GXN10" s="3"/>
      <c r="GXO10" s="3"/>
      <c r="GXP10" s="3"/>
      <c r="GXQ10" s="3"/>
      <c r="GXR10" s="3"/>
      <c r="GXS10" s="3"/>
      <c r="GXT10" s="3"/>
      <c r="GXU10" s="3"/>
      <c r="GXV10" s="3"/>
      <c r="GXW10" s="3"/>
      <c r="GXX10" s="3"/>
      <c r="GXY10" s="3"/>
      <c r="GXZ10" s="3"/>
      <c r="GYA10" s="3"/>
      <c r="GYB10" s="3"/>
      <c r="GYC10" s="3"/>
      <c r="GYD10" s="3"/>
      <c r="GYE10" s="3"/>
      <c r="GYF10" s="3"/>
      <c r="GYG10" s="3"/>
      <c r="GYH10" s="3"/>
      <c r="GYI10" s="3"/>
      <c r="GYJ10" s="3"/>
      <c r="GYK10" s="3"/>
      <c r="GYL10" s="3"/>
      <c r="GYM10" s="3"/>
      <c r="GYN10" s="3"/>
      <c r="GYO10" s="3"/>
      <c r="GYP10" s="3"/>
      <c r="GYQ10" s="3"/>
      <c r="GYR10" s="3"/>
      <c r="GYS10" s="3"/>
      <c r="GYT10" s="3"/>
      <c r="GYU10" s="3"/>
      <c r="GYV10" s="3"/>
      <c r="GYW10" s="3"/>
      <c r="GYX10" s="3"/>
      <c r="GYY10" s="3"/>
      <c r="GYZ10" s="3"/>
      <c r="GZA10" s="3"/>
      <c r="GZB10" s="3"/>
      <c r="GZC10" s="3"/>
      <c r="GZD10" s="3"/>
      <c r="GZE10" s="3"/>
      <c r="GZF10" s="3"/>
      <c r="GZG10" s="3"/>
      <c r="GZH10" s="3"/>
      <c r="GZI10" s="3"/>
      <c r="GZJ10" s="3"/>
      <c r="GZK10" s="3"/>
      <c r="GZL10" s="3"/>
      <c r="GZM10" s="3"/>
      <c r="GZN10" s="3"/>
      <c r="GZO10" s="3"/>
      <c r="GZP10" s="3"/>
      <c r="GZQ10" s="3"/>
      <c r="GZR10" s="3"/>
      <c r="GZS10" s="3"/>
      <c r="GZT10" s="3"/>
      <c r="GZU10" s="3"/>
      <c r="GZV10" s="3"/>
      <c r="GZW10" s="3"/>
      <c r="GZX10" s="3"/>
      <c r="GZY10" s="3"/>
      <c r="GZZ10" s="3"/>
      <c r="HAA10" s="3"/>
      <c r="HAB10" s="3"/>
      <c r="HAC10" s="3"/>
      <c r="HAD10" s="3"/>
      <c r="HAE10" s="3"/>
      <c r="HAF10" s="3"/>
      <c r="HAG10" s="3"/>
      <c r="HAH10" s="3"/>
      <c r="HAI10" s="3"/>
      <c r="HAJ10" s="3"/>
      <c r="HAK10" s="3"/>
      <c r="HAL10" s="3"/>
      <c r="HAM10" s="3"/>
      <c r="HAN10" s="3"/>
      <c r="HAO10" s="3"/>
      <c r="HAP10" s="3"/>
      <c r="HAQ10" s="3"/>
      <c r="HAR10" s="3"/>
      <c r="HAS10" s="3"/>
      <c r="HAT10" s="3"/>
      <c r="HAU10" s="3"/>
      <c r="HAV10" s="3"/>
      <c r="HAW10" s="3"/>
      <c r="HAX10" s="3"/>
      <c r="HAY10" s="3"/>
      <c r="HAZ10" s="3"/>
      <c r="HBA10" s="3"/>
      <c r="HBB10" s="3"/>
      <c r="HBC10" s="3"/>
      <c r="HBD10" s="3"/>
      <c r="HBE10" s="3"/>
      <c r="HBF10" s="3"/>
      <c r="HBG10" s="3"/>
      <c r="HBH10" s="3"/>
      <c r="HBI10" s="3"/>
      <c r="HBJ10" s="3"/>
      <c r="HBK10" s="3"/>
      <c r="HBL10" s="3"/>
      <c r="HBM10" s="3"/>
      <c r="HBN10" s="3"/>
      <c r="HBO10" s="3"/>
      <c r="HBP10" s="3"/>
      <c r="HBQ10" s="3"/>
      <c r="HBR10" s="3"/>
      <c r="HBS10" s="3"/>
      <c r="HBT10" s="3"/>
      <c r="HBU10" s="3"/>
      <c r="HBV10" s="3"/>
      <c r="HBW10" s="3"/>
      <c r="HBX10" s="3"/>
      <c r="HBY10" s="3"/>
      <c r="HBZ10" s="3"/>
      <c r="HCA10" s="3"/>
      <c r="HCB10" s="3"/>
      <c r="HCC10" s="3"/>
      <c r="HCD10" s="3"/>
      <c r="HCE10" s="3"/>
      <c r="HCF10" s="3"/>
      <c r="HCG10" s="3"/>
      <c r="HCH10" s="3"/>
      <c r="HCI10" s="3"/>
      <c r="HCJ10" s="3"/>
      <c r="HCK10" s="3"/>
      <c r="HCL10" s="3"/>
      <c r="HCM10" s="3"/>
      <c r="HCN10" s="3"/>
      <c r="HCO10" s="3"/>
      <c r="HCP10" s="3"/>
      <c r="HCQ10" s="3"/>
      <c r="HCR10" s="3"/>
      <c r="HCS10" s="3"/>
      <c r="HCT10" s="3"/>
      <c r="HCU10" s="3"/>
      <c r="HCV10" s="3"/>
      <c r="HCW10" s="3"/>
      <c r="HCX10" s="3"/>
      <c r="HCY10" s="3"/>
      <c r="HCZ10" s="3"/>
      <c r="HDA10" s="3"/>
      <c r="HDB10" s="3"/>
      <c r="HDC10" s="3"/>
      <c r="HDD10" s="3"/>
      <c r="HDE10" s="3"/>
      <c r="HDF10" s="3"/>
      <c r="HDG10" s="3"/>
      <c r="HDH10" s="3"/>
      <c r="HDI10" s="3"/>
      <c r="HDJ10" s="3"/>
      <c r="HDK10" s="3"/>
      <c r="HDL10" s="3"/>
      <c r="HDM10" s="3"/>
      <c r="HDN10" s="3"/>
      <c r="HDO10" s="3"/>
      <c r="HDP10" s="3"/>
      <c r="HDQ10" s="3"/>
      <c r="HDR10" s="3"/>
      <c r="HDS10" s="3"/>
      <c r="HDT10" s="3"/>
      <c r="HDU10" s="3"/>
      <c r="HDV10" s="3"/>
      <c r="HDW10" s="3"/>
      <c r="HDX10" s="3"/>
      <c r="HDY10" s="3"/>
      <c r="HDZ10" s="3"/>
      <c r="HEA10" s="3"/>
      <c r="HEB10" s="3"/>
      <c r="HEC10" s="3"/>
      <c r="HED10" s="3"/>
      <c r="HEE10" s="3"/>
      <c r="HEF10" s="3"/>
      <c r="HEG10" s="3"/>
      <c r="HEH10" s="3"/>
      <c r="HEI10" s="3"/>
      <c r="HEJ10" s="3"/>
      <c r="HEK10" s="3"/>
      <c r="HEL10" s="3"/>
      <c r="HEM10" s="3"/>
      <c r="HEN10" s="3"/>
      <c r="HEO10" s="3"/>
      <c r="HEP10" s="3"/>
      <c r="HEQ10" s="3"/>
      <c r="HER10" s="3"/>
      <c r="HES10" s="3"/>
      <c r="HET10" s="3"/>
      <c r="HEU10" s="3"/>
      <c r="HEV10" s="3"/>
      <c r="HEW10" s="3"/>
      <c r="HEX10" s="3"/>
      <c r="HEY10" s="3"/>
      <c r="HEZ10" s="3"/>
      <c r="HFA10" s="3"/>
      <c r="HFB10" s="3"/>
      <c r="HFC10" s="3"/>
      <c r="HFD10" s="3"/>
      <c r="HFE10" s="3"/>
      <c r="HFF10" s="3"/>
      <c r="HFG10" s="3"/>
      <c r="HFH10" s="3"/>
      <c r="HFI10" s="3"/>
      <c r="HFJ10" s="3"/>
      <c r="HFK10" s="3"/>
      <c r="HFL10" s="3"/>
      <c r="HFM10" s="3"/>
      <c r="HFN10" s="3"/>
      <c r="HFO10" s="3"/>
      <c r="HFP10" s="3"/>
      <c r="HFQ10" s="3"/>
      <c r="HFR10" s="3"/>
      <c r="HFS10" s="3"/>
      <c r="HFT10" s="3"/>
      <c r="HFU10" s="3"/>
      <c r="HFV10" s="3"/>
      <c r="HFW10" s="3"/>
      <c r="HFX10" s="3"/>
      <c r="HFY10" s="3"/>
      <c r="HFZ10" s="3"/>
      <c r="HGA10" s="3"/>
      <c r="HGB10" s="3"/>
      <c r="HGC10" s="3"/>
      <c r="HGD10" s="3"/>
      <c r="HGE10" s="3"/>
      <c r="HGF10" s="3"/>
      <c r="HGG10" s="3"/>
      <c r="HGH10" s="3"/>
      <c r="HGI10" s="3"/>
      <c r="HGJ10" s="3"/>
      <c r="HGK10" s="3"/>
      <c r="HGL10" s="3"/>
      <c r="HGM10" s="3"/>
      <c r="HGN10" s="3"/>
      <c r="HGO10" s="3"/>
      <c r="HGP10" s="3"/>
      <c r="HGQ10" s="3"/>
      <c r="HGR10" s="3"/>
      <c r="HGS10" s="3"/>
      <c r="HGT10" s="3"/>
      <c r="HGU10" s="3"/>
      <c r="HGV10" s="3"/>
      <c r="HGW10" s="3"/>
      <c r="HGX10" s="3"/>
      <c r="HGY10" s="3"/>
      <c r="HGZ10" s="3"/>
      <c r="HHA10" s="3"/>
      <c r="HHB10" s="3"/>
      <c r="HHC10" s="3"/>
      <c r="HHD10" s="3"/>
      <c r="HHE10" s="3"/>
      <c r="HHF10" s="3"/>
      <c r="HHG10" s="3"/>
      <c r="HHH10" s="3"/>
      <c r="HHI10" s="3"/>
      <c r="HHJ10" s="3"/>
      <c r="HHK10" s="3"/>
      <c r="HHL10" s="3"/>
      <c r="HHM10" s="3"/>
      <c r="HHN10" s="3"/>
      <c r="HHO10" s="3"/>
      <c r="HHP10" s="3"/>
      <c r="HHQ10" s="3"/>
      <c r="HHR10" s="3"/>
      <c r="HHS10" s="3"/>
      <c r="HHT10" s="3"/>
      <c r="HHU10" s="3"/>
      <c r="HHV10" s="3"/>
      <c r="HHW10" s="3"/>
      <c r="HHX10" s="3"/>
      <c r="HHY10" s="3"/>
      <c r="HHZ10" s="3"/>
      <c r="HIA10" s="3"/>
      <c r="HIB10" s="3"/>
      <c r="HIC10" s="3"/>
      <c r="HID10" s="3"/>
      <c r="HIE10" s="3"/>
      <c r="HIF10" s="3"/>
      <c r="HIG10" s="3"/>
      <c r="HIH10" s="3"/>
      <c r="HII10" s="3"/>
      <c r="HIJ10" s="3"/>
      <c r="HIK10" s="3"/>
      <c r="HIL10" s="3"/>
      <c r="HIM10" s="3"/>
      <c r="HIN10" s="3"/>
      <c r="HIO10" s="3"/>
      <c r="HIP10" s="3"/>
      <c r="HIQ10" s="3"/>
      <c r="HIR10" s="3"/>
      <c r="HIS10" s="3"/>
      <c r="HIT10" s="3"/>
      <c r="HIU10" s="3"/>
      <c r="HIV10" s="3"/>
      <c r="HIW10" s="3"/>
      <c r="HIX10" s="3"/>
      <c r="HIY10" s="3"/>
      <c r="HIZ10" s="3"/>
      <c r="HJA10" s="3"/>
      <c r="HJB10" s="3"/>
      <c r="HJC10" s="3"/>
      <c r="HJD10" s="3"/>
      <c r="HJE10" s="3"/>
      <c r="HJF10" s="3"/>
      <c r="HJG10" s="3"/>
      <c r="HJH10" s="3"/>
      <c r="HJI10" s="3"/>
      <c r="HJJ10" s="3"/>
      <c r="HJK10" s="3"/>
      <c r="HJL10" s="3"/>
      <c r="HJM10" s="3"/>
      <c r="HJN10" s="3"/>
      <c r="HJO10" s="3"/>
      <c r="HJP10" s="3"/>
      <c r="HJQ10" s="3"/>
      <c r="HJR10" s="3"/>
      <c r="HJS10" s="3"/>
      <c r="HJT10" s="3"/>
      <c r="HJU10" s="3"/>
      <c r="HJV10" s="3"/>
      <c r="HJW10" s="3"/>
      <c r="HJX10" s="3"/>
      <c r="HJY10" s="3"/>
      <c r="HJZ10" s="3"/>
      <c r="HKA10" s="3"/>
      <c r="HKB10" s="3"/>
      <c r="HKC10" s="3"/>
      <c r="HKD10" s="3"/>
      <c r="HKE10" s="3"/>
      <c r="HKF10" s="3"/>
      <c r="HKG10" s="3"/>
      <c r="HKH10" s="3"/>
      <c r="HKI10" s="3"/>
      <c r="HKJ10" s="3"/>
      <c r="HKK10" s="3"/>
      <c r="HKL10" s="3"/>
      <c r="HKM10" s="3"/>
      <c r="HKN10" s="3"/>
      <c r="HKO10" s="3"/>
      <c r="HKP10" s="3"/>
      <c r="HKQ10" s="3"/>
      <c r="HKR10" s="3"/>
      <c r="HKS10" s="3"/>
      <c r="HKT10" s="3"/>
      <c r="HKU10" s="3"/>
      <c r="HKV10" s="3"/>
      <c r="HKW10" s="3"/>
      <c r="HKX10" s="3"/>
      <c r="HKY10" s="3"/>
      <c r="HKZ10" s="3"/>
      <c r="HLA10" s="3"/>
      <c r="HLB10" s="3"/>
      <c r="HLC10" s="3"/>
      <c r="HLD10" s="3"/>
      <c r="HLE10" s="3"/>
      <c r="HLF10" s="3"/>
      <c r="HLG10" s="3"/>
      <c r="HLH10" s="3"/>
      <c r="HLI10" s="3"/>
      <c r="HLJ10" s="3"/>
      <c r="HLK10" s="3"/>
      <c r="HLL10" s="3"/>
      <c r="HLM10" s="3"/>
      <c r="HLN10" s="3"/>
      <c r="HLO10" s="3"/>
      <c r="HLP10" s="3"/>
      <c r="HLQ10" s="3"/>
      <c r="HLR10" s="3"/>
      <c r="HLS10" s="3"/>
      <c r="HLT10" s="3"/>
      <c r="HLU10" s="3"/>
      <c r="HLV10" s="3"/>
      <c r="HLW10" s="3"/>
      <c r="HLX10" s="3"/>
      <c r="HLY10" s="3"/>
      <c r="HLZ10" s="3"/>
      <c r="HMA10" s="3"/>
      <c r="HMB10" s="3"/>
      <c r="HMC10" s="3"/>
      <c r="HMD10" s="3"/>
      <c r="HME10" s="3"/>
      <c r="HMF10" s="3"/>
      <c r="HMG10" s="3"/>
      <c r="HMH10" s="3"/>
      <c r="HMI10" s="3"/>
      <c r="HMJ10" s="3"/>
      <c r="HMK10" s="3"/>
      <c r="HML10" s="3"/>
      <c r="HMM10" s="3"/>
      <c r="HMN10" s="3"/>
      <c r="HMO10" s="3"/>
      <c r="HMP10" s="3"/>
      <c r="HMQ10" s="3"/>
      <c r="HMR10" s="3"/>
      <c r="HMS10" s="3"/>
      <c r="HMT10" s="3"/>
      <c r="HMU10" s="3"/>
      <c r="HMV10" s="3"/>
      <c r="HMW10" s="3"/>
      <c r="HMX10" s="3"/>
      <c r="HMY10" s="3"/>
      <c r="HMZ10" s="3"/>
      <c r="HNA10" s="3"/>
      <c r="HNB10" s="3"/>
      <c r="HNC10" s="3"/>
      <c r="HND10" s="3"/>
      <c r="HNE10" s="3"/>
      <c r="HNF10" s="3"/>
      <c r="HNG10" s="3"/>
      <c r="HNH10" s="3"/>
      <c r="HNI10" s="3"/>
      <c r="HNJ10" s="3"/>
      <c r="HNK10" s="3"/>
      <c r="HNL10" s="3"/>
      <c r="HNM10" s="3"/>
      <c r="HNN10" s="3"/>
      <c r="HNO10" s="3"/>
      <c r="HNP10" s="3"/>
      <c r="HNQ10" s="3"/>
      <c r="HNR10" s="3"/>
      <c r="HNS10" s="3"/>
      <c r="HNT10" s="3"/>
      <c r="HNU10" s="3"/>
      <c r="HNV10" s="3"/>
      <c r="HNW10" s="3"/>
      <c r="HNX10" s="3"/>
      <c r="HNY10" s="3"/>
      <c r="HNZ10" s="3"/>
      <c r="HOA10" s="3"/>
      <c r="HOB10" s="3"/>
      <c r="HOC10" s="3"/>
      <c r="HOD10" s="3"/>
      <c r="HOE10" s="3"/>
      <c r="HOF10" s="3"/>
      <c r="HOG10" s="3"/>
      <c r="HOH10" s="3"/>
      <c r="HOI10" s="3"/>
      <c r="HOJ10" s="3"/>
      <c r="HOK10" s="3"/>
      <c r="HOL10" s="3"/>
      <c r="HOM10" s="3"/>
      <c r="HON10" s="3"/>
      <c r="HOO10" s="3"/>
      <c r="HOP10" s="3"/>
      <c r="HOQ10" s="3"/>
      <c r="HOR10" s="3"/>
      <c r="HOS10" s="3"/>
      <c r="HOT10" s="3"/>
      <c r="HOU10" s="3"/>
      <c r="HOV10" s="3"/>
      <c r="HOW10" s="3"/>
      <c r="HOX10" s="3"/>
      <c r="HOY10" s="3"/>
      <c r="HOZ10" s="3"/>
      <c r="HPA10" s="3"/>
      <c r="HPB10" s="3"/>
      <c r="HPC10" s="3"/>
      <c r="HPD10" s="3"/>
      <c r="HPE10" s="3"/>
      <c r="HPF10" s="3"/>
      <c r="HPG10" s="3"/>
      <c r="HPH10" s="3"/>
      <c r="HPI10" s="3"/>
      <c r="HPJ10" s="3"/>
      <c r="HPK10" s="3"/>
      <c r="HPL10" s="3"/>
      <c r="HPM10" s="3"/>
      <c r="HPN10" s="3"/>
      <c r="HPO10" s="3"/>
      <c r="HPP10" s="3"/>
      <c r="HPQ10" s="3"/>
      <c r="HPR10" s="3"/>
      <c r="HPS10" s="3"/>
      <c r="HPT10" s="3"/>
      <c r="HPU10" s="3"/>
      <c r="HPV10" s="3"/>
      <c r="HPW10" s="3"/>
      <c r="HPX10" s="3"/>
      <c r="HPY10" s="3"/>
      <c r="HPZ10" s="3"/>
      <c r="HQA10" s="3"/>
      <c r="HQB10" s="3"/>
      <c r="HQC10" s="3"/>
      <c r="HQD10" s="3"/>
      <c r="HQE10" s="3"/>
      <c r="HQF10" s="3"/>
      <c r="HQG10" s="3"/>
      <c r="HQH10" s="3"/>
      <c r="HQI10" s="3"/>
      <c r="HQJ10" s="3"/>
      <c r="HQK10" s="3"/>
      <c r="HQL10" s="3"/>
      <c r="HQM10" s="3"/>
      <c r="HQN10" s="3"/>
      <c r="HQO10" s="3"/>
      <c r="HQP10" s="3"/>
      <c r="HQQ10" s="3"/>
      <c r="HQR10" s="3"/>
      <c r="HQS10" s="3"/>
      <c r="HQT10" s="3"/>
      <c r="HQU10" s="3"/>
      <c r="HQV10" s="3"/>
      <c r="HQW10" s="3"/>
      <c r="HQX10" s="3"/>
      <c r="HQY10" s="3"/>
      <c r="HQZ10" s="3"/>
      <c r="HRA10" s="3"/>
      <c r="HRB10" s="3"/>
      <c r="HRC10" s="3"/>
      <c r="HRD10" s="3"/>
      <c r="HRE10" s="3"/>
      <c r="HRF10" s="3"/>
      <c r="HRG10" s="3"/>
      <c r="HRH10" s="3"/>
      <c r="HRI10" s="3"/>
      <c r="HRJ10" s="3"/>
      <c r="HRK10" s="3"/>
      <c r="HRL10" s="3"/>
      <c r="HRM10" s="3"/>
      <c r="HRN10" s="3"/>
      <c r="HRO10" s="3"/>
      <c r="HRP10" s="3"/>
      <c r="HRQ10" s="3"/>
      <c r="HRR10" s="3"/>
      <c r="HRS10" s="3"/>
      <c r="HRT10" s="3"/>
      <c r="HRU10" s="3"/>
      <c r="HRV10" s="3"/>
      <c r="HRW10" s="3"/>
      <c r="HRX10" s="3"/>
      <c r="HRY10" s="3"/>
      <c r="HRZ10" s="3"/>
      <c r="HSA10" s="3"/>
      <c r="HSB10" s="3"/>
      <c r="HSC10" s="3"/>
      <c r="HSD10" s="3"/>
      <c r="HSE10" s="3"/>
      <c r="HSF10" s="3"/>
      <c r="HSG10" s="3"/>
      <c r="HSH10" s="3"/>
      <c r="HSI10" s="3"/>
      <c r="HSJ10" s="3"/>
      <c r="HSK10" s="3"/>
      <c r="HSL10" s="3"/>
      <c r="HSM10" s="3"/>
      <c r="HSN10" s="3"/>
      <c r="HSO10" s="3"/>
      <c r="HSP10" s="3"/>
      <c r="HSQ10" s="3"/>
      <c r="HSR10" s="3"/>
      <c r="HSS10" s="3"/>
      <c r="HST10" s="3"/>
      <c r="HSU10" s="3"/>
      <c r="HSV10" s="3"/>
      <c r="HSW10" s="3"/>
      <c r="HSX10" s="3"/>
      <c r="HSY10" s="3"/>
      <c r="HSZ10" s="3"/>
      <c r="HTA10" s="3"/>
      <c r="HTB10" s="3"/>
      <c r="HTC10" s="3"/>
      <c r="HTD10" s="3"/>
      <c r="HTE10" s="3"/>
      <c r="HTF10" s="3"/>
      <c r="HTG10" s="3"/>
      <c r="HTH10" s="3"/>
      <c r="HTI10" s="3"/>
      <c r="HTJ10" s="3"/>
      <c r="HTK10" s="3"/>
      <c r="HTL10" s="3"/>
      <c r="HTM10" s="3"/>
      <c r="HTN10" s="3"/>
      <c r="HTO10" s="3"/>
      <c r="HTP10" s="3"/>
      <c r="HTQ10" s="3"/>
      <c r="HTR10" s="3"/>
      <c r="HTS10" s="3"/>
      <c r="HTT10" s="3"/>
      <c r="HTU10" s="3"/>
      <c r="HTV10" s="3"/>
      <c r="HTW10" s="3"/>
      <c r="HTX10" s="3"/>
      <c r="HTY10" s="3"/>
      <c r="HTZ10" s="3"/>
      <c r="HUA10" s="3"/>
      <c r="HUB10" s="3"/>
      <c r="HUC10" s="3"/>
      <c r="HUD10" s="3"/>
      <c r="HUE10" s="3"/>
      <c r="HUF10" s="3"/>
      <c r="HUG10" s="3"/>
      <c r="HUH10" s="3"/>
      <c r="HUI10" s="3"/>
      <c r="HUJ10" s="3"/>
      <c r="HUK10" s="3"/>
      <c r="HUL10" s="3"/>
      <c r="HUM10" s="3"/>
      <c r="HUN10" s="3"/>
      <c r="HUO10" s="3"/>
      <c r="HUP10" s="3"/>
      <c r="HUQ10" s="3"/>
      <c r="HUR10" s="3"/>
      <c r="HUS10" s="3"/>
      <c r="HUT10" s="3"/>
      <c r="HUU10" s="3"/>
      <c r="HUV10" s="3"/>
      <c r="HUW10" s="3"/>
      <c r="HUX10" s="3"/>
      <c r="HUY10" s="3"/>
      <c r="HUZ10" s="3"/>
      <c r="HVA10" s="3"/>
      <c r="HVB10" s="3"/>
      <c r="HVC10" s="3"/>
      <c r="HVD10" s="3"/>
      <c r="HVE10" s="3"/>
      <c r="HVF10" s="3"/>
      <c r="HVG10" s="3"/>
      <c r="HVH10" s="3"/>
      <c r="HVI10" s="3"/>
      <c r="HVJ10" s="3"/>
      <c r="HVK10" s="3"/>
      <c r="HVL10" s="3"/>
      <c r="HVM10" s="3"/>
      <c r="HVN10" s="3"/>
      <c r="HVO10" s="3"/>
      <c r="HVP10" s="3"/>
      <c r="HVQ10" s="3"/>
      <c r="HVR10" s="3"/>
      <c r="HVS10" s="3"/>
      <c r="HVT10" s="3"/>
      <c r="HVU10" s="3"/>
      <c r="HVV10" s="3"/>
      <c r="HVW10" s="3"/>
      <c r="HVX10" s="3"/>
      <c r="HVY10" s="3"/>
      <c r="HVZ10" s="3"/>
      <c r="HWA10" s="3"/>
      <c r="HWB10" s="3"/>
      <c r="HWC10" s="3"/>
      <c r="HWD10" s="3"/>
      <c r="HWE10" s="3"/>
      <c r="HWF10" s="3"/>
      <c r="HWG10" s="3"/>
      <c r="HWH10" s="3"/>
      <c r="HWI10" s="3"/>
      <c r="HWJ10" s="3"/>
      <c r="HWK10" s="3"/>
      <c r="HWL10" s="3"/>
      <c r="HWM10" s="3"/>
      <c r="HWN10" s="3"/>
      <c r="HWO10" s="3"/>
      <c r="HWP10" s="3"/>
      <c r="HWQ10" s="3"/>
      <c r="HWR10" s="3"/>
      <c r="HWS10" s="3"/>
      <c r="HWT10" s="3"/>
      <c r="HWU10" s="3"/>
      <c r="HWV10" s="3"/>
      <c r="HWW10" s="3"/>
      <c r="HWX10" s="3"/>
      <c r="HWY10" s="3"/>
      <c r="HWZ10" s="3"/>
      <c r="HXA10" s="3"/>
      <c r="HXB10" s="3"/>
      <c r="HXC10" s="3"/>
      <c r="HXD10" s="3"/>
      <c r="HXE10" s="3"/>
      <c r="HXF10" s="3"/>
      <c r="HXG10" s="3"/>
      <c r="HXH10" s="3"/>
      <c r="HXI10" s="3"/>
      <c r="HXJ10" s="3"/>
      <c r="HXK10" s="3"/>
      <c r="HXL10" s="3"/>
      <c r="HXM10" s="3"/>
      <c r="HXN10" s="3"/>
      <c r="HXO10" s="3"/>
      <c r="HXP10" s="3"/>
      <c r="HXQ10" s="3"/>
      <c r="HXR10" s="3"/>
      <c r="HXS10" s="3"/>
      <c r="HXT10" s="3"/>
      <c r="HXU10" s="3"/>
      <c r="HXV10" s="3"/>
      <c r="HXW10" s="3"/>
      <c r="HXX10" s="3"/>
      <c r="HXY10" s="3"/>
      <c r="HXZ10" s="3"/>
      <c r="HYA10" s="3"/>
      <c r="HYB10" s="3"/>
      <c r="HYC10" s="3"/>
      <c r="HYD10" s="3"/>
      <c r="HYE10" s="3"/>
      <c r="HYF10" s="3"/>
      <c r="HYG10" s="3"/>
      <c r="HYH10" s="3"/>
      <c r="HYI10" s="3"/>
      <c r="HYJ10" s="3"/>
      <c r="HYK10" s="3"/>
      <c r="HYL10" s="3"/>
      <c r="HYM10" s="3"/>
      <c r="HYN10" s="3"/>
      <c r="HYO10" s="3"/>
      <c r="HYP10" s="3"/>
      <c r="HYQ10" s="3"/>
      <c r="HYR10" s="3"/>
      <c r="HYS10" s="3"/>
      <c r="HYT10" s="3"/>
      <c r="HYU10" s="3"/>
      <c r="HYV10" s="3"/>
      <c r="HYW10" s="3"/>
      <c r="HYX10" s="3"/>
      <c r="HYY10" s="3"/>
      <c r="HYZ10" s="3"/>
      <c r="HZA10" s="3"/>
      <c r="HZB10" s="3"/>
      <c r="HZC10" s="3"/>
      <c r="HZD10" s="3"/>
      <c r="HZE10" s="3"/>
      <c r="HZF10" s="3"/>
      <c r="HZG10" s="3"/>
      <c r="HZH10" s="3"/>
      <c r="HZI10" s="3"/>
      <c r="HZJ10" s="3"/>
      <c r="HZK10" s="3"/>
      <c r="HZL10" s="3"/>
      <c r="HZM10" s="3"/>
      <c r="HZN10" s="3"/>
      <c r="HZO10" s="3"/>
      <c r="HZP10" s="3"/>
      <c r="HZQ10" s="3"/>
      <c r="HZR10" s="3"/>
      <c r="HZS10" s="3"/>
      <c r="HZT10" s="3"/>
      <c r="HZU10" s="3"/>
      <c r="HZV10" s="3"/>
      <c r="HZW10" s="3"/>
      <c r="HZX10" s="3"/>
      <c r="HZY10" s="3"/>
      <c r="HZZ10" s="3"/>
      <c r="IAA10" s="3"/>
      <c r="IAB10" s="3"/>
      <c r="IAC10" s="3"/>
      <c r="IAD10" s="3"/>
      <c r="IAE10" s="3"/>
      <c r="IAF10" s="3"/>
      <c r="IAG10" s="3"/>
      <c r="IAH10" s="3"/>
      <c r="IAI10" s="3"/>
      <c r="IAJ10" s="3"/>
      <c r="IAK10" s="3"/>
      <c r="IAL10" s="3"/>
      <c r="IAM10" s="3"/>
      <c r="IAN10" s="3"/>
      <c r="IAO10" s="3"/>
      <c r="IAP10" s="3"/>
      <c r="IAQ10" s="3"/>
      <c r="IAR10" s="3"/>
      <c r="IAS10" s="3"/>
      <c r="IAT10" s="3"/>
      <c r="IAU10" s="3"/>
      <c r="IAV10" s="3"/>
      <c r="IAW10" s="3"/>
      <c r="IAX10" s="3"/>
      <c r="IAY10" s="3"/>
      <c r="IAZ10" s="3"/>
      <c r="IBA10" s="3"/>
      <c r="IBB10" s="3"/>
      <c r="IBC10" s="3"/>
      <c r="IBD10" s="3"/>
      <c r="IBE10" s="3"/>
      <c r="IBF10" s="3"/>
      <c r="IBG10" s="3"/>
      <c r="IBH10" s="3"/>
      <c r="IBI10" s="3"/>
      <c r="IBJ10" s="3"/>
      <c r="IBK10" s="3"/>
      <c r="IBL10" s="3"/>
      <c r="IBM10" s="3"/>
      <c r="IBN10" s="3"/>
      <c r="IBO10" s="3"/>
      <c r="IBP10" s="3"/>
      <c r="IBQ10" s="3"/>
      <c r="IBR10" s="3"/>
      <c r="IBS10" s="3"/>
      <c r="IBT10" s="3"/>
      <c r="IBU10" s="3"/>
      <c r="IBV10" s="3"/>
      <c r="IBW10" s="3"/>
      <c r="IBX10" s="3"/>
      <c r="IBY10" s="3"/>
      <c r="IBZ10" s="3"/>
      <c r="ICA10" s="3"/>
      <c r="ICB10" s="3"/>
      <c r="ICC10" s="3"/>
      <c r="ICD10" s="3"/>
      <c r="ICE10" s="3"/>
      <c r="ICF10" s="3"/>
      <c r="ICG10" s="3"/>
      <c r="ICH10" s="3"/>
      <c r="ICI10" s="3"/>
      <c r="ICJ10" s="3"/>
      <c r="ICK10" s="3"/>
      <c r="ICL10" s="3"/>
      <c r="ICM10" s="3"/>
      <c r="ICN10" s="3"/>
      <c r="ICO10" s="3"/>
      <c r="ICP10" s="3"/>
      <c r="ICQ10" s="3"/>
      <c r="ICR10" s="3"/>
      <c r="ICS10" s="3"/>
      <c r="ICT10" s="3"/>
      <c r="ICU10" s="3"/>
      <c r="ICV10" s="3"/>
      <c r="ICW10" s="3"/>
      <c r="ICX10" s="3"/>
      <c r="ICY10" s="3"/>
      <c r="ICZ10" s="3"/>
      <c r="IDA10" s="3"/>
      <c r="IDB10" s="3"/>
      <c r="IDC10" s="3"/>
      <c r="IDD10" s="3"/>
      <c r="IDE10" s="3"/>
      <c r="IDF10" s="3"/>
      <c r="IDG10" s="3"/>
      <c r="IDH10" s="3"/>
      <c r="IDI10" s="3"/>
      <c r="IDJ10" s="3"/>
      <c r="IDK10" s="3"/>
      <c r="IDL10" s="3"/>
      <c r="IDM10" s="3"/>
      <c r="IDN10" s="3"/>
      <c r="IDO10" s="3"/>
      <c r="IDP10" s="3"/>
      <c r="IDQ10" s="3"/>
      <c r="IDR10" s="3"/>
      <c r="IDS10" s="3"/>
      <c r="IDT10" s="3"/>
      <c r="IDU10" s="3"/>
      <c r="IDV10" s="3"/>
      <c r="IDW10" s="3"/>
      <c r="IDX10" s="3"/>
      <c r="IDY10" s="3"/>
      <c r="IDZ10" s="3"/>
      <c r="IEA10" s="3"/>
      <c r="IEB10" s="3"/>
      <c r="IEC10" s="3"/>
      <c r="IED10" s="3"/>
      <c r="IEE10" s="3"/>
      <c r="IEF10" s="3"/>
      <c r="IEG10" s="3"/>
      <c r="IEH10" s="3"/>
      <c r="IEI10" s="3"/>
      <c r="IEJ10" s="3"/>
      <c r="IEK10" s="3"/>
      <c r="IEL10" s="3"/>
      <c r="IEM10" s="3"/>
      <c r="IEN10" s="3"/>
      <c r="IEO10" s="3"/>
      <c r="IEP10" s="3"/>
      <c r="IEQ10" s="3"/>
      <c r="IER10" s="3"/>
      <c r="IES10" s="3"/>
      <c r="IET10" s="3"/>
      <c r="IEU10" s="3"/>
      <c r="IEV10" s="3"/>
      <c r="IEW10" s="3"/>
      <c r="IEX10" s="3"/>
      <c r="IEY10" s="3"/>
      <c r="IEZ10" s="3"/>
      <c r="IFA10" s="3"/>
      <c r="IFB10" s="3"/>
      <c r="IFC10" s="3"/>
      <c r="IFD10" s="3"/>
      <c r="IFE10" s="3"/>
      <c r="IFF10" s="3"/>
      <c r="IFG10" s="3"/>
      <c r="IFH10" s="3"/>
      <c r="IFI10" s="3"/>
      <c r="IFJ10" s="3"/>
      <c r="IFK10" s="3"/>
      <c r="IFL10" s="3"/>
      <c r="IFM10" s="3"/>
      <c r="IFN10" s="3"/>
      <c r="IFO10" s="3"/>
      <c r="IFP10" s="3"/>
      <c r="IFQ10" s="3"/>
      <c r="IFR10" s="3"/>
      <c r="IFS10" s="3"/>
      <c r="IFT10" s="3"/>
      <c r="IFU10" s="3"/>
      <c r="IFV10" s="3"/>
      <c r="IFW10" s="3"/>
      <c r="IFX10" s="3"/>
      <c r="IFY10" s="3"/>
      <c r="IFZ10" s="3"/>
      <c r="IGA10" s="3"/>
      <c r="IGB10" s="3"/>
      <c r="IGC10" s="3"/>
      <c r="IGD10" s="3"/>
      <c r="IGE10" s="3"/>
      <c r="IGF10" s="3"/>
      <c r="IGG10" s="3"/>
      <c r="IGH10" s="3"/>
      <c r="IGI10" s="3"/>
      <c r="IGJ10" s="3"/>
      <c r="IGK10" s="3"/>
      <c r="IGL10" s="3"/>
      <c r="IGM10" s="3"/>
      <c r="IGN10" s="3"/>
      <c r="IGO10" s="3"/>
      <c r="IGP10" s="3"/>
      <c r="IGQ10" s="3"/>
      <c r="IGR10" s="3"/>
      <c r="IGS10" s="3"/>
      <c r="IGT10" s="3"/>
      <c r="IGU10" s="3"/>
      <c r="IGV10" s="3"/>
      <c r="IGW10" s="3"/>
      <c r="IGX10" s="3"/>
      <c r="IGY10" s="3"/>
      <c r="IGZ10" s="3"/>
      <c r="IHA10" s="3"/>
      <c r="IHB10" s="3"/>
      <c r="IHC10" s="3"/>
      <c r="IHD10" s="3"/>
      <c r="IHE10" s="3"/>
      <c r="IHF10" s="3"/>
      <c r="IHG10" s="3"/>
      <c r="IHH10" s="3"/>
      <c r="IHI10" s="3"/>
      <c r="IHJ10" s="3"/>
      <c r="IHK10" s="3"/>
      <c r="IHL10" s="3"/>
      <c r="IHM10" s="3"/>
      <c r="IHN10" s="3"/>
      <c r="IHO10" s="3"/>
      <c r="IHP10" s="3"/>
      <c r="IHQ10" s="3"/>
      <c r="IHR10" s="3"/>
      <c r="IHS10" s="3"/>
      <c r="IHT10" s="3"/>
      <c r="IHU10" s="3"/>
      <c r="IHV10" s="3"/>
      <c r="IHW10" s="3"/>
      <c r="IHX10" s="3"/>
      <c r="IHY10" s="3"/>
      <c r="IHZ10" s="3"/>
      <c r="IIA10" s="3"/>
      <c r="IIB10" s="3"/>
      <c r="IIC10" s="3"/>
      <c r="IID10" s="3"/>
      <c r="IIE10" s="3"/>
      <c r="IIF10" s="3"/>
      <c r="IIG10" s="3"/>
      <c r="IIH10" s="3"/>
      <c r="III10" s="3"/>
      <c r="IIJ10" s="3"/>
      <c r="IIK10" s="3"/>
      <c r="IIL10" s="3"/>
      <c r="IIM10" s="3"/>
      <c r="IIN10" s="3"/>
      <c r="IIO10" s="3"/>
      <c r="IIP10" s="3"/>
      <c r="IIQ10" s="3"/>
      <c r="IIR10" s="3"/>
      <c r="IIS10" s="3"/>
      <c r="IIT10" s="3"/>
      <c r="IIU10" s="3"/>
      <c r="IIV10" s="3"/>
      <c r="IIW10" s="3"/>
      <c r="IIX10" s="3"/>
      <c r="IIY10" s="3"/>
      <c r="IIZ10" s="3"/>
      <c r="IJA10" s="3"/>
      <c r="IJB10" s="3"/>
      <c r="IJC10" s="3"/>
      <c r="IJD10" s="3"/>
      <c r="IJE10" s="3"/>
      <c r="IJF10" s="3"/>
      <c r="IJG10" s="3"/>
      <c r="IJH10" s="3"/>
      <c r="IJI10" s="3"/>
      <c r="IJJ10" s="3"/>
      <c r="IJK10" s="3"/>
      <c r="IJL10" s="3"/>
      <c r="IJM10" s="3"/>
      <c r="IJN10" s="3"/>
      <c r="IJO10" s="3"/>
      <c r="IJP10" s="3"/>
      <c r="IJQ10" s="3"/>
      <c r="IJR10" s="3"/>
      <c r="IJS10" s="3"/>
      <c r="IJT10" s="3"/>
      <c r="IJU10" s="3"/>
      <c r="IJV10" s="3"/>
      <c r="IJW10" s="3"/>
      <c r="IJX10" s="3"/>
      <c r="IJY10" s="3"/>
      <c r="IJZ10" s="3"/>
      <c r="IKA10" s="3"/>
      <c r="IKB10" s="3"/>
      <c r="IKC10" s="3"/>
      <c r="IKD10" s="3"/>
      <c r="IKE10" s="3"/>
      <c r="IKF10" s="3"/>
      <c r="IKG10" s="3"/>
      <c r="IKH10" s="3"/>
      <c r="IKI10" s="3"/>
      <c r="IKJ10" s="3"/>
      <c r="IKK10" s="3"/>
      <c r="IKL10" s="3"/>
      <c r="IKM10" s="3"/>
      <c r="IKN10" s="3"/>
      <c r="IKO10" s="3"/>
      <c r="IKP10" s="3"/>
      <c r="IKQ10" s="3"/>
      <c r="IKR10" s="3"/>
      <c r="IKS10" s="3"/>
      <c r="IKT10" s="3"/>
      <c r="IKU10" s="3"/>
      <c r="IKV10" s="3"/>
      <c r="IKW10" s="3"/>
      <c r="IKX10" s="3"/>
      <c r="IKY10" s="3"/>
      <c r="IKZ10" s="3"/>
      <c r="ILA10" s="3"/>
      <c r="ILB10" s="3"/>
      <c r="ILC10" s="3"/>
      <c r="ILD10" s="3"/>
      <c r="ILE10" s="3"/>
      <c r="ILF10" s="3"/>
      <c r="ILG10" s="3"/>
      <c r="ILH10" s="3"/>
      <c r="ILI10" s="3"/>
      <c r="ILJ10" s="3"/>
      <c r="ILK10" s="3"/>
      <c r="ILL10" s="3"/>
      <c r="ILM10" s="3"/>
      <c r="ILN10" s="3"/>
      <c r="ILO10" s="3"/>
      <c r="ILP10" s="3"/>
      <c r="ILQ10" s="3"/>
      <c r="ILR10" s="3"/>
      <c r="ILS10" s="3"/>
      <c r="ILT10" s="3"/>
      <c r="ILU10" s="3"/>
      <c r="ILV10" s="3"/>
      <c r="ILW10" s="3"/>
      <c r="ILX10" s="3"/>
      <c r="ILY10" s="3"/>
      <c r="ILZ10" s="3"/>
      <c r="IMA10" s="3"/>
      <c r="IMB10" s="3"/>
      <c r="IMC10" s="3"/>
      <c r="IMD10" s="3"/>
      <c r="IME10" s="3"/>
      <c r="IMF10" s="3"/>
      <c r="IMG10" s="3"/>
      <c r="IMH10" s="3"/>
      <c r="IMI10" s="3"/>
      <c r="IMJ10" s="3"/>
      <c r="IMK10" s="3"/>
      <c r="IML10" s="3"/>
      <c r="IMM10" s="3"/>
      <c r="IMN10" s="3"/>
      <c r="IMO10" s="3"/>
      <c r="IMP10" s="3"/>
      <c r="IMQ10" s="3"/>
      <c r="IMR10" s="3"/>
      <c r="IMS10" s="3"/>
      <c r="IMT10" s="3"/>
      <c r="IMU10" s="3"/>
      <c r="IMV10" s="3"/>
      <c r="IMW10" s="3"/>
      <c r="IMX10" s="3"/>
      <c r="IMY10" s="3"/>
      <c r="IMZ10" s="3"/>
      <c r="INA10" s="3"/>
      <c r="INB10" s="3"/>
      <c r="INC10" s="3"/>
      <c r="IND10" s="3"/>
      <c r="INE10" s="3"/>
      <c r="INF10" s="3"/>
      <c r="ING10" s="3"/>
      <c r="INH10" s="3"/>
      <c r="INI10" s="3"/>
      <c r="INJ10" s="3"/>
      <c r="INK10" s="3"/>
      <c r="INL10" s="3"/>
      <c r="INM10" s="3"/>
      <c r="INN10" s="3"/>
      <c r="INO10" s="3"/>
      <c r="INP10" s="3"/>
      <c r="INQ10" s="3"/>
      <c r="INR10" s="3"/>
      <c r="INS10" s="3"/>
      <c r="INT10" s="3"/>
      <c r="INU10" s="3"/>
      <c r="INV10" s="3"/>
      <c r="INW10" s="3"/>
      <c r="INX10" s="3"/>
      <c r="INY10" s="3"/>
      <c r="INZ10" s="3"/>
      <c r="IOA10" s="3"/>
      <c r="IOB10" s="3"/>
      <c r="IOC10" s="3"/>
      <c r="IOD10" s="3"/>
      <c r="IOE10" s="3"/>
      <c r="IOF10" s="3"/>
      <c r="IOG10" s="3"/>
      <c r="IOH10" s="3"/>
      <c r="IOI10" s="3"/>
      <c r="IOJ10" s="3"/>
      <c r="IOK10" s="3"/>
      <c r="IOL10" s="3"/>
      <c r="IOM10" s="3"/>
      <c r="ION10" s="3"/>
      <c r="IOO10" s="3"/>
      <c r="IOP10" s="3"/>
      <c r="IOQ10" s="3"/>
      <c r="IOR10" s="3"/>
      <c r="IOS10" s="3"/>
      <c r="IOT10" s="3"/>
      <c r="IOU10" s="3"/>
      <c r="IOV10" s="3"/>
      <c r="IOW10" s="3"/>
      <c r="IOX10" s="3"/>
      <c r="IOY10" s="3"/>
      <c r="IOZ10" s="3"/>
      <c r="IPA10" s="3"/>
      <c r="IPB10" s="3"/>
      <c r="IPC10" s="3"/>
      <c r="IPD10" s="3"/>
      <c r="IPE10" s="3"/>
      <c r="IPF10" s="3"/>
      <c r="IPG10" s="3"/>
      <c r="IPH10" s="3"/>
      <c r="IPI10" s="3"/>
      <c r="IPJ10" s="3"/>
      <c r="IPK10" s="3"/>
      <c r="IPL10" s="3"/>
      <c r="IPM10" s="3"/>
      <c r="IPN10" s="3"/>
      <c r="IPO10" s="3"/>
      <c r="IPP10" s="3"/>
      <c r="IPQ10" s="3"/>
      <c r="IPR10" s="3"/>
      <c r="IPS10" s="3"/>
      <c r="IPT10" s="3"/>
      <c r="IPU10" s="3"/>
      <c r="IPV10" s="3"/>
      <c r="IPW10" s="3"/>
      <c r="IPX10" s="3"/>
      <c r="IPY10" s="3"/>
      <c r="IPZ10" s="3"/>
      <c r="IQA10" s="3"/>
      <c r="IQB10" s="3"/>
      <c r="IQC10" s="3"/>
      <c r="IQD10" s="3"/>
      <c r="IQE10" s="3"/>
      <c r="IQF10" s="3"/>
      <c r="IQG10" s="3"/>
      <c r="IQH10" s="3"/>
      <c r="IQI10" s="3"/>
      <c r="IQJ10" s="3"/>
      <c r="IQK10" s="3"/>
      <c r="IQL10" s="3"/>
      <c r="IQM10" s="3"/>
      <c r="IQN10" s="3"/>
      <c r="IQO10" s="3"/>
      <c r="IQP10" s="3"/>
      <c r="IQQ10" s="3"/>
      <c r="IQR10" s="3"/>
      <c r="IQS10" s="3"/>
      <c r="IQT10" s="3"/>
      <c r="IQU10" s="3"/>
      <c r="IQV10" s="3"/>
      <c r="IQW10" s="3"/>
      <c r="IQX10" s="3"/>
      <c r="IQY10" s="3"/>
      <c r="IQZ10" s="3"/>
      <c r="IRA10" s="3"/>
      <c r="IRB10" s="3"/>
      <c r="IRC10" s="3"/>
      <c r="IRD10" s="3"/>
      <c r="IRE10" s="3"/>
      <c r="IRF10" s="3"/>
      <c r="IRG10" s="3"/>
      <c r="IRH10" s="3"/>
      <c r="IRI10" s="3"/>
      <c r="IRJ10" s="3"/>
      <c r="IRK10" s="3"/>
      <c r="IRL10" s="3"/>
      <c r="IRM10" s="3"/>
      <c r="IRN10" s="3"/>
      <c r="IRO10" s="3"/>
      <c r="IRP10" s="3"/>
      <c r="IRQ10" s="3"/>
      <c r="IRR10" s="3"/>
      <c r="IRS10" s="3"/>
      <c r="IRT10" s="3"/>
      <c r="IRU10" s="3"/>
      <c r="IRV10" s="3"/>
      <c r="IRW10" s="3"/>
      <c r="IRX10" s="3"/>
      <c r="IRY10" s="3"/>
      <c r="IRZ10" s="3"/>
      <c r="ISA10" s="3"/>
      <c r="ISB10" s="3"/>
      <c r="ISC10" s="3"/>
      <c r="ISD10" s="3"/>
      <c r="ISE10" s="3"/>
      <c r="ISF10" s="3"/>
      <c r="ISG10" s="3"/>
      <c r="ISH10" s="3"/>
      <c r="ISI10" s="3"/>
      <c r="ISJ10" s="3"/>
      <c r="ISK10" s="3"/>
      <c r="ISL10" s="3"/>
      <c r="ISM10" s="3"/>
      <c r="ISN10" s="3"/>
      <c r="ISO10" s="3"/>
      <c r="ISP10" s="3"/>
      <c r="ISQ10" s="3"/>
      <c r="ISR10" s="3"/>
      <c r="ISS10" s="3"/>
      <c r="IST10" s="3"/>
      <c r="ISU10" s="3"/>
      <c r="ISV10" s="3"/>
      <c r="ISW10" s="3"/>
      <c r="ISX10" s="3"/>
      <c r="ISY10" s="3"/>
      <c r="ISZ10" s="3"/>
      <c r="ITA10" s="3"/>
      <c r="ITB10" s="3"/>
      <c r="ITC10" s="3"/>
      <c r="ITD10" s="3"/>
      <c r="ITE10" s="3"/>
      <c r="ITF10" s="3"/>
      <c r="ITG10" s="3"/>
      <c r="ITH10" s="3"/>
      <c r="ITI10" s="3"/>
      <c r="ITJ10" s="3"/>
      <c r="ITK10" s="3"/>
      <c r="ITL10" s="3"/>
      <c r="ITM10" s="3"/>
      <c r="ITN10" s="3"/>
      <c r="ITO10" s="3"/>
      <c r="ITP10" s="3"/>
      <c r="ITQ10" s="3"/>
      <c r="ITR10" s="3"/>
      <c r="ITS10" s="3"/>
      <c r="ITT10" s="3"/>
      <c r="ITU10" s="3"/>
      <c r="ITV10" s="3"/>
      <c r="ITW10" s="3"/>
      <c r="ITX10" s="3"/>
      <c r="ITY10" s="3"/>
      <c r="ITZ10" s="3"/>
      <c r="IUA10" s="3"/>
      <c r="IUB10" s="3"/>
      <c r="IUC10" s="3"/>
      <c r="IUD10" s="3"/>
      <c r="IUE10" s="3"/>
      <c r="IUF10" s="3"/>
      <c r="IUG10" s="3"/>
      <c r="IUH10" s="3"/>
      <c r="IUI10" s="3"/>
      <c r="IUJ10" s="3"/>
      <c r="IUK10" s="3"/>
      <c r="IUL10" s="3"/>
      <c r="IUM10" s="3"/>
      <c r="IUN10" s="3"/>
      <c r="IUO10" s="3"/>
      <c r="IUP10" s="3"/>
      <c r="IUQ10" s="3"/>
      <c r="IUR10" s="3"/>
      <c r="IUS10" s="3"/>
      <c r="IUT10" s="3"/>
      <c r="IUU10" s="3"/>
      <c r="IUV10" s="3"/>
      <c r="IUW10" s="3"/>
      <c r="IUX10" s="3"/>
      <c r="IUY10" s="3"/>
      <c r="IUZ10" s="3"/>
      <c r="IVA10" s="3"/>
      <c r="IVB10" s="3"/>
      <c r="IVC10" s="3"/>
      <c r="IVD10" s="3"/>
      <c r="IVE10" s="3"/>
      <c r="IVF10" s="3"/>
      <c r="IVG10" s="3"/>
      <c r="IVH10" s="3"/>
      <c r="IVI10" s="3"/>
      <c r="IVJ10" s="3"/>
      <c r="IVK10" s="3"/>
      <c r="IVL10" s="3"/>
      <c r="IVM10" s="3"/>
      <c r="IVN10" s="3"/>
      <c r="IVO10" s="3"/>
      <c r="IVP10" s="3"/>
      <c r="IVQ10" s="3"/>
      <c r="IVR10" s="3"/>
      <c r="IVS10" s="3"/>
      <c r="IVT10" s="3"/>
      <c r="IVU10" s="3"/>
      <c r="IVV10" s="3"/>
      <c r="IVW10" s="3"/>
      <c r="IVX10" s="3"/>
      <c r="IVY10" s="3"/>
      <c r="IVZ10" s="3"/>
      <c r="IWA10" s="3"/>
      <c r="IWB10" s="3"/>
      <c r="IWC10" s="3"/>
      <c r="IWD10" s="3"/>
      <c r="IWE10" s="3"/>
      <c r="IWF10" s="3"/>
      <c r="IWG10" s="3"/>
      <c r="IWH10" s="3"/>
      <c r="IWI10" s="3"/>
      <c r="IWJ10" s="3"/>
      <c r="IWK10" s="3"/>
      <c r="IWL10" s="3"/>
      <c r="IWM10" s="3"/>
      <c r="IWN10" s="3"/>
      <c r="IWO10" s="3"/>
      <c r="IWP10" s="3"/>
      <c r="IWQ10" s="3"/>
      <c r="IWR10" s="3"/>
      <c r="IWS10" s="3"/>
      <c r="IWT10" s="3"/>
      <c r="IWU10" s="3"/>
      <c r="IWV10" s="3"/>
      <c r="IWW10" s="3"/>
      <c r="IWX10" s="3"/>
      <c r="IWY10" s="3"/>
      <c r="IWZ10" s="3"/>
      <c r="IXA10" s="3"/>
      <c r="IXB10" s="3"/>
      <c r="IXC10" s="3"/>
      <c r="IXD10" s="3"/>
      <c r="IXE10" s="3"/>
      <c r="IXF10" s="3"/>
      <c r="IXG10" s="3"/>
      <c r="IXH10" s="3"/>
      <c r="IXI10" s="3"/>
      <c r="IXJ10" s="3"/>
      <c r="IXK10" s="3"/>
      <c r="IXL10" s="3"/>
      <c r="IXM10" s="3"/>
      <c r="IXN10" s="3"/>
      <c r="IXO10" s="3"/>
      <c r="IXP10" s="3"/>
      <c r="IXQ10" s="3"/>
      <c r="IXR10" s="3"/>
      <c r="IXS10" s="3"/>
      <c r="IXT10" s="3"/>
      <c r="IXU10" s="3"/>
      <c r="IXV10" s="3"/>
      <c r="IXW10" s="3"/>
      <c r="IXX10" s="3"/>
      <c r="IXY10" s="3"/>
      <c r="IXZ10" s="3"/>
      <c r="IYA10" s="3"/>
      <c r="IYB10" s="3"/>
      <c r="IYC10" s="3"/>
      <c r="IYD10" s="3"/>
      <c r="IYE10" s="3"/>
      <c r="IYF10" s="3"/>
      <c r="IYG10" s="3"/>
      <c r="IYH10" s="3"/>
      <c r="IYI10" s="3"/>
      <c r="IYJ10" s="3"/>
      <c r="IYK10" s="3"/>
      <c r="IYL10" s="3"/>
      <c r="IYM10" s="3"/>
      <c r="IYN10" s="3"/>
      <c r="IYO10" s="3"/>
      <c r="IYP10" s="3"/>
      <c r="IYQ10" s="3"/>
      <c r="IYR10" s="3"/>
      <c r="IYS10" s="3"/>
      <c r="IYT10" s="3"/>
      <c r="IYU10" s="3"/>
      <c r="IYV10" s="3"/>
      <c r="IYW10" s="3"/>
      <c r="IYX10" s="3"/>
      <c r="IYY10" s="3"/>
      <c r="IYZ10" s="3"/>
      <c r="IZA10" s="3"/>
      <c r="IZB10" s="3"/>
      <c r="IZC10" s="3"/>
      <c r="IZD10" s="3"/>
      <c r="IZE10" s="3"/>
      <c r="IZF10" s="3"/>
      <c r="IZG10" s="3"/>
      <c r="IZH10" s="3"/>
      <c r="IZI10" s="3"/>
      <c r="IZJ10" s="3"/>
      <c r="IZK10" s="3"/>
      <c r="IZL10" s="3"/>
      <c r="IZM10" s="3"/>
      <c r="IZN10" s="3"/>
      <c r="IZO10" s="3"/>
      <c r="IZP10" s="3"/>
      <c r="IZQ10" s="3"/>
      <c r="IZR10" s="3"/>
      <c r="IZS10" s="3"/>
      <c r="IZT10" s="3"/>
      <c r="IZU10" s="3"/>
      <c r="IZV10" s="3"/>
      <c r="IZW10" s="3"/>
      <c r="IZX10" s="3"/>
      <c r="IZY10" s="3"/>
      <c r="IZZ10" s="3"/>
      <c r="JAA10" s="3"/>
      <c r="JAB10" s="3"/>
      <c r="JAC10" s="3"/>
      <c r="JAD10" s="3"/>
      <c r="JAE10" s="3"/>
      <c r="JAF10" s="3"/>
      <c r="JAG10" s="3"/>
      <c r="JAH10" s="3"/>
      <c r="JAI10" s="3"/>
      <c r="JAJ10" s="3"/>
      <c r="JAK10" s="3"/>
      <c r="JAL10" s="3"/>
      <c r="JAM10" s="3"/>
      <c r="JAN10" s="3"/>
      <c r="JAO10" s="3"/>
      <c r="JAP10" s="3"/>
      <c r="JAQ10" s="3"/>
      <c r="JAR10" s="3"/>
      <c r="JAS10" s="3"/>
      <c r="JAT10" s="3"/>
      <c r="JAU10" s="3"/>
      <c r="JAV10" s="3"/>
      <c r="JAW10" s="3"/>
      <c r="JAX10" s="3"/>
      <c r="JAY10" s="3"/>
      <c r="JAZ10" s="3"/>
      <c r="JBA10" s="3"/>
      <c r="JBB10" s="3"/>
      <c r="JBC10" s="3"/>
      <c r="JBD10" s="3"/>
      <c r="JBE10" s="3"/>
      <c r="JBF10" s="3"/>
      <c r="JBG10" s="3"/>
      <c r="JBH10" s="3"/>
      <c r="JBI10" s="3"/>
      <c r="JBJ10" s="3"/>
      <c r="JBK10" s="3"/>
      <c r="JBL10" s="3"/>
      <c r="JBM10" s="3"/>
      <c r="JBN10" s="3"/>
      <c r="JBO10" s="3"/>
      <c r="JBP10" s="3"/>
      <c r="JBQ10" s="3"/>
      <c r="JBR10" s="3"/>
      <c r="JBS10" s="3"/>
      <c r="JBT10" s="3"/>
      <c r="JBU10" s="3"/>
      <c r="JBV10" s="3"/>
      <c r="JBW10" s="3"/>
      <c r="JBX10" s="3"/>
      <c r="JBY10" s="3"/>
      <c r="JBZ10" s="3"/>
      <c r="JCA10" s="3"/>
      <c r="JCB10" s="3"/>
      <c r="JCC10" s="3"/>
      <c r="JCD10" s="3"/>
      <c r="JCE10" s="3"/>
      <c r="JCF10" s="3"/>
      <c r="JCG10" s="3"/>
      <c r="JCH10" s="3"/>
      <c r="JCI10" s="3"/>
      <c r="JCJ10" s="3"/>
      <c r="JCK10" s="3"/>
      <c r="JCL10" s="3"/>
      <c r="JCM10" s="3"/>
      <c r="JCN10" s="3"/>
      <c r="JCO10" s="3"/>
      <c r="JCP10" s="3"/>
      <c r="JCQ10" s="3"/>
      <c r="JCR10" s="3"/>
      <c r="JCS10" s="3"/>
      <c r="JCT10" s="3"/>
      <c r="JCU10" s="3"/>
      <c r="JCV10" s="3"/>
      <c r="JCW10" s="3"/>
      <c r="JCX10" s="3"/>
      <c r="JCY10" s="3"/>
      <c r="JCZ10" s="3"/>
      <c r="JDA10" s="3"/>
      <c r="JDB10" s="3"/>
      <c r="JDC10" s="3"/>
      <c r="JDD10" s="3"/>
      <c r="JDE10" s="3"/>
      <c r="JDF10" s="3"/>
      <c r="JDG10" s="3"/>
      <c r="JDH10" s="3"/>
      <c r="JDI10" s="3"/>
      <c r="JDJ10" s="3"/>
      <c r="JDK10" s="3"/>
      <c r="JDL10" s="3"/>
      <c r="JDM10" s="3"/>
      <c r="JDN10" s="3"/>
      <c r="JDO10" s="3"/>
      <c r="JDP10" s="3"/>
      <c r="JDQ10" s="3"/>
      <c r="JDR10" s="3"/>
      <c r="JDS10" s="3"/>
      <c r="JDT10" s="3"/>
      <c r="JDU10" s="3"/>
      <c r="JDV10" s="3"/>
      <c r="JDW10" s="3"/>
      <c r="JDX10" s="3"/>
      <c r="JDY10" s="3"/>
      <c r="JDZ10" s="3"/>
      <c r="JEA10" s="3"/>
      <c r="JEB10" s="3"/>
      <c r="JEC10" s="3"/>
      <c r="JED10" s="3"/>
      <c r="JEE10" s="3"/>
      <c r="JEF10" s="3"/>
      <c r="JEG10" s="3"/>
      <c r="JEH10" s="3"/>
      <c r="JEI10" s="3"/>
      <c r="JEJ10" s="3"/>
      <c r="JEK10" s="3"/>
      <c r="JEL10" s="3"/>
      <c r="JEM10" s="3"/>
      <c r="JEN10" s="3"/>
      <c r="JEO10" s="3"/>
      <c r="JEP10" s="3"/>
      <c r="JEQ10" s="3"/>
      <c r="JER10" s="3"/>
      <c r="JES10" s="3"/>
      <c r="JET10" s="3"/>
      <c r="JEU10" s="3"/>
      <c r="JEV10" s="3"/>
      <c r="JEW10" s="3"/>
      <c r="JEX10" s="3"/>
      <c r="JEY10" s="3"/>
      <c r="JEZ10" s="3"/>
      <c r="JFA10" s="3"/>
      <c r="JFB10" s="3"/>
      <c r="JFC10" s="3"/>
      <c r="JFD10" s="3"/>
      <c r="JFE10" s="3"/>
      <c r="JFF10" s="3"/>
      <c r="JFG10" s="3"/>
      <c r="JFH10" s="3"/>
      <c r="JFI10" s="3"/>
      <c r="JFJ10" s="3"/>
      <c r="JFK10" s="3"/>
      <c r="JFL10" s="3"/>
      <c r="JFM10" s="3"/>
      <c r="JFN10" s="3"/>
      <c r="JFO10" s="3"/>
      <c r="JFP10" s="3"/>
      <c r="JFQ10" s="3"/>
      <c r="JFR10" s="3"/>
      <c r="JFS10" s="3"/>
      <c r="JFT10" s="3"/>
      <c r="JFU10" s="3"/>
      <c r="JFV10" s="3"/>
      <c r="JFW10" s="3"/>
      <c r="JFX10" s="3"/>
      <c r="JFY10" s="3"/>
      <c r="JFZ10" s="3"/>
      <c r="JGA10" s="3"/>
      <c r="JGB10" s="3"/>
      <c r="JGC10" s="3"/>
      <c r="JGD10" s="3"/>
      <c r="JGE10" s="3"/>
      <c r="JGF10" s="3"/>
      <c r="JGG10" s="3"/>
      <c r="JGH10" s="3"/>
      <c r="JGI10" s="3"/>
      <c r="JGJ10" s="3"/>
      <c r="JGK10" s="3"/>
      <c r="JGL10" s="3"/>
      <c r="JGM10" s="3"/>
      <c r="JGN10" s="3"/>
      <c r="JGO10" s="3"/>
      <c r="JGP10" s="3"/>
      <c r="JGQ10" s="3"/>
      <c r="JGR10" s="3"/>
      <c r="JGS10" s="3"/>
      <c r="JGT10" s="3"/>
      <c r="JGU10" s="3"/>
      <c r="JGV10" s="3"/>
      <c r="JGW10" s="3"/>
      <c r="JGX10" s="3"/>
      <c r="JGY10" s="3"/>
      <c r="JGZ10" s="3"/>
      <c r="JHA10" s="3"/>
      <c r="JHB10" s="3"/>
      <c r="JHC10" s="3"/>
      <c r="JHD10" s="3"/>
      <c r="JHE10" s="3"/>
      <c r="JHF10" s="3"/>
      <c r="JHG10" s="3"/>
      <c r="JHH10" s="3"/>
      <c r="JHI10" s="3"/>
      <c r="JHJ10" s="3"/>
      <c r="JHK10" s="3"/>
      <c r="JHL10" s="3"/>
      <c r="JHM10" s="3"/>
      <c r="JHN10" s="3"/>
      <c r="JHO10" s="3"/>
      <c r="JHP10" s="3"/>
      <c r="JHQ10" s="3"/>
      <c r="JHR10" s="3"/>
      <c r="JHS10" s="3"/>
      <c r="JHT10" s="3"/>
      <c r="JHU10" s="3"/>
      <c r="JHV10" s="3"/>
      <c r="JHW10" s="3"/>
      <c r="JHX10" s="3"/>
      <c r="JHY10" s="3"/>
      <c r="JHZ10" s="3"/>
      <c r="JIA10" s="3"/>
      <c r="JIB10" s="3"/>
      <c r="JIC10" s="3"/>
      <c r="JID10" s="3"/>
      <c r="JIE10" s="3"/>
      <c r="JIF10" s="3"/>
      <c r="JIG10" s="3"/>
      <c r="JIH10" s="3"/>
      <c r="JII10" s="3"/>
      <c r="JIJ10" s="3"/>
      <c r="JIK10" s="3"/>
      <c r="JIL10" s="3"/>
      <c r="JIM10" s="3"/>
      <c r="JIN10" s="3"/>
      <c r="JIO10" s="3"/>
      <c r="JIP10" s="3"/>
      <c r="JIQ10" s="3"/>
      <c r="JIR10" s="3"/>
      <c r="JIS10" s="3"/>
      <c r="JIT10" s="3"/>
      <c r="JIU10" s="3"/>
      <c r="JIV10" s="3"/>
      <c r="JIW10" s="3"/>
      <c r="JIX10" s="3"/>
      <c r="JIY10" s="3"/>
      <c r="JIZ10" s="3"/>
      <c r="JJA10" s="3"/>
      <c r="JJB10" s="3"/>
      <c r="JJC10" s="3"/>
      <c r="JJD10" s="3"/>
      <c r="JJE10" s="3"/>
      <c r="JJF10" s="3"/>
      <c r="JJG10" s="3"/>
      <c r="JJH10" s="3"/>
      <c r="JJI10" s="3"/>
      <c r="JJJ10" s="3"/>
      <c r="JJK10" s="3"/>
      <c r="JJL10" s="3"/>
      <c r="JJM10" s="3"/>
      <c r="JJN10" s="3"/>
      <c r="JJO10" s="3"/>
      <c r="JJP10" s="3"/>
      <c r="JJQ10" s="3"/>
      <c r="JJR10" s="3"/>
      <c r="JJS10" s="3"/>
      <c r="JJT10" s="3"/>
      <c r="JJU10" s="3"/>
      <c r="JJV10" s="3"/>
      <c r="JJW10" s="3"/>
      <c r="JJX10" s="3"/>
      <c r="JJY10" s="3"/>
      <c r="JJZ10" s="3"/>
      <c r="JKA10" s="3"/>
      <c r="JKB10" s="3"/>
      <c r="JKC10" s="3"/>
      <c r="JKD10" s="3"/>
      <c r="JKE10" s="3"/>
      <c r="JKF10" s="3"/>
      <c r="JKG10" s="3"/>
      <c r="JKH10" s="3"/>
      <c r="JKI10" s="3"/>
      <c r="JKJ10" s="3"/>
      <c r="JKK10" s="3"/>
      <c r="JKL10" s="3"/>
      <c r="JKM10" s="3"/>
      <c r="JKN10" s="3"/>
      <c r="JKO10" s="3"/>
      <c r="JKP10" s="3"/>
      <c r="JKQ10" s="3"/>
      <c r="JKR10" s="3"/>
      <c r="JKS10" s="3"/>
      <c r="JKT10" s="3"/>
      <c r="JKU10" s="3"/>
      <c r="JKV10" s="3"/>
      <c r="JKW10" s="3"/>
      <c r="JKX10" s="3"/>
      <c r="JKY10" s="3"/>
      <c r="JKZ10" s="3"/>
      <c r="JLA10" s="3"/>
      <c r="JLB10" s="3"/>
      <c r="JLC10" s="3"/>
      <c r="JLD10" s="3"/>
      <c r="JLE10" s="3"/>
      <c r="JLF10" s="3"/>
      <c r="JLG10" s="3"/>
      <c r="JLH10" s="3"/>
      <c r="JLI10" s="3"/>
      <c r="JLJ10" s="3"/>
      <c r="JLK10" s="3"/>
      <c r="JLL10" s="3"/>
      <c r="JLM10" s="3"/>
      <c r="JLN10" s="3"/>
      <c r="JLO10" s="3"/>
      <c r="JLP10" s="3"/>
      <c r="JLQ10" s="3"/>
      <c r="JLR10" s="3"/>
      <c r="JLS10" s="3"/>
      <c r="JLT10" s="3"/>
      <c r="JLU10" s="3"/>
      <c r="JLV10" s="3"/>
      <c r="JLW10" s="3"/>
      <c r="JLX10" s="3"/>
      <c r="JLY10" s="3"/>
      <c r="JLZ10" s="3"/>
      <c r="JMA10" s="3"/>
      <c r="JMB10" s="3"/>
      <c r="JMC10" s="3"/>
      <c r="JMD10" s="3"/>
      <c r="JME10" s="3"/>
      <c r="JMF10" s="3"/>
      <c r="JMG10" s="3"/>
      <c r="JMH10" s="3"/>
      <c r="JMI10" s="3"/>
      <c r="JMJ10" s="3"/>
      <c r="JMK10" s="3"/>
      <c r="JML10" s="3"/>
      <c r="JMM10" s="3"/>
      <c r="JMN10" s="3"/>
      <c r="JMO10" s="3"/>
      <c r="JMP10" s="3"/>
      <c r="JMQ10" s="3"/>
      <c r="JMR10" s="3"/>
      <c r="JMS10" s="3"/>
      <c r="JMT10" s="3"/>
      <c r="JMU10" s="3"/>
      <c r="JMV10" s="3"/>
      <c r="JMW10" s="3"/>
      <c r="JMX10" s="3"/>
      <c r="JMY10" s="3"/>
      <c r="JMZ10" s="3"/>
      <c r="JNA10" s="3"/>
      <c r="JNB10" s="3"/>
      <c r="JNC10" s="3"/>
      <c r="JND10" s="3"/>
      <c r="JNE10" s="3"/>
      <c r="JNF10" s="3"/>
      <c r="JNG10" s="3"/>
      <c r="JNH10" s="3"/>
      <c r="JNI10" s="3"/>
      <c r="JNJ10" s="3"/>
      <c r="JNK10" s="3"/>
      <c r="JNL10" s="3"/>
      <c r="JNM10" s="3"/>
      <c r="JNN10" s="3"/>
      <c r="JNO10" s="3"/>
      <c r="JNP10" s="3"/>
      <c r="JNQ10" s="3"/>
      <c r="JNR10" s="3"/>
      <c r="JNS10" s="3"/>
      <c r="JNT10" s="3"/>
      <c r="JNU10" s="3"/>
      <c r="JNV10" s="3"/>
      <c r="JNW10" s="3"/>
      <c r="JNX10" s="3"/>
      <c r="JNY10" s="3"/>
      <c r="JNZ10" s="3"/>
      <c r="JOA10" s="3"/>
      <c r="JOB10" s="3"/>
      <c r="JOC10" s="3"/>
      <c r="JOD10" s="3"/>
      <c r="JOE10" s="3"/>
      <c r="JOF10" s="3"/>
      <c r="JOG10" s="3"/>
      <c r="JOH10" s="3"/>
      <c r="JOI10" s="3"/>
      <c r="JOJ10" s="3"/>
      <c r="JOK10" s="3"/>
      <c r="JOL10" s="3"/>
      <c r="JOM10" s="3"/>
      <c r="JON10" s="3"/>
      <c r="JOO10" s="3"/>
      <c r="JOP10" s="3"/>
      <c r="JOQ10" s="3"/>
      <c r="JOR10" s="3"/>
      <c r="JOS10" s="3"/>
      <c r="JOT10" s="3"/>
      <c r="JOU10" s="3"/>
      <c r="JOV10" s="3"/>
      <c r="JOW10" s="3"/>
      <c r="JOX10" s="3"/>
      <c r="JOY10" s="3"/>
      <c r="JOZ10" s="3"/>
      <c r="JPA10" s="3"/>
      <c r="JPB10" s="3"/>
      <c r="JPC10" s="3"/>
      <c r="JPD10" s="3"/>
      <c r="JPE10" s="3"/>
      <c r="JPF10" s="3"/>
      <c r="JPG10" s="3"/>
      <c r="JPH10" s="3"/>
      <c r="JPI10" s="3"/>
      <c r="JPJ10" s="3"/>
      <c r="JPK10" s="3"/>
      <c r="JPL10" s="3"/>
      <c r="JPM10" s="3"/>
      <c r="JPN10" s="3"/>
      <c r="JPO10" s="3"/>
      <c r="JPP10" s="3"/>
      <c r="JPQ10" s="3"/>
      <c r="JPR10" s="3"/>
      <c r="JPS10" s="3"/>
      <c r="JPT10" s="3"/>
      <c r="JPU10" s="3"/>
      <c r="JPV10" s="3"/>
      <c r="JPW10" s="3"/>
      <c r="JPX10" s="3"/>
      <c r="JPY10" s="3"/>
      <c r="JPZ10" s="3"/>
      <c r="JQA10" s="3"/>
      <c r="JQB10" s="3"/>
      <c r="JQC10" s="3"/>
      <c r="JQD10" s="3"/>
      <c r="JQE10" s="3"/>
      <c r="JQF10" s="3"/>
      <c r="JQG10" s="3"/>
      <c r="JQH10" s="3"/>
      <c r="JQI10" s="3"/>
      <c r="JQJ10" s="3"/>
      <c r="JQK10" s="3"/>
      <c r="JQL10" s="3"/>
      <c r="JQM10" s="3"/>
      <c r="JQN10" s="3"/>
      <c r="JQO10" s="3"/>
      <c r="JQP10" s="3"/>
      <c r="JQQ10" s="3"/>
      <c r="JQR10" s="3"/>
      <c r="JQS10" s="3"/>
      <c r="JQT10" s="3"/>
      <c r="JQU10" s="3"/>
      <c r="JQV10" s="3"/>
      <c r="JQW10" s="3"/>
      <c r="JQX10" s="3"/>
      <c r="JQY10" s="3"/>
      <c r="JQZ10" s="3"/>
      <c r="JRA10" s="3"/>
      <c r="JRB10" s="3"/>
      <c r="JRC10" s="3"/>
      <c r="JRD10" s="3"/>
      <c r="JRE10" s="3"/>
      <c r="JRF10" s="3"/>
      <c r="JRG10" s="3"/>
      <c r="JRH10" s="3"/>
      <c r="JRI10" s="3"/>
      <c r="JRJ10" s="3"/>
      <c r="JRK10" s="3"/>
      <c r="JRL10" s="3"/>
      <c r="JRM10" s="3"/>
      <c r="JRN10" s="3"/>
      <c r="JRO10" s="3"/>
      <c r="JRP10" s="3"/>
      <c r="JRQ10" s="3"/>
      <c r="JRR10" s="3"/>
      <c r="JRS10" s="3"/>
      <c r="JRT10" s="3"/>
      <c r="JRU10" s="3"/>
      <c r="JRV10" s="3"/>
      <c r="JRW10" s="3"/>
      <c r="JRX10" s="3"/>
      <c r="JRY10" s="3"/>
      <c r="JRZ10" s="3"/>
      <c r="JSA10" s="3"/>
      <c r="JSB10" s="3"/>
      <c r="JSC10" s="3"/>
      <c r="JSD10" s="3"/>
      <c r="JSE10" s="3"/>
      <c r="JSF10" s="3"/>
      <c r="JSG10" s="3"/>
      <c r="JSH10" s="3"/>
      <c r="JSI10" s="3"/>
      <c r="JSJ10" s="3"/>
      <c r="JSK10" s="3"/>
      <c r="JSL10" s="3"/>
      <c r="JSM10" s="3"/>
      <c r="JSN10" s="3"/>
      <c r="JSO10" s="3"/>
      <c r="JSP10" s="3"/>
      <c r="JSQ10" s="3"/>
      <c r="JSR10" s="3"/>
      <c r="JSS10" s="3"/>
      <c r="JST10" s="3"/>
      <c r="JSU10" s="3"/>
      <c r="JSV10" s="3"/>
      <c r="JSW10" s="3"/>
      <c r="JSX10" s="3"/>
      <c r="JSY10" s="3"/>
      <c r="JSZ10" s="3"/>
      <c r="JTA10" s="3"/>
      <c r="JTB10" s="3"/>
      <c r="JTC10" s="3"/>
      <c r="JTD10" s="3"/>
      <c r="JTE10" s="3"/>
      <c r="JTF10" s="3"/>
      <c r="JTG10" s="3"/>
      <c r="JTH10" s="3"/>
      <c r="JTI10" s="3"/>
      <c r="JTJ10" s="3"/>
      <c r="JTK10" s="3"/>
      <c r="JTL10" s="3"/>
      <c r="JTM10" s="3"/>
      <c r="JTN10" s="3"/>
      <c r="JTO10" s="3"/>
      <c r="JTP10" s="3"/>
      <c r="JTQ10" s="3"/>
      <c r="JTR10" s="3"/>
      <c r="JTS10" s="3"/>
      <c r="JTT10" s="3"/>
      <c r="JTU10" s="3"/>
      <c r="JTV10" s="3"/>
      <c r="JTW10" s="3"/>
      <c r="JTX10" s="3"/>
      <c r="JTY10" s="3"/>
      <c r="JTZ10" s="3"/>
      <c r="JUA10" s="3"/>
      <c r="JUB10" s="3"/>
      <c r="JUC10" s="3"/>
      <c r="JUD10" s="3"/>
      <c r="JUE10" s="3"/>
      <c r="JUF10" s="3"/>
      <c r="JUG10" s="3"/>
      <c r="JUH10" s="3"/>
      <c r="JUI10" s="3"/>
      <c r="JUJ10" s="3"/>
      <c r="JUK10" s="3"/>
      <c r="JUL10" s="3"/>
      <c r="JUM10" s="3"/>
      <c r="JUN10" s="3"/>
      <c r="JUO10" s="3"/>
      <c r="JUP10" s="3"/>
      <c r="JUQ10" s="3"/>
      <c r="JUR10" s="3"/>
      <c r="JUS10" s="3"/>
      <c r="JUT10" s="3"/>
      <c r="JUU10" s="3"/>
      <c r="JUV10" s="3"/>
      <c r="JUW10" s="3"/>
      <c r="JUX10" s="3"/>
      <c r="JUY10" s="3"/>
      <c r="JUZ10" s="3"/>
      <c r="JVA10" s="3"/>
      <c r="JVB10" s="3"/>
      <c r="JVC10" s="3"/>
      <c r="JVD10" s="3"/>
      <c r="JVE10" s="3"/>
      <c r="JVF10" s="3"/>
      <c r="JVG10" s="3"/>
      <c r="JVH10" s="3"/>
      <c r="JVI10" s="3"/>
      <c r="JVJ10" s="3"/>
      <c r="JVK10" s="3"/>
      <c r="JVL10" s="3"/>
      <c r="JVM10" s="3"/>
      <c r="JVN10" s="3"/>
      <c r="JVO10" s="3"/>
      <c r="JVP10" s="3"/>
      <c r="JVQ10" s="3"/>
      <c r="JVR10" s="3"/>
      <c r="JVS10" s="3"/>
      <c r="JVT10" s="3"/>
      <c r="JVU10" s="3"/>
      <c r="JVV10" s="3"/>
      <c r="JVW10" s="3"/>
      <c r="JVX10" s="3"/>
      <c r="JVY10" s="3"/>
      <c r="JVZ10" s="3"/>
      <c r="JWA10" s="3"/>
      <c r="JWB10" s="3"/>
      <c r="JWC10" s="3"/>
      <c r="JWD10" s="3"/>
      <c r="JWE10" s="3"/>
      <c r="JWF10" s="3"/>
      <c r="JWG10" s="3"/>
      <c r="JWH10" s="3"/>
      <c r="JWI10" s="3"/>
      <c r="JWJ10" s="3"/>
      <c r="JWK10" s="3"/>
      <c r="JWL10" s="3"/>
      <c r="JWM10" s="3"/>
      <c r="JWN10" s="3"/>
      <c r="JWO10" s="3"/>
      <c r="JWP10" s="3"/>
      <c r="JWQ10" s="3"/>
      <c r="JWR10" s="3"/>
      <c r="JWS10" s="3"/>
      <c r="JWT10" s="3"/>
      <c r="JWU10" s="3"/>
      <c r="JWV10" s="3"/>
      <c r="JWW10" s="3"/>
      <c r="JWX10" s="3"/>
      <c r="JWY10" s="3"/>
      <c r="JWZ10" s="3"/>
      <c r="JXA10" s="3"/>
      <c r="JXB10" s="3"/>
      <c r="JXC10" s="3"/>
      <c r="JXD10" s="3"/>
      <c r="JXE10" s="3"/>
      <c r="JXF10" s="3"/>
      <c r="JXG10" s="3"/>
      <c r="JXH10" s="3"/>
      <c r="JXI10" s="3"/>
      <c r="JXJ10" s="3"/>
      <c r="JXK10" s="3"/>
      <c r="JXL10" s="3"/>
      <c r="JXM10" s="3"/>
      <c r="JXN10" s="3"/>
      <c r="JXO10" s="3"/>
      <c r="JXP10" s="3"/>
      <c r="JXQ10" s="3"/>
      <c r="JXR10" s="3"/>
      <c r="JXS10" s="3"/>
      <c r="JXT10" s="3"/>
      <c r="JXU10" s="3"/>
      <c r="JXV10" s="3"/>
      <c r="JXW10" s="3"/>
      <c r="JXX10" s="3"/>
      <c r="JXY10" s="3"/>
      <c r="JXZ10" s="3"/>
      <c r="JYA10" s="3"/>
      <c r="JYB10" s="3"/>
      <c r="JYC10" s="3"/>
      <c r="JYD10" s="3"/>
      <c r="JYE10" s="3"/>
      <c r="JYF10" s="3"/>
      <c r="JYG10" s="3"/>
      <c r="JYH10" s="3"/>
      <c r="JYI10" s="3"/>
      <c r="JYJ10" s="3"/>
      <c r="JYK10" s="3"/>
      <c r="JYL10" s="3"/>
      <c r="JYM10" s="3"/>
      <c r="JYN10" s="3"/>
      <c r="JYO10" s="3"/>
      <c r="JYP10" s="3"/>
      <c r="JYQ10" s="3"/>
      <c r="JYR10" s="3"/>
      <c r="JYS10" s="3"/>
      <c r="JYT10" s="3"/>
      <c r="JYU10" s="3"/>
      <c r="JYV10" s="3"/>
      <c r="JYW10" s="3"/>
      <c r="JYX10" s="3"/>
      <c r="JYY10" s="3"/>
      <c r="JYZ10" s="3"/>
      <c r="JZA10" s="3"/>
      <c r="JZB10" s="3"/>
      <c r="JZC10" s="3"/>
      <c r="JZD10" s="3"/>
      <c r="JZE10" s="3"/>
      <c r="JZF10" s="3"/>
      <c r="JZG10" s="3"/>
      <c r="JZH10" s="3"/>
      <c r="JZI10" s="3"/>
      <c r="JZJ10" s="3"/>
      <c r="JZK10" s="3"/>
      <c r="JZL10" s="3"/>
      <c r="JZM10" s="3"/>
      <c r="JZN10" s="3"/>
      <c r="JZO10" s="3"/>
      <c r="JZP10" s="3"/>
      <c r="JZQ10" s="3"/>
      <c r="JZR10" s="3"/>
      <c r="JZS10" s="3"/>
      <c r="JZT10" s="3"/>
      <c r="JZU10" s="3"/>
      <c r="JZV10" s="3"/>
      <c r="JZW10" s="3"/>
      <c r="JZX10" s="3"/>
      <c r="JZY10" s="3"/>
      <c r="JZZ10" s="3"/>
      <c r="KAA10" s="3"/>
      <c r="KAB10" s="3"/>
      <c r="KAC10" s="3"/>
      <c r="KAD10" s="3"/>
      <c r="KAE10" s="3"/>
      <c r="KAF10" s="3"/>
      <c r="KAG10" s="3"/>
      <c r="KAH10" s="3"/>
      <c r="KAI10" s="3"/>
      <c r="KAJ10" s="3"/>
      <c r="KAK10" s="3"/>
      <c r="KAL10" s="3"/>
      <c r="KAM10" s="3"/>
      <c r="KAN10" s="3"/>
      <c r="KAO10" s="3"/>
      <c r="KAP10" s="3"/>
      <c r="KAQ10" s="3"/>
      <c r="KAR10" s="3"/>
      <c r="KAS10" s="3"/>
      <c r="KAT10" s="3"/>
      <c r="KAU10" s="3"/>
      <c r="KAV10" s="3"/>
      <c r="KAW10" s="3"/>
      <c r="KAX10" s="3"/>
      <c r="KAY10" s="3"/>
      <c r="KAZ10" s="3"/>
      <c r="KBA10" s="3"/>
      <c r="KBB10" s="3"/>
      <c r="KBC10" s="3"/>
      <c r="KBD10" s="3"/>
      <c r="KBE10" s="3"/>
      <c r="KBF10" s="3"/>
      <c r="KBG10" s="3"/>
      <c r="KBH10" s="3"/>
      <c r="KBI10" s="3"/>
      <c r="KBJ10" s="3"/>
      <c r="KBK10" s="3"/>
      <c r="KBL10" s="3"/>
      <c r="KBM10" s="3"/>
      <c r="KBN10" s="3"/>
      <c r="KBO10" s="3"/>
      <c r="KBP10" s="3"/>
      <c r="KBQ10" s="3"/>
      <c r="KBR10" s="3"/>
      <c r="KBS10" s="3"/>
      <c r="KBT10" s="3"/>
      <c r="KBU10" s="3"/>
      <c r="KBV10" s="3"/>
      <c r="KBW10" s="3"/>
      <c r="KBX10" s="3"/>
      <c r="KBY10" s="3"/>
      <c r="KBZ10" s="3"/>
      <c r="KCA10" s="3"/>
      <c r="KCB10" s="3"/>
      <c r="KCC10" s="3"/>
      <c r="KCD10" s="3"/>
      <c r="KCE10" s="3"/>
      <c r="KCF10" s="3"/>
      <c r="KCG10" s="3"/>
      <c r="KCH10" s="3"/>
      <c r="KCI10" s="3"/>
      <c r="KCJ10" s="3"/>
      <c r="KCK10" s="3"/>
      <c r="KCL10" s="3"/>
      <c r="KCM10" s="3"/>
      <c r="KCN10" s="3"/>
      <c r="KCO10" s="3"/>
      <c r="KCP10" s="3"/>
      <c r="KCQ10" s="3"/>
      <c r="KCR10" s="3"/>
      <c r="KCS10" s="3"/>
      <c r="KCT10" s="3"/>
      <c r="KCU10" s="3"/>
      <c r="KCV10" s="3"/>
      <c r="KCW10" s="3"/>
      <c r="KCX10" s="3"/>
      <c r="KCY10" s="3"/>
      <c r="KCZ10" s="3"/>
      <c r="KDA10" s="3"/>
      <c r="KDB10" s="3"/>
      <c r="KDC10" s="3"/>
      <c r="KDD10" s="3"/>
      <c r="KDE10" s="3"/>
      <c r="KDF10" s="3"/>
      <c r="KDG10" s="3"/>
      <c r="KDH10" s="3"/>
      <c r="KDI10" s="3"/>
      <c r="KDJ10" s="3"/>
      <c r="KDK10" s="3"/>
      <c r="KDL10" s="3"/>
      <c r="KDM10" s="3"/>
      <c r="KDN10" s="3"/>
      <c r="KDO10" s="3"/>
      <c r="KDP10" s="3"/>
      <c r="KDQ10" s="3"/>
      <c r="KDR10" s="3"/>
      <c r="KDS10" s="3"/>
      <c r="KDT10" s="3"/>
      <c r="KDU10" s="3"/>
      <c r="KDV10" s="3"/>
      <c r="KDW10" s="3"/>
      <c r="KDX10" s="3"/>
      <c r="KDY10" s="3"/>
      <c r="KDZ10" s="3"/>
      <c r="KEA10" s="3"/>
      <c r="KEB10" s="3"/>
      <c r="KEC10" s="3"/>
      <c r="KED10" s="3"/>
      <c r="KEE10" s="3"/>
      <c r="KEF10" s="3"/>
      <c r="KEG10" s="3"/>
      <c r="KEH10" s="3"/>
      <c r="KEI10" s="3"/>
      <c r="KEJ10" s="3"/>
      <c r="KEK10" s="3"/>
      <c r="KEL10" s="3"/>
      <c r="KEM10" s="3"/>
      <c r="KEN10" s="3"/>
      <c r="KEO10" s="3"/>
      <c r="KEP10" s="3"/>
      <c r="KEQ10" s="3"/>
      <c r="KER10" s="3"/>
      <c r="KES10" s="3"/>
      <c r="KET10" s="3"/>
      <c r="KEU10" s="3"/>
      <c r="KEV10" s="3"/>
      <c r="KEW10" s="3"/>
      <c r="KEX10" s="3"/>
      <c r="KEY10" s="3"/>
      <c r="KEZ10" s="3"/>
      <c r="KFA10" s="3"/>
      <c r="KFB10" s="3"/>
      <c r="KFC10" s="3"/>
      <c r="KFD10" s="3"/>
      <c r="KFE10" s="3"/>
      <c r="KFF10" s="3"/>
      <c r="KFG10" s="3"/>
      <c r="KFH10" s="3"/>
      <c r="KFI10" s="3"/>
      <c r="KFJ10" s="3"/>
      <c r="KFK10" s="3"/>
      <c r="KFL10" s="3"/>
      <c r="KFM10" s="3"/>
      <c r="KFN10" s="3"/>
      <c r="KFO10" s="3"/>
      <c r="KFP10" s="3"/>
      <c r="KFQ10" s="3"/>
      <c r="KFR10" s="3"/>
      <c r="KFS10" s="3"/>
      <c r="KFT10" s="3"/>
      <c r="KFU10" s="3"/>
      <c r="KFV10" s="3"/>
      <c r="KFW10" s="3"/>
      <c r="KFX10" s="3"/>
      <c r="KFY10" s="3"/>
      <c r="KFZ10" s="3"/>
      <c r="KGA10" s="3"/>
      <c r="KGB10" s="3"/>
      <c r="KGC10" s="3"/>
      <c r="KGD10" s="3"/>
      <c r="KGE10" s="3"/>
      <c r="KGF10" s="3"/>
      <c r="KGG10" s="3"/>
      <c r="KGH10" s="3"/>
      <c r="KGI10" s="3"/>
      <c r="KGJ10" s="3"/>
      <c r="KGK10" s="3"/>
      <c r="KGL10" s="3"/>
      <c r="KGM10" s="3"/>
      <c r="KGN10" s="3"/>
      <c r="KGO10" s="3"/>
      <c r="KGP10" s="3"/>
      <c r="KGQ10" s="3"/>
      <c r="KGR10" s="3"/>
      <c r="KGS10" s="3"/>
      <c r="KGT10" s="3"/>
      <c r="KGU10" s="3"/>
      <c r="KGV10" s="3"/>
      <c r="KGW10" s="3"/>
      <c r="KGX10" s="3"/>
      <c r="KGY10" s="3"/>
      <c r="KGZ10" s="3"/>
      <c r="KHA10" s="3"/>
      <c r="KHB10" s="3"/>
      <c r="KHC10" s="3"/>
      <c r="KHD10" s="3"/>
      <c r="KHE10" s="3"/>
      <c r="KHF10" s="3"/>
      <c r="KHG10" s="3"/>
      <c r="KHH10" s="3"/>
      <c r="KHI10" s="3"/>
      <c r="KHJ10" s="3"/>
      <c r="KHK10" s="3"/>
      <c r="KHL10" s="3"/>
      <c r="KHM10" s="3"/>
      <c r="KHN10" s="3"/>
      <c r="KHO10" s="3"/>
      <c r="KHP10" s="3"/>
      <c r="KHQ10" s="3"/>
      <c r="KHR10" s="3"/>
      <c r="KHS10" s="3"/>
      <c r="KHT10" s="3"/>
      <c r="KHU10" s="3"/>
      <c r="KHV10" s="3"/>
      <c r="KHW10" s="3"/>
      <c r="KHX10" s="3"/>
      <c r="KHY10" s="3"/>
      <c r="KHZ10" s="3"/>
      <c r="KIA10" s="3"/>
      <c r="KIB10" s="3"/>
      <c r="KIC10" s="3"/>
      <c r="KID10" s="3"/>
      <c r="KIE10" s="3"/>
      <c r="KIF10" s="3"/>
      <c r="KIG10" s="3"/>
      <c r="KIH10" s="3"/>
      <c r="KII10" s="3"/>
      <c r="KIJ10" s="3"/>
      <c r="KIK10" s="3"/>
      <c r="KIL10" s="3"/>
      <c r="KIM10" s="3"/>
      <c r="KIN10" s="3"/>
      <c r="KIO10" s="3"/>
      <c r="KIP10" s="3"/>
      <c r="KIQ10" s="3"/>
      <c r="KIR10" s="3"/>
      <c r="KIS10" s="3"/>
      <c r="KIT10" s="3"/>
      <c r="KIU10" s="3"/>
      <c r="KIV10" s="3"/>
      <c r="KIW10" s="3"/>
      <c r="KIX10" s="3"/>
      <c r="KIY10" s="3"/>
      <c r="KIZ10" s="3"/>
      <c r="KJA10" s="3"/>
      <c r="KJB10" s="3"/>
      <c r="KJC10" s="3"/>
      <c r="KJD10" s="3"/>
      <c r="KJE10" s="3"/>
      <c r="KJF10" s="3"/>
      <c r="KJG10" s="3"/>
      <c r="KJH10" s="3"/>
      <c r="KJI10" s="3"/>
      <c r="KJJ10" s="3"/>
      <c r="KJK10" s="3"/>
      <c r="KJL10" s="3"/>
      <c r="KJM10" s="3"/>
      <c r="KJN10" s="3"/>
      <c r="KJO10" s="3"/>
      <c r="KJP10" s="3"/>
      <c r="KJQ10" s="3"/>
      <c r="KJR10" s="3"/>
      <c r="KJS10" s="3"/>
      <c r="KJT10" s="3"/>
      <c r="KJU10" s="3"/>
      <c r="KJV10" s="3"/>
      <c r="KJW10" s="3"/>
      <c r="KJX10" s="3"/>
      <c r="KJY10" s="3"/>
      <c r="KJZ10" s="3"/>
      <c r="KKA10" s="3"/>
      <c r="KKB10" s="3"/>
      <c r="KKC10" s="3"/>
      <c r="KKD10" s="3"/>
      <c r="KKE10" s="3"/>
      <c r="KKF10" s="3"/>
      <c r="KKG10" s="3"/>
      <c r="KKH10" s="3"/>
      <c r="KKI10" s="3"/>
      <c r="KKJ10" s="3"/>
      <c r="KKK10" s="3"/>
      <c r="KKL10" s="3"/>
      <c r="KKM10" s="3"/>
      <c r="KKN10" s="3"/>
      <c r="KKO10" s="3"/>
      <c r="KKP10" s="3"/>
      <c r="KKQ10" s="3"/>
      <c r="KKR10" s="3"/>
      <c r="KKS10" s="3"/>
      <c r="KKT10" s="3"/>
      <c r="KKU10" s="3"/>
      <c r="KKV10" s="3"/>
      <c r="KKW10" s="3"/>
      <c r="KKX10" s="3"/>
      <c r="KKY10" s="3"/>
      <c r="KKZ10" s="3"/>
      <c r="KLA10" s="3"/>
      <c r="KLB10" s="3"/>
      <c r="KLC10" s="3"/>
      <c r="KLD10" s="3"/>
      <c r="KLE10" s="3"/>
      <c r="KLF10" s="3"/>
      <c r="KLG10" s="3"/>
      <c r="KLH10" s="3"/>
      <c r="KLI10" s="3"/>
      <c r="KLJ10" s="3"/>
      <c r="KLK10" s="3"/>
      <c r="KLL10" s="3"/>
      <c r="KLM10" s="3"/>
      <c r="KLN10" s="3"/>
      <c r="KLO10" s="3"/>
      <c r="KLP10" s="3"/>
      <c r="KLQ10" s="3"/>
      <c r="KLR10" s="3"/>
      <c r="KLS10" s="3"/>
      <c r="KLT10" s="3"/>
      <c r="KLU10" s="3"/>
      <c r="KLV10" s="3"/>
      <c r="KLW10" s="3"/>
      <c r="KLX10" s="3"/>
      <c r="KLY10" s="3"/>
      <c r="KLZ10" s="3"/>
      <c r="KMA10" s="3"/>
      <c r="KMB10" s="3"/>
      <c r="KMC10" s="3"/>
      <c r="KMD10" s="3"/>
      <c r="KME10" s="3"/>
      <c r="KMF10" s="3"/>
      <c r="KMG10" s="3"/>
      <c r="KMH10" s="3"/>
      <c r="KMI10" s="3"/>
      <c r="KMJ10" s="3"/>
      <c r="KMK10" s="3"/>
      <c r="KML10" s="3"/>
      <c r="KMM10" s="3"/>
      <c r="KMN10" s="3"/>
      <c r="KMO10" s="3"/>
      <c r="KMP10" s="3"/>
      <c r="KMQ10" s="3"/>
      <c r="KMR10" s="3"/>
      <c r="KMS10" s="3"/>
      <c r="KMT10" s="3"/>
      <c r="KMU10" s="3"/>
      <c r="KMV10" s="3"/>
      <c r="KMW10" s="3"/>
      <c r="KMX10" s="3"/>
      <c r="KMY10" s="3"/>
      <c r="KMZ10" s="3"/>
      <c r="KNA10" s="3"/>
      <c r="KNB10" s="3"/>
      <c r="KNC10" s="3"/>
      <c r="KND10" s="3"/>
      <c r="KNE10" s="3"/>
      <c r="KNF10" s="3"/>
      <c r="KNG10" s="3"/>
      <c r="KNH10" s="3"/>
      <c r="KNI10" s="3"/>
      <c r="KNJ10" s="3"/>
      <c r="KNK10" s="3"/>
      <c r="KNL10" s="3"/>
      <c r="KNM10" s="3"/>
      <c r="KNN10" s="3"/>
      <c r="KNO10" s="3"/>
      <c r="KNP10" s="3"/>
      <c r="KNQ10" s="3"/>
      <c r="KNR10" s="3"/>
      <c r="KNS10" s="3"/>
      <c r="KNT10" s="3"/>
      <c r="KNU10" s="3"/>
      <c r="KNV10" s="3"/>
      <c r="KNW10" s="3"/>
      <c r="KNX10" s="3"/>
      <c r="KNY10" s="3"/>
      <c r="KNZ10" s="3"/>
      <c r="KOA10" s="3"/>
      <c r="KOB10" s="3"/>
      <c r="KOC10" s="3"/>
      <c r="KOD10" s="3"/>
      <c r="KOE10" s="3"/>
      <c r="KOF10" s="3"/>
      <c r="KOG10" s="3"/>
      <c r="KOH10" s="3"/>
      <c r="KOI10" s="3"/>
      <c r="KOJ10" s="3"/>
      <c r="KOK10" s="3"/>
      <c r="KOL10" s="3"/>
      <c r="KOM10" s="3"/>
      <c r="KON10" s="3"/>
      <c r="KOO10" s="3"/>
      <c r="KOP10" s="3"/>
      <c r="KOQ10" s="3"/>
      <c r="KOR10" s="3"/>
      <c r="KOS10" s="3"/>
      <c r="KOT10" s="3"/>
      <c r="KOU10" s="3"/>
      <c r="KOV10" s="3"/>
      <c r="KOW10" s="3"/>
      <c r="KOX10" s="3"/>
      <c r="KOY10" s="3"/>
      <c r="KOZ10" s="3"/>
      <c r="KPA10" s="3"/>
      <c r="KPB10" s="3"/>
      <c r="KPC10" s="3"/>
      <c r="KPD10" s="3"/>
      <c r="KPE10" s="3"/>
      <c r="KPF10" s="3"/>
      <c r="KPG10" s="3"/>
      <c r="KPH10" s="3"/>
      <c r="KPI10" s="3"/>
      <c r="KPJ10" s="3"/>
      <c r="KPK10" s="3"/>
      <c r="KPL10" s="3"/>
      <c r="KPM10" s="3"/>
      <c r="KPN10" s="3"/>
      <c r="KPO10" s="3"/>
      <c r="KPP10" s="3"/>
      <c r="KPQ10" s="3"/>
      <c r="KPR10" s="3"/>
      <c r="KPS10" s="3"/>
      <c r="KPT10" s="3"/>
      <c r="KPU10" s="3"/>
      <c r="KPV10" s="3"/>
      <c r="KPW10" s="3"/>
      <c r="KPX10" s="3"/>
      <c r="KPY10" s="3"/>
      <c r="KPZ10" s="3"/>
      <c r="KQA10" s="3"/>
      <c r="KQB10" s="3"/>
      <c r="KQC10" s="3"/>
      <c r="KQD10" s="3"/>
      <c r="KQE10" s="3"/>
      <c r="KQF10" s="3"/>
      <c r="KQG10" s="3"/>
      <c r="KQH10" s="3"/>
      <c r="KQI10" s="3"/>
      <c r="KQJ10" s="3"/>
      <c r="KQK10" s="3"/>
      <c r="KQL10" s="3"/>
      <c r="KQM10" s="3"/>
      <c r="KQN10" s="3"/>
      <c r="KQO10" s="3"/>
      <c r="KQP10" s="3"/>
      <c r="KQQ10" s="3"/>
      <c r="KQR10" s="3"/>
      <c r="KQS10" s="3"/>
      <c r="KQT10" s="3"/>
      <c r="KQU10" s="3"/>
      <c r="KQV10" s="3"/>
      <c r="KQW10" s="3"/>
      <c r="KQX10" s="3"/>
      <c r="KQY10" s="3"/>
      <c r="KQZ10" s="3"/>
      <c r="KRA10" s="3"/>
      <c r="KRB10" s="3"/>
      <c r="KRC10" s="3"/>
      <c r="KRD10" s="3"/>
      <c r="KRE10" s="3"/>
      <c r="KRF10" s="3"/>
      <c r="KRG10" s="3"/>
      <c r="KRH10" s="3"/>
      <c r="KRI10" s="3"/>
      <c r="KRJ10" s="3"/>
      <c r="KRK10" s="3"/>
      <c r="KRL10" s="3"/>
      <c r="KRM10" s="3"/>
      <c r="KRN10" s="3"/>
    </row>
    <row r="11" spans="1:7918" s="378" customFormat="1">
      <c r="A11" s="26" t="e">
        <f>+#REF!+1</f>
        <v>#REF!</v>
      </c>
      <c r="B11" s="388" t="s">
        <v>577</v>
      </c>
      <c r="C11" s="294">
        <v>1980254922</v>
      </c>
      <c r="D11" s="386" t="s">
        <v>577</v>
      </c>
      <c r="E11" s="149" t="str">
        <f>VLOOKUP($B11,'Nomina Unhesa'!$B$4:$AB$209,2,0)</f>
        <v>Empacadora Liquidos</v>
      </c>
      <c r="F11" s="221">
        <f>VLOOKUP($B11,'Nomina Unhesa'!$B$4:$AB$209,4,0)</f>
        <v>30</v>
      </c>
      <c r="G11" s="229">
        <f>VLOOKUP($B11,'Nomina Unhesa'!$B$4:$AB$209,6,0)</f>
        <v>3166.38</v>
      </c>
      <c r="H11" s="229">
        <f>VLOOKUP($B11,'Nomina Unhesa'!$B$4:$AB$209,7,0)</f>
        <v>250</v>
      </c>
      <c r="I11" s="229">
        <f>VLOOKUP($B11,'Nomina Unhesa'!$B$4:$AB$209,9,0)</f>
        <v>2</v>
      </c>
      <c r="J11" s="234">
        <f>VLOOKUP($B11,'Nomina Unhesa'!$B$4:$AB$209,10,0)</f>
        <v>39.58</v>
      </c>
      <c r="K11" s="229">
        <f>VLOOKUP($B11,'Nomina Unhesa'!$B$4:$AB$209,11,0)</f>
        <v>0</v>
      </c>
      <c r="L11" s="229">
        <f>VLOOKUP($B11,'Nomina Unhesa'!$B$4:$AB$209,12,0)</f>
        <v>0</v>
      </c>
      <c r="M11" s="229">
        <f>VLOOKUP($B11,'Nomina Unhesa'!$B$4:$AB$209,14,0)</f>
        <v>0</v>
      </c>
      <c r="N11" s="234">
        <f>VLOOKUP($B11,'Nomina Unhesa'!$B$4:$AB$209,15,0)</f>
        <v>3455.96</v>
      </c>
      <c r="O11" s="234">
        <f>VLOOKUP($B11,'Nomina Unhesa'!$B$4:$AB$209,16,0)</f>
        <v>154.85</v>
      </c>
      <c r="P11" s="234">
        <f>VLOOKUP($B11,'Nomina Unhesa'!$B$4:$AB$209,17,0)</f>
        <v>41.41</v>
      </c>
      <c r="Q11" s="234">
        <f>VLOOKUP($B11,'Nomina Unhesa'!$B$4:$AB$209,18,0)</f>
        <v>0</v>
      </c>
      <c r="R11" s="234">
        <f>VLOOKUP($B11,'Nomina Unhesa'!$B$4:$AB$209,19,0)</f>
        <v>0</v>
      </c>
      <c r="S11" s="234">
        <f>VLOOKUP($B11,'Nomina Unhesa'!$B$4:$AB$209,20,0)</f>
        <v>0</v>
      </c>
      <c r="T11" s="234">
        <f>VLOOKUP($B11,'Nomina Unhesa'!$B$4:$AB$209,21,0)</f>
        <v>0</v>
      </c>
      <c r="U11" s="234">
        <f>VLOOKUP($B11,'Nomina Unhesa'!$B$4:$AB$209,22,0)</f>
        <v>0</v>
      </c>
      <c r="V11" s="234">
        <f>ROUND((VLOOKUP($B11,'Nomina Unhesa'!$B$4:$AB$209,23,0)),2)</f>
        <v>50</v>
      </c>
      <c r="W11" s="234">
        <f>VLOOKUP($B11,'Nomina Unhesa'!$B$4:$AB$209,24,0)</f>
        <v>246.26</v>
      </c>
      <c r="X11" s="234">
        <f>VLOOKUP(B11,'Nomina Unhesa'!$B$9:$Z$163,25,FALSE)</f>
        <v>3209.7</v>
      </c>
      <c r="Y11" s="235">
        <f>ROUND((VLOOKUP(B11,'Nomina Unhesa'!$B$9:$AB$157,26,FALSE)),2)</f>
        <v>1631.72</v>
      </c>
      <c r="Z11" s="219">
        <f>VLOOKUP(B11,'Nomina Unhesa'!$B$9:$AB$158,27,FALSE)</f>
        <v>1577.9799999999998</v>
      </c>
      <c r="AA11" s="441">
        <v>0</v>
      </c>
      <c r="AB11" s="389">
        <f>+IFERROR(VLOOKUP(B11,'Nomina Unhesa'!B30:D173,3,0),"")</f>
        <v>3205.96</v>
      </c>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c r="AQA11" s="3"/>
      <c r="AQB11" s="3"/>
      <c r="AQC11" s="3"/>
      <c r="AQD11" s="3"/>
      <c r="AQE11" s="3"/>
      <c r="AQF11" s="3"/>
      <c r="AQG11" s="3"/>
      <c r="AQH11" s="3"/>
      <c r="AQI11" s="3"/>
      <c r="AQJ11" s="3"/>
      <c r="AQK11" s="3"/>
      <c r="AQL11" s="3"/>
      <c r="AQM11" s="3"/>
      <c r="AQN11" s="3"/>
      <c r="AQO11" s="3"/>
      <c r="AQP11" s="3"/>
      <c r="AQQ11" s="3"/>
      <c r="AQR11" s="3"/>
      <c r="AQS11" s="3"/>
      <c r="AQT11" s="3"/>
      <c r="AQU11" s="3"/>
      <c r="AQV11" s="3"/>
      <c r="AQW11" s="3"/>
      <c r="AQX11" s="3"/>
      <c r="AQY11" s="3"/>
      <c r="AQZ11" s="3"/>
      <c r="ARA11" s="3"/>
      <c r="ARB11" s="3"/>
      <c r="ARC11" s="3"/>
      <c r="ARD11" s="3"/>
      <c r="ARE11" s="3"/>
      <c r="ARF11" s="3"/>
      <c r="ARG11" s="3"/>
      <c r="ARH11" s="3"/>
      <c r="ARI11" s="3"/>
      <c r="ARJ11" s="3"/>
      <c r="ARK11" s="3"/>
      <c r="ARL11" s="3"/>
      <c r="ARM11" s="3"/>
      <c r="ARN11" s="3"/>
      <c r="ARO11" s="3"/>
      <c r="ARP11" s="3"/>
      <c r="ARQ11" s="3"/>
      <c r="ARR11" s="3"/>
      <c r="ARS11" s="3"/>
      <c r="ART11" s="3"/>
      <c r="ARU11" s="3"/>
      <c r="ARV11" s="3"/>
      <c r="ARW11" s="3"/>
      <c r="ARX11" s="3"/>
      <c r="ARY11" s="3"/>
      <c r="ARZ11" s="3"/>
      <c r="ASA11" s="3"/>
      <c r="ASB11" s="3"/>
      <c r="ASC11" s="3"/>
      <c r="ASD11" s="3"/>
      <c r="ASE11" s="3"/>
      <c r="ASF11" s="3"/>
      <c r="ASG11" s="3"/>
      <c r="ASH11" s="3"/>
      <c r="ASI11" s="3"/>
      <c r="ASJ11" s="3"/>
      <c r="ASK11" s="3"/>
      <c r="ASL11" s="3"/>
      <c r="ASM11" s="3"/>
      <c r="ASN11" s="3"/>
      <c r="ASO11" s="3"/>
      <c r="ASP11" s="3"/>
      <c r="ASQ11" s="3"/>
      <c r="ASR11" s="3"/>
      <c r="ASS11" s="3"/>
      <c r="AST11" s="3"/>
      <c r="ASU11" s="3"/>
      <c r="ASV11" s="3"/>
      <c r="ASW11" s="3"/>
      <c r="ASX11" s="3"/>
      <c r="ASY11" s="3"/>
      <c r="ASZ11" s="3"/>
      <c r="ATA11" s="3"/>
      <c r="ATB11" s="3"/>
      <c r="ATC11" s="3"/>
      <c r="ATD11" s="3"/>
      <c r="ATE11" s="3"/>
      <c r="ATF11" s="3"/>
      <c r="ATG11" s="3"/>
      <c r="ATH11" s="3"/>
      <c r="ATI11" s="3"/>
      <c r="ATJ11" s="3"/>
      <c r="ATK11" s="3"/>
      <c r="ATL11" s="3"/>
      <c r="ATM11" s="3"/>
      <c r="ATN11" s="3"/>
      <c r="ATO11" s="3"/>
      <c r="ATP11" s="3"/>
      <c r="ATQ11" s="3"/>
      <c r="ATR11" s="3"/>
      <c r="ATS11" s="3"/>
      <c r="ATT11" s="3"/>
      <c r="ATU11" s="3"/>
      <c r="ATV11" s="3"/>
      <c r="ATW11" s="3"/>
      <c r="ATX11" s="3"/>
      <c r="ATY11" s="3"/>
      <c r="ATZ11" s="3"/>
      <c r="AUA11" s="3"/>
      <c r="AUB11" s="3"/>
      <c r="AUC11" s="3"/>
      <c r="AUD11" s="3"/>
      <c r="AUE11" s="3"/>
      <c r="AUF11" s="3"/>
      <c r="AUG11" s="3"/>
      <c r="AUH11" s="3"/>
      <c r="AUI11" s="3"/>
      <c r="AUJ11" s="3"/>
      <c r="AUK11" s="3"/>
      <c r="AUL11" s="3"/>
      <c r="AUM11" s="3"/>
      <c r="AUN11" s="3"/>
      <c r="AUO11" s="3"/>
      <c r="AUP11" s="3"/>
      <c r="AUQ11" s="3"/>
      <c r="AUR11" s="3"/>
      <c r="AUS11" s="3"/>
      <c r="AUT11" s="3"/>
      <c r="AUU11" s="3"/>
      <c r="AUV11" s="3"/>
      <c r="AUW11" s="3"/>
      <c r="AUX11" s="3"/>
      <c r="AUY11" s="3"/>
      <c r="AUZ11" s="3"/>
      <c r="AVA11" s="3"/>
      <c r="AVB11" s="3"/>
      <c r="AVC11" s="3"/>
      <c r="AVD11" s="3"/>
      <c r="AVE11" s="3"/>
      <c r="AVF11" s="3"/>
      <c r="AVG11" s="3"/>
      <c r="AVH11" s="3"/>
      <c r="AVI11" s="3"/>
      <c r="AVJ11" s="3"/>
      <c r="AVK11" s="3"/>
      <c r="AVL11" s="3"/>
      <c r="AVM11" s="3"/>
      <c r="AVN11" s="3"/>
      <c r="AVO11" s="3"/>
      <c r="AVP11" s="3"/>
      <c r="AVQ11" s="3"/>
      <c r="AVR11" s="3"/>
      <c r="AVS11" s="3"/>
      <c r="AVT11" s="3"/>
      <c r="AVU11" s="3"/>
      <c r="AVV11" s="3"/>
      <c r="AVW11" s="3"/>
      <c r="AVX11" s="3"/>
      <c r="AVY11" s="3"/>
      <c r="AVZ11" s="3"/>
      <c r="AWA11" s="3"/>
      <c r="AWB11" s="3"/>
      <c r="AWC11" s="3"/>
      <c r="AWD11" s="3"/>
      <c r="AWE11" s="3"/>
      <c r="AWF11" s="3"/>
      <c r="AWG11" s="3"/>
      <c r="AWH11" s="3"/>
      <c r="AWI11" s="3"/>
      <c r="AWJ11" s="3"/>
      <c r="AWK11" s="3"/>
      <c r="AWL11" s="3"/>
      <c r="AWM11" s="3"/>
      <c r="AWN11" s="3"/>
      <c r="AWO11" s="3"/>
      <c r="AWP11" s="3"/>
      <c r="AWQ11" s="3"/>
      <c r="AWR11" s="3"/>
      <c r="AWS11" s="3"/>
      <c r="AWT11" s="3"/>
      <c r="AWU11" s="3"/>
      <c r="AWV11" s="3"/>
      <c r="AWW11" s="3"/>
      <c r="AWX11" s="3"/>
      <c r="AWY11" s="3"/>
      <c r="AWZ11" s="3"/>
      <c r="AXA11" s="3"/>
      <c r="AXB11" s="3"/>
      <c r="AXC11" s="3"/>
      <c r="AXD11" s="3"/>
      <c r="AXE11" s="3"/>
      <c r="AXF11" s="3"/>
      <c r="AXG11" s="3"/>
      <c r="AXH11" s="3"/>
      <c r="AXI11" s="3"/>
      <c r="AXJ11" s="3"/>
      <c r="AXK11" s="3"/>
      <c r="AXL11" s="3"/>
      <c r="AXM11" s="3"/>
      <c r="AXN11" s="3"/>
      <c r="AXO11" s="3"/>
      <c r="AXP11" s="3"/>
      <c r="AXQ11" s="3"/>
      <c r="AXR11" s="3"/>
      <c r="AXS11" s="3"/>
      <c r="AXT11" s="3"/>
      <c r="AXU11" s="3"/>
      <c r="AXV11" s="3"/>
      <c r="AXW11" s="3"/>
      <c r="AXX11" s="3"/>
      <c r="AXY11" s="3"/>
      <c r="AXZ11" s="3"/>
      <c r="AYA11" s="3"/>
      <c r="AYB11" s="3"/>
      <c r="AYC11" s="3"/>
      <c r="AYD11" s="3"/>
      <c r="AYE11" s="3"/>
      <c r="AYF11" s="3"/>
      <c r="AYG11" s="3"/>
      <c r="AYH11" s="3"/>
      <c r="AYI11" s="3"/>
      <c r="AYJ11" s="3"/>
      <c r="AYK11" s="3"/>
      <c r="AYL11" s="3"/>
      <c r="AYM11" s="3"/>
      <c r="AYN11" s="3"/>
      <c r="AYO11" s="3"/>
      <c r="AYP11" s="3"/>
      <c r="AYQ11" s="3"/>
      <c r="AYR11" s="3"/>
      <c r="AYS11" s="3"/>
      <c r="AYT11" s="3"/>
      <c r="AYU11" s="3"/>
      <c r="AYV11" s="3"/>
      <c r="AYW11" s="3"/>
      <c r="AYX11" s="3"/>
      <c r="AYY11" s="3"/>
      <c r="AYZ11" s="3"/>
      <c r="AZA11" s="3"/>
      <c r="AZB11" s="3"/>
      <c r="AZC11" s="3"/>
      <c r="AZD11" s="3"/>
      <c r="AZE11" s="3"/>
      <c r="AZF11" s="3"/>
      <c r="AZG11" s="3"/>
      <c r="AZH11" s="3"/>
      <c r="AZI11" s="3"/>
      <c r="AZJ11" s="3"/>
      <c r="AZK11" s="3"/>
      <c r="AZL11" s="3"/>
      <c r="AZM11" s="3"/>
      <c r="AZN11" s="3"/>
      <c r="AZO11" s="3"/>
      <c r="AZP11" s="3"/>
      <c r="AZQ11" s="3"/>
      <c r="AZR11" s="3"/>
      <c r="AZS11" s="3"/>
      <c r="AZT11" s="3"/>
      <c r="AZU11" s="3"/>
      <c r="AZV11" s="3"/>
      <c r="AZW11" s="3"/>
      <c r="AZX11" s="3"/>
      <c r="AZY11" s="3"/>
      <c r="AZZ11" s="3"/>
      <c r="BAA11" s="3"/>
      <c r="BAB11" s="3"/>
      <c r="BAC11" s="3"/>
      <c r="BAD11" s="3"/>
      <c r="BAE11" s="3"/>
      <c r="BAF11" s="3"/>
      <c r="BAG11" s="3"/>
      <c r="BAH11" s="3"/>
      <c r="BAI11" s="3"/>
      <c r="BAJ11" s="3"/>
      <c r="BAK11" s="3"/>
      <c r="BAL11" s="3"/>
      <c r="BAM11" s="3"/>
      <c r="BAN11" s="3"/>
      <c r="BAO11" s="3"/>
      <c r="BAP11" s="3"/>
      <c r="BAQ11" s="3"/>
      <c r="BAR11" s="3"/>
      <c r="BAS11" s="3"/>
      <c r="BAT11" s="3"/>
      <c r="BAU11" s="3"/>
      <c r="BAV11" s="3"/>
      <c r="BAW11" s="3"/>
      <c r="BAX11" s="3"/>
      <c r="BAY11" s="3"/>
      <c r="BAZ11" s="3"/>
      <c r="BBA11" s="3"/>
      <c r="BBB11" s="3"/>
      <c r="BBC11" s="3"/>
      <c r="BBD11" s="3"/>
      <c r="BBE11" s="3"/>
      <c r="BBF11" s="3"/>
      <c r="BBG11" s="3"/>
      <c r="BBH11" s="3"/>
      <c r="BBI11" s="3"/>
      <c r="BBJ11" s="3"/>
      <c r="BBK11" s="3"/>
      <c r="BBL11" s="3"/>
      <c r="BBM11" s="3"/>
      <c r="BBN11" s="3"/>
      <c r="BBO11" s="3"/>
      <c r="BBP11" s="3"/>
      <c r="BBQ11" s="3"/>
      <c r="BBR11" s="3"/>
      <c r="BBS11" s="3"/>
      <c r="BBT11" s="3"/>
      <c r="BBU11" s="3"/>
      <c r="BBV11" s="3"/>
      <c r="BBW11" s="3"/>
      <c r="BBX11" s="3"/>
      <c r="BBY11" s="3"/>
      <c r="BBZ11" s="3"/>
      <c r="BCA11" s="3"/>
      <c r="BCB11" s="3"/>
      <c r="BCC11" s="3"/>
      <c r="BCD11" s="3"/>
      <c r="BCE11" s="3"/>
      <c r="BCF11" s="3"/>
      <c r="BCG11" s="3"/>
      <c r="BCH11" s="3"/>
      <c r="BCI11" s="3"/>
      <c r="BCJ11" s="3"/>
      <c r="BCK11" s="3"/>
      <c r="BCL11" s="3"/>
      <c r="BCM11" s="3"/>
      <c r="BCN11" s="3"/>
      <c r="BCO11" s="3"/>
      <c r="BCP11" s="3"/>
      <c r="BCQ11" s="3"/>
      <c r="BCR11" s="3"/>
      <c r="BCS11" s="3"/>
      <c r="BCT11" s="3"/>
      <c r="BCU11" s="3"/>
      <c r="BCV11" s="3"/>
      <c r="BCW11" s="3"/>
      <c r="BCX11" s="3"/>
      <c r="BCY11" s="3"/>
      <c r="BCZ11" s="3"/>
      <c r="BDA11" s="3"/>
      <c r="BDB11" s="3"/>
      <c r="BDC11" s="3"/>
      <c r="BDD11" s="3"/>
      <c r="BDE11" s="3"/>
      <c r="BDF11" s="3"/>
      <c r="BDG11" s="3"/>
      <c r="BDH11" s="3"/>
      <c r="BDI11" s="3"/>
      <c r="BDJ11" s="3"/>
      <c r="BDK11" s="3"/>
      <c r="BDL11" s="3"/>
      <c r="BDM11" s="3"/>
      <c r="BDN11" s="3"/>
      <c r="BDO11" s="3"/>
      <c r="BDP11" s="3"/>
      <c r="BDQ11" s="3"/>
      <c r="BDR11" s="3"/>
      <c r="BDS11" s="3"/>
      <c r="BDT11" s="3"/>
      <c r="BDU11" s="3"/>
      <c r="BDV11" s="3"/>
      <c r="BDW11" s="3"/>
      <c r="BDX11" s="3"/>
      <c r="BDY11" s="3"/>
      <c r="BDZ11" s="3"/>
      <c r="BEA11" s="3"/>
      <c r="BEB11" s="3"/>
      <c r="BEC11" s="3"/>
      <c r="BED11" s="3"/>
      <c r="BEE11" s="3"/>
      <c r="BEF11" s="3"/>
      <c r="BEG11" s="3"/>
      <c r="BEH11" s="3"/>
      <c r="BEI11" s="3"/>
      <c r="BEJ11" s="3"/>
      <c r="BEK11" s="3"/>
      <c r="BEL11" s="3"/>
      <c r="BEM11" s="3"/>
      <c r="BEN11" s="3"/>
      <c r="BEO11" s="3"/>
      <c r="BEP11" s="3"/>
      <c r="BEQ11" s="3"/>
      <c r="BER11" s="3"/>
      <c r="BES11" s="3"/>
      <c r="BET11" s="3"/>
      <c r="BEU11" s="3"/>
      <c r="BEV11" s="3"/>
      <c r="BEW11" s="3"/>
      <c r="BEX11" s="3"/>
      <c r="BEY11" s="3"/>
      <c r="BEZ11" s="3"/>
      <c r="BFA11" s="3"/>
      <c r="BFB11" s="3"/>
      <c r="BFC11" s="3"/>
      <c r="BFD11" s="3"/>
      <c r="BFE11" s="3"/>
      <c r="BFF11" s="3"/>
      <c r="BFG11" s="3"/>
      <c r="BFH11" s="3"/>
      <c r="BFI11" s="3"/>
      <c r="BFJ11" s="3"/>
      <c r="BFK11" s="3"/>
      <c r="BFL11" s="3"/>
      <c r="BFM11" s="3"/>
      <c r="BFN11" s="3"/>
      <c r="BFO11" s="3"/>
      <c r="BFP11" s="3"/>
      <c r="BFQ11" s="3"/>
      <c r="BFR11" s="3"/>
      <c r="BFS11" s="3"/>
      <c r="BFT11" s="3"/>
      <c r="BFU11" s="3"/>
      <c r="BFV11" s="3"/>
      <c r="BFW11" s="3"/>
      <c r="BFX11" s="3"/>
      <c r="BFY11" s="3"/>
      <c r="BFZ11" s="3"/>
      <c r="BGA11" s="3"/>
      <c r="BGB11" s="3"/>
      <c r="BGC11" s="3"/>
      <c r="BGD11" s="3"/>
      <c r="BGE11" s="3"/>
      <c r="BGF11" s="3"/>
      <c r="BGG11" s="3"/>
      <c r="BGH11" s="3"/>
      <c r="BGI11" s="3"/>
      <c r="BGJ11" s="3"/>
      <c r="BGK11" s="3"/>
      <c r="BGL11" s="3"/>
      <c r="BGM11" s="3"/>
      <c r="BGN11" s="3"/>
      <c r="BGO11" s="3"/>
      <c r="BGP11" s="3"/>
      <c r="BGQ11" s="3"/>
      <c r="BGR11" s="3"/>
      <c r="BGS11" s="3"/>
      <c r="BGT11" s="3"/>
      <c r="BGU11" s="3"/>
      <c r="BGV11" s="3"/>
      <c r="BGW11" s="3"/>
      <c r="BGX11" s="3"/>
      <c r="BGY11" s="3"/>
      <c r="BGZ11" s="3"/>
      <c r="BHA11" s="3"/>
      <c r="BHB11" s="3"/>
      <c r="BHC11" s="3"/>
      <c r="BHD11" s="3"/>
      <c r="BHE11" s="3"/>
      <c r="BHF11" s="3"/>
      <c r="BHG11" s="3"/>
      <c r="BHH11" s="3"/>
      <c r="BHI11" s="3"/>
      <c r="BHJ11" s="3"/>
      <c r="BHK11" s="3"/>
      <c r="BHL11" s="3"/>
      <c r="BHM11" s="3"/>
      <c r="BHN11" s="3"/>
      <c r="BHO11" s="3"/>
      <c r="BHP11" s="3"/>
      <c r="BHQ11" s="3"/>
      <c r="BHR11" s="3"/>
      <c r="BHS11" s="3"/>
      <c r="BHT11" s="3"/>
      <c r="BHU11" s="3"/>
      <c r="BHV11" s="3"/>
      <c r="BHW11" s="3"/>
      <c r="BHX11" s="3"/>
      <c r="BHY11" s="3"/>
      <c r="BHZ11" s="3"/>
      <c r="BIA11" s="3"/>
      <c r="BIB11" s="3"/>
      <c r="BIC11" s="3"/>
      <c r="BID11" s="3"/>
      <c r="BIE11" s="3"/>
      <c r="BIF11" s="3"/>
      <c r="BIG11" s="3"/>
      <c r="BIH11" s="3"/>
      <c r="BII11" s="3"/>
      <c r="BIJ11" s="3"/>
      <c r="BIK11" s="3"/>
      <c r="BIL11" s="3"/>
      <c r="BIM11" s="3"/>
      <c r="BIN11" s="3"/>
      <c r="BIO11" s="3"/>
      <c r="BIP11" s="3"/>
      <c r="BIQ11" s="3"/>
      <c r="BIR11" s="3"/>
      <c r="BIS11" s="3"/>
      <c r="BIT11" s="3"/>
      <c r="BIU11" s="3"/>
      <c r="BIV11" s="3"/>
      <c r="BIW11" s="3"/>
      <c r="BIX11" s="3"/>
      <c r="BIY11" s="3"/>
      <c r="BIZ11" s="3"/>
      <c r="BJA11" s="3"/>
      <c r="BJB11" s="3"/>
      <c r="BJC11" s="3"/>
      <c r="BJD11" s="3"/>
      <c r="BJE11" s="3"/>
      <c r="BJF11" s="3"/>
      <c r="BJG11" s="3"/>
      <c r="BJH11" s="3"/>
      <c r="BJI11" s="3"/>
      <c r="BJJ11" s="3"/>
      <c r="BJK11" s="3"/>
      <c r="BJL11" s="3"/>
      <c r="BJM11" s="3"/>
      <c r="BJN11" s="3"/>
      <c r="BJO11" s="3"/>
      <c r="BJP11" s="3"/>
      <c r="BJQ11" s="3"/>
      <c r="BJR11" s="3"/>
      <c r="BJS11" s="3"/>
      <c r="BJT11" s="3"/>
      <c r="BJU11" s="3"/>
      <c r="BJV11" s="3"/>
      <c r="BJW11" s="3"/>
      <c r="BJX11" s="3"/>
      <c r="BJY11" s="3"/>
      <c r="BJZ11" s="3"/>
      <c r="BKA11" s="3"/>
      <c r="BKB11" s="3"/>
      <c r="BKC11" s="3"/>
      <c r="BKD11" s="3"/>
      <c r="BKE11" s="3"/>
      <c r="BKF11" s="3"/>
      <c r="BKG11" s="3"/>
      <c r="BKH11" s="3"/>
      <c r="BKI11" s="3"/>
      <c r="BKJ11" s="3"/>
      <c r="BKK11" s="3"/>
      <c r="BKL11" s="3"/>
      <c r="BKM11" s="3"/>
      <c r="BKN11" s="3"/>
      <c r="BKO11" s="3"/>
      <c r="BKP11" s="3"/>
      <c r="BKQ11" s="3"/>
      <c r="BKR11" s="3"/>
      <c r="BKS11" s="3"/>
      <c r="BKT11" s="3"/>
      <c r="BKU11" s="3"/>
      <c r="BKV11" s="3"/>
      <c r="BKW11" s="3"/>
      <c r="BKX11" s="3"/>
      <c r="BKY11" s="3"/>
      <c r="BKZ11" s="3"/>
      <c r="BLA11" s="3"/>
      <c r="BLB11" s="3"/>
      <c r="BLC11" s="3"/>
      <c r="BLD11" s="3"/>
      <c r="BLE11" s="3"/>
      <c r="BLF11" s="3"/>
      <c r="BLG11" s="3"/>
      <c r="BLH11" s="3"/>
      <c r="BLI11" s="3"/>
      <c r="BLJ11" s="3"/>
      <c r="BLK11" s="3"/>
      <c r="BLL11" s="3"/>
      <c r="BLM11" s="3"/>
      <c r="BLN11" s="3"/>
      <c r="BLO11" s="3"/>
      <c r="BLP11" s="3"/>
      <c r="BLQ11" s="3"/>
      <c r="BLR11" s="3"/>
      <c r="BLS11" s="3"/>
      <c r="BLT11" s="3"/>
      <c r="BLU11" s="3"/>
      <c r="BLV11" s="3"/>
      <c r="BLW11" s="3"/>
      <c r="BLX11" s="3"/>
      <c r="BLY11" s="3"/>
      <c r="BLZ11" s="3"/>
      <c r="BMA11" s="3"/>
      <c r="BMB11" s="3"/>
      <c r="BMC11" s="3"/>
      <c r="BMD11" s="3"/>
      <c r="BME11" s="3"/>
      <c r="BMF11" s="3"/>
      <c r="BMG11" s="3"/>
      <c r="BMH11" s="3"/>
      <c r="BMI11" s="3"/>
      <c r="BMJ11" s="3"/>
      <c r="BMK11" s="3"/>
      <c r="BML11" s="3"/>
      <c r="BMM11" s="3"/>
      <c r="BMN11" s="3"/>
      <c r="BMO11" s="3"/>
      <c r="BMP11" s="3"/>
      <c r="BMQ11" s="3"/>
      <c r="BMR11" s="3"/>
      <c r="BMS11" s="3"/>
      <c r="BMT11" s="3"/>
      <c r="BMU11" s="3"/>
      <c r="BMV11" s="3"/>
      <c r="BMW11" s="3"/>
      <c r="BMX11" s="3"/>
      <c r="BMY11" s="3"/>
      <c r="BMZ11" s="3"/>
      <c r="BNA11" s="3"/>
      <c r="BNB11" s="3"/>
      <c r="BNC11" s="3"/>
      <c r="BND11" s="3"/>
      <c r="BNE11" s="3"/>
      <c r="BNF11" s="3"/>
      <c r="BNG11" s="3"/>
      <c r="BNH11" s="3"/>
      <c r="BNI11" s="3"/>
      <c r="BNJ11" s="3"/>
      <c r="BNK11" s="3"/>
      <c r="BNL11" s="3"/>
      <c r="BNM11" s="3"/>
      <c r="BNN11" s="3"/>
      <c r="BNO11" s="3"/>
      <c r="BNP11" s="3"/>
      <c r="BNQ11" s="3"/>
      <c r="BNR11" s="3"/>
      <c r="BNS11" s="3"/>
      <c r="BNT11" s="3"/>
      <c r="BNU11" s="3"/>
      <c r="BNV11" s="3"/>
      <c r="BNW11" s="3"/>
      <c r="BNX11" s="3"/>
      <c r="BNY11" s="3"/>
      <c r="BNZ11" s="3"/>
      <c r="BOA11" s="3"/>
      <c r="BOB11" s="3"/>
      <c r="BOC11" s="3"/>
      <c r="BOD11" s="3"/>
      <c r="BOE11" s="3"/>
      <c r="BOF11" s="3"/>
      <c r="BOG11" s="3"/>
      <c r="BOH11" s="3"/>
      <c r="BOI11" s="3"/>
      <c r="BOJ11" s="3"/>
      <c r="BOK11" s="3"/>
      <c r="BOL11" s="3"/>
      <c r="BOM11" s="3"/>
      <c r="BON11" s="3"/>
      <c r="BOO11" s="3"/>
      <c r="BOP11" s="3"/>
      <c r="BOQ11" s="3"/>
      <c r="BOR11" s="3"/>
      <c r="BOS11" s="3"/>
      <c r="BOT11" s="3"/>
      <c r="BOU11" s="3"/>
      <c r="BOV11" s="3"/>
      <c r="BOW11" s="3"/>
      <c r="BOX11" s="3"/>
      <c r="BOY11" s="3"/>
      <c r="BOZ11" s="3"/>
      <c r="BPA11" s="3"/>
      <c r="BPB11" s="3"/>
      <c r="BPC11" s="3"/>
      <c r="BPD11" s="3"/>
      <c r="BPE11" s="3"/>
      <c r="BPF11" s="3"/>
      <c r="BPG11" s="3"/>
      <c r="BPH11" s="3"/>
      <c r="BPI11" s="3"/>
      <c r="BPJ11" s="3"/>
      <c r="BPK11" s="3"/>
      <c r="BPL11" s="3"/>
      <c r="BPM11" s="3"/>
      <c r="BPN11" s="3"/>
      <c r="BPO11" s="3"/>
      <c r="BPP11" s="3"/>
      <c r="BPQ11" s="3"/>
      <c r="BPR11" s="3"/>
      <c r="BPS11" s="3"/>
      <c r="BPT11" s="3"/>
      <c r="BPU11" s="3"/>
      <c r="BPV11" s="3"/>
      <c r="BPW11" s="3"/>
      <c r="BPX11" s="3"/>
      <c r="BPY11" s="3"/>
      <c r="BPZ11" s="3"/>
      <c r="BQA11" s="3"/>
      <c r="BQB11" s="3"/>
      <c r="BQC11" s="3"/>
      <c r="BQD11" s="3"/>
      <c r="BQE11" s="3"/>
      <c r="BQF11" s="3"/>
      <c r="BQG11" s="3"/>
      <c r="BQH11" s="3"/>
      <c r="BQI11" s="3"/>
      <c r="BQJ11" s="3"/>
      <c r="BQK11" s="3"/>
      <c r="BQL11" s="3"/>
      <c r="BQM11" s="3"/>
      <c r="BQN11" s="3"/>
      <c r="BQO11" s="3"/>
      <c r="BQP11" s="3"/>
      <c r="BQQ11" s="3"/>
      <c r="BQR11" s="3"/>
      <c r="BQS11" s="3"/>
      <c r="BQT11" s="3"/>
      <c r="BQU11" s="3"/>
      <c r="BQV11" s="3"/>
      <c r="BQW11" s="3"/>
      <c r="BQX11" s="3"/>
      <c r="BQY11" s="3"/>
      <c r="BQZ11" s="3"/>
      <c r="BRA11" s="3"/>
      <c r="BRB11" s="3"/>
      <c r="BRC11" s="3"/>
      <c r="BRD11" s="3"/>
      <c r="BRE11" s="3"/>
      <c r="BRF11" s="3"/>
      <c r="BRG11" s="3"/>
      <c r="BRH11" s="3"/>
      <c r="BRI11" s="3"/>
      <c r="BRJ11" s="3"/>
      <c r="BRK11" s="3"/>
      <c r="BRL11" s="3"/>
      <c r="BRM11" s="3"/>
      <c r="BRN11" s="3"/>
      <c r="BRO11" s="3"/>
      <c r="BRP11" s="3"/>
      <c r="BRQ11" s="3"/>
      <c r="BRR11" s="3"/>
      <c r="BRS11" s="3"/>
      <c r="BRT11" s="3"/>
      <c r="BRU11" s="3"/>
      <c r="BRV11" s="3"/>
      <c r="BRW11" s="3"/>
      <c r="BRX11" s="3"/>
      <c r="BRY11" s="3"/>
      <c r="BRZ11" s="3"/>
      <c r="BSA11" s="3"/>
      <c r="BSB11" s="3"/>
      <c r="BSC11" s="3"/>
      <c r="BSD11" s="3"/>
      <c r="BSE11" s="3"/>
      <c r="BSF11" s="3"/>
      <c r="BSG11" s="3"/>
      <c r="BSH11" s="3"/>
      <c r="BSI11" s="3"/>
      <c r="BSJ11" s="3"/>
      <c r="BSK11" s="3"/>
      <c r="BSL11" s="3"/>
      <c r="BSM11" s="3"/>
      <c r="BSN11" s="3"/>
      <c r="BSO11" s="3"/>
      <c r="BSP11" s="3"/>
      <c r="BSQ11" s="3"/>
      <c r="BSR11" s="3"/>
      <c r="BSS11" s="3"/>
      <c r="BST11" s="3"/>
      <c r="BSU11" s="3"/>
      <c r="BSV11" s="3"/>
      <c r="BSW11" s="3"/>
      <c r="BSX11" s="3"/>
      <c r="BSY11" s="3"/>
      <c r="BSZ11" s="3"/>
      <c r="BTA11" s="3"/>
      <c r="BTB11" s="3"/>
      <c r="BTC11" s="3"/>
      <c r="BTD11" s="3"/>
      <c r="BTE11" s="3"/>
      <c r="BTF11" s="3"/>
      <c r="BTG11" s="3"/>
      <c r="BTH11" s="3"/>
      <c r="BTI11" s="3"/>
      <c r="BTJ11" s="3"/>
      <c r="BTK11" s="3"/>
      <c r="BTL11" s="3"/>
      <c r="BTM11" s="3"/>
      <c r="BTN11" s="3"/>
      <c r="BTO11" s="3"/>
      <c r="BTP11" s="3"/>
      <c r="BTQ11" s="3"/>
      <c r="BTR11" s="3"/>
      <c r="BTS11" s="3"/>
      <c r="BTT11" s="3"/>
      <c r="BTU11" s="3"/>
      <c r="BTV11" s="3"/>
      <c r="BTW11" s="3"/>
      <c r="BTX11" s="3"/>
      <c r="BTY11" s="3"/>
      <c r="BTZ11" s="3"/>
      <c r="BUA11" s="3"/>
      <c r="BUB11" s="3"/>
      <c r="BUC11" s="3"/>
      <c r="BUD11" s="3"/>
      <c r="BUE11" s="3"/>
      <c r="BUF11" s="3"/>
      <c r="BUG11" s="3"/>
      <c r="BUH11" s="3"/>
      <c r="BUI11" s="3"/>
      <c r="BUJ11" s="3"/>
      <c r="BUK11" s="3"/>
      <c r="BUL11" s="3"/>
      <c r="BUM11" s="3"/>
      <c r="BUN11" s="3"/>
      <c r="BUO11" s="3"/>
      <c r="BUP11" s="3"/>
      <c r="BUQ11" s="3"/>
      <c r="BUR11" s="3"/>
      <c r="BUS11" s="3"/>
      <c r="BUT11" s="3"/>
      <c r="BUU11" s="3"/>
      <c r="BUV11" s="3"/>
      <c r="BUW11" s="3"/>
      <c r="BUX11" s="3"/>
      <c r="BUY11" s="3"/>
      <c r="BUZ11" s="3"/>
      <c r="BVA11" s="3"/>
      <c r="BVB11" s="3"/>
      <c r="BVC11" s="3"/>
      <c r="BVD11" s="3"/>
      <c r="BVE11" s="3"/>
      <c r="BVF11" s="3"/>
      <c r="BVG11" s="3"/>
      <c r="BVH11" s="3"/>
      <c r="BVI11" s="3"/>
      <c r="BVJ11" s="3"/>
      <c r="BVK11" s="3"/>
      <c r="BVL11" s="3"/>
      <c r="BVM11" s="3"/>
      <c r="BVN11" s="3"/>
      <c r="BVO11" s="3"/>
      <c r="BVP11" s="3"/>
      <c r="BVQ11" s="3"/>
      <c r="BVR11" s="3"/>
      <c r="BVS11" s="3"/>
      <c r="BVT11" s="3"/>
      <c r="BVU11" s="3"/>
      <c r="BVV11" s="3"/>
      <c r="BVW11" s="3"/>
      <c r="BVX11" s="3"/>
      <c r="BVY11" s="3"/>
      <c r="BVZ11" s="3"/>
      <c r="BWA11" s="3"/>
      <c r="BWB11" s="3"/>
      <c r="BWC11" s="3"/>
      <c r="BWD11" s="3"/>
      <c r="BWE11" s="3"/>
      <c r="BWF11" s="3"/>
      <c r="BWG11" s="3"/>
      <c r="BWH11" s="3"/>
      <c r="BWI11" s="3"/>
      <c r="BWJ11" s="3"/>
      <c r="BWK11" s="3"/>
      <c r="BWL11" s="3"/>
      <c r="BWM11" s="3"/>
      <c r="BWN11" s="3"/>
      <c r="BWO11" s="3"/>
      <c r="BWP11" s="3"/>
      <c r="BWQ11" s="3"/>
      <c r="BWR11" s="3"/>
      <c r="BWS11" s="3"/>
      <c r="BWT11" s="3"/>
      <c r="BWU11" s="3"/>
      <c r="BWV11" s="3"/>
      <c r="BWW11" s="3"/>
      <c r="BWX11" s="3"/>
      <c r="BWY11" s="3"/>
      <c r="BWZ11" s="3"/>
      <c r="BXA11" s="3"/>
      <c r="BXB11" s="3"/>
      <c r="BXC11" s="3"/>
      <c r="BXD11" s="3"/>
      <c r="BXE11" s="3"/>
      <c r="BXF11" s="3"/>
      <c r="BXG11" s="3"/>
      <c r="BXH11" s="3"/>
      <c r="BXI11" s="3"/>
      <c r="BXJ11" s="3"/>
      <c r="BXK11" s="3"/>
      <c r="BXL11" s="3"/>
      <c r="BXM11" s="3"/>
      <c r="BXN11" s="3"/>
      <c r="BXO11" s="3"/>
      <c r="BXP11" s="3"/>
      <c r="BXQ11" s="3"/>
      <c r="BXR11" s="3"/>
      <c r="BXS11" s="3"/>
      <c r="BXT11" s="3"/>
      <c r="BXU11" s="3"/>
      <c r="BXV11" s="3"/>
      <c r="BXW11" s="3"/>
      <c r="BXX11" s="3"/>
      <c r="BXY11" s="3"/>
      <c r="BXZ11" s="3"/>
      <c r="BYA11" s="3"/>
      <c r="BYB11" s="3"/>
      <c r="BYC11" s="3"/>
      <c r="BYD11" s="3"/>
      <c r="BYE11" s="3"/>
      <c r="BYF11" s="3"/>
      <c r="BYG11" s="3"/>
      <c r="BYH11" s="3"/>
      <c r="BYI11" s="3"/>
      <c r="BYJ11" s="3"/>
      <c r="BYK11" s="3"/>
      <c r="BYL11" s="3"/>
      <c r="BYM11" s="3"/>
      <c r="BYN11" s="3"/>
      <c r="BYO11" s="3"/>
      <c r="BYP11" s="3"/>
      <c r="BYQ11" s="3"/>
      <c r="BYR11" s="3"/>
      <c r="BYS11" s="3"/>
      <c r="BYT11" s="3"/>
      <c r="BYU11" s="3"/>
      <c r="BYV11" s="3"/>
      <c r="BYW11" s="3"/>
      <c r="BYX11" s="3"/>
      <c r="BYY11" s="3"/>
      <c r="BYZ11" s="3"/>
      <c r="BZA11" s="3"/>
      <c r="BZB11" s="3"/>
      <c r="BZC11" s="3"/>
      <c r="BZD11" s="3"/>
      <c r="BZE11" s="3"/>
      <c r="BZF11" s="3"/>
      <c r="BZG11" s="3"/>
      <c r="BZH11" s="3"/>
      <c r="BZI11" s="3"/>
      <c r="BZJ11" s="3"/>
      <c r="BZK11" s="3"/>
      <c r="BZL11" s="3"/>
      <c r="BZM11" s="3"/>
      <c r="BZN11" s="3"/>
      <c r="BZO11" s="3"/>
      <c r="BZP11" s="3"/>
      <c r="BZQ11" s="3"/>
      <c r="BZR11" s="3"/>
      <c r="BZS11" s="3"/>
      <c r="BZT11" s="3"/>
      <c r="BZU11" s="3"/>
      <c r="BZV11" s="3"/>
      <c r="BZW11" s="3"/>
      <c r="BZX11" s="3"/>
      <c r="BZY11" s="3"/>
      <c r="BZZ11" s="3"/>
      <c r="CAA11" s="3"/>
      <c r="CAB11" s="3"/>
      <c r="CAC11" s="3"/>
      <c r="CAD11" s="3"/>
      <c r="CAE11" s="3"/>
      <c r="CAF11" s="3"/>
      <c r="CAG11" s="3"/>
      <c r="CAH11" s="3"/>
      <c r="CAI11" s="3"/>
      <c r="CAJ11" s="3"/>
      <c r="CAK11" s="3"/>
      <c r="CAL11" s="3"/>
      <c r="CAM11" s="3"/>
      <c r="CAN11" s="3"/>
      <c r="CAO11" s="3"/>
      <c r="CAP11" s="3"/>
      <c r="CAQ11" s="3"/>
      <c r="CAR11" s="3"/>
      <c r="CAS11" s="3"/>
      <c r="CAT11" s="3"/>
      <c r="CAU11" s="3"/>
      <c r="CAV11" s="3"/>
      <c r="CAW11" s="3"/>
      <c r="CAX11" s="3"/>
      <c r="CAY11" s="3"/>
      <c r="CAZ11" s="3"/>
      <c r="CBA11" s="3"/>
      <c r="CBB11" s="3"/>
      <c r="CBC11" s="3"/>
      <c r="CBD11" s="3"/>
      <c r="CBE11" s="3"/>
      <c r="CBF11" s="3"/>
      <c r="CBG11" s="3"/>
      <c r="CBH11" s="3"/>
      <c r="CBI11" s="3"/>
      <c r="CBJ11" s="3"/>
      <c r="CBK11" s="3"/>
      <c r="CBL11" s="3"/>
      <c r="CBM11" s="3"/>
      <c r="CBN11" s="3"/>
      <c r="CBO11" s="3"/>
      <c r="CBP11" s="3"/>
      <c r="CBQ11" s="3"/>
      <c r="CBR11" s="3"/>
      <c r="CBS11" s="3"/>
      <c r="CBT11" s="3"/>
      <c r="CBU11" s="3"/>
      <c r="CBV11" s="3"/>
      <c r="CBW11" s="3"/>
      <c r="CBX11" s="3"/>
      <c r="CBY11" s="3"/>
      <c r="CBZ11" s="3"/>
      <c r="CCA11" s="3"/>
      <c r="CCB11" s="3"/>
      <c r="CCC11" s="3"/>
      <c r="CCD11" s="3"/>
      <c r="CCE11" s="3"/>
      <c r="CCF11" s="3"/>
      <c r="CCG11" s="3"/>
      <c r="CCH11" s="3"/>
      <c r="CCI11" s="3"/>
      <c r="CCJ11" s="3"/>
      <c r="CCK11" s="3"/>
      <c r="CCL11" s="3"/>
      <c r="CCM11" s="3"/>
      <c r="CCN11" s="3"/>
      <c r="CCO11" s="3"/>
      <c r="CCP11" s="3"/>
      <c r="CCQ11" s="3"/>
      <c r="CCR11" s="3"/>
      <c r="CCS11" s="3"/>
      <c r="CCT11" s="3"/>
      <c r="CCU11" s="3"/>
      <c r="CCV11" s="3"/>
      <c r="CCW11" s="3"/>
      <c r="CCX11" s="3"/>
      <c r="CCY11" s="3"/>
      <c r="CCZ11" s="3"/>
      <c r="CDA11" s="3"/>
      <c r="CDB11" s="3"/>
      <c r="CDC11" s="3"/>
      <c r="CDD11" s="3"/>
      <c r="CDE11" s="3"/>
      <c r="CDF11" s="3"/>
      <c r="CDG11" s="3"/>
      <c r="CDH11" s="3"/>
      <c r="CDI11" s="3"/>
      <c r="CDJ11" s="3"/>
      <c r="CDK11" s="3"/>
      <c r="CDL11" s="3"/>
      <c r="CDM11" s="3"/>
      <c r="CDN11" s="3"/>
      <c r="CDO11" s="3"/>
      <c r="CDP11" s="3"/>
      <c r="CDQ11" s="3"/>
      <c r="CDR11" s="3"/>
      <c r="CDS11" s="3"/>
      <c r="CDT11" s="3"/>
      <c r="CDU11" s="3"/>
      <c r="CDV11" s="3"/>
      <c r="CDW11" s="3"/>
      <c r="CDX11" s="3"/>
      <c r="CDY11" s="3"/>
      <c r="CDZ11" s="3"/>
      <c r="CEA11" s="3"/>
      <c r="CEB11" s="3"/>
      <c r="CEC11" s="3"/>
      <c r="CED11" s="3"/>
      <c r="CEE11" s="3"/>
      <c r="CEF11" s="3"/>
      <c r="CEG11" s="3"/>
      <c r="CEH11" s="3"/>
      <c r="CEI11" s="3"/>
      <c r="CEJ11" s="3"/>
      <c r="CEK11" s="3"/>
      <c r="CEL11" s="3"/>
      <c r="CEM11" s="3"/>
      <c r="CEN11" s="3"/>
      <c r="CEO11" s="3"/>
      <c r="CEP11" s="3"/>
      <c r="CEQ11" s="3"/>
      <c r="CER11" s="3"/>
      <c r="CES11" s="3"/>
      <c r="CET11" s="3"/>
      <c r="CEU11" s="3"/>
      <c r="CEV11" s="3"/>
      <c r="CEW11" s="3"/>
      <c r="CEX11" s="3"/>
      <c r="CEY11" s="3"/>
      <c r="CEZ11" s="3"/>
      <c r="CFA11" s="3"/>
      <c r="CFB11" s="3"/>
      <c r="CFC11" s="3"/>
      <c r="CFD11" s="3"/>
      <c r="CFE11" s="3"/>
      <c r="CFF11" s="3"/>
      <c r="CFG11" s="3"/>
      <c r="CFH11" s="3"/>
      <c r="CFI11" s="3"/>
      <c r="CFJ11" s="3"/>
      <c r="CFK11" s="3"/>
      <c r="CFL11" s="3"/>
      <c r="CFM11" s="3"/>
      <c r="CFN11" s="3"/>
      <c r="CFO11" s="3"/>
      <c r="CFP11" s="3"/>
      <c r="CFQ11" s="3"/>
      <c r="CFR11" s="3"/>
      <c r="CFS11" s="3"/>
      <c r="CFT11" s="3"/>
      <c r="CFU11" s="3"/>
      <c r="CFV11" s="3"/>
      <c r="CFW11" s="3"/>
      <c r="CFX11" s="3"/>
      <c r="CFY11" s="3"/>
      <c r="CFZ11" s="3"/>
      <c r="CGA11" s="3"/>
      <c r="CGB11" s="3"/>
      <c r="CGC11" s="3"/>
      <c r="CGD11" s="3"/>
      <c r="CGE11" s="3"/>
      <c r="CGF11" s="3"/>
      <c r="CGG11" s="3"/>
      <c r="CGH11" s="3"/>
      <c r="CGI11" s="3"/>
      <c r="CGJ11" s="3"/>
      <c r="CGK11" s="3"/>
      <c r="CGL11" s="3"/>
      <c r="CGM11" s="3"/>
      <c r="CGN11" s="3"/>
      <c r="CGO11" s="3"/>
      <c r="CGP11" s="3"/>
      <c r="CGQ11" s="3"/>
      <c r="CGR11" s="3"/>
      <c r="CGS11" s="3"/>
      <c r="CGT11" s="3"/>
      <c r="CGU11" s="3"/>
      <c r="CGV11" s="3"/>
      <c r="CGW11" s="3"/>
      <c r="CGX11" s="3"/>
      <c r="CGY11" s="3"/>
      <c r="CGZ11" s="3"/>
      <c r="CHA11" s="3"/>
      <c r="CHB11" s="3"/>
      <c r="CHC11" s="3"/>
      <c r="CHD11" s="3"/>
      <c r="CHE11" s="3"/>
      <c r="CHF11" s="3"/>
      <c r="CHG11" s="3"/>
      <c r="CHH11" s="3"/>
      <c r="CHI11" s="3"/>
      <c r="CHJ11" s="3"/>
      <c r="CHK11" s="3"/>
      <c r="CHL11" s="3"/>
      <c r="CHM11" s="3"/>
      <c r="CHN11" s="3"/>
      <c r="CHO11" s="3"/>
      <c r="CHP11" s="3"/>
      <c r="CHQ11" s="3"/>
      <c r="CHR11" s="3"/>
      <c r="CHS11" s="3"/>
      <c r="CHT11" s="3"/>
      <c r="CHU11" s="3"/>
      <c r="CHV11" s="3"/>
      <c r="CHW11" s="3"/>
      <c r="CHX11" s="3"/>
      <c r="CHY11" s="3"/>
      <c r="CHZ11" s="3"/>
      <c r="CIA11" s="3"/>
      <c r="CIB11" s="3"/>
      <c r="CIC11" s="3"/>
      <c r="CID11" s="3"/>
      <c r="CIE11" s="3"/>
      <c r="CIF11" s="3"/>
      <c r="CIG11" s="3"/>
      <c r="CIH11" s="3"/>
      <c r="CII11" s="3"/>
      <c r="CIJ11" s="3"/>
      <c r="CIK11" s="3"/>
      <c r="CIL11" s="3"/>
      <c r="CIM11" s="3"/>
      <c r="CIN11" s="3"/>
      <c r="CIO11" s="3"/>
      <c r="CIP11" s="3"/>
      <c r="CIQ11" s="3"/>
      <c r="CIR11" s="3"/>
      <c r="CIS11" s="3"/>
      <c r="CIT11" s="3"/>
      <c r="CIU11" s="3"/>
      <c r="CIV11" s="3"/>
      <c r="CIW11" s="3"/>
      <c r="CIX11" s="3"/>
      <c r="CIY11" s="3"/>
      <c r="CIZ11" s="3"/>
      <c r="CJA11" s="3"/>
      <c r="CJB11" s="3"/>
      <c r="CJC11" s="3"/>
      <c r="CJD11" s="3"/>
      <c r="CJE11" s="3"/>
      <c r="CJF11" s="3"/>
      <c r="CJG11" s="3"/>
      <c r="CJH11" s="3"/>
      <c r="CJI11" s="3"/>
      <c r="CJJ11" s="3"/>
      <c r="CJK11" s="3"/>
      <c r="CJL11" s="3"/>
      <c r="CJM11" s="3"/>
      <c r="CJN11" s="3"/>
      <c r="CJO11" s="3"/>
      <c r="CJP11" s="3"/>
      <c r="CJQ11" s="3"/>
      <c r="CJR11" s="3"/>
      <c r="CJS11" s="3"/>
      <c r="CJT11" s="3"/>
      <c r="CJU11" s="3"/>
      <c r="CJV11" s="3"/>
      <c r="CJW11" s="3"/>
      <c r="CJX11" s="3"/>
      <c r="CJY11" s="3"/>
      <c r="CJZ11" s="3"/>
      <c r="CKA11" s="3"/>
      <c r="CKB11" s="3"/>
      <c r="CKC11" s="3"/>
      <c r="CKD11" s="3"/>
      <c r="CKE11" s="3"/>
      <c r="CKF11" s="3"/>
      <c r="CKG11" s="3"/>
      <c r="CKH11" s="3"/>
      <c r="CKI11" s="3"/>
      <c r="CKJ11" s="3"/>
      <c r="CKK11" s="3"/>
      <c r="CKL11" s="3"/>
      <c r="CKM11" s="3"/>
      <c r="CKN11" s="3"/>
      <c r="CKO11" s="3"/>
      <c r="CKP11" s="3"/>
      <c r="CKQ11" s="3"/>
      <c r="CKR11" s="3"/>
      <c r="CKS11" s="3"/>
      <c r="CKT11" s="3"/>
      <c r="CKU11" s="3"/>
      <c r="CKV11" s="3"/>
      <c r="CKW11" s="3"/>
      <c r="CKX11" s="3"/>
      <c r="CKY11" s="3"/>
      <c r="CKZ11" s="3"/>
      <c r="CLA11" s="3"/>
      <c r="CLB11" s="3"/>
      <c r="CLC11" s="3"/>
      <c r="CLD11" s="3"/>
      <c r="CLE11" s="3"/>
      <c r="CLF11" s="3"/>
      <c r="CLG11" s="3"/>
      <c r="CLH11" s="3"/>
      <c r="CLI11" s="3"/>
      <c r="CLJ11" s="3"/>
      <c r="CLK11" s="3"/>
      <c r="CLL11" s="3"/>
      <c r="CLM11" s="3"/>
      <c r="CLN11" s="3"/>
      <c r="CLO11" s="3"/>
      <c r="CLP11" s="3"/>
      <c r="CLQ11" s="3"/>
      <c r="CLR11" s="3"/>
      <c r="CLS11" s="3"/>
      <c r="CLT11" s="3"/>
      <c r="CLU11" s="3"/>
      <c r="CLV11" s="3"/>
      <c r="CLW11" s="3"/>
      <c r="CLX11" s="3"/>
      <c r="CLY11" s="3"/>
      <c r="CLZ11" s="3"/>
      <c r="CMA11" s="3"/>
      <c r="CMB11" s="3"/>
      <c r="CMC11" s="3"/>
      <c r="CMD11" s="3"/>
      <c r="CME11" s="3"/>
      <c r="CMF11" s="3"/>
      <c r="CMG11" s="3"/>
      <c r="CMH11" s="3"/>
      <c r="CMI11" s="3"/>
      <c r="CMJ11" s="3"/>
      <c r="CMK11" s="3"/>
      <c r="CML11" s="3"/>
      <c r="CMM11" s="3"/>
      <c r="CMN11" s="3"/>
      <c r="CMO11" s="3"/>
      <c r="CMP11" s="3"/>
      <c r="CMQ11" s="3"/>
      <c r="CMR11" s="3"/>
      <c r="CMS11" s="3"/>
      <c r="CMT11" s="3"/>
      <c r="CMU11" s="3"/>
      <c r="CMV11" s="3"/>
      <c r="CMW11" s="3"/>
      <c r="CMX11" s="3"/>
      <c r="CMY11" s="3"/>
      <c r="CMZ11" s="3"/>
      <c r="CNA11" s="3"/>
      <c r="CNB11" s="3"/>
      <c r="CNC11" s="3"/>
      <c r="CND11" s="3"/>
      <c r="CNE11" s="3"/>
      <c r="CNF11" s="3"/>
      <c r="CNG11" s="3"/>
      <c r="CNH11" s="3"/>
      <c r="CNI11" s="3"/>
      <c r="CNJ11" s="3"/>
      <c r="CNK11" s="3"/>
      <c r="CNL11" s="3"/>
      <c r="CNM11" s="3"/>
      <c r="CNN11" s="3"/>
      <c r="CNO11" s="3"/>
      <c r="CNP11" s="3"/>
      <c r="CNQ11" s="3"/>
      <c r="CNR11" s="3"/>
      <c r="CNS11" s="3"/>
      <c r="CNT11" s="3"/>
      <c r="CNU11" s="3"/>
      <c r="CNV11" s="3"/>
      <c r="CNW11" s="3"/>
      <c r="CNX11" s="3"/>
      <c r="CNY11" s="3"/>
      <c r="CNZ11" s="3"/>
      <c r="COA11" s="3"/>
      <c r="COB11" s="3"/>
      <c r="COC11" s="3"/>
      <c r="COD11" s="3"/>
      <c r="COE11" s="3"/>
      <c r="COF11" s="3"/>
      <c r="COG11" s="3"/>
      <c r="COH11" s="3"/>
      <c r="COI11" s="3"/>
      <c r="COJ11" s="3"/>
      <c r="COK11" s="3"/>
      <c r="COL11" s="3"/>
      <c r="COM11" s="3"/>
      <c r="CON11" s="3"/>
      <c r="COO11" s="3"/>
      <c r="COP11" s="3"/>
      <c r="COQ11" s="3"/>
      <c r="COR11" s="3"/>
      <c r="COS11" s="3"/>
      <c r="COT11" s="3"/>
      <c r="COU11" s="3"/>
      <c r="COV11" s="3"/>
      <c r="COW11" s="3"/>
      <c r="COX11" s="3"/>
      <c r="COY11" s="3"/>
      <c r="COZ11" s="3"/>
      <c r="CPA11" s="3"/>
      <c r="CPB11" s="3"/>
      <c r="CPC11" s="3"/>
      <c r="CPD11" s="3"/>
      <c r="CPE11" s="3"/>
      <c r="CPF11" s="3"/>
      <c r="CPG11" s="3"/>
      <c r="CPH11" s="3"/>
      <c r="CPI11" s="3"/>
      <c r="CPJ11" s="3"/>
      <c r="CPK11" s="3"/>
      <c r="CPL11" s="3"/>
      <c r="CPM11" s="3"/>
      <c r="CPN11" s="3"/>
      <c r="CPO11" s="3"/>
      <c r="CPP11" s="3"/>
      <c r="CPQ11" s="3"/>
      <c r="CPR11" s="3"/>
      <c r="CPS11" s="3"/>
      <c r="CPT11" s="3"/>
      <c r="CPU11" s="3"/>
      <c r="CPV11" s="3"/>
      <c r="CPW11" s="3"/>
      <c r="CPX11" s="3"/>
      <c r="CPY11" s="3"/>
      <c r="CPZ11" s="3"/>
      <c r="CQA11" s="3"/>
      <c r="CQB11" s="3"/>
      <c r="CQC11" s="3"/>
      <c r="CQD11" s="3"/>
      <c r="CQE11" s="3"/>
      <c r="CQF11" s="3"/>
      <c r="CQG11" s="3"/>
      <c r="CQH11" s="3"/>
      <c r="CQI11" s="3"/>
      <c r="CQJ11" s="3"/>
      <c r="CQK11" s="3"/>
      <c r="CQL11" s="3"/>
      <c r="CQM11" s="3"/>
      <c r="CQN11" s="3"/>
      <c r="CQO11" s="3"/>
      <c r="CQP11" s="3"/>
      <c r="CQQ11" s="3"/>
      <c r="CQR11" s="3"/>
      <c r="CQS11" s="3"/>
      <c r="CQT11" s="3"/>
      <c r="CQU11" s="3"/>
      <c r="CQV11" s="3"/>
      <c r="CQW11" s="3"/>
      <c r="CQX11" s="3"/>
      <c r="CQY11" s="3"/>
      <c r="CQZ11" s="3"/>
      <c r="CRA11" s="3"/>
      <c r="CRB11" s="3"/>
      <c r="CRC11" s="3"/>
      <c r="CRD11" s="3"/>
      <c r="CRE11" s="3"/>
      <c r="CRF11" s="3"/>
      <c r="CRG11" s="3"/>
      <c r="CRH11" s="3"/>
      <c r="CRI11" s="3"/>
      <c r="CRJ11" s="3"/>
      <c r="CRK11" s="3"/>
      <c r="CRL11" s="3"/>
      <c r="CRM11" s="3"/>
      <c r="CRN11" s="3"/>
      <c r="CRO11" s="3"/>
      <c r="CRP11" s="3"/>
      <c r="CRQ11" s="3"/>
      <c r="CRR11" s="3"/>
      <c r="CRS11" s="3"/>
      <c r="CRT11" s="3"/>
      <c r="CRU11" s="3"/>
      <c r="CRV11" s="3"/>
      <c r="CRW11" s="3"/>
      <c r="CRX11" s="3"/>
      <c r="CRY11" s="3"/>
      <c r="CRZ11" s="3"/>
      <c r="CSA11" s="3"/>
      <c r="CSB11" s="3"/>
      <c r="CSC11" s="3"/>
      <c r="CSD11" s="3"/>
      <c r="CSE11" s="3"/>
      <c r="CSF11" s="3"/>
      <c r="CSG11" s="3"/>
      <c r="CSH11" s="3"/>
      <c r="CSI11" s="3"/>
      <c r="CSJ11" s="3"/>
      <c r="CSK11" s="3"/>
      <c r="CSL11" s="3"/>
      <c r="CSM11" s="3"/>
      <c r="CSN11" s="3"/>
      <c r="CSO11" s="3"/>
      <c r="CSP11" s="3"/>
      <c r="CSQ11" s="3"/>
      <c r="CSR11" s="3"/>
      <c r="CSS11" s="3"/>
      <c r="CST11" s="3"/>
      <c r="CSU11" s="3"/>
      <c r="CSV11" s="3"/>
      <c r="CSW11" s="3"/>
      <c r="CSX11" s="3"/>
      <c r="CSY11" s="3"/>
      <c r="CSZ11" s="3"/>
      <c r="CTA11" s="3"/>
      <c r="CTB11" s="3"/>
      <c r="CTC11" s="3"/>
      <c r="CTD11" s="3"/>
      <c r="CTE11" s="3"/>
      <c r="CTF11" s="3"/>
      <c r="CTG11" s="3"/>
      <c r="CTH11" s="3"/>
      <c r="CTI11" s="3"/>
      <c r="CTJ11" s="3"/>
      <c r="CTK11" s="3"/>
      <c r="CTL11" s="3"/>
      <c r="CTM11" s="3"/>
      <c r="CTN11" s="3"/>
      <c r="CTO11" s="3"/>
      <c r="CTP11" s="3"/>
      <c r="CTQ11" s="3"/>
      <c r="CTR11" s="3"/>
      <c r="CTS11" s="3"/>
      <c r="CTT11" s="3"/>
      <c r="CTU11" s="3"/>
      <c r="CTV11" s="3"/>
      <c r="CTW11" s="3"/>
      <c r="CTX11" s="3"/>
      <c r="CTY11" s="3"/>
      <c r="CTZ11" s="3"/>
      <c r="CUA11" s="3"/>
      <c r="CUB11" s="3"/>
      <c r="CUC11" s="3"/>
      <c r="CUD11" s="3"/>
      <c r="CUE11" s="3"/>
      <c r="CUF11" s="3"/>
      <c r="CUG11" s="3"/>
      <c r="CUH11" s="3"/>
      <c r="CUI11" s="3"/>
      <c r="CUJ11" s="3"/>
      <c r="CUK11" s="3"/>
      <c r="CUL11" s="3"/>
      <c r="CUM11" s="3"/>
      <c r="CUN11" s="3"/>
      <c r="CUO11" s="3"/>
      <c r="CUP11" s="3"/>
      <c r="CUQ11" s="3"/>
      <c r="CUR11" s="3"/>
      <c r="CUS11" s="3"/>
      <c r="CUT11" s="3"/>
      <c r="CUU11" s="3"/>
      <c r="CUV11" s="3"/>
      <c r="CUW11" s="3"/>
      <c r="CUX11" s="3"/>
      <c r="CUY11" s="3"/>
      <c r="CUZ11" s="3"/>
      <c r="CVA11" s="3"/>
      <c r="CVB11" s="3"/>
      <c r="CVC11" s="3"/>
      <c r="CVD11" s="3"/>
      <c r="CVE11" s="3"/>
      <c r="CVF11" s="3"/>
      <c r="CVG11" s="3"/>
      <c r="CVH11" s="3"/>
      <c r="CVI11" s="3"/>
      <c r="CVJ11" s="3"/>
      <c r="CVK11" s="3"/>
      <c r="CVL11" s="3"/>
      <c r="CVM11" s="3"/>
      <c r="CVN11" s="3"/>
      <c r="CVO11" s="3"/>
      <c r="CVP11" s="3"/>
      <c r="CVQ11" s="3"/>
      <c r="CVR11" s="3"/>
      <c r="CVS11" s="3"/>
      <c r="CVT11" s="3"/>
      <c r="CVU11" s="3"/>
      <c r="CVV11" s="3"/>
      <c r="CVW11" s="3"/>
      <c r="CVX11" s="3"/>
      <c r="CVY11" s="3"/>
      <c r="CVZ11" s="3"/>
      <c r="CWA11" s="3"/>
      <c r="CWB11" s="3"/>
      <c r="CWC11" s="3"/>
      <c r="CWD11" s="3"/>
      <c r="CWE11" s="3"/>
      <c r="CWF11" s="3"/>
      <c r="CWG11" s="3"/>
      <c r="CWH11" s="3"/>
      <c r="CWI11" s="3"/>
      <c r="CWJ11" s="3"/>
      <c r="CWK11" s="3"/>
      <c r="CWL11" s="3"/>
      <c r="CWM11" s="3"/>
      <c r="CWN11" s="3"/>
      <c r="CWO11" s="3"/>
      <c r="CWP11" s="3"/>
      <c r="CWQ11" s="3"/>
      <c r="CWR11" s="3"/>
      <c r="CWS11" s="3"/>
      <c r="CWT11" s="3"/>
      <c r="CWU11" s="3"/>
      <c r="CWV11" s="3"/>
      <c r="CWW11" s="3"/>
      <c r="CWX11" s="3"/>
      <c r="CWY11" s="3"/>
      <c r="CWZ11" s="3"/>
      <c r="CXA11" s="3"/>
      <c r="CXB11" s="3"/>
      <c r="CXC11" s="3"/>
      <c r="CXD11" s="3"/>
      <c r="CXE11" s="3"/>
      <c r="CXF11" s="3"/>
      <c r="CXG11" s="3"/>
      <c r="CXH11" s="3"/>
      <c r="CXI11" s="3"/>
      <c r="CXJ11" s="3"/>
      <c r="CXK11" s="3"/>
      <c r="CXL11" s="3"/>
      <c r="CXM11" s="3"/>
      <c r="CXN11" s="3"/>
      <c r="CXO11" s="3"/>
      <c r="CXP11" s="3"/>
      <c r="CXQ11" s="3"/>
      <c r="CXR11" s="3"/>
      <c r="CXS11" s="3"/>
      <c r="CXT11" s="3"/>
      <c r="CXU11" s="3"/>
      <c r="CXV11" s="3"/>
      <c r="CXW11" s="3"/>
      <c r="CXX11" s="3"/>
      <c r="CXY11" s="3"/>
      <c r="CXZ11" s="3"/>
      <c r="CYA11" s="3"/>
      <c r="CYB11" s="3"/>
      <c r="CYC11" s="3"/>
      <c r="CYD11" s="3"/>
      <c r="CYE11" s="3"/>
      <c r="CYF11" s="3"/>
      <c r="CYG11" s="3"/>
      <c r="CYH11" s="3"/>
      <c r="CYI11" s="3"/>
      <c r="CYJ11" s="3"/>
      <c r="CYK11" s="3"/>
      <c r="CYL11" s="3"/>
      <c r="CYM11" s="3"/>
      <c r="CYN11" s="3"/>
      <c r="CYO11" s="3"/>
      <c r="CYP11" s="3"/>
      <c r="CYQ11" s="3"/>
      <c r="CYR11" s="3"/>
      <c r="CYS11" s="3"/>
      <c r="CYT11" s="3"/>
      <c r="CYU11" s="3"/>
      <c r="CYV11" s="3"/>
      <c r="CYW11" s="3"/>
      <c r="CYX11" s="3"/>
      <c r="CYY11" s="3"/>
      <c r="CYZ11" s="3"/>
      <c r="CZA11" s="3"/>
      <c r="CZB11" s="3"/>
      <c r="CZC11" s="3"/>
      <c r="CZD11" s="3"/>
      <c r="CZE11" s="3"/>
      <c r="CZF11" s="3"/>
      <c r="CZG11" s="3"/>
      <c r="CZH11" s="3"/>
      <c r="CZI11" s="3"/>
      <c r="CZJ11" s="3"/>
      <c r="CZK11" s="3"/>
      <c r="CZL11" s="3"/>
      <c r="CZM11" s="3"/>
      <c r="CZN11" s="3"/>
      <c r="CZO11" s="3"/>
      <c r="CZP11" s="3"/>
      <c r="CZQ11" s="3"/>
      <c r="CZR11" s="3"/>
      <c r="CZS11" s="3"/>
      <c r="CZT11" s="3"/>
      <c r="CZU11" s="3"/>
      <c r="CZV11" s="3"/>
      <c r="CZW11" s="3"/>
      <c r="CZX11" s="3"/>
      <c r="CZY11" s="3"/>
      <c r="CZZ11" s="3"/>
      <c r="DAA11" s="3"/>
      <c r="DAB11" s="3"/>
      <c r="DAC11" s="3"/>
      <c r="DAD11" s="3"/>
      <c r="DAE11" s="3"/>
      <c r="DAF11" s="3"/>
      <c r="DAG11" s="3"/>
      <c r="DAH11" s="3"/>
      <c r="DAI11" s="3"/>
      <c r="DAJ11" s="3"/>
      <c r="DAK11" s="3"/>
      <c r="DAL11" s="3"/>
      <c r="DAM11" s="3"/>
      <c r="DAN11" s="3"/>
      <c r="DAO11" s="3"/>
      <c r="DAP11" s="3"/>
      <c r="DAQ11" s="3"/>
      <c r="DAR11" s="3"/>
      <c r="DAS11" s="3"/>
      <c r="DAT11" s="3"/>
      <c r="DAU11" s="3"/>
      <c r="DAV11" s="3"/>
      <c r="DAW11" s="3"/>
      <c r="DAX11" s="3"/>
      <c r="DAY11" s="3"/>
      <c r="DAZ11" s="3"/>
      <c r="DBA11" s="3"/>
      <c r="DBB11" s="3"/>
      <c r="DBC11" s="3"/>
      <c r="DBD11" s="3"/>
      <c r="DBE11" s="3"/>
      <c r="DBF11" s="3"/>
      <c r="DBG11" s="3"/>
      <c r="DBH11" s="3"/>
      <c r="DBI11" s="3"/>
      <c r="DBJ11" s="3"/>
      <c r="DBK11" s="3"/>
      <c r="DBL11" s="3"/>
      <c r="DBM11" s="3"/>
      <c r="DBN11" s="3"/>
      <c r="DBO11" s="3"/>
      <c r="DBP11" s="3"/>
      <c r="DBQ11" s="3"/>
      <c r="DBR11" s="3"/>
      <c r="DBS11" s="3"/>
      <c r="DBT11" s="3"/>
      <c r="DBU11" s="3"/>
      <c r="DBV11" s="3"/>
      <c r="DBW11" s="3"/>
      <c r="DBX11" s="3"/>
      <c r="DBY11" s="3"/>
      <c r="DBZ11" s="3"/>
      <c r="DCA11" s="3"/>
      <c r="DCB11" s="3"/>
      <c r="DCC11" s="3"/>
      <c r="DCD11" s="3"/>
      <c r="DCE11" s="3"/>
      <c r="DCF11" s="3"/>
      <c r="DCG11" s="3"/>
      <c r="DCH11" s="3"/>
      <c r="DCI11" s="3"/>
      <c r="DCJ11" s="3"/>
      <c r="DCK11" s="3"/>
      <c r="DCL11" s="3"/>
      <c r="DCM11" s="3"/>
      <c r="DCN11" s="3"/>
      <c r="DCO11" s="3"/>
      <c r="DCP11" s="3"/>
      <c r="DCQ11" s="3"/>
      <c r="DCR11" s="3"/>
      <c r="DCS11" s="3"/>
      <c r="DCT11" s="3"/>
      <c r="DCU11" s="3"/>
      <c r="DCV11" s="3"/>
      <c r="DCW11" s="3"/>
      <c r="DCX11" s="3"/>
      <c r="DCY11" s="3"/>
      <c r="DCZ11" s="3"/>
      <c r="DDA11" s="3"/>
      <c r="DDB11" s="3"/>
      <c r="DDC11" s="3"/>
      <c r="DDD11" s="3"/>
      <c r="DDE11" s="3"/>
      <c r="DDF11" s="3"/>
      <c r="DDG11" s="3"/>
      <c r="DDH11" s="3"/>
      <c r="DDI11" s="3"/>
      <c r="DDJ11" s="3"/>
      <c r="DDK11" s="3"/>
      <c r="DDL11" s="3"/>
      <c r="DDM11" s="3"/>
      <c r="DDN11" s="3"/>
      <c r="DDO11" s="3"/>
      <c r="DDP11" s="3"/>
      <c r="DDQ11" s="3"/>
      <c r="DDR11" s="3"/>
      <c r="DDS11" s="3"/>
      <c r="DDT11" s="3"/>
      <c r="DDU11" s="3"/>
      <c r="DDV11" s="3"/>
      <c r="DDW11" s="3"/>
      <c r="DDX11" s="3"/>
      <c r="DDY11" s="3"/>
      <c r="DDZ11" s="3"/>
      <c r="DEA11" s="3"/>
      <c r="DEB11" s="3"/>
      <c r="DEC11" s="3"/>
      <c r="DED11" s="3"/>
      <c r="DEE11" s="3"/>
      <c r="DEF11" s="3"/>
      <c r="DEG11" s="3"/>
      <c r="DEH11" s="3"/>
      <c r="DEI11" s="3"/>
      <c r="DEJ11" s="3"/>
      <c r="DEK11" s="3"/>
      <c r="DEL11" s="3"/>
      <c r="DEM11" s="3"/>
      <c r="DEN11" s="3"/>
      <c r="DEO11" s="3"/>
      <c r="DEP11" s="3"/>
      <c r="DEQ11" s="3"/>
      <c r="DER11" s="3"/>
      <c r="DES11" s="3"/>
      <c r="DET11" s="3"/>
      <c r="DEU11" s="3"/>
      <c r="DEV11" s="3"/>
      <c r="DEW11" s="3"/>
      <c r="DEX11" s="3"/>
      <c r="DEY11" s="3"/>
      <c r="DEZ11" s="3"/>
      <c r="DFA11" s="3"/>
      <c r="DFB11" s="3"/>
      <c r="DFC11" s="3"/>
      <c r="DFD11" s="3"/>
      <c r="DFE11" s="3"/>
      <c r="DFF11" s="3"/>
      <c r="DFG11" s="3"/>
      <c r="DFH11" s="3"/>
      <c r="DFI11" s="3"/>
      <c r="DFJ11" s="3"/>
      <c r="DFK11" s="3"/>
      <c r="DFL11" s="3"/>
      <c r="DFM11" s="3"/>
      <c r="DFN11" s="3"/>
      <c r="DFO11" s="3"/>
      <c r="DFP11" s="3"/>
      <c r="DFQ11" s="3"/>
      <c r="DFR11" s="3"/>
      <c r="DFS11" s="3"/>
      <c r="DFT11" s="3"/>
      <c r="DFU11" s="3"/>
      <c r="DFV11" s="3"/>
      <c r="DFW11" s="3"/>
      <c r="DFX11" s="3"/>
      <c r="DFY11" s="3"/>
      <c r="DFZ11" s="3"/>
      <c r="DGA11" s="3"/>
      <c r="DGB11" s="3"/>
      <c r="DGC11" s="3"/>
      <c r="DGD11" s="3"/>
      <c r="DGE11" s="3"/>
      <c r="DGF11" s="3"/>
      <c r="DGG11" s="3"/>
      <c r="DGH11" s="3"/>
      <c r="DGI11" s="3"/>
      <c r="DGJ11" s="3"/>
      <c r="DGK11" s="3"/>
      <c r="DGL11" s="3"/>
      <c r="DGM11" s="3"/>
      <c r="DGN11" s="3"/>
      <c r="DGO11" s="3"/>
      <c r="DGP11" s="3"/>
      <c r="DGQ11" s="3"/>
      <c r="DGR11" s="3"/>
      <c r="DGS11" s="3"/>
      <c r="DGT11" s="3"/>
      <c r="DGU11" s="3"/>
      <c r="DGV11" s="3"/>
      <c r="DGW11" s="3"/>
      <c r="DGX11" s="3"/>
      <c r="DGY11" s="3"/>
      <c r="DGZ11" s="3"/>
      <c r="DHA11" s="3"/>
      <c r="DHB11" s="3"/>
      <c r="DHC11" s="3"/>
      <c r="DHD11" s="3"/>
      <c r="DHE11" s="3"/>
      <c r="DHF11" s="3"/>
      <c r="DHG11" s="3"/>
      <c r="DHH11" s="3"/>
      <c r="DHI11" s="3"/>
      <c r="DHJ11" s="3"/>
      <c r="DHK11" s="3"/>
      <c r="DHL11" s="3"/>
      <c r="DHM11" s="3"/>
      <c r="DHN11" s="3"/>
      <c r="DHO11" s="3"/>
      <c r="DHP11" s="3"/>
      <c r="DHQ11" s="3"/>
      <c r="DHR11" s="3"/>
      <c r="DHS11" s="3"/>
      <c r="DHT11" s="3"/>
      <c r="DHU11" s="3"/>
      <c r="DHV11" s="3"/>
      <c r="DHW11" s="3"/>
      <c r="DHX11" s="3"/>
      <c r="DHY11" s="3"/>
      <c r="DHZ11" s="3"/>
      <c r="DIA11" s="3"/>
      <c r="DIB11" s="3"/>
      <c r="DIC11" s="3"/>
      <c r="DID11" s="3"/>
      <c r="DIE11" s="3"/>
      <c r="DIF11" s="3"/>
      <c r="DIG11" s="3"/>
      <c r="DIH11" s="3"/>
      <c r="DII11" s="3"/>
      <c r="DIJ11" s="3"/>
      <c r="DIK11" s="3"/>
      <c r="DIL11" s="3"/>
      <c r="DIM11" s="3"/>
      <c r="DIN11" s="3"/>
      <c r="DIO11" s="3"/>
      <c r="DIP11" s="3"/>
      <c r="DIQ11" s="3"/>
      <c r="DIR11" s="3"/>
      <c r="DIS11" s="3"/>
      <c r="DIT11" s="3"/>
      <c r="DIU11" s="3"/>
      <c r="DIV11" s="3"/>
      <c r="DIW11" s="3"/>
      <c r="DIX11" s="3"/>
      <c r="DIY11" s="3"/>
      <c r="DIZ11" s="3"/>
      <c r="DJA11" s="3"/>
      <c r="DJB11" s="3"/>
      <c r="DJC11" s="3"/>
      <c r="DJD11" s="3"/>
      <c r="DJE11" s="3"/>
      <c r="DJF11" s="3"/>
      <c r="DJG11" s="3"/>
      <c r="DJH11" s="3"/>
      <c r="DJI11" s="3"/>
      <c r="DJJ11" s="3"/>
      <c r="DJK11" s="3"/>
      <c r="DJL11" s="3"/>
      <c r="DJM11" s="3"/>
      <c r="DJN11" s="3"/>
      <c r="DJO11" s="3"/>
      <c r="DJP11" s="3"/>
      <c r="DJQ11" s="3"/>
      <c r="DJR11" s="3"/>
      <c r="DJS11" s="3"/>
      <c r="DJT11" s="3"/>
      <c r="DJU11" s="3"/>
      <c r="DJV11" s="3"/>
      <c r="DJW11" s="3"/>
      <c r="DJX11" s="3"/>
      <c r="DJY11" s="3"/>
      <c r="DJZ11" s="3"/>
      <c r="DKA11" s="3"/>
      <c r="DKB11" s="3"/>
      <c r="DKC11" s="3"/>
      <c r="DKD11" s="3"/>
      <c r="DKE11" s="3"/>
      <c r="DKF11" s="3"/>
      <c r="DKG11" s="3"/>
      <c r="DKH11" s="3"/>
      <c r="DKI11" s="3"/>
      <c r="DKJ11" s="3"/>
      <c r="DKK11" s="3"/>
      <c r="DKL11" s="3"/>
      <c r="DKM11" s="3"/>
      <c r="DKN11" s="3"/>
      <c r="DKO11" s="3"/>
      <c r="DKP11" s="3"/>
      <c r="DKQ11" s="3"/>
      <c r="DKR11" s="3"/>
      <c r="DKS11" s="3"/>
      <c r="DKT11" s="3"/>
      <c r="DKU11" s="3"/>
      <c r="DKV11" s="3"/>
      <c r="DKW11" s="3"/>
      <c r="DKX11" s="3"/>
      <c r="DKY11" s="3"/>
      <c r="DKZ11" s="3"/>
      <c r="DLA11" s="3"/>
      <c r="DLB11" s="3"/>
      <c r="DLC11" s="3"/>
      <c r="DLD11" s="3"/>
      <c r="DLE11" s="3"/>
      <c r="DLF11" s="3"/>
      <c r="DLG11" s="3"/>
      <c r="DLH11" s="3"/>
      <c r="DLI11" s="3"/>
      <c r="DLJ11" s="3"/>
      <c r="DLK11" s="3"/>
      <c r="DLL11" s="3"/>
      <c r="DLM11" s="3"/>
      <c r="DLN11" s="3"/>
      <c r="DLO11" s="3"/>
      <c r="DLP11" s="3"/>
      <c r="DLQ11" s="3"/>
      <c r="DLR11" s="3"/>
      <c r="DLS11" s="3"/>
      <c r="DLT11" s="3"/>
      <c r="DLU11" s="3"/>
      <c r="DLV11" s="3"/>
      <c r="DLW11" s="3"/>
      <c r="DLX11" s="3"/>
      <c r="DLY11" s="3"/>
      <c r="DLZ11" s="3"/>
      <c r="DMA11" s="3"/>
      <c r="DMB11" s="3"/>
      <c r="DMC11" s="3"/>
      <c r="DMD11" s="3"/>
      <c r="DME11" s="3"/>
      <c r="DMF11" s="3"/>
      <c r="DMG11" s="3"/>
      <c r="DMH11" s="3"/>
      <c r="DMI11" s="3"/>
      <c r="DMJ11" s="3"/>
      <c r="DMK11" s="3"/>
      <c r="DML11" s="3"/>
      <c r="DMM11" s="3"/>
      <c r="DMN11" s="3"/>
      <c r="DMO11" s="3"/>
      <c r="DMP11" s="3"/>
      <c r="DMQ11" s="3"/>
      <c r="DMR11" s="3"/>
      <c r="DMS11" s="3"/>
      <c r="DMT11" s="3"/>
      <c r="DMU11" s="3"/>
      <c r="DMV11" s="3"/>
      <c r="DMW11" s="3"/>
      <c r="DMX11" s="3"/>
      <c r="DMY11" s="3"/>
      <c r="DMZ11" s="3"/>
      <c r="DNA11" s="3"/>
      <c r="DNB11" s="3"/>
      <c r="DNC11" s="3"/>
      <c r="DND11" s="3"/>
      <c r="DNE11" s="3"/>
      <c r="DNF11" s="3"/>
      <c r="DNG11" s="3"/>
      <c r="DNH11" s="3"/>
      <c r="DNI11" s="3"/>
      <c r="DNJ11" s="3"/>
      <c r="DNK11" s="3"/>
      <c r="DNL11" s="3"/>
      <c r="DNM11" s="3"/>
      <c r="DNN11" s="3"/>
      <c r="DNO11" s="3"/>
      <c r="DNP11" s="3"/>
      <c r="DNQ11" s="3"/>
      <c r="DNR11" s="3"/>
      <c r="DNS11" s="3"/>
      <c r="DNT11" s="3"/>
      <c r="DNU11" s="3"/>
      <c r="DNV11" s="3"/>
      <c r="DNW11" s="3"/>
      <c r="DNX11" s="3"/>
      <c r="DNY11" s="3"/>
      <c r="DNZ11" s="3"/>
      <c r="DOA11" s="3"/>
      <c r="DOB11" s="3"/>
      <c r="DOC11" s="3"/>
      <c r="DOD11" s="3"/>
      <c r="DOE11" s="3"/>
      <c r="DOF11" s="3"/>
      <c r="DOG11" s="3"/>
      <c r="DOH11" s="3"/>
      <c r="DOI11" s="3"/>
      <c r="DOJ11" s="3"/>
      <c r="DOK11" s="3"/>
      <c r="DOL11" s="3"/>
      <c r="DOM11" s="3"/>
      <c r="DON11" s="3"/>
      <c r="DOO11" s="3"/>
      <c r="DOP11" s="3"/>
      <c r="DOQ11" s="3"/>
      <c r="DOR11" s="3"/>
      <c r="DOS11" s="3"/>
      <c r="DOT11" s="3"/>
      <c r="DOU11" s="3"/>
      <c r="DOV11" s="3"/>
      <c r="DOW11" s="3"/>
      <c r="DOX11" s="3"/>
      <c r="DOY11" s="3"/>
      <c r="DOZ11" s="3"/>
      <c r="DPA11" s="3"/>
      <c r="DPB11" s="3"/>
      <c r="DPC11" s="3"/>
      <c r="DPD11" s="3"/>
      <c r="DPE11" s="3"/>
      <c r="DPF11" s="3"/>
      <c r="DPG11" s="3"/>
      <c r="DPH11" s="3"/>
      <c r="DPI11" s="3"/>
      <c r="DPJ11" s="3"/>
      <c r="DPK11" s="3"/>
      <c r="DPL11" s="3"/>
      <c r="DPM11" s="3"/>
      <c r="DPN11" s="3"/>
      <c r="DPO11" s="3"/>
      <c r="DPP11" s="3"/>
      <c r="DPQ11" s="3"/>
      <c r="DPR11" s="3"/>
      <c r="DPS11" s="3"/>
      <c r="DPT11" s="3"/>
      <c r="DPU11" s="3"/>
      <c r="DPV11" s="3"/>
      <c r="DPW11" s="3"/>
      <c r="DPX11" s="3"/>
      <c r="DPY11" s="3"/>
      <c r="DPZ11" s="3"/>
      <c r="DQA11" s="3"/>
      <c r="DQB11" s="3"/>
      <c r="DQC11" s="3"/>
      <c r="DQD11" s="3"/>
      <c r="DQE11" s="3"/>
      <c r="DQF11" s="3"/>
      <c r="DQG11" s="3"/>
      <c r="DQH11" s="3"/>
      <c r="DQI11" s="3"/>
      <c r="DQJ11" s="3"/>
      <c r="DQK11" s="3"/>
      <c r="DQL11" s="3"/>
      <c r="DQM11" s="3"/>
      <c r="DQN11" s="3"/>
      <c r="DQO11" s="3"/>
      <c r="DQP11" s="3"/>
      <c r="DQQ11" s="3"/>
      <c r="DQR11" s="3"/>
      <c r="DQS11" s="3"/>
      <c r="DQT11" s="3"/>
      <c r="DQU11" s="3"/>
      <c r="DQV11" s="3"/>
      <c r="DQW11" s="3"/>
      <c r="DQX11" s="3"/>
      <c r="DQY11" s="3"/>
      <c r="DQZ11" s="3"/>
      <c r="DRA11" s="3"/>
      <c r="DRB11" s="3"/>
      <c r="DRC11" s="3"/>
      <c r="DRD11" s="3"/>
      <c r="DRE11" s="3"/>
      <c r="DRF11" s="3"/>
      <c r="DRG11" s="3"/>
      <c r="DRH11" s="3"/>
      <c r="DRI11" s="3"/>
      <c r="DRJ11" s="3"/>
      <c r="DRK11" s="3"/>
      <c r="DRL11" s="3"/>
      <c r="DRM11" s="3"/>
      <c r="DRN11" s="3"/>
      <c r="DRO11" s="3"/>
      <c r="DRP11" s="3"/>
      <c r="DRQ11" s="3"/>
      <c r="DRR11" s="3"/>
      <c r="DRS11" s="3"/>
      <c r="DRT11" s="3"/>
      <c r="DRU11" s="3"/>
      <c r="DRV11" s="3"/>
      <c r="DRW11" s="3"/>
      <c r="DRX11" s="3"/>
      <c r="DRY11" s="3"/>
      <c r="DRZ11" s="3"/>
      <c r="DSA11" s="3"/>
      <c r="DSB11" s="3"/>
      <c r="DSC11" s="3"/>
      <c r="DSD11" s="3"/>
      <c r="DSE11" s="3"/>
      <c r="DSF11" s="3"/>
      <c r="DSG11" s="3"/>
      <c r="DSH11" s="3"/>
      <c r="DSI11" s="3"/>
      <c r="DSJ11" s="3"/>
      <c r="DSK11" s="3"/>
      <c r="DSL11" s="3"/>
      <c r="DSM11" s="3"/>
      <c r="DSN11" s="3"/>
      <c r="DSO11" s="3"/>
      <c r="DSP11" s="3"/>
      <c r="DSQ11" s="3"/>
      <c r="DSR11" s="3"/>
      <c r="DSS11" s="3"/>
      <c r="DST11" s="3"/>
      <c r="DSU11" s="3"/>
      <c r="DSV11" s="3"/>
      <c r="DSW11" s="3"/>
      <c r="DSX11" s="3"/>
      <c r="DSY11" s="3"/>
      <c r="DSZ11" s="3"/>
      <c r="DTA11" s="3"/>
      <c r="DTB11" s="3"/>
      <c r="DTC11" s="3"/>
      <c r="DTD11" s="3"/>
      <c r="DTE11" s="3"/>
      <c r="DTF11" s="3"/>
      <c r="DTG11" s="3"/>
      <c r="DTH11" s="3"/>
      <c r="DTI11" s="3"/>
      <c r="DTJ11" s="3"/>
      <c r="DTK11" s="3"/>
      <c r="DTL11" s="3"/>
      <c r="DTM11" s="3"/>
      <c r="DTN11" s="3"/>
      <c r="DTO11" s="3"/>
      <c r="DTP11" s="3"/>
      <c r="DTQ11" s="3"/>
      <c r="DTR11" s="3"/>
      <c r="DTS11" s="3"/>
      <c r="DTT11" s="3"/>
      <c r="DTU11" s="3"/>
      <c r="DTV11" s="3"/>
      <c r="DTW11" s="3"/>
      <c r="DTX11" s="3"/>
      <c r="DTY11" s="3"/>
      <c r="DTZ11" s="3"/>
      <c r="DUA11" s="3"/>
      <c r="DUB11" s="3"/>
      <c r="DUC11" s="3"/>
      <c r="DUD11" s="3"/>
      <c r="DUE11" s="3"/>
      <c r="DUF11" s="3"/>
      <c r="DUG11" s="3"/>
      <c r="DUH11" s="3"/>
      <c r="DUI11" s="3"/>
      <c r="DUJ11" s="3"/>
      <c r="DUK11" s="3"/>
      <c r="DUL11" s="3"/>
      <c r="DUM11" s="3"/>
      <c r="DUN11" s="3"/>
      <c r="DUO11" s="3"/>
      <c r="DUP11" s="3"/>
      <c r="DUQ11" s="3"/>
      <c r="DUR11" s="3"/>
      <c r="DUS11" s="3"/>
      <c r="DUT11" s="3"/>
      <c r="DUU11" s="3"/>
      <c r="DUV11" s="3"/>
      <c r="DUW11" s="3"/>
      <c r="DUX11" s="3"/>
      <c r="DUY11" s="3"/>
      <c r="DUZ11" s="3"/>
      <c r="DVA11" s="3"/>
      <c r="DVB11" s="3"/>
      <c r="DVC11" s="3"/>
      <c r="DVD11" s="3"/>
      <c r="DVE11" s="3"/>
      <c r="DVF11" s="3"/>
      <c r="DVG11" s="3"/>
      <c r="DVH11" s="3"/>
      <c r="DVI11" s="3"/>
      <c r="DVJ11" s="3"/>
      <c r="DVK11" s="3"/>
      <c r="DVL11" s="3"/>
      <c r="DVM11" s="3"/>
      <c r="DVN11" s="3"/>
      <c r="DVO11" s="3"/>
      <c r="DVP11" s="3"/>
      <c r="DVQ11" s="3"/>
      <c r="DVR11" s="3"/>
      <c r="DVS11" s="3"/>
      <c r="DVT11" s="3"/>
      <c r="DVU11" s="3"/>
      <c r="DVV11" s="3"/>
      <c r="DVW11" s="3"/>
      <c r="DVX11" s="3"/>
      <c r="DVY11" s="3"/>
      <c r="DVZ11" s="3"/>
      <c r="DWA11" s="3"/>
      <c r="DWB11" s="3"/>
      <c r="DWC11" s="3"/>
      <c r="DWD11" s="3"/>
      <c r="DWE11" s="3"/>
      <c r="DWF11" s="3"/>
      <c r="DWG11" s="3"/>
      <c r="DWH11" s="3"/>
      <c r="DWI11" s="3"/>
      <c r="DWJ11" s="3"/>
      <c r="DWK11" s="3"/>
      <c r="DWL11" s="3"/>
      <c r="DWM11" s="3"/>
      <c r="DWN11" s="3"/>
      <c r="DWO11" s="3"/>
      <c r="DWP11" s="3"/>
      <c r="DWQ11" s="3"/>
      <c r="DWR11" s="3"/>
      <c r="DWS11" s="3"/>
      <c r="DWT11" s="3"/>
      <c r="DWU11" s="3"/>
      <c r="DWV11" s="3"/>
      <c r="DWW11" s="3"/>
      <c r="DWX11" s="3"/>
      <c r="DWY11" s="3"/>
      <c r="DWZ11" s="3"/>
      <c r="DXA11" s="3"/>
      <c r="DXB11" s="3"/>
      <c r="DXC11" s="3"/>
      <c r="DXD11" s="3"/>
      <c r="DXE11" s="3"/>
      <c r="DXF11" s="3"/>
      <c r="DXG11" s="3"/>
      <c r="DXH11" s="3"/>
      <c r="DXI11" s="3"/>
      <c r="DXJ11" s="3"/>
      <c r="DXK11" s="3"/>
      <c r="DXL11" s="3"/>
      <c r="DXM11" s="3"/>
      <c r="DXN11" s="3"/>
      <c r="DXO11" s="3"/>
      <c r="DXP11" s="3"/>
      <c r="DXQ11" s="3"/>
      <c r="DXR11" s="3"/>
      <c r="DXS11" s="3"/>
      <c r="DXT11" s="3"/>
      <c r="DXU11" s="3"/>
      <c r="DXV11" s="3"/>
      <c r="DXW11" s="3"/>
      <c r="DXX11" s="3"/>
      <c r="DXY11" s="3"/>
      <c r="DXZ11" s="3"/>
      <c r="DYA11" s="3"/>
      <c r="DYB11" s="3"/>
      <c r="DYC11" s="3"/>
      <c r="DYD11" s="3"/>
      <c r="DYE11" s="3"/>
      <c r="DYF11" s="3"/>
      <c r="DYG11" s="3"/>
      <c r="DYH11" s="3"/>
      <c r="DYI11" s="3"/>
      <c r="DYJ11" s="3"/>
      <c r="DYK11" s="3"/>
      <c r="DYL11" s="3"/>
      <c r="DYM11" s="3"/>
      <c r="DYN11" s="3"/>
      <c r="DYO11" s="3"/>
      <c r="DYP11" s="3"/>
      <c r="DYQ11" s="3"/>
      <c r="DYR11" s="3"/>
      <c r="DYS11" s="3"/>
      <c r="DYT11" s="3"/>
      <c r="DYU11" s="3"/>
      <c r="DYV11" s="3"/>
      <c r="DYW11" s="3"/>
      <c r="DYX11" s="3"/>
      <c r="DYY11" s="3"/>
      <c r="DYZ11" s="3"/>
      <c r="DZA11" s="3"/>
      <c r="DZB11" s="3"/>
      <c r="DZC11" s="3"/>
      <c r="DZD11" s="3"/>
      <c r="DZE11" s="3"/>
      <c r="DZF11" s="3"/>
      <c r="DZG11" s="3"/>
      <c r="DZH11" s="3"/>
      <c r="DZI11" s="3"/>
      <c r="DZJ11" s="3"/>
      <c r="DZK11" s="3"/>
      <c r="DZL11" s="3"/>
      <c r="DZM11" s="3"/>
      <c r="DZN11" s="3"/>
      <c r="DZO11" s="3"/>
      <c r="DZP11" s="3"/>
      <c r="DZQ11" s="3"/>
      <c r="DZR11" s="3"/>
      <c r="DZS11" s="3"/>
      <c r="DZT11" s="3"/>
      <c r="DZU11" s="3"/>
      <c r="DZV11" s="3"/>
      <c r="DZW11" s="3"/>
      <c r="DZX11" s="3"/>
      <c r="DZY11" s="3"/>
      <c r="DZZ11" s="3"/>
      <c r="EAA11" s="3"/>
      <c r="EAB11" s="3"/>
      <c r="EAC11" s="3"/>
      <c r="EAD11" s="3"/>
      <c r="EAE11" s="3"/>
      <c r="EAF11" s="3"/>
      <c r="EAG11" s="3"/>
      <c r="EAH11" s="3"/>
      <c r="EAI11" s="3"/>
      <c r="EAJ11" s="3"/>
      <c r="EAK11" s="3"/>
      <c r="EAL11" s="3"/>
      <c r="EAM11" s="3"/>
      <c r="EAN11" s="3"/>
      <c r="EAO11" s="3"/>
      <c r="EAP11" s="3"/>
      <c r="EAQ11" s="3"/>
      <c r="EAR11" s="3"/>
      <c r="EAS11" s="3"/>
      <c r="EAT11" s="3"/>
      <c r="EAU11" s="3"/>
      <c r="EAV11" s="3"/>
      <c r="EAW11" s="3"/>
      <c r="EAX11" s="3"/>
      <c r="EAY11" s="3"/>
      <c r="EAZ11" s="3"/>
      <c r="EBA11" s="3"/>
      <c r="EBB11" s="3"/>
      <c r="EBC11" s="3"/>
      <c r="EBD11" s="3"/>
      <c r="EBE11" s="3"/>
      <c r="EBF11" s="3"/>
      <c r="EBG11" s="3"/>
      <c r="EBH11" s="3"/>
      <c r="EBI11" s="3"/>
      <c r="EBJ11" s="3"/>
      <c r="EBK11" s="3"/>
      <c r="EBL11" s="3"/>
      <c r="EBM11" s="3"/>
      <c r="EBN11" s="3"/>
      <c r="EBO11" s="3"/>
      <c r="EBP11" s="3"/>
      <c r="EBQ11" s="3"/>
      <c r="EBR11" s="3"/>
      <c r="EBS11" s="3"/>
      <c r="EBT11" s="3"/>
      <c r="EBU11" s="3"/>
      <c r="EBV11" s="3"/>
      <c r="EBW11" s="3"/>
      <c r="EBX11" s="3"/>
      <c r="EBY11" s="3"/>
      <c r="EBZ11" s="3"/>
      <c r="ECA11" s="3"/>
      <c r="ECB11" s="3"/>
      <c r="ECC11" s="3"/>
      <c r="ECD11" s="3"/>
      <c r="ECE11" s="3"/>
      <c r="ECF11" s="3"/>
      <c r="ECG11" s="3"/>
      <c r="ECH11" s="3"/>
      <c r="ECI11" s="3"/>
      <c r="ECJ11" s="3"/>
      <c r="ECK11" s="3"/>
      <c r="ECL11" s="3"/>
      <c r="ECM11" s="3"/>
      <c r="ECN11" s="3"/>
      <c r="ECO11" s="3"/>
      <c r="ECP11" s="3"/>
      <c r="ECQ11" s="3"/>
      <c r="ECR11" s="3"/>
      <c r="ECS11" s="3"/>
      <c r="ECT11" s="3"/>
      <c r="ECU11" s="3"/>
      <c r="ECV11" s="3"/>
      <c r="ECW11" s="3"/>
      <c r="ECX11" s="3"/>
      <c r="ECY11" s="3"/>
      <c r="ECZ11" s="3"/>
      <c r="EDA11" s="3"/>
      <c r="EDB11" s="3"/>
      <c r="EDC11" s="3"/>
      <c r="EDD11" s="3"/>
      <c r="EDE11" s="3"/>
      <c r="EDF11" s="3"/>
      <c r="EDG11" s="3"/>
      <c r="EDH11" s="3"/>
      <c r="EDI11" s="3"/>
      <c r="EDJ11" s="3"/>
      <c r="EDK11" s="3"/>
      <c r="EDL11" s="3"/>
      <c r="EDM11" s="3"/>
      <c r="EDN11" s="3"/>
      <c r="EDO11" s="3"/>
      <c r="EDP11" s="3"/>
      <c r="EDQ11" s="3"/>
      <c r="EDR11" s="3"/>
      <c r="EDS11" s="3"/>
      <c r="EDT11" s="3"/>
      <c r="EDU11" s="3"/>
      <c r="EDV11" s="3"/>
      <c r="EDW11" s="3"/>
      <c r="EDX11" s="3"/>
      <c r="EDY11" s="3"/>
      <c r="EDZ11" s="3"/>
      <c r="EEA11" s="3"/>
      <c r="EEB11" s="3"/>
      <c r="EEC11" s="3"/>
      <c r="EED11" s="3"/>
      <c r="EEE11" s="3"/>
      <c r="EEF11" s="3"/>
      <c r="EEG11" s="3"/>
      <c r="EEH11" s="3"/>
      <c r="EEI11" s="3"/>
      <c r="EEJ11" s="3"/>
      <c r="EEK11" s="3"/>
      <c r="EEL11" s="3"/>
      <c r="EEM11" s="3"/>
      <c r="EEN11" s="3"/>
      <c r="EEO11" s="3"/>
      <c r="EEP11" s="3"/>
      <c r="EEQ11" s="3"/>
      <c r="EER11" s="3"/>
      <c r="EES11" s="3"/>
      <c r="EET11" s="3"/>
      <c r="EEU11" s="3"/>
      <c r="EEV11" s="3"/>
      <c r="EEW11" s="3"/>
      <c r="EEX11" s="3"/>
      <c r="EEY11" s="3"/>
      <c r="EEZ11" s="3"/>
      <c r="EFA11" s="3"/>
      <c r="EFB11" s="3"/>
      <c r="EFC11" s="3"/>
      <c r="EFD11" s="3"/>
      <c r="EFE11" s="3"/>
      <c r="EFF11" s="3"/>
      <c r="EFG11" s="3"/>
      <c r="EFH11" s="3"/>
      <c r="EFI11" s="3"/>
      <c r="EFJ11" s="3"/>
      <c r="EFK11" s="3"/>
      <c r="EFL11" s="3"/>
      <c r="EFM11" s="3"/>
      <c r="EFN11" s="3"/>
      <c r="EFO11" s="3"/>
      <c r="EFP11" s="3"/>
      <c r="EFQ11" s="3"/>
      <c r="EFR11" s="3"/>
      <c r="EFS11" s="3"/>
      <c r="EFT11" s="3"/>
      <c r="EFU11" s="3"/>
      <c r="EFV11" s="3"/>
      <c r="EFW11" s="3"/>
      <c r="EFX11" s="3"/>
      <c r="EFY11" s="3"/>
      <c r="EFZ11" s="3"/>
      <c r="EGA11" s="3"/>
      <c r="EGB11" s="3"/>
      <c r="EGC11" s="3"/>
      <c r="EGD11" s="3"/>
      <c r="EGE11" s="3"/>
      <c r="EGF11" s="3"/>
      <c r="EGG11" s="3"/>
      <c r="EGH11" s="3"/>
      <c r="EGI11" s="3"/>
      <c r="EGJ11" s="3"/>
      <c r="EGK11" s="3"/>
      <c r="EGL11" s="3"/>
      <c r="EGM11" s="3"/>
      <c r="EGN11" s="3"/>
      <c r="EGO11" s="3"/>
      <c r="EGP11" s="3"/>
      <c r="EGQ11" s="3"/>
      <c r="EGR11" s="3"/>
      <c r="EGS11" s="3"/>
      <c r="EGT11" s="3"/>
      <c r="EGU11" s="3"/>
      <c r="EGV11" s="3"/>
      <c r="EGW11" s="3"/>
      <c r="EGX11" s="3"/>
      <c r="EGY11" s="3"/>
      <c r="EGZ11" s="3"/>
      <c r="EHA11" s="3"/>
      <c r="EHB11" s="3"/>
      <c r="EHC11" s="3"/>
      <c r="EHD11" s="3"/>
      <c r="EHE11" s="3"/>
      <c r="EHF11" s="3"/>
      <c r="EHG11" s="3"/>
      <c r="EHH11" s="3"/>
      <c r="EHI11" s="3"/>
      <c r="EHJ11" s="3"/>
      <c r="EHK11" s="3"/>
      <c r="EHL11" s="3"/>
      <c r="EHM11" s="3"/>
      <c r="EHN11" s="3"/>
      <c r="EHO11" s="3"/>
      <c r="EHP11" s="3"/>
      <c r="EHQ11" s="3"/>
      <c r="EHR11" s="3"/>
      <c r="EHS11" s="3"/>
      <c r="EHT11" s="3"/>
      <c r="EHU11" s="3"/>
      <c r="EHV11" s="3"/>
      <c r="EHW11" s="3"/>
      <c r="EHX11" s="3"/>
      <c r="EHY11" s="3"/>
      <c r="EHZ11" s="3"/>
      <c r="EIA11" s="3"/>
      <c r="EIB11" s="3"/>
      <c r="EIC11" s="3"/>
      <c r="EID11" s="3"/>
      <c r="EIE11" s="3"/>
      <c r="EIF11" s="3"/>
      <c r="EIG11" s="3"/>
      <c r="EIH11" s="3"/>
      <c r="EII11" s="3"/>
      <c r="EIJ11" s="3"/>
      <c r="EIK11" s="3"/>
      <c r="EIL11" s="3"/>
      <c r="EIM11" s="3"/>
      <c r="EIN11" s="3"/>
      <c r="EIO11" s="3"/>
      <c r="EIP11" s="3"/>
      <c r="EIQ11" s="3"/>
      <c r="EIR11" s="3"/>
      <c r="EIS11" s="3"/>
      <c r="EIT11" s="3"/>
      <c r="EIU11" s="3"/>
      <c r="EIV11" s="3"/>
      <c r="EIW11" s="3"/>
      <c r="EIX11" s="3"/>
      <c r="EIY11" s="3"/>
      <c r="EIZ11" s="3"/>
      <c r="EJA11" s="3"/>
      <c r="EJB11" s="3"/>
      <c r="EJC11" s="3"/>
      <c r="EJD11" s="3"/>
      <c r="EJE11" s="3"/>
      <c r="EJF11" s="3"/>
      <c r="EJG11" s="3"/>
      <c r="EJH11" s="3"/>
      <c r="EJI11" s="3"/>
      <c r="EJJ11" s="3"/>
      <c r="EJK11" s="3"/>
      <c r="EJL11" s="3"/>
      <c r="EJM11" s="3"/>
      <c r="EJN11" s="3"/>
      <c r="EJO11" s="3"/>
      <c r="EJP11" s="3"/>
      <c r="EJQ11" s="3"/>
      <c r="EJR11" s="3"/>
      <c r="EJS11" s="3"/>
      <c r="EJT11" s="3"/>
      <c r="EJU11" s="3"/>
      <c r="EJV11" s="3"/>
      <c r="EJW11" s="3"/>
      <c r="EJX11" s="3"/>
      <c r="EJY11" s="3"/>
      <c r="EJZ11" s="3"/>
      <c r="EKA11" s="3"/>
      <c r="EKB11" s="3"/>
      <c r="EKC11" s="3"/>
      <c r="EKD11" s="3"/>
      <c r="EKE11" s="3"/>
      <c r="EKF11" s="3"/>
      <c r="EKG11" s="3"/>
      <c r="EKH11" s="3"/>
      <c r="EKI11" s="3"/>
      <c r="EKJ11" s="3"/>
      <c r="EKK11" s="3"/>
      <c r="EKL11" s="3"/>
      <c r="EKM11" s="3"/>
      <c r="EKN11" s="3"/>
      <c r="EKO11" s="3"/>
      <c r="EKP11" s="3"/>
      <c r="EKQ11" s="3"/>
      <c r="EKR11" s="3"/>
      <c r="EKS11" s="3"/>
      <c r="EKT11" s="3"/>
      <c r="EKU11" s="3"/>
      <c r="EKV11" s="3"/>
      <c r="EKW11" s="3"/>
      <c r="EKX11" s="3"/>
      <c r="EKY11" s="3"/>
      <c r="EKZ11" s="3"/>
      <c r="ELA11" s="3"/>
      <c r="ELB11" s="3"/>
      <c r="ELC11" s="3"/>
      <c r="ELD11" s="3"/>
      <c r="ELE11" s="3"/>
      <c r="ELF11" s="3"/>
      <c r="ELG11" s="3"/>
      <c r="ELH11" s="3"/>
      <c r="ELI11" s="3"/>
      <c r="ELJ11" s="3"/>
      <c r="ELK11" s="3"/>
      <c r="ELL11" s="3"/>
      <c r="ELM11" s="3"/>
      <c r="ELN11" s="3"/>
      <c r="ELO11" s="3"/>
      <c r="ELP11" s="3"/>
      <c r="ELQ11" s="3"/>
      <c r="ELR11" s="3"/>
      <c r="ELS11" s="3"/>
      <c r="ELT11" s="3"/>
      <c r="ELU11" s="3"/>
      <c r="ELV11" s="3"/>
      <c r="ELW11" s="3"/>
      <c r="ELX11" s="3"/>
      <c r="ELY11" s="3"/>
      <c r="ELZ11" s="3"/>
      <c r="EMA11" s="3"/>
      <c r="EMB11" s="3"/>
      <c r="EMC11" s="3"/>
      <c r="EMD11" s="3"/>
      <c r="EME11" s="3"/>
      <c r="EMF11" s="3"/>
      <c r="EMG11" s="3"/>
      <c r="EMH11" s="3"/>
      <c r="EMI11" s="3"/>
      <c r="EMJ11" s="3"/>
      <c r="EMK11" s="3"/>
      <c r="EML11" s="3"/>
      <c r="EMM11" s="3"/>
      <c r="EMN11" s="3"/>
      <c r="EMO11" s="3"/>
      <c r="EMP11" s="3"/>
      <c r="EMQ11" s="3"/>
      <c r="EMR11" s="3"/>
      <c r="EMS11" s="3"/>
      <c r="EMT11" s="3"/>
      <c r="EMU11" s="3"/>
      <c r="EMV11" s="3"/>
      <c r="EMW11" s="3"/>
      <c r="EMX11" s="3"/>
      <c r="EMY11" s="3"/>
      <c r="EMZ11" s="3"/>
      <c r="ENA11" s="3"/>
      <c r="ENB11" s="3"/>
      <c r="ENC11" s="3"/>
      <c r="END11" s="3"/>
      <c r="ENE11" s="3"/>
      <c r="ENF11" s="3"/>
      <c r="ENG11" s="3"/>
      <c r="ENH11" s="3"/>
      <c r="ENI11" s="3"/>
      <c r="ENJ11" s="3"/>
      <c r="ENK11" s="3"/>
      <c r="ENL11" s="3"/>
      <c r="ENM11" s="3"/>
      <c r="ENN11" s="3"/>
      <c r="ENO11" s="3"/>
      <c r="ENP11" s="3"/>
      <c r="ENQ11" s="3"/>
      <c r="ENR11" s="3"/>
      <c r="ENS11" s="3"/>
      <c r="ENT11" s="3"/>
      <c r="ENU11" s="3"/>
      <c r="ENV11" s="3"/>
      <c r="ENW11" s="3"/>
      <c r="ENX11" s="3"/>
      <c r="ENY11" s="3"/>
      <c r="ENZ11" s="3"/>
      <c r="EOA11" s="3"/>
      <c r="EOB11" s="3"/>
      <c r="EOC11" s="3"/>
      <c r="EOD11" s="3"/>
      <c r="EOE11" s="3"/>
      <c r="EOF11" s="3"/>
      <c r="EOG11" s="3"/>
      <c r="EOH11" s="3"/>
      <c r="EOI11" s="3"/>
      <c r="EOJ11" s="3"/>
      <c r="EOK11" s="3"/>
      <c r="EOL11" s="3"/>
      <c r="EOM11" s="3"/>
      <c r="EON11" s="3"/>
      <c r="EOO11" s="3"/>
      <c r="EOP11" s="3"/>
      <c r="EOQ11" s="3"/>
      <c r="EOR11" s="3"/>
      <c r="EOS11" s="3"/>
      <c r="EOT11" s="3"/>
      <c r="EOU11" s="3"/>
      <c r="EOV11" s="3"/>
      <c r="EOW11" s="3"/>
      <c r="EOX11" s="3"/>
      <c r="EOY11" s="3"/>
      <c r="EOZ11" s="3"/>
      <c r="EPA11" s="3"/>
      <c r="EPB11" s="3"/>
      <c r="EPC11" s="3"/>
      <c r="EPD11" s="3"/>
      <c r="EPE11" s="3"/>
      <c r="EPF11" s="3"/>
      <c r="EPG11" s="3"/>
      <c r="EPH11" s="3"/>
      <c r="EPI11" s="3"/>
      <c r="EPJ11" s="3"/>
      <c r="EPK11" s="3"/>
      <c r="EPL11" s="3"/>
      <c r="EPM11" s="3"/>
      <c r="EPN11" s="3"/>
      <c r="EPO11" s="3"/>
      <c r="EPP11" s="3"/>
      <c r="EPQ11" s="3"/>
      <c r="EPR11" s="3"/>
      <c r="EPS11" s="3"/>
      <c r="EPT11" s="3"/>
      <c r="EPU11" s="3"/>
      <c r="EPV11" s="3"/>
      <c r="EPW11" s="3"/>
      <c r="EPX11" s="3"/>
      <c r="EPY11" s="3"/>
      <c r="EPZ11" s="3"/>
      <c r="EQA11" s="3"/>
      <c r="EQB11" s="3"/>
      <c r="EQC11" s="3"/>
      <c r="EQD11" s="3"/>
      <c r="EQE11" s="3"/>
      <c r="EQF11" s="3"/>
      <c r="EQG11" s="3"/>
      <c r="EQH11" s="3"/>
      <c r="EQI11" s="3"/>
      <c r="EQJ11" s="3"/>
      <c r="EQK11" s="3"/>
      <c r="EQL11" s="3"/>
      <c r="EQM11" s="3"/>
      <c r="EQN11" s="3"/>
      <c r="EQO11" s="3"/>
      <c r="EQP11" s="3"/>
      <c r="EQQ11" s="3"/>
      <c r="EQR11" s="3"/>
      <c r="EQS11" s="3"/>
      <c r="EQT11" s="3"/>
      <c r="EQU11" s="3"/>
      <c r="EQV11" s="3"/>
      <c r="EQW11" s="3"/>
      <c r="EQX11" s="3"/>
      <c r="EQY11" s="3"/>
      <c r="EQZ11" s="3"/>
      <c r="ERA11" s="3"/>
      <c r="ERB11" s="3"/>
      <c r="ERC11" s="3"/>
      <c r="ERD11" s="3"/>
      <c r="ERE11" s="3"/>
      <c r="ERF11" s="3"/>
      <c r="ERG11" s="3"/>
      <c r="ERH11" s="3"/>
      <c r="ERI11" s="3"/>
      <c r="ERJ11" s="3"/>
      <c r="ERK11" s="3"/>
      <c r="ERL11" s="3"/>
      <c r="ERM11" s="3"/>
      <c r="ERN11" s="3"/>
      <c r="ERO11" s="3"/>
      <c r="ERP11" s="3"/>
      <c r="ERQ11" s="3"/>
      <c r="ERR11" s="3"/>
      <c r="ERS11" s="3"/>
      <c r="ERT11" s="3"/>
      <c r="ERU11" s="3"/>
      <c r="ERV11" s="3"/>
      <c r="ERW11" s="3"/>
      <c r="ERX11" s="3"/>
      <c r="ERY11" s="3"/>
      <c r="ERZ11" s="3"/>
      <c r="ESA11" s="3"/>
      <c r="ESB11" s="3"/>
      <c r="ESC11" s="3"/>
      <c r="ESD11" s="3"/>
      <c r="ESE11" s="3"/>
      <c r="ESF11" s="3"/>
      <c r="ESG11" s="3"/>
      <c r="ESH11" s="3"/>
      <c r="ESI11" s="3"/>
      <c r="ESJ11" s="3"/>
      <c r="ESK11" s="3"/>
      <c r="ESL11" s="3"/>
      <c r="ESM11" s="3"/>
      <c r="ESN11" s="3"/>
      <c r="ESO11" s="3"/>
      <c r="ESP11" s="3"/>
      <c r="ESQ11" s="3"/>
      <c r="ESR11" s="3"/>
      <c r="ESS11" s="3"/>
      <c r="EST11" s="3"/>
      <c r="ESU11" s="3"/>
      <c r="ESV11" s="3"/>
      <c r="ESW11" s="3"/>
      <c r="ESX11" s="3"/>
      <c r="ESY11" s="3"/>
      <c r="ESZ11" s="3"/>
      <c r="ETA11" s="3"/>
      <c r="ETB11" s="3"/>
      <c r="ETC11" s="3"/>
      <c r="ETD11" s="3"/>
      <c r="ETE11" s="3"/>
      <c r="ETF11" s="3"/>
      <c r="ETG11" s="3"/>
      <c r="ETH11" s="3"/>
      <c r="ETI11" s="3"/>
      <c r="ETJ11" s="3"/>
      <c r="ETK11" s="3"/>
      <c r="ETL11" s="3"/>
      <c r="ETM11" s="3"/>
      <c r="ETN11" s="3"/>
      <c r="ETO11" s="3"/>
      <c r="ETP11" s="3"/>
      <c r="ETQ11" s="3"/>
      <c r="ETR11" s="3"/>
      <c r="ETS11" s="3"/>
      <c r="ETT11" s="3"/>
      <c r="ETU11" s="3"/>
      <c r="ETV11" s="3"/>
      <c r="ETW11" s="3"/>
      <c r="ETX11" s="3"/>
      <c r="ETY11" s="3"/>
      <c r="ETZ11" s="3"/>
      <c r="EUA11" s="3"/>
      <c r="EUB11" s="3"/>
      <c r="EUC11" s="3"/>
      <c r="EUD11" s="3"/>
      <c r="EUE11" s="3"/>
      <c r="EUF11" s="3"/>
      <c r="EUG11" s="3"/>
      <c r="EUH11" s="3"/>
      <c r="EUI11" s="3"/>
      <c r="EUJ11" s="3"/>
      <c r="EUK11" s="3"/>
      <c r="EUL11" s="3"/>
      <c r="EUM11" s="3"/>
      <c r="EUN11" s="3"/>
      <c r="EUO11" s="3"/>
      <c r="EUP11" s="3"/>
      <c r="EUQ11" s="3"/>
      <c r="EUR11" s="3"/>
      <c r="EUS11" s="3"/>
      <c r="EUT11" s="3"/>
      <c r="EUU11" s="3"/>
      <c r="EUV11" s="3"/>
      <c r="EUW11" s="3"/>
      <c r="EUX11" s="3"/>
      <c r="EUY11" s="3"/>
      <c r="EUZ11" s="3"/>
      <c r="EVA11" s="3"/>
      <c r="EVB11" s="3"/>
      <c r="EVC11" s="3"/>
      <c r="EVD11" s="3"/>
      <c r="EVE11" s="3"/>
      <c r="EVF11" s="3"/>
      <c r="EVG11" s="3"/>
      <c r="EVH11" s="3"/>
      <c r="EVI11" s="3"/>
      <c r="EVJ11" s="3"/>
      <c r="EVK11" s="3"/>
      <c r="EVL11" s="3"/>
      <c r="EVM11" s="3"/>
      <c r="EVN11" s="3"/>
      <c r="EVO11" s="3"/>
      <c r="EVP11" s="3"/>
      <c r="EVQ11" s="3"/>
      <c r="EVR11" s="3"/>
      <c r="EVS11" s="3"/>
      <c r="EVT11" s="3"/>
      <c r="EVU11" s="3"/>
      <c r="EVV11" s="3"/>
      <c r="EVW11" s="3"/>
      <c r="EVX11" s="3"/>
      <c r="EVY11" s="3"/>
      <c r="EVZ11" s="3"/>
      <c r="EWA11" s="3"/>
      <c r="EWB11" s="3"/>
      <c r="EWC11" s="3"/>
      <c r="EWD11" s="3"/>
      <c r="EWE11" s="3"/>
      <c r="EWF11" s="3"/>
      <c r="EWG11" s="3"/>
      <c r="EWH11" s="3"/>
      <c r="EWI11" s="3"/>
      <c r="EWJ11" s="3"/>
      <c r="EWK11" s="3"/>
      <c r="EWL11" s="3"/>
      <c r="EWM11" s="3"/>
      <c r="EWN11" s="3"/>
      <c r="EWO11" s="3"/>
      <c r="EWP11" s="3"/>
      <c r="EWQ11" s="3"/>
      <c r="EWR11" s="3"/>
      <c r="EWS11" s="3"/>
      <c r="EWT11" s="3"/>
      <c r="EWU11" s="3"/>
      <c r="EWV11" s="3"/>
      <c r="EWW11" s="3"/>
      <c r="EWX11" s="3"/>
      <c r="EWY11" s="3"/>
      <c r="EWZ11" s="3"/>
      <c r="EXA11" s="3"/>
      <c r="EXB11" s="3"/>
      <c r="EXC11" s="3"/>
      <c r="EXD11" s="3"/>
      <c r="EXE11" s="3"/>
      <c r="EXF11" s="3"/>
      <c r="EXG11" s="3"/>
      <c r="EXH11" s="3"/>
      <c r="EXI11" s="3"/>
      <c r="EXJ11" s="3"/>
      <c r="EXK11" s="3"/>
      <c r="EXL11" s="3"/>
      <c r="EXM11" s="3"/>
      <c r="EXN11" s="3"/>
      <c r="EXO11" s="3"/>
      <c r="EXP11" s="3"/>
      <c r="EXQ11" s="3"/>
      <c r="EXR11" s="3"/>
      <c r="EXS11" s="3"/>
      <c r="EXT11" s="3"/>
      <c r="EXU11" s="3"/>
      <c r="EXV11" s="3"/>
      <c r="EXW11" s="3"/>
      <c r="EXX11" s="3"/>
      <c r="EXY11" s="3"/>
      <c r="EXZ11" s="3"/>
      <c r="EYA11" s="3"/>
      <c r="EYB11" s="3"/>
      <c r="EYC11" s="3"/>
      <c r="EYD11" s="3"/>
      <c r="EYE11" s="3"/>
      <c r="EYF11" s="3"/>
      <c r="EYG11" s="3"/>
      <c r="EYH11" s="3"/>
      <c r="EYI11" s="3"/>
      <c r="EYJ11" s="3"/>
      <c r="EYK11" s="3"/>
      <c r="EYL11" s="3"/>
      <c r="EYM11" s="3"/>
      <c r="EYN11" s="3"/>
      <c r="EYO11" s="3"/>
      <c r="EYP11" s="3"/>
      <c r="EYQ11" s="3"/>
      <c r="EYR11" s="3"/>
      <c r="EYS11" s="3"/>
      <c r="EYT11" s="3"/>
      <c r="EYU11" s="3"/>
      <c r="EYV11" s="3"/>
      <c r="EYW11" s="3"/>
      <c r="EYX11" s="3"/>
      <c r="EYY11" s="3"/>
      <c r="EYZ11" s="3"/>
      <c r="EZA11" s="3"/>
      <c r="EZB11" s="3"/>
      <c r="EZC11" s="3"/>
      <c r="EZD11" s="3"/>
      <c r="EZE11" s="3"/>
      <c r="EZF11" s="3"/>
      <c r="EZG11" s="3"/>
      <c r="EZH11" s="3"/>
      <c r="EZI11" s="3"/>
      <c r="EZJ11" s="3"/>
      <c r="EZK11" s="3"/>
      <c r="EZL11" s="3"/>
      <c r="EZM11" s="3"/>
      <c r="EZN11" s="3"/>
      <c r="EZO11" s="3"/>
      <c r="EZP11" s="3"/>
      <c r="EZQ11" s="3"/>
      <c r="EZR11" s="3"/>
      <c r="EZS11" s="3"/>
      <c r="EZT11" s="3"/>
      <c r="EZU11" s="3"/>
      <c r="EZV11" s="3"/>
      <c r="EZW11" s="3"/>
      <c r="EZX11" s="3"/>
      <c r="EZY11" s="3"/>
      <c r="EZZ11" s="3"/>
      <c r="FAA11" s="3"/>
      <c r="FAB11" s="3"/>
      <c r="FAC11" s="3"/>
      <c r="FAD11" s="3"/>
      <c r="FAE11" s="3"/>
      <c r="FAF11" s="3"/>
      <c r="FAG11" s="3"/>
      <c r="FAH11" s="3"/>
      <c r="FAI11" s="3"/>
      <c r="FAJ11" s="3"/>
      <c r="FAK11" s="3"/>
      <c r="FAL11" s="3"/>
      <c r="FAM11" s="3"/>
      <c r="FAN11" s="3"/>
      <c r="FAO11" s="3"/>
      <c r="FAP11" s="3"/>
      <c r="FAQ11" s="3"/>
      <c r="FAR11" s="3"/>
      <c r="FAS11" s="3"/>
      <c r="FAT11" s="3"/>
      <c r="FAU11" s="3"/>
      <c r="FAV11" s="3"/>
      <c r="FAW11" s="3"/>
      <c r="FAX11" s="3"/>
      <c r="FAY11" s="3"/>
      <c r="FAZ11" s="3"/>
      <c r="FBA11" s="3"/>
      <c r="FBB11" s="3"/>
      <c r="FBC11" s="3"/>
      <c r="FBD11" s="3"/>
      <c r="FBE11" s="3"/>
      <c r="FBF11" s="3"/>
      <c r="FBG11" s="3"/>
      <c r="FBH11" s="3"/>
      <c r="FBI11" s="3"/>
      <c r="FBJ11" s="3"/>
      <c r="FBK11" s="3"/>
      <c r="FBL11" s="3"/>
      <c r="FBM11" s="3"/>
      <c r="FBN11" s="3"/>
      <c r="FBO11" s="3"/>
      <c r="FBP11" s="3"/>
      <c r="FBQ11" s="3"/>
      <c r="FBR11" s="3"/>
      <c r="FBS11" s="3"/>
      <c r="FBT11" s="3"/>
      <c r="FBU11" s="3"/>
      <c r="FBV11" s="3"/>
      <c r="FBW11" s="3"/>
      <c r="FBX11" s="3"/>
      <c r="FBY11" s="3"/>
      <c r="FBZ11" s="3"/>
      <c r="FCA11" s="3"/>
      <c r="FCB11" s="3"/>
      <c r="FCC11" s="3"/>
      <c r="FCD11" s="3"/>
      <c r="FCE11" s="3"/>
      <c r="FCF11" s="3"/>
      <c r="FCG11" s="3"/>
      <c r="FCH11" s="3"/>
      <c r="FCI11" s="3"/>
      <c r="FCJ11" s="3"/>
      <c r="FCK11" s="3"/>
      <c r="FCL11" s="3"/>
      <c r="FCM11" s="3"/>
      <c r="FCN11" s="3"/>
      <c r="FCO11" s="3"/>
      <c r="FCP11" s="3"/>
      <c r="FCQ11" s="3"/>
      <c r="FCR11" s="3"/>
      <c r="FCS11" s="3"/>
      <c r="FCT11" s="3"/>
      <c r="FCU11" s="3"/>
      <c r="FCV11" s="3"/>
      <c r="FCW11" s="3"/>
      <c r="FCX11" s="3"/>
      <c r="FCY11" s="3"/>
      <c r="FCZ11" s="3"/>
      <c r="FDA11" s="3"/>
      <c r="FDB11" s="3"/>
      <c r="FDC11" s="3"/>
      <c r="FDD11" s="3"/>
      <c r="FDE11" s="3"/>
      <c r="FDF11" s="3"/>
      <c r="FDG11" s="3"/>
      <c r="FDH11" s="3"/>
      <c r="FDI11" s="3"/>
      <c r="FDJ11" s="3"/>
      <c r="FDK11" s="3"/>
      <c r="FDL11" s="3"/>
      <c r="FDM11" s="3"/>
      <c r="FDN11" s="3"/>
      <c r="FDO11" s="3"/>
      <c r="FDP11" s="3"/>
      <c r="FDQ11" s="3"/>
      <c r="FDR11" s="3"/>
      <c r="FDS11" s="3"/>
      <c r="FDT11" s="3"/>
      <c r="FDU11" s="3"/>
      <c r="FDV11" s="3"/>
      <c r="FDW11" s="3"/>
      <c r="FDX11" s="3"/>
      <c r="FDY11" s="3"/>
      <c r="FDZ11" s="3"/>
      <c r="FEA11" s="3"/>
      <c r="FEB11" s="3"/>
      <c r="FEC11" s="3"/>
      <c r="FED11" s="3"/>
      <c r="FEE11" s="3"/>
      <c r="FEF11" s="3"/>
      <c r="FEG11" s="3"/>
      <c r="FEH11" s="3"/>
      <c r="FEI11" s="3"/>
      <c r="FEJ11" s="3"/>
      <c r="FEK11" s="3"/>
      <c r="FEL11" s="3"/>
      <c r="FEM11" s="3"/>
      <c r="FEN11" s="3"/>
      <c r="FEO11" s="3"/>
      <c r="FEP11" s="3"/>
      <c r="FEQ11" s="3"/>
      <c r="FER11" s="3"/>
      <c r="FES11" s="3"/>
      <c r="FET11" s="3"/>
      <c r="FEU11" s="3"/>
      <c r="FEV11" s="3"/>
      <c r="FEW11" s="3"/>
      <c r="FEX11" s="3"/>
      <c r="FEY11" s="3"/>
      <c r="FEZ11" s="3"/>
      <c r="FFA11" s="3"/>
      <c r="FFB11" s="3"/>
      <c r="FFC11" s="3"/>
      <c r="FFD11" s="3"/>
      <c r="FFE11" s="3"/>
      <c r="FFF11" s="3"/>
      <c r="FFG11" s="3"/>
      <c r="FFH11" s="3"/>
      <c r="FFI11" s="3"/>
      <c r="FFJ11" s="3"/>
      <c r="FFK11" s="3"/>
      <c r="FFL11" s="3"/>
      <c r="FFM11" s="3"/>
      <c r="FFN11" s="3"/>
      <c r="FFO11" s="3"/>
      <c r="FFP11" s="3"/>
      <c r="FFQ11" s="3"/>
      <c r="FFR11" s="3"/>
      <c r="FFS11" s="3"/>
      <c r="FFT11" s="3"/>
      <c r="FFU11" s="3"/>
      <c r="FFV11" s="3"/>
      <c r="FFW11" s="3"/>
      <c r="FFX11" s="3"/>
      <c r="FFY11" s="3"/>
      <c r="FFZ11" s="3"/>
      <c r="FGA11" s="3"/>
      <c r="FGB11" s="3"/>
      <c r="FGC11" s="3"/>
      <c r="FGD11" s="3"/>
      <c r="FGE11" s="3"/>
      <c r="FGF11" s="3"/>
      <c r="FGG11" s="3"/>
      <c r="FGH11" s="3"/>
      <c r="FGI11" s="3"/>
      <c r="FGJ11" s="3"/>
      <c r="FGK11" s="3"/>
      <c r="FGL11" s="3"/>
      <c r="FGM11" s="3"/>
      <c r="FGN11" s="3"/>
      <c r="FGO11" s="3"/>
      <c r="FGP11" s="3"/>
      <c r="FGQ11" s="3"/>
      <c r="FGR11" s="3"/>
      <c r="FGS11" s="3"/>
      <c r="FGT11" s="3"/>
      <c r="FGU11" s="3"/>
      <c r="FGV11" s="3"/>
      <c r="FGW11" s="3"/>
      <c r="FGX11" s="3"/>
      <c r="FGY11" s="3"/>
      <c r="FGZ11" s="3"/>
      <c r="FHA11" s="3"/>
      <c r="FHB11" s="3"/>
      <c r="FHC11" s="3"/>
      <c r="FHD11" s="3"/>
      <c r="FHE11" s="3"/>
      <c r="FHF11" s="3"/>
      <c r="FHG11" s="3"/>
      <c r="FHH11" s="3"/>
      <c r="FHI11" s="3"/>
      <c r="FHJ11" s="3"/>
      <c r="FHK11" s="3"/>
      <c r="FHL11" s="3"/>
      <c r="FHM11" s="3"/>
      <c r="FHN11" s="3"/>
      <c r="FHO11" s="3"/>
      <c r="FHP11" s="3"/>
      <c r="FHQ11" s="3"/>
      <c r="FHR11" s="3"/>
      <c r="FHS11" s="3"/>
      <c r="FHT11" s="3"/>
      <c r="FHU11" s="3"/>
      <c r="FHV11" s="3"/>
      <c r="FHW11" s="3"/>
      <c r="FHX11" s="3"/>
      <c r="FHY11" s="3"/>
      <c r="FHZ11" s="3"/>
      <c r="FIA11" s="3"/>
      <c r="FIB11" s="3"/>
      <c r="FIC11" s="3"/>
      <c r="FID11" s="3"/>
      <c r="FIE11" s="3"/>
      <c r="FIF11" s="3"/>
      <c r="FIG11" s="3"/>
      <c r="FIH11" s="3"/>
      <c r="FII11" s="3"/>
      <c r="FIJ11" s="3"/>
      <c r="FIK11" s="3"/>
      <c r="FIL11" s="3"/>
      <c r="FIM11" s="3"/>
      <c r="FIN11" s="3"/>
      <c r="FIO11" s="3"/>
      <c r="FIP11" s="3"/>
      <c r="FIQ11" s="3"/>
      <c r="FIR11" s="3"/>
      <c r="FIS11" s="3"/>
      <c r="FIT11" s="3"/>
      <c r="FIU11" s="3"/>
      <c r="FIV11" s="3"/>
      <c r="FIW11" s="3"/>
      <c r="FIX11" s="3"/>
      <c r="FIY11" s="3"/>
      <c r="FIZ11" s="3"/>
      <c r="FJA11" s="3"/>
      <c r="FJB11" s="3"/>
      <c r="FJC11" s="3"/>
      <c r="FJD11" s="3"/>
      <c r="FJE11" s="3"/>
      <c r="FJF11" s="3"/>
      <c r="FJG11" s="3"/>
      <c r="FJH11" s="3"/>
      <c r="FJI11" s="3"/>
      <c r="FJJ11" s="3"/>
      <c r="FJK11" s="3"/>
      <c r="FJL11" s="3"/>
      <c r="FJM11" s="3"/>
      <c r="FJN11" s="3"/>
      <c r="FJO11" s="3"/>
      <c r="FJP11" s="3"/>
      <c r="FJQ11" s="3"/>
      <c r="FJR11" s="3"/>
      <c r="FJS11" s="3"/>
      <c r="FJT11" s="3"/>
      <c r="FJU11" s="3"/>
      <c r="FJV11" s="3"/>
      <c r="FJW11" s="3"/>
      <c r="FJX11" s="3"/>
      <c r="FJY11" s="3"/>
      <c r="FJZ11" s="3"/>
      <c r="FKA11" s="3"/>
      <c r="FKB11" s="3"/>
      <c r="FKC11" s="3"/>
      <c r="FKD11" s="3"/>
      <c r="FKE11" s="3"/>
      <c r="FKF11" s="3"/>
      <c r="FKG11" s="3"/>
      <c r="FKH11" s="3"/>
      <c r="FKI11" s="3"/>
      <c r="FKJ11" s="3"/>
      <c r="FKK11" s="3"/>
      <c r="FKL11" s="3"/>
      <c r="FKM11" s="3"/>
      <c r="FKN11" s="3"/>
      <c r="FKO11" s="3"/>
      <c r="FKP11" s="3"/>
      <c r="FKQ11" s="3"/>
      <c r="FKR11" s="3"/>
      <c r="FKS11" s="3"/>
      <c r="FKT11" s="3"/>
      <c r="FKU11" s="3"/>
      <c r="FKV11" s="3"/>
      <c r="FKW11" s="3"/>
      <c r="FKX11" s="3"/>
      <c r="FKY11" s="3"/>
      <c r="FKZ11" s="3"/>
      <c r="FLA11" s="3"/>
      <c r="FLB11" s="3"/>
      <c r="FLC11" s="3"/>
      <c r="FLD11" s="3"/>
      <c r="FLE11" s="3"/>
      <c r="FLF11" s="3"/>
      <c r="FLG11" s="3"/>
      <c r="FLH11" s="3"/>
      <c r="FLI11" s="3"/>
      <c r="FLJ11" s="3"/>
      <c r="FLK11" s="3"/>
      <c r="FLL11" s="3"/>
      <c r="FLM11" s="3"/>
      <c r="FLN11" s="3"/>
      <c r="FLO11" s="3"/>
      <c r="FLP11" s="3"/>
      <c r="FLQ11" s="3"/>
      <c r="FLR11" s="3"/>
      <c r="FLS11" s="3"/>
      <c r="FLT11" s="3"/>
      <c r="FLU11" s="3"/>
      <c r="FLV11" s="3"/>
      <c r="FLW11" s="3"/>
      <c r="FLX11" s="3"/>
      <c r="FLY11" s="3"/>
      <c r="FLZ11" s="3"/>
      <c r="FMA11" s="3"/>
      <c r="FMB11" s="3"/>
      <c r="FMC11" s="3"/>
      <c r="FMD11" s="3"/>
      <c r="FME11" s="3"/>
      <c r="FMF11" s="3"/>
      <c r="FMG11" s="3"/>
      <c r="FMH11" s="3"/>
      <c r="FMI11" s="3"/>
      <c r="FMJ11" s="3"/>
      <c r="FMK11" s="3"/>
      <c r="FML11" s="3"/>
      <c r="FMM11" s="3"/>
      <c r="FMN11" s="3"/>
      <c r="FMO11" s="3"/>
      <c r="FMP11" s="3"/>
      <c r="FMQ11" s="3"/>
      <c r="FMR11" s="3"/>
      <c r="FMS11" s="3"/>
      <c r="FMT11" s="3"/>
      <c r="FMU11" s="3"/>
      <c r="FMV11" s="3"/>
      <c r="FMW11" s="3"/>
      <c r="FMX11" s="3"/>
      <c r="FMY11" s="3"/>
      <c r="FMZ11" s="3"/>
      <c r="FNA11" s="3"/>
      <c r="FNB11" s="3"/>
      <c r="FNC11" s="3"/>
      <c r="FND11" s="3"/>
      <c r="FNE11" s="3"/>
      <c r="FNF11" s="3"/>
      <c r="FNG11" s="3"/>
      <c r="FNH11" s="3"/>
      <c r="FNI11" s="3"/>
      <c r="FNJ11" s="3"/>
      <c r="FNK11" s="3"/>
      <c r="FNL11" s="3"/>
      <c r="FNM11" s="3"/>
      <c r="FNN11" s="3"/>
      <c r="FNO11" s="3"/>
      <c r="FNP11" s="3"/>
      <c r="FNQ11" s="3"/>
      <c r="FNR11" s="3"/>
      <c r="FNS11" s="3"/>
      <c r="FNT11" s="3"/>
      <c r="FNU11" s="3"/>
      <c r="FNV11" s="3"/>
      <c r="FNW11" s="3"/>
      <c r="FNX11" s="3"/>
      <c r="FNY11" s="3"/>
      <c r="FNZ11" s="3"/>
      <c r="FOA11" s="3"/>
      <c r="FOB11" s="3"/>
      <c r="FOC11" s="3"/>
      <c r="FOD11" s="3"/>
      <c r="FOE11" s="3"/>
      <c r="FOF11" s="3"/>
      <c r="FOG11" s="3"/>
      <c r="FOH11" s="3"/>
      <c r="FOI11" s="3"/>
      <c r="FOJ11" s="3"/>
      <c r="FOK11" s="3"/>
      <c r="FOL11" s="3"/>
      <c r="FOM11" s="3"/>
      <c r="FON11" s="3"/>
      <c r="FOO11" s="3"/>
      <c r="FOP11" s="3"/>
      <c r="FOQ11" s="3"/>
      <c r="FOR11" s="3"/>
      <c r="FOS11" s="3"/>
      <c r="FOT11" s="3"/>
      <c r="FOU11" s="3"/>
      <c r="FOV11" s="3"/>
      <c r="FOW11" s="3"/>
      <c r="FOX11" s="3"/>
      <c r="FOY11" s="3"/>
      <c r="FOZ11" s="3"/>
      <c r="FPA11" s="3"/>
      <c r="FPB11" s="3"/>
      <c r="FPC11" s="3"/>
      <c r="FPD11" s="3"/>
      <c r="FPE11" s="3"/>
      <c r="FPF11" s="3"/>
      <c r="FPG11" s="3"/>
      <c r="FPH11" s="3"/>
      <c r="FPI11" s="3"/>
      <c r="FPJ11" s="3"/>
      <c r="FPK11" s="3"/>
      <c r="FPL11" s="3"/>
      <c r="FPM11" s="3"/>
      <c r="FPN11" s="3"/>
      <c r="FPO11" s="3"/>
      <c r="FPP11" s="3"/>
      <c r="FPQ11" s="3"/>
      <c r="FPR11" s="3"/>
      <c r="FPS11" s="3"/>
      <c r="FPT11" s="3"/>
      <c r="FPU11" s="3"/>
      <c r="FPV11" s="3"/>
      <c r="FPW11" s="3"/>
      <c r="FPX11" s="3"/>
      <c r="FPY11" s="3"/>
      <c r="FPZ11" s="3"/>
      <c r="FQA11" s="3"/>
      <c r="FQB11" s="3"/>
      <c r="FQC11" s="3"/>
      <c r="FQD11" s="3"/>
      <c r="FQE11" s="3"/>
      <c r="FQF11" s="3"/>
      <c r="FQG11" s="3"/>
      <c r="FQH11" s="3"/>
      <c r="FQI11" s="3"/>
      <c r="FQJ11" s="3"/>
      <c r="FQK11" s="3"/>
      <c r="FQL11" s="3"/>
      <c r="FQM11" s="3"/>
      <c r="FQN11" s="3"/>
      <c r="FQO11" s="3"/>
      <c r="FQP11" s="3"/>
      <c r="FQQ11" s="3"/>
      <c r="FQR11" s="3"/>
      <c r="FQS11" s="3"/>
      <c r="FQT11" s="3"/>
      <c r="FQU11" s="3"/>
      <c r="FQV11" s="3"/>
      <c r="FQW11" s="3"/>
      <c r="FQX11" s="3"/>
      <c r="FQY11" s="3"/>
      <c r="FQZ11" s="3"/>
      <c r="FRA11" s="3"/>
      <c r="FRB11" s="3"/>
      <c r="FRC11" s="3"/>
      <c r="FRD11" s="3"/>
      <c r="FRE11" s="3"/>
      <c r="FRF11" s="3"/>
      <c r="FRG11" s="3"/>
      <c r="FRH11" s="3"/>
      <c r="FRI11" s="3"/>
      <c r="FRJ11" s="3"/>
      <c r="FRK11" s="3"/>
      <c r="FRL11" s="3"/>
      <c r="FRM11" s="3"/>
      <c r="FRN11" s="3"/>
      <c r="FRO11" s="3"/>
      <c r="FRP11" s="3"/>
      <c r="FRQ11" s="3"/>
      <c r="FRR11" s="3"/>
      <c r="FRS11" s="3"/>
      <c r="FRT11" s="3"/>
      <c r="FRU11" s="3"/>
      <c r="FRV11" s="3"/>
      <c r="FRW11" s="3"/>
      <c r="FRX11" s="3"/>
      <c r="FRY11" s="3"/>
      <c r="FRZ11" s="3"/>
      <c r="FSA11" s="3"/>
      <c r="FSB11" s="3"/>
      <c r="FSC11" s="3"/>
      <c r="FSD11" s="3"/>
      <c r="FSE11" s="3"/>
      <c r="FSF11" s="3"/>
      <c r="FSG11" s="3"/>
      <c r="FSH11" s="3"/>
      <c r="FSI11" s="3"/>
      <c r="FSJ11" s="3"/>
      <c r="FSK11" s="3"/>
      <c r="FSL11" s="3"/>
      <c r="FSM11" s="3"/>
      <c r="FSN11" s="3"/>
      <c r="FSO11" s="3"/>
      <c r="FSP11" s="3"/>
      <c r="FSQ11" s="3"/>
      <c r="FSR11" s="3"/>
      <c r="FSS11" s="3"/>
      <c r="FST11" s="3"/>
      <c r="FSU11" s="3"/>
      <c r="FSV11" s="3"/>
      <c r="FSW11" s="3"/>
      <c r="FSX11" s="3"/>
      <c r="FSY11" s="3"/>
      <c r="FSZ11" s="3"/>
      <c r="FTA11" s="3"/>
      <c r="FTB11" s="3"/>
      <c r="FTC11" s="3"/>
      <c r="FTD11" s="3"/>
      <c r="FTE11" s="3"/>
      <c r="FTF11" s="3"/>
      <c r="FTG11" s="3"/>
      <c r="FTH11" s="3"/>
      <c r="FTI11" s="3"/>
      <c r="FTJ11" s="3"/>
      <c r="FTK11" s="3"/>
      <c r="FTL11" s="3"/>
      <c r="FTM11" s="3"/>
      <c r="FTN11" s="3"/>
      <c r="FTO11" s="3"/>
      <c r="FTP11" s="3"/>
      <c r="FTQ11" s="3"/>
      <c r="FTR11" s="3"/>
      <c r="FTS11" s="3"/>
      <c r="FTT11" s="3"/>
      <c r="FTU11" s="3"/>
      <c r="FTV11" s="3"/>
      <c r="FTW11" s="3"/>
      <c r="FTX11" s="3"/>
      <c r="FTY11" s="3"/>
      <c r="FTZ11" s="3"/>
      <c r="FUA11" s="3"/>
      <c r="FUB11" s="3"/>
      <c r="FUC11" s="3"/>
      <c r="FUD11" s="3"/>
      <c r="FUE11" s="3"/>
      <c r="FUF11" s="3"/>
      <c r="FUG11" s="3"/>
      <c r="FUH11" s="3"/>
      <c r="FUI11" s="3"/>
      <c r="FUJ11" s="3"/>
      <c r="FUK11" s="3"/>
      <c r="FUL11" s="3"/>
      <c r="FUM11" s="3"/>
      <c r="FUN11" s="3"/>
      <c r="FUO11" s="3"/>
      <c r="FUP11" s="3"/>
      <c r="FUQ11" s="3"/>
      <c r="FUR11" s="3"/>
      <c r="FUS11" s="3"/>
      <c r="FUT11" s="3"/>
      <c r="FUU11" s="3"/>
      <c r="FUV11" s="3"/>
      <c r="FUW11" s="3"/>
      <c r="FUX11" s="3"/>
      <c r="FUY11" s="3"/>
      <c r="FUZ11" s="3"/>
      <c r="FVA11" s="3"/>
      <c r="FVB11" s="3"/>
      <c r="FVC11" s="3"/>
      <c r="FVD11" s="3"/>
      <c r="FVE11" s="3"/>
      <c r="FVF11" s="3"/>
      <c r="FVG11" s="3"/>
      <c r="FVH11" s="3"/>
      <c r="FVI11" s="3"/>
      <c r="FVJ11" s="3"/>
      <c r="FVK11" s="3"/>
      <c r="FVL11" s="3"/>
      <c r="FVM11" s="3"/>
      <c r="FVN11" s="3"/>
      <c r="FVO11" s="3"/>
      <c r="FVP11" s="3"/>
      <c r="FVQ11" s="3"/>
      <c r="FVR11" s="3"/>
      <c r="FVS11" s="3"/>
      <c r="FVT11" s="3"/>
      <c r="FVU11" s="3"/>
      <c r="FVV11" s="3"/>
      <c r="FVW11" s="3"/>
      <c r="FVX11" s="3"/>
      <c r="FVY11" s="3"/>
      <c r="FVZ11" s="3"/>
      <c r="FWA11" s="3"/>
      <c r="FWB11" s="3"/>
      <c r="FWC11" s="3"/>
      <c r="FWD11" s="3"/>
      <c r="FWE11" s="3"/>
      <c r="FWF11" s="3"/>
      <c r="FWG11" s="3"/>
      <c r="FWH11" s="3"/>
      <c r="FWI11" s="3"/>
      <c r="FWJ11" s="3"/>
      <c r="FWK11" s="3"/>
      <c r="FWL11" s="3"/>
      <c r="FWM11" s="3"/>
      <c r="FWN11" s="3"/>
      <c r="FWO11" s="3"/>
      <c r="FWP11" s="3"/>
      <c r="FWQ11" s="3"/>
      <c r="FWR11" s="3"/>
      <c r="FWS11" s="3"/>
      <c r="FWT11" s="3"/>
      <c r="FWU11" s="3"/>
      <c r="FWV11" s="3"/>
      <c r="FWW11" s="3"/>
      <c r="FWX11" s="3"/>
      <c r="FWY11" s="3"/>
      <c r="FWZ11" s="3"/>
      <c r="FXA11" s="3"/>
      <c r="FXB11" s="3"/>
      <c r="FXC11" s="3"/>
      <c r="FXD11" s="3"/>
      <c r="FXE11" s="3"/>
      <c r="FXF11" s="3"/>
      <c r="FXG11" s="3"/>
      <c r="FXH11" s="3"/>
      <c r="FXI11" s="3"/>
      <c r="FXJ11" s="3"/>
      <c r="FXK11" s="3"/>
      <c r="FXL11" s="3"/>
      <c r="FXM11" s="3"/>
      <c r="FXN11" s="3"/>
      <c r="FXO11" s="3"/>
      <c r="FXP11" s="3"/>
      <c r="FXQ11" s="3"/>
      <c r="FXR11" s="3"/>
      <c r="FXS11" s="3"/>
      <c r="FXT11" s="3"/>
      <c r="FXU11" s="3"/>
      <c r="FXV11" s="3"/>
      <c r="FXW11" s="3"/>
      <c r="FXX11" s="3"/>
      <c r="FXY11" s="3"/>
      <c r="FXZ11" s="3"/>
      <c r="FYA11" s="3"/>
      <c r="FYB11" s="3"/>
      <c r="FYC11" s="3"/>
      <c r="FYD11" s="3"/>
      <c r="FYE11" s="3"/>
      <c r="FYF11" s="3"/>
      <c r="FYG11" s="3"/>
      <c r="FYH11" s="3"/>
      <c r="FYI11" s="3"/>
      <c r="FYJ11" s="3"/>
      <c r="FYK11" s="3"/>
      <c r="FYL11" s="3"/>
      <c r="FYM11" s="3"/>
      <c r="FYN11" s="3"/>
      <c r="FYO11" s="3"/>
      <c r="FYP11" s="3"/>
      <c r="FYQ11" s="3"/>
      <c r="FYR11" s="3"/>
      <c r="FYS11" s="3"/>
      <c r="FYT11" s="3"/>
      <c r="FYU11" s="3"/>
      <c r="FYV11" s="3"/>
      <c r="FYW11" s="3"/>
      <c r="FYX11" s="3"/>
      <c r="FYY11" s="3"/>
      <c r="FYZ11" s="3"/>
      <c r="FZA11" s="3"/>
      <c r="FZB11" s="3"/>
      <c r="FZC11" s="3"/>
      <c r="FZD11" s="3"/>
      <c r="FZE11" s="3"/>
      <c r="FZF11" s="3"/>
      <c r="FZG11" s="3"/>
      <c r="FZH11" s="3"/>
      <c r="FZI11" s="3"/>
      <c r="FZJ11" s="3"/>
      <c r="FZK11" s="3"/>
      <c r="FZL11" s="3"/>
      <c r="FZM11" s="3"/>
      <c r="FZN11" s="3"/>
      <c r="FZO11" s="3"/>
      <c r="FZP11" s="3"/>
      <c r="FZQ11" s="3"/>
      <c r="FZR11" s="3"/>
      <c r="FZS11" s="3"/>
      <c r="FZT11" s="3"/>
      <c r="FZU11" s="3"/>
      <c r="FZV11" s="3"/>
      <c r="FZW11" s="3"/>
      <c r="FZX11" s="3"/>
      <c r="FZY11" s="3"/>
      <c r="FZZ11" s="3"/>
      <c r="GAA11" s="3"/>
      <c r="GAB11" s="3"/>
      <c r="GAC11" s="3"/>
      <c r="GAD11" s="3"/>
      <c r="GAE11" s="3"/>
      <c r="GAF11" s="3"/>
      <c r="GAG11" s="3"/>
      <c r="GAH11" s="3"/>
      <c r="GAI11" s="3"/>
      <c r="GAJ11" s="3"/>
      <c r="GAK11" s="3"/>
      <c r="GAL11" s="3"/>
      <c r="GAM11" s="3"/>
      <c r="GAN11" s="3"/>
      <c r="GAO11" s="3"/>
      <c r="GAP11" s="3"/>
      <c r="GAQ11" s="3"/>
      <c r="GAR11" s="3"/>
      <c r="GAS11" s="3"/>
      <c r="GAT11" s="3"/>
      <c r="GAU11" s="3"/>
      <c r="GAV11" s="3"/>
      <c r="GAW11" s="3"/>
      <c r="GAX11" s="3"/>
      <c r="GAY11" s="3"/>
      <c r="GAZ11" s="3"/>
      <c r="GBA11" s="3"/>
      <c r="GBB11" s="3"/>
      <c r="GBC11" s="3"/>
      <c r="GBD11" s="3"/>
      <c r="GBE11" s="3"/>
      <c r="GBF11" s="3"/>
      <c r="GBG11" s="3"/>
      <c r="GBH11" s="3"/>
      <c r="GBI11" s="3"/>
      <c r="GBJ11" s="3"/>
      <c r="GBK11" s="3"/>
      <c r="GBL11" s="3"/>
      <c r="GBM11" s="3"/>
      <c r="GBN11" s="3"/>
      <c r="GBO11" s="3"/>
      <c r="GBP11" s="3"/>
      <c r="GBQ11" s="3"/>
      <c r="GBR11" s="3"/>
      <c r="GBS11" s="3"/>
      <c r="GBT11" s="3"/>
      <c r="GBU11" s="3"/>
      <c r="GBV11" s="3"/>
      <c r="GBW11" s="3"/>
      <c r="GBX11" s="3"/>
      <c r="GBY11" s="3"/>
      <c r="GBZ11" s="3"/>
      <c r="GCA11" s="3"/>
      <c r="GCB11" s="3"/>
      <c r="GCC11" s="3"/>
      <c r="GCD11" s="3"/>
      <c r="GCE11" s="3"/>
      <c r="GCF11" s="3"/>
      <c r="GCG11" s="3"/>
      <c r="GCH11" s="3"/>
      <c r="GCI11" s="3"/>
      <c r="GCJ11" s="3"/>
      <c r="GCK11" s="3"/>
      <c r="GCL11" s="3"/>
      <c r="GCM11" s="3"/>
      <c r="GCN11" s="3"/>
      <c r="GCO11" s="3"/>
      <c r="GCP11" s="3"/>
      <c r="GCQ11" s="3"/>
      <c r="GCR11" s="3"/>
      <c r="GCS11" s="3"/>
      <c r="GCT11" s="3"/>
      <c r="GCU11" s="3"/>
      <c r="GCV11" s="3"/>
      <c r="GCW11" s="3"/>
      <c r="GCX11" s="3"/>
      <c r="GCY11" s="3"/>
      <c r="GCZ11" s="3"/>
      <c r="GDA11" s="3"/>
      <c r="GDB11" s="3"/>
      <c r="GDC11" s="3"/>
      <c r="GDD11" s="3"/>
      <c r="GDE11" s="3"/>
      <c r="GDF11" s="3"/>
      <c r="GDG11" s="3"/>
      <c r="GDH11" s="3"/>
      <c r="GDI11" s="3"/>
      <c r="GDJ11" s="3"/>
      <c r="GDK11" s="3"/>
      <c r="GDL11" s="3"/>
      <c r="GDM11" s="3"/>
      <c r="GDN11" s="3"/>
      <c r="GDO11" s="3"/>
      <c r="GDP11" s="3"/>
      <c r="GDQ11" s="3"/>
      <c r="GDR11" s="3"/>
      <c r="GDS11" s="3"/>
      <c r="GDT11" s="3"/>
      <c r="GDU11" s="3"/>
      <c r="GDV11" s="3"/>
      <c r="GDW11" s="3"/>
      <c r="GDX11" s="3"/>
      <c r="GDY11" s="3"/>
      <c r="GDZ11" s="3"/>
      <c r="GEA11" s="3"/>
      <c r="GEB11" s="3"/>
      <c r="GEC11" s="3"/>
      <c r="GED11" s="3"/>
      <c r="GEE11" s="3"/>
      <c r="GEF11" s="3"/>
      <c r="GEG11" s="3"/>
      <c r="GEH11" s="3"/>
      <c r="GEI11" s="3"/>
      <c r="GEJ11" s="3"/>
      <c r="GEK11" s="3"/>
      <c r="GEL11" s="3"/>
      <c r="GEM11" s="3"/>
      <c r="GEN11" s="3"/>
      <c r="GEO11" s="3"/>
      <c r="GEP11" s="3"/>
      <c r="GEQ11" s="3"/>
      <c r="GER11" s="3"/>
      <c r="GES11" s="3"/>
      <c r="GET11" s="3"/>
      <c r="GEU11" s="3"/>
      <c r="GEV11" s="3"/>
      <c r="GEW11" s="3"/>
      <c r="GEX11" s="3"/>
      <c r="GEY11" s="3"/>
      <c r="GEZ11" s="3"/>
      <c r="GFA11" s="3"/>
      <c r="GFB11" s="3"/>
      <c r="GFC11" s="3"/>
      <c r="GFD11" s="3"/>
      <c r="GFE11" s="3"/>
      <c r="GFF11" s="3"/>
      <c r="GFG11" s="3"/>
      <c r="GFH11" s="3"/>
      <c r="GFI11" s="3"/>
      <c r="GFJ11" s="3"/>
      <c r="GFK11" s="3"/>
      <c r="GFL11" s="3"/>
      <c r="GFM11" s="3"/>
      <c r="GFN11" s="3"/>
      <c r="GFO11" s="3"/>
      <c r="GFP11" s="3"/>
      <c r="GFQ11" s="3"/>
      <c r="GFR11" s="3"/>
      <c r="GFS11" s="3"/>
      <c r="GFT11" s="3"/>
      <c r="GFU11" s="3"/>
      <c r="GFV11" s="3"/>
      <c r="GFW11" s="3"/>
      <c r="GFX11" s="3"/>
      <c r="GFY11" s="3"/>
      <c r="GFZ11" s="3"/>
      <c r="GGA11" s="3"/>
      <c r="GGB11" s="3"/>
      <c r="GGC11" s="3"/>
      <c r="GGD11" s="3"/>
      <c r="GGE11" s="3"/>
      <c r="GGF11" s="3"/>
      <c r="GGG11" s="3"/>
      <c r="GGH11" s="3"/>
      <c r="GGI11" s="3"/>
      <c r="GGJ11" s="3"/>
      <c r="GGK11" s="3"/>
      <c r="GGL11" s="3"/>
      <c r="GGM11" s="3"/>
      <c r="GGN11" s="3"/>
      <c r="GGO11" s="3"/>
      <c r="GGP11" s="3"/>
      <c r="GGQ11" s="3"/>
      <c r="GGR11" s="3"/>
      <c r="GGS11" s="3"/>
      <c r="GGT11" s="3"/>
      <c r="GGU11" s="3"/>
      <c r="GGV11" s="3"/>
      <c r="GGW11" s="3"/>
      <c r="GGX11" s="3"/>
      <c r="GGY11" s="3"/>
      <c r="GGZ11" s="3"/>
      <c r="GHA11" s="3"/>
      <c r="GHB11" s="3"/>
      <c r="GHC11" s="3"/>
      <c r="GHD11" s="3"/>
      <c r="GHE11" s="3"/>
      <c r="GHF11" s="3"/>
      <c r="GHG11" s="3"/>
      <c r="GHH11" s="3"/>
      <c r="GHI11" s="3"/>
      <c r="GHJ11" s="3"/>
      <c r="GHK11" s="3"/>
      <c r="GHL11" s="3"/>
      <c r="GHM11" s="3"/>
      <c r="GHN11" s="3"/>
      <c r="GHO11" s="3"/>
      <c r="GHP11" s="3"/>
      <c r="GHQ11" s="3"/>
      <c r="GHR11" s="3"/>
      <c r="GHS11" s="3"/>
      <c r="GHT11" s="3"/>
      <c r="GHU11" s="3"/>
      <c r="GHV11" s="3"/>
      <c r="GHW11" s="3"/>
      <c r="GHX11" s="3"/>
      <c r="GHY11" s="3"/>
      <c r="GHZ11" s="3"/>
      <c r="GIA11" s="3"/>
      <c r="GIB11" s="3"/>
      <c r="GIC11" s="3"/>
      <c r="GID11" s="3"/>
      <c r="GIE11" s="3"/>
      <c r="GIF11" s="3"/>
      <c r="GIG11" s="3"/>
      <c r="GIH11" s="3"/>
      <c r="GII11" s="3"/>
      <c r="GIJ11" s="3"/>
      <c r="GIK11" s="3"/>
      <c r="GIL11" s="3"/>
      <c r="GIM11" s="3"/>
      <c r="GIN11" s="3"/>
      <c r="GIO11" s="3"/>
      <c r="GIP11" s="3"/>
      <c r="GIQ11" s="3"/>
      <c r="GIR11" s="3"/>
      <c r="GIS11" s="3"/>
      <c r="GIT11" s="3"/>
      <c r="GIU11" s="3"/>
      <c r="GIV11" s="3"/>
      <c r="GIW11" s="3"/>
      <c r="GIX11" s="3"/>
      <c r="GIY11" s="3"/>
      <c r="GIZ11" s="3"/>
      <c r="GJA11" s="3"/>
      <c r="GJB11" s="3"/>
      <c r="GJC11" s="3"/>
      <c r="GJD11" s="3"/>
      <c r="GJE11" s="3"/>
      <c r="GJF11" s="3"/>
      <c r="GJG11" s="3"/>
      <c r="GJH11" s="3"/>
      <c r="GJI11" s="3"/>
      <c r="GJJ11" s="3"/>
      <c r="GJK11" s="3"/>
      <c r="GJL11" s="3"/>
      <c r="GJM11" s="3"/>
      <c r="GJN11" s="3"/>
      <c r="GJO11" s="3"/>
      <c r="GJP11" s="3"/>
      <c r="GJQ11" s="3"/>
      <c r="GJR11" s="3"/>
      <c r="GJS11" s="3"/>
      <c r="GJT11" s="3"/>
      <c r="GJU11" s="3"/>
      <c r="GJV11" s="3"/>
      <c r="GJW11" s="3"/>
      <c r="GJX11" s="3"/>
      <c r="GJY11" s="3"/>
      <c r="GJZ11" s="3"/>
      <c r="GKA11" s="3"/>
      <c r="GKB11" s="3"/>
      <c r="GKC11" s="3"/>
      <c r="GKD11" s="3"/>
      <c r="GKE11" s="3"/>
      <c r="GKF11" s="3"/>
      <c r="GKG11" s="3"/>
      <c r="GKH11" s="3"/>
      <c r="GKI11" s="3"/>
      <c r="GKJ11" s="3"/>
      <c r="GKK11" s="3"/>
      <c r="GKL11" s="3"/>
      <c r="GKM11" s="3"/>
      <c r="GKN11" s="3"/>
      <c r="GKO11" s="3"/>
      <c r="GKP11" s="3"/>
      <c r="GKQ11" s="3"/>
      <c r="GKR11" s="3"/>
      <c r="GKS11" s="3"/>
      <c r="GKT11" s="3"/>
      <c r="GKU11" s="3"/>
      <c r="GKV11" s="3"/>
      <c r="GKW11" s="3"/>
      <c r="GKX11" s="3"/>
      <c r="GKY11" s="3"/>
      <c r="GKZ11" s="3"/>
      <c r="GLA11" s="3"/>
      <c r="GLB11" s="3"/>
      <c r="GLC11" s="3"/>
      <c r="GLD11" s="3"/>
      <c r="GLE11" s="3"/>
      <c r="GLF11" s="3"/>
      <c r="GLG11" s="3"/>
      <c r="GLH11" s="3"/>
      <c r="GLI11" s="3"/>
      <c r="GLJ11" s="3"/>
      <c r="GLK11" s="3"/>
      <c r="GLL11" s="3"/>
      <c r="GLM11" s="3"/>
      <c r="GLN11" s="3"/>
      <c r="GLO11" s="3"/>
      <c r="GLP11" s="3"/>
      <c r="GLQ11" s="3"/>
      <c r="GLR11" s="3"/>
      <c r="GLS11" s="3"/>
      <c r="GLT11" s="3"/>
      <c r="GLU11" s="3"/>
      <c r="GLV11" s="3"/>
      <c r="GLW11" s="3"/>
      <c r="GLX11" s="3"/>
      <c r="GLY11" s="3"/>
      <c r="GLZ11" s="3"/>
      <c r="GMA11" s="3"/>
      <c r="GMB11" s="3"/>
      <c r="GMC11" s="3"/>
      <c r="GMD11" s="3"/>
      <c r="GME11" s="3"/>
      <c r="GMF11" s="3"/>
      <c r="GMG11" s="3"/>
      <c r="GMH11" s="3"/>
      <c r="GMI11" s="3"/>
      <c r="GMJ11" s="3"/>
      <c r="GMK11" s="3"/>
      <c r="GML11" s="3"/>
      <c r="GMM11" s="3"/>
      <c r="GMN11" s="3"/>
      <c r="GMO11" s="3"/>
      <c r="GMP11" s="3"/>
      <c r="GMQ11" s="3"/>
      <c r="GMR11" s="3"/>
      <c r="GMS11" s="3"/>
      <c r="GMT11" s="3"/>
      <c r="GMU11" s="3"/>
      <c r="GMV11" s="3"/>
      <c r="GMW11" s="3"/>
      <c r="GMX11" s="3"/>
      <c r="GMY11" s="3"/>
      <c r="GMZ11" s="3"/>
      <c r="GNA11" s="3"/>
      <c r="GNB11" s="3"/>
      <c r="GNC11" s="3"/>
      <c r="GND11" s="3"/>
      <c r="GNE11" s="3"/>
      <c r="GNF11" s="3"/>
      <c r="GNG11" s="3"/>
      <c r="GNH11" s="3"/>
      <c r="GNI11" s="3"/>
      <c r="GNJ11" s="3"/>
      <c r="GNK11" s="3"/>
      <c r="GNL11" s="3"/>
      <c r="GNM11" s="3"/>
      <c r="GNN11" s="3"/>
      <c r="GNO11" s="3"/>
      <c r="GNP11" s="3"/>
      <c r="GNQ11" s="3"/>
      <c r="GNR11" s="3"/>
      <c r="GNS11" s="3"/>
      <c r="GNT11" s="3"/>
      <c r="GNU11" s="3"/>
      <c r="GNV11" s="3"/>
      <c r="GNW11" s="3"/>
      <c r="GNX11" s="3"/>
      <c r="GNY11" s="3"/>
      <c r="GNZ11" s="3"/>
      <c r="GOA11" s="3"/>
      <c r="GOB11" s="3"/>
      <c r="GOC11" s="3"/>
      <c r="GOD11" s="3"/>
      <c r="GOE11" s="3"/>
      <c r="GOF11" s="3"/>
      <c r="GOG11" s="3"/>
      <c r="GOH11" s="3"/>
      <c r="GOI11" s="3"/>
      <c r="GOJ11" s="3"/>
      <c r="GOK11" s="3"/>
      <c r="GOL11" s="3"/>
      <c r="GOM11" s="3"/>
      <c r="GON11" s="3"/>
      <c r="GOO11" s="3"/>
      <c r="GOP11" s="3"/>
      <c r="GOQ11" s="3"/>
      <c r="GOR11" s="3"/>
      <c r="GOS11" s="3"/>
      <c r="GOT11" s="3"/>
      <c r="GOU11" s="3"/>
      <c r="GOV11" s="3"/>
      <c r="GOW11" s="3"/>
      <c r="GOX11" s="3"/>
      <c r="GOY11" s="3"/>
      <c r="GOZ11" s="3"/>
      <c r="GPA11" s="3"/>
      <c r="GPB11" s="3"/>
      <c r="GPC11" s="3"/>
      <c r="GPD11" s="3"/>
      <c r="GPE11" s="3"/>
      <c r="GPF11" s="3"/>
      <c r="GPG11" s="3"/>
      <c r="GPH11" s="3"/>
      <c r="GPI11" s="3"/>
      <c r="GPJ11" s="3"/>
      <c r="GPK11" s="3"/>
      <c r="GPL11" s="3"/>
      <c r="GPM11" s="3"/>
      <c r="GPN11" s="3"/>
      <c r="GPO11" s="3"/>
      <c r="GPP11" s="3"/>
      <c r="GPQ11" s="3"/>
      <c r="GPR11" s="3"/>
      <c r="GPS11" s="3"/>
      <c r="GPT11" s="3"/>
      <c r="GPU11" s="3"/>
      <c r="GPV11" s="3"/>
      <c r="GPW11" s="3"/>
      <c r="GPX11" s="3"/>
      <c r="GPY11" s="3"/>
      <c r="GPZ11" s="3"/>
      <c r="GQA11" s="3"/>
      <c r="GQB11" s="3"/>
      <c r="GQC11" s="3"/>
      <c r="GQD11" s="3"/>
      <c r="GQE11" s="3"/>
      <c r="GQF11" s="3"/>
      <c r="GQG11" s="3"/>
      <c r="GQH11" s="3"/>
      <c r="GQI11" s="3"/>
      <c r="GQJ11" s="3"/>
      <c r="GQK11" s="3"/>
      <c r="GQL11" s="3"/>
      <c r="GQM11" s="3"/>
      <c r="GQN11" s="3"/>
      <c r="GQO11" s="3"/>
      <c r="GQP11" s="3"/>
      <c r="GQQ11" s="3"/>
      <c r="GQR11" s="3"/>
      <c r="GQS11" s="3"/>
      <c r="GQT11" s="3"/>
      <c r="GQU11" s="3"/>
      <c r="GQV11" s="3"/>
      <c r="GQW11" s="3"/>
      <c r="GQX11" s="3"/>
      <c r="GQY11" s="3"/>
      <c r="GQZ11" s="3"/>
      <c r="GRA11" s="3"/>
      <c r="GRB11" s="3"/>
      <c r="GRC11" s="3"/>
      <c r="GRD11" s="3"/>
      <c r="GRE11" s="3"/>
      <c r="GRF11" s="3"/>
      <c r="GRG11" s="3"/>
      <c r="GRH11" s="3"/>
      <c r="GRI11" s="3"/>
      <c r="GRJ11" s="3"/>
      <c r="GRK11" s="3"/>
      <c r="GRL11" s="3"/>
      <c r="GRM11" s="3"/>
      <c r="GRN11" s="3"/>
      <c r="GRO11" s="3"/>
      <c r="GRP11" s="3"/>
      <c r="GRQ11" s="3"/>
      <c r="GRR11" s="3"/>
      <c r="GRS11" s="3"/>
      <c r="GRT11" s="3"/>
      <c r="GRU11" s="3"/>
      <c r="GRV11" s="3"/>
      <c r="GRW11" s="3"/>
      <c r="GRX11" s="3"/>
      <c r="GRY11" s="3"/>
      <c r="GRZ11" s="3"/>
      <c r="GSA11" s="3"/>
      <c r="GSB11" s="3"/>
      <c r="GSC11" s="3"/>
      <c r="GSD11" s="3"/>
      <c r="GSE11" s="3"/>
      <c r="GSF11" s="3"/>
      <c r="GSG11" s="3"/>
      <c r="GSH11" s="3"/>
      <c r="GSI11" s="3"/>
      <c r="GSJ11" s="3"/>
      <c r="GSK11" s="3"/>
      <c r="GSL11" s="3"/>
      <c r="GSM11" s="3"/>
      <c r="GSN11" s="3"/>
      <c r="GSO11" s="3"/>
      <c r="GSP11" s="3"/>
      <c r="GSQ11" s="3"/>
      <c r="GSR11" s="3"/>
      <c r="GSS11" s="3"/>
      <c r="GST11" s="3"/>
      <c r="GSU11" s="3"/>
      <c r="GSV11" s="3"/>
      <c r="GSW11" s="3"/>
      <c r="GSX11" s="3"/>
      <c r="GSY11" s="3"/>
      <c r="GSZ11" s="3"/>
      <c r="GTA11" s="3"/>
      <c r="GTB11" s="3"/>
      <c r="GTC11" s="3"/>
      <c r="GTD11" s="3"/>
      <c r="GTE11" s="3"/>
      <c r="GTF11" s="3"/>
      <c r="GTG11" s="3"/>
      <c r="GTH11" s="3"/>
      <c r="GTI11" s="3"/>
      <c r="GTJ11" s="3"/>
      <c r="GTK11" s="3"/>
      <c r="GTL11" s="3"/>
      <c r="GTM11" s="3"/>
      <c r="GTN11" s="3"/>
      <c r="GTO11" s="3"/>
      <c r="GTP11" s="3"/>
      <c r="GTQ11" s="3"/>
      <c r="GTR11" s="3"/>
      <c r="GTS11" s="3"/>
      <c r="GTT11" s="3"/>
      <c r="GTU11" s="3"/>
      <c r="GTV11" s="3"/>
      <c r="GTW11" s="3"/>
      <c r="GTX11" s="3"/>
      <c r="GTY11" s="3"/>
      <c r="GTZ11" s="3"/>
      <c r="GUA11" s="3"/>
      <c r="GUB11" s="3"/>
      <c r="GUC11" s="3"/>
      <c r="GUD11" s="3"/>
      <c r="GUE11" s="3"/>
      <c r="GUF11" s="3"/>
      <c r="GUG11" s="3"/>
      <c r="GUH11" s="3"/>
      <c r="GUI11" s="3"/>
      <c r="GUJ11" s="3"/>
      <c r="GUK11" s="3"/>
      <c r="GUL11" s="3"/>
      <c r="GUM11" s="3"/>
      <c r="GUN11" s="3"/>
      <c r="GUO11" s="3"/>
      <c r="GUP11" s="3"/>
      <c r="GUQ11" s="3"/>
      <c r="GUR11" s="3"/>
      <c r="GUS11" s="3"/>
      <c r="GUT11" s="3"/>
      <c r="GUU11" s="3"/>
      <c r="GUV11" s="3"/>
      <c r="GUW11" s="3"/>
      <c r="GUX11" s="3"/>
      <c r="GUY11" s="3"/>
      <c r="GUZ11" s="3"/>
      <c r="GVA11" s="3"/>
      <c r="GVB11" s="3"/>
      <c r="GVC11" s="3"/>
      <c r="GVD11" s="3"/>
      <c r="GVE11" s="3"/>
      <c r="GVF11" s="3"/>
      <c r="GVG11" s="3"/>
      <c r="GVH11" s="3"/>
      <c r="GVI11" s="3"/>
      <c r="GVJ11" s="3"/>
      <c r="GVK11" s="3"/>
      <c r="GVL11" s="3"/>
      <c r="GVM11" s="3"/>
      <c r="GVN11" s="3"/>
      <c r="GVO11" s="3"/>
      <c r="GVP11" s="3"/>
      <c r="GVQ11" s="3"/>
      <c r="GVR11" s="3"/>
      <c r="GVS11" s="3"/>
      <c r="GVT11" s="3"/>
      <c r="GVU11" s="3"/>
      <c r="GVV11" s="3"/>
      <c r="GVW11" s="3"/>
      <c r="GVX11" s="3"/>
      <c r="GVY11" s="3"/>
      <c r="GVZ11" s="3"/>
      <c r="GWA11" s="3"/>
      <c r="GWB11" s="3"/>
      <c r="GWC11" s="3"/>
      <c r="GWD11" s="3"/>
      <c r="GWE11" s="3"/>
      <c r="GWF11" s="3"/>
      <c r="GWG11" s="3"/>
      <c r="GWH11" s="3"/>
      <c r="GWI11" s="3"/>
      <c r="GWJ11" s="3"/>
      <c r="GWK11" s="3"/>
      <c r="GWL11" s="3"/>
      <c r="GWM11" s="3"/>
      <c r="GWN11" s="3"/>
      <c r="GWO11" s="3"/>
      <c r="GWP11" s="3"/>
      <c r="GWQ11" s="3"/>
      <c r="GWR11" s="3"/>
      <c r="GWS11" s="3"/>
      <c r="GWT11" s="3"/>
      <c r="GWU11" s="3"/>
      <c r="GWV11" s="3"/>
      <c r="GWW11" s="3"/>
      <c r="GWX11" s="3"/>
      <c r="GWY11" s="3"/>
      <c r="GWZ11" s="3"/>
      <c r="GXA11" s="3"/>
      <c r="GXB11" s="3"/>
      <c r="GXC11" s="3"/>
      <c r="GXD11" s="3"/>
      <c r="GXE11" s="3"/>
      <c r="GXF11" s="3"/>
      <c r="GXG11" s="3"/>
      <c r="GXH11" s="3"/>
      <c r="GXI11" s="3"/>
      <c r="GXJ11" s="3"/>
      <c r="GXK11" s="3"/>
      <c r="GXL11" s="3"/>
      <c r="GXM11" s="3"/>
      <c r="GXN11" s="3"/>
      <c r="GXO11" s="3"/>
      <c r="GXP11" s="3"/>
      <c r="GXQ11" s="3"/>
      <c r="GXR11" s="3"/>
      <c r="GXS11" s="3"/>
      <c r="GXT11" s="3"/>
      <c r="GXU11" s="3"/>
      <c r="GXV11" s="3"/>
      <c r="GXW11" s="3"/>
      <c r="GXX11" s="3"/>
      <c r="GXY11" s="3"/>
      <c r="GXZ11" s="3"/>
      <c r="GYA11" s="3"/>
      <c r="GYB11" s="3"/>
      <c r="GYC11" s="3"/>
      <c r="GYD11" s="3"/>
      <c r="GYE11" s="3"/>
      <c r="GYF11" s="3"/>
      <c r="GYG11" s="3"/>
      <c r="GYH11" s="3"/>
      <c r="GYI11" s="3"/>
      <c r="GYJ11" s="3"/>
      <c r="GYK11" s="3"/>
      <c r="GYL11" s="3"/>
      <c r="GYM11" s="3"/>
      <c r="GYN11" s="3"/>
      <c r="GYO11" s="3"/>
      <c r="GYP11" s="3"/>
      <c r="GYQ11" s="3"/>
      <c r="GYR11" s="3"/>
      <c r="GYS11" s="3"/>
      <c r="GYT11" s="3"/>
      <c r="GYU11" s="3"/>
      <c r="GYV11" s="3"/>
      <c r="GYW11" s="3"/>
      <c r="GYX11" s="3"/>
      <c r="GYY11" s="3"/>
      <c r="GYZ11" s="3"/>
      <c r="GZA11" s="3"/>
      <c r="GZB11" s="3"/>
      <c r="GZC11" s="3"/>
      <c r="GZD11" s="3"/>
      <c r="GZE11" s="3"/>
      <c r="GZF11" s="3"/>
      <c r="GZG11" s="3"/>
      <c r="GZH11" s="3"/>
      <c r="GZI11" s="3"/>
      <c r="GZJ11" s="3"/>
      <c r="GZK11" s="3"/>
      <c r="GZL11" s="3"/>
      <c r="GZM11" s="3"/>
      <c r="GZN11" s="3"/>
      <c r="GZO11" s="3"/>
      <c r="GZP11" s="3"/>
      <c r="GZQ11" s="3"/>
      <c r="GZR11" s="3"/>
      <c r="GZS11" s="3"/>
      <c r="GZT11" s="3"/>
      <c r="GZU11" s="3"/>
      <c r="GZV11" s="3"/>
      <c r="GZW11" s="3"/>
      <c r="GZX11" s="3"/>
      <c r="GZY11" s="3"/>
      <c r="GZZ11" s="3"/>
      <c r="HAA11" s="3"/>
      <c r="HAB11" s="3"/>
      <c r="HAC11" s="3"/>
      <c r="HAD11" s="3"/>
      <c r="HAE11" s="3"/>
      <c r="HAF11" s="3"/>
      <c r="HAG11" s="3"/>
      <c r="HAH11" s="3"/>
      <c r="HAI11" s="3"/>
      <c r="HAJ11" s="3"/>
      <c r="HAK11" s="3"/>
      <c r="HAL11" s="3"/>
      <c r="HAM11" s="3"/>
      <c r="HAN11" s="3"/>
      <c r="HAO11" s="3"/>
      <c r="HAP11" s="3"/>
      <c r="HAQ11" s="3"/>
      <c r="HAR11" s="3"/>
      <c r="HAS11" s="3"/>
      <c r="HAT11" s="3"/>
      <c r="HAU11" s="3"/>
      <c r="HAV11" s="3"/>
      <c r="HAW11" s="3"/>
      <c r="HAX11" s="3"/>
      <c r="HAY11" s="3"/>
      <c r="HAZ11" s="3"/>
      <c r="HBA11" s="3"/>
      <c r="HBB11" s="3"/>
      <c r="HBC11" s="3"/>
      <c r="HBD11" s="3"/>
      <c r="HBE11" s="3"/>
      <c r="HBF11" s="3"/>
      <c r="HBG11" s="3"/>
      <c r="HBH11" s="3"/>
      <c r="HBI11" s="3"/>
      <c r="HBJ11" s="3"/>
      <c r="HBK11" s="3"/>
      <c r="HBL11" s="3"/>
      <c r="HBM11" s="3"/>
      <c r="HBN11" s="3"/>
      <c r="HBO11" s="3"/>
      <c r="HBP11" s="3"/>
      <c r="HBQ11" s="3"/>
      <c r="HBR11" s="3"/>
      <c r="HBS11" s="3"/>
      <c r="HBT11" s="3"/>
      <c r="HBU11" s="3"/>
      <c r="HBV11" s="3"/>
      <c r="HBW11" s="3"/>
      <c r="HBX11" s="3"/>
      <c r="HBY11" s="3"/>
      <c r="HBZ11" s="3"/>
      <c r="HCA11" s="3"/>
      <c r="HCB11" s="3"/>
      <c r="HCC11" s="3"/>
      <c r="HCD11" s="3"/>
      <c r="HCE11" s="3"/>
      <c r="HCF11" s="3"/>
      <c r="HCG11" s="3"/>
      <c r="HCH11" s="3"/>
      <c r="HCI11" s="3"/>
      <c r="HCJ11" s="3"/>
      <c r="HCK11" s="3"/>
      <c r="HCL11" s="3"/>
      <c r="HCM11" s="3"/>
      <c r="HCN11" s="3"/>
      <c r="HCO11" s="3"/>
      <c r="HCP11" s="3"/>
      <c r="HCQ11" s="3"/>
      <c r="HCR11" s="3"/>
      <c r="HCS11" s="3"/>
      <c r="HCT11" s="3"/>
      <c r="HCU11" s="3"/>
      <c r="HCV11" s="3"/>
      <c r="HCW11" s="3"/>
      <c r="HCX11" s="3"/>
      <c r="HCY11" s="3"/>
      <c r="HCZ11" s="3"/>
      <c r="HDA11" s="3"/>
      <c r="HDB11" s="3"/>
      <c r="HDC11" s="3"/>
      <c r="HDD11" s="3"/>
      <c r="HDE11" s="3"/>
      <c r="HDF11" s="3"/>
      <c r="HDG11" s="3"/>
      <c r="HDH11" s="3"/>
      <c r="HDI11" s="3"/>
      <c r="HDJ11" s="3"/>
      <c r="HDK11" s="3"/>
      <c r="HDL11" s="3"/>
      <c r="HDM11" s="3"/>
      <c r="HDN11" s="3"/>
      <c r="HDO11" s="3"/>
      <c r="HDP11" s="3"/>
      <c r="HDQ11" s="3"/>
      <c r="HDR11" s="3"/>
      <c r="HDS11" s="3"/>
      <c r="HDT11" s="3"/>
      <c r="HDU11" s="3"/>
      <c r="HDV11" s="3"/>
      <c r="HDW11" s="3"/>
      <c r="HDX11" s="3"/>
      <c r="HDY11" s="3"/>
      <c r="HDZ11" s="3"/>
      <c r="HEA11" s="3"/>
      <c r="HEB11" s="3"/>
      <c r="HEC11" s="3"/>
      <c r="HED11" s="3"/>
      <c r="HEE11" s="3"/>
      <c r="HEF11" s="3"/>
      <c r="HEG11" s="3"/>
      <c r="HEH11" s="3"/>
      <c r="HEI11" s="3"/>
      <c r="HEJ11" s="3"/>
      <c r="HEK11" s="3"/>
      <c r="HEL11" s="3"/>
      <c r="HEM11" s="3"/>
      <c r="HEN11" s="3"/>
      <c r="HEO11" s="3"/>
      <c r="HEP11" s="3"/>
      <c r="HEQ11" s="3"/>
      <c r="HER11" s="3"/>
      <c r="HES11" s="3"/>
      <c r="HET11" s="3"/>
      <c r="HEU11" s="3"/>
      <c r="HEV11" s="3"/>
      <c r="HEW11" s="3"/>
      <c r="HEX11" s="3"/>
      <c r="HEY11" s="3"/>
      <c r="HEZ11" s="3"/>
      <c r="HFA11" s="3"/>
      <c r="HFB11" s="3"/>
      <c r="HFC11" s="3"/>
      <c r="HFD11" s="3"/>
      <c r="HFE11" s="3"/>
      <c r="HFF11" s="3"/>
      <c r="HFG11" s="3"/>
      <c r="HFH11" s="3"/>
      <c r="HFI11" s="3"/>
      <c r="HFJ11" s="3"/>
      <c r="HFK11" s="3"/>
      <c r="HFL11" s="3"/>
      <c r="HFM11" s="3"/>
      <c r="HFN11" s="3"/>
      <c r="HFO11" s="3"/>
      <c r="HFP11" s="3"/>
      <c r="HFQ11" s="3"/>
      <c r="HFR11" s="3"/>
      <c r="HFS11" s="3"/>
      <c r="HFT11" s="3"/>
      <c r="HFU11" s="3"/>
      <c r="HFV11" s="3"/>
      <c r="HFW11" s="3"/>
      <c r="HFX11" s="3"/>
      <c r="HFY11" s="3"/>
      <c r="HFZ11" s="3"/>
      <c r="HGA11" s="3"/>
      <c r="HGB11" s="3"/>
      <c r="HGC11" s="3"/>
      <c r="HGD11" s="3"/>
      <c r="HGE11" s="3"/>
      <c r="HGF11" s="3"/>
      <c r="HGG11" s="3"/>
      <c r="HGH11" s="3"/>
      <c r="HGI11" s="3"/>
      <c r="HGJ11" s="3"/>
      <c r="HGK11" s="3"/>
      <c r="HGL11" s="3"/>
      <c r="HGM11" s="3"/>
      <c r="HGN11" s="3"/>
      <c r="HGO11" s="3"/>
      <c r="HGP11" s="3"/>
      <c r="HGQ11" s="3"/>
      <c r="HGR11" s="3"/>
      <c r="HGS11" s="3"/>
      <c r="HGT11" s="3"/>
      <c r="HGU11" s="3"/>
      <c r="HGV11" s="3"/>
      <c r="HGW11" s="3"/>
      <c r="HGX11" s="3"/>
      <c r="HGY11" s="3"/>
      <c r="HGZ11" s="3"/>
      <c r="HHA11" s="3"/>
      <c r="HHB11" s="3"/>
      <c r="HHC11" s="3"/>
      <c r="HHD11" s="3"/>
      <c r="HHE11" s="3"/>
      <c r="HHF11" s="3"/>
      <c r="HHG11" s="3"/>
      <c r="HHH11" s="3"/>
      <c r="HHI11" s="3"/>
      <c r="HHJ11" s="3"/>
      <c r="HHK11" s="3"/>
      <c r="HHL11" s="3"/>
      <c r="HHM11" s="3"/>
      <c r="HHN11" s="3"/>
      <c r="HHO11" s="3"/>
      <c r="HHP11" s="3"/>
      <c r="HHQ11" s="3"/>
      <c r="HHR11" s="3"/>
      <c r="HHS11" s="3"/>
      <c r="HHT11" s="3"/>
      <c r="HHU11" s="3"/>
      <c r="HHV11" s="3"/>
      <c r="HHW11" s="3"/>
      <c r="HHX11" s="3"/>
      <c r="HHY11" s="3"/>
      <c r="HHZ11" s="3"/>
      <c r="HIA11" s="3"/>
      <c r="HIB11" s="3"/>
      <c r="HIC11" s="3"/>
      <c r="HID11" s="3"/>
      <c r="HIE11" s="3"/>
      <c r="HIF11" s="3"/>
      <c r="HIG11" s="3"/>
      <c r="HIH11" s="3"/>
      <c r="HII11" s="3"/>
      <c r="HIJ11" s="3"/>
      <c r="HIK11" s="3"/>
      <c r="HIL11" s="3"/>
      <c r="HIM11" s="3"/>
      <c r="HIN11" s="3"/>
      <c r="HIO11" s="3"/>
      <c r="HIP11" s="3"/>
      <c r="HIQ11" s="3"/>
      <c r="HIR11" s="3"/>
      <c r="HIS11" s="3"/>
      <c r="HIT11" s="3"/>
      <c r="HIU11" s="3"/>
      <c r="HIV11" s="3"/>
      <c r="HIW11" s="3"/>
      <c r="HIX11" s="3"/>
      <c r="HIY11" s="3"/>
      <c r="HIZ11" s="3"/>
      <c r="HJA11" s="3"/>
      <c r="HJB11" s="3"/>
      <c r="HJC11" s="3"/>
      <c r="HJD11" s="3"/>
      <c r="HJE11" s="3"/>
      <c r="HJF11" s="3"/>
      <c r="HJG11" s="3"/>
      <c r="HJH11" s="3"/>
      <c r="HJI11" s="3"/>
      <c r="HJJ11" s="3"/>
      <c r="HJK11" s="3"/>
      <c r="HJL11" s="3"/>
      <c r="HJM11" s="3"/>
      <c r="HJN11" s="3"/>
      <c r="HJO11" s="3"/>
      <c r="HJP11" s="3"/>
      <c r="HJQ11" s="3"/>
      <c r="HJR11" s="3"/>
      <c r="HJS11" s="3"/>
      <c r="HJT11" s="3"/>
      <c r="HJU11" s="3"/>
      <c r="HJV11" s="3"/>
      <c r="HJW11" s="3"/>
      <c r="HJX11" s="3"/>
      <c r="HJY11" s="3"/>
      <c r="HJZ11" s="3"/>
      <c r="HKA11" s="3"/>
      <c r="HKB11" s="3"/>
      <c r="HKC11" s="3"/>
      <c r="HKD11" s="3"/>
      <c r="HKE11" s="3"/>
      <c r="HKF11" s="3"/>
      <c r="HKG11" s="3"/>
      <c r="HKH11" s="3"/>
      <c r="HKI11" s="3"/>
      <c r="HKJ11" s="3"/>
      <c r="HKK11" s="3"/>
      <c r="HKL11" s="3"/>
      <c r="HKM11" s="3"/>
      <c r="HKN11" s="3"/>
      <c r="HKO11" s="3"/>
      <c r="HKP11" s="3"/>
      <c r="HKQ11" s="3"/>
      <c r="HKR11" s="3"/>
      <c r="HKS11" s="3"/>
      <c r="HKT11" s="3"/>
      <c r="HKU11" s="3"/>
      <c r="HKV11" s="3"/>
      <c r="HKW11" s="3"/>
      <c r="HKX11" s="3"/>
      <c r="HKY11" s="3"/>
      <c r="HKZ11" s="3"/>
      <c r="HLA11" s="3"/>
      <c r="HLB11" s="3"/>
      <c r="HLC11" s="3"/>
      <c r="HLD11" s="3"/>
      <c r="HLE11" s="3"/>
      <c r="HLF11" s="3"/>
      <c r="HLG11" s="3"/>
      <c r="HLH11" s="3"/>
      <c r="HLI11" s="3"/>
      <c r="HLJ11" s="3"/>
      <c r="HLK11" s="3"/>
      <c r="HLL11" s="3"/>
      <c r="HLM11" s="3"/>
      <c r="HLN11" s="3"/>
      <c r="HLO11" s="3"/>
      <c r="HLP11" s="3"/>
      <c r="HLQ11" s="3"/>
      <c r="HLR11" s="3"/>
      <c r="HLS11" s="3"/>
      <c r="HLT11" s="3"/>
      <c r="HLU11" s="3"/>
      <c r="HLV11" s="3"/>
      <c r="HLW11" s="3"/>
      <c r="HLX11" s="3"/>
      <c r="HLY11" s="3"/>
      <c r="HLZ11" s="3"/>
      <c r="HMA11" s="3"/>
      <c r="HMB11" s="3"/>
      <c r="HMC11" s="3"/>
      <c r="HMD11" s="3"/>
      <c r="HME11" s="3"/>
      <c r="HMF11" s="3"/>
      <c r="HMG11" s="3"/>
      <c r="HMH11" s="3"/>
      <c r="HMI11" s="3"/>
      <c r="HMJ11" s="3"/>
      <c r="HMK11" s="3"/>
      <c r="HML11" s="3"/>
      <c r="HMM11" s="3"/>
      <c r="HMN11" s="3"/>
      <c r="HMO11" s="3"/>
      <c r="HMP11" s="3"/>
      <c r="HMQ11" s="3"/>
      <c r="HMR11" s="3"/>
      <c r="HMS11" s="3"/>
      <c r="HMT11" s="3"/>
      <c r="HMU11" s="3"/>
      <c r="HMV11" s="3"/>
      <c r="HMW11" s="3"/>
      <c r="HMX11" s="3"/>
      <c r="HMY11" s="3"/>
      <c r="HMZ11" s="3"/>
      <c r="HNA11" s="3"/>
      <c r="HNB11" s="3"/>
      <c r="HNC11" s="3"/>
      <c r="HND11" s="3"/>
      <c r="HNE11" s="3"/>
      <c r="HNF11" s="3"/>
      <c r="HNG11" s="3"/>
      <c r="HNH11" s="3"/>
      <c r="HNI11" s="3"/>
      <c r="HNJ11" s="3"/>
      <c r="HNK11" s="3"/>
      <c r="HNL11" s="3"/>
      <c r="HNM11" s="3"/>
      <c r="HNN11" s="3"/>
      <c r="HNO11" s="3"/>
      <c r="HNP11" s="3"/>
      <c r="HNQ11" s="3"/>
      <c r="HNR11" s="3"/>
      <c r="HNS11" s="3"/>
      <c r="HNT11" s="3"/>
      <c r="HNU11" s="3"/>
      <c r="HNV11" s="3"/>
      <c r="HNW11" s="3"/>
      <c r="HNX11" s="3"/>
      <c r="HNY11" s="3"/>
      <c r="HNZ11" s="3"/>
      <c r="HOA11" s="3"/>
      <c r="HOB11" s="3"/>
      <c r="HOC11" s="3"/>
      <c r="HOD11" s="3"/>
      <c r="HOE11" s="3"/>
      <c r="HOF11" s="3"/>
      <c r="HOG11" s="3"/>
      <c r="HOH11" s="3"/>
      <c r="HOI11" s="3"/>
      <c r="HOJ11" s="3"/>
      <c r="HOK11" s="3"/>
      <c r="HOL11" s="3"/>
      <c r="HOM11" s="3"/>
      <c r="HON11" s="3"/>
      <c r="HOO11" s="3"/>
      <c r="HOP11" s="3"/>
      <c r="HOQ11" s="3"/>
      <c r="HOR11" s="3"/>
      <c r="HOS11" s="3"/>
      <c r="HOT11" s="3"/>
      <c r="HOU11" s="3"/>
      <c r="HOV11" s="3"/>
      <c r="HOW11" s="3"/>
      <c r="HOX11" s="3"/>
      <c r="HOY11" s="3"/>
      <c r="HOZ11" s="3"/>
      <c r="HPA11" s="3"/>
      <c r="HPB11" s="3"/>
      <c r="HPC11" s="3"/>
      <c r="HPD11" s="3"/>
      <c r="HPE11" s="3"/>
      <c r="HPF11" s="3"/>
      <c r="HPG11" s="3"/>
      <c r="HPH11" s="3"/>
      <c r="HPI11" s="3"/>
      <c r="HPJ11" s="3"/>
      <c r="HPK11" s="3"/>
      <c r="HPL11" s="3"/>
      <c r="HPM11" s="3"/>
      <c r="HPN11" s="3"/>
      <c r="HPO11" s="3"/>
      <c r="HPP11" s="3"/>
      <c r="HPQ11" s="3"/>
      <c r="HPR11" s="3"/>
      <c r="HPS11" s="3"/>
      <c r="HPT11" s="3"/>
      <c r="HPU11" s="3"/>
      <c r="HPV11" s="3"/>
      <c r="HPW11" s="3"/>
      <c r="HPX11" s="3"/>
      <c r="HPY11" s="3"/>
      <c r="HPZ11" s="3"/>
      <c r="HQA11" s="3"/>
      <c r="HQB11" s="3"/>
      <c r="HQC11" s="3"/>
      <c r="HQD11" s="3"/>
      <c r="HQE11" s="3"/>
      <c r="HQF11" s="3"/>
      <c r="HQG11" s="3"/>
      <c r="HQH11" s="3"/>
      <c r="HQI11" s="3"/>
      <c r="HQJ11" s="3"/>
      <c r="HQK11" s="3"/>
      <c r="HQL11" s="3"/>
      <c r="HQM11" s="3"/>
      <c r="HQN11" s="3"/>
      <c r="HQO11" s="3"/>
      <c r="HQP11" s="3"/>
      <c r="HQQ11" s="3"/>
      <c r="HQR11" s="3"/>
      <c r="HQS11" s="3"/>
      <c r="HQT11" s="3"/>
      <c r="HQU11" s="3"/>
      <c r="HQV11" s="3"/>
      <c r="HQW11" s="3"/>
      <c r="HQX11" s="3"/>
      <c r="HQY11" s="3"/>
      <c r="HQZ11" s="3"/>
      <c r="HRA11" s="3"/>
      <c r="HRB11" s="3"/>
      <c r="HRC11" s="3"/>
      <c r="HRD11" s="3"/>
      <c r="HRE11" s="3"/>
      <c r="HRF11" s="3"/>
      <c r="HRG11" s="3"/>
      <c r="HRH11" s="3"/>
      <c r="HRI11" s="3"/>
      <c r="HRJ11" s="3"/>
      <c r="HRK11" s="3"/>
      <c r="HRL11" s="3"/>
      <c r="HRM11" s="3"/>
      <c r="HRN11" s="3"/>
      <c r="HRO11" s="3"/>
      <c r="HRP11" s="3"/>
      <c r="HRQ11" s="3"/>
      <c r="HRR11" s="3"/>
      <c r="HRS11" s="3"/>
      <c r="HRT11" s="3"/>
      <c r="HRU11" s="3"/>
      <c r="HRV11" s="3"/>
      <c r="HRW11" s="3"/>
      <c r="HRX11" s="3"/>
      <c r="HRY11" s="3"/>
      <c r="HRZ11" s="3"/>
      <c r="HSA11" s="3"/>
      <c r="HSB11" s="3"/>
      <c r="HSC11" s="3"/>
      <c r="HSD11" s="3"/>
      <c r="HSE11" s="3"/>
      <c r="HSF11" s="3"/>
      <c r="HSG11" s="3"/>
      <c r="HSH11" s="3"/>
      <c r="HSI11" s="3"/>
      <c r="HSJ11" s="3"/>
      <c r="HSK11" s="3"/>
      <c r="HSL11" s="3"/>
      <c r="HSM11" s="3"/>
      <c r="HSN11" s="3"/>
      <c r="HSO11" s="3"/>
      <c r="HSP11" s="3"/>
      <c r="HSQ11" s="3"/>
      <c r="HSR11" s="3"/>
      <c r="HSS11" s="3"/>
      <c r="HST11" s="3"/>
      <c r="HSU11" s="3"/>
      <c r="HSV11" s="3"/>
      <c r="HSW11" s="3"/>
      <c r="HSX11" s="3"/>
      <c r="HSY11" s="3"/>
      <c r="HSZ11" s="3"/>
      <c r="HTA11" s="3"/>
      <c r="HTB11" s="3"/>
      <c r="HTC11" s="3"/>
      <c r="HTD11" s="3"/>
      <c r="HTE11" s="3"/>
      <c r="HTF11" s="3"/>
      <c r="HTG11" s="3"/>
      <c r="HTH11" s="3"/>
      <c r="HTI11" s="3"/>
      <c r="HTJ11" s="3"/>
      <c r="HTK11" s="3"/>
      <c r="HTL11" s="3"/>
      <c r="HTM11" s="3"/>
      <c r="HTN11" s="3"/>
      <c r="HTO11" s="3"/>
      <c r="HTP11" s="3"/>
      <c r="HTQ11" s="3"/>
      <c r="HTR11" s="3"/>
      <c r="HTS11" s="3"/>
      <c r="HTT11" s="3"/>
      <c r="HTU11" s="3"/>
      <c r="HTV11" s="3"/>
      <c r="HTW11" s="3"/>
      <c r="HTX11" s="3"/>
      <c r="HTY11" s="3"/>
      <c r="HTZ11" s="3"/>
      <c r="HUA11" s="3"/>
      <c r="HUB11" s="3"/>
      <c r="HUC11" s="3"/>
      <c r="HUD11" s="3"/>
      <c r="HUE11" s="3"/>
      <c r="HUF11" s="3"/>
      <c r="HUG11" s="3"/>
      <c r="HUH11" s="3"/>
      <c r="HUI11" s="3"/>
      <c r="HUJ11" s="3"/>
      <c r="HUK11" s="3"/>
      <c r="HUL11" s="3"/>
      <c r="HUM11" s="3"/>
      <c r="HUN11" s="3"/>
      <c r="HUO11" s="3"/>
      <c r="HUP11" s="3"/>
      <c r="HUQ11" s="3"/>
      <c r="HUR11" s="3"/>
      <c r="HUS11" s="3"/>
      <c r="HUT11" s="3"/>
      <c r="HUU11" s="3"/>
      <c r="HUV11" s="3"/>
      <c r="HUW11" s="3"/>
      <c r="HUX11" s="3"/>
      <c r="HUY11" s="3"/>
      <c r="HUZ11" s="3"/>
      <c r="HVA11" s="3"/>
      <c r="HVB11" s="3"/>
      <c r="HVC11" s="3"/>
      <c r="HVD11" s="3"/>
      <c r="HVE11" s="3"/>
      <c r="HVF11" s="3"/>
      <c r="HVG11" s="3"/>
      <c r="HVH11" s="3"/>
      <c r="HVI11" s="3"/>
      <c r="HVJ11" s="3"/>
      <c r="HVK11" s="3"/>
      <c r="HVL11" s="3"/>
      <c r="HVM11" s="3"/>
      <c r="HVN11" s="3"/>
      <c r="HVO11" s="3"/>
      <c r="HVP11" s="3"/>
      <c r="HVQ11" s="3"/>
      <c r="HVR11" s="3"/>
      <c r="HVS11" s="3"/>
      <c r="HVT11" s="3"/>
      <c r="HVU11" s="3"/>
      <c r="HVV11" s="3"/>
      <c r="HVW11" s="3"/>
      <c r="HVX11" s="3"/>
      <c r="HVY11" s="3"/>
      <c r="HVZ11" s="3"/>
      <c r="HWA11" s="3"/>
      <c r="HWB11" s="3"/>
      <c r="HWC11" s="3"/>
      <c r="HWD11" s="3"/>
      <c r="HWE11" s="3"/>
      <c r="HWF11" s="3"/>
      <c r="HWG11" s="3"/>
      <c r="HWH11" s="3"/>
      <c r="HWI11" s="3"/>
      <c r="HWJ11" s="3"/>
      <c r="HWK11" s="3"/>
      <c r="HWL11" s="3"/>
      <c r="HWM11" s="3"/>
      <c r="HWN11" s="3"/>
      <c r="HWO11" s="3"/>
      <c r="HWP11" s="3"/>
      <c r="HWQ11" s="3"/>
      <c r="HWR11" s="3"/>
      <c r="HWS11" s="3"/>
      <c r="HWT11" s="3"/>
      <c r="HWU11" s="3"/>
      <c r="HWV11" s="3"/>
      <c r="HWW11" s="3"/>
      <c r="HWX11" s="3"/>
      <c r="HWY11" s="3"/>
      <c r="HWZ11" s="3"/>
      <c r="HXA11" s="3"/>
      <c r="HXB11" s="3"/>
      <c r="HXC11" s="3"/>
      <c r="HXD11" s="3"/>
      <c r="HXE11" s="3"/>
      <c r="HXF11" s="3"/>
      <c r="HXG11" s="3"/>
      <c r="HXH11" s="3"/>
      <c r="HXI11" s="3"/>
      <c r="HXJ11" s="3"/>
      <c r="HXK11" s="3"/>
      <c r="HXL11" s="3"/>
      <c r="HXM11" s="3"/>
      <c r="HXN11" s="3"/>
      <c r="HXO11" s="3"/>
      <c r="HXP11" s="3"/>
      <c r="HXQ11" s="3"/>
      <c r="HXR11" s="3"/>
      <c r="HXS11" s="3"/>
      <c r="HXT11" s="3"/>
      <c r="HXU11" s="3"/>
      <c r="HXV11" s="3"/>
      <c r="HXW11" s="3"/>
      <c r="HXX11" s="3"/>
      <c r="HXY11" s="3"/>
      <c r="HXZ11" s="3"/>
      <c r="HYA11" s="3"/>
      <c r="HYB11" s="3"/>
      <c r="HYC11" s="3"/>
      <c r="HYD11" s="3"/>
      <c r="HYE11" s="3"/>
      <c r="HYF11" s="3"/>
      <c r="HYG11" s="3"/>
      <c r="HYH11" s="3"/>
      <c r="HYI11" s="3"/>
      <c r="HYJ11" s="3"/>
      <c r="HYK11" s="3"/>
      <c r="HYL11" s="3"/>
      <c r="HYM11" s="3"/>
      <c r="HYN11" s="3"/>
      <c r="HYO11" s="3"/>
      <c r="HYP11" s="3"/>
      <c r="HYQ11" s="3"/>
      <c r="HYR11" s="3"/>
      <c r="HYS11" s="3"/>
      <c r="HYT11" s="3"/>
      <c r="HYU11" s="3"/>
      <c r="HYV11" s="3"/>
      <c r="HYW11" s="3"/>
      <c r="HYX11" s="3"/>
      <c r="HYY11" s="3"/>
      <c r="HYZ11" s="3"/>
      <c r="HZA11" s="3"/>
      <c r="HZB11" s="3"/>
      <c r="HZC11" s="3"/>
      <c r="HZD11" s="3"/>
      <c r="HZE11" s="3"/>
      <c r="HZF11" s="3"/>
      <c r="HZG11" s="3"/>
      <c r="HZH11" s="3"/>
      <c r="HZI11" s="3"/>
      <c r="HZJ11" s="3"/>
      <c r="HZK11" s="3"/>
      <c r="HZL11" s="3"/>
      <c r="HZM11" s="3"/>
      <c r="HZN11" s="3"/>
      <c r="HZO11" s="3"/>
      <c r="HZP11" s="3"/>
      <c r="HZQ11" s="3"/>
      <c r="HZR11" s="3"/>
      <c r="HZS11" s="3"/>
      <c r="HZT11" s="3"/>
      <c r="HZU11" s="3"/>
      <c r="HZV11" s="3"/>
      <c r="HZW11" s="3"/>
      <c r="HZX11" s="3"/>
      <c r="HZY11" s="3"/>
      <c r="HZZ11" s="3"/>
      <c r="IAA11" s="3"/>
      <c r="IAB11" s="3"/>
      <c r="IAC11" s="3"/>
      <c r="IAD11" s="3"/>
      <c r="IAE11" s="3"/>
      <c r="IAF11" s="3"/>
      <c r="IAG11" s="3"/>
      <c r="IAH11" s="3"/>
      <c r="IAI11" s="3"/>
      <c r="IAJ11" s="3"/>
      <c r="IAK11" s="3"/>
      <c r="IAL11" s="3"/>
      <c r="IAM11" s="3"/>
      <c r="IAN11" s="3"/>
      <c r="IAO11" s="3"/>
      <c r="IAP11" s="3"/>
      <c r="IAQ11" s="3"/>
      <c r="IAR11" s="3"/>
      <c r="IAS11" s="3"/>
      <c r="IAT11" s="3"/>
      <c r="IAU11" s="3"/>
      <c r="IAV11" s="3"/>
      <c r="IAW11" s="3"/>
      <c r="IAX11" s="3"/>
      <c r="IAY11" s="3"/>
      <c r="IAZ11" s="3"/>
      <c r="IBA11" s="3"/>
      <c r="IBB11" s="3"/>
      <c r="IBC11" s="3"/>
      <c r="IBD11" s="3"/>
      <c r="IBE11" s="3"/>
      <c r="IBF11" s="3"/>
      <c r="IBG11" s="3"/>
      <c r="IBH11" s="3"/>
      <c r="IBI11" s="3"/>
      <c r="IBJ11" s="3"/>
      <c r="IBK11" s="3"/>
      <c r="IBL11" s="3"/>
      <c r="IBM11" s="3"/>
      <c r="IBN11" s="3"/>
      <c r="IBO11" s="3"/>
      <c r="IBP11" s="3"/>
      <c r="IBQ11" s="3"/>
      <c r="IBR11" s="3"/>
      <c r="IBS11" s="3"/>
      <c r="IBT11" s="3"/>
      <c r="IBU11" s="3"/>
      <c r="IBV11" s="3"/>
      <c r="IBW11" s="3"/>
      <c r="IBX11" s="3"/>
      <c r="IBY11" s="3"/>
      <c r="IBZ11" s="3"/>
      <c r="ICA11" s="3"/>
      <c r="ICB11" s="3"/>
      <c r="ICC11" s="3"/>
      <c r="ICD11" s="3"/>
      <c r="ICE11" s="3"/>
      <c r="ICF11" s="3"/>
      <c r="ICG11" s="3"/>
      <c r="ICH11" s="3"/>
      <c r="ICI11" s="3"/>
      <c r="ICJ11" s="3"/>
      <c r="ICK11" s="3"/>
      <c r="ICL11" s="3"/>
      <c r="ICM11" s="3"/>
      <c r="ICN11" s="3"/>
      <c r="ICO11" s="3"/>
      <c r="ICP11" s="3"/>
      <c r="ICQ11" s="3"/>
      <c r="ICR11" s="3"/>
      <c r="ICS11" s="3"/>
      <c r="ICT11" s="3"/>
      <c r="ICU11" s="3"/>
      <c r="ICV11" s="3"/>
      <c r="ICW11" s="3"/>
      <c r="ICX11" s="3"/>
      <c r="ICY11" s="3"/>
      <c r="ICZ11" s="3"/>
      <c r="IDA11" s="3"/>
      <c r="IDB11" s="3"/>
      <c r="IDC11" s="3"/>
      <c r="IDD11" s="3"/>
      <c r="IDE11" s="3"/>
      <c r="IDF11" s="3"/>
      <c r="IDG11" s="3"/>
      <c r="IDH11" s="3"/>
      <c r="IDI11" s="3"/>
      <c r="IDJ11" s="3"/>
      <c r="IDK11" s="3"/>
      <c r="IDL11" s="3"/>
      <c r="IDM11" s="3"/>
      <c r="IDN11" s="3"/>
      <c r="IDO11" s="3"/>
      <c r="IDP11" s="3"/>
      <c r="IDQ11" s="3"/>
      <c r="IDR11" s="3"/>
      <c r="IDS11" s="3"/>
      <c r="IDT11" s="3"/>
      <c r="IDU11" s="3"/>
      <c r="IDV11" s="3"/>
      <c r="IDW11" s="3"/>
      <c r="IDX11" s="3"/>
      <c r="IDY11" s="3"/>
      <c r="IDZ11" s="3"/>
      <c r="IEA11" s="3"/>
      <c r="IEB11" s="3"/>
      <c r="IEC11" s="3"/>
      <c r="IED11" s="3"/>
      <c r="IEE11" s="3"/>
      <c r="IEF11" s="3"/>
      <c r="IEG11" s="3"/>
      <c r="IEH11" s="3"/>
      <c r="IEI11" s="3"/>
      <c r="IEJ11" s="3"/>
      <c r="IEK11" s="3"/>
      <c r="IEL11" s="3"/>
      <c r="IEM11" s="3"/>
      <c r="IEN11" s="3"/>
      <c r="IEO11" s="3"/>
      <c r="IEP11" s="3"/>
      <c r="IEQ11" s="3"/>
      <c r="IER11" s="3"/>
      <c r="IES11" s="3"/>
      <c r="IET11" s="3"/>
      <c r="IEU11" s="3"/>
      <c r="IEV11" s="3"/>
      <c r="IEW11" s="3"/>
      <c r="IEX11" s="3"/>
      <c r="IEY11" s="3"/>
      <c r="IEZ11" s="3"/>
      <c r="IFA11" s="3"/>
      <c r="IFB11" s="3"/>
      <c r="IFC11" s="3"/>
      <c r="IFD11" s="3"/>
      <c r="IFE11" s="3"/>
      <c r="IFF11" s="3"/>
      <c r="IFG11" s="3"/>
      <c r="IFH11" s="3"/>
      <c r="IFI11" s="3"/>
      <c r="IFJ11" s="3"/>
      <c r="IFK11" s="3"/>
      <c r="IFL11" s="3"/>
      <c r="IFM11" s="3"/>
      <c r="IFN11" s="3"/>
      <c r="IFO11" s="3"/>
      <c r="IFP11" s="3"/>
      <c r="IFQ11" s="3"/>
      <c r="IFR11" s="3"/>
      <c r="IFS11" s="3"/>
      <c r="IFT11" s="3"/>
      <c r="IFU11" s="3"/>
      <c r="IFV11" s="3"/>
      <c r="IFW11" s="3"/>
      <c r="IFX11" s="3"/>
      <c r="IFY11" s="3"/>
      <c r="IFZ11" s="3"/>
      <c r="IGA11" s="3"/>
      <c r="IGB11" s="3"/>
      <c r="IGC11" s="3"/>
      <c r="IGD11" s="3"/>
      <c r="IGE11" s="3"/>
      <c r="IGF11" s="3"/>
      <c r="IGG11" s="3"/>
      <c r="IGH11" s="3"/>
      <c r="IGI11" s="3"/>
      <c r="IGJ11" s="3"/>
      <c r="IGK11" s="3"/>
      <c r="IGL11" s="3"/>
      <c r="IGM11" s="3"/>
      <c r="IGN11" s="3"/>
      <c r="IGO11" s="3"/>
      <c r="IGP11" s="3"/>
      <c r="IGQ11" s="3"/>
      <c r="IGR11" s="3"/>
      <c r="IGS11" s="3"/>
      <c r="IGT11" s="3"/>
      <c r="IGU11" s="3"/>
      <c r="IGV11" s="3"/>
      <c r="IGW11" s="3"/>
      <c r="IGX11" s="3"/>
      <c r="IGY11" s="3"/>
      <c r="IGZ11" s="3"/>
      <c r="IHA11" s="3"/>
      <c r="IHB11" s="3"/>
      <c r="IHC11" s="3"/>
      <c r="IHD11" s="3"/>
      <c r="IHE11" s="3"/>
      <c r="IHF11" s="3"/>
      <c r="IHG11" s="3"/>
      <c r="IHH11" s="3"/>
      <c r="IHI11" s="3"/>
      <c r="IHJ11" s="3"/>
      <c r="IHK11" s="3"/>
      <c r="IHL11" s="3"/>
      <c r="IHM11" s="3"/>
      <c r="IHN11" s="3"/>
      <c r="IHO11" s="3"/>
      <c r="IHP11" s="3"/>
      <c r="IHQ11" s="3"/>
      <c r="IHR11" s="3"/>
      <c r="IHS11" s="3"/>
      <c r="IHT11" s="3"/>
      <c r="IHU11" s="3"/>
      <c r="IHV11" s="3"/>
      <c r="IHW11" s="3"/>
      <c r="IHX11" s="3"/>
      <c r="IHY11" s="3"/>
      <c r="IHZ11" s="3"/>
      <c r="IIA11" s="3"/>
      <c r="IIB11" s="3"/>
      <c r="IIC11" s="3"/>
      <c r="IID11" s="3"/>
      <c r="IIE11" s="3"/>
      <c r="IIF11" s="3"/>
      <c r="IIG11" s="3"/>
      <c r="IIH11" s="3"/>
      <c r="III11" s="3"/>
      <c r="IIJ11" s="3"/>
      <c r="IIK11" s="3"/>
      <c r="IIL11" s="3"/>
      <c r="IIM11" s="3"/>
      <c r="IIN11" s="3"/>
      <c r="IIO11" s="3"/>
      <c r="IIP11" s="3"/>
      <c r="IIQ11" s="3"/>
      <c r="IIR11" s="3"/>
      <c r="IIS11" s="3"/>
      <c r="IIT11" s="3"/>
      <c r="IIU11" s="3"/>
      <c r="IIV11" s="3"/>
      <c r="IIW11" s="3"/>
      <c r="IIX11" s="3"/>
      <c r="IIY11" s="3"/>
      <c r="IIZ11" s="3"/>
      <c r="IJA11" s="3"/>
      <c r="IJB11" s="3"/>
      <c r="IJC11" s="3"/>
      <c r="IJD11" s="3"/>
      <c r="IJE11" s="3"/>
      <c r="IJF11" s="3"/>
      <c r="IJG11" s="3"/>
      <c r="IJH11" s="3"/>
      <c r="IJI11" s="3"/>
      <c r="IJJ11" s="3"/>
      <c r="IJK11" s="3"/>
      <c r="IJL11" s="3"/>
      <c r="IJM11" s="3"/>
      <c r="IJN11" s="3"/>
      <c r="IJO11" s="3"/>
      <c r="IJP11" s="3"/>
      <c r="IJQ11" s="3"/>
      <c r="IJR11" s="3"/>
      <c r="IJS11" s="3"/>
      <c r="IJT11" s="3"/>
      <c r="IJU11" s="3"/>
      <c r="IJV11" s="3"/>
      <c r="IJW11" s="3"/>
      <c r="IJX11" s="3"/>
      <c r="IJY11" s="3"/>
      <c r="IJZ11" s="3"/>
      <c r="IKA11" s="3"/>
      <c r="IKB11" s="3"/>
      <c r="IKC11" s="3"/>
      <c r="IKD11" s="3"/>
      <c r="IKE11" s="3"/>
      <c r="IKF11" s="3"/>
      <c r="IKG11" s="3"/>
      <c r="IKH11" s="3"/>
      <c r="IKI11" s="3"/>
      <c r="IKJ11" s="3"/>
      <c r="IKK11" s="3"/>
      <c r="IKL11" s="3"/>
      <c r="IKM11" s="3"/>
      <c r="IKN11" s="3"/>
      <c r="IKO11" s="3"/>
      <c r="IKP11" s="3"/>
      <c r="IKQ11" s="3"/>
      <c r="IKR11" s="3"/>
      <c r="IKS11" s="3"/>
      <c r="IKT11" s="3"/>
      <c r="IKU11" s="3"/>
      <c r="IKV11" s="3"/>
      <c r="IKW11" s="3"/>
      <c r="IKX11" s="3"/>
      <c r="IKY11" s="3"/>
      <c r="IKZ11" s="3"/>
      <c r="ILA11" s="3"/>
      <c r="ILB11" s="3"/>
      <c r="ILC11" s="3"/>
      <c r="ILD11" s="3"/>
      <c r="ILE11" s="3"/>
      <c r="ILF11" s="3"/>
      <c r="ILG11" s="3"/>
      <c r="ILH11" s="3"/>
      <c r="ILI11" s="3"/>
      <c r="ILJ11" s="3"/>
      <c r="ILK11" s="3"/>
      <c r="ILL11" s="3"/>
      <c r="ILM11" s="3"/>
      <c r="ILN11" s="3"/>
      <c r="ILO11" s="3"/>
      <c r="ILP11" s="3"/>
      <c r="ILQ11" s="3"/>
      <c r="ILR11" s="3"/>
      <c r="ILS11" s="3"/>
      <c r="ILT11" s="3"/>
      <c r="ILU11" s="3"/>
      <c r="ILV11" s="3"/>
      <c r="ILW11" s="3"/>
      <c r="ILX11" s="3"/>
      <c r="ILY11" s="3"/>
      <c r="ILZ11" s="3"/>
      <c r="IMA11" s="3"/>
      <c r="IMB11" s="3"/>
      <c r="IMC11" s="3"/>
      <c r="IMD11" s="3"/>
      <c r="IME11" s="3"/>
      <c r="IMF11" s="3"/>
      <c r="IMG11" s="3"/>
      <c r="IMH11" s="3"/>
      <c r="IMI11" s="3"/>
      <c r="IMJ11" s="3"/>
      <c r="IMK11" s="3"/>
      <c r="IML11" s="3"/>
      <c r="IMM11" s="3"/>
      <c r="IMN11" s="3"/>
      <c r="IMO11" s="3"/>
      <c r="IMP11" s="3"/>
      <c r="IMQ11" s="3"/>
      <c r="IMR11" s="3"/>
      <c r="IMS11" s="3"/>
      <c r="IMT11" s="3"/>
      <c r="IMU11" s="3"/>
      <c r="IMV11" s="3"/>
      <c r="IMW11" s="3"/>
      <c r="IMX11" s="3"/>
      <c r="IMY11" s="3"/>
      <c r="IMZ11" s="3"/>
      <c r="INA11" s="3"/>
      <c r="INB11" s="3"/>
      <c r="INC11" s="3"/>
      <c r="IND11" s="3"/>
      <c r="INE11" s="3"/>
      <c r="INF11" s="3"/>
      <c r="ING11" s="3"/>
      <c r="INH11" s="3"/>
      <c r="INI11" s="3"/>
      <c r="INJ11" s="3"/>
      <c r="INK11" s="3"/>
      <c r="INL11" s="3"/>
      <c r="INM11" s="3"/>
      <c r="INN11" s="3"/>
      <c r="INO11" s="3"/>
      <c r="INP11" s="3"/>
      <c r="INQ11" s="3"/>
      <c r="INR11" s="3"/>
      <c r="INS11" s="3"/>
      <c r="INT11" s="3"/>
      <c r="INU11" s="3"/>
      <c r="INV11" s="3"/>
      <c r="INW11" s="3"/>
      <c r="INX11" s="3"/>
      <c r="INY11" s="3"/>
      <c r="INZ11" s="3"/>
      <c r="IOA11" s="3"/>
      <c r="IOB11" s="3"/>
      <c r="IOC11" s="3"/>
      <c r="IOD11" s="3"/>
      <c r="IOE11" s="3"/>
      <c r="IOF11" s="3"/>
      <c r="IOG11" s="3"/>
      <c r="IOH11" s="3"/>
      <c r="IOI11" s="3"/>
      <c r="IOJ11" s="3"/>
      <c r="IOK11" s="3"/>
      <c r="IOL11" s="3"/>
      <c r="IOM11" s="3"/>
      <c r="ION11" s="3"/>
      <c r="IOO11" s="3"/>
      <c r="IOP11" s="3"/>
      <c r="IOQ11" s="3"/>
      <c r="IOR11" s="3"/>
      <c r="IOS11" s="3"/>
      <c r="IOT11" s="3"/>
      <c r="IOU11" s="3"/>
      <c r="IOV11" s="3"/>
      <c r="IOW11" s="3"/>
      <c r="IOX11" s="3"/>
      <c r="IOY11" s="3"/>
      <c r="IOZ11" s="3"/>
      <c r="IPA11" s="3"/>
      <c r="IPB11" s="3"/>
      <c r="IPC11" s="3"/>
      <c r="IPD11" s="3"/>
      <c r="IPE11" s="3"/>
      <c r="IPF11" s="3"/>
      <c r="IPG11" s="3"/>
      <c r="IPH11" s="3"/>
      <c r="IPI11" s="3"/>
      <c r="IPJ11" s="3"/>
      <c r="IPK11" s="3"/>
      <c r="IPL11" s="3"/>
      <c r="IPM11" s="3"/>
      <c r="IPN11" s="3"/>
      <c r="IPO11" s="3"/>
      <c r="IPP11" s="3"/>
      <c r="IPQ11" s="3"/>
      <c r="IPR11" s="3"/>
      <c r="IPS11" s="3"/>
      <c r="IPT11" s="3"/>
      <c r="IPU11" s="3"/>
      <c r="IPV11" s="3"/>
      <c r="IPW11" s="3"/>
      <c r="IPX11" s="3"/>
      <c r="IPY11" s="3"/>
      <c r="IPZ11" s="3"/>
      <c r="IQA11" s="3"/>
      <c r="IQB11" s="3"/>
      <c r="IQC11" s="3"/>
      <c r="IQD11" s="3"/>
      <c r="IQE11" s="3"/>
      <c r="IQF11" s="3"/>
      <c r="IQG11" s="3"/>
      <c r="IQH11" s="3"/>
      <c r="IQI11" s="3"/>
      <c r="IQJ11" s="3"/>
      <c r="IQK11" s="3"/>
      <c r="IQL11" s="3"/>
      <c r="IQM11" s="3"/>
      <c r="IQN11" s="3"/>
      <c r="IQO11" s="3"/>
      <c r="IQP11" s="3"/>
      <c r="IQQ11" s="3"/>
      <c r="IQR11" s="3"/>
      <c r="IQS11" s="3"/>
      <c r="IQT11" s="3"/>
      <c r="IQU11" s="3"/>
      <c r="IQV11" s="3"/>
      <c r="IQW11" s="3"/>
      <c r="IQX11" s="3"/>
      <c r="IQY11" s="3"/>
      <c r="IQZ11" s="3"/>
      <c r="IRA11" s="3"/>
      <c r="IRB11" s="3"/>
      <c r="IRC11" s="3"/>
      <c r="IRD11" s="3"/>
      <c r="IRE11" s="3"/>
      <c r="IRF11" s="3"/>
      <c r="IRG11" s="3"/>
      <c r="IRH11" s="3"/>
      <c r="IRI11" s="3"/>
      <c r="IRJ11" s="3"/>
      <c r="IRK11" s="3"/>
      <c r="IRL11" s="3"/>
      <c r="IRM11" s="3"/>
      <c r="IRN11" s="3"/>
      <c r="IRO11" s="3"/>
      <c r="IRP11" s="3"/>
      <c r="IRQ11" s="3"/>
      <c r="IRR11" s="3"/>
      <c r="IRS11" s="3"/>
      <c r="IRT11" s="3"/>
      <c r="IRU11" s="3"/>
      <c r="IRV11" s="3"/>
      <c r="IRW11" s="3"/>
      <c r="IRX11" s="3"/>
      <c r="IRY11" s="3"/>
      <c r="IRZ11" s="3"/>
      <c r="ISA11" s="3"/>
      <c r="ISB11" s="3"/>
      <c r="ISC11" s="3"/>
      <c r="ISD11" s="3"/>
      <c r="ISE11" s="3"/>
      <c r="ISF11" s="3"/>
      <c r="ISG11" s="3"/>
      <c r="ISH11" s="3"/>
      <c r="ISI11" s="3"/>
      <c r="ISJ11" s="3"/>
      <c r="ISK11" s="3"/>
      <c r="ISL11" s="3"/>
      <c r="ISM11" s="3"/>
      <c r="ISN11" s="3"/>
      <c r="ISO11" s="3"/>
      <c r="ISP11" s="3"/>
      <c r="ISQ11" s="3"/>
      <c r="ISR11" s="3"/>
      <c r="ISS11" s="3"/>
      <c r="IST11" s="3"/>
      <c r="ISU11" s="3"/>
      <c r="ISV11" s="3"/>
      <c r="ISW11" s="3"/>
      <c r="ISX11" s="3"/>
      <c r="ISY11" s="3"/>
      <c r="ISZ11" s="3"/>
      <c r="ITA11" s="3"/>
      <c r="ITB11" s="3"/>
      <c r="ITC11" s="3"/>
      <c r="ITD11" s="3"/>
      <c r="ITE11" s="3"/>
      <c r="ITF11" s="3"/>
      <c r="ITG11" s="3"/>
      <c r="ITH11" s="3"/>
      <c r="ITI11" s="3"/>
      <c r="ITJ11" s="3"/>
      <c r="ITK11" s="3"/>
      <c r="ITL11" s="3"/>
      <c r="ITM11" s="3"/>
      <c r="ITN11" s="3"/>
      <c r="ITO11" s="3"/>
      <c r="ITP11" s="3"/>
      <c r="ITQ11" s="3"/>
      <c r="ITR11" s="3"/>
      <c r="ITS11" s="3"/>
      <c r="ITT11" s="3"/>
      <c r="ITU11" s="3"/>
      <c r="ITV11" s="3"/>
      <c r="ITW11" s="3"/>
      <c r="ITX11" s="3"/>
      <c r="ITY11" s="3"/>
      <c r="ITZ11" s="3"/>
      <c r="IUA11" s="3"/>
      <c r="IUB11" s="3"/>
      <c r="IUC11" s="3"/>
      <c r="IUD11" s="3"/>
      <c r="IUE11" s="3"/>
      <c r="IUF11" s="3"/>
      <c r="IUG11" s="3"/>
      <c r="IUH11" s="3"/>
      <c r="IUI11" s="3"/>
      <c r="IUJ11" s="3"/>
      <c r="IUK11" s="3"/>
      <c r="IUL11" s="3"/>
      <c r="IUM11" s="3"/>
      <c r="IUN11" s="3"/>
      <c r="IUO11" s="3"/>
      <c r="IUP11" s="3"/>
      <c r="IUQ11" s="3"/>
      <c r="IUR11" s="3"/>
      <c r="IUS11" s="3"/>
      <c r="IUT11" s="3"/>
      <c r="IUU11" s="3"/>
      <c r="IUV11" s="3"/>
      <c r="IUW11" s="3"/>
      <c r="IUX11" s="3"/>
      <c r="IUY11" s="3"/>
      <c r="IUZ11" s="3"/>
      <c r="IVA11" s="3"/>
      <c r="IVB11" s="3"/>
      <c r="IVC11" s="3"/>
      <c r="IVD11" s="3"/>
      <c r="IVE11" s="3"/>
      <c r="IVF11" s="3"/>
      <c r="IVG11" s="3"/>
      <c r="IVH11" s="3"/>
      <c r="IVI11" s="3"/>
      <c r="IVJ11" s="3"/>
      <c r="IVK11" s="3"/>
      <c r="IVL11" s="3"/>
      <c r="IVM11" s="3"/>
      <c r="IVN11" s="3"/>
      <c r="IVO11" s="3"/>
      <c r="IVP11" s="3"/>
      <c r="IVQ11" s="3"/>
      <c r="IVR11" s="3"/>
      <c r="IVS11" s="3"/>
      <c r="IVT11" s="3"/>
      <c r="IVU11" s="3"/>
      <c r="IVV11" s="3"/>
      <c r="IVW11" s="3"/>
      <c r="IVX11" s="3"/>
      <c r="IVY11" s="3"/>
      <c r="IVZ11" s="3"/>
      <c r="IWA11" s="3"/>
      <c r="IWB11" s="3"/>
      <c r="IWC11" s="3"/>
      <c r="IWD11" s="3"/>
      <c r="IWE11" s="3"/>
      <c r="IWF11" s="3"/>
      <c r="IWG11" s="3"/>
      <c r="IWH11" s="3"/>
      <c r="IWI11" s="3"/>
      <c r="IWJ11" s="3"/>
      <c r="IWK11" s="3"/>
      <c r="IWL11" s="3"/>
      <c r="IWM11" s="3"/>
      <c r="IWN11" s="3"/>
      <c r="IWO11" s="3"/>
      <c r="IWP11" s="3"/>
      <c r="IWQ11" s="3"/>
      <c r="IWR11" s="3"/>
      <c r="IWS11" s="3"/>
      <c r="IWT11" s="3"/>
      <c r="IWU11" s="3"/>
      <c r="IWV11" s="3"/>
      <c r="IWW11" s="3"/>
      <c r="IWX11" s="3"/>
      <c r="IWY11" s="3"/>
      <c r="IWZ11" s="3"/>
      <c r="IXA11" s="3"/>
      <c r="IXB11" s="3"/>
      <c r="IXC11" s="3"/>
      <c r="IXD11" s="3"/>
      <c r="IXE11" s="3"/>
      <c r="IXF11" s="3"/>
      <c r="IXG11" s="3"/>
      <c r="IXH11" s="3"/>
      <c r="IXI11" s="3"/>
      <c r="IXJ11" s="3"/>
      <c r="IXK11" s="3"/>
      <c r="IXL11" s="3"/>
      <c r="IXM11" s="3"/>
      <c r="IXN11" s="3"/>
      <c r="IXO11" s="3"/>
      <c r="IXP11" s="3"/>
      <c r="IXQ11" s="3"/>
      <c r="IXR11" s="3"/>
      <c r="IXS11" s="3"/>
      <c r="IXT11" s="3"/>
      <c r="IXU11" s="3"/>
      <c r="IXV11" s="3"/>
      <c r="IXW11" s="3"/>
      <c r="IXX11" s="3"/>
      <c r="IXY11" s="3"/>
      <c r="IXZ11" s="3"/>
      <c r="IYA11" s="3"/>
      <c r="IYB11" s="3"/>
      <c r="IYC11" s="3"/>
      <c r="IYD11" s="3"/>
      <c r="IYE11" s="3"/>
      <c r="IYF11" s="3"/>
      <c r="IYG11" s="3"/>
      <c r="IYH11" s="3"/>
      <c r="IYI11" s="3"/>
      <c r="IYJ11" s="3"/>
      <c r="IYK11" s="3"/>
      <c r="IYL11" s="3"/>
      <c r="IYM11" s="3"/>
      <c r="IYN11" s="3"/>
      <c r="IYO11" s="3"/>
      <c r="IYP11" s="3"/>
      <c r="IYQ11" s="3"/>
      <c r="IYR11" s="3"/>
      <c r="IYS11" s="3"/>
      <c r="IYT11" s="3"/>
      <c r="IYU11" s="3"/>
      <c r="IYV11" s="3"/>
      <c r="IYW11" s="3"/>
      <c r="IYX11" s="3"/>
      <c r="IYY11" s="3"/>
      <c r="IYZ11" s="3"/>
      <c r="IZA11" s="3"/>
      <c r="IZB11" s="3"/>
      <c r="IZC11" s="3"/>
      <c r="IZD11" s="3"/>
      <c r="IZE11" s="3"/>
      <c r="IZF11" s="3"/>
      <c r="IZG11" s="3"/>
      <c r="IZH11" s="3"/>
      <c r="IZI11" s="3"/>
      <c r="IZJ11" s="3"/>
      <c r="IZK11" s="3"/>
      <c r="IZL11" s="3"/>
      <c r="IZM11" s="3"/>
      <c r="IZN11" s="3"/>
      <c r="IZO11" s="3"/>
      <c r="IZP11" s="3"/>
      <c r="IZQ11" s="3"/>
      <c r="IZR11" s="3"/>
      <c r="IZS11" s="3"/>
      <c r="IZT11" s="3"/>
      <c r="IZU11" s="3"/>
      <c r="IZV11" s="3"/>
      <c r="IZW11" s="3"/>
      <c r="IZX11" s="3"/>
      <c r="IZY11" s="3"/>
      <c r="IZZ11" s="3"/>
      <c r="JAA11" s="3"/>
      <c r="JAB11" s="3"/>
      <c r="JAC11" s="3"/>
      <c r="JAD11" s="3"/>
      <c r="JAE11" s="3"/>
      <c r="JAF11" s="3"/>
      <c r="JAG11" s="3"/>
      <c r="JAH11" s="3"/>
      <c r="JAI11" s="3"/>
      <c r="JAJ11" s="3"/>
      <c r="JAK11" s="3"/>
      <c r="JAL11" s="3"/>
      <c r="JAM11" s="3"/>
      <c r="JAN11" s="3"/>
      <c r="JAO11" s="3"/>
      <c r="JAP11" s="3"/>
      <c r="JAQ11" s="3"/>
      <c r="JAR11" s="3"/>
      <c r="JAS11" s="3"/>
      <c r="JAT11" s="3"/>
      <c r="JAU11" s="3"/>
      <c r="JAV11" s="3"/>
      <c r="JAW11" s="3"/>
      <c r="JAX11" s="3"/>
      <c r="JAY11" s="3"/>
      <c r="JAZ11" s="3"/>
      <c r="JBA11" s="3"/>
      <c r="JBB11" s="3"/>
      <c r="JBC11" s="3"/>
      <c r="JBD11" s="3"/>
      <c r="JBE11" s="3"/>
      <c r="JBF11" s="3"/>
      <c r="JBG11" s="3"/>
      <c r="JBH11" s="3"/>
      <c r="JBI11" s="3"/>
      <c r="JBJ11" s="3"/>
      <c r="JBK11" s="3"/>
      <c r="JBL11" s="3"/>
      <c r="JBM11" s="3"/>
      <c r="JBN11" s="3"/>
      <c r="JBO11" s="3"/>
      <c r="JBP11" s="3"/>
      <c r="JBQ11" s="3"/>
      <c r="JBR11" s="3"/>
      <c r="JBS11" s="3"/>
      <c r="JBT11" s="3"/>
      <c r="JBU11" s="3"/>
      <c r="JBV11" s="3"/>
      <c r="JBW11" s="3"/>
      <c r="JBX11" s="3"/>
      <c r="JBY11" s="3"/>
      <c r="JBZ11" s="3"/>
      <c r="JCA11" s="3"/>
      <c r="JCB11" s="3"/>
      <c r="JCC11" s="3"/>
      <c r="JCD11" s="3"/>
      <c r="JCE11" s="3"/>
      <c r="JCF11" s="3"/>
      <c r="JCG11" s="3"/>
      <c r="JCH11" s="3"/>
      <c r="JCI11" s="3"/>
      <c r="JCJ11" s="3"/>
      <c r="JCK11" s="3"/>
      <c r="JCL11" s="3"/>
      <c r="JCM11" s="3"/>
      <c r="JCN11" s="3"/>
      <c r="JCO11" s="3"/>
      <c r="JCP11" s="3"/>
      <c r="JCQ11" s="3"/>
      <c r="JCR11" s="3"/>
      <c r="JCS11" s="3"/>
      <c r="JCT11" s="3"/>
      <c r="JCU11" s="3"/>
      <c r="JCV11" s="3"/>
      <c r="JCW11" s="3"/>
      <c r="JCX11" s="3"/>
      <c r="JCY11" s="3"/>
      <c r="JCZ11" s="3"/>
      <c r="JDA11" s="3"/>
      <c r="JDB11" s="3"/>
      <c r="JDC11" s="3"/>
      <c r="JDD11" s="3"/>
      <c r="JDE11" s="3"/>
      <c r="JDF11" s="3"/>
      <c r="JDG11" s="3"/>
      <c r="JDH11" s="3"/>
      <c r="JDI11" s="3"/>
      <c r="JDJ11" s="3"/>
      <c r="JDK11" s="3"/>
      <c r="JDL11" s="3"/>
      <c r="JDM11" s="3"/>
      <c r="JDN11" s="3"/>
      <c r="JDO11" s="3"/>
      <c r="JDP11" s="3"/>
      <c r="JDQ11" s="3"/>
      <c r="JDR11" s="3"/>
      <c r="JDS11" s="3"/>
      <c r="JDT11" s="3"/>
      <c r="JDU11" s="3"/>
      <c r="JDV11" s="3"/>
      <c r="JDW11" s="3"/>
      <c r="JDX11" s="3"/>
      <c r="JDY11" s="3"/>
      <c r="JDZ11" s="3"/>
      <c r="JEA11" s="3"/>
      <c r="JEB11" s="3"/>
      <c r="JEC11" s="3"/>
      <c r="JED11" s="3"/>
      <c r="JEE11" s="3"/>
      <c r="JEF11" s="3"/>
      <c r="JEG11" s="3"/>
      <c r="JEH11" s="3"/>
      <c r="JEI11" s="3"/>
      <c r="JEJ11" s="3"/>
      <c r="JEK11" s="3"/>
      <c r="JEL11" s="3"/>
      <c r="JEM11" s="3"/>
      <c r="JEN11" s="3"/>
      <c r="JEO11" s="3"/>
      <c r="JEP11" s="3"/>
      <c r="JEQ11" s="3"/>
      <c r="JER11" s="3"/>
      <c r="JES11" s="3"/>
      <c r="JET11" s="3"/>
      <c r="JEU11" s="3"/>
      <c r="JEV11" s="3"/>
      <c r="JEW11" s="3"/>
      <c r="JEX11" s="3"/>
      <c r="JEY11" s="3"/>
      <c r="JEZ11" s="3"/>
      <c r="JFA11" s="3"/>
      <c r="JFB11" s="3"/>
      <c r="JFC11" s="3"/>
      <c r="JFD11" s="3"/>
      <c r="JFE11" s="3"/>
      <c r="JFF11" s="3"/>
      <c r="JFG11" s="3"/>
      <c r="JFH11" s="3"/>
      <c r="JFI11" s="3"/>
      <c r="JFJ11" s="3"/>
      <c r="JFK11" s="3"/>
      <c r="JFL11" s="3"/>
      <c r="JFM11" s="3"/>
      <c r="JFN11" s="3"/>
      <c r="JFO11" s="3"/>
      <c r="JFP11" s="3"/>
      <c r="JFQ11" s="3"/>
      <c r="JFR11" s="3"/>
      <c r="JFS11" s="3"/>
      <c r="JFT11" s="3"/>
      <c r="JFU11" s="3"/>
      <c r="JFV11" s="3"/>
      <c r="JFW11" s="3"/>
      <c r="JFX11" s="3"/>
      <c r="JFY11" s="3"/>
      <c r="JFZ11" s="3"/>
      <c r="JGA11" s="3"/>
      <c r="JGB11" s="3"/>
      <c r="JGC11" s="3"/>
      <c r="JGD11" s="3"/>
      <c r="JGE11" s="3"/>
      <c r="JGF11" s="3"/>
      <c r="JGG11" s="3"/>
      <c r="JGH11" s="3"/>
      <c r="JGI11" s="3"/>
      <c r="JGJ11" s="3"/>
      <c r="JGK11" s="3"/>
      <c r="JGL11" s="3"/>
      <c r="JGM11" s="3"/>
      <c r="JGN11" s="3"/>
      <c r="JGO11" s="3"/>
      <c r="JGP11" s="3"/>
      <c r="JGQ11" s="3"/>
      <c r="JGR11" s="3"/>
      <c r="JGS11" s="3"/>
      <c r="JGT11" s="3"/>
      <c r="JGU11" s="3"/>
      <c r="JGV11" s="3"/>
      <c r="JGW11" s="3"/>
      <c r="JGX11" s="3"/>
      <c r="JGY11" s="3"/>
      <c r="JGZ11" s="3"/>
      <c r="JHA11" s="3"/>
      <c r="JHB11" s="3"/>
      <c r="JHC11" s="3"/>
      <c r="JHD11" s="3"/>
      <c r="JHE11" s="3"/>
      <c r="JHF11" s="3"/>
      <c r="JHG11" s="3"/>
      <c r="JHH11" s="3"/>
      <c r="JHI11" s="3"/>
      <c r="JHJ11" s="3"/>
      <c r="JHK11" s="3"/>
      <c r="JHL11" s="3"/>
      <c r="JHM11" s="3"/>
      <c r="JHN11" s="3"/>
      <c r="JHO11" s="3"/>
      <c r="JHP11" s="3"/>
      <c r="JHQ11" s="3"/>
      <c r="JHR11" s="3"/>
      <c r="JHS11" s="3"/>
      <c r="JHT11" s="3"/>
      <c r="JHU11" s="3"/>
      <c r="JHV11" s="3"/>
      <c r="JHW11" s="3"/>
      <c r="JHX11" s="3"/>
      <c r="JHY11" s="3"/>
      <c r="JHZ11" s="3"/>
      <c r="JIA11" s="3"/>
      <c r="JIB11" s="3"/>
      <c r="JIC11" s="3"/>
      <c r="JID11" s="3"/>
      <c r="JIE11" s="3"/>
      <c r="JIF11" s="3"/>
      <c r="JIG11" s="3"/>
      <c r="JIH11" s="3"/>
      <c r="JII11" s="3"/>
      <c r="JIJ11" s="3"/>
      <c r="JIK11" s="3"/>
      <c r="JIL11" s="3"/>
      <c r="JIM11" s="3"/>
      <c r="JIN11" s="3"/>
      <c r="JIO11" s="3"/>
      <c r="JIP11" s="3"/>
      <c r="JIQ11" s="3"/>
      <c r="JIR11" s="3"/>
      <c r="JIS11" s="3"/>
      <c r="JIT11" s="3"/>
      <c r="JIU11" s="3"/>
      <c r="JIV11" s="3"/>
      <c r="JIW11" s="3"/>
      <c r="JIX11" s="3"/>
      <c r="JIY11" s="3"/>
      <c r="JIZ11" s="3"/>
      <c r="JJA11" s="3"/>
      <c r="JJB11" s="3"/>
      <c r="JJC11" s="3"/>
      <c r="JJD11" s="3"/>
      <c r="JJE11" s="3"/>
      <c r="JJF11" s="3"/>
      <c r="JJG11" s="3"/>
      <c r="JJH11" s="3"/>
      <c r="JJI11" s="3"/>
      <c r="JJJ11" s="3"/>
      <c r="JJK11" s="3"/>
      <c r="JJL11" s="3"/>
      <c r="JJM11" s="3"/>
      <c r="JJN11" s="3"/>
      <c r="JJO11" s="3"/>
      <c r="JJP11" s="3"/>
      <c r="JJQ11" s="3"/>
      <c r="JJR11" s="3"/>
      <c r="JJS11" s="3"/>
      <c r="JJT11" s="3"/>
      <c r="JJU11" s="3"/>
      <c r="JJV11" s="3"/>
      <c r="JJW11" s="3"/>
      <c r="JJX11" s="3"/>
      <c r="JJY11" s="3"/>
      <c r="JJZ11" s="3"/>
      <c r="JKA11" s="3"/>
      <c r="JKB11" s="3"/>
      <c r="JKC11" s="3"/>
      <c r="JKD11" s="3"/>
      <c r="JKE11" s="3"/>
      <c r="JKF11" s="3"/>
      <c r="JKG11" s="3"/>
      <c r="JKH11" s="3"/>
      <c r="JKI11" s="3"/>
      <c r="JKJ11" s="3"/>
      <c r="JKK11" s="3"/>
      <c r="JKL11" s="3"/>
      <c r="JKM11" s="3"/>
      <c r="JKN11" s="3"/>
      <c r="JKO11" s="3"/>
      <c r="JKP11" s="3"/>
      <c r="JKQ11" s="3"/>
      <c r="JKR11" s="3"/>
      <c r="JKS11" s="3"/>
      <c r="JKT11" s="3"/>
      <c r="JKU11" s="3"/>
      <c r="JKV11" s="3"/>
      <c r="JKW11" s="3"/>
      <c r="JKX11" s="3"/>
      <c r="JKY11" s="3"/>
      <c r="JKZ11" s="3"/>
      <c r="JLA11" s="3"/>
      <c r="JLB11" s="3"/>
      <c r="JLC11" s="3"/>
      <c r="JLD11" s="3"/>
      <c r="JLE11" s="3"/>
      <c r="JLF11" s="3"/>
      <c r="JLG11" s="3"/>
      <c r="JLH11" s="3"/>
      <c r="JLI11" s="3"/>
      <c r="JLJ11" s="3"/>
      <c r="JLK11" s="3"/>
      <c r="JLL11" s="3"/>
      <c r="JLM11" s="3"/>
      <c r="JLN11" s="3"/>
      <c r="JLO11" s="3"/>
      <c r="JLP11" s="3"/>
      <c r="JLQ11" s="3"/>
      <c r="JLR11" s="3"/>
      <c r="JLS11" s="3"/>
      <c r="JLT11" s="3"/>
      <c r="JLU11" s="3"/>
      <c r="JLV11" s="3"/>
      <c r="JLW11" s="3"/>
      <c r="JLX11" s="3"/>
      <c r="JLY11" s="3"/>
      <c r="JLZ11" s="3"/>
      <c r="JMA11" s="3"/>
      <c r="JMB11" s="3"/>
      <c r="JMC11" s="3"/>
      <c r="JMD11" s="3"/>
      <c r="JME11" s="3"/>
      <c r="JMF11" s="3"/>
      <c r="JMG11" s="3"/>
      <c r="JMH11" s="3"/>
      <c r="JMI11" s="3"/>
      <c r="JMJ11" s="3"/>
      <c r="JMK11" s="3"/>
      <c r="JML11" s="3"/>
      <c r="JMM11" s="3"/>
      <c r="JMN11" s="3"/>
      <c r="JMO11" s="3"/>
      <c r="JMP11" s="3"/>
      <c r="JMQ11" s="3"/>
      <c r="JMR11" s="3"/>
      <c r="JMS11" s="3"/>
      <c r="JMT11" s="3"/>
      <c r="JMU11" s="3"/>
      <c r="JMV11" s="3"/>
      <c r="JMW11" s="3"/>
      <c r="JMX11" s="3"/>
      <c r="JMY11" s="3"/>
      <c r="JMZ11" s="3"/>
      <c r="JNA11" s="3"/>
      <c r="JNB11" s="3"/>
      <c r="JNC11" s="3"/>
      <c r="JND11" s="3"/>
      <c r="JNE11" s="3"/>
      <c r="JNF11" s="3"/>
      <c r="JNG11" s="3"/>
      <c r="JNH11" s="3"/>
      <c r="JNI11" s="3"/>
      <c r="JNJ11" s="3"/>
      <c r="JNK11" s="3"/>
      <c r="JNL11" s="3"/>
      <c r="JNM11" s="3"/>
      <c r="JNN11" s="3"/>
      <c r="JNO11" s="3"/>
      <c r="JNP11" s="3"/>
      <c r="JNQ11" s="3"/>
      <c r="JNR11" s="3"/>
      <c r="JNS11" s="3"/>
      <c r="JNT11" s="3"/>
      <c r="JNU11" s="3"/>
      <c r="JNV11" s="3"/>
      <c r="JNW11" s="3"/>
      <c r="JNX11" s="3"/>
      <c r="JNY11" s="3"/>
      <c r="JNZ11" s="3"/>
      <c r="JOA11" s="3"/>
      <c r="JOB11" s="3"/>
      <c r="JOC11" s="3"/>
      <c r="JOD11" s="3"/>
      <c r="JOE11" s="3"/>
      <c r="JOF11" s="3"/>
      <c r="JOG11" s="3"/>
      <c r="JOH11" s="3"/>
      <c r="JOI11" s="3"/>
      <c r="JOJ11" s="3"/>
      <c r="JOK11" s="3"/>
      <c r="JOL11" s="3"/>
      <c r="JOM11" s="3"/>
      <c r="JON11" s="3"/>
      <c r="JOO11" s="3"/>
      <c r="JOP11" s="3"/>
      <c r="JOQ11" s="3"/>
      <c r="JOR11" s="3"/>
      <c r="JOS11" s="3"/>
      <c r="JOT11" s="3"/>
      <c r="JOU11" s="3"/>
      <c r="JOV11" s="3"/>
      <c r="JOW11" s="3"/>
      <c r="JOX11" s="3"/>
      <c r="JOY11" s="3"/>
      <c r="JOZ11" s="3"/>
      <c r="JPA11" s="3"/>
      <c r="JPB11" s="3"/>
      <c r="JPC11" s="3"/>
      <c r="JPD11" s="3"/>
      <c r="JPE11" s="3"/>
      <c r="JPF11" s="3"/>
      <c r="JPG11" s="3"/>
      <c r="JPH11" s="3"/>
      <c r="JPI11" s="3"/>
      <c r="JPJ11" s="3"/>
      <c r="JPK11" s="3"/>
      <c r="JPL11" s="3"/>
      <c r="JPM11" s="3"/>
      <c r="JPN11" s="3"/>
      <c r="JPO11" s="3"/>
      <c r="JPP11" s="3"/>
      <c r="JPQ11" s="3"/>
      <c r="JPR11" s="3"/>
      <c r="JPS11" s="3"/>
      <c r="JPT11" s="3"/>
      <c r="JPU11" s="3"/>
      <c r="JPV11" s="3"/>
      <c r="JPW11" s="3"/>
      <c r="JPX11" s="3"/>
      <c r="JPY11" s="3"/>
      <c r="JPZ11" s="3"/>
      <c r="JQA11" s="3"/>
      <c r="JQB11" s="3"/>
      <c r="JQC11" s="3"/>
      <c r="JQD11" s="3"/>
      <c r="JQE11" s="3"/>
      <c r="JQF11" s="3"/>
      <c r="JQG11" s="3"/>
      <c r="JQH11" s="3"/>
      <c r="JQI11" s="3"/>
      <c r="JQJ11" s="3"/>
      <c r="JQK11" s="3"/>
      <c r="JQL11" s="3"/>
      <c r="JQM11" s="3"/>
      <c r="JQN11" s="3"/>
      <c r="JQO11" s="3"/>
      <c r="JQP11" s="3"/>
      <c r="JQQ11" s="3"/>
      <c r="JQR11" s="3"/>
      <c r="JQS11" s="3"/>
      <c r="JQT11" s="3"/>
      <c r="JQU11" s="3"/>
      <c r="JQV11" s="3"/>
      <c r="JQW11" s="3"/>
      <c r="JQX11" s="3"/>
      <c r="JQY11" s="3"/>
      <c r="JQZ11" s="3"/>
      <c r="JRA11" s="3"/>
      <c r="JRB11" s="3"/>
      <c r="JRC11" s="3"/>
      <c r="JRD11" s="3"/>
      <c r="JRE11" s="3"/>
      <c r="JRF11" s="3"/>
      <c r="JRG11" s="3"/>
      <c r="JRH11" s="3"/>
      <c r="JRI11" s="3"/>
      <c r="JRJ11" s="3"/>
      <c r="JRK11" s="3"/>
      <c r="JRL11" s="3"/>
      <c r="JRM11" s="3"/>
      <c r="JRN11" s="3"/>
      <c r="JRO11" s="3"/>
      <c r="JRP11" s="3"/>
      <c r="JRQ11" s="3"/>
      <c r="JRR11" s="3"/>
      <c r="JRS11" s="3"/>
      <c r="JRT11" s="3"/>
      <c r="JRU11" s="3"/>
      <c r="JRV11" s="3"/>
      <c r="JRW11" s="3"/>
      <c r="JRX11" s="3"/>
      <c r="JRY11" s="3"/>
      <c r="JRZ11" s="3"/>
      <c r="JSA11" s="3"/>
      <c r="JSB11" s="3"/>
      <c r="JSC11" s="3"/>
      <c r="JSD11" s="3"/>
      <c r="JSE11" s="3"/>
      <c r="JSF11" s="3"/>
      <c r="JSG11" s="3"/>
      <c r="JSH11" s="3"/>
      <c r="JSI11" s="3"/>
      <c r="JSJ11" s="3"/>
      <c r="JSK11" s="3"/>
      <c r="JSL11" s="3"/>
      <c r="JSM11" s="3"/>
      <c r="JSN11" s="3"/>
      <c r="JSO11" s="3"/>
      <c r="JSP11" s="3"/>
      <c r="JSQ11" s="3"/>
      <c r="JSR11" s="3"/>
      <c r="JSS11" s="3"/>
      <c r="JST11" s="3"/>
      <c r="JSU11" s="3"/>
      <c r="JSV11" s="3"/>
      <c r="JSW11" s="3"/>
      <c r="JSX11" s="3"/>
      <c r="JSY11" s="3"/>
      <c r="JSZ11" s="3"/>
      <c r="JTA11" s="3"/>
      <c r="JTB11" s="3"/>
      <c r="JTC11" s="3"/>
      <c r="JTD11" s="3"/>
      <c r="JTE11" s="3"/>
      <c r="JTF11" s="3"/>
      <c r="JTG11" s="3"/>
      <c r="JTH11" s="3"/>
      <c r="JTI11" s="3"/>
      <c r="JTJ11" s="3"/>
      <c r="JTK11" s="3"/>
      <c r="JTL11" s="3"/>
      <c r="JTM11" s="3"/>
      <c r="JTN11" s="3"/>
      <c r="JTO11" s="3"/>
      <c r="JTP11" s="3"/>
      <c r="JTQ11" s="3"/>
      <c r="JTR11" s="3"/>
      <c r="JTS11" s="3"/>
      <c r="JTT11" s="3"/>
      <c r="JTU11" s="3"/>
      <c r="JTV11" s="3"/>
      <c r="JTW11" s="3"/>
      <c r="JTX11" s="3"/>
      <c r="JTY11" s="3"/>
      <c r="JTZ11" s="3"/>
      <c r="JUA11" s="3"/>
      <c r="JUB11" s="3"/>
      <c r="JUC11" s="3"/>
      <c r="JUD11" s="3"/>
      <c r="JUE11" s="3"/>
      <c r="JUF11" s="3"/>
      <c r="JUG11" s="3"/>
      <c r="JUH11" s="3"/>
      <c r="JUI11" s="3"/>
      <c r="JUJ11" s="3"/>
      <c r="JUK11" s="3"/>
      <c r="JUL11" s="3"/>
      <c r="JUM11" s="3"/>
      <c r="JUN11" s="3"/>
      <c r="JUO11" s="3"/>
      <c r="JUP11" s="3"/>
      <c r="JUQ11" s="3"/>
      <c r="JUR11" s="3"/>
      <c r="JUS11" s="3"/>
      <c r="JUT11" s="3"/>
      <c r="JUU11" s="3"/>
      <c r="JUV11" s="3"/>
      <c r="JUW11" s="3"/>
      <c r="JUX11" s="3"/>
      <c r="JUY11" s="3"/>
      <c r="JUZ11" s="3"/>
      <c r="JVA11" s="3"/>
      <c r="JVB11" s="3"/>
      <c r="JVC11" s="3"/>
      <c r="JVD11" s="3"/>
      <c r="JVE11" s="3"/>
      <c r="JVF11" s="3"/>
      <c r="JVG11" s="3"/>
      <c r="JVH11" s="3"/>
      <c r="JVI11" s="3"/>
      <c r="JVJ11" s="3"/>
      <c r="JVK11" s="3"/>
      <c r="JVL11" s="3"/>
      <c r="JVM11" s="3"/>
      <c r="JVN11" s="3"/>
      <c r="JVO11" s="3"/>
      <c r="JVP11" s="3"/>
      <c r="JVQ11" s="3"/>
      <c r="JVR11" s="3"/>
      <c r="JVS11" s="3"/>
      <c r="JVT11" s="3"/>
      <c r="JVU11" s="3"/>
      <c r="JVV11" s="3"/>
      <c r="JVW11" s="3"/>
      <c r="JVX11" s="3"/>
      <c r="JVY11" s="3"/>
      <c r="JVZ11" s="3"/>
      <c r="JWA11" s="3"/>
      <c r="JWB11" s="3"/>
      <c r="JWC11" s="3"/>
      <c r="JWD11" s="3"/>
      <c r="JWE11" s="3"/>
      <c r="JWF11" s="3"/>
      <c r="JWG11" s="3"/>
      <c r="JWH11" s="3"/>
      <c r="JWI11" s="3"/>
      <c r="JWJ11" s="3"/>
      <c r="JWK11" s="3"/>
      <c r="JWL11" s="3"/>
      <c r="JWM11" s="3"/>
      <c r="JWN11" s="3"/>
      <c r="JWO11" s="3"/>
      <c r="JWP11" s="3"/>
      <c r="JWQ11" s="3"/>
      <c r="JWR11" s="3"/>
      <c r="JWS11" s="3"/>
      <c r="JWT11" s="3"/>
      <c r="JWU11" s="3"/>
      <c r="JWV11" s="3"/>
      <c r="JWW11" s="3"/>
      <c r="JWX11" s="3"/>
      <c r="JWY11" s="3"/>
      <c r="JWZ11" s="3"/>
      <c r="JXA11" s="3"/>
      <c r="JXB11" s="3"/>
      <c r="JXC11" s="3"/>
      <c r="JXD11" s="3"/>
      <c r="JXE11" s="3"/>
      <c r="JXF11" s="3"/>
      <c r="JXG11" s="3"/>
      <c r="JXH11" s="3"/>
      <c r="JXI11" s="3"/>
      <c r="JXJ11" s="3"/>
      <c r="JXK11" s="3"/>
      <c r="JXL11" s="3"/>
      <c r="JXM11" s="3"/>
      <c r="JXN11" s="3"/>
      <c r="JXO11" s="3"/>
      <c r="JXP11" s="3"/>
      <c r="JXQ11" s="3"/>
      <c r="JXR11" s="3"/>
      <c r="JXS11" s="3"/>
      <c r="JXT11" s="3"/>
      <c r="JXU11" s="3"/>
      <c r="JXV11" s="3"/>
      <c r="JXW11" s="3"/>
      <c r="JXX11" s="3"/>
      <c r="JXY11" s="3"/>
      <c r="JXZ11" s="3"/>
      <c r="JYA11" s="3"/>
      <c r="JYB11" s="3"/>
      <c r="JYC11" s="3"/>
      <c r="JYD11" s="3"/>
      <c r="JYE11" s="3"/>
      <c r="JYF11" s="3"/>
      <c r="JYG11" s="3"/>
      <c r="JYH11" s="3"/>
      <c r="JYI11" s="3"/>
      <c r="JYJ11" s="3"/>
      <c r="JYK11" s="3"/>
      <c r="JYL11" s="3"/>
      <c r="JYM11" s="3"/>
      <c r="JYN11" s="3"/>
      <c r="JYO11" s="3"/>
      <c r="JYP11" s="3"/>
      <c r="JYQ11" s="3"/>
      <c r="JYR11" s="3"/>
      <c r="JYS11" s="3"/>
      <c r="JYT11" s="3"/>
      <c r="JYU11" s="3"/>
      <c r="JYV11" s="3"/>
      <c r="JYW11" s="3"/>
      <c r="JYX11" s="3"/>
      <c r="JYY11" s="3"/>
      <c r="JYZ11" s="3"/>
      <c r="JZA11" s="3"/>
      <c r="JZB11" s="3"/>
      <c r="JZC11" s="3"/>
      <c r="JZD11" s="3"/>
      <c r="JZE11" s="3"/>
      <c r="JZF11" s="3"/>
      <c r="JZG11" s="3"/>
      <c r="JZH11" s="3"/>
      <c r="JZI11" s="3"/>
      <c r="JZJ11" s="3"/>
      <c r="JZK11" s="3"/>
      <c r="JZL11" s="3"/>
      <c r="JZM11" s="3"/>
      <c r="JZN11" s="3"/>
      <c r="JZO11" s="3"/>
      <c r="JZP11" s="3"/>
      <c r="JZQ11" s="3"/>
      <c r="JZR11" s="3"/>
      <c r="JZS11" s="3"/>
      <c r="JZT11" s="3"/>
      <c r="JZU11" s="3"/>
      <c r="JZV11" s="3"/>
      <c r="JZW11" s="3"/>
      <c r="JZX11" s="3"/>
      <c r="JZY11" s="3"/>
      <c r="JZZ11" s="3"/>
      <c r="KAA11" s="3"/>
      <c r="KAB11" s="3"/>
      <c r="KAC11" s="3"/>
      <c r="KAD11" s="3"/>
      <c r="KAE11" s="3"/>
      <c r="KAF11" s="3"/>
      <c r="KAG11" s="3"/>
      <c r="KAH11" s="3"/>
      <c r="KAI11" s="3"/>
      <c r="KAJ11" s="3"/>
      <c r="KAK11" s="3"/>
      <c r="KAL11" s="3"/>
      <c r="KAM11" s="3"/>
      <c r="KAN11" s="3"/>
      <c r="KAO11" s="3"/>
      <c r="KAP11" s="3"/>
      <c r="KAQ11" s="3"/>
      <c r="KAR11" s="3"/>
      <c r="KAS11" s="3"/>
      <c r="KAT11" s="3"/>
      <c r="KAU11" s="3"/>
      <c r="KAV11" s="3"/>
      <c r="KAW11" s="3"/>
      <c r="KAX11" s="3"/>
      <c r="KAY11" s="3"/>
      <c r="KAZ11" s="3"/>
      <c r="KBA11" s="3"/>
      <c r="KBB11" s="3"/>
      <c r="KBC11" s="3"/>
      <c r="KBD11" s="3"/>
      <c r="KBE11" s="3"/>
      <c r="KBF11" s="3"/>
      <c r="KBG11" s="3"/>
      <c r="KBH11" s="3"/>
      <c r="KBI11" s="3"/>
      <c r="KBJ11" s="3"/>
      <c r="KBK11" s="3"/>
      <c r="KBL11" s="3"/>
      <c r="KBM11" s="3"/>
      <c r="KBN11" s="3"/>
      <c r="KBO11" s="3"/>
      <c r="KBP11" s="3"/>
      <c r="KBQ11" s="3"/>
      <c r="KBR11" s="3"/>
      <c r="KBS11" s="3"/>
      <c r="KBT11" s="3"/>
      <c r="KBU11" s="3"/>
      <c r="KBV11" s="3"/>
      <c r="KBW11" s="3"/>
      <c r="KBX11" s="3"/>
      <c r="KBY11" s="3"/>
      <c r="KBZ11" s="3"/>
      <c r="KCA11" s="3"/>
      <c r="KCB11" s="3"/>
      <c r="KCC11" s="3"/>
      <c r="KCD11" s="3"/>
      <c r="KCE11" s="3"/>
      <c r="KCF11" s="3"/>
      <c r="KCG11" s="3"/>
      <c r="KCH11" s="3"/>
      <c r="KCI11" s="3"/>
      <c r="KCJ11" s="3"/>
      <c r="KCK11" s="3"/>
      <c r="KCL11" s="3"/>
      <c r="KCM11" s="3"/>
      <c r="KCN11" s="3"/>
      <c r="KCO11" s="3"/>
      <c r="KCP11" s="3"/>
      <c r="KCQ11" s="3"/>
      <c r="KCR11" s="3"/>
      <c r="KCS11" s="3"/>
      <c r="KCT11" s="3"/>
      <c r="KCU11" s="3"/>
      <c r="KCV11" s="3"/>
      <c r="KCW11" s="3"/>
      <c r="KCX11" s="3"/>
      <c r="KCY11" s="3"/>
      <c r="KCZ11" s="3"/>
      <c r="KDA11" s="3"/>
      <c r="KDB11" s="3"/>
      <c r="KDC11" s="3"/>
      <c r="KDD11" s="3"/>
      <c r="KDE11" s="3"/>
      <c r="KDF11" s="3"/>
      <c r="KDG11" s="3"/>
      <c r="KDH11" s="3"/>
      <c r="KDI11" s="3"/>
      <c r="KDJ11" s="3"/>
      <c r="KDK11" s="3"/>
      <c r="KDL11" s="3"/>
      <c r="KDM11" s="3"/>
      <c r="KDN11" s="3"/>
      <c r="KDO11" s="3"/>
      <c r="KDP11" s="3"/>
      <c r="KDQ11" s="3"/>
      <c r="KDR11" s="3"/>
      <c r="KDS11" s="3"/>
      <c r="KDT11" s="3"/>
      <c r="KDU11" s="3"/>
      <c r="KDV11" s="3"/>
      <c r="KDW11" s="3"/>
      <c r="KDX11" s="3"/>
      <c r="KDY11" s="3"/>
      <c r="KDZ11" s="3"/>
      <c r="KEA11" s="3"/>
      <c r="KEB11" s="3"/>
      <c r="KEC11" s="3"/>
      <c r="KED11" s="3"/>
      <c r="KEE11" s="3"/>
      <c r="KEF11" s="3"/>
      <c r="KEG11" s="3"/>
      <c r="KEH11" s="3"/>
      <c r="KEI11" s="3"/>
      <c r="KEJ11" s="3"/>
      <c r="KEK11" s="3"/>
      <c r="KEL11" s="3"/>
      <c r="KEM11" s="3"/>
      <c r="KEN11" s="3"/>
      <c r="KEO11" s="3"/>
      <c r="KEP11" s="3"/>
      <c r="KEQ11" s="3"/>
      <c r="KER11" s="3"/>
      <c r="KES11" s="3"/>
      <c r="KET11" s="3"/>
      <c r="KEU11" s="3"/>
      <c r="KEV11" s="3"/>
      <c r="KEW11" s="3"/>
      <c r="KEX11" s="3"/>
      <c r="KEY11" s="3"/>
      <c r="KEZ11" s="3"/>
      <c r="KFA11" s="3"/>
      <c r="KFB11" s="3"/>
      <c r="KFC11" s="3"/>
      <c r="KFD11" s="3"/>
      <c r="KFE11" s="3"/>
      <c r="KFF11" s="3"/>
      <c r="KFG11" s="3"/>
      <c r="KFH11" s="3"/>
      <c r="KFI11" s="3"/>
      <c r="KFJ11" s="3"/>
      <c r="KFK11" s="3"/>
      <c r="KFL11" s="3"/>
      <c r="KFM11" s="3"/>
      <c r="KFN11" s="3"/>
      <c r="KFO11" s="3"/>
      <c r="KFP11" s="3"/>
      <c r="KFQ11" s="3"/>
      <c r="KFR11" s="3"/>
      <c r="KFS11" s="3"/>
      <c r="KFT11" s="3"/>
      <c r="KFU11" s="3"/>
      <c r="KFV11" s="3"/>
      <c r="KFW11" s="3"/>
      <c r="KFX11" s="3"/>
      <c r="KFY11" s="3"/>
      <c r="KFZ11" s="3"/>
      <c r="KGA11" s="3"/>
      <c r="KGB11" s="3"/>
      <c r="KGC11" s="3"/>
      <c r="KGD11" s="3"/>
      <c r="KGE11" s="3"/>
      <c r="KGF11" s="3"/>
      <c r="KGG11" s="3"/>
      <c r="KGH11" s="3"/>
      <c r="KGI11" s="3"/>
      <c r="KGJ11" s="3"/>
      <c r="KGK11" s="3"/>
      <c r="KGL11" s="3"/>
      <c r="KGM11" s="3"/>
      <c r="KGN11" s="3"/>
      <c r="KGO11" s="3"/>
      <c r="KGP11" s="3"/>
      <c r="KGQ11" s="3"/>
      <c r="KGR11" s="3"/>
      <c r="KGS11" s="3"/>
      <c r="KGT11" s="3"/>
      <c r="KGU11" s="3"/>
      <c r="KGV11" s="3"/>
      <c r="KGW11" s="3"/>
      <c r="KGX11" s="3"/>
      <c r="KGY11" s="3"/>
      <c r="KGZ11" s="3"/>
      <c r="KHA11" s="3"/>
      <c r="KHB11" s="3"/>
      <c r="KHC11" s="3"/>
      <c r="KHD11" s="3"/>
      <c r="KHE11" s="3"/>
      <c r="KHF11" s="3"/>
      <c r="KHG11" s="3"/>
      <c r="KHH11" s="3"/>
      <c r="KHI11" s="3"/>
      <c r="KHJ11" s="3"/>
      <c r="KHK11" s="3"/>
      <c r="KHL11" s="3"/>
      <c r="KHM11" s="3"/>
      <c r="KHN11" s="3"/>
      <c r="KHO11" s="3"/>
      <c r="KHP11" s="3"/>
      <c r="KHQ11" s="3"/>
      <c r="KHR11" s="3"/>
      <c r="KHS11" s="3"/>
      <c r="KHT11" s="3"/>
      <c r="KHU11" s="3"/>
      <c r="KHV11" s="3"/>
      <c r="KHW11" s="3"/>
      <c r="KHX11" s="3"/>
      <c r="KHY11" s="3"/>
      <c r="KHZ11" s="3"/>
      <c r="KIA11" s="3"/>
      <c r="KIB11" s="3"/>
      <c r="KIC11" s="3"/>
      <c r="KID11" s="3"/>
      <c r="KIE11" s="3"/>
      <c r="KIF11" s="3"/>
      <c r="KIG11" s="3"/>
      <c r="KIH11" s="3"/>
      <c r="KII11" s="3"/>
      <c r="KIJ11" s="3"/>
      <c r="KIK11" s="3"/>
      <c r="KIL11" s="3"/>
      <c r="KIM11" s="3"/>
      <c r="KIN11" s="3"/>
      <c r="KIO11" s="3"/>
      <c r="KIP11" s="3"/>
      <c r="KIQ11" s="3"/>
      <c r="KIR11" s="3"/>
      <c r="KIS11" s="3"/>
      <c r="KIT11" s="3"/>
      <c r="KIU11" s="3"/>
      <c r="KIV11" s="3"/>
      <c r="KIW11" s="3"/>
      <c r="KIX11" s="3"/>
      <c r="KIY11" s="3"/>
      <c r="KIZ11" s="3"/>
      <c r="KJA11" s="3"/>
      <c r="KJB11" s="3"/>
      <c r="KJC11" s="3"/>
      <c r="KJD11" s="3"/>
      <c r="KJE11" s="3"/>
      <c r="KJF11" s="3"/>
      <c r="KJG11" s="3"/>
      <c r="KJH11" s="3"/>
      <c r="KJI11" s="3"/>
      <c r="KJJ11" s="3"/>
      <c r="KJK11" s="3"/>
      <c r="KJL11" s="3"/>
      <c r="KJM11" s="3"/>
      <c r="KJN11" s="3"/>
      <c r="KJO11" s="3"/>
      <c r="KJP11" s="3"/>
      <c r="KJQ11" s="3"/>
      <c r="KJR11" s="3"/>
      <c r="KJS11" s="3"/>
      <c r="KJT11" s="3"/>
      <c r="KJU11" s="3"/>
      <c r="KJV11" s="3"/>
      <c r="KJW11" s="3"/>
      <c r="KJX11" s="3"/>
      <c r="KJY11" s="3"/>
      <c r="KJZ11" s="3"/>
      <c r="KKA11" s="3"/>
      <c r="KKB11" s="3"/>
      <c r="KKC11" s="3"/>
      <c r="KKD11" s="3"/>
      <c r="KKE11" s="3"/>
      <c r="KKF11" s="3"/>
      <c r="KKG11" s="3"/>
      <c r="KKH11" s="3"/>
      <c r="KKI11" s="3"/>
      <c r="KKJ11" s="3"/>
      <c r="KKK11" s="3"/>
      <c r="KKL11" s="3"/>
      <c r="KKM11" s="3"/>
      <c r="KKN11" s="3"/>
      <c r="KKO11" s="3"/>
      <c r="KKP11" s="3"/>
      <c r="KKQ11" s="3"/>
      <c r="KKR11" s="3"/>
      <c r="KKS11" s="3"/>
      <c r="KKT11" s="3"/>
      <c r="KKU11" s="3"/>
      <c r="KKV11" s="3"/>
      <c r="KKW11" s="3"/>
      <c r="KKX11" s="3"/>
      <c r="KKY11" s="3"/>
      <c r="KKZ11" s="3"/>
      <c r="KLA11" s="3"/>
      <c r="KLB11" s="3"/>
      <c r="KLC11" s="3"/>
      <c r="KLD11" s="3"/>
      <c r="KLE11" s="3"/>
      <c r="KLF11" s="3"/>
      <c r="KLG11" s="3"/>
      <c r="KLH11" s="3"/>
      <c r="KLI11" s="3"/>
      <c r="KLJ11" s="3"/>
      <c r="KLK11" s="3"/>
      <c r="KLL11" s="3"/>
      <c r="KLM11" s="3"/>
      <c r="KLN11" s="3"/>
      <c r="KLO11" s="3"/>
      <c r="KLP11" s="3"/>
      <c r="KLQ11" s="3"/>
      <c r="KLR11" s="3"/>
      <c r="KLS11" s="3"/>
      <c r="KLT11" s="3"/>
      <c r="KLU11" s="3"/>
      <c r="KLV11" s="3"/>
      <c r="KLW11" s="3"/>
      <c r="KLX11" s="3"/>
      <c r="KLY11" s="3"/>
      <c r="KLZ11" s="3"/>
      <c r="KMA11" s="3"/>
      <c r="KMB11" s="3"/>
      <c r="KMC11" s="3"/>
      <c r="KMD11" s="3"/>
      <c r="KME11" s="3"/>
      <c r="KMF11" s="3"/>
      <c r="KMG11" s="3"/>
      <c r="KMH11" s="3"/>
      <c r="KMI11" s="3"/>
      <c r="KMJ11" s="3"/>
      <c r="KMK11" s="3"/>
      <c r="KML11" s="3"/>
      <c r="KMM11" s="3"/>
      <c r="KMN11" s="3"/>
      <c r="KMO11" s="3"/>
      <c r="KMP11" s="3"/>
      <c r="KMQ11" s="3"/>
      <c r="KMR11" s="3"/>
      <c r="KMS11" s="3"/>
      <c r="KMT11" s="3"/>
      <c r="KMU11" s="3"/>
      <c r="KMV11" s="3"/>
      <c r="KMW11" s="3"/>
      <c r="KMX11" s="3"/>
      <c r="KMY11" s="3"/>
      <c r="KMZ11" s="3"/>
      <c r="KNA11" s="3"/>
      <c r="KNB11" s="3"/>
      <c r="KNC11" s="3"/>
      <c r="KND11" s="3"/>
      <c r="KNE11" s="3"/>
      <c r="KNF11" s="3"/>
      <c r="KNG11" s="3"/>
      <c r="KNH11" s="3"/>
      <c r="KNI11" s="3"/>
      <c r="KNJ11" s="3"/>
      <c r="KNK11" s="3"/>
      <c r="KNL11" s="3"/>
      <c r="KNM11" s="3"/>
      <c r="KNN11" s="3"/>
      <c r="KNO11" s="3"/>
      <c r="KNP11" s="3"/>
      <c r="KNQ11" s="3"/>
      <c r="KNR11" s="3"/>
      <c r="KNS11" s="3"/>
      <c r="KNT11" s="3"/>
      <c r="KNU11" s="3"/>
      <c r="KNV11" s="3"/>
      <c r="KNW11" s="3"/>
      <c r="KNX11" s="3"/>
      <c r="KNY11" s="3"/>
      <c r="KNZ11" s="3"/>
      <c r="KOA11" s="3"/>
      <c r="KOB11" s="3"/>
      <c r="KOC11" s="3"/>
      <c r="KOD11" s="3"/>
      <c r="KOE11" s="3"/>
      <c r="KOF11" s="3"/>
      <c r="KOG11" s="3"/>
      <c r="KOH11" s="3"/>
      <c r="KOI11" s="3"/>
      <c r="KOJ11" s="3"/>
      <c r="KOK11" s="3"/>
      <c r="KOL11" s="3"/>
      <c r="KOM11" s="3"/>
      <c r="KON11" s="3"/>
      <c r="KOO11" s="3"/>
      <c r="KOP11" s="3"/>
      <c r="KOQ11" s="3"/>
      <c r="KOR11" s="3"/>
      <c r="KOS11" s="3"/>
      <c r="KOT11" s="3"/>
      <c r="KOU11" s="3"/>
      <c r="KOV11" s="3"/>
      <c r="KOW11" s="3"/>
      <c r="KOX11" s="3"/>
      <c r="KOY11" s="3"/>
      <c r="KOZ11" s="3"/>
      <c r="KPA11" s="3"/>
      <c r="KPB11" s="3"/>
      <c r="KPC11" s="3"/>
      <c r="KPD11" s="3"/>
      <c r="KPE11" s="3"/>
      <c r="KPF11" s="3"/>
      <c r="KPG11" s="3"/>
      <c r="KPH11" s="3"/>
      <c r="KPI11" s="3"/>
      <c r="KPJ11" s="3"/>
      <c r="KPK11" s="3"/>
      <c r="KPL11" s="3"/>
      <c r="KPM11" s="3"/>
      <c r="KPN11" s="3"/>
      <c r="KPO11" s="3"/>
      <c r="KPP11" s="3"/>
      <c r="KPQ11" s="3"/>
      <c r="KPR11" s="3"/>
      <c r="KPS11" s="3"/>
      <c r="KPT11" s="3"/>
      <c r="KPU11" s="3"/>
      <c r="KPV11" s="3"/>
      <c r="KPW11" s="3"/>
      <c r="KPX11" s="3"/>
      <c r="KPY11" s="3"/>
      <c r="KPZ11" s="3"/>
      <c r="KQA11" s="3"/>
      <c r="KQB11" s="3"/>
      <c r="KQC11" s="3"/>
      <c r="KQD11" s="3"/>
      <c r="KQE11" s="3"/>
      <c r="KQF11" s="3"/>
      <c r="KQG11" s="3"/>
      <c r="KQH11" s="3"/>
      <c r="KQI11" s="3"/>
      <c r="KQJ11" s="3"/>
      <c r="KQK11" s="3"/>
      <c r="KQL11" s="3"/>
      <c r="KQM11" s="3"/>
      <c r="KQN11" s="3"/>
      <c r="KQO11" s="3"/>
      <c r="KQP11" s="3"/>
      <c r="KQQ11" s="3"/>
      <c r="KQR11" s="3"/>
      <c r="KQS11" s="3"/>
      <c r="KQT11" s="3"/>
      <c r="KQU11" s="3"/>
      <c r="KQV11" s="3"/>
      <c r="KQW11" s="3"/>
      <c r="KQX11" s="3"/>
      <c r="KQY11" s="3"/>
      <c r="KQZ11" s="3"/>
      <c r="KRA11" s="3"/>
      <c r="KRB11" s="3"/>
      <c r="KRC11" s="3"/>
      <c r="KRD11" s="3"/>
      <c r="KRE11" s="3"/>
      <c r="KRF11" s="3"/>
      <c r="KRG11" s="3"/>
      <c r="KRH11" s="3"/>
      <c r="KRI11" s="3"/>
      <c r="KRJ11" s="3"/>
      <c r="KRK11" s="3"/>
      <c r="KRL11" s="3"/>
      <c r="KRM11" s="3"/>
      <c r="KRN11" s="3"/>
    </row>
    <row r="12" spans="1:7918" s="378" customFormat="1">
      <c r="A12" s="26" t="e">
        <f t="shared" si="0"/>
        <v>#REF!</v>
      </c>
      <c r="B12" s="388" t="s">
        <v>632</v>
      </c>
      <c r="C12" s="225">
        <v>2300061948</v>
      </c>
      <c r="D12" s="386" t="s">
        <v>580</v>
      </c>
      <c r="E12" s="149" t="str">
        <f>VLOOKUP($B12,'Nomina Unhesa'!$B$4:$AB$209,2,0)</f>
        <v>Empacadora Liquidos</v>
      </c>
      <c r="F12" s="221">
        <f>VLOOKUP($B12,'Nomina Unhesa'!$B$4:$AB$209,4,0)</f>
        <v>30</v>
      </c>
      <c r="G12" s="229">
        <f>VLOOKUP($B12,'Nomina Unhesa'!$B$4:$AB$209,6,0)</f>
        <v>3166.38</v>
      </c>
      <c r="H12" s="229">
        <f>VLOOKUP($B12,'Nomina Unhesa'!$B$4:$AB$209,7,0)</f>
        <v>925</v>
      </c>
      <c r="I12" s="229">
        <f>VLOOKUP($B12,'Nomina Unhesa'!$B$4:$AB$209,9,0)</f>
        <v>6</v>
      </c>
      <c r="J12" s="234">
        <f>VLOOKUP($B12,'Nomina Unhesa'!$B$4:$AB$209,10,0)</f>
        <v>118.74</v>
      </c>
      <c r="K12" s="229">
        <f>VLOOKUP($B12,'Nomina Unhesa'!$B$4:$AB$209,11,0)</f>
        <v>0</v>
      </c>
      <c r="L12" s="229">
        <f>VLOOKUP($B12,'Nomina Unhesa'!$B$4:$AB$209,12,0)</f>
        <v>0</v>
      </c>
      <c r="M12" s="229">
        <f>VLOOKUP($B12,'Nomina Unhesa'!$B$4:$AB$209,14,0)</f>
        <v>0</v>
      </c>
      <c r="N12" s="234">
        <f>VLOOKUP($B12,'Nomina Unhesa'!$B$4:$AB$209,15,0)</f>
        <v>4210.12</v>
      </c>
      <c r="O12" s="234">
        <f>VLOOKUP($B12,'Nomina Unhesa'!$B$4:$AB$209,16,0)</f>
        <v>158.66999999999999</v>
      </c>
      <c r="P12" s="234">
        <f>VLOOKUP($B12,'Nomina Unhesa'!$B$4:$AB$209,17,0)</f>
        <v>9.92</v>
      </c>
      <c r="Q12" s="234">
        <f>VLOOKUP($B12,'Nomina Unhesa'!$B$4:$AB$209,18,0)</f>
        <v>0</v>
      </c>
      <c r="R12" s="234">
        <f>VLOOKUP($B12,'Nomina Unhesa'!$B$4:$AB$209,19,0)</f>
        <v>0</v>
      </c>
      <c r="S12" s="234">
        <f>VLOOKUP($B12,'Nomina Unhesa'!$B$4:$AB$209,20,0)</f>
        <v>0</v>
      </c>
      <c r="T12" s="234">
        <f>VLOOKUP($B12,'Nomina Unhesa'!$B$4:$AB$209,21,0)</f>
        <v>0</v>
      </c>
      <c r="U12" s="234">
        <f>VLOOKUP($B12,'Nomina Unhesa'!$B$4:$AB$209,22,0)</f>
        <v>649.75</v>
      </c>
      <c r="V12" s="234">
        <f>ROUND((VLOOKUP($B12,'Nomina Unhesa'!$B$4:$AB$209,23,0)),2)</f>
        <v>50</v>
      </c>
      <c r="W12" s="234">
        <f>VLOOKUP($B12,'Nomina Unhesa'!$B$4:$AB$209,24,0)</f>
        <v>868.33999999999992</v>
      </c>
      <c r="X12" s="234">
        <f>VLOOKUP(B12,'Nomina Unhesa'!$B$9:$Z$163,25,FALSE)</f>
        <v>3341.7799999999997</v>
      </c>
      <c r="Y12" s="255">
        <f>ROUND((VLOOKUP(B12,'Nomina Unhesa'!$B$9:$AB$157,26,FALSE)),2)</f>
        <v>1353.97</v>
      </c>
      <c r="Z12" s="219">
        <f>VLOOKUP(B12,'Nomina Unhesa'!$B$9:$AB$158,27,FALSE)</f>
        <v>1987.8099999999997</v>
      </c>
      <c r="AA12" s="441">
        <v>0</v>
      </c>
      <c r="AB12" s="389">
        <f>+IFERROR(VLOOKUP(B12,'Nomina Unhesa'!B30:D174,3,0),"")</f>
        <v>3285.12</v>
      </c>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c r="LL12" s="3"/>
      <c r="LM12" s="3"/>
      <c r="LN12" s="3"/>
      <c r="LO12" s="3"/>
      <c r="LP12" s="3"/>
      <c r="LQ12" s="3"/>
      <c r="LR12" s="3"/>
      <c r="LS12" s="3"/>
      <c r="LT12" s="3"/>
      <c r="LU12" s="3"/>
      <c r="LV12" s="3"/>
      <c r="LW12" s="3"/>
      <c r="LX12" s="3"/>
      <c r="LY12" s="3"/>
      <c r="LZ12" s="3"/>
      <c r="MA12" s="3"/>
      <c r="MB12" s="3"/>
      <c r="MC12" s="3"/>
      <c r="MD12" s="3"/>
      <c r="ME12" s="3"/>
      <c r="MF12" s="3"/>
      <c r="MG12" s="3"/>
      <c r="MH12" s="3"/>
      <c r="MI12" s="3"/>
      <c r="MJ12" s="3"/>
      <c r="MK12" s="3"/>
      <c r="ML12" s="3"/>
      <c r="MM12" s="3"/>
      <c r="MN12" s="3"/>
      <c r="MO12" s="3"/>
      <c r="MP12" s="3"/>
      <c r="MQ12" s="3"/>
      <c r="MR12" s="3"/>
      <c r="MS12" s="3"/>
      <c r="MT12" s="3"/>
      <c r="MU12" s="3"/>
      <c r="MV12" s="3"/>
      <c r="MW12" s="3"/>
      <c r="MX12" s="3"/>
      <c r="MY12" s="3"/>
      <c r="MZ12" s="3"/>
      <c r="NA12" s="3"/>
      <c r="NB12" s="3"/>
      <c r="NC12" s="3"/>
      <c r="ND12" s="3"/>
      <c r="NE12" s="3"/>
      <c r="NF12" s="3"/>
      <c r="NG12" s="3"/>
      <c r="NH12" s="3"/>
      <c r="NI12" s="3"/>
      <c r="NJ12" s="3"/>
      <c r="NK12" s="3"/>
      <c r="NL12" s="3"/>
      <c r="NM12" s="3"/>
      <c r="NN12" s="3"/>
      <c r="NO12" s="3"/>
      <c r="NP12" s="3"/>
      <c r="NQ12" s="3"/>
      <c r="NR12" s="3"/>
      <c r="NS12" s="3"/>
      <c r="NT12" s="3"/>
      <c r="NU12" s="3"/>
      <c r="NV12" s="3"/>
      <c r="NW12" s="3"/>
      <c r="NX12" s="3"/>
      <c r="NY12" s="3"/>
      <c r="NZ12" s="3"/>
      <c r="OA12" s="3"/>
      <c r="OB12" s="3"/>
      <c r="OC12" s="3"/>
      <c r="OD12" s="3"/>
      <c r="OE12" s="3"/>
      <c r="OF12" s="3"/>
      <c r="OG12" s="3"/>
      <c r="OH12" s="3"/>
      <c r="OI12" s="3"/>
      <c r="OJ12" s="3"/>
      <c r="OK12" s="3"/>
      <c r="OL12" s="3"/>
      <c r="OM12" s="3"/>
      <c r="ON12" s="3"/>
      <c r="OO12" s="3"/>
      <c r="OP12" s="3"/>
      <c r="OQ12" s="3"/>
      <c r="OR12" s="3"/>
      <c r="OS12" s="3"/>
      <c r="OT12" s="3"/>
      <c r="OU12" s="3"/>
      <c r="OV12" s="3"/>
      <c r="OW12" s="3"/>
      <c r="OX12" s="3"/>
      <c r="OY12" s="3"/>
      <c r="OZ12" s="3"/>
      <c r="PA12" s="3"/>
      <c r="PB12" s="3"/>
      <c r="PC12" s="3"/>
      <c r="PD12" s="3"/>
      <c r="PE12" s="3"/>
      <c r="PF12" s="3"/>
      <c r="PG12" s="3"/>
      <c r="PH12" s="3"/>
      <c r="PI12" s="3"/>
      <c r="PJ12" s="3"/>
      <c r="PK12" s="3"/>
      <c r="PL12" s="3"/>
      <c r="PM12" s="3"/>
      <c r="PN12" s="3"/>
      <c r="PO12" s="3"/>
      <c r="PP12" s="3"/>
      <c r="PQ12" s="3"/>
      <c r="PR12" s="3"/>
      <c r="PS12" s="3"/>
      <c r="PT12" s="3"/>
      <c r="PU12" s="3"/>
      <c r="PV12" s="3"/>
      <c r="PW12" s="3"/>
      <c r="PX12" s="3"/>
      <c r="PY12" s="3"/>
      <c r="PZ12" s="3"/>
      <c r="QA12" s="3"/>
      <c r="QB12" s="3"/>
      <c r="QC12" s="3"/>
      <c r="QD12" s="3"/>
      <c r="QE12" s="3"/>
      <c r="QF12" s="3"/>
      <c r="QG12" s="3"/>
      <c r="QH12" s="3"/>
      <c r="QI12" s="3"/>
      <c r="QJ12" s="3"/>
      <c r="QK12" s="3"/>
      <c r="QL12" s="3"/>
      <c r="QM12" s="3"/>
      <c r="QN12" s="3"/>
      <c r="QO12" s="3"/>
      <c r="QP12" s="3"/>
      <c r="QQ12" s="3"/>
      <c r="QR12" s="3"/>
      <c r="QS12" s="3"/>
      <c r="QT12" s="3"/>
      <c r="QU12" s="3"/>
      <c r="QV12" s="3"/>
      <c r="QW12" s="3"/>
      <c r="QX12" s="3"/>
      <c r="QY12" s="3"/>
      <c r="QZ12" s="3"/>
      <c r="RA12" s="3"/>
      <c r="RB12" s="3"/>
      <c r="RC12" s="3"/>
      <c r="RD12" s="3"/>
      <c r="RE12" s="3"/>
      <c r="RF12" s="3"/>
      <c r="RG12" s="3"/>
      <c r="RH12" s="3"/>
      <c r="RI12" s="3"/>
      <c r="RJ12" s="3"/>
      <c r="RK12" s="3"/>
      <c r="RL12" s="3"/>
      <c r="RM12" s="3"/>
      <c r="RN12" s="3"/>
      <c r="RO12" s="3"/>
      <c r="RP12" s="3"/>
      <c r="RQ12" s="3"/>
      <c r="RR12" s="3"/>
      <c r="RS12" s="3"/>
      <c r="RT12" s="3"/>
      <c r="RU12" s="3"/>
      <c r="RV12" s="3"/>
      <c r="RW12" s="3"/>
      <c r="RX12" s="3"/>
      <c r="RY12" s="3"/>
      <c r="RZ12" s="3"/>
      <c r="SA12" s="3"/>
      <c r="SB12" s="3"/>
      <c r="SC12" s="3"/>
      <c r="SD12" s="3"/>
      <c r="SE12" s="3"/>
      <c r="SF12" s="3"/>
      <c r="SG12" s="3"/>
      <c r="SH12" s="3"/>
      <c r="SI12" s="3"/>
      <c r="SJ12" s="3"/>
      <c r="SK12" s="3"/>
      <c r="SL12" s="3"/>
      <c r="SM12" s="3"/>
      <c r="SN12" s="3"/>
      <c r="SO12" s="3"/>
      <c r="SP12" s="3"/>
      <c r="SQ12" s="3"/>
      <c r="SR12" s="3"/>
      <c r="SS12" s="3"/>
      <c r="ST12" s="3"/>
      <c r="SU12" s="3"/>
      <c r="SV12" s="3"/>
      <c r="SW12" s="3"/>
      <c r="SX12" s="3"/>
      <c r="SY12" s="3"/>
      <c r="SZ12" s="3"/>
      <c r="TA12" s="3"/>
      <c r="TB12" s="3"/>
      <c r="TC12" s="3"/>
      <c r="TD12" s="3"/>
      <c r="TE12" s="3"/>
      <c r="TF12" s="3"/>
      <c r="TG12" s="3"/>
      <c r="TH12" s="3"/>
      <c r="TI12" s="3"/>
      <c r="TJ12" s="3"/>
      <c r="TK12" s="3"/>
      <c r="TL12" s="3"/>
      <c r="TM12" s="3"/>
      <c r="TN12" s="3"/>
      <c r="TO12" s="3"/>
      <c r="TP12" s="3"/>
      <c r="TQ12" s="3"/>
      <c r="TR12" s="3"/>
      <c r="TS12" s="3"/>
      <c r="TT12" s="3"/>
      <c r="TU12" s="3"/>
      <c r="TV12" s="3"/>
      <c r="TW12" s="3"/>
      <c r="TX12" s="3"/>
      <c r="TY12" s="3"/>
      <c r="TZ12" s="3"/>
      <c r="UA12" s="3"/>
      <c r="UB12" s="3"/>
      <c r="UC12" s="3"/>
      <c r="UD12" s="3"/>
      <c r="UE12" s="3"/>
      <c r="UF12" s="3"/>
      <c r="UG12" s="3"/>
      <c r="UH12" s="3"/>
      <c r="UI12" s="3"/>
      <c r="UJ12" s="3"/>
      <c r="UK12" s="3"/>
      <c r="UL12" s="3"/>
      <c r="UM12" s="3"/>
      <c r="UN12" s="3"/>
      <c r="UO12" s="3"/>
      <c r="UP12" s="3"/>
      <c r="UQ12" s="3"/>
      <c r="UR12" s="3"/>
      <c r="US12" s="3"/>
      <c r="UT12" s="3"/>
      <c r="UU12" s="3"/>
      <c r="UV12" s="3"/>
      <c r="UW12" s="3"/>
      <c r="UX12" s="3"/>
      <c r="UY12" s="3"/>
      <c r="UZ12" s="3"/>
      <c r="VA12" s="3"/>
      <c r="VB12" s="3"/>
      <c r="VC12" s="3"/>
      <c r="VD12" s="3"/>
      <c r="VE12" s="3"/>
      <c r="VF12" s="3"/>
      <c r="VG12" s="3"/>
      <c r="VH12" s="3"/>
      <c r="VI12" s="3"/>
      <c r="VJ12" s="3"/>
      <c r="VK12" s="3"/>
      <c r="VL12" s="3"/>
      <c r="VM12" s="3"/>
      <c r="VN12" s="3"/>
      <c r="VO12" s="3"/>
      <c r="VP12" s="3"/>
      <c r="VQ12" s="3"/>
      <c r="VR12" s="3"/>
      <c r="VS12" s="3"/>
      <c r="VT12" s="3"/>
      <c r="VU12" s="3"/>
      <c r="VV12" s="3"/>
      <c r="VW12" s="3"/>
      <c r="VX12" s="3"/>
      <c r="VY12" s="3"/>
      <c r="VZ12" s="3"/>
      <c r="WA12" s="3"/>
      <c r="WB12" s="3"/>
      <c r="WC12" s="3"/>
      <c r="WD12" s="3"/>
      <c r="WE12" s="3"/>
      <c r="WF12" s="3"/>
      <c r="WG12" s="3"/>
      <c r="WH12" s="3"/>
      <c r="WI12" s="3"/>
      <c r="WJ12" s="3"/>
      <c r="WK12" s="3"/>
      <c r="WL12" s="3"/>
      <c r="WM12" s="3"/>
      <c r="WN12" s="3"/>
      <c r="WO12" s="3"/>
      <c r="WP12" s="3"/>
      <c r="WQ12" s="3"/>
      <c r="WR12" s="3"/>
      <c r="WS12" s="3"/>
      <c r="WT12" s="3"/>
      <c r="WU12" s="3"/>
      <c r="WV12" s="3"/>
      <c r="WW12" s="3"/>
      <c r="WX12" s="3"/>
      <c r="WY12" s="3"/>
      <c r="WZ12" s="3"/>
      <c r="XA12" s="3"/>
      <c r="XB12" s="3"/>
      <c r="XC12" s="3"/>
      <c r="XD12" s="3"/>
      <c r="XE12" s="3"/>
      <c r="XF12" s="3"/>
      <c r="XG12" s="3"/>
      <c r="XH12" s="3"/>
      <c r="XI12" s="3"/>
      <c r="XJ12" s="3"/>
      <c r="XK12" s="3"/>
      <c r="XL12" s="3"/>
      <c r="XM12" s="3"/>
      <c r="XN12" s="3"/>
      <c r="XO12" s="3"/>
      <c r="XP12" s="3"/>
      <c r="XQ12" s="3"/>
      <c r="XR12" s="3"/>
      <c r="XS12" s="3"/>
      <c r="XT12" s="3"/>
      <c r="XU12" s="3"/>
      <c r="XV12" s="3"/>
      <c r="XW12" s="3"/>
      <c r="XX12" s="3"/>
      <c r="XY12" s="3"/>
      <c r="XZ12" s="3"/>
      <c r="YA12" s="3"/>
      <c r="YB12" s="3"/>
      <c r="YC12" s="3"/>
      <c r="YD12" s="3"/>
      <c r="YE12" s="3"/>
      <c r="YF12" s="3"/>
      <c r="YG12" s="3"/>
      <c r="YH12" s="3"/>
      <c r="YI12" s="3"/>
      <c r="YJ12" s="3"/>
      <c r="YK12" s="3"/>
      <c r="YL12" s="3"/>
      <c r="YM12" s="3"/>
      <c r="YN12" s="3"/>
      <c r="YO12" s="3"/>
      <c r="YP12" s="3"/>
      <c r="YQ12" s="3"/>
      <c r="YR12" s="3"/>
      <c r="YS12" s="3"/>
      <c r="YT12" s="3"/>
      <c r="YU12" s="3"/>
      <c r="YV12" s="3"/>
      <c r="YW12" s="3"/>
      <c r="YX12" s="3"/>
      <c r="YY12" s="3"/>
      <c r="YZ12" s="3"/>
      <c r="ZA12" s="3"/>
      <c r="ZB12" s="3"/>
      <c r="ZC12" s="3"/>
      <c r="ZD12" s="3"/>
      <c r="ZE12" s="3"/>
      <c r="ZF12" s="3"/>
      <c r="ZG12" s="3"/>
      <c r="ZH12" s="3"/>
      <c r="ZI12" s="3"/>
      <c r="ZJ12" s="3"/>
      <c r="ZK12" s="3"/>
      <c r="ZL12" s="3"/>
      <c r="ZM12" s="3"/>
      <c r="ZN12" s="3"/>
      <c r="ZO12" s="3"/>
      <c r="ZP12" s="3"/>
      <c r="ZQ12" s="3"/>
      <c r="ZR12" s="3"/>
      <c r="ZS12" s="3"/>
      <c r="ZT12" s="3"/>
      <c r="ZU12" s="3"/>
      <c r="ZV12" s="3"/>
      <c r="ZW12" s="3"/>
      <c r="ZX12" s="3"/>
      <c r="ZY12" s="3"/>
      <c r="ZZ12" s="3"/>
      <c r="AAA12" s="3"/>
      <c r="AAB12" s="3"/>
      <c r="AAC12" s="3"/>
      <c r="AAD12" s="3"/>
      <c r="AAE12" s="3"/>
      <c r="AAF12" s="3"/>
      <c r="AAG12" s="3"/>
      <c r="AAH12" s="3"/>
      <c r="AAI12" s="3"/>
      <c r="AAJ12" s="3"/>
      <c r="AAK12" s="3"/>
      <c r="AAL12" s="3"/>
      <c r="AAM12" s="3"/>
      <c r="AAN12" s="3"/>
      <c r="AAO12" s="3"/>
      <c r="AAP12" s="3"/>
      <c r="AAQ12" s="3"/>
      <c r="AAR12" s="3"/>
      <c r="AAS12" s="3"/>
      <c r="AAT12" s="3"/>
      <c r="AAU12" s="3"/>
      <c r="AAV12" s="3"/>
      <c r="AAW12" s="3"/>
      <c r="AAX12" s="3"/>
      <c r="AAY12" s="3"/>
      <c r="AAZ12" s="3"/>
      <c r="ABA12" s="3"/>
      <c r="ABB12" s="3"/>
      <c r="ABC12" s="3"/>
      <c r="ABD12" s="3"/>
      <c r="ABE12" s="3"/>
      <c r="ABF12" s="3"/>
      <c r="ABG12" s="3"/>
      <c r="ABH12" s="3"/>
      <c r="ABI12" s="3"/>
      <c r="ABJ12" s="3"/>
      <c r="ABK12" s="3"/>
      <c r="ABL12" s="3"/>
      <c r="ABM12" s="3"/>
      <c r="ABN12" s="3"/>
      <c r="ABO12" s="3"/>
      <c r="ABP12" s="3"/>
      <c r="ABQ12" s="3"/>
      <c r="ABR12" s="3"/>
      <c r="ABS12" s="3"/>
      <c r="ABT12" s="3"/>
      <c r="ABU12" s="3"/>
      <c r="ABV12" s="3"/>
      <c r="ABW12" s="3"/>
      <c r="ABX12" s="3"/>
      <c r="ABY12" s="3"/>
      <c r="ABZ12" s="3"/>
      <c r="ACA12" s="3"/>
      <c r="ACB12" s="3"/>
      <c r="ACC12" s="3"/>
      <c r="ACD12" s="3"/>
      <c r="ACE12" s="3"/>
      <c r="ACF12" s="3"/>
      <c r="ACG12" s="3"/>
      <c r="ACH12" s="3"/>
      <c r="ACI12" s="3"/>
      <c r="ACJ12" s="3"/>
      <c r="ACK12" s="3"/>
      <c r="ACL12" s="3"/>
      <c r="ACM12" s="3"/>
      <c r="ACN12" s="3"/>
      <c r="ACO12" s="3"/>
      <c r="ACP12" s="3"/>
      <c r="ACQ12" s="3"/>
      <c r="ACR12" s="3"/>
      <c r="ACS12" s="3"/>
      <c r="ACT12" s="3"/>
      <c r="ACU12" s="3"/>
      <c r="ACV12" s="3"/>
      <c r="ACW12" s="3"/>
      <c r="ACX12" s="3"/>
      <c r="ACY12" s="3"/>
      <c r="ACZ12" s="3"/>
      <c r="ADA12" s="3"/>
      <c r="ADB12" s="3"/>
      <c r="ADC12" s="3"/>
      <c r="ADD12" s="3"/>
      <c r="ADE12" s="3"/>
      <c r="ADF12" s="3"/>
      <c r="ADG12" s="3"/>
      <c r="ADH12" s="3"/>
      <c r="ADI12" s="3"/>
      <c r="ADJ12" s="3"/>
      <c r="ADK12" s="3"/>
      <c r="ADL12" s="3"/>
      <c r="ADM12" s="3"/>
      <c r="ADN12" s="3"/>
      <c r="ADO12" s="3"/>
      <c r="ADP12" s="3"/>
      <c r="ADQ12" s="3"/>
      <c r="ADR12" s="3"/>
      <c r="ADS12" s="3"/>
      <c r="ADT12" s="3"/>
      <c r="ADU12" s="3"/>
      <c r="ADV12" s="3"/>
      <c r="ADW12" s="3"/>
      <c r="ADX12" s="3"/>
      <c r="ADY12" s="3"/>
      <c r="ADZ12" s="3"/>
      <c r="AEA12" s="3"/>
      <c r="AEB12" s="3"/>
      <c r="AEC12" s="3"/>
      <c r="AED12" s="3"/>
      <c r="AEE12" s="3"/>
      <c r="AEF12" s="3"/>
      <c r="AEG12" s="3"/>
      <c r="AEH12" s="3"/>
      <c r="AEI12" s="3"/>
      <c r="AEJ12" s="3"/>
      <c r="AEK12" s="3"/>
      <c r="AEL12" s="3"/>
      <c r="AEM12" s="3"/>
      <c r="AEN12" s="3"/>
      <c r="AEO12" s="3"/>
      <c r="AEP12" s="3"/>
      <c r="AEQ12" s="3"/>
      <c r="AER12" s="3"/>
      <c r="AES12" s="3"/>
      <c r="AET12" s="3"/>
      <c r="AEU12" s="3"/>
      <c r="AEV12" s="3"/>
      <c r="AEW12" s="3"/>
      <c r="AEX12" s="3"/>
      <c r="AEY12" s="3"/>
      <c r="AEZ12" s="3"/>
      <c r="AFA12" s="3"/>
      <c r="AFB12" s="3"/>
      <c r="AFC12" s="3"/>
      <c r="AFD12" s="3"/>
      <c r="AFE12" s="3"/>
      <c r="AFF12" s="3"/>
      <c r="AFG12" s="3"/>
      <c r="AFH12" s="3"/>
      <c r="AFI12" s="3"/>
      <c r="AFJ12" s="3"/>
      <c r="AFK12" s="3"/>
      <c r="AFL12" s="3"/>
      <c r="AFM12" s="3"/>
      <c r="AFN12" s="3"/>
      <c r="AFO12" s="3"/>
      <c r="AFP12" s="3"/>
      <c r="AFQ12" s="3"/>
      <c r="AFR12" s="3"/>
      <c r="AFS12" s="3"/>
      <c r="AFT12" s="3"/>
      <c r="AFU12" s="3"/>
      <c r="AFV12" s="3"/>
      <c r="AFW12" s="3"/>
      <c r="AFX12" s="3"/>
      <c r="AFY12" s="3"/>
      <c r="AFZ12" s="3"/>
      <c r="AGA12" s="3"/>
      <c r="AGB12" s="3"/>
      <c r="AGC12" s="3"/>
      <c r="AGD12" s="3"/>
      <c r="AGE12" s="3"/>
      <c r="AGF12" s="3"/>
      <c r="AGG12" s="3"/>
      <c r="AGH12" s="3"/>
      <c r="AGI12" s="3"/>
      <c r="AGJ12" s="3"/>
      <c r="AGK12" s="3"/>
      <c r="AGL12" s="3"/>
      <c r="AGM12" s="3"/>
      <c r="AGN12" s="3"/>
      <c r="AGO12" s="3"/>
      <c r="AGP12" s="3"/>
      <c r="AGQ12" s="3"/>
      <c r="AGR12" s="3"/>
      <c r="AGS12" s="3"/>
      <c r="AGT12" s="3"/>
      <c r="AGU12" s="3"/>
      <c r="AGV12" s="3"/>
      <c r="AGW12" s="3"/>
      <c r="AGX12" s="3"/>
      <c r="AGY12" s="3"/>
      <c r="AGZ12" s="3"/>
      <c r="AHA12" s="3"/>
      <c r="AHB12" s="3"/>
      <c r="AHC12" s="3"/>
      <c r="AHD12" s="3"/>
      <c r="AHE12" s="3"/>
      <c r="AHF12" s="3"/>
      <c r="AHG12" s="3"/>
      <c r="AHH12" s="3"/>
      <c r="AHI12" s="3"/>
      <c r="AHJ12" s="3"/>
      <c r="AHK12" s="3"/>
      <c r="AHL12" s="3"/>
      <c r="AHM12" s="3"/>
      <c r="AHN12" s="3"/>
      <c r="AHO12" s="3"/>
      <c r="AHP12" s="3"/>
      <c r="AHQ12" s="3"/>
      <c r="AHR12" s="3"/>
      <c r="AHS12" s="3"/>
      <c r="AHT12" s="3"/>
      <c r="AHU12" s="3"/>
      <c r="AHV12" s="3"/>
      <c r="AHW12" s="3"/>
      <c r="AHX12" s="3"/>
      <c r="AHY12" s="3"/>
      <c r="AHZ12" s="3"/>
      <c r="AIA12" s="3"/>
      <c r="AIB12" s="3"/>
      <c r="AIC12" s="3"/>
      <c r="AID12" s="3"/>
      <c r="AIE12" s="3"/>
      <c r="AIF12" s="3"/>
      <c r="AIG12" s="3"/>
      <c r="AIH12" s="3"/>
      <c r="AII12" s="3"/>
      <c r="AIJ12" s="3"/>
      <c r="AIK12" s="3"/>
      <c r="AIL12" s="3"/>
      <c r="AIM12" s="3"/>
      <c r="AIN12" s="3"/>
      <c r="AIO12" s="3"/>
      <c r="AIP12" s="3"/>
      <c r="AIQ12" s="3"/>
      <c r="AIR12" s="3"/>
      <c r="AIS12" s="3"/>
      <c r="AIT12" s="3"/>
      <c r="AIU12" s="3"/>
      <c r="AIV12" s="3"/>
      <c r="AIW12" s="3"/>
      <c r="AIX12" s="3"/>
      <c r="AIY12" s="3"/>
      <c r="AIZ12" s="3"/>
      <c r="AJA12" s="3"/>
      <c r="AJB12" s="3"/>
      <c r="AJC12" s="3"/>
      <c r="AJD12" s="3"/>
      <c r="AJE12" s="3"/>
      <c r="AJF12" s="3"/>
      <c r="AJG12" s="3"/>
      <c r="AJH12" s="3"/>
      <c r="AJI12" s="3"/>
      <c r="AJJ12" s="3"/>
      <c r="AJK12" s="3"/>
      <c r="AJL12" s="3"/>
      <c r="AJM12" s="3"/>
      <c r="AJN12" s="3"/>
      <c r="AJO12" s="3"/>
      <c r="AJP12" s="3"/>
      <c r="AJQ12" s="3"/>
      <c r="AJR12" s="3"/>
      <c r="AJS12" s="3"/>
      <c r="AJT12" s="3"/>
      <c r="AJU12" s="3"/>
      <c r="AJV12" s="3"/>
      <c r="AJW12" s="3"/>
      <c r="AJX12" s="3"/>
      <c r="AJY12" s="3"/>
      <c r="AJZ12" s="3"/>
      <c r="AKA12" s="3"/>
      <c r="AKB12" s="3"/>
      <c r="AKC12" s="3"/>
      <c r="AKD12" s="3"/>
      <c r="AKE12" s="3"/>
      <c r="AKF12" s="3"/>
      <c r="AKG12" s="3"/>
      <c r="AKH12" s="3"/>
      <c r="AKI12" s="3"/>
      <c r="AKJ12" s="3"/>
      <c r="AKK12" s="3"/>
      <c r="AKL12" s="3"/>
      <c r="AKM12" s="3"/>
      <c r="AKN12" s="3"/>
      <c r="AKO12" s="3"/>
      <c r="AKP12" s="3"/>
      <c r="AKQ12" s="3"/>
      <c r="AKR12" s="3"/>
      <c r="AKS12" s="3"/>
      <c r="AKT12" s="3"/>
      <c r="AKU12" s="3"/>
      <c r="AKV12" s="3"/>
      <c r="AKW12" s="3"/>
      <c r="AKX12" s="3"/>
      <c r="AKY12" s="3"/>
      <c r="AKZ12" s="3"/>
      <c r="ALA12" s="3"/>
      <c r="ALB12" s="3"/>
      <c r="ALC12" s="3"/>
      <c r="ALD12" s="3"/>
      <c r="ALE12" s="3"/>
      <c r="ALF12" s="3"/>
      <c r="ALG12" s="3"/>
      <c r="ALH12" s="3"/>
      <c r="ALI12" s="3"/>
      <c r="ALJ12" s="3"/>
      <c r="ALK12" s="3"/>
      <c r="ALL12" s="3"/>
      <c r="ALM12" s="3"/>
      <c r="ALN12" s="3"/>
      <c r="ALO12" s="3"/>
      <c r="ALP12" s="3"/>
      <c r="ALQ12" s="3"/>
      <c r="ALR12" s="3"/>
      <c r="ALS12" s="3"/>
      <c r="ALT12" s="3"/>
      <c r="ALU12" s="3"/>
      <c r="ALV12" s="3"/>
      <c r="ALW12" s="3"/>
      <c r="ALX12" s="3"/>
      <c r="ALY12" s="3"/>
      <c r="ALZ12" s="3"/>
      <c r="AMA12" s="3"/>
      <c r="AMB12" s="3"/>
      <c r="AMC12" s="3"/>
      <c r="AMD12" s="3"/>
      <c r="AME12" s="3"/>
      <c r="AMF12" s="3"/>
      <c r="AMG12" s="3"/>
      <c r="AMH12" s="3"/>
      <c r="AMI12" s="3"/>
      <c r="AMJ12" s="3"/>
      <c r="AMK12" s="3"/>
      <c r="AML12" s="3"/>
      <c r="AMM12" s="3"/>
      <c r="AMN12" s="3"/>
      <c r="AMO12" s="3"/>
      <c r="AMP12" s="3"/>
      <c r="AMQ12" s="3"/>
      <c r="AMR12" s="3"/>
      <c r="AMS12" s="3"/>
      <c r="AMT12" s="3"/>
      <c r="AMU12" s="3"/>
      <c r="AMV12" s="3"/>
      <c r="AMW12" s="3"/>
      <c r="AMX12" s="3"/>
      <c r="AMY12" s="3"/>
      <c r="AMZ12" s="3"/>
      <c r="ANA12" s="3"/>
      <c r="ANB12" s="3"/>
      <c r="ANC12" s="3"/>
      <c r="AND12" s="3"/>
      <c r="ANE12" s="3"/>
      <c r="ANF12" s="3"/>
      <c r="ANG12" s="3"/>
      <c r="ANH12" s="3"/>
      <c r="ANI12" s="3"/>
      <c r="ANJ12" s="3"/>
      <c r="ANK12" s="3"/>
      <c r="ANL12" s="3"/>
      <c r="ANM12" s="3"/>
      <c r="ANN12" s="3"/>
      <c r="ANO12" s="3"/>
      <c r="ANP12" s="3"/>
      <c r="ANQ12" s="3"/>
      <c r="ANR12" s="3"/>
      <c r="ANS12" s="3"/>
      <c r="ANT12" s="3"/>
      <c r="ANU12" s="3"/>
      <c r="ANV12" s="3"/>
      <c r="ANW12" s="3"/>
      <c r="ANX12" s="3"/>
      <c r="ANY12" s="3"/>
      <c r="ANZ12" s="3"/>
      <c r="AOA12" s="3"/>
      <c r="AOB12" s="3"/>
      <c r="AOC12" s="3"/>
      <c r="AOD12" s="3"/>
      <c r="AOE12" s="3"/>
      <c r="AOF12" s="3"/>
      <c r="AOG12" s="3"/>
      <c r="AOH12" s="3"/>
      <c r="AOI12" s="3"/>
      <c r="AOJ12" s="3"/>
      <c r="AOK12" s="3"/>
      <c r="AOL12" s="3"/>
      <c r="AOM12" s="3"/>
      <c r="AON12" s="3"/>
      <c r="AOO12" s="3"/>
      <c r="AOP12" s="3"/>
      <c r="AOQ12" s="3"/>
      <c r="AOR12" s="3"/>
      <c r="AOS12" s="3"/>
      <c r="AOT12" s="3"/>
      <c r="AOU12" s="3"/>
      <c r="AOV12" s="3"/>
      <c r="AOW12" s="3"/>
      <c r="AOX12" s="3"/>
      <c r="AOY12" s="3"/>
      <c r="AOZ12" s="3"/>
      <c r="APA12" s="3"/>
      <c r="APB12" s="3"/>
      <c r="APC12" s="3"/>
      <c r="APD12" s="3"/>
      <c r="APE12" s="3"/>
      <c r="APF12" s="3"/>
      <c r="APG12" s="3"/>
      <c r="APH12" s="3"/>
      <c r="API12" s="3"/>
      <c r="APJ12" s="3"/>
      <c r="APK12" s="3"/>
      <c r="APL12" s="3"/>
      <c r="APM12" s="3"/>
      <c r="APN12" s="3"/>
      <c r="APO12" s="3"/>
      <c r="APP12" s="3"/>
      <c r="APQ12" s="3"/>
      <c r="APR12" s="3"/>
      <c r="APS12" s="3"/>
      <c r="APT12" s="3"/>
      <c r="APU12" s="3"/>
      <c r="APV12" s="3"/>
      <c r="APW12" s="3"/>
      <c r="APX12" s="3"/>
      <c r="APY12" s="3"/>
      <c r="APZ12" s="3"/>
      <c r="AQA12" s="3"/>
      <c r="AQB12" s="3"/>
      <c r="AQC12" s="3"/>
      <c r="AQD12" s="3"/>
      <c r="AQE12" s="3"/>
      <c r="AQF12" s="3"/>
      <c r="AQG12" s="3"/>
      <c r="AQH12" s="3"/>
      <c r="AQI12" s="3"/>
      <c r="AQJ12" s="3"/>
      <c r="AQK12" s="3"/>
      <c r="AQL12" s="3"/>
      <c r="AQM12" s="3"/>
      <c r="AQN12" s="3"/>
      <c r="AQO12" s="3"/>
      <c r="AQP12" s="3"/>
      <c r="AQQ12" s="3"/>
      <c r="AQR12" s="3"/>
      <c r="AQS12" s="3"/>
      <c r="AQT12" s="3"/>
      <c r="AQU12" s="3"/>
      <c r="AQV12" s="3"/>
      <c r="AQW12" s="3"/>
      <c r="AQX12" s="3"/>
      <c r="AQY12" s="3"/>
      <c r="AQZ12" s="3"/>
      <c r="ARA12" s="3"/>
      <c r="ARB12" s="3"/>
      <c r="ARC12" s="3"/>
      <c r="ARD12" s="3"/>
      <c r="ARE12" s="3"/>
      <c r="ARF12" s="3"/>
      <c r="ARG12" s="3"/>
      <c r="ARH12" s="3"/>
      <c r="ARI12" s="3"/>
      <c r="ARJ12" s="3"/>
      <c r="ARK12" s="3"/>
      <c r="ARL12" s="3"/>
      <c r="ARM12" s="3"/>
      <c r="ARN12" s="3"/>
      <c r="ARO12" s="3"/>
      <c r="ARP12" s="3"/>
      <c r="ARQ12" s="3"/>
      <c r="ARR12" s="3"/>
      <c r="ARS12" s="3"/>
      <c r="ART12" s="3"/>
      <c r="ARU12" s="3"/>
      <c r="ARV12" s="3"/>
      <c r="ARW12" s="3"/>
      <c r="ARX12" s="3"/>
      <c r="ARY12" s="3"/>
      <c r="ARZ12" s="3"/>
      <c r="ASA12" s="3"/>
      <c r="ASB12" s="3"/>
      <c r="ASC12" s="3"/>
      <c r="ASD12" s="3"/>
      <c r="ASE12" s="3"/>
      <c r="ASF12" s="3"/>
      <c r="ASG12" s="3"/>
      <c r="ASH12" s="3"/>
      <c r="ASI12" s="3"/>
      <c r="ASJ12" s="3"/>
      <c r="ASK12" s="3"/>
      <c r="ASL12" s="3"/>
      <c r="ASM12" s="3"/>
      <c r="ASN12" s="3"/>
      <c r="ASO12" s="3"/>
      <c r="ASP12" s="3"/>
      <c r="ASQ12" s="3"/>
      <c r="ASR12" s="3"/>
      <c r="ASS12" s="3"/>
      <c r="AST12" s="3"/>
      <c r="ASU12" s="3"/>
      <c r="ASV12" s="3"/>
      <c r="ASW12" s="3"/>
      <c r="ASX12" s="3"/>
      <c r="ASY12" s="3"/>
      <c r="ASZ12" s="3"/>
      <c r="ATA12" s="3"/>
      <c r="ATB12" s="3"/>
      <c r="ATC12" s="3"/>
      <c r="ATD12" s="3"/>
      <c r="ATE12" s="3"/>
      <c r="ATF12" s="3"/>
      <c r="ATG12" s="3"/>
      <c r="ATH12" s="3"/>
      <c r="ATI12" s="3"/>
      <c r="ATJ12" s="3"/>
      <c r="ATK12" s="3"/>
      <c r="ATL12" s="3"/>
      <c r="ATM12" s="3"/>
      <c r="ATN12" s="3"/>
      <c r="ATO12" s="3"/>
      <c r="ATP12" s="3"/>
      <c r="ATQ12" s="3"/>
      <c r="ATR12" s="3"/>
      <c r="ATS12" s="3"/>
      <c r="ATT12" s="3"/>
      <c r="ATU12" s="3"/>
      <c r="ATV12" s="3"/>
      <c r="ATW12" s="3"/>
      <c r="ATX12" s="3"/>
      <c r="ATY12" s="3"/>
      <c r="ATZ12" s="3"/>
      <c r="AUA12" s="3"/>
      <c r="AUB12" s="3"/>
      <c r="AUC12" s="3"/>
      <c r="AUD12" s="3"/>
      <c r="AUE12" s="3"/>
      <c r="AUF12" s="3"/>
      <c r="AUG12" s="3"/>
      <c r="AUH12" s="3"/>
      <c r="AUI12" s="3"/>
      <c r="AUJ12" s="3"/>
      <c r="AUK12" s="3"/>
      <c r="AUL12" s="3"/>
      <c r="AUM12" s="3"/>
      <c r="AUN12" s="3"/>
      <c r="AUO12" s="3"/>
      <c r="AUP12" s="3"/>
      <c r="AUQ12" s="3"/>
      <c r="AUR12" s="3"/>
      <c r="AUS12" s="3"/>
      <c r="AUT12" s="3"/>
      <c r="AUU12" s="3"/>
      <c r="AUV12" s="3"/>
      <c r="AUW12" s="3"/>
      <c r="AUX12" s="3"/>
      <c r="AUY12" s="3"/>
      <c r="AUZ12" s="3"/>
      <c r="AVA12" s="3"/>
      <c r="AVB12" s="3"/>
      <c r="AVC12" s="3"/>
      <c r="AVD12" s="3"/>
      <c r="AVE12" s="3"/>
      <c r="AVF12" s="3"/>
      <c r="AVG12" s="3"/>
      <c r="AVH12" s="3"/>
      <c r="AVI12" s="3"/>
      <c r="AVJ12" s="3"/>
      <c r="AVK12" s="3"/>
      <c r="AVL12" s="3"/>
      <c r="AVM12" s="3"/>
      <c r="AVN12" s="3"/>
      <c r="AVO12" s="3"/>
      <c r="AVP12" s="3"/>
      <c r="AVQ12" s="3"/>
      <c r="AVR12" s="3"/>
      <c r="AVS12" s="3"/>
      <c r="AVT12" s="3"/>
      <c r="AVU12" s="3"/>
      <c r="AVV12" s="3"/>
      <c r="AVW12" s="3"/>
      <c r="AVX12" s="3"/>
      <c r="AVY12" s="3"/>
      <c r="AVZ12" s="3"/>
      <c r="AWA12" s="3"/>
      <c r="AWB12" s="3"/>
      <c r="AWC12" s="3"/>
      <c r="AWD12" s="3"/>
      <c r="AWE12" s="3"/>
      <c r="AWF12" s="3"/>
      <c r="AWG12" s="3"/>
      <c r="AWH12" s="3"/>
      <c r="AWI12" s="3"/>
      <c r="AWJ12" s="3"/>
      <c r="AWK12" s="3"/>
      <c r="AWL12" s="3"/>
      <c r="AWM12" s="3"/>
      <c r="AWN12" s="3"/>
      <c r="AWO12" s="3"/>
      <c r="AWP12" s="3"/>
      <c r="AWQ12" s="3"/>
      <c r="AWR12" s="3"/>
      <c r="AWS12" s="3"/>
      <c r="AWT12" s="3"/>
      <c r="AWU12" s="3"/>
      <c r="AWV12" s="3"/>
      <c r="AWW12" s="3"/>
      <c r="AWX12" s="3"/>
      <c r="AWY12" s="3"/>
      <c r="AWZ12" s="3"/>
      <c r="AXA12" s="3"/>
      <c r="AXB12" s="3"/>
      <c r="AXC12" s="3"/>
      <c r="AXD12" s="3"/>
      <c r="AXE12" s="3"/>
      <c r="AXF12" s="3"/>
      <c r="AXG12" s="3"/>
      <c r="AXH12" s="3"/>
      <c r="AXI12" s="3"/>
      <c r="AXJ12" s="3"/>
      <c r="AXK12" s="3"/>
      <c r="AXL12" s="3"/>
      <c r="AXM12" s="3"/>
      <c r="AXN12" s="3"/>
      <c r="AXO12" s="3"/>
      <c r="AXP12" s="3"/>
      <c r="AXQ12" s="3"/>
      <c r="AXR12" s="3"/>
      <c r="AXS12" s="3"/>
      <c r="AXT12" s="3"/>
      <c r="AXU12" s="3"/>
      <c r="AXV12" s="3"/>
      <c r="AXW12" s="3"/>
      <c r="AXX12" s="3"/>
      <c r="AXY12" s="3"/>
      <c r="AXZ12" s="3"/>
      <c r="AYA12" s="3"/>
      <c r="AYB12" s="3"/>
      <c r="AYC12" s="3"/>
      <c r="AYD12" s="3"/>
      <c r="AYE12" s="3"/>
      <c r="AYF12" s="3"/>
      <c r="AYG12" s="3"/>
      <c r="AYH12" s="3"/>
      <c r="AYI12" s="3"/>
      <c r="AYJ12" s="3"/>
      <c r="AYK12" s="3"/>
      <c r="AYL12" s="3"/>
      <c r="AYM12" s="3"/>
      <c r="AYN12" s="3"/>
      <c r="AYO12" s="3"/>
      <c r="AYP12" s="3"/>
      <c r="AYQ12" s="3"/>
      <c r="AYR12" s="3"/>
      <c r="AYS12" s="3"/>
      <c r="AYT12" s="3"/>
      <c r="AYU12" s="3"/>
      <c r="AYV12" s="3"/>
      <c r="AYW12" s="3"/>
      <c r="AYX12" s="3"/>
      <c r="AYY12" s="3"/>
      <c r="AYZ12" s="3"/>
      <c r="AZA12" s="3"/>
      <c r="AZB12" s="3"/>
      <c r="AZC12" s="3"/>
      <c r="AZD12" s="3"/>
      <c r="AZE12" s="3"/>
      <c r="AZF12" s="3"/>
      <c r="AZG12" s="3"/>
      <c r="AZH12" s="3"/>
      <c r="AZI12" s="3"/>
      <c r="AZJ12" s="3"/>
      <c r="AZK12" s="3"/>
      <c r="AZL12" s="3"/>
      <c r="AZM12" s="3"/>
      <c r="AZN12" s="3"/>
      <c r="AZO12" s="3"/>
      <c r="AZP12" s="3"/>
      <c r="AZQ12" s="3"/>
      <c r="AZR12" s="3"/>
      <c r="AZS12" s="3"/>
      <c r="AZT12" s="3"/>
      <c r="AZU12" s="3"/>
      <c r="AZV12" s="3"/>
      <c r="AZW12" s="3"/>
      <c r="AZX12" s="3"/>
      <c r="AZY12" s="3"/>
      <c r="AZZ12" s="3"/>
      <c r="BAA12" s="3"/>
      <c r="BAB12" s="3"/>
      <c r="BAC12" s="3"/>
      <c r="BAD12" s="3"/>
      <c r="BAE12" s="3"/>
      <c r="BAF12" s="3"/>
      <c r="BAG12" s="3"/>
      <c r="BAH12" s="3"/>
      <c r="BAI12" s="3"/>
      <c r="BAJ12" s="3"/>
      <c r="BAK12" s="3"/>
      <c r="BAL12" s="3"/>
      <c r="BAM12" s="3"/>
      <c r="BAN12" s="3"/>
      <c r="BAO12" s="3"/>
      <c r="BAP12" s="3"/>
      <c r="BAQ12" s="3"/>
      <c r="BAR12" s="3"/>
      <c r="BAS12" s="3"/>
      <c r="BAT12" s="3"/>
      <c r="BAU12" s="3"/>
      <c r="BAV12" s="3"/>
      <c r="BAW12" s="3"/>
      <c r="BAX12" s="3"/>
      <c r="BAY12" s="3"/>
      <c r="BAZ12" s="3"/>
      <c r="BBA12" s="3"/>
      <c r="BBB12" s="3"/>
      <c r="BBC12" s="3"/>
      <c r="BBD12" s="3"/>
      <c r="BBE12" s="3"/>
      <c r="BBF12" s="3"/>
      <c r="BBG12" s="3"/>
      <c r="BBH12" s="3"/>
      <c r="BBI12" s="3"/>
      <c r="BBJ12" s="3"/>
      <c r="BBK12" s="3"/>
      <c r="BBL12" s="3"/>
      <c r="BBM12" s="3"/>
      <c r="BBN12" s="3"/>
      <c r="BBO12" s="3"/>
      <c r="BBP12" s="3"/>
      <c r="BBQ12" s="3"/>
      <c r="BBR12" s="3"/>
      <c r="BBS12" s="3"/>
      <c r="BBT12" s="3"/>
      <c r="BBU12" s="3"/>
      <c r="BBV12" s="3"/>
      <c r="BBW12" s="3"/>
      <c r="BBX12" s="3"/>
      <c r="BBY12" s="3"/>
      <c r="BBZ12" s="3"/>
      <c r="BCA12" s="3"/>
      <c r="BCB12" s="3"/>
      <c r="BCC12" s="3"/>
      <c r="BCD12" s="3"/>
      <c r="BCE12" s="3"/>
      <c r="BCF12" s="3"/>
      <c r="BCG12" s="3"/>
      <c r="BCH12" s="3"/>
      <c r="BCI12" s="3"/>
      <c r="BCJ12" s="3"/>
      <c r="BCK12" s="3"/>
      <c r="BCL12" s="3"/>
      <c r="BCM12" s="3"/>
      <c r="BCN12" s="3"/>
      <c r="BCO12" s="3"/>
      <c r="BCP12" s="3"/>
      <c r="BCQ12" s="3"/>
      <c r="BCR12" s="3"/>
      <c r="BCS12" s="3"/>
      <c r="BCT12" s="3"/>
      <c r="BCU12" s="3"/>
      <c r="BCV12" s="3"/>
      <c r="BCW12" s="3"/>
      <c r="BCX12" s="3"/>
      <c r="BCY12" s="3"/>
      <c r="BCZ12" s="3"/>
      <c r="BDA12" s="3"/>
      <c r="BDB12" s="3"/>
      <c r="BDC12" s="3"/>
      <c r="BDD12" s="3"/>
      <c r="BDE12" s="3"/>
      <c r="BDF12" s="3"/>
      <c r="BDG12" s="3"/>
      <c r="BDH12" s="3"/>
      <c r="BDI12" s="3"/>
      <c r="BDJ12" s="3"/>
      <c r="BDK12" s="3"/>
      <c r="BDL12" s="3"/>
      <c r="BDM12" s="3"/>
      <c r="BDN12" s="3"/>
      <c r="BDO12" s="3"/>
      <c r="BDP12" s="3"/>
      <c r="BDQ12" s="3"/>
      <c r="BDR12" s="3"/>
      <c r="BDS12" s="3"/>
      <c r="BDT12" s="3"/>
      <c r="BDU12" s="3"/>
      <c r="BDV12" s="3"/>
      <c r="BDW12" s="3"/>
      <c r="BDX12" s="3"/>
      <c r="BDY12" s="3"/>
      <c r="BDZ12" s="3"/>
      <c r="BEA12" s="3"/>
      <c r="BEB12" s="3"/>
      <c r="BEC12" s="3"/>
      <c r="BED12" s="3"/>
      <c r="BEE12" s="3"/>
      <c r="BEF12" s="3"/>
      <c r="BEG12" s="3"/>
      <c r="BEH12" s="3"/>
      <c r="BEI12" s="3"/>
      <c r="BEJ12" s="3"/>
      <c r="BEK12" s="3"/>
      <c r="BEL12" s="3"/>
      <c r="BEM12" s="3"/>
      <c r="BEN12" s="3"/>
      <c r="BEO12" s="3"/>
      <c r="BEP12" s="3"/>
      <c r="BEQ12" s="3"/>
      <c r="BER12" s="3"/>
      <c r="BES12" s="3"/>
      <c r="BET12" s="3"/>
      <c r="BEU12" s="3"/>
      <c r="BEV12" s="3"/>
      <c r="BEW12" s="3"/>
      <c r="BEX12" s="3"/>
      <c r="BEY12" s="3"/>
      <c r="BEZ12" s="3"/>
      <c r="BFA12" s="3"/>
      <c r="BFB12" s="3"/>
      <c r="BFC12" s="3"/>
      <c r="BFD12" s="3"/>
      <c r="BFE12" s="3"/>
      <c r="BFF12" s="3"/>
      <c r="BFG12" s="3"/>
      <c r="BFH12" s="3"/>
      <c r="BFI12" s="3"/>
      <c r="BFJ12" s="3"/>
      <c r="BFK12" s="3"/>
      <c r="BFL12" s="3"/>
      <c r="BFM12" s="3"/>
      <c r="BFN12" s="3"/>
      <c r="BFO12" s="3"/>
      <c r="BFP12" s="3"/>
      <c r="BFQ12" s="3"/>
      <c r="BFR12" s="3"/>
      <c r="BFS12" s="3"/>
      <c r="BFT12" s="3"/>
      <c r="BFU12" s="3"/>
      <c r="BFV12" s="3"/>
      <c r="BFW12" s="3"/>
      <c r="BFX12" s="3"/>
      <c r="BFY12" s="3"/>
      <c r="BFZ12" s="3"/>
      <c r="BGA12" s="3"/>
      <c r="BGB12" s="3"/>
      <c r="BGC12" s="3"/>
      <c r="BGD12" s="3"/>
      <c r="BGE12" s="3"/>
      <c r="BGF12" s="3"/>
      <c r="BGG12" s="3"/>
      <c r="BGH12" s="3"/>
      <c r="BGI12" s="3"/>
      <c r="BGJ12" s="3"/>
      <c r="BGK12" s="3"/>
      <c r="BGL12" s="3"/>
      <c r="BGM12" s="3"/>
      <c r="BGN12" s="3"/>
      <c r="BGO12" s="3"/>
      <c r="BGP12" s="3"/>
      <c r="BGQ12" s="3"/>
      <c r="BGR12" s="3"/>
      <c r="BGS12" s="3"/>
      <c r="BGT12" s="3"/>
      <c r="BGU12" s="3"/>
      <c r="BGV12" s="3"/>
      <c r="BGW12" s="3"/>
      <c r="BGX12" s="3"/>
      <c r="BGY12" s="3"/>
      <c r="BGZ12" s="3"/>
      <c r="BHA12" s="3"/>
      <c r="BHB12" s="3"/>
      <c r="BHC12" s="3"/>
      <c r="BHD12" s="3"/>
      <c r="BHE12" s="3"/>
      <c r="BHF12" s="3"/>
      <c r="BHG12" s="3"/>
      <c r="BHH12" s="3"/>
      <c r="BHI12" s="3"/>
      <c r="BHJ12" s="3"/>
      <c r="BHK12" s="3"/>
      <c r="BHL12" s="3"/>
      <c r="BHM12" s="3"/>
      <c r="BHN12" s="3"/>
      <c r="BHO12" s="3"/>
      <c r="BHP12" s="3"/>
      <c r="BHQ12" s="3"/>
      <c r="BHR12" s="3"/>
      <c r="BHS12" s="3"/>
      <c r="BHT12" s="3"/>
      <c r="BHU12" s="3"/>
      <c r="BHV12" s="3"/>
      <c r="BHW12" s="3"/>
      <c r="BHX12" s="3"/>
      <c r="BHY12" s="3"/>
      <c r="BHZ12" s="3"/>
      <c r="BIA12" s="3"/>
      <c r="BIB12" s="3"/>
      <c r="BIC12" s="3"/>
      <c r="BID12" s="3"/>
      <c r="BIE12" s="3"/>
      <c r="BIF12" s="3"/>
      <c r="BIG12" s="3"/>
      <c r="BIH12" s="3"/>
      <c r="BII12" s="3"/>
      <c r="BIJ12" s="3"/>
      <c r="BIK12" s="3"/>
      <c r="BIL12" s="3"/>
      <c r="BIM12" s="3"/>
      <c r="BIN12" s="3"/>
      <c r="BIO12" s="3"/>
      <c r="BIP12" s="3"/>
      <c r="BIQ12" s="3"/>
      <c r="BIR12" s="3"/>
      <c r="BIS12" s="3"/>
      <c r="BIT12" s="3"/>
      <c r="BIU12" s="3"/>
      <c r="BIV12" s="3"/>
      <c r="BIW12" s="3"/>
      <c r="BIX12" s="3"/>
      <c r="BIY12" s="3"/>
      <c r="BIZ12" s="3"/>
      <c r="BJA12" s="3"/>
      <c r="BJB12" s="3"/>
      <c r="BJC12" s="3"/>
      <c r="BJD12" s="3"/>
      <c r="BJE12" s="3"/>
      <c r="BJF12" s="3"/>
      <c r="BJG12" s="3"/>
      <c r="BJH12" s="3"/>
      <c r="BJI12" s="3"/>
      <c r="BJJ12" s="3"/>
      <c r="BJK12" s="3"/>
      <c r="BJL12" s="3"/>
      <c r="BJM12" s="3"/>
      <c r="BJN12" s="3"/>
      <c r="BJO12" s="3"/>
      <c r="BJP12" s="3"/>
      <c r="BJQ12" s="3"/>
      <c r="BJR12" s="3"/>
      <c r="BJS12" s="3"/>
      <c r="BJT12" s="3"/>
      <c r="BJU12" s="3"/>
      <c r="BJV12" s="3"/>
      <c r="BJW12" s="3"/>
      <c r="BJX12" s="3"/>
      <c r="BJY12" s="3"/>
      <c r="BJZ12" s="3"/>
      <c r="BKA12" s="3"/>
      <c r="BKB12" s="3"/>
      <c r="BKC12" s="3"/>
      <c r="BKD12" s="3"/>
      <c r="BKE12" s="3"/>
      <c r="BKF12" s="3"/>
      <c r="BKG12" s="3"/>
      <c r="BKH12" s="3"/>
      <c r="BKI12" s="3"/>
      <c r="BKJ12" s="3"/>
      <c r="BKK12" s="3"/>
      <c r="BKL12" s="3"/>
      <c r="BKM12" s="3"/>
      <c r="BKN12" s="3"/>
      <c r="BKO12" s="3"/>
      <c r="BKP12" s="3"/>
      <c r="BKQ12" s="3"/>
      <c r="BKR12" s="3"/>
      <c r="BKS12" s="3"/>
      <c r="BKT12" s="3"/>
      <c r="BKU12" s="3"/>
      <c r="BKV12" s="3"/>
      <c r="BKW12" s="3"/>
      <c r="BKX12" s="3"/>
      <c r="BKY12" s="3"/>
      <c r="BKZ12" s="3"/>
      <c r="BLA12" s="3"/>
      <c r="BLB12" s="3"/>
      <c r="BLC12" s="3"/>
      <c r="BLD12" s="3"/>
      <c r="BLE12" s="3"/>
      <c r="BLF12" s="3"/>
      <c r="BLG12" s="3"/>
      <c r="BLH12" s="3"/>
      <c r="BLI12" s="3"/>
      <c r="BLJ12" s="3"/>
      <c r="BLK12" s="3"/>
      <c r="BLL12" s="3"/>
      <c r="BLM12" s="3"/>
      <c r="BLN12" s="3"/>
      <c r="BLO12" s="3"/>
      <c r="BLP12" s="3"/>
      <c r="BLQ12" s="3"/>
      <c r="BLR12" s="3"/>
      <c r="BLS12" s="3"/>
      <c r="BLT12" s="3"/>
      <c r="BLU12" s="3"/>
      <c r="BLV12" s="3"/>
      <c r="BLW12" s="3"/>
      <c r="BLX12" s="3"/>
      <c r="BLY12" s="3"/>
      <c r="BLZ12" s="3"/>
      <c r="BMA12" s="3"/>
      <c r="BMB12" s="3"/>
      <c r="BMC12" s="3"/>
      <c r="BMD12" s="3"/>
      <c r="BME12" s="3"/>
      <c r="BMF12" s="3"/>
      <c r="BMG12" s="3"/>
      <c r="BMH12" s="3"/>
      <c r="BMI12" s="3"/>
      <c r="BMJ12" s="3"/>
      <c r="BMK12" s="3"/>
      <c r="BML12" s="3"/>
      <c r="BMM12" s="3"/>
      <c r="BMN12" s="3"/>
      <c r="BMO12" s="3"/>
      <c r="BMP12" s="3"/>
      <c r="BMQ12" s="3"/>
      <c r="BMR12" s="3"/>
      <c r="BMS12" s="3"/>
      <c r="BMT12" s="3"/>
      <c r="BMU12" s="3"/>
      <c r="BMV12" s="3"/>
      <c r="BMW12" s="3"/>
      <c r="BMX12" s="3"/>
      <c r="BMY12" s="3"/>
      <c r="BMZ12" s="3"/>
      <c r="BNA12" s="3"/>
      <c r="BNB12" s="3"/>
      <c r="BNC12" s="3"/>
      <c r="BND12" s="3"/>
      <c r="BNE12" s="3"/>
      <c r="BNF12" s="3"/>
      <c r="BNG12" s="3"/>
      <c r="BNH12" s="3"/>
      <c r="BNI12" s="3"/>
      <c r="BNJ12" s="3"/>
      <c r="BNK12" s="3"/>
      <c r="BNL12" s="3"/>
      <c r="BNM12" s="3"/>
      <c r="BNN12" s="3"/>
      <c r="BNO12" s="3"/>
      <c r="BNP12" s="3"/>
      <c r="BNQ12" s="3"/>
      <c r="BNR12" s="3"/>
      <c r="BNS12" s="3"/>
      <c r="BNT12" s="3"/>
      <c r="BNU12" s="3"/>
      <c r="BNV12" s="3"/>
      <c r="BNW12" s="3"/>
      <c r="BNX12" s="3"/>
      <c r="BNY12" s="3"/>
      <c r="BNZ12" s="3"/>
      <c r="BOA12" s="3"/>
      <c r="BOB12" s="3"/>
      <c r="BOC12" s="3"/>
      <c r="BOD12" s="3"/>
      <c r="BOE12" s="3"/>
      <c r="BOF12" s="3"/>
      <c r="BOG12" s="3"/>
      <c r="BOH12" s="3"/>
      <c r="BOI12" s="3"/>
      <c r="BOJ12" s="3"/>
      <c r="BOK12" s="3"/>
      <c r="BOL12" s="3"/>
      <c r="BOM12" s="3"/>
      <c r="BON12" s="3"/>
      <c r="BOO12" s="3"/>
      <c r="BOP12" s="3"/>
      <c r="BOQ12" s="3"/>
      <c r="BOR12" s="3"/>
      <c r="BOS12" s="3"/>
      <c r="BOT12" s="3"/>
      <c r="BOU12" s="3"/>
      <c r="BOV12" s="3"/>
      <c r="BOW12" s="3"/>
      <c r="BOX12" s="3"/>
      <c r="BOY12" s="3"/>
      <c r="BOZ12" s="3"/>
      <c r="BPA12" s="3"/>
      <c r="BPB12" s="3"/>
      <c r="BPC12" s="3"/>
      <c r="BPD12" s="3"/>
      <c r="BPE12" s="3"/>
      <c r="BPF12" s="3"/>
      <c r="BPG12" s="3"/>
      <c r="BPH12" s="3"/>
      <c r="BPI12" s="3"/>
      <c r="BPJ12" s="3"/>
      <c r="BPK12" s="3"/>
      <c r="BPL12" s="3"/>
      <c r="BPM12" s="3"/>
      <c r="BPN12" s="3"/>
      <c r="BPO12" s="3"/>
      <c r="BPP12" s="3"/>
      <c r="BPQ12" s="3"/>
      <c r="BPR12" s="3"/>
      <c r="BPS12" s="3"/>
      <c r="BPT12" s="3"/>
      <c r="BPU12" s="3"/>
      <c r="BPV12" s="3"/>
      <c r="BPW12" s="3"/>
      <c r="BPX12" s="3"/>
      <c r="BPY12" s="3"/>
      <c r="BPZ12" s="3"/>
      <c r="BQA12" s="3"/>
      <c r="BQB12" s="3"/>
      <c r="BQC12" s="3"/>
      <c r="BQD12" s="3"/>
      <c r="BQE12" s="3"/>
      <c r="BQF12" s="3"/>
      <c r="BQG12" s="3"/>
      <c r="BQH12" s="3"/>
      <c r="BQI12" s="3"/>
      <c r="BQJ12" s="3"/>
      <c r="BQK12" s="3"/>
      <c r="BQL12" s="3"/>
      <c r="BQM12" s="3"/>
      <c r="BQN12" s="3"/>
      <c r="BQO12" s="3"/>
      <c r="BQP12" s="3"/>
      <c r="BQQ12" s="3"/>
      <c r="BQR12" s="3"/>
      <c r="BQS12" s="3"/>
      <c r="BQT12" s="3"/>
      <c r="BQU12" s="3"/>
      <c r="BQV12" s="3"/>
      <c r="BQW12" s="3"/>
      <c r="BQX12" s="3"/>
      <c r="BQY12" s="3"/>
      <c r="BQZ12" s="3"/>
      <c r="BRA12" s="3"/>
      <c r="BRB12" s="3"/>
      <c r="BRC12" s="3"/>
      <c r="BRD12" s="3"/>
      <c r="BRE12" s="3"/>
      <c r="BRF12" s="3"/>
      <c r="BRG12" s="3"/>
      <c r="BRH12" s="3"/>
      <c r="BRI12" s="3"/>
      <c r="BRJ12" s="3"/>
      <c r="BRK12" s="3"/>
      <c r="BRL12" s="3"/>
      <c r="BRM12" s="3"/>
      <c r="BRN12" s="3"/>
      <c r="BRO12" s="3"/>
      <c r="BRP12" s="3"/>
      <c r="BRQ12" s="3"/>
      <c r="BRR12" s="3"/>
      <c r="BRS12" s="3"/>
      <c r="BRT12" s="3"/>
      <c r="BRU12" s="3"/>
      <c r="BRV12" s="3"/>
      <c r="BRW12" s="3"/>
      <c r="BRX12" s="3"/>
      <c r="BRY12" s="3"/>
      <c r="BRZ12" s="3"/>
      <c r="BSA12" s="3"/>
      <c r="BSB12" s="3"/>
      <c r="BSC12" s="3"/>
      <c r="BSD12" s="3"/>
      <c r="BSE12" s="3"/>
      <c r="BSF12" s="3"/>
      <c r="BSG12" s="3"/>
      <c r="BSH12" s="3"/>
      <c r="BSI12" s="3"/>
      <c r="BSJ12" s="3"/>
      <c r="BSK12" s="3"/>
      <c r="BSL12" s="3"/>
      <c r="BSM12" s="3"/>
      <c r="BSN12" s="3"/>
      <c r="BSO12" s="3"/>
      <c r="BSP12" s="3"/>
      <c r="BSQ12" s="3"/>
      <c r="BSR12" s="3"/>
      <c r="BSS12" s="3"/>
      <c r="BST12" s="3"/>
      <c r="BSU12" s="3"/>
      <c r="BSV12" s="3"/>
      <c r="BSW12" s="3"/>
      <c r="BSX12" s="3"/>
      <c r="BSY12" s="3"/>
      <c r="BSZ12" s="3"/>
      <c r="BTA12" s="3"/>
      <c r="BTB12" s="3"/>
      <c r="BTC12" s="3"/>
      <c r="BTD12" s="3"/>
      <c r="BTE12" s="3"/>
      <c r="BTF12" s="3"/>
      <c r="BTG12" s="3"/>
      <c r="BTH12" s="3"/>
      <c r="BTI12" s="3"/>
      <c r="BTJ12" s="3"/>
      <c r="BTK12" s="3"/>
      <c r="BTL12" s="3"/>
      <c r="BTM12" s="3"/>
      <c r="BTN12" s="3"/>
      <c r="BTO12" s="3"/>
      <c r="BTP12" s="3"/>
      <c r="BTQ12" s="3"/>
      <c r="BTR12" s="3"/>
      <c r="BTS12" s="3"/>
      <c r="BTT12" s="3"/>
      <c r="BTU12" s="3"/>
      <c r="BTV12" s="3"/>
      <c r="BTW12" s="3"/>
      <c r="BTX12" s="3"/>
      <c r="BTY12" s="3"/>
      <c r="BTZ12" s="3"/>
      <c r="BUA12" s="3"/>
      <c r="BUB12" s="3"/>
      <c r="BUC12" s="3"/>
      <c r="BUD12" s="3"/>
      <c r="BUE12" s="3"/>
      <c r="BUF12" s="3"/>
      <c r="BUG12" s="3"/>
      <c r="BUH12" s="3"/>
      <c r="BUI12" s="3"/>
      <c r="BUJ12" s="3"/>
      <c r="BUK12" s="3"/>
      <c r="BUL12" s="3"/>
      <c r="BUM12" s="3"/>
      <c r="BUN12" s="3"/>
      <c r="BUO12" s="3"/>
      <c r="BUP12" s="3"/>
      <c r="BUQ12" s="3"/>
      <c r="BUR12" s="3"/>
      <c r="BUS12" s="3"/>
      <c r="BUT12" s="3"/>
      <c r="BUU12" s="3"/>
      <c r="BUV12" s="3"/>
      <c r="BUW12" s="3"/>
      <c r="BUX12" s="3"/>
      <c r="BUY12" s="3"/>
      <c r="BUZ12" s="3"/>
      <c r="BVA12" s="3"/>
      <c r="BVB12" s="3"/>
      <c r="BVC12" s="3"/>
      <c r="BVD12" s="3"/>
      <c r="BVE12" s="3"/>
      <c r="BVF12" s="3"/>
      <c r="BVG12" s="3"/>
      <c r="BVH12" s="3"/>
      <c r="BVI12" s="3"/>
      <c r="BVJ12" s="3"/>
      <c r="BVK12" s="3"/>
      <c r="BVL12" s="3"/>
      <c r="BVM12" s="3"/>
      <c r="BVN12" s="3"/>
      <c r="BVO12" s="3"/>
      <c r="BVP12" s="3"/>
      <c r="BVQ12" s="3"/>
      <c r="BVR12" s="3"/>
      <c r="BVS12" s="3"/>
      <c r="BVT12" s="3"/>
      <c r="BVU12" s="3"/>
      <c r="BVV12" s="3"/>
      <c r="BVW12" s="3"/>
      <c r="BVX12" s="3"/>
      <c r="BVY12" s="3"/>
      <c r="BVZ12" s="3"/>
      <c r="BWA12" s="3"/>
      <c r="BWB12" s="3"/>
      <c r="BWC12" s="3"/>
      <c r="BWD12" s="3"/>
      <c r="BWE12" s="3"/>
      <c r="BWF12" s="3"/>
      <c r="BWG12" s="3"/>
      <c r="BWH12" s="3"/>
      <c r="BWI12" s="3"/>
      <c r="BWJ12" s="3"/>
      <c r="BWK12" s="3"/>
      <c r="BWL12" s="3"/>
      <c r="BWM12" s="3"/>
      <c r="BWN12" s="3"/>
      <c r="BWO12" s="3"/>
      <c r="BWP12" s="3"/>
      <c r="BWQ12" s="3"/>
      <c r="BWR12" s="3"/>
      <c r="BWS12" s="3"/>
      <c r="BWT12" s="3"/>
      <c r="BWU12" s="3"/>
      <c r="BWV12" s="3"/>
      <c r="BWW12" s="3"/>
      <c r="BWX12" s="3"/>
      <c r="BWY12" s="3"/>
      <c r="BWZ12" s="3"/>
      <c r="BXA12" s="3"/>
      <c r="BXB12" s="3"/>
      <c r="BXC12" s="3"/>
      <c r="BXD12" s="3"/>
      <c r="BXE12" s="3"/>
      <c r="BXF12" s="3"/>
      <c r="BXG12" s="3"/>
      <c r="BXH12" s="3"/>
      <c r="BXI12" s="3"/>
      <c r="BXJ12" s="3"/>
      <c r="BXK12" s="3"/>
      <c r="BXL12" s="3"/>
      <c r="BXM12" s="3"/>
      <c r="BXN12" s="3"/>
      <c r="BXO12" s="3"/>
      <c r="BXP12" s="3"/>
      <c r="BXQ12" s="3"/>
      <c r="BXR12" s="3"/>
      <c r="BXS12" s="3"/>
      <c r="BXT12" s="3"/>
      <c r="BXU12" s="3"/>
      <c r="BXV12" s="3"/>
      <c r="BXW12" s="3"/>
      <c r="BXX12" s="3"/>
      <c r="BXY12" s="3"/>
      <c r="BXZ12" s="3"/>
      <c r="BYA12" s="3"/>
      <c r="BYB12" s="3"/>
      <c r="BYC12" s="3"/>
      <c r="BYD12" s="3"/>
      <c r="BYE12" s="3"/>
      <c r="BYF12" s="3"/>
      <c r="BYG12" s="3"/>
      <c r="BYH12" s="3"/>
      <c r="BYI12" s="3"/>
      <c r="BYJ12" s="3"/>
      <c r="BYK12" s="3"/>
      <c r="BYL12" s="3"/>
      <c r="BYM12" s="3"/>
      <c r="BYN12" s="3"/>
      <c r="BYO12" s="3"/>
      <c r="BYP12" s="3"/>
      <c r="BYQ12" s="3"/>
      <c r="BYR12" s="3"/>
      <c r="BYS12" s="3"/>
      <c r="BYT12" s="3"/>
      <c r="BYU12" s="3"/>
      <c r="BYV12" s="3"/>
      <c r="BYW12" s="3"/>
      <c r="BYX12" s="3"/>
      <c r="BYY12" s="3"/>
      <c r="BYZ12" s="3"/>
      <c r="BZA12" s="3"/>
      <c r="BZB12" s="3"/>
      <c r="BZC12" s="3"/>
      <c r="BZD12" s="3"/>
      <c r="BZE12" s="3"/>
      <c r="BZF12" s="3"/>
      <c r="BZG12" s="3"/>
      <c r="BZH12" s="3"/>
      <c r="BZI12" s="3"/>
      <c r="BZJ12" s="3"/>
      <c r="BZK12" s="3"/>
      <c r="BZL12" s="3"/>
      <c r="BZM12" s="3"/>
      <c r="BZN12" s="3"/>
      <c r="BZO12" s="3"/>
      <c r="BZP12" s="3"/>
      <c r="BZQ12" s="3"/>
      <c r="BZR12" s="3"/>
      <c r="BZS12" s="3"/>
      <c r="BZT12" s="3"/>
      <c r="BZU12" s="3"/>
      <c r="BZV12" s="3"/>
      <c r="BZW12" s="3"/>
      <c r="BZX12" s="3"/>
      <c r="BZY12" s="3"/>
      <c r="BZZ12" s="3"/>
      <c r="CAA12" s="3"/>
      <c r="CAB12" s="3"/>
      <c r="CAC12" s="3"/>
      <c r="CAD12" s="3"/>
      <c r="CAE12" s="3"/>
      <c r="CAF12" s="3"/>
      <c r="CAG12" s="3"/>
      <c r="CAH12" s="3"/>
      <c r="CAI12" s="3"/>
      <c r="CAJ12" s="3"/>
      <c r="CAK12" s="3"/>
      <c r="CAL12" s="3"/>
      <c r="CAM12" s="3"/>
      <c r="CAN12" s="3"/>
      <c r="CAO12" s="3"/>
      <c r="CAP12" s="3"/>
      <c r="CAQ12" s="3"/>
      <c r="CAR12" s="3"/>
      <c r="CAS12" s="3"/>
      <c r="CAT12" s="3"/>
      <c r="CAU12" s="3"/>
      <c r="CAV12" s="3"/>
      <c r="CAW12" s="3"/>
      <c r="CAX12" s="3"/>
      <c r="CAY12" s="3"/>
      <c r="CAZ12" s="3"/>
      <c r="CBA12" s="3"/>
      <c r="CBB12" s="3"/>
      <c r="CBC12" s="3"/>
      <c r="CBD12" s="3"/>
      <c r="CBE12" s="3"/>
      <c r="CBF12" s="3"/>
      <c r="CBG12" s="3"/>
      <c r="CBH12" s="3"/>
      <c r="CBI12" s="3"/>
      <c r="CBJ12" s="3"/>
      <c r="CBK12" s="3"/>
      <c r="CBL12" s="3"/>
      <c r="CBM12" s="3"/>
      <c r="CBN12" s="3"/>
      <c r="CBO12" s="3"/>
      <c r="CBP12" s="3"/>
      <c r="CBQ12" s="3"/>
      <c r="CBR12" s="3"/>
      <c r="CBS12" s="3"/>
      <c r="CBT12" s="3"/>
      <c r="CBU12" s="3"/>
      <c r="CBV12" s="3"/>
      <c r="CBW12" s="3"/>
      <c r="CBX12" s="3"/>
      <c r="CBY12" s="3"/>
      <c r="CBZ12" s="3"/>
      <c r="CCA12" s="3"/>
      <c r="CCB12" s="3"/>
      <c r="CCC12" s="3"/>
      <c r="CCD12" s="3"/>
      <c r="CCE12" s="3"/>
      <c r="CCF12" s="3"/>
      <c r="CCG12" s="3"/>
      <c r="CCH12" s="3"/>
      <c r="CCI12" s="3"/>
      <c r="CCJ12" s="3"/>
      <c r="CCK12" s="3"/>
      <c r="CCL12" s="3"/>
      <c r="CCM12" s="3"/>
      <c r="CCN12" s="3"/>
      <c r="CCO12" s="3"/>
      <c r="CCP12" s="3"/>
      <c r="CCQ12" s="3"/>
      <c r="CCR12" s="3"/>
      <c r="CCS12" s="3"/>
      <c r="CCT12" s="3"/>
      <c r="CCU12" s="3"/>
      <c r="CCV12" s="3"/>
      <c r="CCW12" s="3"/>
      <c r="CCX12" s="3"/>
      <c r="CCY12" s="3"/>
      <c r="CCZ12" s="3"/>
      <c r="CDA12" s="3"/>
      <c r="CDB12" s="3"/>
      <c r="CDC12" s="3"/>
      <c r="CDD12" s="3"/>
      <c r="CDE12" s="3"/>
      <c r="CDF12" s="3"/>
      <c r="CDG12" s="3"/>
      <c r="CDH12" s="3"/>
      <c r="CDI12" s="3"/>
      <c r="CDJ12" s="3"/>
      <c r="CDK12" s="3"/>
      <c r="CDL12" s="3"/>
      <c r="CDM12" s="3"/>
      <c r="CDN12" s="3"/>
      <c r="CDO12" s="3"/>
      <c r="CDP12" s="3"/>
      <c r="CDQ12" s="3"/>
      <c r="CDR12" s="3"/>
      <c r="CDS12" s="3"/>
      <c r="CDT12" s="3"/>
      <c r="CDU12" s="3"/>
      <c r="CDV12" s="3"/>
      <c r="CDW12" s="3"/>
      <c r="CDX12" s="3"/>
      <c r="CDY12" s="3"/>
      <c r="CDZ12" s="3"/>
      <c r="CEA12" s="3"/>
      <c r="CEB12" s="3"/>
      <c r="CEC12" s="3"/>
      <c r="CED12" s="3"/>
      <c r="CEE12" s="3"/>
      <c r="CEF12" s="3"/>
      <c r="CEG12" s="3"/>
      <c r="CEH12" s="3"/>
      <c r="CEI12" s="3"/>
      <c r="CEJ12" s="3"/>
      <c r="CEK12" s="3"/>
      <c r="CEL12" s="3"/>
      <c r="CEM12" s="3"/>
      <c r="CEN12" s="3"/>
      <c r="CEO12" s="3"/>
      <c r="CEP12" s="3"/>
      <c r="CEQ12" s="3"/>
      <c r="CER12" s="3"/>
      <c r="CES12" s="3"/>
      <c r="CET12" s="3"/>
      <c r="CEU12" s="3"/>
      <c r="CEV12" s="3"/>
      <c r="CEW12" s="3"/>
      <c r="CEX12" s="3"/>
      <c r="CEY12" s="3"/>
      <c r="CEZ12" s="3"/>
      <c r="CFA12" s="3"/>
      <c r="CFB12" s="3"/>
      <c r="CFC12" s="3"/>
      <c r="CFD12" s="3"/>
      <c r="CFE12" s="3"/>
      <c r="CFF12" s="3"/>
      <c r="CFG12" s="3"/>
      <c r="CFH12" s="3"/>
      <c r="CFI12" s="3"/>
      <c r="CFJ12" s="3"/>
      <c r="CFK12" s="3"/>
      <c r="CFL12" s="3"/>
      <c r="CFM12" s="3"/>
      <c r="CFN12" s="3"/>
      <c r="CFO12" s="3"/>
      <c r="CFP12" s="3"/>
      <c r="CFQ12" s="3"/>
      <c r="CFR12" s="3"/>
      <c r="CFS12" s="3"/>
      <c r="CFT12" s="3"/>
      <c r="CFU12" s="3"/>
      <c r="CFV12" s="3"/>
      <c r="CFW12" s="3"/>
      <c r="CFX12" s="3"/>
      <c r="CFY12" s="3"/>
      <c r="CFZ12" s="3"/>
      <c r="CGA12" s="3"/>
      <c r="CGB12" s="3"/>
      <c r="CGC12" s="3"/>
      <c r="CGD12" s="3"/>
      <c r="CGE12" s="3"/>
      <c r="CGF12" s="3"/>
      <c r="CGG12" s="3"/>
      <c r="CGH12" s="3"/>
      <c r="CGI12" s="3"/>
      <c r="CGJ12" s="3"/>
      <c r="CGK12" s="3"/>
      <c r="CGL12" s="3"/>
      <c r="CGM12" s="3"/>
      <c r="CGN12" s="3"/>
      <c r="CGO12" s="3"/>
      <c r="CGP12" s="3"/>
      <c r="CGQ12" s="3"/>
      <c r="CGR12" s="3"/>
      <c r="CGS12" s="3"/>
      <c r="CGT12" s="3"/>
      <c r="CGU12" s="3"/>
      <c r="CGV12" s="3"/>
      <c r="CGW12" s="3"/>
      <c r="CGX12" s="3"/>
      <c r="CGY12" s="3"/>
      <c r="CGZ12" s="3"/>
      <c r="CHA12" s="3"/>
      <c r="CHB12" s="3"/>
      <c r="CHC12" s="3"/>
      <c r="CHD12" s="3"/>
      <c r="CHE12" s="3"/>
      <c r="CHF12" s="3"/>
      <c r="CHG12" s="3"/>
      <c r="CHH12" s="3"/>
      <c r="CHI12" s="3"/>
      <c r="CHJ12" s="3"/>
      <c r="CHK12" s="3"/>
      <c r="CHL12" s="3"/>
      <c r="CHM12" s="3"/>
      <c r="CHN12" s="3"/>
      <c r="CHO12" s="3"/>
      <c r="CHP12" s="3"/>
      <c r="CHQ12" s="3"/>
      <c r="CHR12" s="3"/>
      <c r="CHS12" s="3"/>
      <c r="CHT12" s="3"/>
      <c r="CHU12" s="3"/>
      <c r="CHV12" s="3"/>
      <c r="CHW12" s="3"/>
      <c r="CHX12" s="3"/>
      <c r="CHY12" s="3"/>
      <c r="CHZ12" s="3"/>
      <c r="CIA12" s="3"/>
      <c r="CIB12" s="3"/>
      <c r="CIC12" s="3"/>
      <c r="CID12" s="3"/>
      <c r="CIE12" s="3"/>
      <c r="CIF12" s="3"/>
      <c r="CIG12" s="3"/>
      <c r="CIH12" s="3"/>
      <c r="CII12" s="3"/>
      <c r="CIJ12" s="3"/>
      <c r="CIK12" s="3"/>
      <c r="CIL12" s="3"/>
      <c r="CIM12" s="3"/>
      <c r="CIN12" s="3"/>
      <c r="CIO12" s="3"/>
      <c r="CIP12" s="3"/>
      <c r="CIQ12" s="3"/>
      <c r="CIR12" s="3"/>
      <c r="CIS12" s="3"/>
      <c r="CIT12" s="3"/>
      <c r="CIU12" s="3"/>
      <c r="CIV12" s="3"/>
      <c r="CIW12" s="3"/>
      <c r="CIX12" s="3"/>
      <c r="CIY12" s="3"/>
      <c r="CIZ12" s="3"/>
      <c r="CJA12" s="3"/>
      <c r="CJB12" s="3"/>
      <c r="CJC12" s="3"/>
      <c r="CJD12" s="3"/>
      <c r="CJE12" s="3"/>
      <c r="CJF12" s="3"/>
      <c r="CJG12" s="3"/>
      <c r="CJH12" s="3"/>
      <c r="CJI12" s="3"/>
      <c r="CJJ12" s="3"/>
      <c r="CJK12" s="3"/>
      <c r="CJL12" s="3"/>
      <c r="CJM12" s="3"/>
      <c r="CJN12" s="3"/>
      <c r="CJO12" s="3"/>
      <c r="CJP12" s="3"/>
      <c r="CJQ12" s="3"/>
      <c r="CJR12" s="3"/>
      <c r="CJS12" s="3"/>
      <c r="CJT12" s="3"/>
      <c r="CJU12" s="3"/>
      <c r="CJV12" s="3"/>
      <c r="CJW12" s="3"/>
      <c r="CJX12" s="3"/>
      <c r="CJY12" s="3"/>
      <c r="CJZ12" s="3"/>
      <c r="CKA12" s="3"/>
      <c r="CKB12" s="3"/>
      <c r="CKC12" s="3"/>
      <c r="CKD12" s="3"/>
      <c r="CKE12" s="3"/>
      <c r="CKF12" s="3"/>
      <c r="CKG12" s="3"/>
      <c r="CKH12" s="3"/>
      <c r="CKI12" s="3"/>
      <c r="CKJ12" s="3"/>
      <c r="CKK12" s="3"/>
      <c r="CKL12" s="3"/>
      <c r="CKM12" s="3"/>
      <c r="CKN12" s="3"/>
      <c r="CKO12" s="3"/>
      <c r="CKP12" s="3"/>
      <c r="CKQ12" s="3"/>
      <c r="CKR12" s="3"/>
      <c r="CKS12" s="3"/>
      <c r="CKT12" s="3"/>
      <c r="CKU12" s="3"/>
      <c r="CKV12" s="3"/>
      <c r="CKW12" s="3"/>
      <c r="CKX12" s="3"/>
      <c r="CKY12" s="3"/>
      <c r="CKZ12" s="3"/>
      <c r="CLA12" s="3"/>
      <c r="CLB12" s="3"/>
      <c r="CLC12" s="3"/>
      <c r="CLD12" s="3"/>
      <c r="CLE12" s="3"/>
      <c r="CLF12" s="3"/>
      <c r="CLG12" s="3"/>
      <c r="CLH12" s="3"/>
      <c r="CLI12" s="3"/>
      <c r="CLJ12" s="3"/>
      <c r="CLK12" s="3"/>
      <c r="CLL12" s="3"/>
      <c r="CLM12" s="3"/>
      <c r="CLN12" s="3"/>
      <c r="CLO12" s="3"/>
      <c r="CLP12" s="3"/>
      <c r="CLQ12" s="3"/>
      <c r="CLR12" s="3"/>
      <c r="CLS12" s="3"/>
      <c r="CLT12" s="3"/>
      <c r="CLU12" s="3"/>
      <c r="CLV12" s="3"/>
      <c r="CLW12" s="3"/>
      <c r="CLX12" s="3"/>
      <c r="CLY12" s="3"/>
      <c r="CLZ12" s="3"/>
      <c r="CMA12" s="3"/>
      <c r="CMB12" s="3"/>
      <c r="CMC12" s="3"/>
      <c r="CMD12" s="3"/>
      <c r="CME12" s="3"/>
      <c r="CMF12" s="3"/>
      <c r="CMG12" s="3"/>
      <c r="CMH12" s="3"/>
      <c r="CMI12" s="3"/>
      <c r="CMJ12" s="3"/>
      <c r="CMK12" s="3"/>
      <c r="CML12" s="3"/>
      <c r="CMM12" s="3"/>
      <c r="CMN12" s="3"/>
      <c r="CMO12" s="3"/>
      <c r="CMP12" s="3"/>
      <c r="CMQ12" s="3"/>
      <c r="CMR12" s="3"/>
      <c r="CMS12" s="3"/>
      <c r="CMT12" s="3"/>
      <c r="CMU12" s="3"/>
      <c r="CMV12" s="3"/>
      <c r="CMW12" s="3"/>
      <c r="CMX12" s="3"/>
      <c r="CMY12" s="3"/>
      <c r="CMZ12" s="3"/>
      <c r="CNA12" s="3"/>
      <c r="CNB12" s="3"/>
      <c r="CNC12" s="3"/>
      <c r="CND12" s="3"/>
      <c r="CNE12" s="3"/>
      <c r="CNF12" s="3"/>
      <c r="CNG12" s="3"/>
      <c r="CNH12" s="3"/>
      <c r="CNI12" s="3"/>
      <c r="CNJ12" s="3"/>
      <c r="CNK12" s="3"/>
      <c r="CNL12" s="3"/>
      <c r="CNM12" s="3"/>
      <c r="CNN12" s="3"/>
      <c r="CNO12" s="3"/>
      <c r="CNP12" s="3"/>
      <c r="CNQ12" s="3"/>
      <c r="CNR12" s="3"/>
      <c r="CNS12" s="3"/>
      <c r="CNT12" s="3"/>
      <c r="CNU12" s="3"/>
      <c r="CNV12" s="3"/>
      <c r="CNW12" s="3"/>
      <c r="CNX12" s="3"/>
      <c r="CNY12" s="3"/>
      <c r="CNZ12" s="3"/>
      <c r="COA12" s="3"/>
      <c r="COB12" s="3"/>
      <c r="COC12" s="3"/>
      <c r="COD12" s="3"/>
      <c r="COE12" s="3"/>
      <c r="COF12" s="3"/>
      <c r="COG12" s="3"/>
      <c r="COH12" s="3"/>
      <c r="COI12" s="3"/>
      <c r="COJ12" s="3"/>
      <c r="COK12" s="3"/>
      <c r="COL12" s="3"/>
      <c r="COM12" s="3"/>
      <c r="CON12" s="3"/>
      <c r="COO12" s="3"/>
      <c r="COP12" s="3"/>
      <c r="COQ12" s="3"/>
      <c r="COR12" s="3"/>
      <c r="COS12" s="3"/>
      <c r="COT12" s="3"/>
      <c r="COU12" s="3"/>
      <c r="COV12" s="3"/>
      <c r="COW12" s="3"/>
      <c r="COX12" s="3"/>
      <c r="COY12" s="3"/>
      <c r="COZ12" s="3"/>
      <c r="CPA12" s="3"/>
      <c r="CPB12" s="3"/>
      <c r="CPC12" s="3"/>
      <c r="CPD12" s="3"/>
      <c r="CPE12" s="3"/>
      <c r="CPF12" s="3"/>
      <c r="CPG12" s="3"/>
      <c r="CPH12" s="3"/>
      <c r="CPI12" s="3"/>
      <c r="CPJ12" s="3"/>
      <c r="CPK12" s="3"/>
      <c r="CPL12" s="3"/>
      <c r="CPM12" s="3"/>
      <c r="CPN12" s="3"/>
      <c r="CPO12" s="3"/>
      <c r="CPP12" s="3"/>
      <c r="CPQ12" s="3"/>
      <c r="CPR12" s="3"/>
      <c r="CPS12" s="3"/>
      <c r="CPT12" s="3"/>
      <c r="CPU12" s="3"/>
      <c r="CPV12" s="3"/>
      <c r="CPW12" s="3"/>
      <c r="CPX12" s="3"/>
      <c r="CPY12" s="3"/>
      <c r="CPZ12" s="3"/>
      <c r="CQA12" s="3"/>
      <c r="CQB12" s="3"/>
      <c r="CQC12" s="3"/>
      <c r="CQD12" s="3"/>
      <c r="CQE12" s="3"/>
      <c r="CQF12" s="3"/>
      <c r="CQG12" s="3"/>
      <c r="CQH12" s="3"/>
      <c r="CQI12" s="3"/>
      <c r="CQJ12" s="3"/>
      <c r="CQK12" s="3"/>
      <c r="CQL12" s="3"/>
      <c r="CQM12" s="3"/>
      <c r="CQN12" s="3"/>
      <c r="CQO12" s="3"/>
      <c r="CQP12" s="3"/>
      <c r="CQQ12" s="3"/>
      <c r="CQR12" s="3"/>
      <c r="CQS12" s="3"/>
      <c r="CQT12" s="3"/>
      <c r="CQU12" s="3"/>
      <c r="CQV12" s="3"/>
      <c r="CQW12" s="3"/>
      <c r="CQX12" s="3"/>
      <c r="CQY12" s="3"/>
      <c r="CQZ12" s="3"/>
      <c r="CRA12" s="3"/>
      <c r="CRB12" s="3"/>
      <c r="CRC12" s="3"/>
      <c r="CRD12" s="3"/>
      <c r="CRE12" s="3"/>
      <c r="CRF12" s="3"/>
      <c r="CRG12" s="3"/>
      <c r="CRH12" s="3"/>
      <c r="CRI12" s="3"/>
      <c r="CRJ12" s="3"/>
      <c r="CRK12" s="3"/>
      <c r="CRL12" s="3"/>
      <c r="CRM12" s="3"/>
      <c r="CRN12" s="3"/>
      <c r="CRO12" s="3"/>
      <c r="CRP12" s="3"/>
      <c r="CRQ12" s="3"/>
      <c r="CRR12" s="3"/>
      <c r="CRS12" s="3"/>
      <c r="CRT12" s="3"/>
      <c r="CRU12" s="3"/>
      <c r="CRV12" s="3"/>
      <c r="CRW12" s="3"/>
      <c r="CRX12" s="3"/>
      <c r="CRY12" s="3"/>
      <c r="CRZ12" s="3"/>
      <c r="CSA12" s="3"/>
      <c r="CSB12" s="3"/>
      <c r="CSC12" s="3"/>
      <c r="CSD12" s="3"/>
      <c r="CSE12" s="3"/>
      <c r="CSF12" s="3"/>
      <c r="CSG12" s="3"/>
      <c r="CSH12" s="3"/>
      <c r="CSI12" s="3"/>
      <c r="CSJ12" s="3"/>
      <c r="CSK12" s="3"/>
      <c r="CSL12" s="3"/>
      <c r="CSM12" s="3"/>
      <c r="CSN12" s="3"/>
      <c r="CSO12" s="3"/>
      <c r="CSP12" s="3"/>
      <c r="CSQ12" s="3"/>
      <c r="CSR12" s="3"/>
      <c r="CSS12" s="3"/>
      <c r="CST12" s="3"/>
      <c r="CSU12" s="3"/>
      <c r="CSV12" s="3"/>
      <c r="CSW12" s="3"/>
      <c r="CSX12" s="3"/>
      <c r="CSY12" s="3"/>
      <c r="CSZ12" s="3"/>
      <c r="CTA12" s="3"/>
      <c r="CTB12" s="3"/>
      <c r="CTC12" s="3"/>
      <c r="CTD12" s="3"/>
      <c r="CTE12" s="3"/>
      <c r="CTF12" s="3"/>
      <c r="CTG12" s="3"/>
      <c r="CTH12" s="3"/>
      <c r="CTI12" s="3"/>
      <c r="CTJ12" s="3"/>
      <c r="CTK12" s="3"/>
      <c r="CTL12" s="3"/>
      <c r="CTM12" s="3"/>
      <c r="CTN12" s="3"/>
      <c r="CTO12" s="3"/>
      <c r="CTP12" s="3"/>
      <c r="CTQ12" s="3"/>
      <c r="CTR12" s="3"/>
      <c r="CTS12" s="3"/>
      <c r="CTT12" s="3"/>
      <c r="CTU12" s="3"/>
      <c r="CTV12" s="3"/>
      <c r="CTW12" s="3"/>
      <c r="CTX12" s="3"/>
      <c r="CTY12" s="3"/>
      <c r="CTZ12" s="3"/>
      <c r="CUA12" s="3"/>
      <c r="CUB12" s="3"/>
      <c r="CUC12" s="3"/>
      <c r="CUD12" s="3"/>
      <c r="CUE12" s="3"/>
      <c r="CUF12" s="3"/>
      <c r="CUG12" s="3"/>
      <c r="CUH12" s="3"/>
      <c r="CUI12" s="3"/>
      <c r="CUJ12" s="3"/>
      <c r="CUK12" s="3"/>
      <c r="CUL12" s="3"/>
      <c r="CUM12" s="3"/>
      <c r="CUN12" s="3"/>
      <c r="CUO12" s="3"/>
      <c r="CUP12" s="3"/>
      <c r="CUQ12" s="3"/>
      <c r="CUR12" s="3"/>
      <c r="CUS12" s="3"/>
      <c r="CUT12" s="3"/>
      <c r="CUU12" s="3"/>
      <c r="CUV12" s="3"/>
      <c r="CUW12" s="3"/>
      <c r="CUX12" s="3"/>
      <c r="CUY12" s="3"/>
      <c r="CUZ12" s="3"/>
      <c r="CVA12" s="3"/>
      <c r="CVB12" s="3"/>
      <c r="CVC12" s="3"/>
      <c r="CVD12" s="3"/>
      <c r="CVE12" s="3"/>
      <c r="CVF12" s="3"/>
      <c r="CVG12" s="3"/>
      <c r="CVH12" s="3"/>
      <c r="CVI12" s="3"/>
      <c r="CVJ12" s="3"/>
      <c r="CVK12" s="3"/>
      <c r="CVL12" s="3"/>
      <c r="CVM12" s="3"/>
      <c r="CVN12" s="3"/>
      <c r="CVO12" s="3"/>
      <c r="CVP12" s="3"/>
      <c r="CVQ12" s="3"/>
      <c r="CVR12" s="3"/>
      <c r="CVS12" s="3"/>
      <c r="CVT12" s="3"/>
      <c r="CVU12" s="3"/>
      <c r="CVV12" s="3"/>
      <c r="CVW12" s="3"/>
      <c r="CVX12" s="3"/>
      <c r="CVY12" s="3"/>
      <c r="CVZ12" s="3"/>
      <c r="CWA12" s="3"/>
      <c r="CWB12" s="3"/>
      <c r="CWC12" s="3"/>
      <c r="CWD12" s="3"/>
      <c r="CWE12" s="3"/>
      <c r="CWF12" s="3"/>
      <c r="CWG12" s="3"/>
      <c r="CWH12" s="3"/>
      <c r="CWI12" s="3"/>
      <c r="CWJ12" s="3"/>
      <c r="CWK12" s="3"/>
      <c r="CWL12" s="3"/>
      <c r="CWM12" s="3"/>
      <c r="CWN12" s="3"/>
      <c r="CWO12" s="3"/>
      <c r="CWP12" s="3"/>
      <c r="CWQ12" s="3"/>
      <c r="CWR12" s="3"/>
      <c r="CWS12" s="3"/>
      <c r="CWT12" s="3"/>
      <c r="CWU12" s="3"/>
      <c r="CWV12" s="3"/>
      <c r="CWW12" s="3"/>
      <c r="CWX12" s="3"/>
      <c r="CWY12" s="3"/>
      <c r="CWZ12" s="3"/>
      <c r="CXA12" s="3"/>
      <c r="CXB12" s="3"/>
      <c r="CXC12" s="3"/>
      <c r="CXD12" s="3"/>
      <c r="CXE12" s="3"/>
      <c r="CXF12" s="3"/>
      <c r="CXG12" s="3"/>
      <c r="CXH12" s="3"/>
      <c r="CXI12" s="3"/>
      <c r="CXJ12" s="3"/>
      <c r="CXK12" s="3"/>
      <c r="CXL12" s="3"/>
      <c r="CXM12" s="3"/>
      <c r="CXN12" s="3"/>
      <c r="CXO12" s="3"/>
      <c r="CXP12" s="3"/>
      <c r="CXQ12" s="3"/>
      <c r="CXR12" s="3"/>
      <c r="CXS12" s="3"/>
      <c r="CXT12" s="3"/>
      <c r="CXU12" s="3"/>
      <c r="CXV12" s="3"/>
      <c r="CXW12" s="3"/>
      <c r="CXX12" s="3"/>
      <c r="CXY12" s="3"/>
      <c r="CXZ12" s="3"/>
      <c r="CYA12" s="3"/>
      <c r="CYB12" s="3"/>
      <c r="CYC12" s="3"/>
      <c r="CYD12" s="3"/>
      <c r="CYE12" s="3"/>
      <c r="CYF12" s="3"/>
      <c r="CYG12" s="3"/>
      <c r="CYH12" s="3"/>
      <c r="CYI12" s="3"/>
      <c r="CYJ12" s="3"/>
      <c r="CYK12" s="3"/>
      <c r="CYL12" s="3"/>
      <c r="CYM12" s="3"/>
      <c r="CYN12" s="3"/>
      <c r="CYO12" s="3"/>
      <c r="CYP12" s="3"/>
      <c r="CYQ12" s="3"/>
      <c r="CYR12" s="3"/>
      <c r="CYS12" s="3"/>
      <c r="CYT12" s="3"/>
      <c r="CYU12" s="3"/>
      <c r="CYV12" s="3"/>
      <c r="CYW12" s="3"/>
      <c r="CYX12" s="3"/>
      <c r="CYY12" s="3"/>
      <c r="CYZ12" s="3"/>
      <c r="CZA12" s="3"/>
      <c r="CZB12" s="3"/>
      <c r="CZC12" s="3"/>
      <c r="CZD12" s="3"/>
      <c r="CZE12" s="3"/>
      <c r="CZF12" s="3"/>
      <c r="CZG12" s="3"/>
      <c r="CZH12" s="3"/>
      <c r="CZI12" s="3"/>
      <c r="CZJ12" s="3"/>
      <c r="CZK12" s="3"/>
      <c r="CZL12" s="3"/>
      <c r="CZM12" s="3"/>
      <c r="CZN12" s="3"/>
      <c r="CZO12" s="3"/>
      <c r="CZP12" s="3"/>
      <c r="CZQ12" s="3"/>
      <c r="CZR12" s="3"/>
      <c r="CZS12" s="3"/>
      <c r="CZT12" s="3"/>
      <c r="CZU12" s="3"/>
      <c r="CZV12" s="3"/>
      <c r="CZW12" s="3"/>
      <c r="CZX12" s="3"/>
      <c r="CZY12" s="3"/>
      <c r="CZZ12" s="3"/>
      <c r="DAA12" s="3"/>
      <c r="DAB12" s="3"/>
      <c r="DAC12" s="3"/>
      <c r="DAD12" s="3"/>
      <c r="DAE12" s="3"/>
      <c r="DAF12" s="3"/>
      <c r="DAG12" s="3"/>
      <c r="DAH12" s="3"/>
      <c r="DAI12" s="3"/>
      <c r="DAJ12" s="3"/>
      <c r="DAK12" s="3"/>
      <c r="DAL12" s="3"/>
      <c r="DAM12" s="3"/>
      <c r="DAN12" s="3"/>
      <c r="DAO12" s="3"/>
      <c r="DAP12" s="3"/>
      <c r="DAQ12" s="3"/>
      <c r="DAR12" s="3"/>
      <c r="DAS12" s="3"/>
      <c r="DAT12" s="3"/>
      <c r="DAU12" s="3"/>
      <c r="DAV12" s="3"/>
      <c r="DAW12" s="3"/>
      <c r="DAX12" s="3"/>
      <c r="DAY12" s="3"/>
      <c r="DAZ12" s="3"/>
      <c r="DBA12" s="3"/>
      <c r="DBB12" s="3"/>
      <c r="DBC12" s="3"/>
      <c r="DBD12" s="3"/>
      <c r="DBE12" s="3"/>
      <c r="DBF12" s="3"/>
      <c r="DBG12" s="3"/>
      <c r="DBH12" s="3"/>
      <c r="DBI12" s="3"/>
      <c r="DBJ12" s="3"/>
      <c r="DBK12" s="3"/>
      <c r="DBL12" s="3"/>
      <c r="DBM12" s="3"/>
      <c r="DBN12" s="3"/>
      <c r="DBO12" s="3"/>
      <c r="DBP12" s="3"/>
      <c r="DBQ12" s="3"/>
      <c r="DBR12" s="3"/>
      <c r="DBS12" s="3"/>
      <c r="DBT12" s="3"/>
      <c r="DBU12" s="3"/>
      <c r="DBV12" s="3"/>
      <c r="DBW12" s="3"/>
      <c r="DBX12" s="3"/>
      <c r="DBY12" s="3"/>
      <c r="DBZ12" s="3"/>
      <c r="DCA12" s="3"/>
      <c r="DCB12" s="3"/>
      <c r="DCC12" s="3"/>
      <c r="DCD12" s="3"/>
      <c r="DCE12" s="3"/>
      <c r="DCF12" s="3"/>
      <c r="DCG12" s="3"/>
      <c r="DCH12" s="3"/>
      <c r="DCI12" s="3"/>
      <c r="DCJ12" s="3"/>
      <c r="DCK12" s="3"/>
      <c r="DCL12" s="3"/>
      <c r="DCM12" s="3"/>
      <c r="DCN12" s="3"/>
      <c r="DCO12" s="3"/>
      <c r="DCP12" s="3"/>
      <c r="DCQ12" s="3"/>
      <c r="DCR12" s="3"/>
      <c r="DCS12" s="3"/>
      <c r="DCT12" s="3"/>
      <c r="DCU12" s="3"/>
      <c r="DCV12" s="3"/>
      <c r="DCW12" s="3"/>
      <c r="DCX12" s="3"/>
      <c r="DCY12" s="3"/>
      <c r="DCZ12" s="3"/>
      <c r="DDA12" s="3"/>
      <c r="DDB12" s="3"/>
      <c r="DDC12" s="3"/>
      <c r="DDD12" s="3"/>
      <c r="DDE12" s="3"/>
      <c r="DDF12" s="3"/>
      <c r="DDG12" s="3"/>
      <c r="DDH12" s="3"/>
      <c r="DDI12" s="3"/>
      <c r="DDJ12" s="3"/>
      <c r="DDK12" s="3"/>
      <c r="DDL12" s="3"/>
      <c r="DDM12" s="3"/>
      <c r="DDN12" s="3"/>
      <c r="DDO12" s="3"/>
      <c r="DDP12" s="3"/>
      <c r="DDQ12" s="3"/>
      <c r="DDR12" s="3"/>
      <c r="DDS12" s="3"/>
      <c r="DDT12" s="3"/>
      <c r="DDU12" s="3"/>
      <c r="DDV12" s="3"/>
      <c r="DDW12" s="3"/>
      <c r="DDX12" s="3"/>
      <c r="DDY12" s="3"/>
      <c r="DDZ12" s="3"/>
      <c r="DEA12" s="3"/>
      <c r="DEB12" s="3"/>
      <c r="DEC12" s="3"/>
      <c r="DED12" s="3"/>
      <c r="DEE12" s="3"/>
      <c r="DEF12" s="3"/>
      <c r="DEG12" s="3"/>
      <c r="DEH12" s="3"/>
      <c r="DEI12" s="3"/>
      <c r="DEJ12" s="3"/>
      <c r="DEK12" s="3"/>
      <c r="DEL12" s="3"/>
      <c r="DEM12" s="3"/>
      <c r="DEN12" s="3"/>
      <c r="DEO12" s="3"/>
      <c r="DEP12" s="3"/>
      <c r="DEQ12" s="3"/>
      <c r="DER12" s="3"/>
      <c r="DES12" s="3"/>
      <c r="DET12" s="3"/>
      <c r="DEU12" s="3"/>
      <c r="DEV12" s="3"/>
      <c r="DEW12" s="3"/>
      <c r="DEX12" s="3"/>
      <c r="DEY12" s="3"/>
      <c r="DEZ12" s="3"/>
      <c r="DFA12" s="3"/>
      <c r="DFB12" s="3"/>
      <c r="DFC12" s="3"/>
      <c r="DFD12" s="3"/>
      <c r="DFE12" s="3"/>
      <c r="DFF12" s="3"/>
      <c r="DFG12" s="3"/>
      <c r="DFH12" s="3"/>
      <c r="DFI12" s="3"/>
      <c r="DFJ12" s="3"/>
      <c r="DFK12" s="3"/>
      <c r="DFL12" s="3"/>
      <c r="DFM12" s="3"/>
      <c r="DFN12" s="3"/>
      <c r="DFO12" s="3"/>
      <c r="DFP12" s="3"/>
      <c r="DFQ12" s="3"/>
      <c r="DFR12" s="3"/>
      <c r="DFS12" s="3"/>
      <c r="DFT12" s="3"/>
      <c r="DFU12" s="3"/>
      <c r="DFV12" s="3"/>
      <c r="DFW12" s="3"/>
      <c r="DFX12" s="3"/>
      <c r="DFY12" s="3"/>
      <c r="DFZ12" s="3"/>
      <c r="DGA12" s="3"/>
      <c r="DGB12" s="3"/>
      <c r="DGC12" s="3"/>
      <c r="DGD12" s="3"/>
      <c r="DGE12" s="3"/>
      <c r="DGF12" s="3"/>
      <c r="DGG12" s="3"/>
      <c r="DGH12" s="3"/>
      <c r="DGI12" s="3"/>
      <c r="DGJ12" s="3"/>
      <c r="DGK12" s="3"/>
      <c r="DGL12" s="3"/>
      <c r="DGM12" s="3"/>
      <c r="DGN12" s="3"/>
      <c r="DGO12" s="3"/>
      <c r="DGP12" s="3"/>
      <c r="DGQ12" s="3"/>
      <c r="DGR12" s="3"/>
      <c r="DGS12" s="3"/>
      <c r="DGT12" s="3"/>
      <c r="DGU12" s="3"/>
      <c r="DGV12" s="3"/>
      <c r="DGW12" s="3"/>
      <c r="DGX12" s="3"/>
      <c r="DGY12" s="3"/>
      <c r="DGZ12" s="3"/>
      <c r="DHA12" s="3"/>
      <c r="DHB12" s="3"/>
      <c r="DHC12" s="3"/>
      <c r="DHD12" s="3"/>
      <c r="DHE12" s="3"/>
      <c r="DHF12" s="3"/>
      <c r="DHG12" s="3"/>
      <c r="DHH12" s="3"/>
      <c r="DHI12" s="3"/>
      <c r="DHJ12" s="3"/>
      <c r="DHK12" s="3"/>
      <c r="DHL12" s="3"/>
      <c r="DHM12" s="3"/>
      <c r="DHN12" s="3"/>
      <c r="DHO12" s="3"/>
      <c r="DHP12" s="3"/>
      <c r="DHQ12" s="3"/>
      <c r="DHR12" s="3"/>
      <c r="DHS12" s="3"/>
      <c r="DHT12" s="3"/>
      <c r="DHU12" s="3"/>
      <c r="DHV12" s="3"/>
      <c r="DHW12" s="3"/>
      <c r="DHX12" s="3"/>
      <c r="DHY12" s="3"/>
      <c r="DHZ12" s="3"/>
      <c r="DIA12" s="3"/>
      <c r="DIB12" s="3"/>
      <c r="DIC12" s="3"/>
      <c r="DID12" s="3"/>
      <c r="DIE12" s="3"/>
      <c r="DIF12" s="3"/>
      <c r="DIG12" s="3"/>
      <c r="DIH12" s="3"/>
      <c r="DII12" s="3"/>
      <c r="DIJ12" s="3"/>
      <c r="DIK12" s="3"/>
      <c r="DIL12" s="3"/>
      <c r="DIM12" s="3"/>
      <c r="DIN12" s="3"/>
      <c r="DIO12" s="3"/>
      <c r="DIP12" s="3"/>
      <c r="DIQ12" s="3"/>
      <c r="DIR12" s="3"/>
      <c r="DIS12" s="3"/>
      <c r="DIT12" s="3"/>
      <c r="DIU12" s="3"/>
      <c r="DIV12" s="3"/>
      <c r="DIW12" s="3"/>
      <c r="DIX12" s="3"/>
      <c r="DIY12" s="3"/>
      <c r="DIZ12" s="3"/>
      <c r="DJA12" s="3"/>
      <c r="DJB12" s="3"/>
      <c r="DJC12" s="3"/>
      <c r="DJD12" s="3"/>
      <c r="DJE12" s="3"/>
      <c r="DJF12" s="3"/>
      <c r="DJG12" s="3"/>
      <c r="DJH12" s="3"/>
      <c r="DJI12" s="3"/>
      <c r="DJJ12" s="3"/>
      <c r="DJK12" s="3"/>
      <c r="DJL12" s="3"/>
      <c r="DJM12" s="3"/>
      <c r="DJN12" s="3"/>
      <c r="DJO12" s="3"/>
      <c r="DJP12" s="3"/>
      <c r="DJQ12" s="3"/>
      <c r="DJR12" s="3"/>
      <c r="DJS12" s="3"/>
      <c r="DJT12" s="3"/>
      <c r="DJU12" s="3"/>
      <c r="DJV12" s="3"/>
      <c r="DJW12" s="3"/>
      <c r="DJX12" s="3"/>
      <c r="DJY12" s="3"/>
      <c r="DJZ12" s="3"/>
      <c r="DKA12" s="3"/>
      <c r="DKB12" s="3"/>
      <c r="DKC12" s="3"/>
      <c r="DKD12" s="3"/>
      <c r="DKE12" s="3"/>
      <c r="DKF12" s="3"/>
      <c r="DKG12" s="3"/>
      <c r="DKH12" s="3"/>
      <c r="DKI12" s="3"/>
      <c r="DKJ12" s="3"/>
      <c r="DKK12" s="3"/>
      <c r="DKL12" s="3"/>
      <c r="DKM12" s="3"/>
      <c r="DKN12" s="3"/>
      <c r="DKO12" s="3"/>
      <c r="DKP12" s="3"/>
      <c r="DKQ12" s="3"/>
      <c r="DKR12" s="3"/>
      <c r="DKS12" s="3"/>
      <c r="DKT12" s="3"/>
      <c r="DKU12" s="3"/>
      <c r="DKV12" s="3"/>
      <c r="DKW12" s="3"/>
      <c r="DKX12" s="3"/>
      <c r="DKY12" s="3"/>
      <c r="DKZ12" s="3"/>
      <c r="DLA12" s="3"/>
      <c r="DLB12" s="3"/>
      <c r="DLC12" s="3"/>
      <c r="DLD12" s="3"/>
      <c r="DLE12" s="3"/>
      <c r="DLF12" s="3"/>
      <c r="DLG12" s="3"/>
      <c r="DLH12" s="3"/>
      <c r="DLI12" s="3"/>
      <c r="DLJ12" s="3"/>
      <c r="DLK12" s="3"/>
      <c r="DLL12" s="3"/>
      <c r="DLM12" s="3"/>
      <c r="DLN12" s="3"/>
      <c r="DLO12" s="3"/>
      <c r="DLP12" s="3"/>
      <c r="DLQ12" s="3"/>
      <c r="DLR12" s="3"/>
      <c r="DLS12" s="3"/>
      <c r="DLT12" s="3"/>
      <c r="DLU12" s="3"/>
      <c r="DLV12" s="3"/>
      <c r="DLW12" s="3"/>
      <c r="DLX12" s="3"/>
      <c r="DLY12" s="3"/>
      <c r="DLZ12" s="3"/>
      <c r="DMA12" s="3"/>
      <c r="DMB12" s="3"/>
      <c r="DMC12" s="3"/>
      <c r="DMD12" s="3"/>
      <c r="DME12" s="3"/>
      <c r="DMF12" s="3"/>
      <c r="DMG12" s="3"/>
      <c r="DMH12" s="3"/>
      <c r="DMI12" s="3"/>
      <c r="DMJ12" s="3"/>
      <c r="DMK12" s="3"/>
      <c r="DML12" s="3"/>
      <c r="DMM12" s="3"/>
      <c r="DMN12" s="3"/>
      <c r="DMO12" s="3"/>
      <c r="DMP12" s="3"/>
      <c r="DMQ12" s="3"/>
      <c r="DMR12" s="3"/>
      <c r="DMS12" s="3"/>
      <c r="DMT12" s="3"/>
      <c r="DMU12" s="3"/>
      <c r="DMV12" s="3"/>
      <c r="DMW12" s="3"/>
      <c r="DMX12" s="3"/>
      <c r="DMY12" s="3"/>
      <c r="DMZ12" s="3"/>
      <c r="DNA12" s="3"/>
      <c r="DNB12" s="3"/>
      <c r="DNC12" s="3"/>
      <c r="DND12" s="3"/>
      <c r="DNE12" s="3"/>
      <c r="DNF12" s="3"/>
      <c r="DNG12" s="3"/>
      <c r="DNH12" s="3"/>
      <c r="DNI12" s="3"/>
      <c r="DNJ12" s="3"/>
      <c r="DNK12" s="3"/>
      <c r="DNL12" s="3"/>
      <c r="DNM12" s="3"/>
      <c r="DNN12" s="3"/>
      <c r="DNO12" s="3"/>
      <c r="DNP12" s="3"/>
      <c r="DNQ12" s="3"/>
      <c r="DNR12" s="3"/>
      <c r="DNS12" s="3"/>
      <c r="DNT12" s="3"/>
      <c r="DNU12" s="3"/>
      <c r="DNV12" s="3"/>
      <c r="DNW12" s="3"/>
      <c r="DNX12" s="3"/>
      <c r="DNY12" s="3"/>
      <c r="DNZ12" s="3"/>
      <c r="DOA12" s="3"/>
      <c r="DOB12" s="3"/>
      <c r="DOC12" s="3"/>
      <c r="DOD12" s="3"/>
      <c r="DOE12" s="3"/>
      <c r="DOF12" s="3"/>
      <c r="DOG12" s="3"/>
      <c r="DOH12" s="3"/>
      <c r="DOI12" s="3"/>
      <c r="DOJ12" s="3"/>
      <c r="DOK12" s="3"/>
      <c r="DOL12" s="3"/>
      <c r="DOM12" s="3"/>
      <c r="DON12" s="3"/>
      <c r="DOO12" s="3"/>
      <c r="DOP12" s="3"/>
      <c r="DOQ12" s="3"/>
      <c r="DOR12" s="3"/>
      <c r="DOS12" s="3"/>
      <c r="DOT12" s="3"/>
      <c r="DOU12" s="3"/>
      <c r="DOV12" s="3"/>
      <c r="DOW12" s="3"/>
      <c r="DOX12" s="3"/>
      <c r="DOY12" s="3"/>
      <c r="DOZ12" s="3"/>
      <c r="DPA12" s="3"/>
      <c r="DPB12" s="3"/>
      <c r="DPC12" s="3"/>
      <c r="DPD12" s="3"/>
      <c r="DPE12" s="3"/>
      <c r="DPF12" s="3"/>
      <c r="DPG12" s="3"/>
      <c r="DPH12" s="3"/>
      <c r="DPI12" s="3"/>
      <c r="DPJ12" s="3"/>
      <c r="DPK12" s="3"/>
      <c r="DPL12" s="3"/>
      <c r="DPM12" s="3"/>
      <c r="DPN12" s="3"/>
      <c r="DPO12" s="3"/>
      <c r="DPP12" s="3"/>
      <c r="DPQ12" s="3"/>
      <c r="DPR12" s="3"/>
      <c r="DPS12" s="3"/>
      <c r="DPT12" s="3"/>
      <c r="DPU12" s="3"/>
      <c r="DPV12" s="3"/>
      <c r="DPW12" s="3"/>
      <c r="DPX12" s="3"/>
      <c r="DPY12" s="3"/>
      <c r="DPZ12" s="3"/>
      <c r="DQA12" s="3"/>
      <c r="DQB12" s="3"/>
      <c r="DQC12" s="3"/>
      <c r="DQD12" s="3"/>
      <c r="DQE12" s="3"/>
      <c r="DQF12" s="3"/>
      <c r="DQG12" s="3"/>
      <c r="DQH12" s="3"/>
      <c r="DQI12" s="3"/>
      <c r="DQJ12" s="3"/>
      <c r="DQK12" s="3"/>
      <c r="DQL12" s="3"/>
      <c r="DQM12" s="3"/>
      <c r="DQN12" s="3"/>
      <c r="DQO12" s="3"/>
      <c r="DQP12" s="3"/>
      <c r="DQQ12" s="3"/>
      <c r="DQR12" s="3"/>
      <c r="DQS12" s="3"/>
      <c r="DQT12" s="3"/>
      <c r="DQU12" s="3"/>
      <c r="DQV12" s="3"/>
      <c r="DQW12" s="3"/>
      <c r="DQX12" s="3"/>
      <c r="DQY12" s="3"/>
      <c r="DQZ12" s="3"/>
      <c r="DRA12" s="3"/>
      <c r="DRB12" s="3"/>
      <c r="DRC12" s="3"/>
      <c r="DRD12" s="3"/>
      <c r="DRE12" s="3"/>
      <c r="DRF12" s="3"/>
      <c r="DRG12" s="3"/>
      <c r="DRH12" s="3"/>
      <c r="DRI12" s="3"/>
      <c r="DRJ12" s="3"/>
      <c r="DRK12" s="3"/>
      <c r="DRL12" s="3"/>
      <c r="DRM12" s="3"/>
      <c r="DRN12" s="3"/>
      <c r="DRO12" s="3"/>
      <c r="DRP12" s="3"/>
      <c r="DRQ12" s="3"/>
      <c r="DRR12" s="3"/>
      <c r="DRS12" s="3"/>
      <c r="DRT12" s="3"/>
      <c r="DRU12" s="3"/>
      <c r="DRV12" s="3"/>
      <c r="DRW12" s="3"/>
      <c r="DRX12" s="3"/>
      <c r="DRY12" s="3"/>
      <c r="DRZ12" s="3"/>
      <c r="DSA12" s="3"/>
      <c r="DSB12" s="3"/>
      <c r="DSC12" s="3"/>
      <c r="DSD12" s="3"/>
      <c r="DSE12" s="3"/>
      <c r="DSF12" s="3"/>
      <c r="DSG12" s="3"/>
      <c r="DSH12" s="3"/>
      <c r="DSI12" s="3"/>
      <c r="DSJ12" s="3"/>
      <c r="DSK12" s="3"/>
      <c r="DSL12" s="3"/>
      <c r="DSM12" s="3"/>
      <c r="DSN12" s="3"/>
      <c r="DSO12" s="3"/>
      <c r="DSP12" s="3"/>
      <c r="DSQ12" s="3"/>
      <c r="DSR12" s="3"/>
      <c r="DSS12" s="3"/>
      <c r="DST12" s="3"/>
      <c r="DSU12" s="3"/>
      <c r="DSV12" s="3"/>
      <c r="DSW12" s="3"/>
      <c r="DSX12" s="3"/>
      <c r="DSY12" s="3"/>
      <c r="DSZ12" s="3"/>
      <c r="DTA12" s="3"/>
      <c r="DTB12" s="3"/>
      <c r="DTC12" s="3"/>
      <c r="DTD12" s="3"/>
      <c r="DTE12" s="3"/>
      <c r="DTF12" s="3"/>
      <c r="DTG12" s="3"/>
      <c r="DTH12" s="3"/>
      <c r="DTI12" s="3"/>
      <c r="DTJ12" s="3"/>
      <c r="DTK12" s="3"/>
      <c r="DTL12" s="3"/>
      <c r="DTM12" s="3"/>
      <c r="DTN12" s="3"/>
      <c r="DTO12" s="3"/>
      <c r="DTP12" s="3"/>
      <c r="DTQ12" s="3"/>
      <c r="DTR12" s="3"/>
      <c r="DTS12" s="3"/>
      <c r="DTT12" s="3"/>
      <c r="DTU12" s="3"/>
      <c r="DTV12" s="3"/>
      <c r="DTW12" s="3"/>
      <c r="DTX12" s="3"/>
      <c r="DTY12" s="3"/>
      <c r="DTZ12" s="3"/>
      <c r="DUA12" s="3"/>
      <c r="DUB12" s="3"/>
      <c r="DUC12" s="3"/>
      <c r="DUD12" s="3"/>
      <c r="DUE12" s="3"/>
      <c r="DUF12" s="3"/>
      <c r="DUG12" s="3"/>
      <c r="DUH12" s="3"/>
      <c r="DUI12" s="3"/>
      <c r="DUJ12" s="3"/>
      <c r="DUK12" s="3"/>
      <c r="DUL12" s="3"/>
      <c r="DUM12" s="3"/>
      <c r="DUN12" s="3"/>
      <c r="DUO12" s="3"/>
      <c r="DUP12" s="3"/>
      <c r="DUQ12" s="3"/>
      <c r="DUR12" s="3"/>
      <c r="DUS12" s="3"/>
      <c r="DUT12" s="3"/>
      <c r="DUU12" s="3"/>
      <c r="DUV12" s="3"/>
      <c r="DUW12" s="3"/>
      <c r="DUX12" s="3"/>
      <c r="DUY12" s="3"/>
      <c r="DUZ12" s="3"/>
      <c r="DVA12" s="3"/>
      <c r="DVB12" s="3"/>
      <c r="DVC12" s="3"/>
      <c r="DVD12" s="3"/>
      <c r="DVE12" s="3"/>
      <c r="DVF12" s="3"/>
      <c r="DVG12" s="3"/>
      <c r="DVH12" s="3"/>
      <c r="DVI12" s="3"/>
      <c r="DVJ12" s="3"/>
      <c r="DVK12" s="3"/>
      <c r="DVL12" s="3"/>
      <c r="DVM12" s="3"/>
      <c r="DVN12" s="3"/>
      <c r="DVO12" s="3"/>
      <c r="DVP12" s="3"/>
      <c r="DVQ12" s="3"/>
      <c r="DVR12" s="3"/>
      <c r="DVS12" s="3"/>
      <c r="DVT12" s="3"/>
      <c r="DVU12" s="3"/>
      <c r="DVV12" s="3"/>
      <c r="DVW12" s="3"/>
      <c r="DVX12" s="3"/>
      <c r="DVY12" s="3"/>
      <c r="DVZ12" s="3"/>
      <c r="DWA12" s="3"/>
      <c r="DWB12" s="3"/>
      <c r="DWC12" s="3"/>
      <c r="DWD12" s="3"/>
      <c r="DWE12" s="3"/>
      <c r="DWF12" s="3"/>
      <c r="DWG12" s="3"/>
      <c r="DWH12" s="3"/>
      <c r="DWI12" s="3"/>
      <c r="DWJ12" s="3"/>
      <c r="DWK12" s="3"/>
      <c r="DWL12" s="3"/>
      <c r="DWM12" s="3"/>
      <c r="DWN12" s="3"/>
      <c r="DWO12" s="3"/>
      <c r="DWP12" s="3"/>
      <c r="DWQ12" s="3"/>
      <c r="DWR12" s="3"/>
      <c r="DWS12" s="3"/>
      <c r="DWT12" s="3"/>
      <c r="DWU12" s="3"/>
      <c r="DWV12" s="3"/>
      <c r="DWW12" s="3"/>
      <c r="DWX12" s="3"/>
      <c r="DWY12" s="3"/>
      <c r="DWZ12" s="3"/>
      <c r="DXA12" s="3"/>
      <c r="DXB12" s="3"/>
      <c r="DXC12" s="3"/>
      <c r="DXD12" s="3"/>
      <c r="DXE12" s="3"/>
      <c r="DXF12" s="3"/>
      <c r="DXG12" s="3"/>
      <c r="DXH12" s="3"/>
      <c r="DXI12" s="3"/>
      <c r="DXJ12" s="3"/>
      <c r="DXK12" s="3"/>
      <c r="DXL12" s="3"/>
      <c r="DXM12" s="3"/>
      <c r="DXN12" s="3"/>
      <c r="DXO12" s="3"/>
      <c r="DXP12" s="3"/>
      <c r="DXQ12" s="3"/>
      <c r="DXR12" s="3"/>
      <c r="DXS12" s="3"/>
      <c r="DXT12" s="3"/>
      <c r="DXU12" s="3"/>
      <c r="DXV12" s="3"/>
      <c r="DXW12" s="3"/>
      <c r="DXX12" s="3"/>
      <c r="DXY12" s="3"/>
      <c r="DXZ12" s="3"/>
      <c r="DYA12" s="3"/>
      <c r="DYB12" s="3"/>
      <c r="DYC12" s="3"/>
      <c r="DYD12" s="3"/>
      <c r="DYE12" s="3"/>
      <c r="DYF12" s="3"/>
      <c r="DYG12" s="3"/>
      <c r="DYH12" s="3"/>
      <c r="DYI12" s="3"/>
      <c r="DYJ12" s="3"/>
      <c r="DYK12" s="3"/>
      <c r="DYL12" s="3"/>
      <c r="DYM12" s="3"/>
      <c r="DYN12" s="3"/>
      <c r="DYO12" s="3"/>
      <c r="DYP12" s="3"/>
      <c r="DYQ12" s="3"/>
      <c r="DYR12" s="3"/>
      <c r="DYS12" s="3"/>
      <c r="DYT12" s="3"/>
      <c r="DYU12" s="3"/>
      <c r="DYV12" s="3"/>
      <c r="DYW12" s="3"/>
      <c r="DYX12" s="3"/>
      <c r="DYY12" s="3"/>
      <c r="DYZ12" s="3"/>
      <c r="DZA12" s="3"/>
      <c r="DZB12" s="3"/>
      <c r="DZC12" s="3"/>
      <c r="DZD12" s="3"/>
      <c r="DZE12" s="3"/>
      <c r="DZF12" s="3"/>
      <c r="DZG12" s="3"/>
      <c r="DZH12" s="3"/>
      <c r="DZI12" s="3"/>
      <c r="DZJ12" s="3"/>
      <c r="DZK12" s="3"/>
      <c r="DZL12" s="3"/>
      <c r="DZM12" s="3"/>
      <c r="DZN12" s="3"/>
      <c r="DZO12" s="3"/>
      <c r="DZP12" s="3"/>
      <c r="DZQ12" s="3"/>
      <c r="DZR12" s="3"/>
      <c r="DZS12" s="3"/>
      <c r="DZT12" s="3"/>
      <c r="DZU12" s="3"/>
      <c r="DZV12" s="3"/>
      <c r="DZW12" s="3"/>
      <c r="DZX12" s="3"/>
      <c r="DZY12" s="3"/>
      <c r="DZZ12" s="3"/>
      <c r="EAA12" s="3"/>
      <c r="EAB12" s="3"/>
      <c r="EAC12" s="3"/>
      <c r="EAD12" s="3"/>
      <c r="EAE12" s="3"/>
      <c r="EAF12" s="3"/>
      <c r="EAG12" s="3"/>
      <c r="EAH12" s="3"/>
      <c r="EAI12" s="3"/>
      <c r="EAJ12" s="3"/>
      <c r="EAK12" s="3"/>
      <c r="EAL12" s="3"/>
      <c r="EAM12" s="3"/>
      <c r="EAN12" s="3"/>
      <c r="EAO12" s="3"/>
      <c r="EAP12" s="3"/>
      <c r="EAQ12" s="3"/>
      <c r="EAR12" s="3"/>
      <c r="EAS12" s="3"/>
      <c r="EAT12" s="3"/>
      <c r="EAU12" s="3"/>
      <c r="EAV12" s="3"/>
      <c r="EAW12" s="3"/>
      <c r="EAX12" s="3"/>
      <c r="EAY12" s="3"/>
      <c r="EAZ12" s="3"/>
      <c r="EBA12" s="3"/>
      <c r="EBB12" s="3"/>
      <c r="EBC12" s="3"/>
      <c r="EBD12" s="3"/>
      <c r="EBE12" s="3"/>
      <c r="EBF12" s="3"/>
      <c r="EBG12" s="3"/>
      <c r="EBH12" s="3"/>
      <c r="EBI12" s="3"/>
      <c r="EBJ12" s="3"/>
      <c r="EBK12" s="3"/>
      <c r="EBL12" s="3"/>
      <c r="EBM12" s="3"/>
      <c r="EBN12" s="3"/>
      <c r="EBO12" s="3"/>
      <c r="EBP12" s="3"/>
      <c r="EBQ12" s="3"/>
      <c r="EBR12" s="3"/>
      <c r="EBS12" s="3"/>
      <c r="EBT12" s="3"/>
      <c r="EBU12" s="3"/>
      <c r="EBV12" s="3"/>
      <c r="EBW12" s="3"/>
      <c r="EBX12" s="3"/>
      <c r="EBY12" s="3"/>
      <c r="EBZ12" s="3"/>
      <c r="ECA12" s="3"/>
      <c r="ECB12" s="3"/>
      <c r="ECC12" s="3"/>
      <c r="ECD12" s="3"/>
      <c r="ECE12" s="3"/>
      <c r="ECF12" s="3"/>
      <c r="ECG12" s="3"/>
      <c r="ECH12" s="3"/>
      <c r="ECI12" s="3"/>
      <c r="ECJ12" s="3"/>
      <c r="ECK12" s="3"/>
      <c r="ECL12" s="3"/>
      <c r="ECM12" s="3"/>
      <c r="ECN12" s="3"/>
      <c r="ECO12" s="3"/>
      <c r="ECP12" s="3"/>
      <c r="ECQ12" s="3"/>
      <c r="ECR12" s="3"/>
      <c r="ECS12" s="3"/>
      <c r="ECT12" s="3"/>
      <c r="ECU12" s="3"/>
      <c r="ECV12" s="3"/>
      <c r="ECW12" s="3"/>
      <c r="ECX12" s="3"/>
      <c r="ECY12" s="3"/>
      <c r="ECZ12" s="3"/>
      <c r="EDA12" s="3"/>
      <c r="EDB12" s="3"/>
      <c r="EDC12" s="3"/>
      <c r="EDD12" s="3"/>
      <c r="EDE12" s="3"/>
      <c r="EDF12" s="3"/>
      <c r="EDG12" s="3"/>
      <c r="EDH12" s="3"/>
      <c r="EDI12" s="3"/>
      <c r="EDJ12" s="3"/>
      <c r="EDK12" s="3"/>
      <c r="EDL12" s="3"/>
      <c r="EDM12" s="3"/>
      <c r="EDN12" s="3"/>
      <c r="EDO12" s="3"/>
      <c r="EDP12" s="3"/>
      <c r="EDQ12" s="3"/>
      <c r="EDR12" s="3"/>
      <c r="EDS12" s="3"/>
      <c r="EDT12" s="3"/>
      <c r="EDU12" s="3"/>
      <c r="EDV12" s="3"/>
      <c r="EDW12" s="3"/>
      <c r="EDX12" s="3"/>
      <c r="EDY12" s="3"/>
      <c r="EDZ12" s="3"/>
      <c r="EEA12" s="3"/>
      <c r="EEB12" s="3"/>
      <c r="EEC12" s="3"/>
      <c r="EED12" s="3"/>
      <c r="EEE12" s="3"/>
      <c r="EEF12" s="3"/>
      <c r="EEG12" s="3"/>
      <c r="EEH12" s="3"/>
      <c r="EEI12" s="3"/>
      <c r="EEJ12" s="3"/>
      <c r="EEK12" s="3"/>
      <c r="EEL12" s="3"/>
      <c r="EEM12" s="3"/>
      <c r="EEN12" s="3"/>
      <c r="EEO12" s="3"/>
      <c r="EEP12" s="3"/>
      <c r="EEQ12" s="3"/>
      <c r="EER12" s="3"/>
      <c r="EES12" s="3"/>
      <c r="EET12" s="3"/>
      <c r="EEU12" s="3"/>
      <c r="EEV12" s="3"/>
      <c r="EEW12" s="3"/>
      <c r="EEX12" s="3"/>
      <c r="EEY12" s="3"/>
      <c r="EEZ12" s="3"/>
      <c r="EFA12" s="3"/>
      <c r="EFB12" s="3"/>
      <c r="EFC12" s="3"/>
      <c r="EFD12" s="3"/>
      <c r="EFE12" s="3"/>
      <c r="EFF12" s="3"/>
      <c r="EFG12" s="3"/>
      <c r="EFH12" s="3"/>
      <c r="EFI12" s="3"/>
      <c r="EFJ12" s="3"/>
      <c r="EFK12" s="3"/>
      <c r="EFL12" s="3"/>
      <c r="EFM12" s="3"/>
      <c r="EFN12" s="3"/>
      <c r="EFO12" s="3"/>
      <c r="EFP12" s="3"/>
      <c r="EFQ12" s="3"/>
      <c r="EFR12" s="3"/>
      <c r="EFS12" s="3"/>
      <c r="EFT12" s="3"/>
      <c r="EFU12" s="3"/>
      <c r="EFV12" s="3"/>
      <c r="EFW12" s="3"/>
      <c r="EFX12" s="3"/>
      <c r="EFY12" s="3"/>
      <c r="EFZ12" s="3"/>
      <c r="EGA12" s="3"/>
      <c r="EGB12" s="3"/>
      <c r="EGC12" s="3"/>
      <c r="EGD12" s="3"/>
      <c r="EGE12" s="3"/>
      <c r="EGF12" s="3"/>
      <c r="EGG12" s="3"/>
      <c r="EGH12" s="3"/>
      <c r="EGI12" s="3"/>
      <c r="EGJ12" s="3"/>
      <c r="EGK12" s="3"/>
      <c r="EGL12" s="3"/>
      <c r="EGM12" s="3"/>
      <c r="EGN12" s="3"/>
      <c r="EGO12" s="3"/>
      <c r="EGP12" s="3"/>
      <c r="EGQ12" s="3"/>
      <c r="EGR12" s="3"/>
      <c r="EGS12" s="3"/>
      <c r="EGT12" s="3"/>
      <c r="EGU12" s="3"/>
      <c r="EGV12" s="3"/>
      <c r="EGW12" s="3"/>
      <c r="EGX12" s="3"/>
      <c r="EGY12" s="3"/>
      <c r="EGZ12" s="3"/>
      <c r="EHA12" s="3"/>
      <c r="EHB12" s="3"/>
      <c r="EHC12" s="3"/>
      <c r="EHD12" s="3"/>
      <c r="EHE12" s="3"/>
      <c r="EHF12" s="3"/>
      <c r="EHG12" s="3"/>
      <c r="EHH12" s="3"/>
      <c r="EHI12" s="3"/>
      <c r="EHJ12" s="3"/>
      <c r="EHK12" s="3"/>
      <c r="EHL12" s="3"/>
      <c r="EHM12" s="3"/>
      <c r="EHN12" s="3"/>
      <c r="EHO12" s="3"/>
      <c r="EHP12" s="3"/>
      <c r="EHQ12" s="3"/>
      <c r="EHR12" s="3"/>
      <c r="EHS12" s="3"/>
      <c r="EHT12" s="3"/>
      <c r="EHU12" s="3"/>
      <c r="EHV12" s="3"/>
      <c r="EHW12" s="3"/>
      <c r="EHX12" s="3"/>
      <c r="EHY12" s="3"/>
      <c r="EHZ12" s="3"/>
      <c r="EIA12" s="3"/>
      <c r="EIB12" s="3"/>
      <c r="EIC12" s="3"/>
      <c r="EID12" s="3"/>
      <c r="EIE12" s="3"/>
      <c r="EIF12" s="3"/>
      <c r="EIG12" s="3"/>
      <c r="EIH12" s="3"/>
      <c r="EII12" s="3"/>
      <c r="EIJ12" s="3"/>
      <c r="EIK12" s="3"/>
      <c r="EIL12" s="3"/>
      <c r="EIM12" s="3"/>
      <c r="EIN12" s="3"/>
      <c r="EIO12" s="3"/>
      <c r="EIP12" s="3"/>
      <c r="EIQ12" s="3"/>
      <c r="EIR12" s="3"/>
      <c r="EIS12" s="3"/>
      <c r="EIT12" s="3"/>
      <c r="EIU12" s="3"/>
      <c r="EIV12" s="3"/>
      <c r="EIW12" s="3"/>
      <c r="EIX12" s="3"/>
      <c r="EIY12" s="3"/>
      <c r="EIZ12" s="3"/>
      <c r="EJA12" s="3"/>
      <c r="EJB12" s="3"/>
      <c r="EJC12" s="3"/>
      <c r="EJD12" s="3"/>
      <c r="EJE12" s="3"/>
      <c r="EJF12" s="3"/>
      <c r="EJG12" s="3"/>
      <c r="EJH12" s="3"/>
      <c r="EJI12" s="3"/>
      <c r="EJJ12" s="3"/>
      <c r="EJK12" s="3"/>
      <c r="EJL12" s="3"/>
      <c r="EJM12" s="3"/>
      <c r="EJN12" s="3"/>
      <c r="EJO12" s="3"/>
      <c r="EJP12" s="3"/>
      <c r="EJQ12" s="3"/>
      <c r="EJR12" s="3"/>
      <c r="EJS12" s="3"/>
      <c r="EJT12" s="3"/>
      <c r="EJU12" s="3"/>
      <c r="EJV12" s="3"/>
      <c r="EJW12" s="3"/>
      <c r="EJX12" s="3"/>
      <c r="EJY12" s="3"/>
      <c r="EJZ12" s="3"/>
      <c r="EKA12" s="3"/>
      <c r="EKB12" s="3"/>
      <c r="EKC12" s="3"/>
      <c r="EKD12" s="3"/>
      <c r="EKE12" s="3"/>
      <c r="EKF12" s="3"/>
      <c r="EKG12" s="3"/>
      <c r="EKH12" s="3"/>
      <c r="EKI12" s="3"/>
      <c r="EKJ12" s="3"/>
      <c r="EKK12" s="3"/>
      <c r="EKL12" s="3"/>
      <c r="EKM12" s="3"/>
      <c r="EKN12" s="3"/>
      <c r="EKO12" s="3"/>
      <c r="EKP12" s="3"/>
      <c r="EKQ12" s="3"/>
      <c r="EKR12" s="3"/>
      <c r="EKS12" s="3"/>
      <c r="EKT12" s="3"/>
      <c r="EKU12" s="3"/>
      <c r="EKV12" s="3"/>
      <c r="EKW12" s="3"/>
      <c r="EKX12" s="3"/>
      <c r="EKY12" s="3"/>
      <c r="EKZ12" s="3"/>
      <c r="ELA12" s="3"/>
      <c r="ELB12" s="3"/>
      <c r="ELC12" s="3"/>
      <c r="ELD12" s="3"/>
      <c r="ELE12" s="3"/>
      <c r="ELF12" s="3"/>
      <c r="ELG12" s="3"/>
      <c r="ELH12" s="3"/>
      <c r="ELI12" s="3"/>
      <c r="ELJ12" s="3"/>
      <c r="ELK12" s="3"/>
      <c r="ELL12" s="3"/>
      <c r="ELM12" s="3"/>
      <c r="ELN12" s="3"/>
      <c r="ELO12" s="3"/>
      <c r="ELP12" s="3"/>
      <c r="ELQ12" s="3"/>
      <c r="ELR12" s="3"/>
      <c r="ELS12" s="3"/>
      <c r="ELT12" s="3"/>
      <c r="ELU12" s="3"/>
      <c r="ELV12" s="3"/>
      <c r="ELW12" s="3"/>
      <c r="ELX12" s="3"/>
      <c r="ELY12" s="3"/>
      <c r="ELZ12" s="3"/>
      <c r="EMA12" s="3"/>
      <c r="EMB12" s="3"/>
      <c r="EMC12" s="3"/>
      <c r="EMD12" s="3"/>
      <c r="EME12" s="3"/>
      <c r="EMF12" s="3"/>
      <c r="EMG12" s="3"/>
      <c r="EMH12" s="3"/>
      <c r="EMI12" s="3"/>
      <c r="EMJ12" s="3"/>
      <c r="EMK12" s="3"/>
      <c r="EML12" s="3"/>
      <c r="EMM12" s="3"/>
      <c r="EMN12" s="3"/>
      <c r="EMO12" s="3"/>
      <c r="EMP12" s="3"/>
      <c r="EMQ12" s="3"/>
      <c r="EMR12" s="3"/>
      <c r="EMS12" s="3"/>
      <c r="EMT12" s="3"/>
      <c r="EMU12" s="3"/>
      <c r="EMV12" s="3"/>
      <c r="EMW12" s="3"/>
      <c r="EMX12" s="3"/>
      <c r="EMY12" s="3"/>
      <c r="EMZ12" s="3"/>
      <c r="ENA12" s="3"/>
      <c r="ENB12" s="3"/>
      <c r="ENC12" s="3"/>
      <c r="END12" s="3"/>
      <c r="ENE12" s="3"/>
      <c r="ENF12" s="3"/>
      <c r="ENG12" s="3"/>
      <c r="ENH12" s="3"/>
      <c r="ENI12" s="3"/>
      <c r="ENJ12" s="3"/>
      <c r="ENK12" s="3"/>
      <c r="ENL12" s="3"/>
      <c r="ENM12" s="3"/>
      <c r="ENN12" s="3"/>
      <c r="ENO12" s="3"/>
      <c r="ENP12" s="3"/>
      <c r="ENQ12" s="3"/>
      <c r="ENR12" s="3"/>
      <c r="ENS12" s="3"/>
      <c r="ENT12" s="3"/>
      <c r="ENU12" s="3"/>
      <c r="ENV12" s="3"/>
      <c r="ENW12" s="3"/>
      <c r="ENX12" s="3"/>
      <c r="ENY12" s="3"/>
      <c r="ENZ12" s="3"/>
      <c r="EOA12" s="3"/>
      <c r="EOB12" s="3"/>
      <c r="EOC12" s="3"/>
      <c r="EOD12" s="3"/>
      <c r="EOE12" s="3"/>
      <c r="EOF12" s="3"/>
      <c r="EOG12" s="3"/>
      <c r="EOH12" s="3"/>
      <c r="EOI12" s="3"/>
      <c r="EOJ12" s="3"/>
      <c r="EOK12" s="3"/>
      <c r="EOL12" s="3"/>
      <c r="EOM12" s="3"/>
      <c r="EON12" s="3"/>
      <c r="EOO12" s="3"/>
      <c r="EOP12" s="3"/>
      <c r="EOQ12" s="3"/>
      <c r="EOR12" s="3"/>
      <c r="EOS12" s="3"/>
      <c r="EOT12" s="3"/>
      <c r="EOU12" s="3"/>
      <c r="EOV12" s="3"/>
      <c r="EOW12" s="3"/>
      <c r="EOX12" s="3"/>
      <c r="EOY12" s="3"/>
      <c r="EOZ12" s="3"/>
      <c r="EPA12" s="3"/>
      <c r="EPB12" s="3"/>
      <c r="EPC12" s="3"/>
      <c r="EPD12" s="3"/>
      <c r="EPE12" s="3"/>
      <c r="EPF12" s="3"/>
      <c r="EPG12" s="3"/>
      <c r="EPH12" s="3"/>
      <c r="EPI12" s="3"/>
      <c r="EPJ12" s="3"/>
      <c r="EPK12" s="3"/>
      <c r="EPL12" s="3"/>
      <c r="EPM12" s="3"/>
      <c r="EPN12" s="3"/>
      <c r="EPO12" s="3"/>
      <c r="EPP12" s="3"/>
      <c r="EPQ12" s="3"/>
      <c r="EPR12" s="3"/>
      <c r="EPS12" s="3"/>
      <c r="EPT12" s="3"/>
      <c r="EPU12" s="3"/>
      <c r="EPV12" s="3"/>
      <c r="EPW12" s="3"/>
      <c r="EPX12" s="3"/>
      <c r="EPY12" s="3"/>
      <c r="EPZ12" s="3"/>
      <c r="EQA12" s="3"/>
      <c r="EQB12" s="3"/>
      <c r="EQC12" s="3"/>
      <c r="EQD12" s="3"/>
      <c r="EQE12" s="3"/>
      <c r="EQF12" s="3"/>
      <c r="EQG12" s="3"/>
      <c r="EQH12" s="3"/>
      <c r="EQI12" s="3"/>
      <c r="EQJ12" s="3"/>
      <c r="EQK12" s="3"/>
      <c r="EQL12" s="3"/>
      <c r="EQM12" s="3"/>
      <c r="EQN12" s="3"/>
      <c r="EQO12" s="3"/>
      <c r="EQP12" s="3"/>
      <c r="EQQ12" s="3"/>
      <c r="EQR12" s="3"/>
      <c r="EQS12" s="3"/>
      <c r="EQT12" s="3"/>
      <c r="EQU12" s="3"/>
      <c r="EQV12" s="3"/>
      <c r="EQW12" s="3"/>
      <c r="EQX12" s="3"/>
      <c r="EQY12" s="3"/>
      <c r="EQZ12" s="3"/>
      <c r="ERA12" s="3"/>
      <c r="ERB12" s="3"/>
      <c r="ERC12" s="3"/>
      <c r="ERD12" s="3"/>
      <c r="ERE12" s="3"/>
      <c r="ERF12" s="3"/>
      <c r="ERG12" s="3"/>
      <c r="ERH12" s="3"/>
      <c r="ERI12" s="3"/>
      <c r="ERJ12" s="3"/>
      <c r="ERK12" s="3"/>
      <c r="ERL12" s="3"/>
      <c r="ERM12" s="3"/>
      <c r="ERN12" s="3"/>
      <c r="ERO12" s="3"/>
      <c r="ERP12" s="3"/>
      <c r="ERQ12" s="3"/>
      <c r="ERR12" s="3"/>
      <c r="ERS12" s="3"/>
      <c r="ERT12" s="3"/>
      <c r="ERU12" s="3"/>
      <c r="ERV12" s="3"/>
      <c r="ERW12" s="3"/>
      <c r="ERX12" s="3"/>
      <c r="ERY12" s="3"/>
      <c r="ERZ12" s="3"/>
      <c r="ESA12" s="3"/>
      <c r="ESB12" s="3"/>
      <c r="ESC12" s="3"/>
      <c r="ESD12" s="3"/>
      <c r="ESE12" s="3"/>
      <c r="ESF12" s="3"/>
      <c r="ESG12" s="3"/>
      <c r="ESH12" s="3"/>
      <c r="ESI12" s="3"/>
      <c r="ESJ12" s="3"/>
      <c r="ESK12" s="3"/>
      <c r="ESL12" s="3"/>
      <c r="ESM12" s="3"/>
      <c r="ESN12" s="3"/>
      <c r="ESO12" s="3"/>
      <c r="ESP12" s="3"/>
      <c r="ESQ12" s="3"/>
      <c r="ESR12" s="3"/>
      <c r="ESS12" s="3"/>
      <c r="EST12" s="3"/>
      <c r="ESU12" s="3"/>
      <c r="ESV12" s="3"/>
      <c r="ESW12" s="3"/>
      <c r="ESX12" s="3"/>
      <c r="ESY12" s="3"/>
      <c r="ESZ12" s="3"/>
      <c r="ETA12" s="3"/>
      <c r="ETB12" s="3"/>
      <c r="ETC12" s="3"/>
      <c r="ETD12" s="3"/>
      <c r="ETE12" s="3"/>
      <c r="ETF12" s="3"/>
      <c r="ETG12" s="3"/>
      <c r="ETH12" s="3"/>
      <c r="ETI12" s="3"/>
      <c r="ETJ12" s="3"/>
      <c r="ETK12" s="3"/>
      <c r="ETL12" s="3"/>
      <c r="ETM12" s="3"/>
      <c r="ETN12" s="3"/>
      <c r="ETO12" s="3"/>
      <c r="ETP12" s="3"/>
      <c r="ETQ12" s="3"/>
      <c r="ETR12" s="3"/>
      <c r="ETS12" s="3"/>
      <c r="ETT12" s="3"/>
      <c r="ETU12" s="3"/>
      <c r="ETV12" s="3"/>
      <c r="ETW12" s="3"/>
      <c r="ETX12" s="3"/>
      <c r="ETY12" s="3"/>
      <c r="ETZ12" s="3"/>
      <c r="EUA12" s="3"/>
      <c r="EUB12" s="3"/>
      <c r="EUC12" s="3"/>
      <c r="EUD12" s="3"/>
      <c r="EUE12" s="3"/>
      <c r="EUF12" s="3"/>
      <c r="EUG12" s="3"/>
      <c r="EUH12" s="3"/>
      <c r="EUI12" s="3"/>
      <c r="EUJ12" s="3"/>
      <c r="EUK12" s="3"/>
      <c r="EUL12" s="3"/>
      <c r="EUM12" s="3"/>
      <c r="EUN12" s="3"/>
      <c r="EUO12" s="3"/>
      <c r="EUP12" s="3"/>
      <c r="EUQ12" s="3"/>
      <c r="EUR12" s="3"/>
      <c r="EUS12" s="3"/>
      <c r="EUT12" s="3"/>
      <c r="EUU12" s="3"/>
      <c r="EUV12" s="3"/>
      <c r="EUW12" s="3"/>
      <c r="EUX12" s="3"/>
      <c r="EUY12" s="3"/>
      <c r="EUZ12" s="3"/>
      <c r="EVA12" s="3"/>
      <c r="EVB12" s="3"/>
      <c r="EVC12" s="3"/>
      <c r="EVD12" s="3"/>
      <c r="EVE12" s="3"/>
      <c r="EVF12" s="3"/>
      <c r="EVG12" s="3"/>
      <c r="EVH12" s="3"/>
      <c r="EVI12" s="3"/>
      <c r="EVJ12" s="3"/>
      <c r="EVK12" s="3"/>
      <c r="EVL12" s="3"/>
      <c r="EVM12" s="3"/>
      <c r="EVN12" s="3"/>
      <c r="EVO12" s="3"/>
      <c r="EVP12" s="3"/>
      <c r="EVQ12" s="3"/>
      <c r="EVR12" s="3"/>
      <c r="EVS12" s="3"/>
      <c r="EVT12" s="3"/>
      <c r="EVU12" s="3"/>
      <c r="EVV12" s="3"/>
      <c r="EVW12" s="3"/>
      <c r="EVX12" s="3"/>
      <c r="EVY12" s="3"/>
      <c r="EVZ12" s="3"/>
      <c r="EWA12" s="3"/>
      <c r="EWB12" s="3"/>
      <c r="EWC12" s="3"/>
      <c r="EWD12" s="3"/>
      <c r="EWE12" s="3"/>
      <c r="EWF12" s="3"/>
      <c r="EWG12" s="3"/>
      <c r="EWH12" s="3"/>
      <c r="EWI12" s="3"/>
      <c r="EWJ12" s="3"/>
      <c r="EWK12" s="3"/>
      <c r="EWL12" s="3"/>
      <c r="EWM12" s="3"/>
      <c r="EWN12" s="3"/>
      <c r="EWO12" s="3"/>
      <c r="EWP12" s="3"/>
      <c r="EWQ12" s="3"/>
      <c r="EWR12" s="3"/>
      <c r="EWS12" s="3"/>
      <c r="EWT12" s="3"/>
      <c r="EWU12" s="3"/>
      <c r="EWV12" s="3"/>
      <c r="EWW12" s="3"/>
      <c r="EWX12" s="3"/>
      <c r="EWY12" s="3"/>
      <c r="EWZ12" s="3"/>
      <c r="EXA12" s="3"/>
      <c r="EXB12" s="3"/>
      <c r="EXC12" s="3"/>
      <c r="EXD12" s="3"/>
      <c r="EXE12" s="3"/>
      <c r="EXF12" s="3"/>
      <c r="EXG12" s="3"/>
      <c r="EXH12" s="3"/>
      <c r="EXI12" s="3"/>
      <c r="EXJ12" s="3"/>
      <c r="EXK12" s="3"/>
      <c r="EXL12" s="3"/>
      <c r="EXM12" s="3"/>
      <c r="EXN12" s="3"/>
      <c r="EXO12" s="3"/>
      <c r="EXP12" s="3"/>
      <c r="EXQ12" s="3"/>
      <c r="EXR12" s="3"/>
      <c r="EXS12" s="3"/>
      <c r="EXT12" s="3"/>
      <c r="EXU12" s="3"/>
      <c r="EXV12" s="3"/>
      <c r="EXW12" s="3"/>
      <c r="EXX12" s="3"/>
      <c r="EXY12" s="3"/>
      <c r="EXZ12" s="3"/>
      <c r="EYA12" s="3"/>
      <c r="EYB12" s="3"/>
      <c r="EYC12" s="3"/>
      <c r="EYD12" s="3"/>
      <c r="EYE12" s="3"/>
      <c r="EYF12" s="3"/>
      <c r="EYG12" s="3"/>
      <c r="EYH12" s="3"/>
      <c r="EYI12" s="3"/>
      <c r="EYJ12" s="3"/>
      <c r="EYK12" s="3"/>
      <c r="EYL12" s="3"/>
      <c r="EYM12" s="3"/>
      <c r="EYN12" s="3"/>
      <c r="EYO12" s="3"/>
      <c r="EYP12" s="3"/>
      <c r="EYQ12" s="3"/>
      <c r="EYR12" s="3"/>
      <c r="EYS12" s="3"/>
      <c r="EYT12" s="3"/>
      <c r="EYU12" s="3"/>
      <c r="EYV12" s="3"/>
      <c r="EYW12" s="3"/>
      <c r="EYX12" s="3"/>
      <c r="EYY12" s="3"/>
      <c r="EYZ12" s="3"/>
      <c r="EZA12" s="3"/>
      <c r="EZB12" s="3"/>
      <c r="EZC12" s="3"/>
      <c r="EZD12" s="3"/>
      <c r="EZE12" s="3"/>
      <c r="EZF12" s="3"/>
      <c r="EZG12" s="3"/>
      <c r="EZH12" s="3"/>
      <c r="EZI12" s="3"/>
      <c r="EZJ12" s="3"/>
      <c r="EZK12" s="3"/>
      <c r="EZL12" s="3"/>
      <c r="EZM12" s="3"/>
      <c r="EZN12" s="3"/>
      <c r="EZO12" s="3"/>
      <c r="EZP12" s="3"/>
      <c r="EZQ12" s="3"/>
      <c r="EZR12" s="3"/>
      <c r="EZS12" s="3"/>
      <c r="EZT12" s="3"/>
      <c r="EZU12" s="3"/>
      <c r="EZV12" s="3"/>
      <c r="EZW12" s="3"/>
      <c r="EZX12" s="3"/>
      <c r="EZY12" s="3"/>
      <c r="EZZ12" s="3"/>
      <c r="FAA12" s="3"/>
      <c r="FAB12" s="3"/>
      <c r="FAC12" s="3"/>
      <c r="FAD12" s="3"/>
      <c r="FAE12" s="3"/>
      <c r="FAF12" s="3"/>
      <c r="FAG12" s="3"/>
      <c r="FAH12" s="3"/>
      <c r="FAI12" s="3"/>
      <c r="FAJ12" s="3"/>
      <c r="FAK12" s="3"/>
      <c r="FAL12" s="3"/>
      <c r="FAM12" s="3"/>
      <c r="FAN12" s="3"/>
      <c r="FAO12" s="3"/>
      <c r="FAP12" s="3"/>
      <c r="FAQ12" s="3"/>
      <c r="FAR12" s="3"/>
      <c r="FAS12" s="3"/>
      <c r="FAT12" s="3"/>
      <c r="FAU12" s="3"/>
      <c r="FAV12" s="3"/>
      <c r="FAW12" s="3"/>
      <c r="FAX12" s="3"/>
      <c r="FAY12" s="3"/>
      <c r="FAZ12" s="3"/>
      <c r="FBA12" s="3"/>
      <c r="FBB12" s="3"/>
      <c r="FBC12" s="3"/>
      <c r="FBD12" s="3"/>
      <c r="FBE12" s="3"/>
      <c r="FBF12" s="3"/>
      <c r="FBG12" s="3"/>
      <c r="FBH12" s="3"/>
      <c r="FBI12" s="3"/>
      <c r="FBJ12" s="3"/>
      <c r="FBK12" s="3"/>
      <c r="FBL12" s="3"/>
      <c r="FBM12" s="3"/>
      <c r="FBN12" s="3"/>
      <c r="FBO12" s="3"/>
      <c r="FBP12" s="3"/>
      <c r="FBQ12" s="3"/>
      <c r="FBR12" s="3"/>
      <c r="FBS12" s="3"/>
      <c r="FBT12" s="3"/>
      <c r="FBU12" s="3"/>
      <c r="FBV12" s="3"/>
      <c r="FBW12" s="3"/>
      <c r="FBX12" s="3"/>
      <c r="FBY12" s="3"/>
      <c r="FBZ12" s="3"/>
      <c r="FCA12" s="3"/>
      <c r="FCB12" s="3"/>
      <c r="FCC12" s="3"/>
      <c r="FCD12" s="3"/>
      <c r="FCE12" s="3"/>
      <c r="FCF12" s="3"/>
      <c r="FCG12" s="3"/>
      <c r="FCH12" s="3"/>
      <c r="FCI12" s="3"/>
      <c r="FCJ12" s="3"/>
      <c r="FCK12" s="3"/>
      <c r="FCL12" s="3"/>
      <c r="FCM12" s="3"/>
      <c r="FCN12" s="3"/>
      <c r="FCO12" s="3"/>
      <c r="FCP12" s="3"/>
      <c r="FCQ12" s="3"/>
      <c r="FCR12" s="3"/>
      <c r="FCS12" s="3"/>
      <c r="FCT12" s="3"/>
      <c r="FCU12" s="3"/>
      <c r="FCV12" s="3"/>
      <c r="FCW12" s="3"/>
      <c r="FCX12" s="3"/>
      <c r="FCY12" s="3"/>
      <c r="FCZ12" s="3"/>
      <c r="FDA12" s="3"/>
      <c r="FDB12" s="3"/>
      <c r="FDC12" s="3"/>
      <c r="FDD12" s="3"/>
      <c r="FDE12" s="3"/>
      <c r="FDF12" s="3"/>
      <c r="FDG12" s="3"/>
      <c r="FDH12" s="3"/>
      <c r="FDI12" s="3"/>
      <c r="FDJ12" s="3"/>
      <c r="FDK12" s="3"/>
      <c r="FDL12" s="3"/>
      <c r="FDM12" s="3"/>
      <c r="FDN12" s="3"/>
      <c r="FDO12" s="3"/>
      <c r="FDP12" s="3"/>
      <c r="FDQ12" s="3"/>
      <c r="FDR12" s="3"/>
      <c r="FDS12" s="3"/>
      <c r="FDT12" s="3"/>
      <c r="FDU12" s="3"/>
      <c r="FDV12" s="3"/>
      <c r="FDW12" s="3"/>
      <c r="FDX12" s="3"/>
      <c r="FDY12" s="3"/>
      <c r="FDZ12" s="3"/>
      <c r="FEA12" s="3"/>
      <c r="FEB12" s="3"/>
      <c r="FEC12" s="3"/>
      <c r="FED12" s="3"/>
      <c r="FEE12" s="3"/>
      <c r="FEF12" s="3"/>
      <c r="FEG12" s="3"/>
      <c r="FEH12" s="3"/>
      <c r="FEI12" s="3"/>
      <c r="FEJ12" s="3"/>
      <c r="FEK12" s="3"/>
      <c r="FEL12" s="3"/>
      <c r="FEM12" s="3"/>
      <c r="FEN12" s="3"/>
      <c r="FEO12" s="3"/>
      <c r="FEP12" s="3"/>
      <c r="FEQ12" s="3"/>
      <c r="FER12" s="3"/>
      <c r="FES12" s="3"/>
      <c r="FET12" s="3"/>
      <c r="FEU12" s="3"/>
      <c r="FEV12" s="3"/>
      <c r="FEW12" s="3"/>
      <c r="FEX12" s="3"/>
      <c r="FEY12" s="3"/>
      <c r="FEZ12" s="3"/>
      <c r="FFA12" s="3"/>
      <c r="FFB12" s="3"/>
      <c r="FFC12" s="3"/>
      <c r="FFD12" s="3"/>
      <c r="FFE12" s="3"/>
      <c r="FFF12" s="3"/>
      <c r="FFG12" s="3"/>
      <c r="FFH12" s="3"/>
      <c r="FFI12" s="3"/>
      <c r="FFJ12" s="3"/>
      <c r="FFK12" s="3"/>
      <c r="FFL12" s="3"/>
      <c r="FFM12" s="3"/>
      <c r="FFN12" s="3"/>
      <c r="FFO12" s="3"/>
      <c r="FFP12" s="3"/>
      <c r="FFQ12" s="3"/>
      <c r="FFR12" s="3"/>
      <c r="FFS12" s="3"/>
      <c r="FFT12" s="3"/>
      <c r="FFU12" s="3"/>
      <c r="FFV12" s="3"/>
      <c r="FFW12" s="3"/>
      <c r="FFX12" s="3"/>
      <c r="FFY12" s="3"/>
      <c r="FFZ12" s="3"/>
      <c r="FGA12" s="3"/>
      <c r="FGB12" s="3"/>
      <c r="FGC12" s="3"/>
      <c r="FGD12" s="3"/>
      <c r="FGE12" s="3"/>
      <c r="FGF12" s="3"/>
      <c r="FGG12" s="3"/>
      <c r="FGH12" s="3"/>
      <c r="FGI12" s="3"/>
      <c r="FGJ12" s="3"/>
      <c r="FGK12" s="3"/>
      <c r="FGL12" s="3"/>
      <c r="FGM12" s="3"/>
      <c r="FGN12" s="3"/>
      <c r="FGO12" s="3"/>
      <c r="FGP12" s="3"/>
      <c r="FGQ12" s="3"/>
      <c r="FGR12" s="3"/>
      <c r="FGS12" s="3"/>
      <c r="FGT12" s="3"/>
      <c r="FGU12" s="3"/>
      <c r="FGV12" s="3"/>
      <c r="FGW12" s="3"/>
      <c r="FGX12" s="3"/>
      <c r="FGY12" s="3"/>
      <c r="FGZ12" s="3"/>
      <c r="FHA12" s="3"/>
      <c r="FHB12" s="3"/>
      <c r="FHC12" s="3"/>
      <c r="FHD12" s="3"/>
      <c r="FHE12" s="3"/>
      <c r="FHF12" s="3"/>
      <c r="FHG12" s="3"/>
      <c r="FHH12" s="3"/>
      <c r="FHI12" s="3"/>
      <c r="FHJ12" s="3"/>
      <c r="FHK12" s="3"/>
      <c r="FHL12" s="3"/>
      <c r="FHM12" s="3"/>
      <c r="FHN12" s="3"/>
      <c r="FHO12" s="3"/>
      <c r="FHP12" s="3"/>
      <c r="FHQ12" s="3"/>
      <c r="FHR12" s="3"/>
      <c r="FHS12" s="3"/>
      <c r="FHT12" s="3"/>
      <c r="FHU12" s="3"/>
      <c r="FHV12" s="3"/>
      <c r="FHW12" s="3"/>
      <c r="FHX12" s="3"/>
      <c r="FHY12" s="3"/>
      <c r="FHZ12" s="3"/>
      <c r="FIA12" s="3"/>
      <c r="FIB12" s="3"/>
      <c r="FIC12" s="3"/>
      <c r="FID12" s="3"/>
      <c r="FIE12" s="3"/>
      <c r="FIF12" s="3"/>
      <c r="FIG12" s="3"/>
      <c r="FIH12" s="3"/>
      <c r="FII12" s="3"/>
      <c r="FIJ12" s="3"/>
      <c r="FIK12" s="3"/>
      <c r="FIL12" s="3"/>
      <c r="FIM12" s="3"/>
      <c r="FIN12" s="3"/>
      <c r="FIO12" s="3"/>
      <c r="FIP12" s="3"/>
      <c r="FIQ12" s="3"/>
      <c r="FIR12" s="3"/>
      <c r="FIS12" s="3"/>
      <c r="FIT12" s="3"/>
      <c r="FIU12" s="3"/>
      <c r="FIV12" s="3"/>
      <c r="FIW12" s="3"/>
      <c r="FIX12" s="3"/>
      <c r="FIY12" s="3"/>
      <c r="FIZ12" s="3"/>
      <c r="FJA12" s="3"/>
      <c r="FJB12" s="3"/>
      <c r="FJC12" s="3"/>
      <c r="FJD12" s="3"/>
      <c r="FJE12" s="3"/>
      <c r="FJF12" s="3"/>
      <c r="FJG12" s="3"/>
      <c r="FJH12" s="3"/>
      <c r="FJI12" s="3"/>
      <c r="FJJ12" s="3"/>
      <c r="FJK12" s="3"/>
      <c r="FJL12" s="3"/>
      <c r="FJM12" s="3"/>
      <c r="FJN12" s="3"/>
      <c r="FJO12" s="3"/>
      <c r="FJP12" s="3"/>
      <c r="FJQ12" s="3"/>
      <c r="FJR12" s="3"/>
      <c r="FJS12" s="3"/>
      <c r="FJT12" s="3"/>
      <c r="FJU12" s="3"/>
      <c r="FJV12" s="3"/>
      <c r="FJW12" s="3"/>
      <c r="FJX12" s="3"/>
      <c r="FJY12" s="3"/>
      <c r="FJZ12" s="3"/>
      <c r="FKA12" s="3"/>
      <c r="FKB12" s="3"/>
      <c r="FKC12" s="3"/>
      <c r="FKD12" s="3"/>
      <c r="FKE12" s="3"/>
      <c r="FKF12" s="3"/>
      <c r="FKG12" s="3"/>
      <c r="FKH12" s="3"/>
      <c r="FKI12" s="3"/>
      <c r="FKJ12" s="3"/>
      <c r="FKK12" s="3"/>
      <c r="FKL12" s="3"/>
      <c r="FKM12" s="3"/>
      <c r="FKN12" s="3"/>
      <c r="FKO12" s="3"/>
      <c r="FKP12" s="3"/>
      <c r="FKQ12" s="3"/>
      <c r="FKR12" s="3"/>
      <c r="FKS12" s="3"/>
      <c r="FKT12" s="3"/>
      <c r="FKU12" s="3"/>
      <c r="FKV12" s="3"/>
      <c r="FKW12" s="3"/>
      <c r="FKX12" s="3"/>
      <c r="FKY12" s="3"/>
      <c r="FKZ12" s="3"/>
      <c r="FLA12" s="3"/>
      <c r="FLB12" s="3"/>
      <c r="FLC12" s="3"/>
      <c r="FLD12" s="3"/>
      <c r="FLE12" s="3"/>
      <c r="FLF12" s="3"/>
      <c r="FLG12" s="3"/>
      <c r="FLH12" s="3"/>
      <c r="FLI12" s="3"/>
      <c r="FLJ12" s="3"/>
      <c r="FLK12" s="3"/>
      <c r="FLL12" s="3"/>
      <c r="FLM12" s="3"/>
      <c r="FLN12" s="3"/>
      <c r="FLO12" s="3"/>
      <c r="FLP12" s="3"/>
      <c r="FLQ12" s="3"/>
      <c r="FLR12" s="3"/>
      <c r="FLS12" s="3"/>
      <c r="FLT12" s="3"/>
      <c r="FLU12" s="3"/>
      <c r="FLV12" s="3"/>
      <c r="FLW12" s="3"/>
      <c r="FLX12" s="3"/>
      <c r="FLY12" s="3"/>
      <c r="FLZ12" s="3"/>
      <c r="FMA12" s="3"/>
      <c r="FMB12" s="3"/>
      <c r="FMC12" s="3"/>
      <c r="FMD12" s="3"/>
      <c r="FME12" s="3"/>
      <c r="FMF12" s="3"/>
      <c r="FMG12" s="3"/>
      <c r="FMH12" s="3"/>
      <c r="FMI12" s="3"/>
      <c r="FMJ12" s="3"/>
      <c r="FMK12" s="3"/>
      <c r="FML12" s="3"/>
      <c r="FMM12" s="3"/>
      <c r="FMN12" s="3"/>
      <c r="FMO12" s="3"/>
      <c r="FMP12" s="3"/>
      <c r="FMQ12" s="3"/>
      <c r="FMR12" s="3"/>
      <c r="FMS12" s="3"/>
      <c r="FMT12" s="3"/>
      <c r="FMU12" s="3"/>
      <c r="FMV12" s="3"/>
      <c r="FMW12" s="3"/>
      <c r="FMX12" s="3"/>
      <c r="FMY12" s="3"/>
      <c r="FMZ12" s="3"/>
      <c r="FNA12" s="3"/>
      <c r="FNB12" s="3"/>
      <c r="FNC12" s="3"/>
      <c r="FND12" s="3"/>
      <c r="FNE12" s="3"/>
      <c r="FNF12" s="3"/>
      <c r="FNG12" s="3"/>
      <c r="FNH12" s="3"/>
      <c r="FNI12" s="3"/>
      <c r="FNJ12" s="3"/>
      <c r="FNK12" s="3"/>
      <c r="FNL12" s="3"/>
      <c r="FNM12" s="3"/>
      <c r="FNN12" s="3"/>
      <c r="FNO12" s="3"/>
      <c r="FNP12" s="3"/>
      <c r="FNQ12" s="3"/>
      <c r="FNR12" s="3"/>
      <c r="FNS12" s="3"/>
      <c r="FNT12" s="3"/>
      <c r="FNU12" s="3"/>
      <c r="FNV12" s="3"/>
      <c r="FNW12" s="3"/>
      <c r="FNX12" s="3"/>
      <c r="FNY12" s="3"/>
      <c r="FNZ12" s="3"/>
      <c r="FOA12" s="3"/>
      <c r="FOB12" s="3"/>
      <c r="FOC12" s="3"/>
      <c r="FOD12" s="3"/>
      <c r="FOE12" s="3"/>
      <c r="FOF12" s="3"/>
      <c r="FOG12" s="3"/>
      <c r="FOH12" s="3"/>
      <c r="FOI12" s="3"/>
      <c r="FOJ12" s="3"/>
      <c r="FOK12" s="3"/>
      <c r="FOL12" s="3"/>
      <c r="FOM12" s="3"/>
      <c r="FON12" s="3"/>
      <c r="FOO12" s="3"/>
      <c r="FOP12" s="3"/>
      <c r="FOQ12" s="3"/>
      <c r="FOR12" s="3"/>
      <c r="FOS12" s="3"/>
      <c r="FOT12" s="3"/>
      <c r="FOU12" s="3"/>
      <c r="FOV12" s="3"/>
      <c r="FOW12" s="3"/>
      <c r="FOX12" s="3"/>
      <c r="FOY12" s="3"/>
      <c r="FOZ12" s="3"/>
      <c r="FPA12" s="3"/>
      <c r="FPB12" s="3"/>
      <c r="FPC12" s="3"/>
      <c r="FPD12" s="3"/>
      <c r="FPE12" s="3"/>
      <c r="FPF12" s="3"/>
      <c r="FPG12" s="3"/>
      <c r="FPH12" s="3"/>
      <c r="FPI12" s="3"/>
      <c r="FPJ12" s="3"/>
      <c r="FPK12" s="3"/>
      <c r="FPL12" s="3"/>
      <c r="FPM12" s="3"/>
      <c r="FPN12" s="3"/>
      <c r="FPO12" s="3"/>
      <c r="FPP12" s="3"/>
      <c r="FPQ12" s="3"/>
      <c r="FPR12" s="3"/>
      <c r="FPS12" s="3"/>
      <c r="FPT12" s="3"/>
      <c r="FPU12" s="3"/>
      <c r="FPV12" s="3"/>
      <c r="FPW12" s="3"/>
      <c r="FPX12" s="3"/>
      <c r="FPY12" s="3"/>
      <c r="FPZ12" s="3"/>
      <c r="FQA12" s="3"/>
      <c r="FQB12" s="3"/>
      <c r="FQC12" s="3"/>
      <c r="FQD12" s="3"/>
      <c r="FQE12" s="3"/>
      <c r="FQF12" s="3"/>
      <c r="FQG12" s="3"/>
      <c r="FQH12" s="3"/>
      <c r="FQI12" s="3"/>
      <c r="FQJ12" s="3"/>
      <c r="FQK12" s="3"/>
      <c r="FQL12" s="3"/>
      <c r="FQM12" s="3"/>
      <c r="FQN12" s="3"/>
      <c r="FQO12" s="3"/>
      <c r="FQP12" s="3"/>
      <c r="FQQ12" s="3"/>
      <c r="FQR12" s="3"/>
      <c r="FQS12" s="3"/>
      <c r="FQT12" s="3"/>
      <c r="FQU12" s="3"/>
      <c r="FQV12" s="3"/>
      <c r="FQW12" s="3"/>
      <c r="FQX12" s="3"/>
      <c r="FQY12" s="3"/>
      <c r="FQZ12" s="3"/>
      <c r="FRA12" s="3"/>
      <c r="FRB12" s="3"/>
      <c r="FRC12" s="3"/>
      <c r="FRD12" s="3"/>
      <c r="FRE12" s="3"/>
      <c r="FRF12" s="3"/>
      <c r="FRG12" s="3"/>
      <c r="FRH12" s="3"/>
      <c r="FRI12" s="3"/>
      <c r="FRJ12" s="3"/>
      <c r="FRK12" s="3"/>
      <c r="FRL12" s="3"/>
      <c r="FRM12" s="3"/>
      <c r="FRN12" s="3"/>
      <c r="FRO12" s="3"/>
      <c r="FRP12" s="3"/>
      <c r="FRQ12" s="3"/>
      <c r="FRR12" s="3"/>
      <c r="FRS12" s="3"/>
      <c r="FRT12" s="3"/>
      <c r="FRU12" s="3"/>
      <c r="FRV12" s="3"/>
      <c r="FRW12" s="3"/>
      <c r="FRX12" s="3"/>
      <c r="FRY12" s="3"/>
      <c r="FRZ12" s="3"/>
      <c r="FSA12" s="3"/>
      <c r="FSB12" s="3"/>
      <c r="FSC12" s="3"/>
      <c r="FSD12" s="3"/>
      <c r="FSE12" s="3"/>
      <c r="FSF12" s="3"/>
      <c r="FSG12" s="3"/>
      <c r="FSH12" s="3"/>
      <c r="FSI12" s="3"/>
      <c r="FSJ12" s="3"/>
      <c r="FSK12" s="3"/>
      <c r="FSL12" s="3"/>
      <c r="FSM12" s="3"/>
      <c r="FSN12" s="3"/>
      <c r="FSO12" s="3"/>
      <c r="FSP12" s="3"/>
      <c r="FSQ12" s="3"/>
      <c r="FSR12" s="3"/>
      <c r="FSS12" s="3"/>
      <c r="FST12" s="3"/>
      <c r="FSU12" s="3"/>
      <c r="FSV12" s="3"/>
      <c r="FSW12" s="3"/>
      <c r="FSX12" s="3"/>
      <c r="FSY12" s="3"/>
      <c r="FSZ12" s="3"/>
      <c r="FTA12" s="3"/>
      <c r="FTB12" s="3"/>
      <c r="FTC12" s="3"/>
      <c r="FTD12" s="3"/>
      <c r="FTE12" s="3"/>
      <c r="FTF12" s="3"/>
      <c r="FTG12" s="3"/>
      <c r="FTH12" s="3"/>
      <c r="FTI12" s="3"/>
      <c r="FTJ12" s="3"/>
      <c r="FTK12" s="3"/>
      <c r="FTL12" s="3"/>
      <c r="FTM12" s="3"/>
      <c r="FTN12" s="3"/>
      <c r="FTO12" s="3"/>
      <c r="FTP12" s="3"/>
      <c r="FTQ12" s="3"/>
      <c r="FTR12" s="3"/>
      <c r="FTS12" s="3"/>
      <c r="FTT12" s="3"/>
      <c r="FTU12" s="3"/>
      <c r="FTV12" s="3"/>
      <c r="FTW12" s="3"/>
      <c r="FTX12" s="3"/>
      <c r="FTY12" s="3"/>
      <c r="FTZ12" s="3"/>
      <c r="FUA12" s="3"/>
      <c r="FUB12" s="3"/>
      <c r="FUC12" s="3"/>
      <c r="FUD12" s="3"/>
      <c r="FUE12" s="3"/>
      <c r="FUF12" s="3"/>
      <c r="FUG12" s="3"/>
      <c r="FUH12" s="3"/>
      <c r="FUI12" s="3"/>
      <c r="FUJ12" s="3"/>
      <c r="FUK12" s="3"/>
      <c r="FUL12" s="3"/>
      <c r="FUM12" s="3"/>
      <c r="FUN12" s="3"/>
      <c r="FUO12" s="3"/>
      <c r="FUP12" s="3"/>
      <c r="FUQ12" s="3"/>
      <c r="FUR12" s="3"/>
      <c r="FUS12" s="3"/>
      <c r="FUT12" s="3"/>
      <c r="FUU12" s="3"/>
      <c r="FUV12" s="3"/>
      <c r="FUW12" s="3"/>
      <c r="FUX12" s="3"/>
      <c r="FUY12" s="3"/>
      <c r="FUZ12" s="3"/>
      <c r="FVA12" s="3"/>
      <c r="FVB12" s="3"/>
      <c r="FVC12" s="3"/>
      <c r="FVD12" s="3"/>
      <c r="FVE12" s="3"/>
      <c r="FVF12" s="3"/>
      <c r="FVG12" s="3"/>
      <c r="FVH12" s="3"/>
      <c r="FVI12" s="3"/>
      <c r="FVJ12" s="3"/>
      <c r="FVK12" s="3"/>
      <c r="FVL12" s="3"/>
      <c r="FVM12" s="3"/>
      <c r="FVN12" s="3"/>
      <c r="FVO12" s="3"/>
      <c r="FVP12" s="3"/>
      <c r="FVQ12" s="3"/>
      <c r="FVR12" s="3"/>
      <c r="FVS12" s="3"/>
      <c r="FVT12" s="3"/>
      <c r="FVU12" s="3"/>
      <c r="FVV12" s="3"/>
      <c r="FVW12" s="3"/>
      <c r="FVX12" s="3"/>
      <c r="FVY12" s="3"/>
      <c r="FVZ12" s="3"/>
      <c r="FWA12" s="3"/>
      <c r="FWB12" s="3"/>
      <c r="FWC12" s="3"/>
      <c r="FWD12" s="3"/>
      <c r="FWE12" s="3"/>
      <c r="FWF12" s="3"/>
      <c r="FWG12" s="3"/>
      <c r="FWH12" s="3"/>
      <c r="FWI12" s="3"/>
      <c r="FWJ12" s="3"/>
      <c r="FWK12" s="3"/>
      <c r="FWL12" s="3"/>
      <c r="FWM12" s="3"/>
      <c r="FWN12" s="3"/>
      <c r="FWO12" s="3"/>
      <c r="FWP12" s="3"/>
      <c r="FWQ12" s="3"/>
      <c r="FWR12" s="3"/>
      <c r="FWS12" s="3"/>
      <c r="FWT12" s="3"/>
      <c r="FWU12" s="3"/>
      <c r="FWV12" s="3"/>
      <c r="FWW12" s="3"/>
      <c r="FWX12" s="3"/>
      <c r="FWY12" s="3"/>
      <c r="FWZ12" s="3"/>
      <c r="FXA12" s="3"/>
      <c r="FXB12" s="3"/>
      <c r="FXC12" s="3"/>
      <c r="FXD12" s="3"/>
      <c r="FXE12" s="3"/>
      <c r="FXF12" s="3"/>
      <c r="FXG12" s="3"/>
      <c r="FXH12" s="3"/>
      <c r="FXI12" s="3"/>
      <c r="FXJ12" s="3"/>
      <c r="FXK12" s="3"/>
      <c r="FXL12" s="3"/>
      <c r="FXM12" s="3"/>
      <c r="FXN12" s="3"/>
      <c r="FXO12" s="3"/>
      <c r="FXP12" s="3"/>
      <c r="FXQ12" s="3"/>
      <c r="FXR12" s="3"/>
      <c r="FXS12" s="3"/>
      <c r="FXT12" s="3"/>
      <c r="FXU12" s="3"/>
      <c r="FXV12" s="3"/>
      <c r="FXW12" s="3"/>
      <c r="FXX12" s="3"/>
      <c r="FXY12" s="3"/>
      <c r="FXZ12" s="3"/>
      <c r="FYA12" s="3"/>
      <c r="FYB12" s="3"/>
      <c r="FYC12" s="3"/>
      <c r="FYD12" s="3"/>
      <c r="FYE12" s="3"/>
      <c r="FYF12" s="3"/>
      <c r="FYG12" s="3"/>
      <c r="FYH12" s="3"/>
      <c r="FYI12" s="3"/>
      <c r="FYJ12" s="3"/>
      <c r="FYK12" s="3"/>
      <c r="FYL12" s="3"/>
      <c r="FYM12" s="3"/>
      <c r="FYN12" s="3"/>
      <c r="FYO12" s="3"/>
      <c r="FYP12" s="3"/>
      <c r="FYQ12" s="3"/>
      <c r="FYR12" s="3"/>
      <c r="FYS12" s="3"/>
      <c r="FYT12" s="3"/>
      <c r="FYU12" s="3"/>
      <c r="FYV12" s="3"/>
      <c r="FYW12" s="3"/>
      <c r="FYX12" s="3"/>
      <c r="FYY12" s="3"/>
      <c r="FYZ12" s="3"/>
      <c r="FZA12" s="3"/>
      <c r="FZB12" s="3"/>
      <c r="FZC12" s="3"/>
      <c r="FZD12" s="3"/>
      <c r="FZE12" s="3"/>
      <c r="FZF12" s="3"/>
      <c r="FZG12" s="3"/>
      <c r="FZH12" s="3"/>
      <c r="FZI12" s="3"/>
      <c r="FZJ12" s="3"/>
      <c r="FZK12" s="3"/>
      <c r="FZL12" s="3"/>
      <c r="FZM12" s="3"/>
      <c r="FZN12" s="3"/>
      <c r="FZO12" s="3"/>
      <c r="FZP12" s="3"/>
      <c r="FZQ12" s="3"/>
      <c r="FZR12" s="3"/>
      <c r="FZS12" s="3"/>
      <c r="FZT12" s="3"/>
      <c r="FZU12" s="3"/>
      <c r="FZV12" s="3"/>
      <c r="FZW12" s="3"/>
      <c r="FZX12" s="3"/>
      <c r="FZY12" s="3"/>
      <c r="FZZ12" s="3"/>
      <c r="GAA12" s="3"/>
      <c r="GAB12" s="3"/>
      <c r="GAC12" s="3"/>
      <c r="GAD12" s="3"/>
      <c r="GAE12" s="3"/>
      <c r="GAF12" s="3"/>
      <c r="GAG12" s="3"/>
      <c r="GAH12" s="3"/>
      <c r="GAI12" s="3"/>
      <c r="GAJ12" s="3"/>
      <c r="GAK12" s="3"/>
      <c r="GAL12" s="3"/>
      <c r="GAM12" s="3"/>
      <c r="GAN12" s="3"/>
      <c r="GAO12" s="3"/>
      <c r="GAP12" s="3"/>
      <c r="GAQ12" s="3"/>
      <c r="GAR12" s="3"/>
      <c r="GAS12" s="3"/>
      <c r="GAT12" s="3"/>
      <c r="GAU12" s="3"/>
      <c r="GAV12" s="3"/>
      <c r="GAW12" s="3"/>
      <c r="GAX12" s="3"/>
      <c r="GAY12" s="3"/>
      <c r="GAZ12" s="3"/>
      <c r="GBA12" s="3"/>
      <c r="GBB12" s="3"/>
      <c r="GBC12" s="3"/>
      <c r="GBD12" s="3"/>
      <c r="GBE12" s="3"/>
      <c r="GBF12" s="3"/>
      <c r="GBG12" s="3"/>
      <c r="GBH12" s="3"/>
      <c r="GBI12" s="3"/>
      <c r="GBJ12" s="3"/>
      <c r="GBK12" s="3"/>
      <c r="GBL12" s="3"/>
      <c r="GBM12" s="3"/>
      <c r="GBN12" s="3"/>
      <c r="GBO12" s="3"/>
      <c r="GBP12" s="3"/>
      <c r="GBQ12" s="3"/>
      <c r="GBR12" s="3"/>
      <c r="GBS12" s="3"/>
      <c r="GBT12" s="3"/>
      <c r="GBU12" s="3"/>
      <c r="GBV12" s="3"/>
      <c r="GBW12" s="3"/>
      <c r="GBX12" s="3"/>
      <c r="GBY12" s="3"/>
      <c r="GBZ12" s="3"/>
      <c r="GCA12" s="3"/>
      <c r="GCB12" s="3"/>
      <c r="GCC12" s="3"/>
      <c r="GCD12" s="3"/>
      <c r="GCE12" s="3"/>
      <c r="GCF12" s="3"/>
      <c r="GCG12" s="3"/>
      <c r="GCH12" s="3"/>
      <c r="GCI12" s="3"/>
      <c r="GCJ12" s="3"/>
      <c r="GCK12" s="3"/>
      <c r="GCL12" s="3"/>
      <c r="GCM12" s="3"/>
      <c r="GCN12" s="3"/>
      <c r="GCO12" s="3"/>
      <c r="GCP12" s="3"/>
      <c r="GCQ12" s="3"/>
      <c r="GCR12" s="3"/>
      <c r="GCS12" s="3"/>
      <c r="GCT12" s="3"/>
      <c r="GCU12" s="3"/>
      <c r="GCV12" s="3"/>
      <c r="GCW12" s="3"/>
      <c r="GCX12" s="3"/>
      <c r="GCY12" s="3"/>
      <c r="GCZ12" s="3"/>
      <c r="GDA12" s="3"/>
      <c r="GDB12" s="3"/>
      <c r="GDC12" s="3"/>
      <c r="GDD12" s="3"/>
      <c r="GDE12" s="3"/>
      <c r="GDF12" s="3"/>
      <c r="GDG12" s="3"/>
      <c r="GDH12" s="3"/>
      <c r="GDI12" s="3"/>
      <c r="GDJ12" s="3"/>
      <c r="GDK12" s="3"/>
      <c r="GDL12" s="3"/>
      <c r="GDM12" s="3"/>
      <c r="GDN12" s="3"/>
      <c r="GDO12" s="3"/>
      <c r="GDP12" s="3"/>
      <c r="GDQ12" s="3"/>
      <c r="GDR12" s="3"/>
      <c r="GDS12" s="3"/>
      <c r="GDT12" s="3"/>
      <c r="GDU12" s="3"/>
      <c r="GDV12" s="3"/>
      <c r="GDW12" s="3"/>
      <c r="GDX12" s="3"/>
      <c r="GDY12" s="3"/>
      <c r="GDZ12" s="3"/>
      <c r="GEA12" s="3"/>
      <c r="GEB12" s="3"/>
      <c r="GEC12" s="3"/>
      <c r="GED12" s="3"/>
      <c r="GEE12" s="3"/>
      <c r="GEF12" s="3"/>
      <c r="GEG12" s="3"/>
      <c r="GEH12" s="3"/>
      <c r="GEI12" s="3"/>
      <c r="GEJ12" s="3"/>
      <c r="GEK12" s="3"/>
      <c r="GEL12" s="3"/>
      <c r="GEM12" s="3"/>
      <c r="GEN12" s="3"/>
      <c r="GEO12" s="3"/>
      <c r="GEP12" s="3"/>
      <c r="GEQ12" s="3"/>
      <c r="GER12" s="3"/>
      <c r="GES12" s="3"/>
      <c r="GET12" s="3"/>
      <c r="GEU12" s="3"/>
      <c r="GEV12" s="3"/>
      <c r="GEW12" s="3"/>
      <c r="GEX12" s="3"/>
      <c r="GEY12" s="3"/>
      <c r="GEZ12" s="3"/>
      <c r="GFA12" s="3"/>
      <c r="GFB12" s="3"/>
      <c r="GFC12" s="3"/>
      <c r="GFD12" s="3"/>
      <c r="GFE12" s="3"/>
      <c r="GFF12" s="3"/>
      <c r="GFG12" s="3"/>
      <c r="GFH12" s="3"/>
      <c r="GFI12" s="3"/>
      <c r="GFJ12" s="3"/>
      <c r="GFK12" s="3"/>
      <c r="GFL12" s="3"/>
      <c r="GFM12" s="3"/>
      <c r="GFN12" s="3"/>
      <c r="GFO12" s="3"/>
      <c r="GFP12" s="3"/>
      <c r="GFQ12" s="3"/>
      <c r="GFR12" s="3"/>
      <c r="GFS12" s="3"/>
      <c r="GFT12" s="3"/>
      <c r="GFU12" s="3"/>
      <c r="GFV12" s="3"/>
      <c r="GFW12" s="3"/>
      <c r="GFX12" s="3"/>
      <c r="GFY12" s="3"/>
      <c r="GFZ12" s="3"/>
      <c r="GGA12" s="3"/>
      <c r="GGB12" s="3"/>
      <c r="GGC12" s="3"/>
      <c r="GGD12" s="3"/>
      <c r="GGE12" s="3"/>
      <c r="GGF12" s="3"/>
      <c r="GGG12" s="3"/>
      <c r="GGH12" s="3"/>
      <c r="GGI12" s="3"/>
      <c r="GGJ12" s="3"/>
      <c r="GGK12" s="3"/>
      <c r="GGL12" s="3"/>
      <c r="GGM12" s="3"/>
      <c r="GGN12" s="3"/>
      <c r="GGO12" s="3"/>
      <c r="GGP12" s="3"/>
      <c r="GGQ12" s="3"/>
      <c r="GGR12" s="3"/>
      <c r="GGS12" s="3"/>
      <c r="GGT12" s="3"/>
      <c r="GGU12" s="3"/>
      <c r="GGV12" s="3"/>
      <c r="GGW12" s="3"/>
      <c r="GGX12" s="3"/>
      <c r="GGY12" s="3"/>
      <c r="GGZ12" s="3"/>
      <c r="GHA12" s="3"/>
      <c r="GHB12" s="3"/>
      <c r="GHC12" s="3"/>
      <c r="GHD12" s="3"/>
      <c r="GHE12" s="3"/>
      <c r="GHF12" s="3"/>
      <c r="GHG12" s="3"/>
      <c r="GHH12" s="3"/>
      <c r="GHI12" s="3"/>
      <c r="GHJ12" s="3"/>
      <c r="GHK12" s="3"/>
      <c r="GHL12" s="3"/>
      <c r="GHM12" s="3"/>
      <c r="GHN12" s="3"/>
      <c r="GHO12" s="3"/>
      <c r="GHP12" s="3"/>
      <c r="GHQ12" s="3"/>
      <c r="GHR12" s="3"/>
      <c r="GHS12" s="3"/>
      <c r="GHT12" s="3"/>
      <c r="GHU12" s="3"/>
      <c r="GHV12" s="3"/>
      <c r="GHW12" s="3"/>
      <c r="GHX12" s="3"/>
      <c r="GHY12" s="3"/>
      <c r="GHZ12" s="3"/>
      <c r="GIA12" s="3"/>
      <c r="GIB12" s="3"/>
      <c r="GIC12" s="3"/>
      <c r="GID12" s="3"/>
      <c r="GIE12" s="3"/>
      <c r="GIF12" s="3"/>
      <c r="GIG12" s="3"/>
      <c r="GIH12" s="3"/>
      <c r="GII12" s="3"/>
      <c r="GIJ12" s="3"/>
      <c r="GIK12" s="3"/>
      <c r="GIL12" s="3"/>
      <c r="GIM12" s="3"/>
      <c r="GIN12" s="3"/>
      <c r="GIO12" s="3"/>
      <c r="GIP12" s="3"/>
      <c r="GIQ12" s="3"/>
      <c r="GIR12" s="3"/>
      <c r="GIS12" s="3"/>
      <c r="GIT12" s="3"/>
      <c r="GIU12" s="3"/>
      <c r="GIV12" s="3"/>
      <c r="GIW12" s="3"/>
      <c r="GIX12" s="3"/>
      <c r="GIY12" s="3"/>
      <c r="GIZ12" s="3"/>
      <c r="GJA12" s="3"/>
      <c r="GJB12" s="3"/>
      <c r="GJC12" s="3"/>
      <c r="GJD12" s="3"/>
      <c r="GJE12" s="3"/>
      <c r="GJF12" s="3"/>
      <c r="GJG12" s="3"/>
      <c r="GJH12" s="3"/>
      <c r="GJI12" s="3"/>
      <c r="GJJ12" s="3"/>
      <c r="GJK12" s="3"/>
      <c r="GJL12" s="3"/>
      <c r="GJM12" s="3"/>
      <c r="GJN12" s="3"/>
      <c r="GJO12" s="3"/>
      <c r="GJP12" s="3"/>
      <c r="GJQ12" s="3"/>
      <c r="GJR12" s="3"/>
      <c r="GJS12" s="3"/>
      <c r="GJT12" s="3"/>
      <c r="GJU12" s="3"/>
      <c r="GJV12" s="3"/>
      <c r="GJW12" s="3"/>
      <c r="GJX12" s="3"/>
      <c r="GJY12" s="3"/>
      <c r="GJZ12" s="3"/>
      <c r="GKA12" s="3"/>
      <c r="GKB12" s="3"/>
      <c r="GKC12" s="3"/>
      <c r="GKD12" s="3"/>
      <c r="GKE12" s="3"/>
      <c r="GKF12" s="3"/>
      <c r="GKG12" s="3"/>
      <c r="GKH12" s="3"/>
      <c r="GKI12" s="3"/>
      <c r="GKJ12" s="3"/>
      <c r="GKK12" s="3"/>
      <c r="GKL12" s="3"/>
      <c r="GKM12" s="3"/>
      <c r="GKN12" s="3"/>
      <c r="GKO12" s="3"/>
      <c r="GKP12" s="3"/>
      <c r="GKQ12" s="3"/>
      <c r="GKR12" s="3"/>
      <c r="GKS12" s="3"/>
      <c r="GKT12" s="3"/>
      <c r="GKU12" s="3"/>
      <c r="GKV12" s="3"/>
      <c r="GKW12" s="3"/>
      <c r="GKX12" s="3"/>
      <c r="GKY12" s="3"/>
      <c r="GKZ12" s="3"/>
      <c r="GLA12" s="3"/>
      <c r="GLB12" s="3"/>
      <c r="GLC12" s="3"/>
      <c r="GLD12" s="3"/>
      <c r="GLE12" s="3"/>
      <c r="GLF12" s="3"/>
      <c r="GLG12" s="3"/>
      <c r="GLH12" s="3"/>
      <c r="GLI12" s="3"/>
      <c r="GLJ12" s="3"/>
      <c r="GLK12" s="3"/>
      <c r="GLL12" s="3"/>
      <c r="GLM12" s="3"/>
      <c r="GLN12" s="3"/>
      <c r="GLO12" s="3"/>
      <c r="GLP12" s="3"/>
      <c r="GLQ12" s="3"/>
      <c r="GLR12" s="3"/>
      <c r="GLS12" s="3"/>
      <c r="GLT12" s="3"/>
      <c r="GLU12" s="3"/>
      <c r="GLV12" s="3"/>
      <c r="GLW12" s="3"/>
      <c r="GLX12" s="3"/>
      <c r="GLY12" s="3"/>
      <c r="GLZ12" s="3"/>
      <c r="GMA12" s="3"/>
      <c r="GMB12" s="3"/>
      <c r="GMC12" s="3"/>
      <c r="GMD12" s="3"/>
      <c r="GME12" s="3"/>
      <c r="GMF12" s="3"/>
      <c r="GMG12" s="3"/>
      <c r="GMH12" s="3"/>
      <c r="GMI12" s="3"/>
      <c r="GMJ12" s="3"/>
      <c r="GMK12" s="3"/>
      <c r="GML12" s="3"/>
      <c r="GMM12" s="3"/>
      <c r="GMN12" s="3"/>
      <c r="GMO12" s="3"/>
      <c r="GMP12" s="3"/>
      <c r="GMQ12" s="3"/>
      <c r="GMR12" s="3"/>
      <c r="GMS12" s="3"/>
      <c r="GMT12" s="3"/>
      <c r="GMU12" s="3"/>
      <c r="GMV12" s="3"/>
      <c r="GMW12" s="3"/>
      <c r="GMX12" s="3"/>
      <c r="GMY12" s="3"/>
      <c r="GMZ12" s="3"/>
      <c r="GNA12" s="3"/>
      <c r="GNB12" s="3"/>
      <c r="GNC12" s="3"/>
      <c r="GND12" s="3"/>
      <c r="GNE12" s="3"/>
      <c r="GNF12" s="3"/>
      <c r="GNG12" s="3"/>
      <c r="GNH12" s="3"/>
      <c r="GNI12" s="3"/>
      <c r="GNJ12" s="3"/>
      <c r="GNK12" s="3"/>
      <c r="GNL12" s="3"/>
      <c r="GNM12" s="3"/>
      <c r="GNN12" s="3"/>
      <c r="GNO12" s="3"/>
      <c r="GNP12" s="3"/>
      <c r="GNQ12" s="3"/>
      <c r="GNR12" s="3"/>
      <c r="GNS12" s="3"/>
      <c r="GNT12" s="3"/>
      <c r="GNU12" s="3"/>
      <c r="GNV12" s="3"/>
      <c r="GNW12" s="3"/>
      <c r="GNX12" s="3"/>
      <c r="GNY12" s="3"/>
      <c r="GNZ12" s="3"/>
      <c r="GOA12" s="3"/>
      <c r="GOB12" s="3"/>
      <c r="GOC12" s="3"/>
      <c r="GOD12" s="3"/>
      <c r="GOE12" s="3"/>
      <c r="GOF12" s="3"/>
      <c r="GOG12" s="3"/>
      <c r="GOH12" s="3"/>
      <c r="GOI12" s="3"/>
      <c r="GOJ12" s="3"/>
      <c r="GOK12" s="3"/>
      <c r="GOL12" s="3"/>
      <c r="GOM12" s="3"/>
      <c r="GON12" s="3"/>
      <c r="GOO12" s="3"/>
      <c r="GOP12" s="3"/>
      <c r="GOQ12" s="3"/>
      <c r="GOR12" s="3"/>
      <c r="GOS12" s="3"/>
      <c r="GOT12" s="3"/>
      <c r="GOU12" s="3"/>
      <c r="GOV12" s="3"/>
      <c r="GOW12" s="3"/>
      <c r="GOX12" s="3"/>
      <c r="GOY12" s="3"/>
      <c r="GOZ12" s="3"/>
      <c r="GPA12" s="3"/>
      <c r="GPB12" s="3"/>
      <c r="GPC12" s="3"/>
      <c r="GPD12" s="3"/>
      <c r="GPE12" s="3"/>
      <c r="GPF12" s="3"/>
      <c r="GPG12" s="3"/>
      <c r="GPH12" s="3"/>
      <c r="GPI12" s="3"/>
      <c r="GPJ12" s="3"/>
      <c r="GPK12" s="3"/>
      <c r="GPL12" s="3"/>
      <c r="GPM12" s="3"/>
      <c r="GPN12" s="3"/>
      <c r="GPO12" s="3"/>
      <c r="GPP12" s="3"/>
      <c r="GPQ12" s="3"/>
      <c r="GPR12" s="3"/>
      <c r="GPS12" s="3"/>
      <c r="GPT12" s="3"/>
      <c r="GPU12" s="3"/>
      <c r="GPV12" s="3"/>
      <c r="GPW12" s="3"/>
      <c r="GPX12" s="3"/>
      <c r="GPY12" s="3"/>
      <c r="GPZ12" s="3"/>
      <c r="GQA12" s="3"/>
      <c r="GQB12" s="3"/>
      <c r="GQC12" s="3"/>
      <c r="GQD12" s="3"/>
      <c r="GQE12" s="3"/>
      <c r="GQF12" s="3"/>
      <c r="GQG12" s="3"/>
      <c r="GQH12" s="3"/>
      <c r="GQI12" s="3"/>
      <c r="GQJ12" s="3"/>
      <c r="GQK12" s="3"/>
      <c r="GQL12" s="3"/>
      <c r="GQM12" s="3"/>
      <c r="GQN12" s="3"/>
      <c r="GQO12" s="3"/>
      <c r="GQP12" s="3"/>
      <c r="GQQ12" s="3"/>
      <c r="GQR12" s="3"/>
      <c r="GQS12" s="3"/>
      <c r="GQT12" s="3"/>
      <c r="GQU12" s="3"/>
      <c r="GQV12" s="3"/>
      <c r="GQW12" s="3"/>
      <c r="GQX12" s="3"/>
      <c r="GQY12" s="3"/>
      <c r="GQZ12" s="3"/>
      <c r="GRA12" s="3"/>
      <c r="GRB12" s="3"/>
      <c r="GRC12" s="3"/>
      <c r="GRD12" s="3"/>
      <c r="GRE12" s="3"/>
      <c r="GRF12" s="3"/>
      <c r="GRG12" s="3"/>
      <c r="GRH12" s="3"/>
      <c r="GRI12" s="3"/>
      <c r="GRJ12" s="3"/>
      <c r="GRK12" s="3"/>
      <c r="GRL12" s="3"/>
      <c r="GRM12" s="3"/>
      <c r="GRN12" s="3"/>
      <c r="GRO12" s="3"/>
      <c r="GRP12" s="3"/>
      <c r="GRQ12" s="3"/>
      <c r="GRR12" s="3"/>
      <c r="GRS12" s="3"/>
      <c r="GRT12" s="3"/>
      <c r="GRU12" s="3"/>
      <c r="GRV12" s="3"/>
      <c r="GRW12" s="3"/>
      <c r="GRX12" s="3"/>
      <c r="GRY12" s="3"/>
      <c r="GRZ12" s="3"/>
      <c r="GSA12" s="3"/>
      <c r="GSB12" s="3"/>
      <c r="GSC12" s="3"/>
      <c r="GSD12" s="3"/>
      <c r="GSE12" s="3"/>
      <c r="GSF12" s="3"/>
      <c r="GSG12" s="3"/>
      <c r="GSH12" s="3"/>
      <c r="GSI12" s="3"/>
      <c r="GSJ12" s="3"/>
      <c r="GSK12" s="3"/>
      <c r="GSL12" s="3"/>
      <c r="GSM12" s="3"/>
      <c r="GSN12" s="3"/>
      <c r="GSO12" s="3"/>
      <c r="GSP12" s="3"/>
      <c r="GSQ12" s="3"/>
      <c r="GSR12" s="3"/>
      <c r="GSS12" s="3"/>
      <c r="GST12" s="3"/>
      <c r="GSU12" s="3"/>
      <c r="GSV12" s="3"/>
      <c r="GSW12" s="3"/>
      <c r="GSX12" s="3"/>
      <c r="GSY12" s="3"/>
      <c r="GSZ12" s="3"/>
      <c r="GTA12" s="3"/>
      <c r="GTB12" s="3"/>
      <c r="GTC12" s="3"/>
      <c r="GTD12" s="3"/>
      <c r="GTE12" s="3"/>
      <c r="GTF12" s="3"/>
      <c r="GTG12" s="3"/>
      <c r="GTH12" s="3"/>
      <c r="GTI12" s="3"/>
      <c r="GTJ12" s="3"/>
      <c r="GTK12" s="3"/>
      <c r="GTL12" s="3"/>
      <c r="GTM12" s="3"/>
      <c r="GTN12" s="3"/>
      <c r="GTO12" s="3"/>
      <c r="GTP12" s="3"/>
      <c r="GTQ12" s="3"/>
      <c r="GTR12" s="3"/>
      <c r="GTS12" s="3"/>
      <c r="GTT12" s="3"/>
      <c r="GTU12" s="3"/>
      <c r="GTV12" s="3"/>
      <c r="GTW12" s="3"/>
      <c r="GTX12" s="3"/>
      <c r="GTY12" s="3"/>
      <c r="GTZ12" s="3"/>
      <c r="GUA12" s="3"/>
      <c r="GUB12" s="3"/>
      <c r="GUC12" s="3"/>
      <c r="GUD12" s="3"/>
      <c r="GUE12" s="3"/>
      <c r="GUF12" s="3"/>
      <c r="GUG12" s="3"/>
      <c r="GUH12" s="3"/>
      <c r="GUI12" s="3"/>
      <c r="GUJ12" s="3"/>
      <c r="GUK12" s="3"/>
      <c r="GUL12" s="3"/>
      <c r="GUM12" s="3"/>
      <c r="GUN12" s="3"/>
      <c r="GUO12" s="3"/>
      <c r="GUP12" s="3"/>
      <c r="GUQ12" s="3"/>
      <c r="GUR12" s="3"/>
      <c r="GUS12" s="3"/>
      <c r="GUT12" s="3"/>
      <c r="GUU12" s="3"/>
      <c r="GUV12" s="3"/>
      <c r="GUW12" s="3"/>
      <c r="GUX12" s="3"/>
      <c r="GUY12" s="3"/>
      <c r="GUZ12" s="3"/>
      <c r="GVA12" s="3"/>
      <c r="GVB12" s="3"/>
      <c r="GVC12" s="3"/>
      <c r="GVD12" s="3"/>
      <c r="GVE12" s="3"/>
      <c r="GVF12" s="3"/>
      <c r="GVG12" s="3"/>
      <c r="GVH12" s="3"/>
      <c r="GVI12" s="3"/>
      <c r="GVJ12" s="3"/>
      <c r="GVK12" s="3"/>
      <c r="GVL12" s="3"/>
      <c r="GVM12" s="3"/>
      <c r="GVN12" s="3"/>
      <c r="GVO12" s="3"/>
      <c r="GVP12" s="3"/>
      <c r="GVQ12" s="3"/>
      <c r="GVR12" s="3"/>
      <c r="GVS12" s="3"/>
      <c r="GVT12" s="3"/>
      <c r="GVU12" s="3"/>
      <c r="GVV12" s="3"/>
      <c r="GVW12" s="3"/>
      <c r="GVX12" s="3"/>
      <c r="GVY12" s="3"/>
      <c r="GVZ12" s="3"/>
      <c r="GWA12" s="3"/>
      <c r="GWB12" s="3"/>
      <c r="GWC12" s="3"/>
      <c r="GWD12" s="3"/>
      <c r="GWE12" s="3"/>
      <c r="GWF12" s="3"/>
      <c r="GWG12" s="3"/>
      <c r="GWH12" s="3"/>
      <c r="GWI12" s="3"/>
      <c r="GWJ12" s="3"/>
      <c r="GWK12" s="3"/>
      <c r="GWL12" s="3"/>
      <c r="GWM12" s="3"/>
      <c r="GWN12" s="3"/>
      <c r="GWO12" s="3"/>
      <c r="GWP12" s="3"/>
      <c r="GWQ12" s="3"/>
      <c r="GWR12" s="3"/>
      <c r="GWS12" s="3"/>
      <c r="GWT12" s="3"/>
      <c r="GWU12" s="3"/>
      <c r="GWV12" s="3"/>
      <c r="GWW12" s="3"/>
      <c r="GWX12" s="3"/>
      <c r="GWY12" s="3"/>
      <c r="GWZ12" s="3"/>
      <c r="GXA12" s="3"/>
      <c r="GXB12" s="3"/>
      <c r="GXC12" s="3"/>
      <c r="GXD12" s="3"/>
      <c r="GXE12" s="3"/>
      <c r="GXF12" s="3"/>
      <c r="GXG12" s="3"/>
      <c r="GXH12" s="3"/>
      <c r="GXI12" s="3"/>
      <c r="GXJ12" s="3"/>
      <c r="GXK12" s="3"/>
      <c r="GXL12" s="3"/>
      <c r="GXM12" s="3"/>
      <c r="GXN12" s="3"/>
      <c r="GXO12" s="3"/>
      <c r="GXP12" s="3"/>
      <c r="GXQ12" s="3"/>
      <c r="GXR12" s="3"/>
      <c r="GXS12" s="3"/>
      <c r="GXT12" s="3"/>
      <c r="GXU12" s="3"/>
      <c r="GXV12" s="3"/>
      <c r="GXW12" s="3"/>
      <c r="GXX12" s="3"/>
      <c r="GXY12" s="3"/>
      <c r="GXZ12" s="3"/>
      <c r="GYA12" s="3"/>
      <c r="GYB12" s="3"/>
      <c r="GYC12" s="3"/>
      <c r="GYD12" s="3"/>
      <c r="GYE12" s="3"/>
      <c r="GYF12" s="3"/>
      <c r="GYG12" s="3"/>
      <c r="GYH12" s="3"/>
      <c r="GYI12" s="3"/>
      <c r="GYJ12" s="3"/>
      <c r="GYK12" s="3"/>
      <c r="GYL12" s="3"/>
      <c r="GYM12" s="3"/>
      <c r="GYN12" s="3"/>
      <c r="GYO12" s="3"/>
      <c r="GYP12" s="3"/>
      <c r="GYQ12" s="3"/>
      <c r="GYR12" s="3"/>
      <c r="GYS12" s="3"/>
      <c r="GYT12" s="3"/>
      <c r="GYU12" s="3"/>
      <c r="GYV12" s="3"/>
      <c r="GYW12" s="3"/>
      <c r="GYX12" s="3"/>
      <c r="GYY12" s="3"/>
      <c r="GYZ12" s="3"/>
      <c r="GZA12" s="3"/>
      <c r="GZB12" s="3"/>
      <c r="GZC12" s="3"/>
      <c r="GZD12" s="3"/>
      <c r="GZE12" s="3"/>
      <c r="GZF12" s="3"/>
      <c r="GZG12" s="3"/>
      <c r="GZH12" s="3"/>
      <c r="GZI12" s="3"/>
      <c r="GZJ12" s="3"/>
      <c r="GZK12" s="3"/>
      <c r="GZL12" s="3"/>
      <c r="GZM12" s="3"/>
      <c r="GZN12" s="3"/>
      <c r="GZO12" s="3"/>
      <c r="GZP12" s="3"/>
      <c r="GZQ12" s="3"/>
      <c r="GZR12" s="3"/>
      <c r="GZS12" s="3"/>
      <c r="GZT12" s="3"/>
      <c r="GZU12" s="3"/>
      <c r="GZV12" s="3"/>
      <c r="GZW12" s="3"/>
      <c r="GZX12" s="3"/>
      <c r="GZY12" s="3"/>
      <c r="GZZ12" s="3"/>
      <c r="HAA12" s="3"/>
      <c r="HAB12" s="3"/>
      <c r="HAC12" s="3"/>
      <c r="HAD12" s="3"/>
      <c r="HAE12" s="3"/>
      <c r="HAF12" s="3"/>
      <c r="HAG12" s="3"/>
      <c r="HAH12" s="3"/>
      <c r="HAI12" s="3"/>
      <c r="HAJ12" s="3"/>
      <c r="HAK12" s="3"/>
      <c r="HAL12" s="3"/>
      <c r="HAM12" s="3"/>
      <c r="HAN12" s="3"/>
      <c r="HAO12" s="3"/>
      <c r="HAP12" s="3"/>
      <c r="HAQ12" s="3"/>
      <c r="HAR12" s="3"/>
      <c r="HAS12" s="3"/>
      <c r="HAT12" s="3"/>
      <c r="HAU12" s="3"/>
      <c r="HAV12" s="3"/>
      <c r="HAW12" s="3"/>
      <c r="HAX12" s="3"/>
      <c r="HAY12" s="3"/>
      <c r="HAZ12" s="3"/>
      <c r="HBA12" s="3"/>
      <c r="HBB12" s="3"/>
      <c r="HBC12" s="3"/>
      <c r="HBD12" s="3"/>
      <c r="HBE12" s="3"/>
      <c r="HBF12" s="3"/>
      <c r="HBG12" s="3"/>
      <c r="HBH12" s="3"/>
      <c r="HBI12" s="3"/>
      <c r="HBJ12" s="3"/>
      <c r="HBK12" s="3"/>
      <c r="HBL12" s="3"/>
      <c r="HBM12" s="3"/>
      <c r="HBN12" s="3"/>
      <c r="HBO12" s="3"/>
      <c r="HBP12" s="3"/>
      <c r="HBQ12" s="3"/>
      <c r="HBR12" s="3"/>
      <c r="HBS12" s="3"/>
      <c r="HBT12" s="3"/>
      <c r="HBU12" s="3"/>
      <c r="HBV12" s="3"/>
      <c r="HBW12" s="3"/>
      <c r="HBX12" s="3"/>
      <c r="HBY12" s="3"/>
      <c r="HBZ12" s="3"/>
      <c r="HCA12" s="3"/>
      <c r="HCB12" s="3"/>
      <c r="HCC12" s="3"/>
      <c r="HCD12" s="3"/>
      <c r="HCE12" s="3"/>
      <c r="HCF12" s="3"/>
      <c r="HCG12" s="3"/>
      <c r="HCH12" s="3"/>
      <c r="HCI12" s="3"/>
      <c r="HCJ12" s="3"/>
      <c r="HCK12" s="3"/>
      <c r="HCL12" s="3"/>
      <c r="HCM12" s="3"/>
      <c r="HCN12" s="3"/>
      <c r="HCO12" s="3"/>
      <c r="HCP12" s="3"/>
      <c r="HCQ12" s="3"/>
      <c r="HCR12" s="3"/>
      <c r="HCS12" s="3"/>
      <c r="HCT12" s="3"/>
      <c r="HCU12" s="3"/>
      <c r="HCV12" s="3"/>
      <c r="HCW12" s="3"/>
      <c r="HCX12" s="3"/>
      <c r="HCY12" s="3"/>
      <c r="HCZ12" s="3"/>
      <c r="HDA12" s="3"/>
      <c r="HDB12" s="3"/>
      <c r="HDC12" s="3"/>
      <c r="HDD12" s="3"/>
      <c r="HDE12" s="3"/>
      <c r="HDF12" s="3"/>
      <c r="HDG12" s="3"/>
      <c r="HDH12" s="3"/>
      <c r="HDI12" s="3"/>
      <c r="HDJ12" s="3"/>
      <c r="HDK12" s="3"/>
      <c r="HDL12" s="3"/>
      <c r="HDM12" s="3"/>
      <c r="HDN12" s="3"/>
      <c r="HDO12" s="3"/>
      <c r="HDP12" s="3"/>
      <c r="HDQ12" s="3"/>
      <c r="HDR12" s="3"/>
      <c r="HDS12" s="3"/>
      <c r="HDT12" s="3"/>
      <c r="HDU12" s="3"/>
      <c r="HDV12" s="3"/>
      <c r="HDW12" s="3"/>
      <c r="HDX12" s="3"/>
      <c r="HDY12" s="3"/>
      <c r="HDZ12" s="3"/>
      <c r="HEA12" s="3"/>
      <c r="HEB12" s="3"/>
      <c r="HEC12" s="3"/>
      <c r="HED12" s="3"/>
      <c r="HEE12" s="3"/>
      <c r="HEF12" s="3"/>
      <c r="HEG12" s="3"/>
      <c r="HEH12" s="3"/>
      <c r="HEI12" s="3"/>
      <c r="HEJ12" s="3"/>
      <c r="HEK12" s="3"/>
      <c r="HEL12" s="3"/>
      <c r="HEM12" s="3"/>
      <c r="HEN12" s="3"/>
      <c r="HEO12" s="3"/>
      <c r="HEP12" s="3"/>
      <c r="HEQ12" s="3"/>
      <c r="HER12" s="3"/>
      <c r="HES12" s="3"/>
      <c r="HET12" s="3"/>
      <c r="HEU12" s="3"/>
      <c r="HEV12" s="3"/>
      <c r="HEW12" s="3"/>
      <c r="HEX12" s="3"/>
      <c r="HEY12" s="3"/>
      <c r="HEZ12" s="3"/>
      <c r="HFA12" s="3"/>
      <c r="HFB12" s="3"/>
      <c r="HFC12" s="3"/>
      <c r="HFD12" s="3"/>
      <c r="HFE12" s="3"/>
      <c r="HFF12" s="3"/>
      <c r="HFG12" s="3"/>
      <c r="HFH12" s="3"/>
      <c r="HFI12" s="3"/>
      <c r="HFJ12" s="3"/>
      <c r="HFK12" s="3"/>
      <c r="HFL12" s="3"/>
      <c r="HFM12" s="3"/>
      <c r="HFN12" s="3"/>
      <c r="HFO12" s="3"/>
      <c r="HFP12" s="3"/>
      <c r="HFQ12" s="3"/>
      <c r="HFR12" s="3"/>
      <c r="HFS12" s="3"/>
      <c r="HFT12" s="3"/>
      <c r="HFU12" s="3"/>
      <c r="HFV12" s="3"/>
      <c r="HFW12" s="3"/>
      <c r="HFX12" s="3"/>
      <c r="HFY12" s="3"/>
      <c r="HFZ12" s="3"/>
      <c r="HGA12" s="3"/>
      <c r="HGB12" s="3"/>
      <c r="HGC12" s="3"/>
      <c r="HGD12" s="3"/>
      <c r="HGE12" s="3"/>
      <c r="HGF12" s="3"/>
      <c r="HGG12" s="3"/>
      <c r="HGH12" s="3"/>
      <c r="HGI12" s="3"/>
      <c r="HGJ12" s="3"/>
      <c r="HGK12" s="3"/>
      <c r="HGL12" s="3"/>
      <c r="HGM12" s="3"/>
      <c r="HGN12" s="3"/>
      <c r="HGO12" s="3"/>
      <c r="HGP12" s="3"/>
      <c r="HGQ12" s="3"/>
      <c r="HGR12" s="3"/>
      <c r="HGS12" s="3"/>
      <c r="HGT12" s="3"/>
      <c r="HGU12" s="3"/>
      <c r="HGV12" s="3"/>
      <c r="HGW12" s="3"/>
      <c r="HGX12" s="3"/>
      <c r="HGY12" s="3"/>
      <c r="HGZ12" s="3"/>
      <c r="HHA12" s="3"/>
      <c r="HHB12" s="3"/>
      <c r="HHC12" s="3"/>
      <c r="HHD12" s="3"/>
      <c r="HHE12" s="3"/>
      <c r="HHF12" s="3"/>
      <c r="HHG12" s="3"/>
      <c r="HHH12" s="3"/>
      <c r="HHI12" s="3"/>
      <c r="HHJ12" s="3"/>
      <c r="HHK12" s="3"/>
      <c r="HHL12" s="3"/>
      <c r="HHM12" s="3"/>
      <c r="HHN12" s="3"/>
      <c r="HHO12" s="3"/>
      <c r="HHP12" s="3"/>
      <c r="HHQ12" s="3"/>
      <c r="HHR12" s="3"/>
      <c r="HHS12" s="3"/>
      <c r="HHT12" s="3"/>
      <c r="HHU12" s="3"/>
      <c r="HHV12" s="3"/>
      <c r="HHW12" s="3"/>
      <c r="HHX12" s="3"/>
      <c r="HHY12" s="3"/>
      <c r="HHZ12" s="3"/>
      <c r="HIA12" s="3"/>
      <c r="HIB12" s="3"/>
      <c r="HIC12" s="3"/>
      <c r="HID12" s="3"/>
      <c r="HIE12" s="3"/>
      <c r="HIF12" s="3"/>
      <c r="HIG12" s="3"/>
      <c r="HIH12" s="3"/>
      <c r="HII12" s="3"/>
      <c r="HIJ12" s="3"/>
      <c r="HIK12" s="3"/>
      <c r="HIL12" s="3"/>
      <c r="HIM12" s="3"/>
      <c r="HIN12" s="3"/>
      <c r="HIO12" s="3"/>
      <c r="HIP12" s="3"/>
      <c r="HIQ12" s="3"/>
      <c r="HIR12" s="3"/>
      <c r="HIS12" s="3"/>
      <c r="HIT12" s="3"/>
      <c r="HIU12" s="3"/>
      <c r="HIV12" s="3"/>
      <c r="HIW12" s="3"/>
      <c r="HIX12" s="3"/>
      <c r="HIY12" s="3"/>
      <c r="HIZ12" s="3"/>
      <c r="HJA12" s="3"/>
      <c r="HJB12" s="3"/>
      <c r="HJC12" s="3"/>
      <c r="HJD12" s="3"/>
      <c r="HJE12" s="3"/>
      <c r="HJF12" s="3"/>
      <c r="HJG12" s="3"/>
      <c r="HJH12" s="3"/>
      <c r="HJI12" s="3"/>
      <c r="HJJ12" s="3"/>
      <c r="HJK12" s="3"/>
      <c r="HJL12" s="3"/>
      <c r="HJM12" s="3"/>
      <c r="HJN12" s="3"/>
      <c r="HJO12" s="3"/>
      <c r="HJP12" s="3"/>
      <c r="HJQ12" s="3"/>
      <c r="HJR12" s="3"/>
      <c r="HJS12" s="3"/>
      <c r="HJT12" s="3"/>
      <c r="HJU12" s="3"/>
      <c r="HJV12" s="3"/>
      <c r="HJW12" s="3"/>
      <c r="HJX12" s="3"/>
      <c r="HJY12" s="3"/>
      <c r="HJZ12" s="3"/>
      <c r="HKA12" s="3"/>
      <c r="HKB12" s="3"/>
      <c r="HKC12" s="3"/>
      <c r="HKD12" s="3"/>
      <c r="HKE12" s="3"/>
      <c r="HKF12" s="3"/>
      <c r="HKG12" s="3"/>
      <c r="HKH12" s="3"/>
      <c r="HKI12" s="3"/>
      <c r="HKJ12" s="3"/>
      <c r="HKK12" s="3"/>
      <c r="HKL12" s="3"/>
      <c r="HKM12" s="3"/>
      <c r="HKN12" s="3"/>
      <c r="HKO12" s="3"/>
      <c r="HKP12" s="3"/>
      <c r="HKQ12" s="3"/>
      <c r="HKR12" s="3"/>
      <c r="HKS12" s="3"/>
      <c r="HKT12" s="3"/>
      <c r="HKU12" s="3"/>
      <c r="HKV12" s="3"/>
      <c r="HKW12" s="3"/>
      <c r="HKX12" s="3"/>
      <c r="HKY12" s="3"/>
      <c r="HKZ12" s="3"/>
      <c r="HLA12" s="3"/>
      <c r="HLB12" s="3"/>
      <c r="HLC12" s="3"/>
      <c r="HLD12" s="3"/>
      <c r="HLE12" s="3"/>
      <c r="HLF12" s="3"/>
      <c r="HLG12" s="3"/>
      <c r="HLH12" s="3"/>
      <c r="HLI12" s="3"/>
      <c r="HLJ12" s="3"/>
      <c r="HLK12" s="3"/>
      <c r="HLL12" s="3"/>
      <c r="HLM12" s="3"/>
      <c r="HLN12" s="3"/>
      <c r="HLO12" s="3"/>
      <c r="HLP12" s="3"/>
      <c r="HLQ12" s="3"/>
      <c r="HLR12" s="3"/>
      <c r="HLS12" s="3"/>
      <c r="HLT12" s="3"/>
      <c r="HLU12" s="3"/>
      <c r="HLV12" s="3"/>
      <c r="HLW12" s="3"/>
      <c r="HLX12" s="3"/>
      <c r="HLY12" s="3"/>
      <c r="HLZ12" s="3"/>
      <c r="HMA12" s="3"/>
      <c r="HMB12" s="3"/>
      <c r="HMC12" s="3"/>
      <c r="HMD12" s="3"/>
      <c r="HME12" s="3"/>
      <c r="HMF12" s="3"/>
      <c r="HMG12" s="3"/>
      <c r="HMH12" s="3"/>
      <c r="HMI12" s="3"/>
      <c r="HMJ12" s="3"/>
      <c r="HMK12" s="3"/>
      <c r="HML12" s="3"/>
      <c r="HMM12" s="3"/>
      <c r="HMN12" s="3"/>
      <c r="HMO12" s="3"/>
      <c r="HMP12" s="3"/>
      <c r="HMQ12" s="3"/>
      <c r="HMR12" s="3"/>
      <c r="HMS12" s="3"/>
      <c r="HMT12" s="3"/>
      <c r="HMU12" s="3"/>
      <c r="HMV12" s="3"/>
      <c r="HMW12" s="3"/>
      <c r="HMX12" s="3"/>
      <c r="HMY12" s="3"/>
      <c r="HMZ12" s="3"/>
      <c r="HNA12" s="3"/>
      <c r="HNB12" s="3"/>
      <c r="HNC12" s="3"/>
      <c r="HND12" s="3"/>
      <c r="HNE12" s="3"/>
      <c r="HNF12" s="3"/>
      <c r="HNG12" s="3"/>
      <c r="HNH12" s="3"/>
      <c r="HNI12" s="3"/>
      <c r="HNJ12" s="3"/>
      <c r="HNK12" s="3"/>
      <c r="HNL12" s="3"/>
      <c r="HNM12" s="3"/>
      <c r="HNN12" s="3"/>
      <c r="HNO12" s="3"/>
      <c r="HNP12" s="3"/>
      <c r="HNQ12" s="3"/>
      <c r="HNR12" s="3"/>
      <c r="HNS12" s="3"/>
      <c r="HNT12" s="3"/>
      <c r="HNU12" s="3"/>
      <c r="HNV12" s="3"/>
      <c r="HNW12" s="3"/>
      <c r="HNX12" s="3"/>
      <c r="HNY12" s="3"/>
      <c r="HNZ12" s="3"/>
      <c r="HOA12" s="3"/>
      <c r="HOB12" s="3"/>
      <c r="HOC12" s="3"/>
      <c r="HOD12" s="3"/>
      <c r="HOE12" s="3"/>
      <c r="HOF12" s="3"/>
      <c r="HOG12" s="3"/>
      <c r="HOH12" s="3"/>
      <c r="HOI12" s="3"/>
      <c r="HOJ12" s="3"/>
      <c r="HOK12" s="3"/>
      <c r="HOL12" s="3"/>
      <c r="HOM12" s="3"/>
      <c r="HON12" s="3"/>
      <c r="HOO12" s="3"/>
      <c r="HOP12" s="3"/>
      <c r="HOQ12" s="3"/>
      <c r="HOR12" s="3"/>
      <c r="HOS12" s="3"/>
      <c r="HOT12" s="3"/>
      <c r="HOU12" s="3"/>
      <c r="HOV12" s="3"/>
      <c r="HOW12" s="3"/>
      <c r="HOX12" s="3"/>
      <c r="HOY12" s="3"/>
      <c r="HOZ12" s="3"/>
      <c r="HPA12" s="3"/>
      <c r="HPB12" s="3"/>
      <c r="HPC12" s="3"/>
      <c r="HPD12" s="3"/>
      <c r="HPE12" s="3"/>
      <c r="HPF12" s="3"/>
      <c r="HPG12" s="3"/>
      <c r="HPH12" s="3"/>
      <c r="HPI12" s="3"/>
      <c r="HPJ12" s="3"/>
      <c r="HPK12" s="3"/>
      <c r="HPL12" s="3"/>
      <c r="HPM12" s="3"/>
      <c r="HPN12" s="3"/>
      <c r="HPO12" s="3"/>
      <c r="HPP12" s="3"/>
      <c r="HPQ12" s="3"/>
      <c r="HPR12" s="3"/>
      <c r="HPS12" s="3"/>
      <c r="HPT12" s="3"/>
      <c r="HPU12" s="3"/>
      <c r="HPV12" s="3"/>
      <c r="HPW12" s="3"/>
      <c r="HPX12" s="3"/>
      <c r="HPY12" s="3"/>
      <c r="HPZ12" s="3"/>
      <c r="HQA12" s="3"/>
      <c r="HQB12" s="3"/>
      <c r="HQC12" s="3"/>
      <c r="HQD12" s="3"/>
      <c r="HQE12" s="3"/>
      <c r="HQF12" s="3"/>
      <c r="HQG12" s="3"/>
      <c r="HQH12" s="3"/>
      <c r="HQI12" s="3"/>
      <c r="HQJ12" s="3"/>
      <c r="HQK12" s="3"/>
      <c r="HQL12" s="3"/>
      <c r="HQM12" s="3"/>
      <c r="HQN12" s="3"/>
      <c r="HQO12" s="3"/>
      <c r="HQP12" s="3"/>
      <c r="HQQ12" s="3"/>
      <c r="HQR12" s="3"/>
      <c r="HQS12" s="3"/>
      <c r="HQT12" s="3"/>
      <c r="HQU12" s="3"/>
      <c r="HQV12" s="3"/>
      <c r="HQW12" s="3"/>
      <c r="HQX12" s="3"/>
      <c r="HQY12" s="3"/>
      <c r="HQZ12" s="3"/>
      <c r="HRA12" s="3"/>
      <c r="HRB12" s="3"/>
      <c r="HRC12" s="3"/>
      <c r="HRD12" s="3"/>
      <c r="HRE12" s="3"/>
      <c r="HRF12" s="3"/>
      <c r="HRG12" s="3"/>
      <c r="HRH12" s="3"/>
      <c r="HRI12" s="3"/>
      <c r="HRJ12" s="3"/>
      <c r="HRK12" s="3"/>
      <c r="HRL12" s="3"/>
      <c r="HRM12" s="3"/>
      <c r="HRN12" s="3"/>
      <c r="HRO12" s="3"/>
      <c r="HRP12" s="3"/>
      <c r="HRQ12" s="3"/>
      <c r="HRR12" s="3"/>
      <c r="HRS12" s="3"/>
      <c r="HRT12" s="3"/>
      <c r="HRU12" s="3"/>
      <c r="HRV12" s="3"/>
      <c r="HRW12" s="3"/>
      <c r="HRX12" s="3"/>
      <c r="HRY12" s="3"/>
      <c r="HRZ12" s="3"/>
      <c r="HSA12" s="3"/>
      <c r="HSB12" s="3"/>
      <c r="HSC12" s="3"/>
      <c r="HSD12" s="3"/>
      <c r="HSE12" s="3"/>
      <c r="HSF12" s="3"/>
      <c r="HSG12" s="3"/>
      <c r="HSH12" s="3"/>
      <c r="HSI12" s="3"/>
      <c r="HSJ12" s="3"/>
      <c r="HSK12" s="3"/>
      <c r="HSL12" s="3"/>
      <c r="HSM12" s="3"/>
      <c r="HSN12" s="3"/>
      <c r="HSO12" s="3"/>
      <c r="HSP12" s="3"/>
      <c r="HSQ12" s="3"/>
      <c r="HSR12" s="3"/>
      <c r="HSS12" s="3"/>
      <c r="HST12" s="3"/>
      <c r="HSU12" s="3"/>
      <c r="HSV12" s="3"/>
      <c r="HSW12" s="3"/>
      <c r="HSX12" s="3"/>
      <c r="HSY12" s="3"/>
      <c r="HSZ12" s="3"/>
      <c r="HTA12" s="3"/>
      <c r="HTB12" s="3"/>
      <c r="HTC12" s="3"/>
      <c r="HTD12" s="3"/>
      <c r="HTE12" s="3"/>
      <c r="HTF12" s="3"/>
      <c r="HTG12" s="3"/>
      <c r="HTH12" s="3"/>
      <c r="HTI12" s="3"/>
      <c r="HTJ12" s="3"/>
      <c r="HTK12" s="3"/>
      <c r="HTL12" s="3"/>
      <c r="HTM12" s="3"/>
      <c r="HTN12" s="3"/>
      <c r="HTO12" s="3"/>
      <c r="HTP12" s="3"/>
      <c r="HTQ12" s="3"/>
      <c r="HTR12" s="3"/>
      <c r="HTS12" s="3"/>
      <c r="HTT12" s="3"/>
      <c r="HTU12" s="3"/>
      <c r="HTV12" s="3"/>
      <c r="HTW12" s="3"/>
      <c r="HTX12" s="3"/>
      <c r="HTY12" s="3"/>
      <c r="HTZ12" s="3"/>
      <c r="HUA12" s="3"/>
      <c r="HUB12" s="3"/>
      <c r="HUC12" s="3"/>
      <c r="HUD12" s="3"/>
      <c r="HUE12" s="3"/>
      <c r="HUF12" s="3"/>
      <c r="HUG12" s="3"/>
      <c r="HUH12" s="3"/>
      <c r="HUI12" s="3"/>
      <c r="HUJ12" s="3"/>
      <c r="HUK12" s="3"/>
      <c r="HUL12" s="3"/>
      <c r="HUM12" s="3"/>
      <c r="HUN12" s="3"/>
      <c r="HUO12" s="3"/>
      <c r="HUP12" s="3"/>
      <c r="HUQ12" s="3"/>
      <c r="HUR12" s="3"/>
      <c r="HUS12" s="3"/>
      <c r="HUT12" s="3"/>
      <c r="HUU12" s="3"/>
      <c r="HUV12" s="3"/>
      <c r="HUW12" s="3"/>
      <c r="HUX12" s="3"/>
      <c r="HUY12" s="3"/>
      <c r="HUZ12" s="3"/>
      <c r="HVA12" s="3"/>
      <c r="HVB12" s="3"/>
      <c r="HVC12" s="3"/>
      <c r="HVD12" s="3"/>
      <c r="HVE12" s="3"/>
      <c r="HVF12" s="3"/>
      <c r="HVG12" s="3"/>
      <c r="HVH12" s="3"/>
      <c r="HVI12" s="3"/>
      <c r="HVJ12" s="3"/>
      <c r="HVK12" s="3"/>
      <c r="HVL12" s="3"/>
      <c r="HVM12" s="3"/>
      <c r="HVN12" s="3"/>
      <c r="HVO12" s="3"/>
      <c r="HVP12" s="3"/>
      <c r="HVQ12" s="3"/>
      <c r="HVR12" s="3"/>
      <c r="HVS12" s="3"/>
      <c r="HVT12" s="3"/>
      <c r="HVU12" s="3"/>
      <c r="HVV12" s="3"/>
      <c r="HVW12" s="3"/>
      <c r="HVX12" s="3"/>
      <c r="HVY12" s="3"/>
      <c r="HVZ12" s="3"/>
      <c r="HWA12" s="3"/>
      <c r="HWB12" s="3"/>
      <c r="HWC12" s="3"/>
      <c r="HWD12" s="3"/>
      <c r="HWE12" s="3"/>
      <c r="HWF12" s="3"/>
      <c r="HWG12" s="3"/>
      <c r="HWH12" s="3"/>
      <c r="HWI12" s="3"/>
      <c r="HWJ12" s="3"/>
      <c r="HWK12" s="3"/>
      <c r="HWL12" s="3"/>
      <c r="HWM12" s="3"/>
      <c r="HWN12" s="3"/>
      <c r="HWO12" s="3"/>
      <c r="HWP12" s="3"/>
      <c r="HWQ12" s="3"/>
      <c r="HWR12" s="3"/>
      <c r="HWS12" s="3"/>
      <c r="HWT12" s="3"/>
      <c r="HWU12" s="3"/>
      <c r="HWV12" s="3"/>
      <c r="HWW12" s="3"/>
      <c r="HWX12" s="3"/>
      <c r="HWY12" s="3"/>
      <c r="HWZ12" s="3"/>
      <c r="HXA12" s="3"/>
      <c r="HXB12" s="3"/>
      <c r="HXC12" s="3"/>
      <c r="HXD12" s="3"/>
      <c r="HXE12" s="3"/>
      <c r="HXF12" s="3"/>
      <c r="HXG12" s="3"/>
      <c r="HXH12" s="3"/>
      <c r="HXI12" s="3"/>
      <c r="HXJ12" s="3"/>
      <c r="HXK12" s="3"/>
      <c r="HXL12" s="3"/>
      <c r="HXM12" s="3"/>
      <c r="HXN12" s="3"/>
      <c r="HXO12" s="3"/>
      <c r="HXP12" s="3"/>
      <c r="HXQ12" s="3"/>
      <c r="HXR12" s="3"/>
      <c r="HXS12" s="3"/>
      <c r="HXT12" s="3"/>
      <c r="HXU12" s="3"/>
      <c r="HXV12" s="3"/>
      <c r="HXW12" s="3"/>
      <c r="HXX12" s="3"/>
      <c r="HXY12" s="3"/>
      <c r="HXZ12" s="3"/>
      <c r="HYA12" s="3"/>
      <c r="HYB12" s="3"/>
      <c r="HYC12" s="3"/>
      <c r="HYD12" s="3"/>
      <c r="HYE12" s="3"/>
      <c r="HYF12" s="3"/>
      <c r="HYG12" s="3"/>
      <c r="HYH12" s="3"/>
      <c r="HYI12" s="3"/>
      <c r="HYJ12" s="3"/>
      <c r="HYK12" s="3"/>
      <c r="HYL12" s="3"/>
      <c r="HYM12" s="3"/>
      <c r="HYN12" s="3"/>
      <c r="HYO12" s="3"/>
      <c r="HYP12" s="3"/>
      <c r="HYQ12" s="3"/>
      <c r="HYR12" s="3"/>
      <c r="HYS12" s="3"/>
      <c r="HYT12" s="3"/>
      <c r="HYU12" s="3"/>
      <c r="HYV12" s="3"/>
      <c r="HYW12" s="3"/>
      <c r="HYX12" s="3"/>
      <c r="HYY12" s="3"/>
      <c r="HYZ12" s="3"/>
      <c r="HZA12" s="3"/>
      <c r="HZB12" s="3"/>
      <c r="HZC12" s="3"/>
      <c r="HZD12" s="3"/>
      <c r="HZE12" s="3"/>
      <c r="HZF12" s="3"/>
      <c r="HZG12" s="3"/>
      <c r="HZH12" s="3"/>
      <c r="HZI12" s="3"/>
      <c r="HZJ12" s="3"/>
      <c r="HZK12" s="3"/>
      <c r="HZL12" s="3"/>
      <c r="HZM12" s="3"/>
      <c r="HZN12" s="3"/>
      <c r="HZO12" s="3"/>
      <c r="HZP12" s="3"/>
      <c r="HZQ12" s="3"/>
      <c r="HZR12" s="3"/>
      <c r="HZS12" s="3"/>
      <c r="HZT12" s="3"/>
      <c r="HZU12" s="3"/>
      <c r="HZV12" s="3"/>
      <c r="HZW12" s="3"/>
      <c r="HZX12" s="3"/>
      <c r="HZY12" s="3"/>
      <c r="HZZ12" s="3"/>
      <c r="IAA12" s="3"/>
      <c r="IAB12" s="3"/>
      <c r="IAC12" s="3"/>
      <c r="IAD12" s="3"/>
      <c r="IAE12" s="3"/>
      <c r="IAF12" s="3"/>
      <c r="IAG12" s="3"/>
      <c r="IAH12" s="3"/>
      <c r="IAI12" s="3"/>
      <c r="IAJ12" s="3"/>
      <c r="IAK12" s="3"/>
      <c r="IAL12" s="3"/>
      <c r="IAM12" s="3"/>
      <c r="IAN12" s="3"/>
      <c r="IAO12" s="3"/>
      <c r="IAP12" s="3"/>
      <c r="IAQ12" s="3"/>
      <c r="IAR12" s="3"/>
      <c r="IAS12" s="3"/>
      <c r="IAT12" s="3"/>
      <c r="IAU12" s="3"/>
      <c r="IAV12" s="3"/>
      <c r="IAW12" s="3"/>
      <c r="IAX12" s="3"/>
      <c r="IAY12" s="3"/>
      <c r="IAZ12" s="3"/>
      <c r="IBA12" s="3"/>
      <c r="IBB12" s="3"/>
      <c r="IBC12" s="3"/>
      <c r="IBD12" s="3"/>
      <c r="IBE12" s="3"/>
      <c r="IBF12" s="3"/>
      <c r="IBG12" s="3"/>
      <c r="IBH12" s="3"/>
      <c r="IBI12" s="3"/>
      <c r="IBJ12" s="3"/>
      <c r="IBK12" s="3"/>
      <c r="IBL12" s="3"/>
      <c r="IBM12" s="3"/>
      <c r="IBN12" s="3"/>
      <c r="IBO12" s="3"/>
      <c r="IBP12" s="3"/>
      <c r="IBQ12" s="3"/>
      <c r="IBR12" s="3"/>
      <c r="IBS12" s="3"/>
      <c r="IBT12" s="3"/>
      <c r="IBU12" s="3"/>
      <c r="IBV12" s="3"/>
      <c r="IBW12" s="3"/>
      <c r="IBX12" s="3"/>
      <c r="IBY12" s="3"/>
      <c r="IBZ12" s="3"/>
      <c r="ICA12" s="3"/>
      <c r="ICB12" s="3"/>
      <c r="ICC12" s="3"/>
      <c r="ICD12" s="3"/>
      <c r="ICE12" s="3"/>
      <c r="ICF12" s="3"/>
      <c r="ICG12" s="3"/>
      <c r="ICH12" s="3"/>
      <c r="ICI12" s="3"/>
      <c r="ICJ12" s="3"/>
      <c r="ICK12" s="3"/>
      <c r="ICL12" s="3"/>
      <c r="ICM12" s="3"/>
      <c r="ICN12" s="3"/>
      <c r="ICO12" s="3"/>
      <c r="ICP12" s="3"/>
      <c r="ICQ12" s="3"/>
      <c r="ICR12" s="3"/>
      <c r="ICS12" s="3"/>
      <c r="ICT12" s="3"/>
      <c r="ICU12" s="3"/>
      <c r="ICV12" s="3"/>
      <c r="ICW12" s="3"/>
      <c r="ICX12" s="3"/>
      <c r="ICY12" s="3"/>
      <c r="ICZ12" s="3"/>
      <c r="IDA12" s="3"/>
      <c r="IDB12" s="3"/>
      <c r="IDC12" s="3"/>
      <c r="IDD12" s="3"/>
      <c r="IDE12" s="3"/>
      <c r="IDF12" s="3"/>
      <c r="IDG12" s="3"/>
      <c r="IDH12" s="3"/>
      <c r="IDI12" s="3"/>
      <c r="IDJ12" s="3"/>
      <c r="IDK12" s="3"/>
      <c r="IDL12" s="3"/>
      <c r="IDM12" s="3"/>
      <c r="IDN12" s="3"/>
      <c r="IDO12" s="3"/>
      <c r="IDP12" s="3"/>
      <c r="IDQ12" s="3"/>
      <c r="IDR12" s="3"/>
      <c r="IDS12" s="3"/>
      <c r="IDT12" s="3"/>
      <c r="IDU12" s="3"/>
      <c r="IDV12" s="3"/>
      <c r="IDW12" s="3"/>
      <c r="IDX12" s="3"/>
      <c r="IDY12" s="3"/>
      <c r="IDZ12" s="3"/>
      <c r="IEA12" s="3"/>
      <c r="IEB12" s="3"/>
      <c r="IEC12" s="3"/>
      <c r="IED12" s="3"/>
      <c r="IEE12" s="3"/>
      <c r="IEF12" s="3"/>
      <c r="IEG12" s="3"/>
      <c r="IEH12" s="3"/>
      <c r="IEI12" s="3"/>
      <c r="IEJ12" s="3"/>
      <c r="IEK12" s="3"/>
      <c r="IEL12" s="3"/>
      <c r="IEM12" s="3"/>
      <c r="IEN12" s="3"/>
      <c r="IEO12" s="3"/>
      <c r="IEP12" s="3"/>
      <c r="IEQ12" s="3"/>
      <c r="IER12" s="3"/>
      <c r="IES12" s="3"/>
      <c r="IET12" s="3"/>
      <c r="IEU12" s="3"/>
      <c r="IEV12" s="3"/>
      <c r="IEW12" s="3"/>
      <c r="IEX12" s="3"/>
      <c r="IEY12" s="3"/>
      <c r="IEZ12" s="3"/>
      <c r="IFA12" s="3"/>
      <c r="IFB12" s="3"/>
      <c r="IFC12" s="3"/>
      <c r="IFD12" s="3"/>
      <c r="IFE12" s="3"/>
      <c r="IFF12" s="3"/>
      <c r="IFG12" s="3"/>
      <c r="IFH12" s="3"/>
      <c r="IFI12" s="3"/>
      <c r="IFJ12" s="3"/>
      <c r="IFK12" s="3"/>
      <c r="IFL12" s="3"/>
      <c r="IFM12" s="3"/>
      <c r="IFN12" s="3"/>
      <c r="IFO12" s="3"/>
      <c r="IFP12" s="3"/>
      <c r="IFQ12" s="3"/>
      <c r="IFR12" s="3"/>
      <c r="IFS12" s="3"/>
      <c r="IFT12" s="3"/>
      <c r="IFU12" s="3"/>
      <c r="IFV12" s="3"/>
      <c r="IFW12" s="3"/>
      <c r="IFX12" s="3"/>
      <c r="IFY12" s="3"/>
      <c r="IFZ12" s="3"/>
      <c r="IGA12" s="3"/>
      <c r="IGB12" s="3"/>
      <c r="IGC12" s="3"/>
      <c r="IGD12" s="3"/>
      <c r="IGE12" s="3"/>
      <c r="IGF12" s="3"/>
      <c r="IGG12" s="3"/>
      <c r="IGH12" s="3"/>
      <c r="IGI12" s="3"/>
      <c r="IGJ12" s="3"/>
      <c r="IGK12" s="3"/>
      <c r="IGL12" s="3"/>
      <c r="IGM12" s="3"/>
      <c r="IGN12" s="3"/>
      <c r="IGO12" s="3"/>
      <c r="IGP12" s="3"/>
      <c r="IGQ12" s="3"/>
      <c r="IGR12" s="3"/>
      <c r="IGS12" s="3"/>
      <c r="IGT12" s="3"/>
      <c r="IGU12" s="3"/>
      <c r="IGV12" s="3"/>
      <c r="IGW12" s="3"/>
      <c r="IGX12" s="3"/>
      <c r="IGY12" s="3"/>
      <c r="IGZ12" s="3"/>
      <c r="IHA12" s="3"/>
      <c r="IHB12" s="3"/>
      <c r="IHC12" s="3"/>
      <c r="IHD12" s="3"/>
      <c r="IHE12" s="3"/>
      <c r="IHF12" s="3"/>
      <c r="IHG12" s="3"/>
      <c r="IHH12" s="3"/>
      <c r="IHI12" s="3"/>
      <c r="IHJ12" s="3"/>
      <c r="IHK12" s="3"/>
      <c r="IHL12" s="3"/>
      <c r="IHM12" s="3"/>
      <c r="IHN12" s="3"/>
      <c r="IHO12" s="3"/>
      <c r="IHP12" s="3"/>
      <c r="IHQ12" s="3"/>
      <c r="IHR12" s="3"/>
      <c r="IHS12" s="3"/>
      <c r="IHT12" s="3"/>
      <c r="IHU12" s="3"/>
      <c r="IHV12" s="3"/>
      <c r="IHW12" s="3"/>
      <c r="IHX12" s="3"/>
      <c r="IHY12" s="3"/>
      <c r="IHZ12" s="3"/>
      <c r="IIA12" s="3"/>
      <c r="IIB12" s="3"/>
      <c r="IIC12" s="3"/>
      <c r="IID12" s="3"/>
      <c r="IIE12" s="3"/>
      <c r="IIF12" s="3"/>
      <c r="IIG12" s="3"/>
      <c r="IIH12" s="3"/>
      <c r="III12" s="3"/>
      <c r="IIJ12" s="3"/>
      <c r="IIK12" s="3"/>
      <c r="IIL12" s="3"/>
      <c r="IIM12" s="3"/>
      <c r="IIN12" s="3"/>
      <c r="IIO12" s="3"/>
      <c r="IIP12" s="3"/>
      <c r="IIQ12" s="3"/>
      <c r="IIR12" s="3"/>
      <c r="IIS12" s="3"/>
      <c r="IIT12" s="3"/>
      <c r="IIU12" s="3"/>
      <c r="IIV12" s="3"/>
      <c r="IIW12" s="3"/>
      <c r="IIX12" s="3"/>
      <c r="IIY12" s="3"/>
      <c r="IIZ12" s="3"/>
      <c r="IJA12" s="3"/>
      <c r="IJB12" s="3"/>
      <c r="IJC12" s="3"/>
      <c r="IJD12" s="3"/>
      <c r="IJE12" s="3"/>
      <c r="IJF12" s="3"/>
      <c r="IJG12" s="3"/>
      <c r="IJH12" s="3"/>
      <c r="IJI12" s="3"/>
      <c r="IJJ12" s="3"/>
      <c r="IJK12" s="3"/>
      <c r="IJL12" s="3"/>
      <c r="IJM12" s="3"/>
      <c r="IJN12" s="3"/>
      <c r="IJO12" s="3"/>
      <c r="IJP12" s="3"/>
      <c r="IJQ12" s="3"/>
      <c r="IJR12" s="3"/>
      <c r="IJS12" s="3"/>
      <c r="IJT12" s="3"/>
      <c r="IJU12" s="3"/>
      <c r="IJV12" s="3"/>
      <c r="IJW12" s="3"/>
      <c r="IJX12" s="3"/>
      <c r="IJY12" s="3"/>
      <c r="IJZ12" s="3"/>
      <c r="IKA12" s="3"/>
      <c r="IKB12" s="3"/>
      <c r="IKC12" s="3"/>
      <c r="IKD12" s="3"/>
      <c r="IKE12" s="3"/>
      <c r="IKF12" s="3"/>
      <c r="IKG12" s="3"/>
      <c r="IKH12" s="3"/>
      <c r="IKI12" s="3"/>
      <c r="IKJ12" s="3"/>
      <c r="IKK12" s="3"/>
      <c r="IKL12" s="3"/>
      <c r="IKM12" s="3"/>
      <c r="IKN12" s="3"/>
      <c r="IKO12" s="3"/>
      <c r="IKP12" s="3"/>
      <c r="IKQ12" s="3"/>
      <c r="IKR12" s="3"/>
      <c r="IKS12" s="3"/>
      <c r="IKT12" s="3"/>
      <c r="IKU12" s="3"/>
      <c r="IKV12" s="3"/>
      <c r="IKW12" s="3"/>
      <c r="IKX12" s="3"/>
      <c r="IKY12" s="3"/>
      <c r="IKZ12" s="3"/>
      <c r="ILA12" s="3"/>
      <c r="ILB12" s="3"/>
      <c r="ILC12" s="3"/>
      <c r="ILD12" s="3"/>
      <c r="ILE12" s="3"/>
      <c r="ILF12" s="3"/>
      <c r="ILG12" s="3"/>
      <c r="ILH12" s="3"/>
      <c r="ILI12" s="3"/>
      <c r="ILJ12" s="3"/>
      <c r="ILK12" s="3"/>
      <c r="ILL12" s="3"/>
      <c r="ILM12" s="3"/>
      <c r="ILN12" s="3"/>
      <c r="ILO12" s="3"/>
      <c r="ILP12" s="3"/>
      <c r="ILQ12" s="3"/>
      <c r="ILR12" s="3"/>
      <c r="ILS12" s="3"/>
      <c r="ILT12" s="3"/>
      <c r="ILU12" s="3"/>
      <c r="ILV12" s="3"/>
      <c r="ILW12" s="3"/>
      <c r="ILX12" s="3"/>
      <c r="ILY12" s="3"/>
      <c r="ILZ12" s="3"/>
      <c r="IMA12" s="3"/>
      <c r="IMB12" s="3"/>
      <c r="IMC12" s="3"/>
      <c r="IMD12" s="3"/>
      <c r="IME12" s="3"/>
      <c r="IMF12" s="3"/>
      <c r="IMG12" s="3"/>
      <c r="IMH12" s="3"/>
      <c r="IMI12" s="3"/>
      <c r="IMJ12" s="3"/>
      <c r="IMK12" s="3"/>
      <c r="IML12" s="3"/>
      <c r="IMM12" s="3"/>
      <c r="IMN12" s="3"/>
      <c r="IMO12" s="3"/>
      <c r="IMP12" s="3"/>
      <c r="IMQ12" s="3"/>
      <c r="IMR12" s="3"/>
      <c r="IMS12" s="3"/>
      <c r="IMT12" s="3"/>
      <c r="IMU12" s="3"/>
      <c r="IMV12" s="3"/>
      <c r="IMW12" s="3"/>
      <c r="IMX12" s="3"/>
      <c r="IMY12" s="3"/>
      <c r="IMZ12" s="3"/>
      <c r="INA12" s="3"/>
      <c r="INB12" s="3"/>
      <c r="INC12" s="3"/>
      <c r="IND12" s="3"/>
      <c r="INE12" s="3"/>
      <c r="INF12" s="3"/>
      <c r="ING12" s="3"/>
      <c r="INH12" s="3"/>
      <c r="INI12" s="3"/>
      <c r="INJ12" s="3"/>
      <c r="INK12" s="3"/>
      <c r="INL12" s="3"/>
      <c r="INM12" s="3"/>
      <c r="INN12" s="3"/>
      <c r="INO12" s="3"/>
      <c r="INP12" s="3"/>
      <c r="INQ12" s="3"/>
      <c r="INR12" s="3"/>
      <c r="INS12" s="3"/>
      <c r="INT12" s="3"/>
      <c r="INU12" s="3"/>
      <c r="INV12" s="3"/>
      <c r="INW12" s="3"/>
      <c r="INX12" s="3"/>
      <c r="INY12" s="3"/>
      <c r="INZ12" s="3"/>
      <c r="IOA12" s="3"/>
      <c r="IOB12" s="3"/>
      <c r="IOC12" s="3"/>
      <c r="IOD12" s="3"/>
      <c r="IOE12" s="3"/>
      <c r="IOF12" s="3"/>
      <c r="IOG12" s="3"/>
      <c r="IOH12" s="3"/>
      <c r="IOI12" s="3"/>
      <c r="IOJ12" s="3"/>
      <c r="IOK12" s="3"/>
      <c r="IOL12" s="3"/>
      <c r="IOM12" s="3"/>
      <c r="ION12" s="3"/>
      <c r="IOO12" s="3"/>
      <c r="IOP12" s="3"/>
      <c r="IOQ12" s="3"/>
      <c r="IOR12" s="3"/>
      <c r="IOS12" s="3"/>
      <c r="IOT12" s="3"/>
      <c r="IOU12" s="3"/>
      <c r="IOV12" s="3"/>
      <c r="IOW12" s="3"/>
      <c r="IOX12" s="3"/>
      <c r="IOY12" s="3"/>
      <c r="IOZ12" s="3"/>
      <c r="IPA12" s="3"/>
      <c r="IPB12" s="3"/>
      <c r="IPC12" s="3"/>
      <c r="IPD12" s="3"/>
      <c r="IPE12" s="3"/>
      <c r="IPF12" s="3"/>
      <c r="IPG12" s="3"/>
      <c r="IPH12" s="3"/>
      <c r="IPI12" s="3"/>
      <c r="IPJ12" s="3"/>
      <c r="IPK12" s="3"/>
      <c r="IPL12" s="3"/>
      <c r="IPM12" s="3"/>
      <c r="IPN12" s="3"/>
      <c r="IPO12" s="3"/>
      <c r="IPP12" s="3"/>
      <c r="IPQ12" s="3"/>
      <c r="IPR12" s="3"/>
      <c r="IPS12" s="3"/>
      <c r="IPT12" s="3"/>
      <c r="IPU12" s="3"/>
      <c r="IPV12" s="3"/>
      <c r="IPW12" s="3"/>
      <c r="IPX12" s="3"/>
      <c r="IPY12" s="3"/>
      <c r="IPZ12" s="3"/>
      <c r="IQA12" s="3"/>
      <c r="IQB12" s="3"/>
      <c r="IQC12" s="3"/>
      <c r="IQD12" s="3"/>
      <c r="IQE12" s="3"/>
      <c r="IQF12" s="3"/>
      <c r="IQG12" s="3"/>
      <c r="IQH12" s="3"/>
      <c r="IQI12" s="3"/>
      <c r="IQJ12" s="3"/>
      <c r="IQK12" s="3"/>
      <c r="IQL12" s="3"/>
      <c r="IQM12" s="3"/>
      <c r="IQN12" s="3"/>
      <c r="IQO12" s="3"/>
      <c r="IQP12" s="3"/>
      <c r="IQQ12" s="3"/>
      <c r="IQR12" s="3"/>
      <c r="IQS12" s="3"/>
      <c r="IQT12" s="3"/>
      <c r="IQU12" s="3"/>
      <c r="IQV12" s="3"/>
      <c r="IQW12" s="3"/>
      <c r="IQX12" s="3"/>
      <c r="IQY12" s="3"/>
      <c r="IQZ12" s="3"/>
      <c r="IRA12" s="3"/>
      <c r="IRB12" s="3"/>
      <c r="IRC12" s="3"/>
      <c r="IRD12" s="3"/>
      <c r="IRE12" s="3"/>
      <c r="IRF12" s="3"/>
      <c r="IRG12" s="3"/>
      <c r="IRH12" s="3"/>
      <c r="IRI12" s="3"/>
      <c r="IRJ12" s="3"/>
      <c r="IRK12" s="3"/>
      <c r="IRL12" s="3"/>
      <c r="IRM12" s="3"/>
      <c r="IRN12" s="3"/>
      <c r="IRO12" s="3"/>
      <c r="IRP12" s="3"/>
      <c r="IRQ12" s="3"/>
      <c r="IRR12" s="3"/>
      <c r="IRS12" s="3"/>
      <c r="IRT12" s="3"/>
      <c r="IRU12" s="3"/>
      <c r="IRV12" s="3"/>
      <c r="IRW12" s="3"/>
      <c r="IRX12" s="3"/>
      <c r="IRY12" s="3"/>
      <c r="IRZ12" s="3"/>
      <c r="ISA12" s="3"/>
      <c r="ISB12" s="3"/>
      <c r="ISC12" s="3"/>
      <c r="ISD12" s="3"/>
      <c r="ISE12" s="3"/>
      <c r="ISF12" s="3"/>
      <c r="ISG12" s="3"/>
      <c r="ISH12" s="3"/>
      <c r="ISI12" s="3"/>
      <c r="ISJ12" s="3"/>
      <c r="ISK12" s="3"/>
      <c r="ISL12" s="3"/>
      <c r="ISM12" s="3"/>
      <c r="ISN12" s="3"/>
      <c r="ISO12" s="3"/>
      <c r="ISP12" s="3"/>
      <c r="ISQ12" s="3"/>
      <c r="ISR12" s="3"/>
      <c r="ISS12" s="3"/>
      <c r="IST12" s="3"/>
      <c r="ISU12" s="3"/>
      <c r="ISV12" s="3"/>
      <c r="ISW12" s="3"/>
      <c r="ISX12" s="3"/>
      <c r="ISY12" s="3"/>
      <c r="ISZ12" s="3"/>
      <c r="ITA12" s="3"/>
      <c r="ITB12" s="3"/>
      <c r="ITC12" s="3"/>
      <c r="ITD12" s="3"/>
      <c r="ITE12" s="3"/>
      <c r="ITF12" s="3"/>
      <c r="ITG12" s="3"/>
      <c r="ITH12" s="3"/>
      <c r="ITI12" s="3"/>
      <c r="ITJ12" s="3"/>
      <c r="ITK12" s="3"/>
      <c r="ITL12" s="3"/>
      <c r="ITM12" s="3"/>
      <c r="ITN12" s="3"/>
      <c r="ITO12" s="3"/>
      <c r="ITP12" s="3"/>
      <c r="ITQ12" s="3"/>
      <c r="ITR12" s="3"/>
      <c r="ITS12" s="3"/>
      <c r="ITT12" s="3"/>
      <c r="ITU12" s="3"/>
      <c r="ITV12" s="3"/>
      <c r="ITW12" s="3"/>
      <c r="ITX12" s="3"/>
      <c r="ITY12" s="3"/>
      <c r="ITZ12" s="3"/>
      <c r="IUA12" s="3"/>
      <c r="IUB12" s="3"/>
      <c r="IUC12" s="3"/>
      <c r="IUD12" s="3"/>
      <c r="IUE12" s="3"/>
      <c r="IUF12" s="3"/>
      <c r="IUG12" s="3"/>
      <c r="IUH12" s="3"/>
      <c r="IUI12" s="3"/>
      <c r="IUJ12" s="3"/>
      <c r="IUK12" s="3"/>
      <c r="IUL12" s="3"/>
      <c r="IUM12" s="3"/>
      <c r="IUN12" s="3"/>
      <c r="IUO12" s="3"/>
      <c r="IUP12" s="3"/>
      <c r="IUQ12" s="3"/>
      <c r="IUR12" s="3"/>
      <c r="IUS12" s="3"/>
      <c r="IUT12" s="3"/>
      <c r="IUU12" s="3"/>
      <c r="IUV12" s="3"/>
      <c r="IUW12" s="3"/>
      <c r="IUX12" s="3"/>
      <c r="IUY12" s="3"/>
      <c r="IUZ12" s="3"/>
      <c r="IVA12" s="3"/>
      <c r="IVB12" s="3"/>
      <c r="IVC12" s="3"/>
      <c r="IVD12" s="3"/>
      <c r="IVE12" s="3"/>
      <c r="IVF12" s="3"/>
      <c r="IVG12" s="3"/>
      <c r="IVH12" s="3"/>
      <c r="IVI12" s="3"/>
      <c r="IVJ12" s="3"/>
      <c r="IVK12" s="3"/>
      <c r="IVL12" s="3"/>
      <c r="IVM12" s="3"/>
      <c r="IVN12" s="3"/>
      <c r="IVO12" s="3"/>
      <c r="IVP12" s="3"/>
      <c r="IVQ12" s="3"/>
      <c r="IVR12" s="3"/>
      <c r="IVS12" s="3"/>
      <c r="IVT12" s="3"/>
      <c r="IVU12" s="3"/>
      <c r="IVV12" s="3"/>
      <c r="IVW12" s="3"/>
      <c r="IVX12" s="3"/>
      <c r="IVY12" s="3"/>
      <c r="IVZ12" s="3"/>
      <c r="IWA12" s="3"/>
      <c r="IWB12" s="3"/>
      <c r="IWC12" s="3"/>
      <c r="IWD12" s="3"/>
      <c r="IWE12" s="3"/>
      <c r="IWF12" s="3"/>
      <c r="IWG12" s="3"/>
      <c r="IWH12" s="3"/>
      <c r="IWI12" s="3"/>
      <c r="IWJ12" s="3"/>
      <c r="IWK12" s="3"/>
      <c r="IWL12" s="3"/>
      <c r="IWM12" s="3"/>
      <c r="IWN12" s="3"/>
      <c r="IWO12" s="3"/>
      <c r="IWP12" s="3"/>
      <c r="IWQ12" s="3"/>
      <c r="IWR12" s="3"/>
      <c r="IWS12" s="3"/>
      <c r="IWT12" s="3"/>
      <c r="IWU12" s="3"/>
      <c r="IWV12" s="3"/>
      <c r="IWW12" s="3"/>
      <c r="IWX12" s="3"/>
      <c r="IWY12" s="3"/>
      <c r="IWZ12" s="3"/>
      <c r="IXA12" s="3"/>
      <c r="IXB12" s="3"/>
      <c r="IXC12" s="3"/>
      <c r="IXD12" s="3"/>
      <c r="IXE12" s="3"/>
      <c r="IXF12" s="3"/>
      <c r="IXG12" s="3"/>
      <c r="IXH12" s="3"/>
      <c r="IXI12" s="3"/>
      <c r="IXJ12" s="3"/>
      <c r="IXK12" s="3"/>
      <c r="IXL12" s="3"/>
      <c r="IXM12" s="3"/>
      <c r="IXN12" s="3"/>
      <c r="IXO12" s="3"/>
      <c r="IXP12" s="3"/>
      <c r="IXQ12" s="3"/>
      <c r="IXR12" s="3"/>
      <c r="IXS12" s="3"/>
      <c r="IXT12" s="3"/>
      <c r="IXU12" s="3"/>
      <c r="IXV12" s="3"/>
      <c r="IXW12" s="3"/>
      <c r="IXX12" s="3"/>
      <c r="IXY12" s="3"/>
      <c r="IXZ12" s="3"/>
      <c r="IYA12" s="3"/>
      <c r="IYB12" s="3"/>
      <c r="IYC12" s="3"/>
      <c r="IYD12" s="3"/>
      <c r="IYE12" s="3"/>
      <c r="IYF12" s="3"/>
      <c r="IYG12" s="3"/>
      <c r="IYH12" s="3"/>
      <c r="IYI12" s="3"/>
      <c r="IYJ12" s="3"/>
      <c r="IYK12" s="3"/>
      <c r="IYL12" s="3"/>
      <c r="IYM12" s="3"/>
      <c r="IYN12" s="3"/>
      <c r="IYO12" s="3"/>
      <c r="IYP12" s="3"/>
      <c r="IYQ12" s="3"/>
      <c r="IYR12" s="3"/>
      <c r="IYS12" s="3"/>
      <c r="IYT12" s="3"/>
      <c r="IYU12" s="3"/>
      <c r="IYV12" s="3"/>
      <c r="IYW12" s="3"/>
      <c r="IYX12" s="3"/>
      <c r="IYY12" s="3"/>
      <c r="IYZ12" s="3"/>
      <c r="IZA12" s="3"/>
      <c r="IZB12" s="3"/>
      <c r="IZC12" s="3"/>
      <c r="IZD12" s="3"/>
      <c r="IZE12" s="3"/>
      <c r="IZF12" s="3"/>
      <c r="IZG12" s="3"/>
      <c r="IZH12" s="3"/>
      <c r="IZI12" s="3"/>
      <c r="IZJ12" s="3"/>
      <c r="IZK12" s="3"/>
      <c r="IZL12" s="3"/>
      <c r="IZM12" s="3"/>
      <c r="IZN12" s="3"/>
      <c r="IZO12" s="3"/>
      <c r="IZP12" s="3"/>
      <c r="IZQ12" s="3"/>
      <c r="IZR12" s="3"/>
      <c r="IZS12" s="3"/>
      <c r="IZT12" s="3"/>
      <c r="IZU12" s="3"/>
      <c r="IZV12" s="3"/>
      <c r="IZW12" s="3"/>
      <c r="IZX12" s="3"/>
      <c r="IZY12" s="3"/>
      <c r="IZZ12" s="3"/>
      <c r="JAA12" s="3"/>
      <c r="JAB12" s="3"/>
      <c r="JAC12" s="3"/>
      <c r="JAD12" s="3"/>
      <c r="JAE12" s="3"/>
      <c r="JAF12" s="3"/>
      <c r="JAG12" s="3"/>
      <c r="JAH12" s="3"/>
      <c r="JAI12" s="3"/>
      <c r="JAJ12" s="3"/>
      <c r="JAK12" s="3"/>
      <c r="JAL12" s="3"/>
      <c r="JAM12" s="3"/>
      <c r="JAN12" s="3"/>
      <c r="JAO12" s="3"/>
      <c r="JAP12" s="3"/>
      <c r="JAQ12" s="3"/>
      <c r="JAR12" s="3"/>
      <c r="JAS12" s="3"/>
      <c r="JAT12" s="3"/>
      <c r="JAU12" s="3"/>
      <c r="JAV12" s="3"/>
      <c r="JAW12" s="3"/>
      <c r="JAX12" s="3"/>
      <c r="JAY12" s="3"/>
      <c r="JAZ12" s="3"/>
      <c r="JBA12" s="3"/>
      <c r="JBB12" s="3"/>
      <c r="JBC12" s="3"/>
      <c r="JBD12" s="3"/>
      <c r="JBE12" s="3"/>
      <c r="JBF12" s="3"/>
      <c r="JBG12" s="3"/>
      <c r="JBH12" s="3"/>
      <c r="JBI12" s="3"/>
      <c r="JBJ12" s="3"/>
      <c r="JBK12" s="3"/>
      <c r="JBL12" s="3"/>
      <c r="JBM12" s="3"/>
      <c r="JBN12" s="3"/>
      <c r="JBO12" s="3"/>
      <c r="JBP12" s="3"/>
      <c r="JBQ12" s="3"/>
      <c r="JBR12" s="3"/>
      <c r="JBS12" s="3"/>
      <c r="JBT12" s="3"/>
      <c r="JBU12" s="3"/>
      <c r="JBV12" s="3"/>
      <c r="JBW12" s="3"/>
      <c r="JBX12" s="3"/>
      <c r="JBY12" s="3"/>
      <c r="JBZ12" s="3"/>
      <c r="JCA12" s="3"/>
      <c r="JCB12" s="3"/>
      <c r="JCC12" s="3"/>
      <c r="JCD12" s="3"/>
      <c r="JCE12" s="3"/>
      <c r="JCF12" s="3"/>
      <c r="JCG12" s="3"/>
      <c r="JCH12" s="3"/>
      <c r="JCI12" s="3"/>
      <c r="JCJ12" s="3"/>
      <c r="JCK12" s="3"/>
      <c r="JCL12" s="3"/>
      <c r="JCM12" s="3"/>
      <c r="JCN12" s="3"/>
      <c r="JCO12" s="3"/>
      <c r="JCP12" s="3"/>
      <c r="JCQ12" s="3"/>
      <c r="JCR12" s="3"/>
      <c r="JCS12" s="3"/>
      <c r="JCT12" s="3"/>
      <c r="JCU12" s="3"/>
      <c r="JCV12" s="3"/>
      <c r="JCW12" s="3"/>
      <c r="JCX12" s="3"/>
      <c r="JCY12" s="3"/>
      <c r="JCZ12" s="3"/>
      <c r="JDA12" s="3"/>
      <c r="JDB12" s="3"/>
      <c r="JDC12" s="3"/>
      <c r="JDD12" s="3"/>
      <c r="JDE12" s="3"/>
      <c r="JDF12" s="3"/>
      <c r="JDG12" s="3"/>
      <c r="JDH12" s="3"/>
      <c r="JDI12" s="3"/>
      <c r="JDJ12" s="3"/>
      <c r="JDK12" s="3"/>
      <c r="JDL12" s="3"/>
      <c r="JDM12" s="3"/>
      <c r="JDN12" s="3"/>
      <c r="JDO12" s="3"/>
      <c r="JDP12" s="3"/>
      <c r="JDQ12" s="3"/>
      <c r="JDR12" s="3"/>
      <c r="JDS12" s="3"/>
      <c r="JDT12" s="3"/>
      <c r="JDU12" s="3"/>
      <c r="JDV12" s="3"/>
      <c r="JDW12" s="3"/>
      <c r="JDX12" s="3"/>
      <c r="JDY12" s="3"/>
      <c r="JDZ12" s="3"/>
      <c r="JEA12" s="3"/>
      <c r="JEB12" s="3"/>
      <c r="JEC12" s="3"/>
      <c r="JED12" s="3"/>
      <c r="JEE12" s="3"/>
      <c r="JEF12" s="3"/>
      <c r="JEG12" s="3"/>
      <c r="JEH12" s="3"/>
      <c r="JEI12" s="3"/>
      <c r="JEJ12" s="3"/>
      <c r="JEK12" s="3"/>
      <c r="JEL12" s="3"/>
      <c r="JEM12" s="3"/>
      <c r="JEN12" s="3"/>
      <c r="JEO12" s="3"/>
      <c r="JEP12" s="3"/>
      <c r="JEQ12" s="3"/>
      <c r="JER12" s="3"/>
      <c r="JES12" s="3"/>
      <c r="JET12" s="3"/>
      <c r="JEU12" s="3"/>
      <c r="JEV12" s="3"/>
      <c r="JEW12" s="3"/>
      <c r="JEX12" s="3"/>
      <c r="JEY12" s="3"/>
      <c r="JEZ12" s="3"/>
      <c r="JFA12" s="3"/>
      <c r="JFB12" s="3"/>
      <c r="JFC12" s="3"/>
      <c r="JFD12" s="3"/>
      <c r="JFE12" s="3"/>
      <c r="JFF12" s="3"/>
      <c r="JFG12" s="3"/>
      <c r="JFH12" s="3"/>
      <c r="JFI12" s="3"/>
      <c r="JFJ12" s="3"/>
      <c r="JFK12" s="3"/>
      <c r="JFL12" s="3"/>
      <c r="JFM12" s="3"/>
      <c r="JFN12" s="3"/>
      <c r="JFO12" s="3"/>
      <c r="JFP12" s="3"/>
      <c r="JFQ12" s="3"/>
      <c r="JFR12" s="3"/>
      <c r="JFS12" s="3"/>
      <c r="JFT12" s="3"/>
      <c r="JFU12" s="3"/>
      <c r="JFV12" s="3"/>
      <c r="JFW12" s="3"/>
      <c r="JFX12" s="3"/>
      <c r="JFY12" s="3"/>
      <c r="JFZ12" s="3"/>
      <c r="JGA12" s="3"/>
      <c r="JGB12" s="3"/>
      <c r="JGC12" s="3"/>
      <c r="JGD12" s="3"/>
      <c r="JGE12" s="3"/>
      <c r="JGF12" s="3"/>
      <c r="JGG12" s="3"/>
      <c r="JGH12" s="3"/>
      <c r="JGI12" s="3"/>
      <c r="JGJ12" s="3"/>
      <c r="JGK12" s="3"/>
      <c r="JGL12" s="3"/>
      <c r="JGM12" s="3"/>
      <c r="JGN12" s="3"/>
      <c r="JGO12" s="3"/>
      <c r="JGP12" s="3"/>
      <c r="JGQ12" s="3"/>
      <c r="JGR12" s="3"/>
      <c r="JGS12" s="3"/>
      <c r="JGT12" s="3"/>
      <c r="JGU12" s="3"/>
      <c r="JGV12" s="3"/>
      <c r="JGW12" s="3"/>
      <c r="JGX12" s="3"/>
      <c r="JGY12" s="3"/>
      <c r="JGZ12" s="3"/>
      <c r="JHA12" s="3"/>
      <c r="JHB12" s="3"/>
      <c r="JHC12" s="3"/>
      <c r="JHD12" s="3"/>
      <c r="JHE12" s="3"/>
      <c r="JHF12" s="3"/>
      <c r="JHG12" s="3"/>
      <c r="JHH12" s="3"/>
      <c r="JHI12" s="3"/>
      <c r="JHJ12" s="3"/>
      <c r="JHK12" s="3"/>
      <c r="JHL12" s="3"/>
      <c r="JHM12" s="3"/>
      <c r="JHN12" s="3"/>
      <c r="JHO12" s="3"/>
      <c r="JHP12" s="3"/>
      <c r="JHQ12" s="3"/>
      <c r="JHR12" s="3"/>
      <c r="JHS12" s="3"/>
      <c r="JHT12" s="3"/>
      <c r="JHU12" s="3"/>
      <c r="JHV12" s="3"/>
      <c r="JHW12" s="3"/>
      <c r="JHX12" s="3"/>
      <c r="JHY12" s="3"/>
      <c r="JHZ12" s="3"/>
      <c r="JIA12" s="3"/>
      <c r="JIB12" s="3"/>
      <c r="JIC12" s="3"/>
      <c r="JID12" s="3"/>
      <c r="JIE12" s="3"/>
      <c r="JIF12" s="3"/>
      <c r="JIG12" s="3"/>
      <c r="JIH12" s="3"/>
      <c r="JII12" s="3"/>
      <c r="JIJ12" s="3"/>
      <c r="JIK12" s="3"/>
      <c r="JIL12" s="3"/>
      <c r="JIM12" s="3"/>
      <c r="JIN12" s="3"/>
      <c r="JIO12" s="3"/>
      <c r="JIP12" s="3"/>
      <c r="JIQ12" s="3"/>
      <c r="JIR12" s="3"/>
      <c r="JIS12" s="3"/>
      <c r="JIT12" s="3"/>
      <c r="JIU12" s="3"/>
      <c r="JIV12" s="3"/>
      <c r="JIW12" s="3"/>
      <c r="JIX12" s="3"/>
      <c r="JIY12" s="3"/>
      <c r="JIZ12" s="3"/>
      <c r="JJA12" s="3"/>
      <c r="JJB12" s="3"/>
      <c r="JJC12" s="3"/>
      <c r="JJD12" s="3"/>
      <c r="JJE12" s="3"/>
      <c r="JJF12" s="3"/>
      <c r="JJG12" s="3"/>
      <c r="JJH12" s="3"/>
      <c r="JJI12" s="3"/>
      <c r="JJJ12" s="3"/>
      <c r="JJK12" s="3"/>
      <c r="JJL12" s="3"/>
      <c r="JJM12" s="3"/>
      <c r="JJN12" s="3"/>
      <c r="JJO12" s="3"/>
      <c r="JJP12" s="3"/>
      <c r="JJQ12" s="3"/>
      <c r="JJR12" s="3"/>
      <c r="JJS12" s="3"/>
      <c r="JJT12" s="3"/>
      <c r="JJU12" s="3"/>
      <c r="JJV12" s="3"/>
      <c r="JJW12" s="3"/>
      <c r="JJX12" s="3"/>
      <c r="JJY12" s="3"/>
      <c r="JJZ12" s="3"/>
      <c r="JKA12" s="3"/>
      <c r="JKB12" s="3"/>
      <c r="JKC12" s="3"/>
      <c r="JKD12" s="3"/>
      <c r="JKE12" s="3"/>
      <c r="JKF12" s="3"/>
      <c r="JKG12" s="3"/>
      <c r="JKH12" s="3"/>
      <c r="JKI12" s="3"/>
      <c r="JKJ12" s="3"/>
      <c r="JKK12" s="3"/>
      <c r="JKL12" s="3"/>
      <c r="JKM12" s="3"/>
      <c r="JKN12" s="3"/>
      <c r="JKO12" s="3"/>
      <c r="JKP12" s="3"/>
      <c r="JKQ12" s="3"/>
      <c r="JKR12" s="3"/>
      <c r="JKS12" s="3"/>
      <c r="JKT12" s="3"/>
      <c r="JKU12" s="3"/>
      <c r="JKV12" s="3"/>
      <c r="JKW12" s="3"/>
      <c r="JKX12" s="3"/>
      <c r="JKY12" s="3"/>
      <c r="JKZ12" s="3"/>
      <c r="JLA12" s="3"/>
      <c r="JLB12" s="3"/>
      <c r="JLC12" s="3"/>
      <c r="JLD12" s="3"/>
      <c r="JLE12" s="3"/>
      <c r="JLF12" s="3"/>
      <c r="JLG12" s="3"/>
      <c r="JLH12" s="3"/>
      <c r="JLI12" s="3"/>
      <c r="JLJ12" s="3"/>
      <c r="JLK12" s="3"/>
      <c r="JLL12" s="3"/>
      <c r="JLM12" s="3"/>
      <c r="JLN12" s="3"/>
      <c r="JLO12" s="3"/>
      <c r="JLP12" s="3"/>
      <c r="JLQ12" s="3"/>
      <c r="JLR12" s="3"/>
      <c r="JLS12" s="3"/>
      <c r="JLT12" s="3"/>
      <c r="JLU12" s="3"/>
      <c r="JLV12" s="3"/>
      <c r="JLW12" s="3"/>
      <c r="JLX12" s="3"/>
      <c r="JLY12" s="3"/>
      <c r="JLZ12" s="3"/>
      <c r="JMA12" s="3"/>
      <c r="JMB12" s="3"/>
      <c r="JMC12" s="3"/>
      <c r="JMD12" s="3"/>
      <c r="JME12" s="3"/>
      <c r="JMF12" s="3"/>
      <c r="JMG12" s="3"/>
      <c r="JMH12" s="3"/>
      <c r="JMI12" s="3"/>
      <c r="JMJ12" s="3"/>
      <c r="JMK12" s="3"/>
      <c r="JML12" s="3"/>
      <c r="JMM12" s="3"/>
      <c r="JMN12" s="3"/>
      <c r="JMO12" s="3"/>
      <c r="JMP12" s="3"/>
      <c r="JMQ12" s="3"/>
      <c r="JMR12" s="3"/>
      <c r="JMS12" s="3"/>
      <c r="JMT12" s="3"/>
      <c r="JMU12" s="3"/>
      <c r="JMV12" s="3"/>
      <c r="JMW12" s="3"/>
      <c r="JMX12" s="3"/>
      <c r="JMY12" s="3"/>
      <c r="JMZ12" s="3"/>
      <c r="JNA12" s="3"/>
      <c r="JNB12" s="3"/>
      <c r="JNC12" s="3"/>
      <c r="JND12" s="3"/>
      <c r="JNE12" s="3"/>
      <c r="JNF12" s="3"/>
      <c r="JNG12" s="3"/>
      <c r="JNH12" s="3"/>
      <c r="JNI12" s="3"/>
      <c r="JNJ12" s="3"/>
      <c r="JNK12" s="3"/>
      <c r="JNL12" s="3"/>
      <c r="JNM12" s="3"/>
      <c r="JNN12" s="3"/>
      <c r="JNO12" s="3"/>
      <c r="JNP12" s="3"/>
      <c r="JNQ12" s="3"/>
      <c r="JNR12" s="3"/>
      <c r="JNS12" s="3"/>
      <c r="JNT12" s="3"/>
      <c r="JNU12" s="3"/>
      <c r="JNV12" s="3"/>
      <c r="JNW12" s="3"/>
      <c r="JNX12" s="3"/>
      <c r="JNY12" s="3"/>
      <c r="JNZ12" s="3"/>
      <c r="JOA12" s="3"/>
      <c r="JOB12" s="3"/>
      <c r="JOC12" s="3"/>
      <c r="JOD12" s="3"/>
      <c r="JOE12" s="3"/>
      <c r="JOF12" s="3"/>
      <c r="JOG12" s="3"/>
      <c r="JOH12" s="3"/>
      <c r="JOI12" s="3"/>
      <c r="JOJ12" s="3"/>
      <c r="JOK12" s="3"/>
      <c r="JOL12" s="3"/>
      <c r="JOM12" s="3"/>
      <c r="JON12" s="3"/>
      <c r="JOO12" s="3"/>
      <c r="JOP12" s="3"/>
      <c r="JOQ12" s="3"/>
      <c r="JOR12" s="3"/>
      <c r="JOS12" s="3"/>
      <c r="JOT12" s="3"/>
      <c r="JOU12" s="3"/>
      <c r="JOV12" s="3"/>
      <c r="JOW12" s="3"/>
      <c r="JOX12" s="3"/>
      <c r="JOY12" s="3"/>
      <c r="JOZ12" s="3"/>
      <c r="JPA12" s="3"/>
      <c r="JPB12" s="3"/>
      <c r="JPC12" s="3"/>
      <c r="JPD12" s="3"/>
      <c r="JPE12" s="3"/>
      <c r="JPF12" s="3"/>
      <c r="JPG12" s="3"/>
      <c r="JPH12" s="3"/>
      <c r="JPI12" s="3"/>
      <c r="JPJ12" s="3"/>
      <c r="JPK12" s="3"/>
      <c r="JPL12" s="3"/>
      <c r="JPM12" s="3"/>
      <c r="JPN12" s="3"/>
      <c r="JPO12" s="3"/>
      <c r="JPP12" s="3"/>
      <c r="JPQ12" s="3"/>
      <c r="JPR12" s="3"/>
      <c r="JPS12" s="3"/>
      <c r="JPT12" s="3"/>
      <c r="JPU12" s="3"/>
      <c r="JPV12" s="3"/>
      <c r="JPW12" s="3"/>
      <c r="JPX12" s="3"/>
      <c r="JPY12" s="3"/>
      <c r="JPZ12" s="3"/>
      <c r="JQA12" s="3"/>
      <c r="JQB12" s="3"/>
      <c r="JQC12" s="3"/>
      <c r="JQD12" s="3"/>
      <c r="JQE12" s="3"/>
      <c r="JQF12" s="3"/>
      <c r="JQG12" s="3"/>
      <c r="JQH12" s="3"/>
      <c r="JQI12" s="3"/>
      <c r="JQJ12" s="3"/>
      <c r="JQK12" s="3"/>
      <c r="JQL12" s="3"/>
      <c r="JQM12" s="3"/>
      <c r="JQN12" s="3"/>
      <c r="JQO12" s="3"/>
      <c r="JQP12" s="3"/>
      <c r="JQQ12" s="3"/>
      <c r="JQR12" s="3"/>
      <c r="JQS12" s="3"/>
      <c r="JQT12" s="3"/>
      <c r="JQU12" s="3"/>
      <c r="JQV12" s="3"/>
      <c r="JQW12" s="3"/>
      <c r="JQX12" s="3"/>
      <c r="JQY12" s="3"/>
      <c r="JQZ12" s="3"/>
      <c r="JRA12" s="3"/>
      <c r="JRB12" s="3"/>
      <c r="JRC12" s="3"/>
      <c r="JRD12" s="3"/>
      <c r="JRE12" s="3"/>
      <c r="JRF12" s="3"/>
      <c r="JRG12" s="3"/>
      <c r="JRH12" s="3"/>
      <c r="JRI12" s="3"/>
      <c r="JRJ12" s="3"/>
      <c r="JRK12" s="3"/>
      <c r="JRL12" s="3"/>
      <c r="JRM12" s="3"/>
      <c r="JRN12" s="3"/>
      <c r="JRO12" s="3"/>
      <c r="JRP12" s="3"/>
      <c r="JRQ12" s="3"/>
      <c r="JRR12" s="3"/>
      <c r="JRS12" s="3"/>
      <c r="JRT12" s="3"/>
      <c r="JRU12" s="3"/>
      <c r="JRV12" s="3"/>
      <c r="JRW12" s="3"/>
      <c r="JRX12" s="3"/>
      <c r="JRY12" s="3"/>
      <c r="JRZ12" s="3"/>
      <c r="JSA12" s="3"/>
      <c r="JSB12" s="3"/>
      <c r="JSC12" s="3"/>
      <c r="JSD12" s="3"/>
      <c r="JSE12" s="3"/>
      <c r="JSF12" s="3"/>
      <c r="JSG12" s="3"/>
      <c r="JSH12" s="3"/>
      <c r="JSI12" s="3"/>
      <c r="JSJ12" s="3"/>
      <c r="JSK12" s="3"/>
      <c r="JSL12" s="3"/>
      <c r="JSM12" s="3"/>
      <c r="JSN12" s="3"/>
      <c r="JSO12" s="3"/>
      <c r="JSP12" s="3"/>
      <c r="JSQ12" s="3"/>
      <c r="JSR12" s="3"/>
      <c r="JSS12" s="3"/>
      <c r="JST12" s="3"/>
      <c r="JSU12" s="3"/>
      <c r="JSV12" s="3"/>
      <c r="JSW12" s="3"/>
      <c r="JSX12" s="3"/>
      <c r="JSY12" s="3"/>
      <c r="JSZ12" s="3"/>
      <c r="JTA12" s="3"/>
      <c r="JTB12" s="3"/>
      <c r="JTC12" s="3"/>
      <c r="JTD12" s="3"/>
      <c r="JTE12" s="3"/>
      <c r="JTF12" s="3"/>
      <c r="JTG12" s="3"/>
      <c r="JTH12" s="3"/>
      <c r="JTI12" s="3"/>
      <c r="JTJ12" s="3"/>
      <c r="JTK12" s="3"/>
      <c r="JTL12" s="3"/>
      <c r="JTM12" s="3"/>
      <c r="JTN12" s="3"/>
      <c r="JTO12" s="3"/>
      <c r="JTP12" s="3"/>
      <c r="JTQ12" s="3"/>
      <c r="JTR12" s="3"/>
      <c r="JTS12" s="3"/>
      <c r="JTT12" s="3"/>
      <c r="JTU12" s="3"/>
      <c r="JTV12" s="3"/>
      <c r="JTW12" s="3"/>
      <c r="JTX12" s="3"/>
      <c r="JTY12" s="3"/>
      <c r="JTZ12" s="3"/>
      <c r="JUA12" s="3"/>
      <c r="JUB12" s="3"/>
      <c r="JUC12" s="3"/>
      <c r="JUD12" s="3"/>
      <c r="JUE12" s="3"/>
      <c r="JUF12" s="3"/>
      <c r="JUG12" s="3"/>
      <c r="JUH12" s="3"/>
      <c r="JUI12" s="3"/>
      <c r="JUJ12" s="3"/>
      <c r="JUK12" s="3"/>
      <c r="JUL12" s="3"/>
      <c r="JUM12" s="3"/>
      <c r="JUN12" s="3"/>
      <c r="JUO12" s="3"/>
      <c r="JUP12" s="3"/>
      <c r="JUQ12" s="3"/>
      <c r="JUR12" s="3"/>
      <c r="JUS12" s="3"/>
      <c r="JUT12" s="3"/>
      <c r="JUU12" s="3"/>
      <c r="JUV12" s="3"/>
      <c r="JUW12" s="3"/>
      <c r="JUX12" s="3"/>
      <c r="JUY12" s="3"/>
      <c r="JUZ12" s="3"/>
      <c r="JVA12" s="3"/>
      <c r="JVB12" s="3"/>
      <c r="JVC12" s="3"/>
      <c r="JVD12" s="3"/>
      <c r="JVE12" s="3"/>
      <c r="JVF12" s="3"/>
      <c r="JVG12" s="3"/>
      <c r="JVH12" s="3"/>
      <c r="JVI12" s="3"/>
      <c r="JVJ12" s="3"/>
      <c r="JVK12" s="3"/>
      <c r="JVL12" s="3"/>
      <c r="JVM12" s="3"/>
      <c r="JVN12" s="3"/>
      <c r="JVO12" s="3"/>
      <c r="JVP12" s="3"/>
      <c r="JVQ12" s="3"/>
      <c r="JVR12" s="3"/>
      <c r="JVS12" s="3"/>
      <c r="JVT12" s="3"/>
      <c r="JVU12" s="3"/>
      <c r="JVV12" s="3"/>
      <c r="JVW12" s="3"/>
      <c r="JVX12" s="3"/>
      <c r="JVY12" s="3"/>
      <c r="JVZ12" s="3"/>
      <c r="JWA12" s="3"/>
      <c r="JWB12" s="3"/>
      <c r="JWC12" s="3"/>
      <c r="JWD12" s="3"/>
      <c r="JWE12" s="3"/>
      <c r="JWF12" s="3"/>
      <c r="JWG12" s="3"/>
      <c r="JWH12" s="3"/>
      <c r="JWI12" s="3"/>
      <c r="JWJ12" s="3"/>
      <c r="JWK12" s="3"/>
      <c r="JWL12" s="3"/>
      <c r="JWM12" s="3"/>
      <c r="JWN12" s="3"/>
      <c r="JWO12" s="3"/>
      <c r="JWP12" s="3"/>
      <c r="JWQ12" s="3"/>
      <c r="JWR12" s="3"/>
      <c r="JWS12" s="3"/>
      <c r="JWT12" s="3"/>
      <c r="JWU12" s="3"/>
      <c r="JWV12" s="3"/>
      <c r="JWW12" s="3"/>
      <c r="JWX12" s="3"/>
      <c r="JWY12" s="3"/>
      <c r="JWZ12" s="3"/>
      <c r="JXA12" s="3"/>
      <c r="JXB12" s="3"/>
      <c r="JXC12" s="3"/>
      <c r="JXD12" s="3"/>
      <c r="JXE12" s="3"/>
      <c r="JXF12" s="3"/>
      <c r="JXG12" s="3"/>
      <c r="JXH12" s="3"/>
      <c r="JXI12" s="3"/>
      <c r="JXJ12" s="3"/>
      <c r="JXK12" s="3"/>
      <c r="JXL12" s="3"/>
      <c r="JXM12" s="3"/>
      <c r="JXN12" s="3"/>
      <c r="JXO12" s="3"/>
      <c r="JXP12" s="3"/>
      <c r="JXQ12" s="3"/>
      <c r="JXR12" s="3"/>
      <c r="JXS12" s="3"/>
      <c r="JXT12" s="3"/>
      <c r="JXU12" s="3"/>
      <c r="JXV12" s="3"/>
      <c r="JXW12" s="3"/>
      <c r="JXX12" s="3"/>
      <c r="JXY12" s="3"/>
      <c r="JXZ12" s="3"/>
      <c r="JYA12" s="3"/>
      <c r="JYB12" s="3"/>
      <c r="JYC12" s="3"/>
      <c r="JYD12" s="3"/>
      <c r="JYE12" s="3"/>
      <c r="JYF12" s="3"/>
      <c r="JYG12" s="3"/>
      <c r="JYH12" s="3"/>
      <c r="JYI12" s="3"/>
      <c r="JYJ12" s="3"/>
      <c r="JYK12" s="3"/>
      <c r="JYL12" s="3"/>
      <c r="JYM12" s="3"/>
      <c r="JYN12" s="3"/>
      <c r="JYO12" s="3"/>
      <c r="JYP12" s="3"/>
      <c r="JYQ12" s="3"/>
      <c r="JYR12" s="3"/>
      <c r="JYS12" s="3"/>
      <c r="JYT12" s="3"/>
      <c r="JYU12" s="3"/>
      <c r="JYV12" s="3"/>
      <c r="JYW12" s="3"/>
      <c r="JYX12" s="3"/>
      <c r="JYY12" s="3"/>
      <c r="JYZ12" s="3"/>
      <c r="JZA12" s="3"/>
      <c r="JZB12" s="3"/>
      <c r="JZC12" s="3"/>
      <c r="JZD12" s="3"/>
      <c r="JZE12" s="3"/>
      <c r="JZF12" s="3"/>
      <c r="JZG12" s="3"/>
      <c r="JZH12" s="3"/>
      <c r="JZI12" s="3"/>
      <c r="JZJ12" s="3"/>
      <c r="JZK12" s="3"/>
      <c r="JZL12" s="3"/>
      <c r="JZM12" s="3"/>
      <c r="JZN12" s="3"/>
      <c r="JZO12" s="3"/>
      <c r="JZP12" s="3"/>
      <c r="JZQ12" s="3"/>
      <c r="JZR12" s="3"/>
      <c r="JZS12" s="3"/>
      <c r="JZT12" s="3"/>
      <c r="JZU12" s="3"/>
      <c r="JZV12" s="3"/>
      <c r="JZW12" s="3"/>
      <c r="JZX12" s="3"/>
      <c r="JZY12" s="3"/>
      <c r="JZZ12" s="3"/>
      <c r="KAA12" s="3"/>
      <c r="KAB12" s="3"/>
      <c r="KAC12" s="3"/>
      <c r="KAD12" s="3"/>
      <c r="KAE12" s="3"/>
      <c r="KAF12" s="3"/>
      <c r="KAG12" s="3"/>
      <c r="KAH12" s="3"/>
      <c r="KAI12" s="3"/>
      <c r="KAJ12" s="3"/>
      <c r="KAK12" s="3"/>
      <c r="KAL12" s="3"/>
      <c r="KAM12" s="3"/>
      <c r="KAN12" s="3"/>
      <c r="KAO12" s="3"/>
      <c r="KAP12" s="3"/>
      <c r="KAQ12" s="3"/>
      <c r="KAR12" s="3"/>
      <c r="KAS12" s="3"/>
      <c r="KAT12" s="3"/>
      <c r="KAU12" s="3"/>
      <c r="KAV12" s="3"/>
      <c r="KAW12" s="3"/>
      <c r="KAX12" s="3"/>
      <c r="KAY12" s="3"/>
      <c r="KAZ12" s="3"/>
      <c r="KBA12" s="3"/>
      <c r="KBB12" s="3"/>
      <c r="KBC12" s="3"/>
      <c r="KBD12" s="3"/>
      <c r="KBE12" s="3"/>
      <c r="KBF12" s="3"/>
      <c r="KBG12" s="3"/>
      <c r="KBH12" s="3"/>
      <c r="KBI12" s="3"/>
      <c r="KBJ12" s="3"/>
      <c r="KBK12" s="3"/>
      <c r="KBL12" s="3"/>
      <c r="KBM12" s="3"/>
      <c r="KBN12" s="3"/>
      <c r="KBO12" s="3"/>
      <c r="KBP12" s="3"/>
      <c r="KBQ12" s="3"/>
      <c r="KBR12" s="3"/>
      <c r="KBS12" s="3"/>
      <c r="KBT12" s="3"/>
      <c r="KBU12" s="3"/>
      <c r="KBV12" s="3"/>
      <c r="KBW12" s="3"/>
      <c r="KBX12" s="3"/>
      <c r="KBY12" s="3"/>
      <c r="KBZ12" s="3"/>
      <c r="KCA12" s="3"/>
      <c r="KCB12" s="3"/>
      <c r="KCC12" s="3"/>
      <c r="KCD12" s="3"/>
      <c r="KCE12" s="3"/>
      <c r="KCF12" s="3"/>
      <c r="KCG12" s="3"/>
      <c r="KCH12" s="3"/>
      <c r="KCI12" s="3"/>
      <c r="KCJ12" s="3"/>
      <c r="KCK12" s="3"/>
      <c r="KCL12" s="3"/>
      <c r="KCM12" s="3"/>
      <c r="KCN12" s="3"/>
      <c r="KCO12" s="3"/>
      <c r="KCP12" s="3"/>
      <c r="KCQ12" s="3"/>
      <c r="KCR12" s="3"/>
      <c r="KCS12" s="3"/>
      <c r="KCT12" s="3"/>
      <c r="KCU12" s="3"/>
      <c r="KCV12" s="3"/>
      <c r="KCW12" s="3"/>
      <c r="KCX12" s="3"/>
      <c r="KCY12" s="3"/>
      <c r="KCZ12" s="3"/>
      <c r="KDA12" s="3"/>
      <c r="KDB12" s="3"/>
      <c r="KDC12" s="3"/>
      <c r="KDD12" s="3"/>
      <c r="KDE12" s="3"/>
      <c r="KDF12" s="3"/>
      <c r="KDG12" s="3"/>
      <c r="KDH12" s="3"/>
      <c r="KDI12" s="3"/>
      <c r="KDJ12" s="3"/>
      <c r="KDK12" s="3"/>
      <c r="KDL12" s="3"/>
      <c r="KDM12" s="3"/>
      <c r="KDN12" s="3"/>
      <c r="KDO12" s="3"/>
      <c r="KDP12" s="3"/>
      <c r="KDQ12" s="3"/>
      <c r="KDR12" s="3"/>
      <c r="KDS12" s="3"/>
      <c r="KDT12" s="3"/>
      <c r="KDU12" s="3"/>
      <c r="KDV12" s="3"/>
      <c r="KDW12" s="3"/>
      <c r="KDX12" s="3"/>
      <c r="KDY12" s="3"/>
      <c r="KDZ12" s="3"/>
      <c r="KEA12" s="3"/>
      <c r="KEB12" s="3"/>
      <c r="KEC12" s="3"/>
      <c r="KED12" s="3"/>
      <c r="KEE12" s="3"/>
      <c r="KEF12" s="3"/>
      <c r="KEG12" s="3"/>
      <c r="KEH12" s="3"/>
      <c r="KEI12" s="3"/>
      <c r="KEJ12" s="3"/>
      <c r="KEK12" s="3"/>
      <c r="KEL12" s="3"/>
      <c r="KEM12" s="3"/>
      <c r="KEN12" s="3"/>
      <c r="KEO12" s="3"/>
      <c r="KEP12" s="3"/>
      <c r="KEQ12" s="3"/>
      <c r="KER12" s="3"/>
      <c r="KES12" s="3"/>
      <c r="KET12" s="3"/>
      <c r="KEU12" s="3"/>
      <c r="KEV12" s="3"/>
      <c r="KEW12" s="3"/>
      <c r="KEX12" s="3"/>
      <c r="KEY12" s="3"/>
      <c r="KEZ12" s="3"/>
      <c r="KFA12" s="3"/>
      <c r="KFB12" s="3"/>
      <c r="KFC12" s="3"/>
      <c r="KFD12" s="3"/>
      <c r="KFE12" s="3"/>
      <c r="KFF12" s="3"/>
      <c r="KFG12" s="3"/>
      <c r="KFH12" s="3"/>
      <c r="KFI12" s="3"/>
      <c r="KFJ12" s="3"/>
      <c r="KFK12" s="3"/>
      <c r="KFL12" s="3"/>
      <c r="KFM12" s="3"/>
      <c r="KFN12" s="3"/>
      <c r="KFO12" s="3"/>
      <c r="KFP12" s="3"/>
      <c r="KFQ12" s="3"/>
      <c r="KFR12" s="3"/>
      <c r="KFS12" s="3"/>
      <c r="KFT12" s="3"/>
      <c r="KFU12" s="3"/>
      <c r="KFV12" s="3"/>
      <c r="KFW12" s="3"/>
      <c r="KFX12" s="3"/>
      <c r="KFY12" s="3"/>
      <c r="KFZ12" s="3"/>
      <c r="KGA12" s="3"/>
      <c r="KGB12" s="3"/>
      <c r="KGC12" s="3"/>
      <c r="KGD12" s="3"/>
      <c r="KGE12" s="3"/>
      <c r="KGF12" s="3"/>
      <c r="KGG12" s="3"/>
      <c r="KGH12" s="3"/>
      <c r="KGI12" s="3"/>
      <c r="KGJ12" s="3"/>
      <c r="KGK12" s="3"/>
      <c r="KGL12" s="3"/>
      <c r="KGM12" s="3"/>
      <c r="KGN12" s="3"/>
      <c r="KGO12" s="3"/>
      <c r="KGP12" s="3"/>
      <c r="KGQ12" s="3"/>
      <c r="KGR12" s="3"/>
      <c r="KGS12" s="3"/>
      <c r="KGT12" s="3"/>
      <c r="KGU12" s="3"/>
      <c r="KGV12" s="3"/>
      <c r="KGW12" s="3"/>
      <c r="KGX12" s="3"/>
      <c r="KGY12" s="3"/>
      <c r="KGZ12" s="3"/>
      <c r="KHA12" s="3"/>
      <c r="KHB12" s="3"/>
      <c r="KHC12" s="3"/>
      <c r="KHD12" s="3"/>
      <c r="KHE12" s="3"/>
      <c r="KHF12" s="3"/>
      <c r="KHG12" s="3"/>
      <c r="KHH12" s="3"/>
      <c r="KHI12" s="3"/>
      <c r="KHJ12" s="3"/>
      <c r="KHK12" s="3"/>
      <c r="KHL12" s="3"/>
      <c r="KHM12" s="3"/>
      <c r="KHN12" s="3"/>
      <c r="KHO12" s="3"/>
      <c r="KHP12" s="3"/>
      <c r="KHQ12" s="3"/>
      <c r="KHR12" s="3"/>
      <c r="KHS12" s="3"/>
      <c r="KHT12" s="3"/>
      <c r="KHU12" s="3"/>
      <c r="KHV12" s="3"/>
      <c r="KHW12" s="3"/>
      <c r="KHX12" s="3"/>
      <c r="KHY12" s="3"/>
      <c r="KHZ12" s="3"/>
      <c r="KIA12" s="3"/>
      <c r="KIB12" s="3"/>
      <c r="KIC12" s="3"/>
      <c r="KID12" s="3"/>
      <c r="KIE12" s="3"/>
      <c r="KIF12" s="3"/>
      <c r="KIG12" s="3"/>
      <c r="KIH12" s="3"/>
      <c r="KII12" s="3"/>
      <c r="KIJ12" s="3"/>
      <c r="KIK12" s="3"/>
      <c r="KIL12" s="3"/>
      <c r="KIM12" s="3"/>
      <c r="KIN12" s="3"/>
      <c r="KIO12" s="3"/>
      <c r="KIP12" s="3"/>
      <c r="KIQ12" s="3"/>
      <c r="KIR12" s="3"/>
      <c r="KIS12" s="3"/>
      <c r="KIT12" s="3"/>
      <c r="KIU12" s="3"/>
      <c r="KIV12" s="3"/>
      <c r="KIW12" s="3"/>
      <c r="KIX12" s="3"/>
      <c r="KIY12" s="3"/>
      <c r="KIZ12" s="3"/>
      <c r="KJA12" s="3"/>
      <c r="KJB12" s="3"/>
      <c r="KJC12" s="3"/>
      <c r="KJD12" s="3"/>
      <c r="KJE12" s="3"/>
      <c r="KJF12" s="3"/>
      <c r="KJG12" s="3"/>
      <c r="KJH12" s="3"/>
      <c r="KJI12" s="3"/>
      <c r="KJJ12" s="3"/>
      <c r="KJK12" s="3"/>
      <c r="KJL12" s="3"/>
      <c r="KJM12" s="3"/>
      <c r="KJN12" s="3"/>
      <c r="KJO12" s="3"/>
      <c r="KJP12" s="3"/>
      <c r="KJQ12" s="3"/>
      <c r="KJR12" s="3"/>
      <c r="KJS12" s="3"/>
      <c r="KJT12" s="3"/>
      <c r="KJU12" s="3"/>
      <c r="KJV12" s="3"/>
      <c r="KJW12" s="3"/>
      <c r="KJX12" s="3"/>
      <c r="KJY12" s="3"/>
      <c r="KJZ12" s="3"/>
      <c r="KKA12" s="3"/>
      <c r="KKB12" s="3"/>
      <c r="KKC12" s="3"/>
      <c r="KKD12" s="3"/>
      <c r="KKE12" s="3"/>
      <c r="KKF12" s="3"/>
      <c r="KKG12" s="3"/>
      <c r="KKH12" s="3"/>
      <c r="KKI12" s="3"/>
      <c r="KKJ12" s="3"/>
      <c r="KKK12" s="3"/>
      <c r="KKL12" s="3"/>
      <c r="KKM12" s="3"/>
      <c r="KKN12" s="3"/>
      <c r="KKO12" s="3"/>
      <c r="KKP12" s="3"/>
      <c r="KKQ12" s="3"/>
      <c r="KKR12" s="3"/>
      <c r="KKS12" s="3"/>
      <c r="KKT12" s="3"/>
      <c r="KKU12" s="3"/>
      <c r="KKV12" s="3"/>
      <c r="KKW12" s="3"/>
      <c r="KKX12" s="3"/>
      <c r="KKY12" s="3"/>
      <c r="KKZ12" s="3"/>
      <c r="KLA12" s="3"/>
      <c r="KLB12" s="3"/>
      <c r="KLC12" s="3"/>
      <c r="KLD12" s="3"/>
      <c r="KLE12" s="3"/>
      <c r="KLF12" s="3"/>
      <c r="KLG12" s="3"/>
      <c r="KLH12" s="3"/>
      <c r="KLI12" s="3"/>
      <c r="KLJ12" s="3"/>
      <c r="KLK12" s="3"/>
      <c r="KLL12" s="3"/>
      <c r="KLM12" s="3"/>
      <c r="KLN12" s="3"/>
      <c r="KLO12" s="3"/>
      <c r="KLP12" s="3"/>
      <c r="KLQ12" s="3"/>
      <c r="KLR12" s="3"/>
      <c r="KLS12" s="3"/>
      <c r="KLT12" s="3"/>
      <c r="KLU12" s="3"/>
      <c r="KLV12" s="3"/>
      <c r="KLW12" s="3"/>
      <c r="KLX12" s="3"/>
      <c r="KLY12" s="3"/>
      <c r="KLZ12" s="3"/>
      <c r="KMA12" s="3"/>
      <c r="KMB12" s="3"/>
      <c r="KMC12" s="3"/>
      <c r="KMD12" s="3"/>
      <c r="KME12" s="3"/>
      <c r="KMF12" s="3"/>
      <c r="KMG12" s="3"/>
      <c r="KMH12" s="3"/>
      <c r="KMI12" s="3"/>
      <c r="KMJ12" s="3"/>
      <c r="KMK12" s="3"/>
      <c r="KML12" s="3"/>
      <c r="KMM12" s="3"/>
      <c r="KMN12" s="3"/>
      <c r="KMO12" s="3"/>
      <c r="KMP12" s="3"/>
      <c r="KMQ12" s="3"/>
      <c r="KMR12" s="3"/>
      <c r="KMS12" s="3"/>
      <c r="KMT12" s="3"/>
      <c r="KMU12" s="3"/>
      <c r="KMV12" s="3"/>
      <c r="KMW12" s="3"/>
      <c r="KMX12" s="3"/>
      <c r="KMY12" s="3"/>
      <c r="KMZ12" s="3"/>
      <c r="KNA12" s="3"/>
      <c r="KNB12" s="3"/>
      <c r="KNC12" s="3"/>
      <c r="KND12" s="3"/>
      <c r="KNE12" s="3"/>
      <c r="KNF12" s="3"/>
      <c r="KNG12" s="3"/>
      <c r="KNH12" s="3"/>
      <c r="KNI12" s="3"/>
      <c r="KNJ12" s="3"/>
      <c r="KNK12" s="3"/>
      <c r="KNL12" s="3"/>
      <c r="KNM12" s="3"/>
      <c r="KNN12" s="3"/>
      <c r="KNO12" s="3"/>
      <c r="KNP12" s="3"/>
      <c r="KNQ12" s="3"/>
      <c r="KNR12" s="3"/>
      <c r="KNS12" s="3"/>
      <c r="KNT12" s="3"/>
      <c r="KNU12" s="3"/>
      <c r="KNV12" s="3"/>
      <c r="KNW12" s="3"/>
      <c r="KNX12" s="3"/>
      <c r="KNY12" s="3"/>
      <c r="KNZ12" s="3"/>
      <c r="KOA12" s="3"/>
      <c r="KOB12" s="3"/>
      <c r="KOC12" s="3"/>
      <c r="KOD12" s="3"/>
      <c r="KOE12" s="3"/>
      <c r="KOF12" s="3"/>
      <c r="KOG12" s="3"/>
      <c r="KOH12" s="3"/>
      <c r="KOI12" s="3"/>
      <c r="KOJ12" s="3"/>
      <c r="KOK12" s="3"/>
      <c r="KOL12" s="3"/>
      <c r="KOM12" s="3"/>
      <c r="KON12" s="3"/>
      <c r="KOO12" s="3"/>
      <c r="KOP12" s="3"/>
      <c r="KOQ12" s="3"/>
      <c r="KOR12" s="3"/>
      <c r="KOS12" s="3"/>
      <c r="KOT12" s="3"/>
      <c r="KOU12" s="3"/>
      <c r="KOV12" s="3"/>
      <c r="KOW12" s="3"/>
      <c r="KOX12" s="3"/>
      <c r="KOY12" s="3"/>
      <c r="KOZ12" s="3"/>
      <c r="KPA12" s="3"/>
      <c r="KPB12" s="3"/>
      <c r="KPC12" s="3"/>
      <c r="KPD12" s="3"/>
      <c r="KPE12" s="3"/>
      <c r="KPF12" s="3"/>
      <c r="KPG12" s="3"/>
      <c r="KPH12" s="3"/>
      <c r="KPI12" s="3"/>
      <c r="KPJ12" s="3"/>
      <c r="KPK12" s="3"/>
      <c r="KPL12" s="3"/>
      <c r="KPM12" s="3"/>
      <c r="KPN12" s="3"/>
      <c r="KPO12" s="3"/>
      <c r="KPP12" s="3"/>
      <c r="KPQ12" s="3"/>
      <c r="KPR12" s="3"/>
      <c r="KPS12" s="3"/>
      <c r="KPT12" s="3"/>
      <c r="KPU12" s="3"/>
      <c r="KPV12" s="3"/>
      <c r="KPW12" s="3"/>
      <c r="KPX12" s="3"/>
      <c r="KPY12" s="3"/>
      <c r="KPZ12" s="3"/>
      <c r="KQA12" s="3"/>
      <c r="KQB12" s="3"/>
      <c r="KQC12" s="3"/>
      <c r="KQD12" s="3"/>
      <c r="KQE12" s="3"/>
      <c r="KQF12" s="3"/>
      <c r="KQG12" s="3"/>
      <c r="KQH12" s="3"/>
      <c r="KQI12" s="3"/>
      <c r="KQJ12" s="3"/>
      <c r="KQK12" s="3"/>
      <c r="KQL12" s="3"/>
      <c r="KQM12" s="3"/>
      <c r="KQN12" s="3"/>
      <c r="KQO12" s="3"/>
      <c r="KQP12" s="3"/>
      <c r="KQQ12" s="3"/>
      <c r="KQR12" s="3"/>
      <c r="KQS12" s="3"/>
      <c r="KQT12" s="3"/>
      <c r="KQU12" s="3"/>
      <c r="KQV12" s="3"/>
      <c r="KQW12" s="3"/>
      <c r="KQX12" s="3"/>
      <c r="KQY12" s="3"/>
      <c r="KQZ12" s="3"/>
      <c r="KRA12" s="3"/>
      <c r="KRB12" s="3"/>
      <c r="KRC12" s="3"/>
      <c r="KRD12" s="3"/>
      <c r="KRE12" s="3"/>
      <c r="KRF12" s="3"/>
      <c r="KRG12" s="3"/>
      <c r="KRH12" s="3"/>
      <c r="KRI12" s="3"/>
      <c r="KRJ12" s="3"/>
      <c r="KRK12" s="3"/>
      <c r="KRL12" s="3"/>
      <c r="KRM12" s="3"/>
      <c r="KRN12" s="3"/>
    </row>
    <row r="13" spans="1:7918">
      <c r="A13" s="26" t="e">
        <f t="shared" si="0"/>
        <v>#REF!</v>
      </c>
      <c r="B13" s="388" t="s">
        <v>543</v>
      </c>
      <c r="C13" s="149">
        <v>7870013450</v>
      </c>
      <c r="D13" s="386" t="s">
        <v>543</v>
      </c>
      <c r="E13" s="149" t="str">
        <f>VLOOKUP($B13,'Nomina Unhesa'!$B$4:$AB$209,2,0)</f>
        <v>Encargado Administrativo</v>
      </c>
      <c r="F13" s="149">
        <f>VLOOKUP($B13,'Nomina Unhesa'!$B$4:$AB$209,4,0)</f>
        <v>30</v>
      </c>
      <c r="G13" s="230">
        <f>VLOOKUP($B13,'Nomina Unhesa'!$B$4:$AB$209,6,0)</f>
        <v>4150</v>
      </c>
      <c r="H13" s="230">
        <f>VLOOKUP($B13,'Nomina Unhesa'!$B$4:$AB$209,7,0)</f>
        <v>1500</v>
      </c>
      <c r="I13" s="230">
        <f>VLOOKUP($B13,'Nomina Unhesa'!$B$4:$AB$209,9,0)</f>
        <v>0</v>
      </c>
      <c r="J13" s="232">
        <f>VLOOKUP($B13,'Nomina Unhesa'!$B$4:$AB$209,10,0)</f>
        <v>0</v>
      </c>
      <c r="K13" s="230">
        <f>VLOOKUP($B13,'Nomina Unhesa'!$B$4:$AB$209,11,0)</f>
        <v>0</v>
      </c>
      <c r="L13" s="230">
        <f>VLOOKUP($B13,'Nomina Unhesa'!$B$4:$AB$209,12,0)</f>
        <v>0</v>
      </c>
      <c r="M13" s="230">
        <f>VLOOKUP($B13,'Nomina Unhesa'!$B$4:$AB$209,14,0)</f>
        <v>0</v>
      </c>
      <c r="N13" s="232">
        <f>VLOOKUP($B13,'Nomina Unhesa'!$B$4:$AB$209,15,0)</f>
        <v>5650</v>
      </c>
      <c r="O13" s="232">
        <f>VLOOKUP($B13,'Nomina Unhesa'!$B$4:$AB$209,16,0)</f>
        <v>200.45</v>
      </c>
      <c r="P13" s="232">
        <f>VLOOKUP($B13,'Nomina Unhesa'!$B$4:$AB$209,17,0)</f>
        <v>72.48</v>
      </c>
      <c r="Q13" s="232">
        <f>VLOOKUP($B13,'Nomina Unhesa'!$B$4:$AB$209,18,0)</f>
        <v>0</v>
      </c>
      <c r="R13" s="232">
        <f>VLOOKUP($B13,'Nomina Unhesa'!$B$4:$AB$209,19,0)</f>
        <v>0</v>
      </c>
      <c r="S13" s="232">
        <f>VLOOKUP($B13,'Nomina Unhesa'!$B$4:$AB$209,20,0)</f>
        <v>0</v>
      </c>
      <c r="T13" s="232">
        <f>VLOOKUP($B13,'Nomina Unhesa'!$B$4:$AB$209,21,0)</f>
        <v>0</v>
      </c>
      <c r="U13" s="232">
        <f>VLOOKUP($B13,'Nomina Unhesa'!$B$4:$AB$209,22,0)</f>
        <v>0</v>
      </c>
      <c r="V13" s="232">
        <f>ROUND((VLOOKUP($B13,'Nomina Unhesa'!$B$4:$AB$209,23,0)),2)</f>
        <v>200</v>
      </c>
      <c r="W13" s="232">
        <f>VLOOKUP($B13,'Nomina Unhesa'!$B$4:$AB$209,24,0)</f>
        <v>472.93</v>
      </c>
      <c r="X13" s="233">
        <f>VLOOKUP(B13,'Nomina Unhesa'!$B$9:$Z$163,25,FALSE)</f>
        <v>5177.07</v>
      </c>
      <c r="Y13" s="236">
        <f>ROUND((VLOOKUP(B13,'Nomina Unhesa'!$B$9:$AB$157,26,FALSE)),2)</f>
        <v>2724.78</v>
      </c>
      <c r="Z13" s="211">
        <f>VLOOKUP(B13,'Nomina Unhesa'!$B$9:$AB$158,27,FALSE)</f>
        <v>2452.2899999999995</v>
      </c>
      <c r="AA13" s="438">
        <v>16808582</v>
      </c>
      <c r="AB13" s="387">
        <f>+IFERROR(VLOOKUP(B13,'Nomina Unhesa'!B14:D159,3,0),"")</f>
        <v>4150</v>
      </c>
    </row>
    <row r="14" spans="1:7918">
      <c r="A14" s="26" t="e">
        <f t="shared" si="0"/>
        <v>#REF!</v>
      </c>
      <c r="B14" s="388" t="s">
        <v>544</v>
      </c>
      <c r="C14" s="149">
        <v>2360130674</v>
      </c>
      <c r="D14" s="386" t="s">
        <v>544</v>
      </c>
      <c r="E14" s="149" t="str">
        <f>VLOOKUP($B14,'Nomina Unhesa'!$B$4:$AB$209,2,0)</f>
        <v>Desarrollador de Vta consumidor</v>
      </c>
      <c r="F14" s="149">
        <f>VLOOKUP($B14,'Nomina Unhesa'!$B$4:$AB$209,4,0)</f>
        <v>30</v>
      </c>
      <c r="G14" s="230">
        <f>VLOOKUP($B14,'Nomina Unhesa'!$B$4:$AB$209,6,0)</f>
        <v>3166.38</v>
      </c>
      <c r="H14" s="230">
        <f>VLOOKUP($B14,'Nomina Unhesa'!$B$4:$AB$209,7,0)</f>
        <v>1610.55</v>
      </c>
      <c r="I14" s="230">
        <f>VLOOKUP($B14,'Nomina Unhesa'!$B$4:$AB$209,9,0)</f>
        <v>0</v>
      </c>
      <c r="J14" s="232">
        <f>VLOOKUP($B14,'Nomina Unhesa'!$B$4:$AB$209,10,0)</f>
        <v>0</v>
      </c>
      <c r="K14" s="230">
        <f>VLOOKUP($B14,'Nomina Unhesa'!$B$4:$AB$209,11,0)</f>
        <v>0</v>
      </c>
      <c r="L14" s="230">
        <f>VLOOKUP($B14,'Nomina Unhesa'!$B$4:$AB$209,12,0)</f>
        <v>0</v>
      </c>
      <c r="M14" s="230">
        <f>VLOOKUP($B14,'Nomina Unhesa'!$B$4:$AB$209,14,0)</f>
        <v>0</v>
      </c>
      <c r="N14" s="232">
        <f>VLOOKUP($B14,'Nomina Unhesa'!$B$4:$AB$209,15,0)</f>
        <v>4776.93</v>
      </c>
      <c r="O14" s="232">
        <f>VLOOKUP($B14,'Nomina Unhesa'!$B$4:$AB$209,16,0)</f>
        <v>152.94</v>
      </c>
      <c r="P14" s="232">
        <f>VLOOKUP($B14,'Nomina Unhesa'!$B$4:$AB$209,17,0)</f>
        <v>76.92</v>
      </c>
      <c r="Q14" s="232">
        <f>VLOOKUP($B14,'Nomina Unhesa'!$B$4:$AB$209,18,0)</f>
        <v>0</v>
      </c>
      <c r="R14" s="232">
        <f>VLOOKUP($B14,'Nomina Unhesa'!$B$4:$AB$209,19,0)</f>
        <v>0</v>
      </c>
      <c r="S14" s="232">
        <f>VLOOKUP($B14,'Nomina Unhesa'!$B$4:$AB$209,20,0)</f>
        <v>0</v>
      </c>
      <c r="T14" s="232">
        <f>VLOOKUP($B14,'Nomina Unhesa'!$B$4:$AB$209,21,0)</f>
        <v>0</v>
      </c>
      <c r="U14" s="232">
        <f>VLOOKUP($B14,'Nomina Unhesa'!$B$4:$AB$209,22,0)</f>
        <v>0</v>
      </c>
      <c r="V14" s="232">
        <f>ROUND((VLOOKUP($B14,'Nomina Unhesa'!$B$4:$AB$209,23,0)),2)</f>
        <v>110</v>
      </c>
      <c r="W14" s="232">
        <f>VLOOKUP($B14,'Nomina Unhesa'!$B$4:$AB$209,24,0)</f>
        <v>339.86</v>
      </c>
      <c r="X14" s="233">
        <f>VLOOKUP(B14,'Nomina Unhesa'!$B$9:$Z$163,25,FALSE)</f>
        <v>4437.0700000000006</v>
      </c>
      <c r="Y14" s="236">
        <f>ROUND((VLOOKUP(B14,'Nomina Unhesa'!$B$9:$AB$157,26,FALSE)),2)</f>
        <v>2962.27</v>
      </c>
      <c r="Z14" s="211">
        <f>VLOOKUP(B14,'Nomina Unhesa'!$B$9:$AB$158,27,FALSE)</f>
        <v>1474.8000000000006</v>
      </c>
      <c r="AA14" s="438">
        <v>201600592749</v>
      </c>
      <c r="AB14" s="387">
        <f>+IFERROR(VLOOKUP(B14,'Nomina Unhesa'!B14:D160,3,0),"")</f>
        <v>3166.38</v>
      </c>
    </row>
    <row r="15" spans="1:7918">
      <c r="A15" s="26" t="e">
        <f t="shared" si="0"/>
        <v>#REF!</v>
      </c>
      <c r="B15" s="388" t="s">
        <v>378</v>
      </c>
      <c r="C15" s="149">
        <v>1980141855</v>
      </c>
      <c r="D15" s="386" t="s">
        <v>378</v>
      </c>
      <c r="E15" s="149" t="str">
        <f>VLOOKUP($B15,'Nomina Unhesa'!$B$4:$AB$209,2,0)</f>
        <v>Operario Liquidos</v>
      </c>
      <c r="F15" s="149">
        <f>VLOOKUP($B15,'Nomina Unhesa'!$B$4:$AB$209,4,0)</f>
        <v>30</v>
      </c>
      <c r="G15" s="230">
        <f>VLOOKUP($B15,'Nomina Unhesa'!$B$4:$AB$209,6,0)</f>
        <v>3166.38</v>
      </c>
      <c r="H15" s="230">
        <f>VLOOKUP($B15,'Nomina Unhesa'!$B$4:$AB$209,7,0)</f>
        <v>1600</v>
      </c>
      <c r="I15" s="230">
        <f>VLOOKUP($B15,'Nomina Unhesa'!$B$4:$AB$209,9,0)</f>
        <v>36</v>
      </c>
      <c r="J15" s="232">
        <f>VLOOKUP($B15,'Nomina Unhesa'!$B$4:$AB$209,10,0)</f>
        <v>712.44</v>
      </c>
      <c r="K15" s="230">
        <f>VLOOKUP($B15,'Nomina Unhesa'!$B$4:$AB$209,11,0)</f>
        <v>0</v>
      </c>
      <c r="L15" s="230">
        <f>VLOOKUP($B15,'Nomina Unhesa'!$B$4:$AB$209,12,0)</f>
        <v>0</v>
      </c>
      <c r="M15" s="230">
        <f>VLOOKUP($B15,'Nomina Unhesa'!$B$4:$AB$209,14,0)</f>
        <v>0</v>
      </c>
      <c r="N15" s="232">
        <f>VLOOKUP($B15,'Nomina Unhesa'!$B$4:$AB$209,15,0)</f>
        <v>5478.82</v>
      </c>
      <c r="O15" s="232">
        <f>VLOOKUP($B15,'Nomina Unhesa'!$B$4:$AB$209,16,0)</f>
        <v>187.35</v>
      </c>
      <c r="P15" s="232">
        <f>VLOOKUP($B15,'Nomina Unhesa'!$B$4:$AB$209,17,0)</f>
        <v>99.57</v>
      </c>
      <c r="Q15" s="232">
        <f>VLOOKUP($B15,'Nomina Unhesa'!$B$4:$AB$209,18,0)</f>
        <v>0</v>
      </c>
      <c r="R15" s="232">
        <f>VLOOKUP($B15,'Nomina Unhesa'!$B$4:$AB$209,19,0)</f>
        <v>0</v>
      </c>
      <c r="S15" s="232">
        <f>VLOOKUP($B15,'Nomina Unhesa'!$B$4:$AB$209,20,0)</f>
        <v>0</v>
      </c>
      <c r="T15" s="232">
        <f>VLOOKUP($B15,'Nomina Unhesa'!$B$4:$AB$209,21,0)</f>
        <v>0</v>
      </c>
      <c r="U15" s="232">
        <f>VLOOKUP($B15,'Nomina Unhesa'!$B$4:$AB$209,22,0)</f>
        <v>415</v>
      </c>
      <c r="V15" s="232">
        <f>ROUND((VLOOKUP($B15,'Nomina Unhesa'!$B$4:$AB$209,23,0)),2)</f>
        <v>50</v>
      </c>
      <c r="W15" s="232">
        <f>VLOOKUP($B15,'Nomina Unhesa'!$B$4:$AB$209,24,0)</f>
        <v>751.92</v>
      </c>
      <c r="X15" s="233">
        <f>VLOOKUP(B15,'Nomina Unhesa'!$B$9:$Z$163,25,FALSE)</f>
        <v>4726.8999999999996</v>
      </c>
      <c r="Y15" s="236">
        <f>ROUND((VLOOKUP(B15,'Nomina Unhesa'!$B$9:$AB$157,26,FALSE)),2)</f>
        <v>1469.72</v>
      </c>
      <c r="Z15" s="211">
        <f>VLOOKUP(B15,'Nomina Unhesa'!$B$9:$AB$158,27,FALSE)</f>
        <v>3257.1799999999994</v>
      </c>
      <c r="AA15" s="438"/>
      <c r="AB15" s="387">
        <f>+IFERROR(VLOOKUP(B15,'Nomina Unhesa'!B17:D161,3,0),"")</f>
        <v>3878.82</v>
      </c>
    </row>
    <row r="16" spans="1:7918" s="205" customFormat="1">
      <c r="A16" s="26" t="e">
        <f t="shared" si="0"/>
        <v>#REF!</v>
      </c>
      <c r="B16" s="388" t="s">
        <v>545</v>
      </c>
      <c r="C16" s="1320">
        <v>1940101114</v>
      </c>
      <c r="D16" s="386" t="s">
        <v>545</v>
      </c>
      <c r="E16" s="149" t="str">
        <f>VLOOKUP($B16,'Nomina Unhesa'!$B$4:$AB$209,2,0)</f>
        <v>Contador General</v>
      </c>
      <c r="F16" s="221">
        <f>VLOOKUP($B16,'Nomina Unhesa'!$B$4:$AB$209,4,0)</f>
        <v>30</v>
      </c>
      <c r="G16" s="229">
        <f>VLOOKUP($B16,'Nomina Unhesa'!$B$4:$AB$209,6,0)</f>
        <v>10036.540000000001</v>
      </c>
      <c r="H16" s="229">
        <f>VLOOKUP($B16,'Nomina Unhesa'!$B$4:$AB$209,7,0)</f>
        <v>657.7</v>
      </c>
      <c r="I16" s="229">
        <f>VLOOKUP($B16,'Nomina Unhesa'!$B$4:$AB$209,9,0)</f>
        <v>0</v>
      </c>
      <c r="J16" s="234">
        <f>VLOOKUP($B16,'Nomina Unhesa'!$B$4:$AB$209,10,0)</f>
        <v>0</v>
      </c>
      <c r="K16" s="229">
        <f>VLOOKUP($B16,'Nomina Unhesa'!$B$4:$AB$209,11,0)</f>
        <v>0</v>
      </c>
      <c r="L16" s="229">
        <f>VLOOKUP($B16,'Nomina Unhesa'!$B$4:$AB$209,12,0)</f>
        <v>0</v>
      </c>
      <c r="M16" s="229">
        <f>VLOOKUP($B16,'Nomina Unhesa'!$B$4:$AB$209,14,0)</f>
        <v>0</v>
      </c>
      <c r="N16" s="234">
        <f>VLOOKUP($B16,'Nomina Unhesa'!$B$4:$AB$209,15,0)</f>
        <v>10694.240000000002</v>
      </c>
      <c r="O16" s="234">
        <f>VLOOKUP($B16,'Nomina Unhesa'!$B$4:$AB$209,16,0)</f>
        <v>484.76</v>
      </c>
      <c r="P16" s="234">
        <f>VLOOKUP($B16,'Nomina Unhesa'!$B$4:$AB$209,17,0)</f>
        <v>310.47000000000003</v>
      </c>
      <c r="Q16" s="234">
        <f>VLOOKUP($B16,'Nomina Unhesa'!$B$4:$AB$209,18,0)</f>
        <v>1484.26</v>
      </c>
      <c r="R16" s="234">
        <f>VLOOKUP($B16,'Nomina Unhesa'!$B$4:$AB$209,19,0)</f>
        <v>796</v>
      </c>
      <c r="S16" s="234">
        <f>VLOOKUP($B16,'Nomina Unhesa'!$B$4:$AB$209,20,0)</f>
        <v>0</v>
      </c>
      <c r="T16" s="234">
        <f>VLOOKUP($B16,'Nomina Unhesa'!$B$4:$AB$209,21,0)</f>
        <v>0</v>
      </c>
      <c r="U16" s="234">
        <f>VLOOKUP($B16,'Nomina Unhesa'!$B$4:$AB$209,22,0)</f>
        <v>0</v>
      </c>
      <c r="V16" s="234">
        <f>ROUND((VLOOKUP($B16,'Nomina Unhesa'!$B$4:$AB$209,23,0)),2)</f>
        <v>100</v>
      </c>
      <c r="W16" s="234">
        <f>VLOOKUP($B16,'Nomina Unhesa'!$B$4:$AB$209,24,0)</f>
        <v>3175.49</v>
      </c>
      <c r="X16" s="234">
        <f>VLOOKUP(B16,'Nomina Unhesa'!$B$9:$Z$163,25,FALSE)</f>
        <v>7518.7500000000018</v>
      </c>
      <c r="Y16" s="369">
        <f>ROUND((VLOOKUP(B16,'Nomina Unhesa'!$B$9:$AB$157,26,FALSE)),2)</f>
        <v>3945.69</v>
      </c>
      <c r="Z16" s="370">
        <f>VLOOKUP(B16,'Nomina Unhesa'!$B$9:$AB$158,27,FALSE)</f>
        <v>3573.0600000000009</v>
      </c>
      <c r="AA16" s="441">
        <v>201100392957</v>
      </c>
      <c r="AB16" s="389">
        <f>+IFERROR(VLOOKUP(B16,'Nomina Unhesa'!B18:D163,3,0),"")</f>
        <v>10036.540000000001</v>
      </c>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c r="JH16" s="3"/>
      <c r="JI16" s="3"/>
      <c r="JJ16" s="3"/>
      <c r="JK16" s="3"/>
      <c r="JL16" s="3"/>
      <c r="JM16" s="3"/>
      <c r="JN16" s="3"/>
      <c r="JO16" s="3"/>
      <c r="JP16" s="3"/>
      <c r="JQ16" s="3"/>
      <c r="JR16" s="3"/>
      <c r="JS16" s="3"/>
      <c r="JT16" s="3"/>
      <c r="JU16" s="3"/>
      <c r="JV16" s="3"/>
      <c r="JW16" s="3"/>
      <c r="JX16" s="3"/>
      <c r="JY16" s="3"/>
      <c r="JZ16" s="3"/>
      <c r="KA16" s="3"/>
      <c r="KB16" s="3"/>
      <c r="KC16" s="3"/>
      <c r="KD16" s="3"/>
      <c r="KE16" s="3"/>
      <c r="KF16" s="3"/>
      <c r="KG16" s="3"/>
      <c r="KH16" s="3"/>
      <c r="KI16" s="3"/>
      <c r="KJ16" s="3"/>
      <c r="KK16" s="3"/>
      <c r="KL16" s="3"/>
      <c r="KM16" s="3"/>
      <c r="KN16" s="3"/>
      <c r="KO16" s="3"/>
      <c r="KP16" s="3"/>
      <c r="KQ16" s="3"/>
      <c r="KR16" s="3"/>
      <c r="KS16" s="3"/>
      <c r="KT16" s="3"/>
      <c r="KU16" s="3"/>
      <c r="KV16" s="3"/>
      <c r="KW16" s="3"/>
      <c r="KX16" s="3"/>
      <c r="KY16" s="3"/>
      <c r="KZ16" s="3"/>
      <c r="LA16" s="3"/>
      <c r="LB16" s="3"/>
      <c r="LC16" s="3"/>
      <c r="LD16" s="3"/>
      <c r="LE16" s="3"/>
      <c r="LF16" s="3"/>
      <c r="LG16" s="3"/>
      <c r="LH16" s="3"/>
      <c r="LI16" s="3"/>
      <c r="LJ16" s="3"/>
      <c r="LK16" s="3"/>
      <c r="LL16" s="3"/>
      <c r="LM16" s="3"/>
      <c r="LN16" s="3"/>
      <c r="LO16" s="3"/>
      <c r="LP16" s="3"/>
      <c r="LQ16" s="3"/>
      <c r="LR16" s="3"/>
      <c r="LS16" s="3"/>
      <c r="LT16" s="3"/>
      <c r="LU16" s="3"/>
      <c r="LV16" s="3"/>
      <c r="LW16" s="3"/>
      <c r="LX16" s="3"/>
      <c r="LY16" s="3"/>
      <c r="LZ16" s="3"/>
      <c r="MA16" s="3"/>
      <c r="MB16" s="3"/>
      <c r="MC16" s="3"/>
      <c r="MD16" s="3"/>
      <c r="ME16" s="3"/>
      <c r="MF16" s="3"/>
      <c r="MG16" s="3"/>
      <c r="MH16" s="3"/>
      <c r="MI16" s="3"/>
      <c r="MJ16" s="3"/>
      <c r="MK16" s="3"/>
      <c r="ML16" s="3"/>
      <c r="MM16" s="3"/>
      <c r="MN16" s="3"/>
      <c r="MO16" s="3"/>
      <c r="MP16" s="3"/>
      <c r="MQ16" s="3"/>
      <c r="MR16" s="3"/>
      <c r="MS16" s="3"/>
      <c r="MT16" s="3"/>
      <c r="MU16" s="3"/>
      <c r="MV16" s="3"/>
      <c r="MW16" s="3"/>
      <c r="MX16" s="3"/>
      <c r="MY16" s="3"/>
      <c r="MZ16" s="3"/>
      <c r="NA16" s="3"/>
      <c r="NB16" s="3"/>
      <c r="NC16" s="3"/>
      <c r="ND16" s="3"/>
      <c r="NE16" s="3"/>
      <c r="NF16" s="3"/>
      <c r="NG16" s="3"/>
      <c r="NH16" s="3"/>
      <c r="NI16" s="3"/>
      <c r="NJ16" s="3"/>
      <c r="NK16" s="3"/>
      <c r="NL16" s="3"/>
      <c r="NM16" s="3"/>
      <c r="NN16" s="3"/>
      <c r="NO16" s="3"/>
      <c r="NP16" s="3"/>
      <c r="NQ16" s="3"/>
      <c r="NR16" s="3"/>
      <c r="NS16" s="3"/>
      <c r="NT16" s="3"/>
      <c r="NU16" s="3"/>
      <c r="NV16" s="3"/>
      <c r="NW16" s="3"/>
      <c r="NX16" s="3"/>
      <c r="NY16" s="3"/>
      <c r="NZ16" s="3"/>
      <c r="OA16" s="3"/>
      <c r="OB16" s="3"/>
      <c r="OC16" s="3"/>
      <c r="OD16" s="3"/>
      <c r="OE16" s="3"/>
      <c r="OF16" s="3"/>
      <c r="OG16" s="3"/>
      <c r="OH16" s="3"/>
      <c r="OI16" s="3"/>
      <c r="OJ16" s="3"/>
      <c r="OK16" s="3"/>
      <c r="OL16" s="3"/>
      <c r="OM16" s="3"/>
      <c r="ON16" s="3"/>
      <c r="OO16" s="3"/>
      <c r="OP16" s="3"/>
      <c r="OQ16" s="3"/>
      <c r="OR16" s="3"/>
      <c r="OS16" s="3"/>
      <c r="OT16" s="3"/>
      <c r="OU16" s="3"/>
      <c r="OV16" s="3"/>
      <c r="OW16" s="3"/>
      <c r="OX16" s="3"/>
      <c r="OY16" s="3"/>
      <c r="OZ16" s="3"/>
      <c r="PA16" s="3"/>
      <c r="PB16" s="3"/>
      <c r="PC16" s="3"/>
      <c r="PD16" s="3"/>
      <c r="PE16" s="3"/>
      <c r="PF16" s="3"/>
      <c r="PG16" s="3"/>
      <c r="PH16" s="3"/>
      <c r="PI16" s="3"/>
      <c r="PJ16" s="3"/>
      <c r="PK16" s="3"/>
      <c r="PL16" s="3"/>
      <c r="PM16" s="3"/>
      <c r="PN16" s="3"/>
      <c r="PO16" s="3"/>
      <c r="PP16" s="3"/>
      <c r="PQ16" s="3"/>
      <c r="PR16" s="3"/>
      <c r="PS16" s="3"/>
      <c r="PT16" s="3"/>
      <c r="PU16" s="3"/>
      <c r="PV16" s="3"/>
      <c r="PW16" s="3"/>
      <c r="PX16" s="3"/>
      <c r="PY16" s="3"/>
      <c r="PZ16" s="3"/>
      <c r="QA16" s="3"/>
      <c r="QB16" s="3"/>
      <c r="QC16" s="3"/>
      <c r="QD16" s="3"/>
      <c r="QE16" s="3"/>
      <c r="QF16" s="3"/>
      <c r="QG16" s="3"/>
      <c r="QH16" s="3"/>
      <c r="QI16" s="3"/>
      <c r="QJ16" s="3"/>
      <c r="QK16" s="3"/>
      <c r="QL16" s="3"/>
      <c r="QM16" s="3"/>
      <c r="QN16" s="3"/>
      <c r="QO16" s="3"/>
      <c r="QP16" s="3"/>
      <c r="QQ16" s="3"/>
      <c r="QR16" s="3"/>
      <c r="QS16" s="3"/>
      <c r="QT16" s="3"/>
      <c r="QU16" s="3"/>
      <c r="QV16" s="3"/>
      <c r="QW16" s="3"/>
      <c r="QX16" s="3"/>
      <c r="QY16" s="3"/>
      <c r="QZ16" s="3"/>
      <c r="RA16" s="3"/>
      <c r="RB16" s="3"/>
      <c r="RC16" s="3"/>
      <c r="RD16" s="3"/>
      <c r="RE16" s="3"/>
      <c r="RF16" s="3"/>
      <c r="RG16" s="3"/>
      <c r="RH16" s="3"/>
      <c r="RI16" s="3"/>
      <c r="RJ16" s="3"/>
      <c r="RK16" s="3"/>
      <c r="RL16" s="3"/>
      <c r="RM16" s="3"/>
      <c r="RN16" s="3"/>
      <c r="RO16" s="3"/>
      <c r="RP16" s="3"/>
      <c r="RQ16" s="3"/>
      <c r="RR16" s="3"/>
      <c r="RS16" s="3"/>
      <c r="RT16" s="3"/>
      <c r="RU16" s="3"/>
      <c r="RV16" s="3"/>
      <c r="RW16" s="3"/>
      <c r="RX16" s="3"/>
      <c r="RY16" s="3"/>
      <c r="RZ16" s="3"/>
      <c r="SA16" s="3"/>
      <c r="SB16" s="3"/>
      <c r="SC16" s="3"/>
      <c r="SD16" s="3"/>
      <c r="SE16" s="3"/>
      <c r="SF16" s="3"/>
      <c r="SG16" s="3"/>
      <c r="SH16" s="3"/>
      <c r="SI16" s="3"/>
      <c r="SJ16" s="3"/>
      <c r="SK16" s="3"/>
      <c r="SL16" s="3"/>
      <c r="SM16" s="3"/>
      <c r="SN16" s="3"/>
      <c r="SO16" s="3"/>
      <c r="SP16" s="3"/>
      <c r="SQ16" s="3"/>
      <c r="SR16" s="3"/>
      <c r="SS16" s="3"/>
      <c r="ST16" s="3"/>
      <c r="SU16" s="3"/>
      <c r="SV16" s="3"/>
      <c r="SW16" s="3"/>
      <c r="SX16" s="3"/>
      <c r="SY16" s="3"/>
      <c r="SZ16" s="3"/>
      <c r="TA16" s="3"/>
      <c r="TB16" s="3"/>
      <c r="TC16" s="3"/>
      <c r="TD16" s="3"/>
      <c r="TE16" s="3"/>
      <c r="TF16" s="3"/>
      <c r="TG16" s="3"/>
      <c r="TH16" s="3"/>
      <c r="TI16" s="3"/>
      <c r="TJ16" s="3"/>
      <c r="TK16" s="3"/>
      <c r="TL16" s="3"/>
      <c r="TM16" s="3"/>
      <c r="TN16" s="3"/>
      <c r="TO16" s="3"/>
      <c r="TP16" s="3"/>
      <c r="TQ16" s="3"/>
      <c r="TR16" s="3"/>
      <c r="TS16" s="3"/>
      <c r="TT16" s="3"/>
      <c r="TU16" s="3"/>
      <c r="TV16" s="3"/>
      <c r="TW16" s="3"/>
      <c r="TX16" s="3"/>
      <c r="TY16" s="3"/>
      <c r="TZ16" s="3"/>
      <c r="UA16" s="3"/>
      <c r="UB16" s="3"/>
      <c r="UC16" s="3"/>
      <c r="UD16" s="3"/>
      <c r="UE16" s="3"/>
      <c r="UF16" s="3"/>
      <c r="UG16" s="3"/>
      <c r="UH16" s="3"/>
      <c r="UI16" s="3"/>
      <c r="UJ16" s="3"/>
      <c r="UK16" s="3"/>
      <c r="UL16" s="3"/>
      <c r="UM16" s="3"/>
      <c r="UN16" s="3"/>
      <c r="UO16" s="3"/>
      <c r="UP16" s="3"/>
      <c r="UQ16" s="3"/>
      <c r="UR16" s="3"/>
      <c r="US16" s="3"/>
      <c r="UT16" s="3"/>
      <c r="UU16" s="3"/>
      <c r="UV16" s="3"/>
      <c r="UW16" s="3"/>
      <c r="UX16" s="3"/>
      <c r="UY16" s="3"/>
      <c r="UZ16" s="3"/>
      <c r="VA16" s="3"/>
      <c r="VB16" s="3"/>
      <c r="VC16" s="3"/>
      <c r="VD16" s="3"/>
      <c r="VE16" s="3"/>
      <c r="VF16" s="3"/>
      <c r="VG16" s="3"/>
      <c r="VH16" s="3"/>
      <c r="VI16" s="3"/>
      <c r="VJ16" s="3"/>
      <c r="VK16" s="3"/>
      <c r="VL16" s="3"/>
      <c r="VM16" s="3"/>
      <c r="VN16" s="3"/>
      <c r="VO16" s="3"/>
      <c r="VP16" s="3"/>
      <c r="VQ16" s="3"/>
      <c r="VR16" s="3"/>
      <c r="VS16" s="3"/>
      <c r="VT16" s="3"/>
      <c r="VU16" s="3"/>
      <c r="VV16" s="3"/>
      <c r="VW16" s="3"/>
      <c r="VX16" s="3"/>
      <c r="VY16" s="3"/>
      <c r="VZ16" s="3"/>
      <c r="WA16" s="3"/>
      <c r="WB16" s="3"/>
      <c r="WC16" s="3"/>
      <c r="WD16" s="3"/>
      <c r="WE16" s="3"/>
      <c r="WF16" s="3"/>
      <c r="WG16" s="3"/>
      <c r="WH16" s="3"/>
      <c r="WI16" s="3"/>
      <c r="WJ16" s="3"/>
      <c r="WK16" s="3"/>
      <c r="WL16" s="3"/>
      <c r="WM16" s="3"/>
      <c r="WN16" s="3"/>
      <c r="WO16" s="3"/>
      <c r="WP16" s="3"/>
      <c r="WQ16" s="3"/>
      <c r="WR16" s="3"/>
      <c r="WS16" s="3"/>
      <c r="WT16" s="3"/>
      <c r="WU16" s="3"/>
      <c r="WV16" s="3"/>
      <c r="WW16" s="3"/>
      <c r="WX16" s="3"/>
      <c r="WY16" s="3"/>
      <c r="WZ16" s="3"/>
      <c r="XA16" s="3"/>
      <c r="XB16" s="3"/>
      <c r="XC16" s="3"/>
      <c r="XD16" s="3"/>
      <c r="XE16" s="3"/>
      <c r="XF16" s="3"/>
      <c r="XG16" s="3"/>
      <c r="XH16" s="3"/>
      <c r="XI16" s="3"/>
      <c r="XJ16" s="3"/>
      <c r="XK16" s="3"/>
      <c r="XL16" s="3"/>
      <c r="XM16" s="3"/>
      <c r="XN16" s="3"/>
      <c r="XO16" s="3"/>
      <c r="XP16" s="3"/>
      <c r="XQ16" s="3"/>
      <c r="XR16" s="3"/>
      <c r="XS16" s="3"/>
      <c r="XT16" s="3"/>
      <c r="XU16" s="3"/>
      <c r="XV16" s="3"/>
      <c r="XW16" s="3"/>
      <c r="XX16" s="3"/>
      <c r="XY16" s="3"/>
      <c r="XZ16" s="3"/>
      <c r="YA16" s="3"/>
      <c r="YB16" s="3"/>
      <c r="YC16" s="3"/>
      <c r="YD16" s="3"/>
      <c r="YE16" s="3"/>
      <c r="YF16" s="3"/>
      <c r="YG16" s="3"/>
      <c r="YH16" s="3"/>
      <c r="YI16" s="3"/>
      <c r="YJ16" s="3"/>
      <c r="YK16" s="3"/>
      <c r="YL16" s="3"/>
      <c r="YM16" s="3"/>
      <c r="YN16" s="3"/>
      <c r="YO16" s="3"/>
      <c r="YP16" s="3"/>
      <c r="YQ16" s="3"/>
      <c r="YR16" s="3"/>
      <c r="YS16" s="3"/>
      <c r="YT16" s="3"/>
      <c r="YU16" s="3"/>
      <c r="YV16" s="3"/>
      <c r="YW16" s="3"/>
      <c r="YX16" s="3"/>
      <c r="YY16" s="3"/>
      <c r="YZ16" s="3"/>
      <c r="ZA16" s="3"/>
      <c r="ZB16" s="3"/>
      <c r="ZC16" s="3"/>
      <c r="ZD16" s="3"/>
      <c r="ZE16" s="3"/>
      <c r="ZF16" s="3"/>
      <c r="ZG16" s="3"/>
      <c r="ZH16" s="3"/>
      <c r="ZI16" s="3"/>
      <c r="ZJ16" s="3"/>
      <c r="ZK16" s="3"/>
      <c r="ZL16" s="3"/>
      <c r="ZM16" s="3"/>
      <c r="ZN16" s="3"/>
      <c r="ZO16" s="3"/>
      <c r="ZP16" s="3"/>
      <c r="ZQ16" s="3"/>
      <c r="ZR16" s="3"/>
      <c r="ZS16" s="3"/>
      <c r="ZT16" s="3"/>
      <c r="ZU16" s="3"/>
      <c r="ZV16" s="3"/>
      <c r="ZW16" s="3"/>
      <c r="ZX16" s="3"/>
      <c r="ZY16" s="3"/>
      <c r="ZZ16" s="3"/>
      <c r="AAA16" s="3"/>
      <c r="AAB16" s="3"/>
      <c r="AAC16" s="3"/>
      <c r="AAD16" s="3"/>
      <c r="AAE16" s="3"/>
      <c r="AAF16" s="3"/>
      <c r="AAG16" s="3"/>
      <c r="AAH16" s="3"/>
      <c r="AAI16" s="3"/>
      <c r="AAJ16" s="3"/>
      <c r="AAK16" s="3"/>
      <c r="AAL16" s="3"/>
      <c r="AAM16" s="3"/>
      <c r="AAN16" s="3"/>
      <c r="AAO16" s="3"/>
      <c r="AAP16" s="3"/>
      <c r="AAQ16" s="3"/>
      <c r="AAR16" s="3"/>
      <c r="AAS16" s="3"/>
      <c r="AAT16" s="3"/>
      <c r="AAU16" s="3"/>
      <c r="AAV16" s="3"/>
      <c r="AAW16" s="3"/>
      <c r="AAX16" s="3"/>
      <c r="AAY16" s="3"/>
      <c r="AAZ16" s="3"/>
      <c r="ABA16" s="3"/>
      <c r="ABB16" s="3"/>
      <c r="ABC16" s="3"/>
      <c r="ABD16" s="3"/>
      <c r="ABE16" s="3"/>
      <c r="ABF16" s="3"/>
      <c r="ABG16" s="3"/>
      <c r="ABH16" s="3"/>
      <c r="ABI16" s="3"/>
      <c r="ABJ16" s="3"/>
      <c r="ABK16" s="3"/>
      <c r="ABL16" s="3"/>
      <c r="ABM16" s="3"/>
      <c r="ABN16" s="3"/>
      <c r="ABO16" s="3"/>
      <c r="ABP16" s="3"/>
      <c r="ABQ16" s="3"/>
      <c r="ABR16" s="3"/>
      <c r="ABS16" s="3"/>
      <c r="ABT16" s="3"/>
      <c r="ABU16" s="3"/>
      <c r="ABV16" s="3"/>
      <c r="ABW16" s="3"/>
      <c r="ABX16" s="3"/>
      <c r="ABY16" s="3"/>
      <c r="ABZ16" s="3"/>
      <c r="ACA16" s="3"/>
      <c r="ACB16" s="3"/>
      <c r="ACC16" s="3"/>
      <c r="ACD16" s="3"/>
      <c r="ACE16" s="3"/>
      <c r="ACF16" s="3"/>
      <c r="ACG16" s="3"/>
      <c r="ACH16" s="3"/>
      <c r="ACI16" s="3"/>
      <c r="ACJ16" s="3"/>
      <c r="ACK16" s="3"/>
      <c r="ACL16" s="3"/>
      <c r="ACM16" s="3"/>
      <c r="ACN16" s="3"/>
      <c r="ACO16" s="3"/>
      <c r="ACP16" s="3"/>
      <c r="ACQ16" s="3"/>
      <c r="ACR16" s="3"/>
      <c r="ACS16" s="3"/>
      <c r="ACT16" s="3"/>
      <c r="ACU16" s="3"/>
      <c r="ACV16" s="3"/>
      <c r="ACW16" s="3"/>
      <c r="ACX16" s="3"/>
      <c r="ACY16" s="3"/>
      <c r="ACZ16" s="3"/>
      <c r="ADA16" s="3"/>
      <c r="ADB16" s="3"/>
      <c r="ADC16" s="3"/>
      <c r="ADD16" s="3"/>
      <c r="ADE16" s="3"/>
      <c r="ADF16" s="3"/>
      <c r="ADG16" s="3"/>
      <c r="ADH16" s="3"/>
      <c r="ADI16" s="3"/>
      <c r="ADJ16" s="3"/>
      <c r="ADK16" s="3"/>
      <c r="ADL16" s="3"/>
      <c r="ADM16" s="3"/>
      <c r="ADN16" s="3"/>
      <c r="ADO16" s="3"/>
      <c r="ADP16" s="3"/>
      <c r="ADQ16" s="3"/>
      <c r="ADR16" s="3"/>
      <c r="ADS16" s="3"/>
      <c r="ADT16" s="3"/>
      <c r="ADU16" s="3"/>
      <c r="ADV16" s="3"/>
      <c r="ADW16" s="3"/>
      <c r="ADX16" s="3"/>
      <c r="ADY16" s="3"/>
      <c r="ADZ16" s="3"/>
      <c r="AEA16" s="3"/>
      <c r="AEB16" s="3"/>
      <c r="AEC16" s="3"/>
      <c r="AED16" s="3"/>
      <c r="AEE16" s="3"/>
      <c r="AEF16" s="3"/>
      <c r="AEG16" s="3"/>
      <c r="AEH16" s="3"/>
      <c r="AEI16" s="3"/>
      <c r="AEJ16" s="3"/>
      <c r="AEK16" s="3"/>
      <c r="AEL16" s="3"/>
      <c r="AEM16" s="3"/>
      <c r="AEN16" s="3"/>
      <c r="AEO16" s="3"/>
      <c r="AEP16" s="3"/>
      <c r="AEQ16" s="3"/>
      <c r="AER16" s="3"/>
      <c r="AES16" s="3"/>
      <c r="AET16" s="3"/>
      <c r="AEU16" s="3"/>
      <c r="AEV16" s="3"/>
      <c r="AEW16" s="3"/>
      <c r="AEX16" s="3"/>
      <c r="AEY16" s="3"/>
      <c r="AEZ16" s="3"/>
      <c r="AFA16" s="3"/>
      <c r="AFB16" s="3"/>
      <c r="AFC16" s="3"/>
      <c r="AFD16" s="3"/>
      <c r="AFE16" s="3"/>
      <c r="AFF16" s="3"/>
      <c r="AFG16" s="3"/>
      <c r="AFH16" s="3"/>
      <c r="AFI16" s="3"/>
      <c r="AFJ16" s="3"/>
      <c r="AFK16" s="3"/>
      <c r="AFL16" s="3"/>
      <c r="AFM16" s="3"/>
      <c r="AFN16" s="3"/>
      <c r="AFO16" s="3"/>
      <c r="AFP16" s="3"/>
      <c r="AFQ16" s="3"/>
      <c r="AFR16" s="3"/>
      <c r="AFS16" s="3"/>
      <c r="AFT16" s="3"/>
      <c r="AFU16" s="3"/>
      <c r="AFV16" s="3"/>
      <c r="AFW16" s="3"/>
      <c r="AFX16" s="3"/>
      <c r="AFY16" s="3"/>
      <c r="AFZ16" s="3"/>
      <c r="AGA16" s="3"/>
      <c r="AGB16" s="3"/>
      <c r="AGC16" s="3"/>
      <c r="AGD16" s="3"/>
      <c r="AGE16" s="3"/>
      <c r="AGF16" s="3"/>
      <c r="AGG16" s="3"/>
      <c r="AGH16" s="3"/>
      <c r="AGI16" s="3"/>
      <c r="AGJ16" s="3"/>
      <c r="AGK16" s="3"/>
      <c r="AGL16" s="3"/>
      <c r="AGM16" s="3"/>
      <c r="AGN16" s="3"/>
      <c r="AGO16" s="3"/>
      <c r="AGP16" s="3"/>
      <c r="AGQ16" s="3"/>
      <c r="AGR16" s="3"/>
      <c r="AGS16" s="3"/>
      <c r="AGT16" s="3"/>
      <c r="AGU16" s="3"/>
      <c r="AGV16" s="3"/>
      <c r="AGW16" s="3"/>
      <c r="AGX16" s="3"/>
      <c r="AGY16" s="3"/>
      <c r="AGZ16" s="3"/>
      <c r="AHA16" s="3"/>
      <c r="AHB16" s="3"/>
      <c r="AHC16" s="3"/>
      <c r="AHD16" s="3"/>
      <c r="AHE16" s="3"/>
      <c r="AHF16" s="3"/>
      <c r="AHG16" s="3"/>
      <c r="AHH16" s="3"/>
      <c r="AHI16" s="3"/>
      <c r="AHJ16" s="3"/>
      <c r="AHK16" s="3"/>
      <c r="AHL16" s="3"/>
      <c r="AHM16" s="3"/>
      <c r="AHN16" s="3"/>
      <c r="AHO16" s="3"/>
      <c r="AHP16" s="3"/>
      <c r="AHQ16" s="3"/>
      <c r="AHR16" s="3"/>
      <c r="AHS16" s="3"/>
      <c r="AHT16" s="3"/>
      <c r="AHU16" s="3"/>
      <c r="AHV16" s="3"/>
      <c r="AHW16" s="3"/>
      <c r="AHX16" s="3"/>
      <c r="AHY16" s="3"/>
      <c r="AHZ16" s="3"/>
      <c r="AIA16" s="3"/>
      <c r="AIB16" s="3"/>
      <c r="AIC16" s="3"/>
      <c r="AID16" s="3"/>
      <c r="AIE16" s="3"/>
      <c r="AIF16" s="3"/>
      <c r="AIG16" s="3"/>
      <c r="AIH16" s="3"/>
      <c r="AII16" s="3"/>
      <c r="AIJ16" s="3"/>
      <c r="AIK16" s="3"/>
      <c r="AIL16" s="3"/>
      <c r="AIM16" s="3"/>
      <c r="AIN16" s="3"/>
      <c r="AIO16" s="3"/>
      <c r="AIP16" s="3"/>
      <c r="AIQ16" s="3"/>
      <c r="AIR16" s="3"/>
      <c r="AIS16" s="3"/>
      <c r="AIT16" s="3"/>
      <c r="AIU16" s="3"/>
      <c r="AIV16" s="3"/>
      <c r="AIW16" s="3"/>
      <c r="AIX16" s="3"/>
      <c r="AIY16" s="3"/>
      <c r="AIZ16" s="3"/>
      <c r="AJA16" s="3"/>
      <c r="AJB16" s="3"/>
      <c r="AJC16" s="3"/>
      <c r="AJD16" s="3"/>
      <c r="AJE16" s="3"/>
      <c r="AJF16" s="3"/>
      <c r="AJG16" s="3"/>
      <c r="AJH16" s="3"/>
      <c r="AJI16" s="3"/>
      <c r="AJJ16" s="3"/>
      <c r="AJK16" s="3"/>
      <c r="AJL16" s="3"/>
      <c r="AJM16" s="3"/>
      <c r="AJN16" s="3"/>
      <c r="AJO16" s="3"/>
      <c r="AJP16" s="3"/>
      <c r="AJQ16" s="3"/>
      <c r="AJR16" s="3"/>
      <c r="AJS16" s="3"/>
      <c r="AJT16" s="3"/>
      <c r="AJU16" s="3"/>
      <c r="AJV16" s="3"/>
      <c r="AJW16" s="3"/>
      <c r="AJX16" s="3"/>
      <c r="AJY16" s="3"/>
      <c r="AJZ16" s="3"/>
      <c r="AKA16" s="3"/>
      <c r="AKB16" s="3"/>
      <c r="AKC16" s="3"/>
      <c r="AKD16" s="3"/>
      <c r="AKE16" s="3"/>
      <c r="AKF16" s="3"/>
      <c r="AKG16" s="3"/>
      <c r="AKH16" s="3"/>
      <c r="AKI16" s="3"/>
      <c r="AKJ16" s="3"/>
      <c r="AKK16" s="3"/>
      <c r="AKL16" s="3"/>
      <c r="AKM16" s="3"/>
      <c r="AKN16" s="3"/>
      <c r="AKO16" s="3"/>
      <c r="AKP16" s="3"/>
      <c r="AKQ16" s="3"/>
      <c r="AKR16" s="3"/>
      <c r="AKS16" s="3"/>
      <c r="AKT16" s="3"/>
      <c r="AKU16" s="3"/>
      <c r="AKV16" s="3"/>
      <c r="AKW16" s="3"/>
      <c r="AKX16" s="3"/>
      <c r="AKY16" s="3"/>
      <c r="AKZ16" s="3"/>
      <c r="ALA16" s="3"/>
      <c r="ALB16" s="3"/>
      <c r="ALC16" s="3"/>
      <c r="ALD16" s="3"/>
      <c r="ALE16" s="3"/>
      <c r="ALF16" s="3"/>
      <c r="ALG16" s="3"/>
      <c r="ALH16" s="3"/>
      <c r="ALI16" s="3"/>
      <c r="ALJ16" s="3"/>
      <c r="ALK16" s="3"/>
      <c r="ALL16" s="3"/>
      <c r="ALM16" s="3"/>
      <c r="ALN16" s="3"/>
      <c r="ALO16" s="3"/>
      <c r="ALP16" s="3"/>
      <c r="ALQ16" s="3"/>
      <c r="ALR16" s="3"/>
      <c r="ALS16" s="3"/>
      <c r="ALT16" s="3"/>
      <c r="ALU16" s="3"/>
      <c r="ALV16" s="3"/>
      <c r="ALW16" s="3"/>
      <c r="ALX16" s="3"/>
      <c r="ALY16" s="3"/>
      <c r="ALZ16" s="3"/>
      <c r="AMA16" s="3"/>
      <c r="AMB16" s="3"/>
      <c r="AMC16" s="3"/>
      <c r="AMD16" s="3"/>
      <c r="AME16" s="3"/>
      <c r="AMF16" s="3"/>
      <c r="AMG16" s="3"/>
      <c r="AMH16" s="3"/>
      <c r="AMI16" s="3"/>
      <c r="AMJ16" s="3"/>
      <c r="AMK16" s="3"/>
      <c r="AML16" s="3"/>
      <c r="AMM16" s="3"/>
      <c r="AMN16" s="3"/>
      <c r="AMO16" s="3"/>
      <c r="AMP16" s="3"/>
      <c r="AMQ16" s="3"/>
      <c r="AMR16" s="3"/>
      <c r="AMS16" s="3"/>
      <c r="AMT16" s="3"/>
      <c r="AMU16" s="3"/>
      <c r="AMV16" s="3"/>
      <c r="AMW16" s="3"/>
      <c r="AMX16" s="3"/>
      <c r="AMY16" s="3"/>
      <c r="AMZ16" s="3"/>
      <c r="ANA16" s="3"/>
      <c r="ANB16" s="3"/>
      <c r="ANC16" s="3"/>
      <c r="AND16" s="3"/>
      <c r="ANE16" s="3"/>
      <c r="ANF16" s="3"/>
      <c r="ANG16" s="3"/>
      <c r="ANH16" s="3"/>
      <c r="ANI16" s="3"/>
      <c r="ANJ16" s="3"/>
      <c r="ANK16" s="3"/>
      <c r="ANL16" s="3"/>
      <c r="ANM16" s="3"/>
      <c r="ANN16" s="3"/>
      <c r="ANO16" s="3"/>
      <c r="ANP16" s="3"/>
      <c r="ANQ16" s="3"/>
      <c r="ANR16" s="3"/>
      <c r="ANS16" s="3"/>
      <c r="ANT16" s="3"/>
      <c r="ANU16" s="3"/>
      <c r="ANV16" s="3"/>
      <c r="ANW16" s="3"/>
      <c r="ANX16" s="3"/>
      <c r="ANY16" s="3"/>
      <c r="ANZ16" s="3"/>
      <c r="AOA16" s="3"/>
      <c r="AOB16" s="3"/>
      <c r="AOC16" s="3"/>
      <c r="AOD16" s="3"/>
      <c r="AOE16" s="3"/>
      <c r="AOF16" s="3"/>
      <c r="AOG16" s="3"/>
      <c r="AOH16" s="3"/>
      <c r="AOI16" s="3"/>
      <c r="AOJ16" s="3"/>
      <c r="AOK16" s="3"/>
      <c r="AOL16" s="3"/>
      <c r="AOM16" s="3"/>
      <c r="AON16" s="3"/>
      <c r="AOO16" s="3"/>
      <c r="AOP16" s="3"/>
      <c r="AOQ16" s="3"/>
      <c r="AOR16" s="3"/>
      <c r="AOS16" s="3"/>
      <c r="AOT16" s="3"/>
      <c r="AOU16" s="3"/>
      <c r="AOV16" s="3"/>
      <c r="AOW16" s="3"/>
      <c r="AOX16" s="3"/>
      <c r="AOY16" s="3"/>
      <c r="AOZ16" s="3"/>
      <c r="APA16" s="3"/>
      <c r="APB16" s="3"/>
      <c r="APC16" s="3"/>
      <c r="APD16" s="3"/>
      <c r="APE16" s="3"/>
      <c r="APF16" s="3"/>
      <c r="APG16" s="3"/>
      <c r="APH16" s="3"/>
      <c r="API16" s="3"/>
      <c r="APJ16" s="3"/>
      <c r="APK16" s="3"/>
      <c r="APL16" s="3"/>
      <c r="APM16" s="3"/>
      <c r="APN16" s="3"/>
      <c r="APO16" s="3"/>
      <c r="APP16" s="3"/>
      <c r="APQ16" s="3"/>
      <c r="APR16" s="3"/>
      <c r="APS16" s="3"/>
      <c r="APT16" s="3"/>
      <c r="APU16" s="3"/>
      <c r="APV16" s="3"/>
      <c r="APW16" s="3"/>
      <c r="APX16" s="3"/>
      <c r="APY16" s="3"/>
      <c r="APZ16" s="3"/>
      <c r="AQA16" s="3"/>
      <c r="AQB16" s="3"/>
      <c r="AQC16" s="3"/>
      <c r="AQD16" s="3"/>
      <c r="AQE16" s="3"/>
      <c r="AQF16" s="3"/>
      <c r="AQG16" s="3"/>
      <c r="AQH16" s="3"/>
      <c r="AQI16" s="3"/>
      <c r="AQJ16" s="3"/>
      <c r="AQK16" s="3"/>
      <c r="AQL16" s="3"/>
      <c r="AQM16" s="3"/>
      <c r="AQN16" s="3"/>
      <c r="AQO16" s="3"/>
      <c r="AQP16" s="3"/>
      <c r="AQQ16" s="3"/>
      <c r="AQR16" s="3"/>
      <c r="AQS16" s="3"/>
      <c r="AQT16" s="3"/>
      <c r="AQU16" s="3"/>
      <c r="AQV16" s="3"/>
      <c r="AQW16" s="3"/>
      <c r="AQX16" s="3"/>
      <c r="AQY16" s="3"/>
      <c r="AQZ16" s="3"/>
      <c r="ARA16" s="3"/>
      <c r="ARB16" s="3"/>
      <c r="ARC16" s="3"/>
      <c r="ARD16" s="3"/>
      <c r="ARE16" s="3"/>
      <c r="ARF16" s="3"/>
      <c r="ARG16" s="3"/>
      <c r="ARH16" s="3"/>
      <c r="ARI16" s="3"/>
      <c r="ARJ16" s="3"/>
      <c r="ARK16" s="3"/>
      <c r="ARL16" s="3"/>
      <c r="ARM16" s="3"/>
      <c r="ARN16" s="3"/>
      <c r="ARO16" s="3"/>
      <c r="ARP16" s="3"/>
      <c r="ARQ16" s="3"/>
      <c r="ARR16" s="3"/>
      <c r="ARS16" s="3"/>
      <c r="ART16" s="3"/>
      <c r="ARU16" s="3"/>
      <c r="ARV16" s="3"/>
      <c r="ARW16" s="3"/>
      <c r="ARX16" s="3"/>
      <c r="ARY16" s="3"/>
      <c r="ARZ16" s="3"/>
      <c r="ASA16" s="3"/>
      <c r="ASB16" s="3"/>
      <c r="ASC16" s="3"/>
      <c r="ASD16" s="3"/>
      <c r="ASE16" s="3"/>
      <c r="ASF16" s="3"/>
      <c r="ASG16" s="3"/>
      <c r="ASH16" s="3"/>
      <c r="ASI16" s="3"/>
      <c r="ASJ16" s="3"/>
      <c r="ASK16" s="3"/>
      <c r="ASL16" s="3"/>
      <c r="ASM16" s="3"/>
      <c r="ASN16" s="3"/>
      <c r="ASO16" s="3"/>
      <c r="ASP16" s="3"/>
      <c r="ASQ16" s="3"/>
      <c r="ASR16" s="3"/>
      <c r="ASS16" s="3"/>
      <c r="AST16" s="3"/>
      <c r="ASU16" s="3"/>
      <c r="ASV16" s="3"/>
      <c r="ASW16" s="3"/>
      <c r="ASX16" s="3"/>
      <c r="ASY16" s="3"/>
      <c r="ASZ16" s="3"/>
      <c r="ATA16" s="3"/>
      <c r="ATB16" s="3"/>
      <c r="ATC16" s="3"/>
      <c r="ATD16" s="3"/>
      <c r="ATE16" s="3"/>
      <c r="ATF16" s="3"/>
      <c r="ATG16" s="3"/>
      <c r="ATH16" s="3"/>
      <c r="ATI16" s="3"/>
      <c r="ATJ16" s="3"/>
      <c r="ATK16" s="3"/>
      <c r="ATL16" s="3"/>
      <c r="ATM16" s="3"/>
      <c r="ATN16" s="3"/>
      <c r="ATO16" s="3"/>
      <c r="ATP16" s="3"/>
      <c r="ATQ16" s="3"/>
      <c r="ATR16" s="3"/>
      <c r="ATS16" s="3"/>
      <c r="ATT16" s="3"/>
      <c r="ATU16" s="3"/>
      <c r="ATV16" s="3"/>
      <c r="ATW16" s="3"/>
      <c r="ATX16" s="3"/>
      <c r="ATY16" s="3"/>
      <c r="ATZ16" s="3"/>
      <c r="AUA16" s="3"/>
      <c r="AUB16" s="3"/>
      <c r="AUC16" s="3"/>
      <c r="AUD16" s="3"/>
      <c r="AUE16" s="3"/>
      <c r="AUF16" s="3"/>
      <c r="AUG16" s="3"/>
      <c r="AUH16" s="3"/>
      <c r="AUI16" s="3"/>
      <c r="AUJ16" s="3"/>
      <c r="AUK16" s="3"/>
      <c r="AUL16" s="3"/>
      <c r="AUM16" s="3"/>
      <c r="AUN16" s="3"/>
      <c r="AUO16" s="3"/>
      <c r="AUP16" s="3"/>
      <c r="AUQ16" s="3"/>
      <c r="AUR16" s="3"/>
      <c r="AUS16" s="3"/>
      <c r="AUT16" s="3"/>
      <c r="AUU16" s="3"/>
      <c r="AUV16" s="3"/>
      <c r="AUW16" s="3"/>
      <c r="AUX16" s="3"/>
      <c r="AUY16" s="3"/>
      <c r="AUZ16" s="3"/>
      <c r="AVA16" s="3"/>
      <c r="AVB16" s="3"/>
      <c r="AVC16" s="3"/>
      <c r="AVD16" s="3"/>
      <c r="AVE16" s="3"/>
      <c r="AVF16" s="3"/>
      <c r="AVG16" s="3"/>
      <c r="AVH16" s="3"/>
      <c r="AVI16" s="3"/>
      <c r="AVJ16" s="3"/>
      <c r="AVK16" s="3"/>
      <c r="AVL16" s="3"/>
      <c r="AVM16" s="3"/>
      <c r="AVN16" s="3"/>
      <c r="AVO16" s="3"/>
      <c r="AVP16" s="3"/>
      <c r="AVQ16" s="3"/>
      <c r="AVR16" s="3"/>
      <c r="AVS16" s="3"/>
      <c r="AVT16" s="3"/>
      <c r="AVU16" s="3"/>
      <c r="AVV16" s="3"/>
      <c r="AVW16" s="3"/>
      <c r="AVX16" s="3"/>
      <c r="AVY16" s="3"/>
      <c r="AVZ16" s="3"/>
      <c r="AWA16" s="3"/>
      <c r="AWB16" s="3"/>
      <c r="AWC16" s="3"/>
      <c r="AWD16" s="3"/>
      <c r="AWE16" s="3"/>
      <c r="AWF16" s="3"/>
      <c r="AWG16" s="3"/>
      <c r="AWH16" s="3"/>
      <c r="AWI16" s="3"/>
      <c r="AWJ16" s="3"/>
      <c r="AWK16" s="3"/>
      <c r="AWL16" s="3"/>
      <c r="AWM16" s="3"/>
      <c r="AWN16" s="3"/>
      <c r="AWO16" s="3"/>
      <c r="AWP16" s="3"/>
      <c r="AWQ16" s="3"/>
      <c r="AWR16" s="3"/>
      <c r="AWS16" s="3"/>
      <c r="AWT16" s="3"/>
      <c r="AWU16" s="3"/>
      <c r="AWV16" s="3"/>
      <c r="AWW16" s="3"/>
      <c r="AWX16" s="3"/>
      <c r="AWY16" s="3"/>
      <c r="AWZ16" s="3"/>
      <c r="AXA16" s="3"/>
      <c r="AXB16" s="3"/>
      <c r="AXC16" s="3"/>
      <c r="AXD16" s="3"/>
      <c r="AXE16" s="3"/>
      <c r="AXF16" s="3"/>
      <c r="AXG16" s="3"/>
      <c r="AXH16" s="3"/>
      <c r="AXI16" s="3"/>
      <c r="AXJ16" s="3"/>
      <c r="AXK16" s="3"/>
      <c r="AXL16" s="3"/>
      <c r="AXM16" s="3"/>
      <c r="AXN16" s="3"/>
      <c r="AXO16" s="3"/>
      <c r="AXP16" s="3"/>
      <c r="AXQ16" s="3"/>
      <c r="AXR16" s="3"/>
      <c r="AXS16" s="3"/>
      <c r="AXT16" s="3"/>
      <c r="AXU16" s="3"/>
      <c r="AXV16" s="3"/>
      <c r="AXW16" s="3"/>
      <c r="AXX16" s="3"/>
      <c r="AXY16" s="3"/>
      <c r="AXZ16" s="3"/>
      <c r="AYA16" s="3"/>
      <c r="AYB16" s="3"/>
      <c r="AYC16" s="3"/>
      <c r="AYD16" s="3"/>
      <c r="AYE16" s="3"/>
      <c r="AYF16" s="3"/>
      <c r="AYG16" s="3"/>
      <c r="AYH16" s="3"/>
      <c r="AYI16" s="3"/>
      <c r="AYJ16" s="3"/>
      <c r="AYK16" s="3"/>
      <c r="AYL16" s="3"/>
      <c r="AYM16" s="3"/>
      <c r="AYN16" s="3"/>
      <c r="AYO16" s="3"/>
      <c r="AYP16" s="3"/>
      <c r="AYQ16" s="3"/>
      <c r="AYR16" s="3"/>
      <c r="AYS16" s="3"/>
      <c r="AYT16" s="3"/>
      <c r="AYU16" s="3"/>
      <c r="AYV16" s="3"/>
      <c r="AYW16" s="3"/>
      <c r="AYX16" s="3"/>
      <c r="AYY16" s="3"/>
      <c r="AYZ16" s="3"/>
      <c r="AZA16" s="3"/>
      <c r="AZB16" s="3"/>
      <c r="AZC16" s="3"/>
      <c r="AZD16" s="3"/>
      <c r="AZE16" s="3"/>
      <c r="AZF16" s="3"/>
      <c r="AZG16" s="3"/>
      <c r="AZH16" s="3"/>
      <c r="AZI16" s="3"/>
      <c r="AZJ16" s="3"/>
      <c r="AZK16" s="3"/>
      <c r="AZL16" s="3"/>
      <c r="AZM16" s="3"/>
      <c r="AZN16" s="3"/>
      <c r="AZO16" s="3"/>
      <c r="AZP16" s="3"/>
      <c r="AZQ16" s="3"/>
      <c r="AZR16" s="3"/>
      <c r="AZS16" s="3"/>
      <c r="AZT16" s="3"/>
      <c r="AZU16" s="3"/>
      <c r="AZV16" s="3"/>
      <c r="AZW16" s="3"/>
      <c r="AZX16" s="3"/>
      <c r="AZY16" s="3"/>
      <c r="AZZ16" s="3"/>
      <c r="BAA16" s="3"/>
      <c r="BAB16" s="3"/>
      <c r="BAC16" s="3"/>
      <c r="BAD16" s="3"/>
      <c r="BAE16" s="3"/>
      <c r="BAF16" s="3"/>
      <c r="BAG16" s="3"/>
      <c r="BAH16" s="3"/>
      <c r="BAI16" s="3"/>
      <c r="BAJ16" s="3"/>
      <c r="BAK16" s="3"/>
      <c r="BAL16" s="3"/>
      <c r="BAM16" s="3"/>
      <c r="BAN16" s="3"/>
      <c r="BAO16" s="3"/>
      <c r="BAP16" s="3"/>
      <c r="BAQ16" s="3"/>
      <c r="BAR16" s="3"/>
      <c r="BAS16" s="3"/>
      <c r="BAT16" s="3"/>
      <c r="BAU16" s="3"/>
      <c r="BAV16" s="3"/>
      <c r="BAW16" s="3"/>
      <c r="BAX16" s="3"/>
      <c r="BAY16" s="3"/>
      <c r="BAZ16" s="3"/>
      <c r="BBA16" s="3"/>
      <c r="BBB16" s="3"/>
      <c r="BBC16" s="3"/>
      <c r="BBD16" s="3"/>
      <c r="BBE16" s="3"/>
      <c r="BBF16" s="3"/>
      <c r="BBG16" s="3"/>
      <c r="BBH16" s="3"/>
      <c r="BBI16" s="3"/>
      <c r="BBJ16" s="3"/>
      <c r="BBK16" s="3"/>
      <c r="BBL16" s="3"/>
      <c r="BBM16" s="3"/>
      <c r="BBN16" s="3"/>
      <c r="BBO16" s="3"/>
      <c r="BBP16" s="3"/>
      <c r="BBQ16" s="3"/>
      <c r="BBR16" s="3"/>
      <c r="BBS16" s="3"/>
      <c r="BBT16" s="3"/>
      <c r="BBU16" s="3"/>
      <c r="BBV16" s="3"/>
      <c r="BBW16" s="3"/>
      <c r="BBX16" s="3"/>
      <c r="BBY16" s="3"/>
      <c r="BBZ16" s="3"/>
      <c r="BCA16" s="3"/>
      <c r="BCB16" s="3"/>
      <c r="BCC16" s="3"/>
      <c r="BCD16" s="3"/>
      <c r="BCE16" s="3"/>
      <c r="BCF16" s="3"/>
      <c r="BCG16" s="3"/>
      <c r="BCH16" s="3"/>
      <c r="BCI16" s="3"/>
      <c r="BCJ16" s="3"/>
      <c r="BCK16" s="3"/>
      <c r="BCL16" s="3"/>
      <c r="BCM16" s="3"/>
      <c r="BCN16" s="3"/>
      <c r="BCO16" s="3"/>
      <c r="BCP16" s="3"/>
      <c r="BCQ16" s="3"/>
      <c r="BCR16" s="3"/>
      <c r="BCS16" s="3"/>
      <c r="BCT16" s="3"/>
      <c r="BCU16" s="3"/>
      <c r="BCV16" s="3"/>
      <c r="BCW16" s="3"/>
      <c r="BCX16" s="3"/>
      <c r="BCY16" s="3"/>
      <c r="BCZ16" s="3"/>
      <c r="BDA16" s="3"/>
      <c r="BDB16" s="3"/>
      <c r="BDC16" s="3"/>
      <c r="BDD16" s="3"/>
      <c r="BDE16" s="3"/>
      <c r="BDF16" s="3"/>
      <c r="BDG16" s="3"/>
      <c r="BDH16" s="3"/>
      <c r="BDI16" s="3"/>
      <c r="BDJ16" s="3"/>
      <c r="BDK16" s="3"/>
      <c r="BDL16" s="3"/>
      <c r="BDM16" s="3"/>
      <c r="BDN16" s="3"/>
      <c r="BDO16" s="3"/>
      <c r="BDP16" s="3"/>
      <c r="BDQ16" s="3"/>
      <c r="BDR16" s="3"/>
      <c r="BDS16" s="3"/>
      <c r="BDT16" s="3"/>
      <c r="BDU16" s="3"/>
      <c r="BDV16" s="3"/>
      <c r="BDW16" s="3"/>
      <c r="BDX16" s="3"/>
      <c r="BDY16" s="3"/>
      <c r="BDZ16" s="3"/>
      <c r="BEA16" s="3"/>
      <c r="BEB16" s="3"/>
      <c r="BEC16" s="3"/>
      <c r="BED16" s="3"/>
      <c r="BEE16" s="3"/>
      <c r="BEF16" s="3"/>
      <c r="BEG16" s="3"/>
      <c r="BEH16" s="3"/>
      <c r="BEI16" s="3"/>
      <c r="BEJ16" s="3"/>
      <c r="BEK16" s="3"/>
      <c r="BEL16" s="3"/>
      <c r="BEM16" s="3"/>
      <c r="BEN16" s="3"/>
      <c r="BEO16" s="3"/>
      <c r="BEP16" s="3"/>
      <c r="BEQ16" s="3"/>
      <c r="BER16" s="3"/>
      <c r="BES16" s="3"/>
      <c r="BET16" s="3"/>
      <c r="BEU16" s="3"/>
      <c r="BEV16" s="3"/>
      <c r="BEW16" s="3"/>
      <c r="BEX16" s="3"/>
      <c r="BEY16" s="3"/>
      <c r="BEZ16" s="3"/>
      <c r="BFA16" s="3"/>
      <c r="BFB16" s="3"/>
      <c r="BFC16" s="3"/>
      <c r="BFD16" s="3"/>
      <c r="BFE16" s="3"/>
      <c r="BFF16" s="3"/>
      <c r="BFG16" s="3"/>
      <c r="BFH16" s="3"/>
      <c r="BFI16" s="3"/>
      <c r="BFJ16" s="3"/>
      <c r="BFK16" s="3"/>
      <c r="BFL16" s="3"/>
      <c r="BFM16" s="3"/>
      <c r="BFN16" s="3"/>
      <c r="BFO16" s="3"/>
      <c r="BFP16" s="3"/>
      <c r="BFQ16" s="3"/>
      <c r="BFR16" s="3"/>
      <c r="BFS16" s="3"/>
      <c r="BFT16" s="3"/>
      <c r="BFU16" s="3"/>
      <c r="BFV16" s="3"/>
      <c r="BFW16" s="3"/>
      <c r="BFX16" s="3"/>
      <c r="BFY16" s="3"/>
      <c r="BFZ16" s="3"/>
      <c r="BGA16" s="3"/>
      <c r="BGB16" s="3"/>
      <c r="BGC16" s="3"/>
      <c r="BGD16" s="3"/>
      <c r="BGE16" s="3"/>
      <c r="BGF16" s="3"/>
      <c r="BGG16" s="3"/>
      <c r="BGH16" s="3"/>
      <c r="BGI16" s="3"/>
      <c r="BGJ16" s="3"/>
      <c r="BGK16" s="3"/>
      <c r="BGL16" s="3"/>
      <c r="BGM16" s="3"/>
      <c r="BGN16" s="3"/>
      <c r="BGO16" s="3"/>
      <c r="BGP16" s="3"/>
      <c r="BGQ16" s="3"/>
      <c r="BGR16" s="3"/>
      <c r="BGS16" s="3"/>
      <c r="BGT16" s="3"/>
      <c r="BGU16" s="3"/>
      <c r="BGV16" s="3"/>
      <c r="BGW16" s="3"/>
      <c r="BGX16" s="3"/>
      <c r="BGY16" s="3"/>
      <c r="BGZ16" s="3"/>
      <c r="BHA16" s="3"/>
      <c r="BHB16" s="3"/>
      <c r="BHC16" s="3"/>
      <c r="BHD16" s="3"/>
      <c r="BHE16" s="3"/>
      <c r="BHF16" s="3"/>
      <c r="BHG16" s="3"/>
      <c r="BHH16" s="3"/>
      <c r="BHI16" s="3"/>
      <c r="BHJ16" s="3"/>
      <c r="BHK16" s="3"/>
      <c r="BHL16" s="3"/>
      <c r="BHM16" s="3"/>
      <c r="BHN16" s="3"/>
      <c r="BHO16" s="3"/>
      <c r="BHP16" s="3"/>
      <c r="BHQ16" s="3"/>
      <c r="BHR16" s="3"/>
      <c r="BHS16" s="3"/>
      <c r="BHT16" s="3"/>
      <c r="BHU16" s="3"/>
      <c r="BHV16" s="3"/>
      <c r="BHW16" s="3"/>
      <c r="BHX16" s="3"/>
      <c r="BHY16" s="3"/>
      <c r="BHZ16" s="3"/>
      <c r="BIA16" s="3"/>
      <c r="BIB16" s="3"/>
      <c r="BIC16" s="3"/>
      <c r="BID16" s="3"/>
      <c r="BIE16" s="3"/>
      <c r="BIF16" s="3"/>
      <c r="BIG16" s="3"/>
      <c r="BIH16" s="3"/>
      <c r="BII16" s="3"/>
      <c r="BIJ16" s="3"/>
      <c r="BIK16" s="3"/>
      <c r="BIL16" s="3"/>
      <c r="BIM16" s="3"/>
      <c r="BIN16" s="3"/>
      <c r="BIO16" s="3"/>
      <c r="BIP16" s="3"/>
      <c r="BIQ16" s="3"/>
      <c r="BIR16" s="3"/>
      <c r="BIS16" s="3"/>
      <c r="BIT16" s="3"/>
      <c r="BIU16" s="3"/>
      <c r="BIV16" s="3"/>
      <c r="BIW16" s="3"/>
      <c r="BIX16" s="3"/>
      <c r="BIY16" s="3"/>
      <c r="BIZ16" s="3"/>
      <c r="BJA16" s="3"/>
      <c r="BJB16" s="3"/>
      <c r="BJC16" s="3"/>
      <c r="BJD16" s="3"/>
      <c r="BJE16" s="3"/>
      <c r="BJF16" s="3"/>
      <c r="BJG16" s="3"/>
      <c r="BJH16" s="3"/>
      <c r="BJI16" s="3"/>
      <c r="BJJ16" s="3"/>
      <c r="BJK16" s="3"/>
      <c r="BJL16" s="3"/>
      <c r="BJM16" s="3"/>
      <c r="BJN16" s="3"/>
      <c r="BJO16" s="3"/>
      <c r="BJP16" s="3"/>
      <c r="BJQ16" s="3"/>
      <c r="BJR16" s="3"/>
      <c r="BJS16" s="3"/>
      <c r="BJT16" s="3"/>
      <c r="BJU16" s="3"/>
      <c r="BJV16" s="3"/>
      <c r="BJW16" s="3"/>
      <c r="BJX16" s="3"/>
      <c r="BJY16" s="3"/>
      <c r="BJZ16" s="3"/>
      <c r="BKA16" s="3"/>
      <c r="BKB16" s="3"/>
      <c r="BKC16" s="3"/>
      <c r="BKD16" s="3"/>
      <c r="BKE16" s="3"/>
      <c r="BKF16" s="3"/>
      <c r="BKG16" s="3"/>
      <c r="BKH16" s="3"/>
      <c r="BKI16" s="3"/>
      <c r="BKJ16" s="3"/>
      <c r="BKK16" s="3"/>
      <c r="BKL16" s="3"/>
      <c r="BKM16" s="3"/>
      <c r="BKN16" s="3"/>
      <c r="BKO16" s="3"/>
      <c r="BKP16" s="3"/>
      <c r="BKQ16" s="3"/>
      <c r="BKR16" s="3"/>
      <c r="BKS16" s="3"/>
      <c r="BKT16" s="3"/>
      <c r="BKU16" s="3"/>
      <c r="BKV16" s="3"/>
      <c r="BKW16" s="3"/>
      <c r="BKX16" s="3"/>
      <c r="BKY16" s="3"/>
      <c r="BKZ16" s="3"/>
      <c r="BLA16" s="3"/>
      <c r="BLB16" s="3"/>
      <c r="BLC16" s="3"/>
      <c r="BLD16" s="3"/>
      <c r="BLE16" s="3"/>
      <c r="BLF16" s="3"/>
      <c r="BLG16" s="3"/>
      <c r="BLH16" s="3"/>
      <c r="BLI16" s="3"/>
      <c r="BLJ16" s="3"/>
      <c r="BLK16" s="3"/>
      <c r="BLL16" s="3"/>
      <c r="BLM16" s="3"/>
      <c r="BLN16" s="3"/>
      <c r="BLO16" s="3"/>
      <c r="BLP16" s="3"/>
      <c r="BLQ16" s="3"/>
      <c r="BLR16" s="3"/>
      <c r="BLS16" s="3"/>
      <c r="BLT16" s="3"/>
      <c r="BLU16" s="3"/>
      <c r="BLV16" s="3"/>
      <c r="BLW16" s="3"/>
      <c r="BLX16" s="3"/>
      <c r="BLY16" s="3"/>
      <c r="BLZ16" s="3"/>
      <c r="BMA16" s="3"/>
      <c r="BMB16" s="3"/>
      <c r="BMC16" s="3"/>
      <c r="BMD16" s="3"/>
      <c r="BME16" s="3"/>
      <c r="BMF16" s="3"/>
      <c r="BMG16" s="3"/>
      <c r="BMH16" s="3"/>
      <c r="BMI16" s="3"/>
      <c r="BMJ16" s="3"/>
      <c r="BMK16" s="3"/>
      <c r="BML16" s="3"/>
      <c r="BMM16" s="3"/>
      <c r="BMN16" s="3"/>
      <c r="BMO16" s="3"/>
      <c r="BMP16" s="3"/>
      <c r="BMQ16" s="3"/>
      <c r="BMR16" s="3"/>
      <c r="BMS16" s="3"/>
      <c r="BMT16" s="3"/>
      <c r="BMU16" s="3"/>
      <c r="BMV16" s="3"/>
      <c r="BMW16" s="3"/>
      <c r="BMX16" s="3"/>
      <c r="BMY16" s="3"/>
      <c r="BMZ16" s="3"/>
      <c r="BNA16" s="3"/>
      <c r="BNB16" s="3"/>
      <c r="BNC16" s="3"/>
      <c r="BND16" s="3"/>
      <c r="BNE16" s="3"/>
      <c r="BNF16" s="3"/>
      <c r="BNG16" s="3"/>
      <c r="BNH16" s="3"/>
      <c r="BNI16" s="3"/>
      <c r="BNJ16" s="3"/>
      <c r="BNK16" s="3"/>
      <c r="BNL16" s="3"/>
      <c r="BNM16" s="3"/>
      <c r="BNN16" s="3"/>
      <c r="BNO16" s="3"/>
      <c r="BNP16" s="3"/>
      <c r="BNQ16" s="3"/>
      <c r="BNR16" s="3"/>
      <c r="BNS16" s="3"/>
      <c r="BNT16" s="3"/>
      <c r="BNU16" s="3"/>
      <c r="BNV16" s="3"/>
      <c r="BNW16" s="3"/>
      <c r="BNX16" s="3"/>
      <c r="BNY16" s="3"/>
      <c r="BNZ16" s="3"/>
      <c r="BOA16" s="3"/>
      <c r="BOB16" s="3"/>
      <c r="BOC16" s="3"/>
      <c r="BOD16" s="3"/>
      <c r="BOE16" s="3"/>
      <c r="BOF16" s="3"/>
      <c r="BOG16" s="3"/>
      <c r="BOH16" s="3"/>
      <c r="BOI16" s="3"/>
      <c r="BOJ16" s="3"/>
      <c r="BOK16" s="3"/>
      <c r="BOL16" s="3"/>
      <c r="BOM16" s="3"/>
      <c r="BON16" s="3"/>
      <c r="BOO16" s="3"/>
      <c r="BOP16" s="3"/>
      <c r="BOQ16" s="3"/>
      <c r="BOR16" s="3"/>
      <c r="BOS16" s="3"/>
      <c r="BOT16" s="3"/>
      <c r="BOU16" s="3"/>
      <c r="BOV16" s="3"/>
      <c r="BOW16" s="3"/>
      <c r="BOX16" s="3"/>
      <c r="BOY16" s="3"/>
      <c r="BOZ16" s="3"/>
      <c r="BPA16" s="3"/>
      <c r="BPB16" s="3"/>
      <c r="BPC16" s="3"/>
      <c r="BPD16" s="3"/>
      <c r="BPE16" s="3"/>
      <c r="BPF16" s="3"/>
      <c r="BPG16" s="3"/>
      <c r="BPH16" s="3"/>
      <c r="BPI16" s="3"/>
      <c r="BPJ16" s="3"/>
      <c r="BPK16" s="3"/>
      <c r="BPL16" s="3"/>
      <c r="BPM16" s="3"/>
      <c r="BPN16" s="3"/>
      <c r="BPO16" s="3"/>
      <c r="BPP16" s="3"/>
      <c r="BPQ16" s="3"/>
      <c r="BPR16" s="3"/>
      <c r="BPS16" s="3"/>
      <c r="BPT16" s="3"/>
      <c r="BPU16" s="3"/>
      <c r="BPV16" s="3"/>
      <c r="BPW16" s="3"/>
      <c r="BPX16" s="3"/>
      <c r="BPY16" s="3"/>
      <c r="BPZ16" s="3"/>
      <c r="BQA16" s="3"/>
      <c r="BQB16" s="3"/>
      <c r="BQC16" s="3"/>
      <c r="BQD16" s="3"/>
      <c r="BQE16" s="3"/>
      <c r="BQF16" s="3"/>
      <c r="BQG16" s="3"/>
      <c r="BQH16" s="3"/>
      <c r="BQI16" s="3"/>
      <c r="BQJ16" s="3"/>
      <c r="BQK16" s="3"/>
      <c r="BQL16" s="3"/>
      <c r="BQM16" s="3"/>
      <c r="BQN16" s="3"/>
      <c r="BQO16" s="3"/>
      <c r="BQP16" s="3"/>
      <c r="BQQ16" s="3"/>
      <c r="BQR16" s="3"/>
      <c r="BQS16" s="3"/>
      <c r="BQT16" s="3"/>
      <c r="BQU16" s="3"/>
      <c r="BQV16" s="3"/>
      <c r="BQW16" s="3"/>
      <c r="BQX16" s="3"/>
      <c r="BQY16" s="3"/>
      <c r="BQZ16" s="3"/>
      <c r="BRA16" s="3"/>
      <c r="BRB16" s="3"/>
      <c r="BRC16" s="3"/>
      <c r="BRD16" s="3"/>
      <c r="BRE16" s="3"/>
      <c r="BRF16" s="3"/>
      <c r="BRG16" s="3"/>
      <c r="BRH16" s="3"/>
      <c r="BRI16" s="3"/>
      <c r="BRJ16" s="3"/>
      <c r="BRK16" s="3"/>
      <c r="BRL16" s="3"/>
      <c r="BRM16" s="3"/>
      <c r="BRN16" s="3"/>
      <c r="BRO16" s="3"/>
      <c r="BRP16" s="3"/>
      <c r="BRQ16" s="3"/>
      <c r="BRR16" s="3"/>
      <c r="BRS16" s="3"/>
      <c r="BRT16" s="3"/>
      <c r="BRU16" s="3"/>
      <c r="BRV16" s="3"/>
      <c r="BRW16" s="3"/>
      <c r="BRX16" s="3"/>
      <c r="BRY16" s="3"/>
      <c r="BRZ16" s="3"/>
      <c r="BSA16" s="3"/>
      <c r="BSB16" s="3"/>
      <c r="BSC16" s="3"/>
      <c r="BSD16" s="3"/>
      <c r="BSE16" s="3"/>
      <c r="BSF16" s="3"/>
      <c r="BSG16" s="3"/>
      <c r="BSH16" s="3"/>
      <c r="BSI16" s="3"/>
      <c r="BSJ16" s="3"/>
      <c r="BSK16" s="3"/>
      <c r="BSL16" s="3"/>
      <c r="BSM16" s="3"/>
      <c r="BSN16" s="3"/>
      <c r="BSO16" s="3"/>
      <c r="BSP16" s="3"/>
      <c r="BSQ16" s="3"/>
      <c r="BSR16" s="3"/>
      <c r="BSS16" s="3"/>
      <c r="BST16" s="3"/>
      <c r="BSU16" s="3"/>
      <c r="BSV16" s="3"/>
      <c r="BSW16" s="3"/>
      <c r="BSX16" s="3"/>
      <c r="BSY16" s="3"/>
      <c r="BSZ16" s="3"/>
      <c r="BTA16" s="3"/>
      <c r="BTB16" s="3"/>
      <c r="BTC16" s="3"/>
      <c r="BTD16" s="3"/>
      <c r="BTE16" s="3"/>
      <c r="BTF16" s="3"/>
      <c r="BTG16" s="3"/>
      <c r="BTH16" s="3"/>
      <c r="BTI16" s="3"/>
      <c r="BTJ16" s="3"/>
      <c r="BTK16" s="3"/>
      <c r="BTL16" s="3"/>
      <c r="BTM16" s="3"/>
      <c r="BTN16" s="3"/>
      <c r="BTO16" s="3"/>
      <c r="BTP16" s="3"/>
      <c r="BTQ16" s="3"/>
      <c r="BTR16" s="3"/>
      <c r="BTS16" s="3"/>
      <c r="BTT16" s="3"/>
      <c r="BTU16" s="3"/>
      <c r="BTV16" s="3"/>
      <c r="BTW16" s="3"/>
      <c r="BTX16" s="3"/>
      <c r="BTY16" s="3"/>
      <c r="BTZ16" s="3"/>
      <c r="BUA16" s="3"/>
      <c r="BUB16" s="3"/>
      <c r="BUC16" s="3"/>
      <c r="BUD16" s="3"/>
      <c r="BUE16" s="3"/>
      <c r="BUF16" s="3"/>
      <c r="BUG16" s="3"/>
      <c r="BUH16" s="3"/>
      <c r="BUI16" s="3"/>
      <c r="BUJ16" s="3"/>
      <c r="BUK16" s="3"/>
      <c r="BUL16" s="3"/>
      <c r="BUM16" s="3"/>
      <c r="BUN16" s="3"/>
      <c r="BUO16" s="3"/>
      <c r="BUP16" s="3"/>
      <c r="BUQ16" s="3"/>
      <c r="BUR16" s="3"/>
      <c r="BUS16" s="3"/>
      <c r="BUT16" s="3"/>
      <c r="BUU16" s="3"/>
      <c r="BUV16" s="3"/>
      <c r="BUW16" s="3"/>
      <c r="BUX16" s="3"/>
      <c r="BUY16" s="3"/>
      <c r="BUZ16" s="3"/>
      <c r="BVA16" s="3"/>
      <c r="BVB16" s="3"/>
      <c r="BVC16" s="3"/>
      <c r="BVD16" s="3"/>
      <c r="BVE16" s="3"/>
      <c r="BVF16" s="3"/>
      <c r="BVG16" s="3"/>
      <c r="BVH16" s="3"/>
      <c r="BVI16" s="3"/>
      <c r="BVJ16" s="3"/>
      <c r="BVK16" s="3"/>
      <c r="BVL16" s="3"/>
      <c r="BVM16" s="3"/>
      <c r="BVN16" s="3"/>
      <c r="BVO16" s="3"/>
      <c r="BVP16" s="3"/>
      <c r="BVQ16" s="3"/>
      <c r="BVR16" s="3"/>
      <c r="BVS16" s="3"/>
      <c r="BVT16" s="3"/>
      <c r="BVU16" s="3"/>
      <c r="BVV16" s="3"/>
      <c r="BVW16" s="3"/>
      <c r="BVX16" s="3"/>
      <c r="BVY16" s="3"/>
      <c r="BVZ16" s="3"/>
      <c r="BWA16" s="3"/>
      <c r="BWB16" s="3"/>
      <c r="BWC16" s="3"/>
      <c r="BWD16" s="3"/>
      <c r="BWE16" s="3"/>
      <c r="BWF16" s="3"/>
      <c r="BWG16" s="3"/>
      <c r="BWH16" s="3"/>
      <c r="BWI16" s="3"/>
      <c r="BWJ16" s="3"/>
      <c r="BWK16" s="3"/>
      <c r="BWL16" s="3"/>
      <c r="BWM16" s="3"/>
      <c r="BWN16" s="3"/>
      <c r="BWO16" s="3"/>
      <c r="BWP16" s="3"/>
      <c r="BWQ16" s="3"/>
      <c r="BWR16" s="3"/>
      <c r="BWS16" s="3"/>
      <c r="BWT16" s="3"/>
      <c r="BWU16" s="3"/>
      <c r="BWV16" s="3"/>
      <c r="BWW16" s="3"/>
      <c r="BWX16" s="3"/>
      <c r="BWY16" s="3"/>
      <c r="BWZ16" s="3"/>
      <c r="BXA16" s="3"/>
      <c r="BXB16" s="3"/>
      <c r="BXC16" s="3"/>
      <c r="BXD16" s="3"/>
      <c r="BXE16" s="3"/>
      <c r="BXF16" s="3"/>
      <c r="BXG16" s="3"/>
      <c r="BXH16" s="3"/>
      <c r="BXI16" s="3"/>
      <c r="BXJ16" s="3"/>
      <c r="BXK16" s="3"/>
      <c r="BXL16" s="3"/>
      <c r="BXM16" s="3"/>
      <c r="BXN16" s="3"/>
      <c r="BXO16" s="3"/>
      <c r="BXP16" s="3"/>
      <c r="BXQ16" s="3"/>
      <c r="BXR16" s="3"/>
      <c r="BXS16" s="3"/>
      <c r="BXT16" s="3"/>
      <c r="BXU16" s="3"/>
      <c r="BXV16" s="3"/>
      <c r="BXW16" s="3"/>
      <c r="BXX16" s="3"/>
      <c r="BXY16" s="3"/>
      <c r="BXZ16" s="3"/>
      <c r="BYA16" s="3"/>
      <c r="BYB16" s="3"/>
      <c r="BYC16" s="3"/>
      <c r="BYD16" s="3"/>
      <c r="BYE16" s="3"/>
      <c r="BYF16" s="3"/>
      <c r="BYG16" s="3"/>
      <c r="BYH16" s="3"/>
      <c r="BYI16" s="3"/>
      <c r="BYJ16" s="3"/>
      <c r="BYK16" s="3"/>
      <c r="BYL16" s="3"/>
      <c r="BYM16" s="3"/>
      <c r="BYN16" s="3"/>
      <c r="BYO16" s="3"/>
      <c r="BYP16" s="3"/>
      <c r="BYQ16" s="3"/>
      <c r="BYR16" s="3"/>
      <c r="BYS16" s="3"/>
      <c r="BYT16" s="3"/>
      <c r="BYU16" s="3"/>
      <c r="BYV16" s="3"/>
      <c r="BYW16" s="3"/>
      <c r="BYX16" s="3"/>
      <c r="BYY16" s="3"/>
      <c r="BYZ16" s="3"/>
      <c r="BZA16" s="3"/>
      <c r="BZB16" s="3"/>
      <c r="BZC16" s="3"/>
      <c r="BZD16" s="3"/>
      <c r="BZE16" s="3"/>
      <c r="BZF16" s="3"/>
      <c r="BZG16" s="3"/>
      <c r="BZH16" s="3"/>
      <c r="BZI16" s="3"/>
      <c r="BZJ16" s="3"/>
      <c r="BZK16" s="3"/>
      <c r="BZL16" s="3"/>
      <c r="BZM16" s="3"/>
      <c r="BZN16" s="3"/>
      <c r="BZO16" s="3"/>
      <c r="BZP16" s="3"/>
      <c r="BZQ16" s="3"/>
      <c r="BZR16" s="3"/>
      <c r="BZS16" s="3"/>
      <c r="BZT16" s="3"/>
      <c r="BZU16" s="3"/>
      <c r="BZV16" s="3"/>
      <c r="BZW16" s="3"/>
      <c r="BZX16" s="3"/>
      <c r="BZY16" s="3"/>
      <c r="BZZ16" s="3"/>
      <c r="CAA16" s="3"/>
      <c r="CAB16" s="3"/>
      <c r="CAC16" s="3"/>
      <c r="CAD16" s="3"/>
      <c r="CAE16" s="3"/>
      <c r="CAF16" s="3"/>
      <c r="CAG16" s="3"/>
      <c r="CAH16" s="3"/>
      <c r="CAI16" s="3"/>
      <c r="CAJ16" s="3"/>
      <c r="CAK16" s="3"/>
      <c r="CAL16" s="3"/>
      <c r="CAM16" s="3"/>
      <c r="CAN16" s="3"/>
      <c r="CAO16" s="3"/>
      <c r="CAP16" s="3"/>
      <c r="CAQ16" s="3"/>
      <c r="CAR16" s="3"/>
      <c r="CAS16" s="3"/>
      <c r="CAT16" s="3"/>
      <c r="CAU16" s="3"/>
      <c r="CAV16" s="3"/>
      <c r="CAW16" s="3"/>
      <c r="CAX16" s="3"/>
      <c r="CAY16" s="3"/>
      <c r="CAZ16" s="3"/>
      <c r="CBA16" s="3"/>
      <c r="CBB16" s="3"/>
      <c r="CBC16" s="3"/>
      <c r="CBD16" s="3"/>
      <c r="CBE16" s="3"/>
      <c r="CBF16" s="3"/>
      <c r="CBG16" s="3"/>
      <c r="CBH16" s="3"/>
      <c r="CBI16" s="3"/>
      <c r="CBJ16" s="3"/>
      <c r="CBK16" s="3"/>
      <c r="CBL16" s="3"/>
      <c r="CBM16" s="3"/>
      <c r="CBN16" s="3"/>
      <c r="CBO16" s="3"/>
      <c r="CBP16" s="3"/>
      <c r="CBQ16" s="3"/>
      <c r="CBR16" s="3"/>
      <c r="CBS16" s="3"/>
      <c r="CBT16" s="3"/>
      <c r="CBU16" s="3"/>
      <c r="CBV16" s="3"/>
      <c r="CBW16" s="3"/>
      <c r="CBX16" s="3"/>
      <c r="CBY16" s="3"/>
      <c r="CBZ16" s="3"/>
      <c r="CCA16" s="3"/>
      <c r="CCB16" s="3"/>
      <c r="CCC16" s="3"/>
      <c r="CCD16" s="3"/>
      <c r="CCE16" s="3"/>
      <c r="CCF16" s="3"/>
      <c r="CCG16" s="3"/>
      <c r="CCH16" s="3"/>
      <c r="CCI16" s="3"/>
      <c r="CCJ16" s="3"/>
      <c r="CCK16" s="3"/>
      <c r="CCL16" s="3"/>
      <c r="CCM16" s="3"/>
      <c r="CCN16" s="3"/>
      <c r="CCO16" s="3"/>
      <c r="CCP16" s="3"/>
      <c r="CCQ16" s="3"/>
      <c r="CCR16" s="3"/>
      <c r="CCS16" s="3"/>
      <c r="CCT16" s="3"/>
      <c r="CCU16" s="3"/>
      <c r="CCV16" s="3"/>
      <c r="CCW16" s="3"/>
      <c r="CCX16" s="3"/>
      <c r="CCY16" s="3"/>
      <c r="CCZ16" s="3"/>
      <c r="CDA16" s="3"/>
      <c r="CDB16" s="3"/>
      <c r="CDC16" s="3"/>
      <c r="CDD16" s="3"/>
      <c r="CDE16" s="3"/>
      <c r="CDF16" s="3"/>
      <c r="CDG16" s="3"/>
      <c r="CDH16" s="3"/>
      <c r="CDI16" s="3"/>
      <c r="CDJ16" s="3"/>
      <c r="CDK16" s="3"/>
      <c r="CDL16" s="3"/>
      <c r="CDM16" s="3"/>
      <c r="CDN16" s="3"/>
      <c r="CDO16" s="3"/>
      <c r="CDP16" s="3"/>
      <c r="CDQ16" s="3"/>
      <c r="CDR16" s="3"/>
      <c r="CDS16" s="3"/>
      <c r="CDT16" s="3"/>
      <c r="CDU16" s="3"/>
      <c r="CDV16" s="3"/>
      <c r="CDW16" s="3"/>
      <c r="CDX16" s="3"/>
      <c r="CDY16" s="3"/>
      <c r="CDZ16" s="3"/>
      <c r="CEA16" s="3"/>
      <c r="CEB16" s="3"/>
      <c r="CEC16" s="3"/>
      <c r="CED16" s="3"/>
      <c r="CEE16" s="3"/>
      <c r="CEF16" s="3"/>
      <c r="CEG16" s="3"/>
      <c r="CEH16" s="3"/>
      <c r="CEI16" s="3"/>
      <c r="CEJ16" s="3"/>
      <c r="CEK16" s="3"/>
      <c r="CEL16" s="3"/>
      <c r="CEM16" s="3"/>
      <c r="CEN16" s="3"/>
      <c r="CEO16" s="3"/>
      <c r="CEP16" s="3"/>
      <c r="CEQ16" s="3"/>
      <c r="CER16" s="3"/>
      <c r="CES16" s="3"/>
      <c r="CET16" s="3"/>
      <c r="CEU16" s="3"/>
      <c r="CEV16" s="3"/>
      <c r="CEW16" s="3"/>
      <c r="CEX16" s="3"/>
      <c r="CEY16" s="3"/>
      <c r="CEZ16" s="3"/>
      <c r="CFA16" s="3"/>
      <c r="CFB16" s="3"/>
      <c r="CFC16" s="3"/>
      <c r="CFD16" s="3"/>
      <c r="CFE16" s="3"/>
      <c r="CFF16" s="3"/>
      <c r="CFG16" s="3"/>
      <c r="CFH16" s="3"/>
      <c r="CFI16" s="3"/>
      <c r="CFJ16" s="3"/>
      <c r="CFK16" s="3"/>
      <c r="CFL16" s="3"/>
      <c r="CFM16" s="3"/>
      <c r="CFN16" s="3"/>
      <c r="CFO16" s="3"/>
      <c r="CFP16" s="3"/>
      <c r="CFQ16" s="3"/>
      <c r="CFR16" s="3"/>
      <c r="CFS16" s="3"/>
      <c r="CFT16" s="3"/>
      <c r="CFU16" s="3"/>
      <c r="CFV16" s="3"/>
      <c r="CFW16" s="3"/>
      <c r="CFX16" s="3"/>
      <c r="CFY16" s="3"/>
      <c r="CFZ16" s="3"/>
      <c r="CGA16" s="3"/>
      <c r="CGB16" s="3"/>
      <c r="CGC16" s="3"/>
      <c r="CGD16" s="3"/>
      <c r="CGE16" s="3"/>
      <c r="CGF16" s="3"/>
      <c r="CGG16" s="3"/>
      <c r="CGH16" s="3"/>
      <c r="CGI16" s="3"/>
      <c r="CGJ16" s="3"/>
      <c r="CGK16" s="3"/>
      <c r="CGL16" s="3"/>
      <c r="CGM16" s="3"/>
      <c r="CGN16" s="3"/>
      <c r="CGO16" s="3"/>
      <c r="CGP16" s="3"/>
      <c r="CGQ16" s="3"/>
      <c r="CGR16" s="3"/>
      <c r="CGS16" s="3"/>
      <c r="CGT16" s="3"/>
      <c r="CGU16" s="3"/>
      <c r="CGV16" s="3"/>
      <c r="CGW16" s="3"/>
      <c r="CGX16" s="3"/>
      <c r="CGY16" s="3"/>
      <c r="CGZ16" s="3"/>
      <c r="CHA16" s="3"/>
      <c r="CHB16" s="3"/>
      <c r="CHC16" s="3"/>
      <c r="CHD16" s="3"/>
      <c r="CHE16" s="3"/>
      <c r="CHF16" s="3"/>
      <c r="CHG16" s="3"/>
      <c r="CHH16" s="3"/>
      <c r="CHI16" s="3"/>
      <c r="CHJ16" s="3"/>
      <c r="CHK16" s="3"/>
      <c r="CHL16" s="3"/>
      <c r="CHM16" s="3"/>
      <c r="CHN16" s="3"/>
      <c r="CHO16" s="3"/>
      <c r="CHP16" s="3"/>
      <c r="CHQ16" s="3"/>
      <c r="CHR16" s="3"/>
      <c r="CHS16" s="3"/>
      <c r="CHT16" s="3"/>
      <c r="CHU16" s="3"/>
      <c r="CHV16" s="3"/>
      <c r="CHW16" s="3"/>
      <c r="CHX16" s="3"/>
      <c r="CHY16" s="3"/>
      <c r="CHZ16" s="3"/>
      <c r="CIA16" s="3"/>
      <c r="CIB16" s="3"/>
      <c r="CIC16" s="3"/>
      <c r="CID16" s="3"/>
      <c r="CIE16" s="3"/>
      <c r="CIF16" s="3"/>
      <c r="CIG16" s="3"/>
      <c r="CIH16" s="3"/>
      <c r="CII16" s="3"/>
      <c r="CIJ16" s="3"/>
      <c r="CIK16" s="3"/>
      <c r="CIL16" s="3"/>
      <c r="CIM16" s="3"/>
      <c r="CIN16" s="3"/>
      <c r="CIO16" s="3"/>
      <c r="CIP16" s="3"/>
      <c r="CIQ16" s="3"/>
      <c r="CIR16" s="3"/>
      <c r="CIS16" s="3"/>
      <c r="CIT16" s="3"/>
      <c r="CIU16" s="3"/>
      <c r="CIV16" s="3"/>
      <c r="CIW16" s="3"/>
      <c r="CIX16" s="3"/>
      <c r="CIY16" s="3"/>
      <c r="CIZ16" s="3"/>
      <c r="CJA16" s="3"/>
      <c r="CJB16" s="3"/>
      <c r="CJC16" s="3"/>
      <c r="CJD16" s="3"/>
      <c r="CJE16" s="3"/>
      <c r="CJF16" s="3"/>
      <c r="CJG16" s="3"/>
      <c r="CJH16" s="3"/>
      <c r="CJI16" s="3"/>
      <c r="CJJ16" s="3"/>
      <c r="CJK16" s="3"/>
      <c r="CJL16" s="3"/>
      <c r="CJM16" s="3"/>
      <c r="CJN16" s="3"/>
      <c r="CJO16" s="3"/>
      <c r="CJP16" s="3"/>
      <c r="CJQ16" s="3"/>
      <c r="CJR16" s="3"/>
      <c r="CJS16" s="3"/>
      <c r="CJT16" s="3"/>
      <c r="CJU16" s="3"/>
      <c r="CJV16" s="3"/>
      <c r="CJW16" s="3"/>
      <c r="CJX16" s="3"/>
      <c r="CJY16" s="3"/>
      <c r="CJZ16" s="3"/>
      <c r="CKA16" s="3"/>
      <c r="CKB16" s="3"/>
      <c r="CKC16" s="3"/>
      <c r="CKD16" s="3"/>
      <c r="CKE16" s="3"/>
      <c r="CKF16" s="3"/>
      <c r="CKG16" s="3"/>
      <c r="CKH16" s="3"/>
      <c r="CKI16" s="3"/>
      <c r="CKJ16" s="3"/>
      <c r="CKK16" s="3"/>
      <c r="CKL16" s="3"/>
      <c r="CKM16" s="3"/>
      <c r="CKN16" s="3"/>
      <c r="CKO16" s="3"/>
      <c r="CKP16" s="3"/>
      <c r="CKQ16" s="3"/>
      <c r="CKR16" s="3"/>
      <c r="CKS16" s="3"/>
      <c r="CKT16" s="3"/>
      <c r="CKU16" s="3"/>
      <c r="CKV16" s="3"/>
      <c r="CKW16" s="3"/>
      <c r="CKX16" s="3"/>
      <c r="CKY16" s="3"/>
      <c r="CKZ16" s="3"/>
      <c r="CLA16" s="3"/>
      <c r="CLB16" s="3"/>
      <c r="CLC16" s="3"/>
      <c r="CLD16" s="3"/>
      <c r="CLE16" s="3"/>
      <c r="CLF16" s="3"/>
      <c r="CLG16" s="3"/>
      <c r="CLH16" s="3"/>
      <c r="CLI16" s="3"/>
      <c r="CLJ16" s="3"/>
      <c r="CLK16" s="3"/>
      <c r="CLL16" s="3"/>
      <c r="CLM16" s="3"/>
      <c r="CLN16" s="3"/>
      <c r="CLO16" s="3"/>
      <c r="CLP16" s="3"/>
      <c r="CLQ16" s="3"/>
      <c r="CLR16" s="3"/>
      <c r="CLS16" s="3"/>
      <c r="CLT16" s="3"/>
      <c r="CLU16" s="3"/>
      <c r="CLV16" s="3"/>
      <c r="CLW16" s="3"/>
      <c r="CLX16" s="3"/>
      <c r="CLY16" s="3"/>
      <c r="CLZ16" s="3"/>
      <c r="CMA16" s="3"/>
      <c r="CMB16" s="3"/>
      <c r="CMC16" s="3"/>
      <c r="CMD16" s="3"/>
      <c r="CME16" s="3"/>
      <c r="CMF16" s="3"/>
      <c r="CMG16" s="3"/>
      <c r="CMH16" s="3"/>
      <c r="CMI16" s="3"/>
      <c r="CMJ16" s="3"/>
      <c r="CMK16" s="3"/>
      <c r="CML16" s="3"/>
      <c r="CMM16" s="3"/>
      <c r="CMN16" s="3"/>
      <c r="CMO16" s="3"/>
      <c r="CMP16" s="3"/>
      <c r="CMQ16" s="3"/>
      <c r="CMR16" s="3"/>
      <c r="CMS16" s="3"/>
      <c r="CMT16" s="3"/>
      <c r="CMU16" s="3"/>
      <c r="CMV16" s="3"/>
      <c r="CMW16" s="3"/>
      <c r="CMX16" s="3"/>
      <c r="CMY16" s="3"/>
      <c r="CMZ16" s="3"/>
      <c r="CNA16" s="3"/>
      <c r="CNB16" s="3"/>
      <c r="CNC16" s="3"/>
      <c r="CND16" s="3"/>
      <c r="CNE16" s="3"/>
      <c r="CNF16" s="3"/>
      <c r="CNG16" s="3"/>
      <c r="CNH16" s="3"/>
      <c r="CNI16" s="3"/>
      <c r="CNJ16" s="3"/>
      <c r="CNK16" s="3"/>
      <c r="CNL16" s="3"/>
      <c r="CNM16" s="3"/>
      <c r="CNN16" s="3"/>
      <c r="CNO16" s="3"/>
      <c r="CNP16" s="3"/>
      <c r="CNQ16" s="3"/>
      <c r="CNR16" s="3"/>
      <c r="CNS16" s="3"/>
      <c r="CNT16" s="3"/>
      <c r="CNU16" s="3"/>
      <c r="CNV16" s="3"/>
      <c r="CNW16" s="3"/>
      <c r="CNX16" s="3"/>
      <c r="CNY16" s="3"/>
      <c r="CNZ16" s="3"/>
      <c r="COA16" s="3"/>
      <c r="COB16" s="3"/>
      <c r="COC16" s="3"/>
      <c r="COD16" s="3"/>
      <c r="COE16" s="3"/>
      <c r="COF16" s="3"/>
      <c r="COG16" s="3"/>
      <c r="COH16" s="3"/>
      <c r="COI16" s="3"/>
      <c r="COJ16" s="3"/>
      <c r="COK16" s="3"/>
      <c r="COL16" s="3"/>
      <c r="COM16" s="3"/>
      <c r="CON16" s="3"/>
      <c r="COO16" s="3"/>
      <c r="COP16" s="3"/>
      <c r="COQ16" s="3"/>
      <c r="COR16" s="3"/>
      <c r="COS16" s="3"/>
      <c r="COT16" s="3"/>
      <c r="COU16" s="3"/>
      <c r="COV16" s="3"/>
      <c r="COW16" s="3"/>
      <c r="COX16" s="3"/>
      <c r="COY16" s="3"/>
      <c r="COZ16" s="3"/>
      <c r="CPA16" s="3"/>
      <c r="CPB16" s="3"/>
      <c r="CPC16" s="3"/>
      <c r="CPD16" s="3"/>
      <c r="CPE16" s="3"/>
      <c r="CPF16" s="3"/>
      <c r="CPG16" s="3"/>
      <c r="CPH16" s="3"/>
      <c r="CPI16" s="3"/>
      <c r="CPJ16" s="3"/>
      <c r="CPK16" s="3"/>
      <c r="CPL16" s="3"/>
      <c r="CPM16" s="3"/>
      <c r="CPN16" s="3"/>
      <c r="CPO16" s="3"/>
      <c r="CPP16" s="3"/>
      <c r="CPQ16" s="3"/>
      <c r="CPR16" s="3"/>
      <c r="CPS16" s="3"/>
      <c r="CPT16" s="3"/>
      <c r="CPU16" s="3"/>
      <c r="CPV16" s="3"/>
      <c r="CPW16" s="3"/>
      <c r="CPX16" s="3"/>
      <c r="CPY16" s="3"/>
      <c r="CPZ16" s="3"/>
      <c r="CQA16" s="3"/>
      <c r="CQB16" s="3"/>
      <c r="CQC16" s="3"/>
      <c r="CQD16" s="3"/>
      <c r="CQE16" s="3"/>
      <c r="CQF16" s="3"/>
      <c r="CQG16" s="3"/>
      <c r="CQH16" s="3"/>
      <c r="CQI16" s="3"/>
      <c r="CQJ16" s="3"/>
      <c r="CQK16" s="3"/>
      <c r="CQL16" s="3"/>
      <c r="CQM16" s="3"/>
      <c r="CQN16" s="3"/>
      <c r="CQO16" s="3"/>
      <c r="CQP16" s="3"/>
      <c r="CQQ16" s="3"/>
      <c r="CQR16" s="3"/>
      <c r="CQS16" s="3"/>
      <c r="CQT16" s="3"/>
      <c r="CQU16" s="3"/>
      <c r="CQV16" s="3"/>
      <c r="CQW16" s="3"/>
      <c r="CQX16" s="3"/>
      <c r="CQY16" s="3"/>
      <c r="CQZ16" s="3"/>
      <c r="CRA16" s="3"/>
      <c r="CRB16" s="3"/>
      <c r="CRC16" s="3"/>
      <c r="CRD16" s="3"/>
      <c r="CRE16" s="3"/>
      <c r="CRF16" s="3"/>
      <c r="CRG16" s="3"/>
      <c r="CRH16" s="3"/>
      <c r="CRI16" s="3"/>
      <c r="CRJ16" s="3"/>
      <c r="CRK16" s="3"/>
      <c r="CRL16" s="3"/>
      <c r="CRM16" s="3"/>
      <c r="CRN16" s="3"/>
      <c r="CRO16" s="3"/>
      <c r="CRP16" s="3"/>
      <c r="CRQ16" s="3"/>
      <c r="CRR16" s="3"/>
      <c r="CRS16" s="3"/>
      <c r="CRT16" s="3"/>
      <c r="CRU16" s="3"/>
      <c r="CRV16" s="3"/>
      <c r="CRW16" s="3"/>
      <c r="CRX16" s="3"/>
      <c r="CRY16" s="3"/>
      <c r="CRZ16" s="3"/>
      <c r="CSA16" s="3"/>
      <c r="CSB16" s="3"/>
      <c r="CSC16" s="3"/>
      <c r="CSD16" s="3"/>
      <c r="CSE16" s="3"/>
      <c r="CSF16" s="3"/>
      <c r="CSG16" s="3"/>
      <c r="CSH16" s="3"/>
      <c r="CSI16" s="3"/>
      <c r="CSJ16" s="3"/>
      <c r="CSK16" s="3"/>
      <c r="CSL16" s="3"/>
      <c r="CSM16" s="3"/>
      <c r="CSN16" s="3"/>
      <c r="CSO16" s="3"/>
      <c r="CSP16" s="3"/>
      <c r="CSQ16" s="3"/>
      <c r="CSR16" s="3"/>
      <c r="CSS16" s="3"/>
      <c r="CST16" s="3"/>
      <c r="CSU16" s="3"/>
      <c r="CSV16" s="3"/>
      <c r="CSW16" s="3"/>
      <c r="CSX16" s="3"/>
      <c r="CSY16" s="3"/>
      <c r="CSZ16" s="3"/>
      <c r="CTA16" s="3"/>
      <c r="CTB16" s="3"/>
      <c r="CTC16" s="3"/>
      <c r="CTD16" s="3"/>
      <c r="CTE16" s="3"/>
      <c r="CTF16" s="3"/>
      <c r="CTG16" s="3"/>
      <c r="CTH16" s="3"/>
      <c r="CTI16" s="3"/>
      <c r="CTJ16" s="3"/>
      <c r="CTK16" s="3"/>
      <c r="CTL16" s="3"/>
      <c r="CTM16" s="3"/>
      <c r="CTN16" s="3"/>
      <c r="CTO16" s="3"/>
      <c r="CTP16" s="3"/>
      <c r="CTQ16" s="3"/>
      <c r="CTR16" s="3"/>
      <c r="CTS16" s="3"/>
      <c r="CTT16" s="3"/>
      <c r="CTU16" s="3"/>
      <c r="CTV16" s="3"/>
      <c r="CTW16" s="3"/>
      <c r="CTX16" s="3"/>
      <c r="CTY16" s="3"/>
      <c r="CTZ16" s="3"/>
      <c r="CUA16" s="3"/>
      <c r="CUB16" s="3"/>
      <c r="CUC16" s="3"/>
      <c r="CUD16" s="3"/>
      <c r="CUE16" s="3"/>
      <c r="CUF16" s="3"/>
      <c r="CUG16" s="3"/>
      <c r="CUH16" s="3"/>
      <c r="CUI16" s="3"/>
      <c r="CUJ16" s="3"/>
      <c r="CUK16" s="3"/>
      <c r="CUL16" s="3"/>
      <c r="CUM16" s="3"/>
      <c r="CUN16" s="3"/>
      <c r="CUO16" s="3"/>
      <c r="CUP16" s="3"/>
      <c r="CUQ16" s="3"/>
      <c r="CUR16" s="3"/>
      <c r="CUS16" s="3"/>
      <c r="CUT16" s="3"/>
      <c r="CUU16" s="3"/>
      <c r="CUV16" s="3"/>
      <c r="CUW16" s="3"/>
      <c r="CUX16" s="3"/>
      <c r="CUY16" s="3"/>
      <c r="CUZ16" s="3"/>
      <c r="CVA16" s="3"/>
      <c r="CVB16" s="3"/>
      <c r="CVC16" s="3"/>
      <c r="CVD16" s="3"/>
      <c r="CVE16" s="3"/>
      <c r="CVF16" s="3"/>
      <c r="CVG16" s="3"/>
      <c r="CVH16" s="3"/>
      <c r="CVI16" s="3"/>
      <c r="CVJ16" s="3"/>
      <c r="CVK16" s="3"/>
      <c r="CVL16" s="3"/>
      <c r="CVM16" s="3"/>
      <c r="CVN16" s="3"/>
      <c r="CVO16" s="3"/>
      <c r="CVP16" s="3"/>
      <c r="CVQ16" s="3"/>
      <c r="CVR16" s="3"/>
      <c r="CVS16" s="3"/>
      <c r="CVT16" s="3"/>
      <c r="CVU16" s="3"/>
      <c r="CVV16" s="3"/>
      <c r="CVW16" s="3"/>
      <c r="CVX16" s="3"/>
      <c r="CVY16" s="3"/>
      <c r="CVZ16" s="3"/>
      <c r="CWA16" s="3"/>
      <c r="CWB16" s="3"/>
      <c r="CWC16" s="3"/>
      <c r="CWD16" s="3"/>
      <c r="CWE16" s="3"/>
      <c r="CWF16" s="3"/>
      <c r="CWG16" s="3"/>
      <c r="CWH16" s="3"/>
      <c r="CWI16" s="3"/>
      <c r="CWJ16" s="3"/>
      <c r="CWK16" s="3"/>
      <c r="CWL16" s="3"/>
      <c r="CWM16" s="3"/>
      <c r="CWN16" s="3"/>
      <c r="CWO16" s="3"/>
      <c r="CWP16" s="3"/>
      <c r="CWQ16" s="3"/>
      <c r="CWR16" s="3"/>
      <c r="CWS16" s="3"/>
      <c r="CWT16" s="3"/>
      <c r="CWU16" s="3"/>
      <c r="CWV16" s="3"/>
      <c r="CWW16" s="3"/>
      <c r="CWX16" s="3"/>
      <c r="CWY16" s="3"/>
      <c r="CWZ16" s="3"/>
      <c r="CXA16" s="3"/>
      <c r="CXB16" s="3"/>
      <c r="CXC16" s="3"/>
      <c r="CXD16" s="3"/>
      <c r="CXE16" s="3"/>
      <c r="CXF16" s="3"/>
      <c r="CXG16" s="3"/>
      <c r="CXH16" s="3"/>
      <c r="CXI16" s="3"/>
      <c r="CXJ16" s="3"/>
      <c r="CXK16" s="3"/>
      <c r="CXL16" s="3"/>
      <c r="CXM16" s="3"/>
      <c r="CXN16" s="3"/>
      <c r="CXO16" s="3"/>
      <c r="CXP16" s="3"/>
      <c r="CXQ16" s="3"/>
      <c r="CXR16" s="3"/>
      <c r="CXS16" s="3"/>
      <c r="CXT16" s="3"/>
      <c r="CXU16" s="3"/>
      <c r="CXV16" s="3"/>
      <c r="CXW16" s="3"/>
      <c r="CXX16" s="3"/>
      <c r="CXY16" s="3"/>
      <c r="CXZ16" s="3"/>
      <c r="CYA16" s="3"/>
      <c r="CYB16" s="3"/>
      <c r="CYC16" s="3"/>
      <c r="CYD16" s="3"/>
      <c r="CYE16" s="3"/>
      <c r="CYF16" s="3"/>
      <c r="CYG16" s="3"/>
      <c r="CYH16" s="3"/>
      <c r="CYI16" s="3"/>
      <c r="CYJ16" s="3"/>
      <c r="CYK16" s="3"/>
      <c r="CYL16" s="3"/>
      <c r="CYM16" s="3"/>
      <c r="CYN16" s="3"/>
      <c r="CYO16" s="3"/>
      <c r="CYP16" s="3"/>
      <c r="CYQ16" s="3"/>
      <c r="CYR16" s="3"/>
      <c r="CYS16" s="3"/>
      <c r="CYT16" s="3"/>
      <c r="CYU16" s="3"/>
      <c r="CYV16" s="3"/>
      <c r="CYW16" s="3"/>
      <c r="CYX16" s="3"/>
      <c r="CYY16" s="3"/>
      <c r="CYZ16" s="3"/>
      <c r="CZA16" s="3"/>
      <c r="CZB16" s="3"/>
      <c r="CZC16" s="3"/>
      <c r="CZD16" s="3"/>
      <c r="CZE16" s="3"/>
      <c r="CZF16" s="3"/>
      <c r="CZG16" s="3"/>
      <c r="CZH16" s="3"/>
      <c r="CZI16" s="3"/>
      <c r="CZJ16" s="3"/>
      <c r="CZK16" s="3"/>
      <c r="CZL16" s="3"/>
      <c r="CZM16" s="3"/>
      <c r="CZN16" s="3"/>
      <c r="CZO16" s="3"/>
      <c r="CZP16" s="3"/>
      <c r="CZQ16" s="3"/>
      <c r="CZR16" s="3"/>
      <c r="CZS16" s="3"/>
      <c r="CZT16" s="3"/>
      <c r="CZU16" s="3"/>
      <c r="CZV16" s="3"/>
      <c r="CZW16" s="3"/>
      <c r="CZX16" s="3"/>
      <c r="CZY16" s="3"/>
      <c r="CZZ16" s="3"/>
      <c r="DAA16" s="3"/>
      <c r="DAB16" s="3"/>
      <c r="DAC16" s="3"/>
      <c r="DAD16" s="3"/>
      <c r="DAE16" s="3"/>
      <c r="DAF16" s="3"/>
      <c r="DAG16" s="3"/>
      <c r="DAH16" s="3"/>
      <c r="DAI16" s="3"/>
      <c r="DAJ16" s="3"/>
      <c r="DAK16" s="3"/>
      <c r="DAL16" s="3"/>
      <c r="DAM16" s="3"/>
      <c r="DAN16" s="3"/>
      <c r="DAO16" s="3"/>
      <c r="DAP16" s="3"/>
      <c r="DAQ16" s="3"/>
      <c r="DAR16" s="3"/>
      <c r="DAS16" s="3"/>
      <c r="DAT16" s="3"/>
      <c r="DAU16" s="3"/>
      <c r="DAV16" s="3"/>
      <c r="DAW16" s="3"/>
      <c r="DAX16" s="3"/>
      <c r="DAY16" s="3"/>
      <c r="DAZ16" s="3"/>
      <c r="DBA16" s="3"/>
      <c r="DBB16" s="3"/>
      <c r="DBC16" s="3"/>
      <c r="DBD16" s="3"/>
      <c r="DBE16" s="3"/>
      <c r="DBF16" s="3"/>
      <c r="DBG16" s="3"/>
      <c r="DBH16" s="3"/>
      <c r="DBI16" s="3"/>
      <c r="DBJ16" s="3"/>
      <c r="DBK16" s="3"/>
      <c r="DBL16" s="3"/>
      <c r="DBM16" s="3"/>
      <c r="DBN16" s="3"/>
      <c r="DBO16" s="3"/>
      <c r="DBP16" s="3"/>
      <c r="DBQ16" s="3"/>
      <c r="DBR16" s="3"/>
      <c r="DBS16" s="3"/>
      <c r="DBT16" s="3"/>
      <c r="DBU16" s="3"/>
      <c r="DBV16" s="3"/>
      <c r="DBW16" s="3"/>
      <c r="DBX16" s="3"/>
      <c r="DBY16" s="3"/>
      <c r="DBZ16" s="3"/>
      <c r="DCA16" s="3"/>
      <c r="DCB16" s="3"/>
      <c r="DCC16" s="3"/>
      <c r="DCD16" s="3"/>
      <c r="DCE16" s="3"/>
      <c r="DCF16" s="3"/>
      <c r="DCG16" s="3"/>
      <c r="DCH16" s="3"/>
      <c r="DCI16" s="3"/>
      <c r="DCJ16" s="3"/>
      <c r="DCK16" s="3"/>
      <c r="DCL16" s="3"/>
      <c r="DCM16" s="3"/>
      <c r="DCN16" s="3"/>
      <c r="DCO16" s="3"/>
      <c r="DCP16" s="3"/>
      <c r="DCQ16" s="3"/>
      <c r="DCR16" s="3"/>
      <c r="DCS16" s="3"/>
      <c r="DCT16" s="3"/>
      <c r="DCU16" s="3"/>
      <c r="DCV16" s="3"/>
      <c r="DCW16" s="3"/>
      <c r="DCX16" s="3"/>
      <c r="DCY16" s="3"/>
      <c r="DCZ16" s="3"/>
      <c r="DDA16" s="3"/>
      <c r="DDB16" s="3"/>
      <c r="DDC16" s="3"/>
      <c r="DDD16" s="3"/>
      <c r="DDE16" s="3"/>
      <c r="DDF16" s="3"/>
      <c r="DDG16" s="3"/>
      <c r="DDH16" s="3"/>
      <c r="DDI16" s="3"/>
      <c r="DDJ16" s="3"/>
      <c r="DDK16" s="3"/>
      <c r="DDL16" s="3"/>
      <c r="DDM16" s="3"/>
      <c r="DDN16" s="3"/>
      <c r="DDO16" s="3"/>
      <c r="DDP16" s="3"/>
      <c r="DDQ16" s="3"/>
      <c r="DDR16" s="3"/>
      <c r="DDS16" s="3"/>
      <c r="DDT16" s="3"/>
      <c r="DDU16" s="3"/>
      <c r="DDV16" s="3"/>
      <c r="DDW16" s="3"/>
      <c r="DDX16" s="3"/>
      <c r="DDY16" s="3"/>
      <c r="DDZ16" s="3"/>
      <c r="DEA16" s="3"/>
      <c r="DEB16" s="3"/>
      <c r="DEC16" s="3"/>
      <c r="DED16" s="3"/>
      <c r="DEE16" s="3"/>
      <c r="DEF16" s="3"/>
      <c r="DEG16" s="3"/>
      <c r="DEH16" s="3"/>
      <c r="DEI16" s="3"/>
      <c r="DEJ16" s="3"/>
      <c r="DEK16" s="3"/>
      <c r="DEL16" s="3"/>
      <c r="DEM16" s="3"/>
      <c r="DEN16" s="3"/>
      <c r="DEO16" s="3"/>
      <c r="DEP16" s="3"/>
      <c r="DEQ16" s="3"/>
      <c r="DER16" s="3"/>
      <c r="DES16" s="3"/>
      <c r="DET16" s="3"/>
      <c r="DEU16" s="3"/>
      <c r="DEV16" s="3"/>
      <c r="DEW16" s="3"/>
      <c r="DEX16" s="3"/>
      <c r="DEY16" s="3"/>
      <c r="DEZ16" s="3"/>
      <c r="DFA16" s="3"/>
      <c r="DFB16" s="3"/>
      <c r="DFC16" s="3"/>
      <c r="DFD16" s="3"/>
      <c r="DFE16" s="3"/>
      <c r="DFF16" s="3"/>
      <c r="DFG16" s="3"/>
      <c r="DFH16" s="3"/>
      <c r="DFI16" s="3"/>
      <c r="DFJ16" s="3"/>
      <c r="DFK16" s="3"/>
      <c r="DFL16" s="3"/>
      <c r="DFM16" s="3"/>
      <c r="DFN16" s="3"/>
      <c r="DFO16" s="3"/>
      <c r="DFP16" s="3"/>
      <c r="DFQ16" s="3"/>
      <c r="DFR16" s="3"/>
      <c r="DFS16" s="3"/>
      <c r="DFT16" s="3"/>
      <c r="DFU16" s="3"/>
      <c r="DFV16" s="3"/>
      <c r="DFW16" s="3"/>
      <c r="DFX16" s="3"/>
      <c r="DFY16" s="3"/>
      <c r="DFZ16" s="3"/>
      <c r="DGA16" s="3"/>
      <c r="DGB16" s="3"/>
      <c r="DGC16" s="3"/>
      <c r="DGD16" s="3"/>
      <c r="DGE16" s="3"/>
      <c r="DGF16" s="3"/>
      <c r="DGG16" s="3"/>
      <c r="DGH16" s="3"/>
      <c r="DGI16" s="3"/>
      <c r="DGJ16" s="3"/>
      <c r="DGK16" s="3"/>
      <c r="DGL16" s="3"/>
      <c r="DGM16" s="3"/>
      <c r="DGN16" s="3"/>
      <c r="DGO16" s="3"/>
      <c r="DGP16" s="3"/>
      <c r="DGQ16" s="3"/>
      <c r="DGR16" s="3"/>
      <c r="DGS16" s="3"/>
      <c r="DGT16" s="3"/>
      <c r="DGU16" s="3"/>
      <c r="DGV16" s="3"/>
      <c r="DGW16" s="3"/>
      <c r="DGX16" s="3"/>
      <c r="DGY16" s="3"/>
      <c r="DGZ16" s="3"/>
      <c r="DHA16" s="3"/>
      <c r="DHB16" s="3"/>
      <c r="DHC16" s="3"/>
      <c r="DHD16" s="3"/>
      <c r="DHE16" s="3"/>
      <c r="DHF16" s="3"/>
      <c r="DHG16" s="3"/>
      <c r="DHH16" s="3"/>
      <c r="DHI16" s="3"/>
      <c r="DHJ16" s="3"/>
      <c r="DHK16" s="3"/>
      <c r="DHL16" s="3"/>
      <c r="DHM16" s="3"/>
      <c r="DHN16" s="3"/>
      <c r="DHO16" s="3"/>
      <c r="DHP16" s="3"/>
      <c r="DHQ16" s="3"/>
      <c r="DHR16" s="3"/>
      <c r="DHS16" s="3"/>
      <c r="DHT16" s="3"/>
      <c r="DHU16" s="3"/>
      <c r="DHV16" s="3"/>
      <c r="DHW16" s="3"/>
      <c r="DHX16" s="3"/>
      <c r="DHY16" s="3"/>
      <c r="DHZ16" s="3"/>
      <c r="DIA16" s="3"/>
      <c r="DIB16" s="3"/>
      <c r="DIC16" s="3"/>
      <c r="DID16" s="3"/>
      <c r="DIE16" s="3"/>
      <c r="DIF16" s="3"/>
      <c r="DIG16" s="3"/>
      <c r="DIH16" s="3"/>
      <c r="DII16" s="3"/>
      <c r="DIJ16" s="3"/>
      <c r="DIK16" s="3"/>
      <c r="DIL16" s="3"/>
      <c r="DIM16" s="3"/>
      <c r="DIN16" s="3"/>
      <c r="DIO16" s="3"/>
      <c r="DIP16" s="3"/>
      <c r="DIQ16" s="3"/>
      <c r="DIR16" s="3"/>
      <c r="DIS16" s="3"/>
      <c r="DIT16" s="3"/>
      <c r="DIU16" s="3"/>
      <c r="DIV16" s="3"/>
      <c r="DIW16" s="3"/>
      <c r="DIX16" s="3"/>
      <c r="DIY16" s="3"/>
      <c r="DIZ16" s="3"/>
      <c r="DJA16" s="3"/>
      <c r="DJB16" s="3"/>
      <c r="DJC16" s="3"/>
      <c r="DJD16" s="3"/>
      <c r="DJE16" s="3"/>
      <c r="DJF16" s="3"/>
      <c r="DJG16" s="3"/>
      <c r="DJH16" s="3"/>
      <c r="DJI16" s="3"/>
      <c r="DJJ16" s="3"/>
      <c r="DJK16" s="3"/>
      <c r="DJL16" s="3"/>
      <c r="DJM16" s="3"/>
      <c r="DJN16" s="3"/>
      <c r="DJO16" s="3"/>
      <c r="DJP16" s="3"/>
      <c r="DJQ16" s="3"/>
      <c r="DJR16" s="3"/>
      <c r="DJS16" s="3"/>
      <c r="DJT16" s="3"/>
      <c r="DJU16" s="3"/>
      <c r="DJV16" s="3"/>
      <c r="DJW16" s="3"/>
      <c r="DJX16" s="3"/>
      <c r="DJY16" s="3"/>
      <c r="DJZ16" s="3"/>
      <c r="DKA16" s="3"/>
      <c r="DKB16" s="3"/>
      <c r="DKC16" s="3"/>
      <c r="DKD16" s="3"/>
      <c r="DKE16" s="3"/>
      <c r="DKF16" s="3"/>
      <c r="DKG16" s="3"/>
      <c r="DKH16" s="3"/>
      <c r="DKI16" s="3"/>
      <c r="DKJ16" s="3"/>
      <c r="DKK16" s="3"/>
      <c r="DKL16" s="3"/>
      <c r="DKM16" s="3"/>
      <c r="DKN16" s="3"/>
      <c r="DKO16" s="3"/>
      <c r="DKP16" s="3"/>
      <c r="DKQ16" s="3"/>
      <c r="DKR16" s="3"/>
      <c r="DKS16" s="3"/>
      <c r="DKT16" s="3"/>
      <c r="DKU16" s="3"/>
      <c r="DKV16" s="3"/>
      <c r="DKW16" s="3"/>
      <c r="DKX16" s="3"/>
      <c r="DKY16" s="3"/>
      <c r="DKZ16" s="3"/>
      <c r="DLA16" s="3"/>
      <c r="DLB16" s="3"/>
      <c r="DLC16" s="3"/>
      <c r="DLD16" s="3"/>
      <c r="DLE16" s="3"/>
      <c r="DLF16" s="3"/>
      <c r="DLG16" s="3"/>
      <c r="DLH16" s="3"/>
      <c r="DLI16" s="3"/>
      <c r="DLJ16" s="3"/>
      <c r="DLK16" s="3"/>
      <c r="DLL16" s="3"/>
      <c r="DLM16" s="3"/>
      <c r="DLN16" s="3"/>
      <c r="DLO16" s="3"/>
      <c r="DLP16" s="3"/>
      <c r="DLQ16" s="3"/>
      <c r="DLR16" s="3"/>
      <c r="DLS16" s="3"/>
      <c r="DLT16" s="3"/>
      <c r="DLU16" s="3"/>
      <c r="DLV16" s="3"/>
      <c r="DLW16" s="3"/>
      <c r="DLX16" s="3"/>
      <c r="DLY16" s="3"/>
      <c r="DLZ16" s="3"/>
      <c r="DMA16" s="3"/>
      <c r="DMB16" s="3"/>
      <c r="DMC16" s="3"/>
      <c r="DMD16" s="3"/>
      <c r="DME16" s="3"/>
      <c r="DMF16" s="3"/>
      <c r="DMG16" s="3"/>
      <c r="DMH16" s="3"/>
      <c r="DMI16" s="3"/>
      <c r="DMJ16" s="3"/>
      <c r="DMK16" s="3"/>
      <c r="DML16" s="3"/>
      <c r="DMM16" s="3"/>
      <c r="DMN16" s="3"/>
      <c r="DMO16" s="3"/>
      <c r="DMP16" s="3"/>
      <c r="DMQ16" s="3"/>
      <c r="DMR16" s="3"/>
      <c r="DMS16" s="3"/>
      <c r="DMT16" s="3"/>
      <c r="DMU16" s="3"/>
      <c r="DMV16" s="3"/>
      <c r="DMW16" s="3"/>
      <c r="DMX16" s="3"/>
      <c r="DMY16" s="3"/>
      <c r="DMZ16" s="3"/>
      <c r="DNA16" s="3"/>
      <c r="DNB16" s="3"/>
      <c r="DNC16" s="3"/>
      <c r="DND16" s="3"/>
      <c r="DNE16" s="3"/>
      <c r="DNF16" s="3"/>
      <c r="DNG16" s="3"/>
      <c r="DNH16" s="3"/>
      <c r="DNI16" s="3"/>
      <c r="DNJ16" s="3"/>
      <c r="DNK16" s="3"/>
      <c r="DNL16" s="3"/>
      <c r="DNM16" s="3"/>
      <c r="DNN16" s="3"/>
      <c r="DNO16" s="3"/>
      <c r="DNP16" s="3"/>
      <c r="DNQ16" s="3"/>
      <c r="DNR16" s="3"/>
      <c r="DNS16" s="3"/>
      <c r="DNT16" s="3"/>
      <c r="DNU16" s="3"/>
      <c r="DNV16" s="3"/>
      <c r="DNW16" s="3"/>
      <c r="DNX16" s="3"/>
      <c r="DNY16" s="3"/>
      <c r="DNZ16" s="3"/>
      <c r="DOA16" s="3"/>
      <c r="DOB16" s="3"/>
      <c r="DOC16" s="3"/>
      <c r="DOD16" s="3"/>
      <c r="DOE16" s="3"/>
      <c r="DOF16" s="3"/>
      <c r="DOG16" s="3"/>
      <c r="DOH16" s="3"/>
      <c r="DOI16" s="3"/>
      <c r="DOJ16" s="3"/>
      <c r="DOK16" s="3"/>
      <c r="DOL16" s="3"/>
      <c r="DOM16" s="3"/>
      <c r="DON16" s="3"/>
      <c r="DOO16" s="3"/>
      <c r="DOP16" s="3"/>
      <c r="DOQ16" s="3"/>
      <c r="DOR16" s="3"/>
      <c r="DOS16" s="3"/>
      <c r="DOT16" s="3"/>
      <c r="DOU16" s="3"/>
      <c r="DOV16" s="3"/>
      <c r="DOW16" s="3"/>
      <c r="DOX16" s="3"/>
      <c r="DOY16" s="3"/>
      <c r="DOZ16" s="3"/>
      <c r="DPA16" s="3"/>
      <c r="DPB16" s="3"/>
      <c r="DPC16" s="3"/>
      <c r="DPD16" s="3"/>
      <c r="DPE16" s="3"/>
      <c r="DPF16" s="3"/>
      <c r="DPG16" s="3"/>
      <c r="DPH16" s="3"/>
      <c r="DPI16" s="3"/>
      <c r="DPJ16" s="3"/>
      <c r="DPK16" s="3"/>
      <c r="DPL16" s="3"/>
      <c r="DPM16" s="3"/>
      <c r="DPN16" s="3"/>
      <c r="DPO16" s="3"/>
      <c r="DPP16" s="3"/>
      <c r="DPQ16" s="3"/>
      <c r="DPR16" s="3"/>
      <c r="DPS16" s="3"/>
      <c r="DPT16" s="3"/>
      <c r="DPU16" s="3"/>
      <c r="DPV16" s="3"/>
      <c r="DPW16" s="3"/>
      <c r="DPX16" s="3"/>
      <c r="DPY16" s="3"/>
      <c r="DPZ16" s="3"/>
      <c r="DQA16" s="3"/>
      <c r="DQB16" s="3"/>
      <c r="DQC16" s="3"/>
      <c r="DQD16" s="3"/>
      <c r="DQE16" s="3"/>
      <c r="DQF16" s="3"/>
      <c r="DQG16" s="3"/>
      <c r="DQH16" s="3"/>
      <c r="DQI16" s="3"/>
      <c r="DQJ16" s="3"/>
      <c r="DQK16" s="3"/>
      <c r="DQL16" s="3"/>
      <c r="DQM16" s="3"/>
      <c r="DQN16" s="3"/>
      <c r="DQO16" s="3"/>
      <c r="DQP16" s="3"/>
      <c r="DQQ16" s="3"/>
      <c r="DQR16" s="3"/>
      <c r="DQS16" s="3"/>
      <c r="DQT16" s="3"/>
      <c r="DQU16" s="3"/>
      <c r="DQV16" s="3"/>
      <c r="DQW16" s="3"/>
      <c r="DQX16" s="3"/>
      <c r="DQY16" s="3"/>
      <c r="DQZ16" s="3"/>
      <c r="DRA16" s="3"/>
      <c r="DRB16" s="3"/>
      <c r="DRC16" s="3"/>
      <c r="DRD16" s="3"/>
      <c r="DRE16" s="3"/>
      <c r="DRF16" s="3"/>
      <c r="DRG16" s="3"/>
      <c r="DRH16" s="3"/>
      <c r="DRI16" s="3"/>
      <c r="DRJ16" s="3"/>
      <c r="DRK16" s="3"/>
      <c r="DRL16" s="3"/>
      <c r="DRM16" s="3"/>
      <c r="DRN16" s="3"/>
      <c r="DRO16" s="3"/>
      <c r="DRP16" s="3"/>
      <c r="DRQ16" s="3"/>
      <c r="DRR16" s="3"/>
      <c r="DRS16" s="3"/>
      <c r="DRT16" s="3"/>
      <c r="DRU16" s="3"/>
      <c r="DRV16" s="3"/>
      <c r="DRW16" s="3"/>
      <c r="DRX16" s="3"/>
      <c r="DRY16" s="3"/>
      <c r="DRZ16" s="3"/>
      <c r="DSA16" s="3"/>
      <c r="DSB16" s="3"/>
      <c r="DSC16" s="3"/>
      <c r="DSD16" s="3"/>
      <c r="DSE16" s="3"/>
      <c r="DSF16" s="3"/>
      <c r="DSG16" s="3"/>
      <c r="DSH16" s="3"/>
      <c r="DSI16" s="3"/>
      <c r="DSJ16" s="3"/>
      <c r="DSK16" s="3"/>
      <c r="DSL16" s="3"/>
      <c r="DSM16" s="3"/>
      <c r="DSN16" s="3"/>
      <c r="DSO16" s="3"/>
      <c r="DSP16" s="3"/>
      <c r="DSQ16" s="3"/>
      <c r="DSR16" s="3"/>
      <c r="DSS16" s="3"/>
      <c r="DST16" s="3"/>
      <c r="DSU16" s="3"/>
      <c r="DSV16" s="3"/>
      <c r="DSW16" s="3"/>
      <c r="DSX16" s="3"/>
      <c r="DSY16" s="3"/>
      <c r="DSZ16" s="3"/>
      <c r="DTA16" s="3"/>
      <c r="DTB16" s="3"/>
      <c r="DTC16" s="3"/>
      <c r="DTD16" s="3"/>
      <c r="DTE16" s="3"/>
      <c r="DTF16" s="3"/>
      <c r="DTG16" s="3"/>
      <c r="DTH16" s="3"/>
      <c r="DTI16" s="3"/>
      <c r="DTJ16" s="3"/>
      <c r="DTK16" s="3"/>
      <c r="DTL16" s="3"/>
      <c r="DTM16" s="3"/>
      <c r="DTN16" s="3"/>
      <c r="DTO16" s="3"/>
      <c r="DTP16" s="3"/>
      <c r="DTQ16" s="3"/>
      <c r="DTR16" s="3"/>
      <c r="DTS16" s="3"/>
      <c r="DTT16" s="3"/>
      <c r="DTU16" s="3"/>
      <c r="DTV16" s="3"/>
      <c r="DTW16" s="3"/>
      <c r="DTX16" s="3"/>
      <c r="DTY16" s="3"/>
      <c r="DTZ16" s="3"/>
      <c r="DUA16" s="3"/>
      <c r="DUB16" s="3"/>
      <c r="DUC16" s="3"/>
      <c r="DUD16" s="3"/>
      <c r="DUE16" s="3"/>
      <c r="DUF16" s="3"/>
      <c r="DUG16" s="3"/>
      <c r="DUH16" s="3"/>
      <c r="DUI16" s="3"/>
      <c r="DUJ16" s="3"/>
      <c r="DUK16" s="3"/>
      <c r="DUL16" s="3"/>
      <c r="DUM16" s="3"/>
      <c r="DUN16" s="3"/>
      <c r="DUO16" s="3"/>
      <c r="DUP16" s="3"/>
      <c r="DUQ16" s="3"/>
      <c r="DUR16" s="3"/>
      <c r="DUS16" s="3"/>
      <c r="DUT16" s="3"/>
      <c r="DUU16" s="3"/>
      <c r="DUV16" s="3"/>
      <c r="DUW16" s="3"/>
      <c r="DUX16" s="3"/>
      <c r="DUY16" s="3"/>
      <c r="DUZ16" s="3"/>
      <c r="DVA16" s="3"/>
      <c r="DVB16" s="3"/>
      <c r="DVC16" s="3"/>
      <c r="DVD16" s="3"/>
      <c r="DVE16" s="3"/>
      <c r="DVF16" s="3"/>
      <c r="DVG16" s="3"/>
      <c r="DVH16" s="3"/>
      <c r="DVI16" s="3"/>
      <c r="DVJ16" s="3"/>
      <c r="DVK16" s="3"/>
      <c r="DVL16" s="3"/>
      <c r="DVM16" s="3"/>
      <c r="DVN16" s="3"/>
      <c r="DVO16" s="3"/>
      <c r="DVP16" s="3"/>
      <c r="DVQ16" s="3"/>
      <c r="DVR16" s="3"/>
      <c r="DVS16" s="3"/>
      <c r="DVT16" s="3"/>
      <c r="DVU16" s="3"/>
      <c r="DVV16" s="3"/>
      <c r="DVW16" s="3"/>
      <c r="DVX16" s="3"/>
      <c r="DVY16" s="3"/>
      <c r="DVZ16" s="3"/>
      <c r="DWA16" s="3"/>
      <c r="DWB16" s="3"/>
      <c r="DWC16" s="3"/>
      <c r="DWD16" s="3"/>
      <c r="DWE16" s="3"/>
      <c r="DWF16" s="3"/>
      <c r="DWG16" s="3"/>
      <c r="DWH16" s="3"/>
      <c r="DWI16" s="3"/>
      <c r="DWJ16" s="3"/>
      <c r="DWK16" s="3"/>
      <c r="DWL16" s="3"/>
      <c r="DWM16" s="3"/>
      <c r="DWN16" s="3"/>
      <c r="DWO16" s="3"/>
      <c r="DWP16" s="3"/>
      <c r="DWQ16" s="3"/>
      <c r="DWR16" s="3"/>
      <c r="DWS16" s="3"/>
      <c r="DWT16" s="3"/>
      <c r="DWU16" s="3"/>
      <c r="DWV16" s="3"/>
      <c r="DWW16" s="3"/>
      <c r="DWX16" s="3"/>
      <c r="DWY16" s="3"/>
      <c r="DWZ16" s="3"/>
      <c r="DXA16" s="3"/>
      <c r="DXB16" s="3"/>
      <c r="DXC16" s="3"/>
      <c r="DXD16" s="3"/>
      <c r="DXE16" s="3"/>
      <c r="DXF16" s="3"/>
      <c r="DXG16" s="3"/>
      <c r="DXH16" s="3"/>
      <c r="DXI16" s="3"/>
      <c r="DXJ16" s="3"/>
      <c r="DXK16" s="3"/>
      <c r="DXL16" s="3"/>
      <c r="DXM16" s="3"/>
      <c r="DXN16" s="3"/>
      <c r="DXO16" s="3"/>
      <c r="DXP16" s="3"/>
      <c r="DXQ16" s="3"/>
      <c r="DXR16" s="3"/>
      <c r="DXS16" s="3"/>
      <c r="DXT16" s="3"/>
      <c r="DXU16" s="3"/>
      <c r="DXV16" s="3"/>
      <c r="DXW16" s="3"/>
      <c r="DXX16" s="3"/>
      <c r="DXY16" s="3"/>
      <c r="DXZ16" s="3"/>
      <c r="DYA16" s="3"/>
      <c r="DYB16" s="3"/>
      <c r="DYC16" s="3"/>
      <c r="DYD16" s="3"/>
      <c r="DYE16" s="3"/>
      <c r="DYF16" s="3"/>
      <c r="DYG16" s="3"/>
      <c r="DYH16" s="3"/>
      <c r="DYI16" s="3"/>
      <c r="DYJ16" s="3"/>
      <c r="DYK16" s="3"/>
      <c r="DYL16" s="3"/>
      <c r="DYM16" s="3"/>
      <c r="DYN16" s="3"/>
      <c r="DYO16" s="3"/>
      <c r="DYP16" s="3"/>
      <c r="DYQ16" s="3"/>
      <c r="DYR16" s="3"/>
      <c r="DYS16" s="3"/>
      <c r="DYT16" s="3"/>
      <c r="DYU16" s="3"/>
      <c r="DYV16" s="3"/>
      <c r="DYW16" s="3"/>
      <c r="DYX16" s="3"/>
      <c r="DYY16" s="3"/>
      <c r="DYZ16" s="3"/>
      <c r="DZA16" s="3"/>
      <c r="DZB16" s="3"/>
      <c r="DZC16" s="3"/>
      <c r="DZD16" s="3"/>
      <c r="DZE16" s="3"/>
      <c r="DZF16" s="3"/>
      <c r="DZG16" s="3"/>
      <c r="DZH16" s="3"/>
      <c r="DZI16" s="3"/>
      <c r="DZJ16" s="3"/>
      <c r="DZK16" s="3"/>
      <c r="DZL16" s="3"/>
      <c r="DZM16" s="3"/>
      <c r="DZN16" s="3"/>
      <c r="DZO16" s="3"/>
      <c r="DZP16" s="3"/>
      <c r="DZQ16" s="3"/>
      <c r="DZR16" s="3"/>
      <c r="DZS16" s="3"/>
      <c r="DZT16" s="3"/>
      <c r="DZU16" s="3"/>
      <c r="DZV16" s="3"/>
      <c r="DZW16" s="3"/>
      <c r="DZX16" s="3"/>
      <c r="DZY16" s="3"/>
      <c r="DZZ16" s="3"/>
      <c r="EAA16" s="3"/>
      <c r="EAB16" s="3"/>
      <c r="EAC16" s="3"/>
      <c r="EAD16" s="3"/>
      <c r="EAE16" s="3"/>
      <c r="EAF16" s="3"/>
      <c r="EAG16" s="3"/>
      <c r="EAH16" s="3"/>
      <c r="EAI16" s="3"/>
      <c r="EAJ16" s="3"/>
      <c r="EAK16" s="3"/>
      <c r="EAL16" s="3"/>
      <c r="EAM16" s="3"/>
      <c r="EAN16" s="3"/>
      <c r="EAO16" s="3"/>
      <c r="EAP16" s="3"/>
      <c r="EAQ16" s="3"/>
      <c r="EAR16" s="3"/>
      <c r="EAS16" s="3"/>
      <c r="EAT16" s="3"/>
      <c r="EAU16" s="3"/>
      <c r="EAV16" s="3"/>
      <c r="EAW16" s="3"/>
      <c r="EAX16" s="3"/>
      <c r="EAY16" s="3"/>
      <c r="EAZ16" s="3"/>
      <c r="EBA16" s="3"/>
      <c r="EBB16" s="3"/>
      <c r="EBC16" s="3"/>
      <c r="EBD16" s="3"/>
      <c r="EBE16" s="3"/>
      <c r="EBF16" s="3"/>
      <c r="EBG16" s="3"/>
      <c r="EBH16" s="3"/>
      <c r="EBI16" s="3"/>
      <c r="EBJ16" s="3"/>
      <c r="EBK16" s="3"/>
      <c r="EBL16" s="3"/>
      <c r="EBM16" s="3"/>
      <c r="EBN16" s="3"/>
      <c r="EBO16" s="3"/>
      <c r="EBP16" s="3"/>
      <c r="EBQ16" s="3"/>
      <c r="EBR16" s="3"/>
      <c r="EBS16" s="3"/>
      <c r="EBT16" s="3"/>
      <c r="EBU16" s="3"/>
      <c r="EBV16" s="3"/>
      <c r="EBW16" s="3"/>
      <c r="EBX16" s="3"/>
      <c r="EBY16" s="3"/>
      <c r="EBZ16" s="3"/>
      <c r="ECA16" s="3"/>
      <c r="ECB16" s="3"/>
      <c r="ECC16" s="3"/>
      <c r="ECD16" s="3"/>
      <c r="ECE16" s="3"/>
      <c r="ECF16" s="3"/>
      <c r="ECG16" s="3"/>
      <c r="ECH16" s="3"/>
      <c r="ECI16" s="3"/>
      <c r="ECJ16" s="3"/>
      <c r="ECK16" s="3"/>
      <c r="ECL16" s="3"/>
      <c r="ECM16" s="3"/>
      <c r="ECN16" s="3"/>
      <c r="ECO16" s="3"/>
      <c r="ECP16" s="3"/>
      <c r="ECQ16" s="3"/>
      <c r="ECR16" s="3"/>
      <c r="ECS16" s="3"/>
      <c r="ECT16" s="3"/>
      <c r="ECU16" s="3"/>
      <c r="ECV16" s="3"/>
      <c r="ECW16" s="3"/>
      <c r="ECX16" s="3"/>
      <c r="ECY16" s="3"/>
      <c r="ECZ16" s="3"/>
      <c r="EDA16" s="3"/>
      <c r="EDB16" s="3"/>
      <c r="EDC16" s="3"/>
      <c r="EDD16" s="3"/>
      <c r="EDE16" s="3"/>
      <c r="EDF16" s="3"/>
      <c r="EDG16" s="3"/>
      <c r="EDH16" s="3"/>
      <c r="EDI16" s="3"/>
      <c r="EDJ16" s="3"/>
      <c r="EDK16" s="3"/>
      <c r="EDL16" s="3"/>
      <c r="EDM16" s="3"/>
      <c r="EDN16" s="3"/>
      <c r="EDO16" s="3"/>
      <c r="EDP16" s="3"/>
      <c r="EDQ16" s="3"/>
      <c r="EDR16" s="3"/>
      <c r="EDS16" s="3"/>
      <c r="EDT16" s="3"/>
      <c r="EDU16" s="3"/>
      <c r="EDV16" s="3"/>
      <c r="EDW16" s="3"/>
      <c r="EDX16" s="3"/>
      <c r="EDY16" s="3"/>
      <c r="EDZ16" s="3"/>
      <c r="EEA16" s="3"/>
      <c r="EEB16" s="3"/>
      <c r="EEC16" s="3"/>
      <c r="EED16" s="3"/>
      <c r="EEE16" s="3"/>
      <c r="EEF16" s="3"/>
      <c r="EEG16" s="3"/>
      <c r="EEH16" s="3"/>
      <c r="EEI16" s="3"/>
      <c r="EEJ16" s="3"/>
      <c r="EEK16" s="3"/>
      <c r="EEL16" s="3"/>
      <c r="EEM16" s="3"/>
      <c r="EEN16" s="3"/>
      <c r="EEO16" s="3"/>
      <c r="EEP16" s="3"/>
      <c r="EEQ16" s="3"/>
      <c r="EER16" s="3"/>
      <c r="EES16" s="3"/>
      <c r="EET16" s="3"/>
      <c r="EEU16" s="3"/>
      <c r="EEV16" s="3"/>
      <c r="EEW16" s="3"/>
      <c r="EEX16" s="3"/>
      <c r="EEY16" s="3"/>
      <c r="EEZ16" s="3"/>
      <c r="EFA16" s="3"/>
      <c r="EFB16" s="3"/>
      <c r="EFC16" s="3"/>
      <c r="EFD16" s="3"/>
      <c r="EFE16" s="3"/>
      <c r="EFF16" s="3"/>
      <c r="EFG16" s="3"/>
      <c r="EFH16" s="3"/>
      <c r="EFI16" s="3"/>
      <c r="EFJ16" s="3"/>
      <c r="EFK16" s="3"/>
      <c r="EFL16" s="3"/>
      <c r="EFM16" s="3"/>
      <c r="EFN16" s="3"/>
      <c r="EFO16" s="3"/>
      <c r="EFP16" s="3"/>
      <c r="EFQ16" s="3"/>
      <c r="EFR16" s="3"/>
      <c r="EFS16" s="3"/>
      <c r="EFT16" s="3"/>
      <c r="EFU16" s="3"/>
      <c r="EFV16" s="3"/>
      <c r="EFW16" s="3"/>
      <c r="EFX16" s="3"/>
      <c r="EFY16" s="3"/>
      <c r="EFZ16" s="3"/>
      <c r="EGA16" s="3"/>
      <c r="EGB16" s="3"/>
      <c r="EGC16" s="3"/>
      <c r="EGD16" s="3"/>
      <c r="EGE16" s="3"/>
      <c r="EGF16" s="3"/>
      <c r="EGG16" s="3"/>
      <c r="EGH16" s="3"/>
      <c r="EGI16" s="3"/>
      <c r="EGJ16" s="3"/>
      <c r="EGK16" s="3"/>
      <c r="EGL16" s="3"/>
      <c r="EGM16" s="3"/>
      <c r="EGN16" s="3"/>
      <c r="EGO16" s="3"/>
      <c r="EGP16" s="3"/>
      <c r="EGQ16" s="3"/>
      <c r="EGR16" s="3"/>
      <c r="EGS16" s="3"/>
      <c r="EGT16" s="3"/>
      <c r="EGU16" s="3"/>
      <c r="EGV16" s="3"/>
      <c r="EGW16" s="3"/>
      <c r="EGX16" s="3"/>
      <c r="EGY16" s="3"/>
      <c r="EGZ16" s="3"/>
      <c r="EHA16" s="3"/>
      <c r="EHB16" s="3"/>
      <c r="EHC16" s="3"/>
      <c r="EHD16" s="3"/>
      <c r="EHE16" s="3"/>
      <c r="EHF16" s="3"/>
      <c r="EHG16" s="3"/>
      <c r="EHH16" s="3"/>
      <c r="EHI16" s="3"/>
      <c r="EHJ16" s="3"/>
      <c r="EHK16" s="3"/>
      <c r="EHL16" s="3"/>
      <c r="EHM16" s="3"/>
      <c r="EHN16" s="3"/>
      <c r="EHO16" s="3"/>
      <c r="EHP16" s="3"/>
      <c r="EHQ16" s="3"/>
      <c r="EHR16" s="3"/>
      <c r="EHS16" s="3"/>
      <c r="EHT16" s="3"/>
      <c r="EHU16" s="3"/>
      <c r="EHV16" s="3"/>
      <c r="EHW16" s="3"/>
      <c r="EHX16" s="3"/>
      <c r="EHY16" s="3"/>
      <c r="EHZ16" s="3"/>
      <c r="EIA16" s="3"/>
      <c r="EIB16" s="3"/>
      <c r="EIC16" s="3"/>
      <c r="EID16" s="3"/>
      <c r="EIE16" s="3"/>
      <c r="EIF16" s="3"/>
      <c r="EIG16" s="3"/>
      <c r="EIH16" s="3"/>
      <c r="EII16" s="3"/>
      <c r="EIJ16" s="3"/>
      <c r="EIK16" s="3"/>
      <c r="EIL16" s="3"/>
      <c r="EIM16" s="3"/>
      <c r="EIN16" s="3"/>
      <c r="EIO16" s="3"/>
      <c r="EIP16" s="3"/>
      <c r="EIQ16" s="3"/>
      <c r="EIR16" s="3"/>
      <c r="EIS16" s="3"/>
      <c r="EIT16" s="3"/>
      <c r="EIU16" s="3"/>
      <c r="EIV16" s="3"/>
      <c r="EIW16" s="3"/>
      <c r="EIX16" s="3"/>
      <c r="EIY16" s="3"/>
      <c r="EIZ16" s="3"/>
      <c r="EJA16" s="3"/>
      <c r="EJB16" s="3"/>
      <c r="EJC16" s="3"/>
      <c r="EJD16" s="3"/>
      <c r="EJE16" s="3"/>
      <c r="EJF16" s="3"/>
      <c r="EJG16" s="3"/>
      <c r="EJH16" s="3"/>
      <c r="EJI16" s="3"/>
      <c r="EJJ16" s="3"/>
      <c r="EJK16" s="3"/>
      <c r="EJL16" s="3"/>
      <c r="EJM16" s="3"/>
      <c r="EJN16" s="3"/>
      <c r="EJO16" s="3"/>
      <c r="EJP16" s="3"/>
      <c r="EJQ16" s="3"/>
      <c r="EJR16" s="3"/>
      <c r="EJS16" s="3"/>
      <c r="EJT16" s="3"/>
      <c r="EJU16" s="3"/>
      <c r="EJV16" s="3"/>
      <c r="EJW16" s="3"/>
      <c r="EJX16" s="3"/>
      <c r="EJY16" s="3"/>
      <c r="EJZ16" s="3"/>
      <c r="EKA16" s="3"/>
      <c r="EKB16" s="3"/>
      <c r="EKC16" s="3"/>
      <c r="EKD16" s="3"/>
      <c r="EKE16" s="3"/>
      <c r="EKF16" s="3"/>
      <c r="EKG16" s="3"/>
      <c r="EKH16" s="3"/>
      <c r="EKI16" s="3"/>
      <c r="EKJ16" s="3"/>
      <c r="EKK16" s="3"/>
      <c r="EKL16" s="3"/>
      <c r="EKM16" s="3"/>
      <c r="EKN16" s="3"/>
      <c r="EKO16" s="3"/>
      <c r="EKP16" s="3"/>
      <c r="EKQ16" s="3"/>
      <c r="EKR16" s="3"/>
      <c r="EKS16" s="3"/>
      <c r="EKT16" s="3"/>
      <c r="EKU16" s="3"/>
      <c r="EKV16" s="3"/>
      <c r="EKW16" s="3"/>
      <c r="EKX16" s="3"/>
      <c r="EKY16" s="3"/>
      <c r="EKZ16" s="3"/>
      <c r="ELA16" s="3"/>
      <c r="ELB16" s="3"/>
      <c r="ELC16" s="3"/>
      <c r="ELD16" s="3"/>
      <c r="ELE16" s="3"/>
      <c r="ELF16" s="3"/>
      <c r="ELG16" s="3"/>
      <c r="ELH16" s="3"/>
      <c r="ELI16" s="3"/>
      <c r="ELJ16" s="3"/>
      <c r="ELK16" s="3"/>
      <c r="ELL16" s="3"/>
      <c r="ELM16" s="3"/>
      <c r="ELN16" s="3"/>
      <c r="ELO16" s="3"/>
      <c r="ELP16" s="3"/>
      <c r="ELQ16" s="3"/>
      <c r="ELR16" s="3"/>
      <c r="ELS16" s="3"/>
      <c r="ELT16" s="3"/>
      <c r="ELU16" s="3"/>
      <c r="ELV16" s="3"/>
      <c r="ELW16" s="3"/>
      <c r="ELX16" s="3"/>
      <c r="ELY16" s="3"/>
      <c r="ELZ16" s="3"/>
      <c r="EMA16" s="3"/>
      <c r="EMB16" s="3"/>
      <c r="EMC16" s="3"/>
      <c r="EMD16" s="3"/>
      <c r="EME16" s="3"/>
      <c r="EMF16" s="3"/>
      <c r="EMG16" s="3"/>
      <c r="EMH16" s="3"/>
      <c r="EMI16" s="3"/>
      <c r="EMJ16" s="3"/>
      <c r="EMK16" s="3"/>
      <c r="EML16" s="3"/>
      <c r="EMM16" s="3"/>
      <c r="EMN16" s="3"/>
      <c r="EMO16" s="3"/>
      <c r="EMP16" s="3"/>
      <c r="EMQ16" s="3"/>
      <c r="EMR16" s="3"/>
      <c r="EMS16" s="3"/>
      <c r="EMT16" s="3"/>
      <c r="EMU16" s="3"/>
      <c r="EMV16" s="3"/>
      <c r="EMW16" s="3"/>
      <c r="EMX16" s="3"/>
      <c r="EMY16" s="3"/>
      <c r="EMZ16" s="3"/>
      <c r="ENA16" s="3"/>
      <c r="ENB16" s="3"/>
      <c r="ENC16" s="3"/>
      <c r="END16" s="3"/>
      <c r="ENE16" s="3"/>
      <c r="ENF16" s="3"/>
      <c r="ENG16" s="3"/>
      <c r="ENH16" s="3"/>
      <c r="ENI16" s="3"/>
      <c r="ENJ16" s="3"/>
      <c r="ENK16" s="3"/>
      <c r="ENL16" s="3"/>
      <c r="ENM16" s="3"/>
      <c r="ENN16" s="3"/>
      <c r="ENO16" s="3"/>
      <c r="ENP16" s="3"/>
      <c r="ENQ16" s="3"/>
      <c r="ENR16" s="3"/>
      <c r="ENS16" s="3"/>
      <c r="ENT16" s="3"/>
      <c r="ENU16" s="3"/>
      <c r="ENV16" s="3"/>
      <c r="ENW16" s="3"/>
      <c r="ENX16" s="3"/>
      <c r="ENY16" s="3"/>
      <c r="ENZ16" s="3"/>
      <c r="EOA16" s="3"/>
      <c r="EOB16" s="3"/>
      <c r="EOC16" s="3"/>
      <c r="EOD16" s="3"/>
      <c r="EOE16" s="3"/>
      <c r="EOF16" s="3"/>
      <c r="EOG16" s="3"/>
      <c r="EOH16" s="3"/>
      <c r="EOI16" s="3"/>
      <c r="EOJ16" s="3"/>
      <c r="EOK16" s="3"/>
      <c r="EOL16" s="3"/>
      <c r="EOM16" s="3"/>
      <c r="EON16" s="3"/>
      <c r="EOO16" s="3"/>
      <c r="EOP16" s="3"/>
      <c r="EOQ16" s="3"/>
      <c r="EOR16" s="3"/>
      <c r="EOS16" s="3"/>
      <c r="EOT16" s="3"/>
      <c r="EOU16" s="3"/>
      <c r="EOV16" s="3"/>
      <c r="EOW16" s="3"/>
      <c r="EOX16" s="3"/>
      <c r="EOY16" s="3"/>
      <c r="EOZ16" s="3"/>
      <c r="EPA16" s="3"/>
      <c r="EPB16" s="3"/>
      <c r="EPC16" s="3"/>
      <c r="EPD16" s="3"/>
      <c r="EPE16" s="3"/>
      <c r="EPF16" s="3"/>
      <c r="EPG16" s="3"/>
      <c r="EPH16" s="3"/>
      <c r="EPI16" s="3"/>
      <c r="EPJ16" s="3"/>
      <c r="EPK16" s="3"/>
      <c r="EPL16" s="3"/>
      <c r="EPM16" s="3"/>
      <c r="EPN16" s="3"/>
      <c r="EPO16" s="3"/>
      <c r="EPP16" s="3"/>
      <c r="EPQ16" s="3"/>
      <c r="EPR16" s="3"/>
      <c r="EPS16" s="3"/>
      <c r="EPT16" s="3"/>
      <c r="EPU16" s="3"/>
      <c r="EPV16" s="3"/>
      <c r="EPW16" s="3"/>
      <c r="EPX16" s="3"/>
      <c r="EPY16" s="3"/>
      <c r="EPZ16" s="3"/>
      <c r="EQA16" s="3"/>
      <c r="EQB16" s="3"/>
      <c r="EQC16" s="3"/>
      <c r="EQD16" s="3"/>
      <c r="EQE16" s="3"/>
      <c r="EQF16" s="3"/>
      <c r="EQG16" s="3"/>
      <c r="EQH16" s="3"/>
      <c r="EQI16" s="3"/>
      <c r="EQJ16" s="3"/>
      <c r="EQK16" s="3"/>
      <c r="EQL16" s="3"/>
      <c r="EQM16" s="3"/>
      <c r="EQN16" s="3"/>
      <c r="EQO16" s="3"/>
      <c r="EQP16" s="3"/>
      <c r="EQQ16" s="3"/>
      <c r="EQR16" s="3"/>
      <c r="EQS16" s="3"/>
      <c r="EQT16" s="3"/>
      <c r="EQU16" s="3"/>
      <c r="EQV16" s="3"/>
      <c r="EQW16" s="3"/>
      <c r="EQX16" s="3"/>
      <c r="EQY16" s="3"/>
      <c r="EQZ16" s="3"/>
      <c r="ERA16" s="3"/>
      <c r="ERB16" s="3"/>
      <c r="ERC16" s="3"/>
      <c r="ERD16" s="3"/>
      <c r="ERE16" s="3"/>
      <c r="ERF16" s="3"/>
      <c r="ERG16" s="3"/>
      <c r="ERH16" s="3"/>
      <c r="ERI16" s="3"/>
      <c r="ERJ16" s="3"/>
      <c r="ERK16" s="3"/>
      <c r="ERL16" s="3"/>
      <c r="ERM16" s="3"/>
      <c r="ERN16" s="3"/>
      <c r="ERO16" s="3"/>
      <c r="ERP16" s="3"/>
      <c r="ERQ16" s="3"/>
      <c r="ERR16" s="3"/>
      <c r="ERS16" s="3"/>
      <c r="ERT16" s="3"/>
      <c r="ERU16" s="3"/>
      <c r="ERV16" s="3"/>
      <c r="ERW16" s="3"/>
      <c r="ERX16" s="3"/>
      <c r="ERY16" s="3"/>
      <c r="ERZ16" s="3"/>
      <c r="ESA16" s="3"/>
      <c r="ESB16" s="3"/>
      <c r="ESC16" s="3"/>
      <c r="ESD16" s="3"/>
      <c r="ESE16" s="3"/>
      <c r="ESF16" s="3"/>
      <c r="ESG16" s="3"/>
      <c r="ESH16" s="3"/>
      <c r="ESI16" s="3"/>
      <c r="ESJ16" s="3"/>
      <c r="ESK16" s="3"/>
      <c r="ESL16" s="3"/>
      <c r="ESM16" s="3"/>
      <c r="ESN16" s="3"/>
      <c r="ESO16" s="3"/>
      <c r="ESP16" s="3"/>
      <c r="ESQ16" s="3"/>
      <c r="ESR16" s="3"/>
      <c r="ESS16" s="3"/>
      <c r="EST16" s="3"/>
      <c r="ESU16" s="3"/>
      <c r="ESV16" s="3"/>
      <c r="ESW16" s="3"/>
      <c r="ESX16" s="3"/>
      <c r="ESY16" s="3"/>
      <c r="ESZ16" s="3"/>
      <c r="ETA16" s="3"/>
      <c r="ETB16" s="3"/>
      <c r="ETC16" s="3"/>
      <c r="ETD16" s="3"/>
      <c r="ETE16" s="3"/>
      <c r="ETF16" s="3"/>
      <c r="ETG16" s="3"/>
      <c r="ETH16" s="3"/>
      <c r="ETI16" s="3"/>
      <c r="ETJ16" s="3"/>
      <c r="ETK16" s="3"/>
      <c r="ETL16" s="3"/>
      <c r="ETM16" s="3"/>
      <c r="ETN16" s="3"/>
      <c r="ETO16" s="3"/>
      <c r="ETP16" s="3"/>
      <c r="ETQ16" s="3"/>
      <c r="ETR16" s="3"/>
      <c r="ETS16" s="3"/>
      <c r="ETT16" s="3"/>
      <c r="ETU16" s="3"/>
      <c r="ETV16" s="3"/>
      <c r="ETW16" s="3"/>
      <c r="ETX16" s="3"/>
      <c r="ETY16" s="3"/>
      <c r="ETZ16" s="3"/>
      <c r="EUA16" s="3"/>
      <c r="EUB16" s="3"/>
      <c r="EUC16" s="3"/>
      <c r="EUD16" s="3"/>
      <c r="EUE16" s="3"/>
      <c r="EUF16" s="3"/>
      <c r="EUG16" s="3"/>
      <c r="EUH16" s="3"/>
      <c r="EUI16" s="3"/>
      <c r="EUJ16" s="3"/>
      <c r="EUK16" s="3"/>
      <c r="EUL16" s="3"/>
      <c r="EUM16" s="3"/>
      <c r="EUN16" s="3"/>
      <c r="EUO16" s="3"/>
      <c r="EUP16" s="3"/>
      <c r="EUQ16" s="3"/>
      <c r="EUR16" s="3"/>
      <c r="EUS16" s="3"/>
      <c r="EUT16" s="3"/>
      <c r="EUU16" s="3"/>
      <c r="EUV16" s="3"/>
      <c r="EUW16" s="3"/>
      <c r="EUX16" s="3"/>
      <c r="EUY16" s="3"/>
      <c r="EUZ16" s="3"/>
      <c r="EVA16" s="3"/>
      <c r="EVB16" s="3"/>
      <c r="EVC16" s="3"/>
      <c r="EVD16" s="3"/>
      <c r="EVE16" s="3"/>
      <c r="EVF16" s="3"/>
      <c r="EVG16" s="3"/>
      <c r="EVH16" s="3"/>
      <c r="EVI16" s="3"/>
      <c r="EVJ16" s="3"/>
      <c r="EVK16" s="3"/>
      <c r="EVL16" s="3"/>
      <c r="EVM16" s="3"/>
      <c r="EVN16" s="3"/>
      <c r="EVO16" s="3"/>
      <c r="EVP16" s="3"/>
      <c r="EVQ16" s="3"/>
      <c r="EVR16" s="3"/>
      <c r="EVS16" s="3"/>
      <c r="EVT16" s="3"/>
      <c r="EVU16" s="3"/>
      <c r="EVV16" s="3"/>
      <c r="EVW16" s="3"/>
      <c r="EVX16" s="3"/>
      <c r="EVY16" s="3"/>
      <c r="EVZ16" s="3"/>
      <c r="EWA16" s="3"/>
      <c r="EWB16" s="3"/>
      <c r="EWC16" s="3"/>
      <c r="EWD16" s="3"/>
      <c r="EWE16" s="3"/>
      <c r="EWF16" s="3"/>
      <c r="EWG16" s="3"/>
      <c r="EWH16" s="3"/>
      <c r="EWI16" s="3"/>
      <c r="EWJ16" s="3"/>
      <c r="EWK16" s="3"/>
      <c r="EWL16" s="3"/>
      <c r="EWM16" s="3"/>
      <c r="EWN16" s="3"/>
      <c r="EWO16" s="3"/>
      <c r="EWP16" s="3"/>
      <c r="EWQ16" s="3"/>
      <c r="EWR16" s="3"/>
      <c r="EWS16" s="3"/>
      <c r="EWT16" s="3"/>
      <c r="EWU16" s="3"/>
      <c r="EWV16" s="3"/>
      <c r="EWW16" s="3"/>
      <c r="EWX16" s="3"/>
      <c r="EWY16" s="3"/>
      <c r="EWZ16" s="3"/>
      <c r="EXA16" s="3"/>
      <c r="EXB16" s="3"/>
      <c r="EXC16" s="3"/>
      <c r="EXD16" s="3"/>
      <c r="EXE16" s="3"/>
      <c r="EXF16" s="3"/>
      <c r="EXG16" s="3"/>
      <c r="EXH16" s="3"/>
      <c r="EXI16" s="3"/>
      <c r="EXJ16" s="3"/>
      <c r="EXK16" s="3"/>
      <c r="EXL16" s="3"/>
      <c r="EXM16" s="3"/>
      <c r="EXN16" s="3"/>
      <c r="EXO16" s="3"/>
      <c r="EXP16" s="3"/>
      <c r="EXQ16" s="3"/>
      <c r="EXR16" s="3"/>
      <c r="EXS16" s="3"/>
      <c r="EXT16" s="3"/>
      <c r="EXU16" s="3"/>
      <c r="EXV16" s="3"/>
      <c r="EXW16" s="3"/>
      <c r="EXX16" s="3"/>
      <c r="EXY16" s="3"/>
      <c r="EXZ16" s="3"/>
      <c r="EYA16" s="3"/>
      <c r="EYB16" s="3"/>
      <c r="EYC16" s="3"/>
      <c r="EYD16" s="3"/>
      <c r="EYE16" s="3"/>
      <c r="EYF16" s="3"/>
      <c r="EYG16" s="3"/>
      <c r="EYH16" s="3"/>
      <c r="EYI16" s="3"/>
      <c r="EYJ16" s="3"/>
      <c r="EYK16" s="3"/>
      <c r="EYL16" s="3"/>
      <c r="EYM16" s="3"/>
      <c r="EYN16" s="3"/>
      <c r="EYO16" s="3"/>
      <c r="EYP16" s="3"/>
      <c r="EYQ16" s="3"/>
      <c r="EYR16" s="3"/>
      <c r="EYS16" s="3"/>
      <c r="EYT16" s="3"/>
      <c r="EYU16" s="3"/>
      <c r="EYV16" s="3"/>
      <c r="EYW16" s="3"/>
      <c r="EYX16" s="3"/>
      <c r="EYY16" s="3"/>
      <c r="EYZ16" s="3"/>
      <c r="EZA16" s="3"/>
      <c r="EZB16" s="3"/>
      <c r="EZC16" s="3"/>
      <c r="EZD16" s="3"/>
      <c r="EZE16" s="3"/>
      <c r="EZF16" s="3"/>
      <c r="EZG16" s="3"/>
      <c r="EZH16" s="3"/>
      <c r="EZI16" s="3"/>
      <c r="EZJ16" s="3"/>
      <c r="EZK16" s="3"/>
      <c r="EZL16" s="3"/>
      <c r="EZM16" s="3"/>
      <c r="EZN16" s="3"/>
      <c r="EZO16" s="3"/>
      <c r="EZP16" s="3"/>
      <c r="EZQ16" s="3"/>
      <c r="EZR16" s="3"/>
      <c r="EZS16" s="3"/>
      <c r="EZT16" s="3"/>
      <c r="EZU16" s="3"/>
      <c r="EZV16" s="3"/>
      <c r="EZW16" s="3"/>
      <c r="EZX16" s="3"/>
      <c r="EZY16" s="3"/>
      <c r="EZZ16" s="3"/>
      <c r="FAA16" s="3"/>
      <c r="FAB16" s="3"/>
      <c r="FAC16" s="3"/>
      <c r="FAD16" s="3"/>
      <c r="FAE16" s="3"/>
      <c r="FAF16" s="3"/>
      <c r="FAG16" s="3"/>
      <c r="FAH16" s="3"/>
      <c r="FAI16" s="3"/>
      <c r="FAJ16" s="3"/>
      <c r="FAK16" s="3"/>
      <c r="FAL16" s="3"/>
      <c r="FAM16" s="3"/>
      <c r="FAN16" s="3"/>
      <c r="FAO16" s="3"/>
      <c r="FAP16" s="3"/>
      <c r="FAQ16" s="3"/>
      <c r="FAR16" s="3"/>
      <c r="FAS16" s="3"/>
      <c r="FAT16" s="3"/>
      <c r="FAU16" s="3"/>
      <c r="FAV16" s="3"/>
      <c r="FAW16" s="3"/>
      <c r="FAX16" s="3"/>
      <c r="FAY16" s="3"/>
      <c r="FAZ16" s="3"/>
      <c r="FBA16" s="3"/>
      <c r="FBB16" s="3"/>
      <c r="FBC16" s="3"/>
      <c r="FBD16" s="3"/>
      <c r="FBE16" s="3"/>
      <c r="FBF16" s="3"/>
      <c r="FBG16" s="3"/>
      <c r="FBH16" s="3"/>
      <c r="FBI16" s="3"/>
      <c r="FBJ16" s="3"/>
      <c r="FBK16" s="3"/>
      <c r="FBL16" s="3"/>
      <c r="FBM16" s="3"/>
      <c r="FBN16" s="3"/>
      <c r="FBO16" s="3"/>
      <c r="FBP16" s="3"/>
      <c r="FBQ16" s="3"/>
      <c r="FBR16" s="3"/>
      <c r="FBS16" s="3"/>
      <c r="FBT16" s="3"/>
      <c r="FBU16" s="3"/>
      <c r="FBV16" s="3"/>
      <c r="FBW16" s="3"/>
      <c r="FBX16" s="3"/>
      <c r="FBY16" s="3"/>
      <c r="FBZ16" s="3"/>
      <c r="FCA16" s="3"/>
      <c r="FCB16" s="3"/>
      <c r="FCC16" s="3"/>
      <c r="FCD16" s="3"/>
      <c r="FCE16" s="3"/>
      <c r="FCF16" s="3"/>
      <c r="FCG16" s="3"/>
      <c r="FCH16" s="3"/>
      <c r="FCI16" s="3"/>
      <c r="FCJ16" s="3"/>
      <c r="FCK16" s="3"/>
      <c r="FCL16" s="3"/>
      <c r="FCM16" s="3"/>
      <c r="FCN16" s="3"/>
      <c r="FCO16" s="3"/>
      <c r="FCP16" s="3"/>
      <c r="FCQ16" s="3"/>
      <c r="FCR16" s="3"/>
      <c r="FCS16" s="3"/>
      <c r="FCT16" s="3"/>
      <c r="FCU16" s="3"/>
      <c r="FCV16" s="3"/>
      <c r="FCW16" s="3"/>
      <c r="FCX16" s="3"/>
      <c r="FCY16" s="3"/>
      <c r="FCZ16" s="3"/>
      <c r="FDA16" s="3"/>
      <c r="FDB16" s="3"/>
      <c r="FDC16" s="3"/>
      <c r="FDD16" s="3"/>
      <c r="FDE16" s="3"/>
      <c r="FDF16" s="3"/>
      <c r="FDG16" s="3"/>
      <c r="FDH16" s="3"/>
      <c r="FDI16" s="3"/>
      <c r="FDJ16" s="3"/>
      <c r="FDK16" s="3"/>
      <c r="FDL16" s="3"/>
      <c r="FDM16" s="3"/>
      <c r="FDN16" s="3"/>
      <c r="FDO16" s="3"/>
      <c r="FDP16" s="3"/>
      <c r="FDQ16" s="3"/>
      <c r="FDR16" s="3"/>
      <c r="FDS16" s="3"/>
      <c r="FDT16" s="3"/>
      <c r="FDU16" s="3"/>
      <c r="FDV16" s="3"/>
      <c r="FDW16" s="3"/>
      <c r="FDX16" s="3"/>
      <c r="FDY16" s="3"/>
      <c r="FDZ16" s="3"/>
      <c r="FEA16" s="3"/>
      <c r="FEB16" s="3"/>
      <c r="FEC16" s="3"/>
      <c r="FED16" s="3"/>
      <c r="FEE16" s="3"/>
      <c r="FEF16" s="3"/>
      <c r="FEG16" s="3"/>
      <c r="FEH16" s="3"/>
      <c r="FEI16" s="3"/>
      <c r="FEJ16" s="3"/>
      <c r="FEK16" s="3"/>
      <c r="FEL16" s="3"/>
      <c r="FEM16" s="3"/>
      <c r="FEN16" s="3"/>
      <c r="FEO16" s="3"/>
      <c r="FEP16" s="3"/>
      <c r="FEQ16" s="3"/>
      <c r="FER16" s="3"/>
      <c r="FES16" s="3"/>
      <c r="FET16" s="3"/>
      <c r="FEU16" s="3"/>
      <c r="FEV16" s="3"/>
      <c r="FEW16" s="3"/>
      <c r="FEX16" s="3"/>
      <c r="FEY16" s="3"/>
      <c r="FEZ16" s="3"/>
      <c r="FFA16" s="3"/>
      <c r="FFB16" s="3"/>
      <c r="FFC16" s="3"/>
      <c r="FFD16" s="3"/>
      <c r="FFE16" s="3"/>
      <c r="FFF16" s="3"/>
      <c r="FFG16" s="3"/>
      <c r="FFH16" s="3"/>
      <c r="FFI16" s="3"/>
      <c r="FFJ16" s="3"/>
      <c r="FFK16" s="3"/>
      <c r="FFL16" s="3"/>
      <c r="FFM16" s="3"/>
      <c r="FFN16" s="3"/>
      <c r="FFO16" s="3"/>
      <c r="FFP16" s="3"/>
      <c r="FFQ16" s="3"/>
      <c r="FFR16" s="3"/>
      <c r="FFS16" s="3"/>
      <c r="FFT16" s="3"/>
      <c r="FFU16" s="3"/>
      <c r="FFV16" s="3"/>
      <c r="FFW16" s="3"/>
      <c r="FFX16" s="3"/>
      <c r="FFY16" s="3"/>
      <c r="FFZ16" s="3"/>
      <c r="FGA16" s="3"/>
      <c r="FGB16" s="3"/>
      <c r="FGC16" s="3"/>
      <c r="FGD16" s="3"/>
      <c r="FGE16" s="3"/>
      <c r="FGF16" s="3"/>
      <c r="FGG16" s="3"/>
      <c r="FGH16" s="3"/>
      <c r="FGI16" s="3"/>
      <c r="FGJ16" s="3"/>
      <c r="FGK16" s="3"/>
      <c r="FGL16" s="3"/>
      <c r="FGM16" s="3"/>
      <c r="FGN16" s="3"/>
      <c r="FGO16" s="3"/>
      <c r="FGP16" s="3"/>
      <c r="FGQ16" s="3"/>
      <c r="FGR16" s="3"/>
      <c r="FGS16" s="3"/>
      <c r="FGT16" s="3"/>
      <c r="FGU16" s="3"/>
      <c r="FGV16" s="3"/>
      <c r="FGW16" s="3"/>
      <c r="FGX16" s="3"/>
      <c r="FGY16" s="3"/>
      <c r="FGZ16" s="3"/>
      <c r="FHA16" s="3"/>
      <c r="FHB16" s="3"/>
      <c r="FHC16" s="3"/>
      <c r="FHD16" s="3"/>
      <c r="FHE16" s="3"/>
      <c r="FHF16" s="3"/>
      <c r="FHG16" s="3"/>
      <c r="FHH16" s="3"/>
      <c r="FHI16" s="3"/>
      <c r="FHJ16" s="3"/>
      <c r="FHK16" s="3"/>
      <c r="FHL16" s="3"/>
      <c r="FHM16" s="3"/>
      <c r="FHN16" s="3"/>
      <c r="FHO16" s="3"/>
      <c r="FHP16" s="3"/>
      <c r="FHQ16" s="3"/>
      <c r="FHR16" s="3"/>
      <c r="FHS16" s="3"/>
      <c r="FHT16" s="3"/>
      <c r="FHU16" s="3"/>
      <c r="FHV16" s="3"/>
      <c r="FHW16" s="3"/>
      <c r="FHX16" s="3"/>
      <c r="FHY16" s="3"/>
      <c r="FHZ16" s="3"/>
      <c r="FIA16" s="3"/>
      <c r="FIB16" s="3"/>
      <c r="FIC16" s="3"/>
      <c r="FID16" s="3"/>
      <c r="FIE16" s="3"/>
      <c r="FIF16" s="3"/>
      <c r="FIG16" s="3"/>
      <c r="FIH16" s="3"/>
      <c r="FII16" s="3"/>
      <c r="FIJ16" s="3"/>
      <c r="FIK16" s="3"/>
      <c r="FIL16" s="3"/>
      <c r="FIM16" s="3"/>
      <c r="FIN16" s="3"/>
      <c r="FIO16" s="3"/>
      <c r="FIP16" s="3"/>
      <c r="FIQ16" s="3"/>
      <c r="FIR16" s="3"/>
      <c r="FIS16" s="3"/>
      <c r="FIT16" s="3"/>
      <c r="FIU16" s="3"/>
      <c r="FIV16" s="3"/>
      <c r="FIW16" s="3"/>
      <c r="FIX16" s="3"/>
      <c r="FIY16" s="3"/>
      <c r="FIZ16" s="3"/>
      <c r="FJA16" s="3"/>
      <c r="FJB16" s="3"/>
      <c r="FJC16" s="3"/>
      <c r="FJD16" s="3"/>
      <c r="FJE16" s="3"/>
      <c r="FJF16" s="3"/>
      <c r="FJG16" s="3"/>
      <c r="FJH16" s="3"/>
      <c r="FJI16" s="3"/>
      <c r="FJJ16" s="3"/>
      <c r="FJK16" s="3"/>
      <c r="FJL16" s="3"/>
      <c r="FJM16" s="3"/>
      <c r="FJN16" s="3"/>
      <c r="FJO16" s="3"/>
      <c r="FJP16" s="3"/>
      <c r="FJQ16" s="3"/>
      <c r="FJR16" s="3"/>
      <c r="FJS16" s="3"/>
      <c r="FJT16" s="3"/>
      <c r="FJU16" s="3"/>
      <c r="FJV16" s="3"/>
      <c r="FJW16" s="3"/>
      <c r="FJX16" s="3"/>
      <c r="FJY16" s="3"/>
      <c r="FJZ16" s="3"/>
      <c r="FKA16" s="3"/>
      <c r="FKB16" s="3"/>
      <c r="FKC16" s="3"/>
      <c r="FKD16" s="3"/>
      <c r="FKE16" s="3"/>
      <c r="FKF16" s="3"/>
      <c r="FKG16" s="3"/>
      <c r="FKH16" s="3"/>
      <c r="FKI16" s="3"/>
      <c r="FKJ16" s="3"/>
      <c r="FKK16" s="3"/>
      <c r="FKL16" s="3"/>
      <c r="FKM16" s="3"/>
      <c r="FKN16" s="3"/>
      <c r="FKO16" s="3"/>
      <c r="FKP16" s="3"/>
      <c r="FKQ16" s="3"/>
      <c r="FKR16" s="3"/>
      <c r="FKS16" s="3"/>
      <c r="FKT16" s="3"/>
      <c r="FKU16" s="3"/>
      <c r="FKV16" s="3"/>
      <c r="FKW16" s="3"/>
      <c r="FKX16" s="3"/>
      <c r="FKY16" s="3"/>
      <c r="FKZ16" s="3"/>
      <c r="FLA16" s="3"/>
      <c r="FLB16" s="3"/>
      <c r="FLC16" s="3"/>
      <c r="FLD16" s="3"/>
      <c r="FLE16" s="3"/>
      <c r="FLF16" s="3"/>
      <c r="FLG16" s="3"/>
      <c r="FLH16" s="3"/>
      <c r="FLI16" s="3"/>
      <c r="FLJ16" s="3"/>
      <c r="FLK16" s="3"/>
      <c r="FLL16" s="3"/>
      <c r="FLM16" s="3"/>
      <c r="FLN16" s="3"/>
      <c r="FLO16" s="3"/>
      <c r="FLP16" s="3"/>
      <c r="FLQ16" s="3"/>
      <c r="FLR16" s="3"/>
      <c r="FLS16" s="3"/>
      <c r="FLT16" s="3"/>
      <c r="FLU16" s="3"/>
      <c r="FLV16" s="3"/>
      <c r="FLW16" s="3"/>
      <c r="FLX16" s="3"/>
      <c r="FLY16" s="3"/>
      <c r="FLZ16" s="3"/>
      <c r="FMA16" s="3"/>
      <c r="FMB16" s="3"/>
      <c r="FMC16" s="3"/>
      <c r="FMD16" s="3"/>
      <c r="FME16" s="3"/>
      <c r="FMF16" s="3"/>
      <c r="FMG16" s="3"/>
      <c r="FMH16" s="3"/>
      <c r="FMI16" s="3"/>
      <c r="FMJ16" s="3"/>
      <c r="FMK16" s="3"/>
      <c r="FML16" s="3"/>
      <c r="FMM16" s="3"/>
      <c r="FMN16" s="3"/>
      <c r="FMO16" s="3"/>
      <c r="FMP16" s="3"/>
      <c r="FMQ16" s="3"/>
      <c r="FMR16" s="3"/>
      <c r="FMS16" s="3"/>
      <c r="FMT16" s="3"/>
      <c r="FMU16" s="3"/>
      <c r="FMV16" s="3"/>
      <c r="FMW16" s="3"/>
      <c r="FMX16" s="3"/>
      <c r="FMY16" s="3"/>
      <c r="FMZ16" s="3"/>
      <c r="FNA16" s="3"/>
      <c r="FNB16" s="3"/>
      <c r="FNC16" s="3"/>
      <c r="FND16" s="3"/>
      <c r="FNE16" s="3"/>
      <c r="FNF16" s="3"/>
      <c r="FNG16" s="3"/>
      <c r="FNH16" s="3"/>
      <c r="FNI16" s="3"/>
      <c r="FNJ16" s="3"/>
      <c r="FNK16" s="3"/>
      <c r="FNL16" s="3"/>
      <c r="FNM16" s="3"/>
      <c r="FNN16" s="3"/>
      <c r="FNO16" s="3"/>
      <c r="FNP16" s="3"/>
      <c r="FNQ16" s="3"/>
      <c r="FNR16" s="3"/>
      <c r="FNS16" s="3"/>
      <c r="FNT16" s="3"/>
      <c r="FNU16" s="3"/>
      <c r="FNV16" s="3"/>
      <c r="FNW16" s="3"/>
      <c r="FNX16" s="3"/>
      <c r="FNY16" s="3"/>
      <c r="FNZ16" s="3"/>
      <c r="FOA16" s="3"/>
      <c r="FOB16" s="3"/>
      <c r="FOC16" s="3"/>
      <c r="FOD16" s="3"/>
      <c r="FOE16" s="3"/>
      <c r="FOF16" s="3"/>
      <c r="FOG16" s="3"/>
      <c r="FOH16" s="3"/>
      <c r="FOI16" s="3"/>
      <c r="FOJ16" s="3"/>
      <c r="FOK16" s="3"/>
      <c r="FOL16" s="3"/>
      <c r="FOM16" s="3"/>
      <c r="FON16" s="3"/>
      <c r="FOO16" s="3"/>
      <c r="FOP16" s="3"/>
      <c r="FOQ16" s="3"/>
      <c r="FOR16" s="3"/>
      <c r="FOS16" s="3"/>
      <c r="FOT16" s="3"/>
      <c r="FOU16" s="3"/>
      <c r="FOV16" s="3"/>
      <c r="FOW16" s="3"/>
      <c r="FOX16" s="3"/>
      <c r="FOY16" s="3"/>
      <c r="FOZ16" s="3"/>
      <c r="FPA16" s="3"/>
      <c r="FPB16" s="3"/>
      <c r="FPC16" s="3"/>
      <c r="FPD16" s="3"/>
      <c r="FPE16" s="3"/>
      <c r="FPF16" s="3"/>
      <c r="FPG16" s="3"/>
      <c r="FPH16" s="3"/>
      <c r="FPI16" s="3"/>
      <c r="FPJ16" s="3"/>
      <c r="FPK16" s="3"/>
      <c r="FPL16" s="3"/>
      <c r="FPM16" s="3"/>
      <c r="FPN16" s="3"/>
      <c r="FPO16" s="3"/>
      <c r="FPP16" s="3"/>
      <c r="FPQ16" s="3"/>
      <c r="FPR16" s="3"/>
      <c r="FPS16" s="3"/>
      <c r="FPT16" s="3"/>
      <c r="FPU16" s="3"/>
      <c r="FPV16" s="3"/>
      <c r="FPW16" s="3"/>
      <c r="FPX16" s="3"/>
      <c r="FPY16" s="3"/>
      <c r="FPZ16" s="3"/>
      <c r="FQA16" s="3"/>
      <c r="FQB16" s="3"/>
      <c r="FQC16" s="3"/>
      <c r="FQD16" s="3"/>
      <c r="FQE16" s="3"/>
      <c r="FQF16" s="3"/>
      <c r="FQG16" s="3"/>
      <c r="FQH16" s="3"/>
      <c r="FQI16" s="3"/>
      <c r="FQJ16" s="3"/>
      <c r="FQK16" s="3"/>
      <c r="FQL16" s="3"/>
      <c r="FQM16" s="3"/>
      <c r="FQN16" s="3"/>
      <c r="FQO16" s="3"/>
      <c r="FQP16" s="3"/>
      <c r="FQQ16" s="3"/>
      <c r="FQR16" s="3"/>
      <c r="FQS16" s="3"/>
      <c r="FQT16" s="3"/>
      <c r="FQU16" s="3"/>
      <c r="FQV16" s="3"/>
      <c r="FQW16" s="3"/>
      <c r="FQX16" s="3"/>
      <c r="FQY16" s="3"/>
      <c r="FQZ16" s="3"/>
      <c r="FRA16" s="3"/>
      <c r="FRB16" s="3"/>
      <c r="FRC16" s="3"/>
      <c r="FRD16" s="3"/>
      <c r="FRE16" s="3"/>
      <c r="FRF16" s="3"/>
      <c r="FRG16" s="3"/>
      <c r="FRH16" s="3"/>
      <c r="FRI16" s="3"/>
      <c r="FRJ16" s="3"/>
      <c r="FRK16" s="3"/>
      <c r="FRL16" s="3"/>
      <c r="FRM16" s="3"/>
      <c r="FRN16" s="3"/>
      <c r="FRO16" s="3"/>
      <c r="FRP16" s="3"/>
      <c r="FRQ16" s="3"/>
      <c r="FRR16" s="3"/>
      <c r="FRS16" s="3"/>
      <c r="FRT16" s="3"/>
      <c r="FRU16" s="3"/>
      <c r="FRV16" s="3"/>
      <c r="FRW16" s="3"/>
      <c r="FRX16" s="3"/>
      <c r="FRY16" s="3"/>
      <c r="FRZ16" s="3"/>
      <c r="FSA16" s="3"/>
      <c r="FSB16" s="3"/>
      <c r="FSC16" s="3"/>
      <c r="FSD16" s="3"/>
      <c r="FSE16" s="3"/>
      <c r="FSF16" s="3"/>
      <c r="FSG16" s="3"/>
      <c r="FSH16" s="3"/>
      <c r="FSI16" s="3"/>
      <c r="FSJ16" s="3"/>
      <c r="FSK16" s="3"/>
      <c r="FSL16" s="3"/>
      <c r="FSM16" s="3"/>
      <c r="FSN16" s="3"/>
      <c r="FSO16" s="3"/>
      <c r="FSP16" s="3"/>
      <c r="FSQ16" s="3"/>
      <c r="FSR16" s="3"/>
      <c r="FSS16" s="3"/>
      <c r="FST16" s="3"/>
      <c r="FSU16" s="3"/>
      <c r="FSV16" s="3"/>
      <c r="FSW16" s="3"/>
      <c r="FSX16" s="3"/>
      <c r="FSY16" s="3"/>
      <c r="FSZ16" s="3"/>
      <c r="FTA16" s="3"/>
      <c r="FTB16" s="3"/>
      <c r="FTC16" s="3"/>
      <c r="FTD16" s="3"/>
      <c r="FTE16" s="3"/>
      <c r="FTF16" s="3"/>
      <c r="FTG16" s="3"/>
      <c r="FTH16" s="3"/>
      <c r="FTI16" s="3"/>
      <c r="FTJ16" s="3"/>
      <c r="FTK16" s="3"/>
      <c r="FTL16" s="3"/>
      <c r="FTM16" s="3"/>
      <c r="FTN16" s="3"/>
      <c r="FTO16" s="3"/>
      <c r="FTP16" s="3"/>
      <c r="FTQ16" s="3"/>
      <c r="FTR16" s="3"/>
      <c r="FTS16" s="3"/>
      <c r="FTT16" s="3"/>
      <c r="FTU16" s="3"/>
      <c r="FTV16" s="3"/>
      <c r="FTW16" s="3"/>
      <c r="FTX16" s="3"/>
      <c r="FTY16" s="3"/>
      <c r="FTZ16" s="3"/>
      <c r="FUA16" s="3"/>
      <c r="FUB16" s="3"/>
      <c r="FUC16" s="3"/>
      <c r="FUD16" s="3"/>
      <c r="FUE16" s="3"/>
      <c r="FUF16" s="3"/>
      <c r="FUG16" s="3"/>
      <c r="FUH16" s="3"/>
      <c r="FUI16" s="3"/>
      <c r="FUJ16" s="3"/>
      <c r="FUK16" s="3"/>
      <c r="FUL16" s="3"/>
      <c r="FUM16" s="3"/>
      <c r="FUN16" s="3"/>
      <c r="FUO16" s="3"/>
      <c r="FUP16" s="3"/>
      <c r="FUQ16" s="3"/>
      <c r="FUR16" s="3"/>
      <c r="FUS16" s="3"/>
      <c r="FUT16" s="3"/>
      <c r="FUU16" s="3"/>
      <c r="FUV16" s="3"/>
      <c r="FUW16" s="3"/>
      <c r="FUX16" s="3"/>
      <c r="FUY16" s="3"/>
      <c r="FUZ16" s="3"/>
      <c r="FVA16" s="3"/>
      <c r="FVB16" s="3"/>
      <c r="FVC16" s="3"/>
      <c r="FVD16" s="3"/>
      <c r="FVE16" s="3"/>
      <c r="FVF16" s="3"/>
      <c r="FVG16" s="3"/>
      <c r="FVH16" s="3"/>
      <c r="FVI16" s="3"/>
      <c r="FVJ16" s="3"/>
      <c r="FVK16" s="3"/>
      <c r="FVL16" s="3"/>
      <c r="FVM16" s="3"/>
      <c r="FVN16" s="3"/>
      <c r="FVO16" s="3"/>
      <c r="FVP16" s="3"/>
      <c r="FVQ16" s="3"/>
      <c r="FVR16" s="3"/>
      <c r="FVS16" s="3"/>
      <c r="FVT16" s="3"/>
      <c r="FVU16" s="3"/>
      <c r="FVV16" s="3"/>
      <c r="FVW16" s="3"/>
      <c r="FVX16" s="3"/>
      <c r="FVY16" s="3"/>
      <c r="FVZ16" s="3"/>
      <c r="FWA16" s="3"/>
      <c r="FWB16" s="3"/>
      <c r="FWC16" s="3"/>
      <c r="FWD16" s="3"/>
      <c r="FWE16" s="3"/>
      <c r="FWF16" s="3"/>
      <c r="FWG16" s="3"/>
      <c r="FWH16" s="3"/>
      <c r="FWI16" s="3"/>
      <c r="FWJ16" s="3"/>
      <c r="FWK16" s="3"/>
      <c r="FWL16" s="3"/>
      <c r="FWM16" s="3"/>
      <c r="FWN16" s="3"/>
      <c r="FWO16" s="3"/>
      <c r="FWP16" s="3"/>
      <c r="FWQ16" s="3"/>
      <c r="FWR16" s="3"/>
      <c r="FWS16" s="3"/>
      <c r="FWT16" s="3"/>
      <c r="FWU16" s="3"/>
      <c r="FWV16" s="3"/>
      <c r="FWW16" s="3"/>
      <c r="FWX16" s="3"/>
      <c r="FWY16" s="3"/>
      <c r="FWZ16" s="3"/>
      <c r="FXA16" s="3"/>
      <c r="FXB16" s="3"/>
      <c r="FXC16" s="3"/>
      <c r="FXD16" s="3"/>
      <c r="FXE16" s="3"/>
      <c r="FXF16" s="3"/>
      <c r="FXG16" s="3"/>
      <c r="FXH16" s="3"/>
      <c r="FXI16" s="3"/>
      <c r="FXJ16" s="3"/>
      <c r="FXK16" s="3"/>
      <c r="FXL16" s="3"/>
      <c r="FXM16" s="3"/>
      <c r="FXN16" s="3"/>
      <c r="FXO16" s="3"/>
      <c r="FXP16" s="3"/>
      <c r="FXQ16" s="3"/>
      <c r="FXR16" s="3"/>
      <c r="FXS16" s="3"/>
      <c r="FXT16" s="3"/>
      <c r="FXU16" s="3"/>
      <c r="FXV16" s="3"/>
      <c r="FXW16" s="3"/>
      <c r="FXX16" s="3"/>
      <c r="FXY16" s="3"/>
      <c r="FXZ16" s="3"/>
      <c r="FYA16" s="3"/>
      <c r="FYB16" s="3"/>
      <c r="FYC16" s="3"/>
      <c r="FYD16" s="3"/>
      <c r="FYE16" s="3"/>
      <c r="FYF16" s="3"/>
      <c r="FYG16" s="3"/>
      <c r="FYH16" s="3"/>
      <c r="FYI16" s="3"/>
      <c r="FYJ16" s="3"/>
      <c r="FYK16" s="3"/>
      <c r="FYL16" s="3"/>
      <c r="FYM16" s="3"/>
      <c r="FYN16" s="3"/>
      <c r="FYO16" s="3"/>
      <c r="FYP16" s="3"/>
      <c r="FYQ16" s="3"/>
      <c r="FYR16" s="3"/>
      <c r="FYS16" s="3"/>
      <c r="FYT16" s="3"/>
      <c r="FYU16" s="3"/>
      <c r="FYV16" s="3"/>
      <c r="FYW16" s="3"/>
      <c r="FYX16" s="3"/>
      <c r="FYY16" s="3"/>
      <c r="FYZ16" s="3"/>
      <c r="FZA16" s="3"/>
      <c r="FZB16" s="3"/>
      <c r="FZC16" s="3"/>
      <c r="FZD16" s="3"/>
      <c r="FZE16" s="3"/>
      <c r="FZF16" s="3"/>
      <c r="FZG16" s="3"/>
      <c r="FZH16" s="3"/>
      <c r="FZI16" s="3"/>
      <c r="FZJ16" s="3"/>
      <c r="FZK16" s="3"/>
      <c r="FZL16" s="3"/>
      <c r="FZM16" s="3"/>
      <c r="FZN16" s="3"/>
      <c r="FZO16" s="3"/>
      <c r="FZP16" s="3"/>
      <c r="FZQ16" s="3"/>
      <c r="FZR16" s="3"/>
      <c r="FZS16" s="3"/>
      <c r="FZT16" s="3"/>
      <c r="FZU16" s="3"/>
      <c r="FZV16" s="3"/>
      <c r="FZW16" s="3"/>
      <c r="FZX16" s="3"/>
      <c r="FZY16" s="3"/>
      <c r="FZZ16" s="3"/>
      <c r="GAA16" s="3"/>
      <c r="GAB16" s="3"/>
      <c r="GAC16" s="3"/>
      <c r="GAD16" s="3"/>
      <c r="GAE16" s="3"/>
      <c r="GAF16" s="3"/>
      <c r="GAG16" s="3"/>
      <c r="GAH16" s="3"/>
      <c r="GAI16" s="3"/>
      <c r="GAJ16" s="3"/>
      <c r="GAK16" s="3"/>
      <c r="GAL16" s="3"/>
      <c r="GAM16" s="3"/>
      <c r="GAN16" s="3"/>
      <c r="GAO16" s="3"/>
      <c r="GAP16" s="3"/>
      <c r="GAQ16" s="3"/>
      <c r="GAR16" s="3"/>
      <c r="GAS16" s="3"/>
      <c r="GAT16" s="3"/>
      <c r="GAU16" s="3"/>
      <c r="GAV16" s="3"/>
      <c r="GAW16" s="3"/>
      <c r="GAX16" s="3"/>
      <c r="GAY16" s="3"/>
      <c r="GAZ16" s="3"/>
      <c r="GBA16" s="3"/>
      <c r="GBB16" s="3"/>
      <c r="GBC16" s="3"/>
      <c r="GBD16" s="3"/>
      <c r="GBE16" s="3"/>
      <c r="GBF16" s="3"/>
      <c r="GBG16" s="3"/>
      <c r="GBH16" s="3"/>
      <c r="GBI16" s="3"/>
      <c r="GBJ16" s="3"/>
      <c r="GBK16" s="3"/>
      <c r="GBL16" s="3"/>
      <c r="GBM16" s="3"/>
      <c r="GBN16" s="3"/>
      <c r="GBO16" s="3"/>
      <c r="GBP16" s="3"/>
      <c r="GBQ16" s="3"/>
      <c r="GBR16" s="3"/>
      <c r="GBS16" s="3"/>
      <c r="GBT16" s="3"/>
      <c r="GBU16" s="3"/>
      <c r="GBV16" s="3"/>
      <c r="GBW16" s="3"/>
      <c r="GBX16" s="3"/>
      <c r="GBY16" s="3"/>
      <c r="GBZ16" s="3"/>
      <c r="GCA16" s="3"/>
      <c r="GCB16" s="3"/>
      <c r="GCC16" s="3"/>
      <c r="GCD16" s="3"/>
      <c r="GCE16" s="3"/>
      <c r="GCF16" s="3"/>
      <c r="GCG16" s="3"/>
      <c r="GCH16" s="3"/>
      <c r="GCI16" s="3"/>
      <c r="GCJ16" s="3"/>
      <c r="GCK16" s="3"/>
      <c r="GCL16" s="3"/>
      <c r="GCM16" s="3"/>
      <c r="GCN16" s="3"/>
      <c r="GCO16" s="3"/>
      <c r="GCP16" s="3"/>
      <c r="GCQ16" s="3"/>
      <c r="GCR16" s="3"/>
      <c r="GCS16" s="3"/>
      <c r="GCT16" s="3"/>
      <c r="GCU16" s="3"/>
      <c r="GCV16" s="3"/>
      <c r="GCW16" s="3"/>
      <c r="GCX16" s="3"/>
      <c r="GCY16" s="3"/>
      <c r="GCZ16" s="3"/>
      <c r="GDA16" s="3"/>
      <c r="GDB16" s="3"/>
      <c r="GDC16" s="3"/>
      <c r="GDD16" s="3"/>
      <c r="GDE16" s="3"/>
      <c r="GDF16" s="3"/>
      <c r="GDG16" s="3"/>
      <c r="GDH16" s="3"/>
      <c r="GDI16" s="3"/>
      <c r="GDJ16" s="3"/>
      <c r="GDK16" s="3"/>
      <c r="GDL16" s="3"/>
      <c r="GDM16" s="3"/>
      <c r="GDN16" s="3"/>
      <c r="GDO16" s="3"/>
      <c r="GDP16" s="3"/>
      <c r="GDQ16" s="3"/>
      <c r="GDR16" s="3"/>
      <c r="GDS16" s="3"/>
      <c r="GDT16" s="3"/>
      <c r="GDU16" s="3"/>
      <c r="GDV16" s="3"/>
      <c r="GDW16" s="3"/>
      <c r="GDX16" s="3"/>
      <c r="GDY16" s="3"/>
      <c r="GDZ16" s="3"/>
      <c r="GEA16" s="3"/>
      <c r="GEB16" s="3"/>
      <c r="GEC16" s="3"/>
      <c r="GED16" s="3"/>
      <c r="GEE16" s="3"/>
      <c r="GEF16" s="3"/>
      <c r="GEG16" s="3"/>
      <c r="GEH16" s="3"/>
      <c r="GEI16" s="3"/>
      <c r="GEJ16" s="3"/>
      <c r="GEK16" s="3"/>
      <c r="GEL16" s="3"/>
      <c r="GEM16" s="3"/>
      <c r="GEN16" s="3"/>
      <c r="GEO16" s="3"/>
      <c r="GEP16" s="3"/>
      <c r="GEQ16" s="3"/>
      <c r="GER16" s="3"/>
      <c r="GES16" s="3"/>
      <c r="GET16" s="3"/>
      <c r="GEU16" s="3"/>
      <c r="GEV16" s="3"/>
      <c r="GEW16" s="3"/>
      <c r="GEX16" s="3"/>
      <c r="GEY16" s="3"/>
      <c r="GEZ16" s="3"/>
      <c r="GFA16" s="3"/>
      <c r="GFB16" s="3"/>
      <c r="GFC16" s="3"/>
      <c r="GFD16" s="3"/>
      <c r="GFE16" s="3"/>
      <c r="GFF16" s="3"/>
      <c r="GFG16" s="3"/>
      <c r="GFH16" s="3"/>
      <c r="GFI16" s="3"/>
      <c r="GFJ16" s="3"/>
      <c r="GFK16" s="3"/>
      <c r="GFL16" s="3"/>
      <c r="GFM16" s="3"/>
      <c r="GFN16" s="3"/>
      <c r="GFO16" s="3"/>
      <c r="GFP16" s="3"/>
      <c r="GFQ16" s="3"/>
      <c r="GFR16" s="3"/>
      <c r="GFS16" s="3"/>
      <c r="GFT16" s="3"/>
      <c r="GFU16" s="3"/>
      <c r="GFV16" s="3"/>
      <c r="GFW16" s="3"/>
      <c r="GFX16" s="3"/>
      <c r="GFY16" s="3"/>
      <c r="GFZ16" s="3"/>
      <c r="GGA16" s="3"/>
      <c r="GGB16" s="3"/>
      <c r="GGC16" s="3"/>
      <c r="GGD16" s="3"/>
      <c r="GGE16" s="3"/>
      <c r="GGF16" s="3"/>
      <c r="GGG16" s="3"/>
      <c r="GGH16" s="3"/>
      <c r="GGI16" s="3"/>
      <c r="GGJ16" s="3"/>
      <c r="GGK16" s="3"/>
      <c r="GGL16" s="3"/>
      <c r="GGM16" s="3"/>
      <c r="GGN16" s="3"/>
      <c r="GGO16" s="3"/>
      <c r="GGP16" s="3"/>
      <c r="GGQ16" s="3"/>
      <c r="GGR16" s="3"/>
      <c r="GGS16" s="3"/>
      <c r="GGT16" s="3"/>
      <c r="GGU16" s="3"/>
      <c r="GGV16" s="3"/>
      <c r="GGW16" s="3"/>
      <c r="GGX16" s="3"/>
      <c r="GGY16" s="3"/>
      <c r="GGZ16" s="3"/>
      <c r="GHA16" s="3"/>
      <c r="GHB16" s="3"/>
      <c r="GHC16" s="3"/>
      <c r="GHD16" s="3"/>
      <c r="GHE16" s="3"/>
      <c r="GHF16" s="3"/>
      <c r="GHG16" s="3"/>
      <c r="GHH16" s="3"/>
      <c r="GHI16" s="3"/>
      <c r="GHJ16" s="3"/>
      <c r="GHK16" s="3"/>
      <c r="GHL16" s="3"/>
      <c r="GHM16" s="3"/>
      <c r="GHN16" s="3"/>
      <c r="GHO16" s="3"/>
      <c r="GHP16" s="3"/>
      <c r="GHQ16" s="3"/>
      <c r="GHR16" s="3"/>
      <c r="GHS16" s="3"/>
      <c r="GHT16" s="3"/>
      <c r="GHU16" s="3"/>
      <c r="GHV16" s="3"/>
      <c r="GHW16" s="3"/>
      <c r="GHX16" s="3"/>
      <c r="GHY16" s="3"/>
      <c r="GHZ16" s="3"/>
      <c r="GIA16" s="3"/>
      <c r="GIB16" s="3"/>
      <c r="GIC16" s="3"/>
      <c r="GID16" s="3"/>
      <c r="GIE16" s="3"/>
      <c r="GIF16" s="3"/>
      <c r="GIG16" s="3"/>
      <c r="GIH16" s="3"/>
      <c r="GII16" s="3"/>
      <c r="GIJ16" s="3"/>
      <c r="GIK16" s="3"/>
      <c r="GIL16" s="3"/>
      <c r="GIM16" s="3"/>
      <c r="GIN16" s="3"/>
      <c r="GIO16" s="3"/>
      <c r="GIP16" s="3"/>
      <c r="GIQ16" s="3"/>
      <c r="GIR16" s="3"/>
      <c r="GIS16" s="3"/>
      <c r="GIT16" s="3"/>
      <c r="GIU16" s="3"/>
      <c r="GIV16" s="3"/>
      <c r="GIW16" s="3"/>
      <c r="GIX16" s="3"/>
      <c r="GIY16" s="3"/>
      <c r="GIZ16" s="3"/>
      <c r="GJA16" s="3"/>
      <c r="GJB16" s="3"/>
      <c r="GJC16" s="3"/>
      <c r="GJD16" s="3"/>
      <c r="GJE16" s="3"/>
      <c r="GJF16" s="3"/>
      <c r="GJG16" s="3"/>
      <c r="GJH16" s="3"/>
      <c r="GJI16" s="3"/>
      <c r="GJJ16" s="3"/>
      <c r="GJK16" s="3"/>
      <c r="GJL16" s="3"/>
      <c r="GJM16" s="3"/>
      <c r="GJN16" s="3"/>
      <c r="GJO16" s="3"/>
      <c r="GJP16" s="3"/>
      <c r="GJQ16" s="3"/>
      <c r="GJR16" s="3"/>
      <c r="GJS16" s="3"/>
      <c r="GJT16" s="3"/>
      <c r="GJU16" s="3"/>
      <c r="GJV16" s="3"/>
      <c r="GJW16" s="3"/>
      <c r="GJX16" s="3"/>
      <c r="GJY16" s="3"/>
      <c r="GJZ16" s="3"/>
      <c r="GKA16" s="3"/>
      <c r="GKB16" s="3"/>
      <c r="GKC16" s="3"/>
      <c r="GKD16" s="3"/>
      <c r="GKE16" s="3"/>
      <c r="GKF16" s="3"/>
      <c r="GKG16" s="3"/>
      <c r="GKH16" s="3"/>
      <c r="GKI16" s="3"/>
      <c r="GKJ16" s="3"/>
      <c r="GKK16" s="3"/>
      <c r="GKL16" s="3"/>
      <c r="GKM16" s="3"/>
      <c r="GKN16" s="3"/>
      <c r="GKO16" s="3"/>
      <c r="GKP16" s="3"/>
      <c r="GKQ16" s="3"/>
      <c r="GKR16" s="3"/>
      <c r="GKS16" s="3"/>
      <c r="GKT16" s="3"/>
      <c r="GKU16" s="3"/>
      <c r="GKV16" s="3"/>
      <c r="GKW16" s="3"/>
      <c r="GKX16" s="3"/>
      <c r="GKY16" s="3"/>
      <c r="GKZ16" s="3"/>
      <c r="GLA16" s="3"/>
      <c r="GLB16" s="3"/>
      <c r="GLC16" s="3"/>
      <c r="GLD16" s="3"/>
      <c r="GLE16" s="3"/>
      <c r="GLF16" s="3"/>
      <c r="GLG16" s="3"/>
      <c r="GLH16" s="3"/>
      <c r="GLI16" s="3"/>
      <c r="GLJ16" s="3"/>
      <c r="GLK16" s="3"/>
      <c r="GLL16" s="3"/>
      <c r="GLM16" s="3"/>
      <c r="GLN16" s="3"/>
      <c r="GLO16" s="3"/>
      <c r="GLP16" s="3"/>
      <c r="GLQ16" s="3"/>
      <c r="GLR16" s="3"/>
      <c r="GLS16" s="3"/>
      <c r="GLT16" s="3"/>
      <c r="GLU16" s="3"/>
      <c r="GLV16" s="3"/>
      <c r="GLW16" s="3"/>
      <c r="GLX16" s="3"/>
      <c r="GLY16" s="3"/>
      <c r="GLZ16" s="3"/>
      <c r="GMA16" s="3"/>
      <c r="GMB16" s="3"/>
      <c r="GMC16" s="3"/>
      <c r="GMD16" s="3"/>
      <c r="GME16" s="3"/>
      <c r="GMF16" s="3"/>
      <c r="GMG16" s="3"/>
      <c r="GMH16" s="3"/>
      <c r="GMI16" s="3"/>
      <c r="GMJ16" s="3"/>
      <c r="GMK16" s="3"/>
      <c r="GML16" s="3"/>
      <c r="GMM16" s="3"/>
      <c r="GMN16" s="3"/>
      <c r="GMO16" s="3"/>
      <c r="GMP16" s="3"/>
      <c r="GMQ16" s="3"/>
      <c r="GMR16" s="3"/>
      <c r="GMS16" s="3"/>
      <c r="GMT16" s="3"/>
      <c r="GMU16" s="3"/>
      <c r="GMV16" s="3"/>
      <c r="GMW16" s="3"/>
      <c r="GMX16" s="3"/>
      <c r="GMY16" s="3"/>
      <c r="GMZ16" s="3"/>
      <c r="GNA16" s="3"/>
      <c r="GNB16" s="3"/>
      <c r="GNC16" s="3"/>
      <c r="GND16" s="3"/>
      <c r="GNE16" s="3"/>
      <c r="GNF16" s="3"/>
      <c r="GNG16" s="3"/>
      <c r="GNH16" s="3"/>
      <c r="GNI16" s="3"/>
      <c r="GNJ16" s="3"/>
      <c r="GNK16" s="3"/>
      <c r="GNL16" s="3"/>
      <c r="GNM16" s="3"/>
      <c r="GNN16" s="3"/>
      <c r="GNO16" s="3"/>
      <c r="GNP16" s="3"/>
      <c r="GNQ16" s="3"/>
      <c r="GNR16" s="3"/>
      <c r="GNS16" s="3"/>
      <c r="GNT16" s="3"/>
      <c r="GNU16" s="3"/>
      <c r="GNV16" s="3"/>
      <c r="GNW16" s="3"/>
      <c r="GNX16" s="3"/>
      <c r="GNY16" s="3"/>
      <c r="GNZ16" s="3"/>
      <c r="GOA16" s="3"/>
      <c r="GOB16" s="3"/>
      <c r="GOC16" s="3"/>
      <c r="GOD16" s="3"/>
      <c r="GOE16" s="3"/>
      <c r="GOF16" s="3"/>
      <c r="GOG16" s="3"/>
      <c r="GOH16" s="3"/>
      <c r="GOI16" s="3"/>
      <c r="GOJ16" s="3"/>
      <c r="GOK16" s="3"/>
      <c r="GOL16" s="3"/>
      <c r="GOM16" s="3"/>
      <c r="GON16" s="3"/>
      <c r="GOO16" s="3"/>
      <c r="GOP16" s="3"/>
      <c r="GOQ16" s="3"/>
      <c r="GOR16" s="3"/>
      <c r="GOS16" s="3"/>
      <c r="GOT16" s="3"/>
      <c r="GOU16" s="3"/>
      <c r="GOV16" s="3"/>
      <c r="GOW16" s="3"/>
      <c r="GOX16" s="3"/>
      <c r="GOY16" s="3"/>
      <c r="GOZ16" s="3"/>
      <c r="GPA16" s="3"/>
      <c r="GPB16" s="3"/>
      <c r="GPC16" s="3"/>
      <c r="GPD16" s="3"/>
      <c r="GPE16" s="3"/>
      <c r="GPF16" s="3"/>
      <c r="GPG16" s="3"/>
      <c r="GPH16" s="3"/>
      <c r="GPI16" s="3"/>
      <c r="GPJ16" s="3"/>
      <c r="GPK16" s="3"/>
      <c r="GPL16" s="3"/>
      <c r="GPM16" s="3"/>
      <c r="GPN16" s="3"/>
      <c r="GPO16" s="3"/>
      <c r="GPP16" s="3"/>
      <c r="GPQ16" s="3"/>
      <c r="GPR16" s="3"/>
      <c r="GPS16" s="3"/>
      <c r="GPT16" s="3"/>
      <c r="GPU16" s="3"/>
      <c r="GPV16" s="3"/>
      <c r="GPW16" s="3"/>
      <c r="GPX16" s="3"/>
      <c r="GPY16" s="3"/>
      <c r="GPZ16" s="3"/>
      <c r="GQA16" s="3"/>
      <c r="GQB16" s="3"/>
      <c r="GQC16" s="3"/>
      <c r="GQD16" s="3"/>
      <c r="GQE16" s="3"/>
      <c r="GQF16" s="3"/>
      <c r="GQG16" s="3"/>
      <c r="GQH16" s="3"/>
      <c r="GQI16" s="3"/>
      <c r="GQJ16" s="3"/>
      <c r="GQK16" s="3"/>
      <c r="GQL16" s="3"/>
      <c r="GQM16" s="3"/>
      <c r="GQN16" s="3"/>
      <c r="GQO16" s="3"/>
      <c r="GQP16" s="3"/>
      <c r="GQQ16" s="3"/>
      <c r="GQR16" s="3"/>
      <c r="GQS16" s="3"/>
      <c r="GQT16" s="3"/>
      <c r="GQU16" s="3"/>
      <c r="GQV16" s="3"/>
      <c r="GQW16" s="3"/>
      <c r="GQX16" s="3"/>
      <c r="GQY16" s="3"/>
      <c r="GQZ16" s="3"/>
      <c r="GRA16" s="3"/>
      <c r="GRB16" s="3"/>
      <c r="GRC16" s="3"/>
      <c r="GRD16" s="3"/>
      <c r="GRE16" s="3"/>
      <c r="GRF16" s="3"/>
      <c r="GRG16" s="3"/>
      <c r="GRH16" s="3"/>
      <c r="GRI16" s="3"/>
      <c r="GRJ16" s="3"/>
      <c r="GRK16" s="3"/>
      <c r="GRL16" s="3"/>
      <c r="GRM16" s="3"/>
      <c r="GRN16" s="3"/>
      <c r="GRO16" s="3"/>
      <c r="GRP16" s="3"/>
      <c r="GRQ16" s="3"/>
      <c r="GRR16" s="3"/>
      <c r="GRS16" s="3"/>
      <c r="GRT16" s="3"/>
      <c r="GRU16" s="3"/>
      <c r="GRV16" s="3"/>
      <c r="GRW16" s="3"/>
      <c r="GRX16" s="3"/>
      <c r="GRY16" s="3"/>
      <c r="GRZ16" s="3"/>
      <c r="GSA16" s="3"/>
      <c r="GSB16" s="3"/>
      <c r="GSC16" s="3"/>
      <c r="GSD16" s="3"/>
      <c r="GSE16" s="3"/>
      <c r="GSF16" s="3"/>
      <c r="GSG16" s="3"/>
      <c r="GSH16" s="3"/>
      <c r="GSI16" s="3"/>
      <c r="GSJ16" s="3"/>
      <c r="GSK16" s="3"/>
      <c r="GSL16" s="3"/>
      <c r="GSM16" s="3"/>
      <c r="GSN16" s="3"/>
      <c r="GSO16" s="3"/>
      <c r="GSP16" s="3"/>
      <c r="GSQ16" s="3"/>
      <c r="GSR16" s="3"/>
      <c r="GSS16" s="3"/>
      <c r="GST16" s="3"/>
      <c r="GSU16" s="3"/>
      <c r="GSV16" s="3"/>
      <c r="GSW16" s="3"/>
      <c r="GSX16" s="3"/>
      <c r="GSY16" s="3"/>
      <c r="GSZ16" s="3"/>
      <c r="GTA16" s="3"/>
      <c r="GTB16" s="3"/>
      <c r="GTC16" s="3"/>
      <c r="GTD16" s="3"/>
      <c r="GTE16" s="3"/>
      <c r="GTF16" s="3"/>
      <c r="GTG16" s="3"/>
      <c r="GTH16" s="3"/>
      <c r="GTI16" s="3"/>
      <c r="GTJ16" s="3"/>
      <c r="GTK16" s="3"/>
      <c r="GTL16" s="3"/>
      <c r="GTM16" s="3"/>
      <c r="GTN16" s="3"/>
      <c r="GTO16" s="3"/>
      <c r="GTP16" s="3"/>
      <c r="GTQ16" s="3"/>
      <c r="GTR16" s="3"/>
      <c r="GTS16" s="3"/>
      <c r="GTT16" s="3"/>
      <c r="GTU16" s="3"/>
      <c r="GTV16" s="3"/>
      <c r="GTW16" s="3"/>
      <c r="GTX16" s="3"/>
      <c r="GTY16" s="3"/>
      <c r="GTZ16" s="3"/>
      <c r="GUA16" s="3"/>
      <c r="GUB16" s="3"/>
      <c r="GUC16" s="3"/>
      <c r="GUD16" s="3"/>
      <c r="GUE16" s="3"/>
      <c r="GUF16" s="3"/>
      <c r="GUG16" s="3"/>
      <c r="GUH16" s="3"/>
      <c r="GUI16" s="3"/>
      <c r="GUJ16" s="3"/>
      <c r="GUK16" s="3"/>
      <c r="GUL16" s="3"/>
      <c r="GUM16" s="3"/>
      <c r="GUN16" s="3"/>
      <c r="GUO16" s="3"/>
      <c r="GUP16" s="3"/>
      <c r="GUQ16" s="3"/>
      <c r="GUR16" s="3"/>
      <c r="GUS16" s="3"/>
      <c r="GUT16" s="3"/>
      <c r="GUU16" s="3"/>
      <c r="GUV16" s="3"/>
      <c r="GUW16" s="3"/>
      <c r="GUX16" s="3"/>
      <c r="GUY16" s="3"/>
      <c r="GUZ16" s="3"/>
      <c r="GVA16" s="3"/>
      <c r="GVB16" s="3"/>
      <c r="GVC16" s="3"/>
      <c r="GVD16" s="3"/>
      <c r="GVE16" s="3"/>
      <c r="GVF16" s="3"/>
      <c r="GVG16" s="3"/>
      <c r="GVH16" s="3"/>
      <c r="GVI16" s="3"/>
      <c r="GVJ16" s="3"/>
      <c r="GVK16" s="3"/>
      <c r="GVL16" s="3"/>
      <c r="GVM16" s="3"/>
      <c r="GVN16" s="3"/>
      <c r="GVO16" s="3"/>
      <c r="GVP16" s="3"/>
      <c r="GVQ16" s="3"/>
      <c r="GVR16" s="3"/>
      <c r="GVS16" s="3"/>
      <c r="GVT16" s="3"/>
      <c r="GVU16" s="3"/>
      <c r="GVV16" s="3"/>
      <c r="GVW16" s="3"/>
      <c r="GVX16" s="3"/>
      <c r="GVY16" s="3"/>
      <c r="GVZ16" s="3"/>
      <c r="GWA16" s="3"/>
      <c r="GWB16" s="3"/>
      <c r="GWC16" s="3"/>
      <c r="GWD16" s="3"/>
      <c r="GWE16" s="3"/>
      <c r="GWF16" s="3"/>
      <c r="GWG16" s="3"/>
      <c r="GWH16" s="3"/>
      <c r="GWI16" s="3"/>
      <c r="GWJ16" s="3"/>
      <c r="GWK16" s="3"/>
      <c r="GWL16" s="3"/>
      <c r="GWM16" s="3"/>
      <c r="GWN16" s="3"/>
      <c r="GWO16" s="3"/>
      <c r="GWP16" s="3"/>
      <c r="GWQ16" s="3"/>
      <c r="GWR16" s="3"/>
      <c r="GWS16" s="3"/>
      <c r="GWT16" s="3"/>
      <c r="GWU16" s="3"/>
      <c r="GWV16" s="3"/>
      <c r="GWW16" s="3"/>
      <c r="GWX16" s="3"/>
      <c r="GWY16" s="3"/>
      <c r="GWZ16" s="3"/>
      <c r="GXA16" s="3"/>
      <c r="GXB16" s="3"/>
      <c r="GXC16" s="3"/>
      <c r="GXD16" s="3"/>
      <c r="GXE16" s="3"/>
      <c r="GXF16" s="3"/>
      <c r="GXG16" s="3"/>
      <c r="GXH16" s="3"/>
      <c r="GXI16" s="3"/>
      <c r="GXJ16" s="3"/>
      <c r="GXK16" s="3"/>
      <c r="GXL16" s="3"/>
      <c r="GXM16" s="3"/>
      <c r="GXN16" s="3"/>
      <c r="GXO16" s="3"/>
      <c r="GXP16" s="3"/>
      <c r="GXQ16" s="3"/>
      <c r="GXR16" s="3"/>
      <c r="GXS16" s="3"/>
      <c r="GXT16" s="3"/>
      <c r="GXU16" s="3"/>
      <c r="GXV16" s="3"/>
      <c r="GXW16" s="3"/>
      <c r="GXX16" s="3"/>
      <c r="GXY16" s="3"/>
      <c r="GXZ16" s="3"/>
      <c r="GYA16" s="3"/>
      <c r="GYB16" s="3"/>
      <c r="GYC16" s="3"/>
      <c r="GYD16" s="3"/>
      <c r="GYE16" s="3"/>
      <c r="GYF16" s="3"/>
      <c r="GYG16" s="3"/>
      <c r="GYH16" s="3"/>
      <c r="GYI16" s="3"/>
      <c r="GYJ16" s="3"/>
      <c r="GYK16" s="3"/>
      <c r="GYL16" s="3"/>
      <c r="GYM16" s="3"/>
      <c r="GYN16" s="3"/>
      <c r="GYO16" s="3"/>
      <c r="GYP16" s="3"/>
      <c r="GYQ16" s="3"/>
      <c r="GYR16" s="3"/>
      <c r="GYS16" s="3"/>
      <c r="GYT16" s="3"/>
      <c r="GYU16" s="3"/>
      <c r="GYV16" s="3"/>
      <c r="GYW16" s="3"/>
      <c r="GYX16" s="3"/>
      <c r="GYY16" s="3"/>
      <c r="GYZ16" s="3"/>
      <c r="GZA16" s="3"/>
      <c r="GZB16" s="3"/>
      <c r="GZC16" s="3"/>
      <c r="GZD16" s="3"/>
      <c r="GZE16" s="3"/>
      <c r="GZF16" s="3"/>
      <c r="GZG16" s="3"/>
      <c r="GZH16" s="3"/>
      <c r="GZI16" s="3"/>
      <c r="GZJ16" s="3"/>
      <c r="GZK16" s="3"/>
      <c r="GZL16" s="3"/>
      <c r="GZM16" s="3"/>
      <c r="GZN16" s="3"/>
      <c r="GZO16" s="3"/>
      <c r="GZP16" s="3"/>
      <c r="GZQ16" s="3"/>
      <c r="GZR16" s="3"/>
      <c r="GZS16" s="3"/>
      <c r="GZT16" s="3"/>
      <c r="GZU16" s="3"/>
      <c r="GZV16" s="3"/>
      <c r="GZW16" s="3"/>
      <c r="GZX16" s="3"/>
      <c r="GZY16" s="3"/>
      <c r="GZZ16" s="3"/>
      <c r="HAA16" s="3"/>
      <c r="HAB16" s="3"/>
      <c r="HAC16" s="3"/>
      <c r="HAD16" s="3"/>
      <c r="HAE16" s="3"/>
      <c r="HAF16" s="3"/>
      <c r="HAG16" s="3"/>
      <c r="HAH16" s="3"/>
      <c r="HAI16" s="3"/>
      <c r="HAJ16" s="3"/>
      <c r="HAK16" s="3"/>
      <c r="HAL16" s="3"/>
      <c r="HAM16" s="3"/>
      <c r="HAN16" s="3"/>
      <c r="HAO16" s="3"/>
      <c r="HAP16" s="3"/>
      <c r="HAQ16" s="3"/>
      <c r="HAR16" s="3"/>
      <c r="HAS16" s="3"/>
      <c r="HAT16" s="3"/>
      <c r="HAU16" s="3"/>
      <c r="HAV16" s="3"/>
      <c r="HAW16" s="3"/>
      <c r="HAX16" s="3"/>
      <c r="HAY16" s="3"/>
      <c r="HAZ16" s="3"/>
      <c r="HBA16" s="3"/>
      <c r="HBB16" s="3"/>
      <c r="HBC16" s="3"/>
      <c r="HBD16" s="3"/>
      <c r="HBE16" s="3"/>
      <c r="HBF16" s="3"/>
      <c r="HBG16" s="3"/>
      <c r="HBH16" s="3"/>
      <c r="HBI16" s="3"/>
      <c r="HBJ16" s="3"/>
      <c r="HBK16" s="3"/>
      <c r="HBL16" s="3"/>
      <c r="HBM16" s="3"/>
      <c r="HBN16" s="3"/>
      <c r="HBO16" s="3"/>
      <c r="HBP16" s="3"/>
      <c r="HBQ16" s="3"/>
      <c r="HBR16" s="3"/>
      <c r="HBS16" s="3"/>
      <c r="HBT16" s="3"/>
      <c r="HBU16" s="3"/>
      <c r="HBV16" s="3"/>
      <c r="HBW16" s="3"/>
      <c r="HBX16" s="3"/>
      <c r="HBY16" s="3"/>
      <c r="HBZ16" s="3"/>
      <c r="HCA16" s="3"/>
      <c r="HCB16" s="3"/>
      <c r="HCC16" s="3"/>
      <c r="HCD16" s="3"/>
      <c r="HCE16" s="3"/>
      <c r="HCF16" s="3"/>
      <c r="HCG16" s="3"/>
      <c r="HCH16" s="3"/>
      <c r="HCI16" s="3"/>
      <c r="HCJ16" s="3"/>
      <c r="HCK16" s="3"/>
      <c r="HCL16" s="3"/>
      <c r="HCM16" s="3"/>
      <c r="HCN16" s="3"/>
      <c r="HCO16" s="3"/>
      <c r="HCP16" s="3"/>
      <c r="HCQ16" s="3"/>
      <c r="HCR16" s="3"/>
      <c r="HCS16" s="3"/>
      <c r="HCT16" s="3"/>
      <c r="HCU16" s="3"/>
      <c r="HCV16" s="3"/>
      <c r="HCW16" s="3"/>
      <c r="HCX16" s="3"/>
      <c r="HCY16" s="3"/>
      <c r="HCZ16" s="3"/>
      <c r="HDA16" s="3"/>
      <c r="HDB16" s="3"/>
      <c r="HDC16" s="3"/>
      <c r="HDD16" s="3"/>
      <c r="HDE16" s="3"/>
      <c r="HDF16" s="3"/>
      <c r="HDG16" s="3"/>
      <c r="HDH16" s="3"/>
      <c r="HDI16" s="3"/>
      <c r="HDJ16" s="3"/>
      <c r="HDK16" s="3"/>
      <c r="HDL16" s="3"/>
      <c r="HDM16" s="3"/>
      <c r="HDN16" s="3"/>
      <c r="HDO16" s="3"/>
      <c r="HDP16" s="3"/>
      <c r="HDQ16" s="3"/>
      <c r="HDR16" s="3"/>
      <c r="HDS16" s="3"/>
      <c r="HDT16" s="3"/>
      <c r="HDU16" s="3"/>
      <c r="HDV16" s="3"/>
      <c r="HDW16" s="3"/>
      <c r="HDX16" s="3"/>
      <c r="HDY16" s="3"/>
      <c r="HDZ16" s="3"/>
      <c r="HEA16" s="3"/>
      <c r="HEB16" s="3"/>
      <c r="HEC16" s="3"/>
      <c r="HED16" s="3"/>
      <c r="HEE16" s="3"/>
      <c r="HEF16" s="3"/>
      <c r="HEG16" s="3"/>
      <c r="HEH16" s="3"/>
      <c r="HEI16" s="3"/>
      <c r="HEJ16" s="3"/>
      <c r="HEK16" s="3"/>
      <c r="HEL16" s="3"/>
      <c r="HEM16" s="3"/>
      <c r="HEN16" s="3"/>
      <c r="HEO16" s="3"/>
      <c r="HEP16" s="3"/>
      <c r="HEQ16" s="3"/>
      <c r="HER16" s="3"/>
      <c r="HES16" s="3"/>
      <c r="HET16" s="3"/>
      <c r="HEU16" s="3"/>
      <c r="HEV16" s="3"/>
      <c r="HEW16" s="3"/>
      <c r="HEX16" s="3"/>
      <c r="HEY16" s="3"/>
      <c r="HEZ16" s="3"/>
      <c r="HFA16" s="3"/>
      <c r="HFB16" s="3"/>
      <c r="HFC16" s="3"/>
      <c r="HFD16" s="3"/>
      <c r="HFE16" s="3"/>
      <c r="HFF16" s="3"/>
      <c r="HFG16" s="3"/>
      <c r="HFH16" s="3"/>
      <c r="HFI16" s="3"/>
      <c r="HFJ16" s="3"/>
      <c r="HFK16" s="3"/>
      <c r="HFL16" s="3"/>
      <c r="HFM16" s="3"/>
      <c r="HFN16" s="3"/>
      <c r="HFO16" s="3"/>
      <c r="HFP16" s="3"/>
      <c r="HFQ16" s="3"/>
      <c r="HFR16" s="3"/>
      <c r="HFS16" s="3"/>
      <c r="HFT16" s="3"/>
      <c r="HFU16" s="3"/>
      <c r="HFV16" s="3"/>
      <c r="HFW16" s="3"/>
      <c r="HFX16" s="3"/>
      <c r="HFY16" s="3"/>
      <c r="HFZ16" s="3"/>
      <c r="HGA16" s="3"/>
      <c r="HGB16" s="3"/>
      <c r="HGC16" s="3"/>
      <c r="HGD16" s="3"/>
      <c r="HGE16" s="3"/>
      <c r="HGF16" s="3"/>
      <c r="HGG16" s="3"/>
      <c r="HGH16" s="3"/>
      <c r="HGI16" s="3"/>
      <c r="HGJ16" s="3"/>
      <c r="HGK16" s="3"/>
      <c r="HGL16" s="3"/>
      <c r="HGM16" s="3"/>
      <c r="HGN16" s="3"/>
      <c r="HGO16" s="3"/>
      <c r="HGP16" s="3"/>
      <c r="HGQ16" s="3"/>
      <c r="HGR16" s="3"/>
      <c r="HGS16" s="3"/>
      <c r="HGT16" s="3"/>
      <c r="HGU16" s="3"/>
      <c r="HGV16" s="3"/>
      <c r="HGW16" s="3"/>
      <c r="HGX16" s="3"/>
      <c r="HGY16" s="3"/>
      <c r="HGZ16" s="3"/>
      <c r="HHA16" s="3"/>
      <c r="HHB16" s="3"/>
      <c r="HHC16" s="3"/>
      <c r="HHD16" s="3"/>
      <c r="HHE16" s="3"/>
      <c r="HHF16" s="3"/>
      <c r="HHG16" s="3"/>
      <c r="HHH16" s="3"/>
      <c r="HHI16" s="3"/>
      <c r="HHJ16" s="3"/>
      <c r="HHK16" s="3"/>
      <c r="HHL16" s="3"/>
      <c r="HHM16" s="3"/>
      <c r="HHN16" s="3"/>
      <c r="HHO16" s="3"/>
      <c r="HHP16" s="3"/>
      <c r="HHQ16" s="3"/>
      <c r="HHR16" s="3"/>
      <c r="HHS16" s="3"/>
      <c r="HHT16" s="3"/>
      <c r="HHU16" s="3"/>
      <c r="HHV16" s="3"/>
      <c r="HHW16" s="3"/>
      <c r="HHX16" s="3"/>
      <c r="HHY16" s="3"/>
      <c r="HHZ16" s="3"/>
      <c r="HIA16" s="3"/>
      <c r="HIB16" s="3"/>
      <c r="HIC16" s="3"/>
      <c r="HID16" s="3"/>
      <c r="HIE16" s="3"/>
      <c r="HIF16" s="3"/>
      <c r="HIG16" s="3"/>
      <c r="HIH16" s="3"/>
      <c r="HII16" s="3"/>
      <c r="HIJ16" s="3"/>
      <c r="HIK16" s="3"/>
      <c r="HIL16" s="3"/>
      <c r="HIM16" s="3"/>
      <c r="HIN16" s="3"/>
      <c r="HIO16" s="3"/>
      <c r="HIP16" s="3"/>
      <c r="HIQ16" s="3"/>
      <c r="HIR16" s="3"/>
      <c r="HIS16" s="3"/>
      <c r="HIT16" s="3"/>
      <c r="HIU16" s="3"/>
      <c r="HIV16" s="3"/>
      <c r="HIW16" s="3"/>
      <c r="HIX16" s="3"/>
      <c r="HIY16" s="3"/>
      <c r="HIZ16" s="3"/>
      <c r="HJA16" s="3"/>
      <c r="HJB16" s="3"/>
      <c r="HJC16" s="3"/>
      <c r="HJD16" s="3"/>
      <c r="HJE16" s="3"/>
      <c r="HJF16" s="3"/>
      <c r="HJG16" s="3"/>
      <c r="HJH16" s="3"/>
      <c r="HJI16" s="3"/>
      <c r="HJJ16" s="3"/>
      <c r="HJK16" s="3"/>
      <c r="HJL16" s="3"/>
      <c r="HJM16" s="3"/>
      <c r="HJN16" s="3"/>
      <c r="HJO16" s="3"/>
      <c r="HJP16" s="3"/>
      <c r="HJQ16" s="3"/>
      <c r="HJR16" s="3"/>
      <c r="HJS16" s="3"/>
      <c r="HJT16" s="3"/>
      <c r="HJU16" s="3"/>
      <c r="HJV16" s="3"/>
      <c r="HJW16" s="3"/>
      <c r="HJX16" s="3"/>
      <c r="HJY16" s="3"/>
      <c r="HJZ16" s="3"/>
      <c r="HKA16" s="3"/>
      <c r="HKB16" s="3"/>
      <c r="HKC16" s="3"/>
      <c r="HKD16" s="3"/>
      <c r="HKE16" s="3"/>
      <c r="HKF16" s="3"/>
      <c r="HKG16" s="3"/>
      <c r="HKH16" s="3"/>
      <c r="HKI16" s="3"/>
      <c r="HKJ16" s="3"/>
      <c r="HKK16" s="3"/>
      <c r="HKL16" s="3"/>
      <c r="HKM16" s="3"/>
      <c r="HKN16" s="3"/>
      <c r="HKO16" s="3"/>
      <c r="HKP16" s="3"/>
      <c r="HKQ16" s="3"/>
      <c r="HKR16" s="3"/>
      <c r="HKS16" s="3"/>
      <c r="HKT16" s="3"/>
      <c r="HKU16" s="3"/>
      <c r="HKV16" s="3"/>
      <c r="HKW16" s="3"/>
      <c r="HKX16" s="3"/>
      <c r="HKY16" s="3"/>
      <c r="HKZ16" s="3"/>
      <c r="HLA16" s="3"/>
      <c r="HLB16" s="3"/>
      <c r="HLC16" s="3"/>
      <c r="HLD16" s="3"/>
      <c r="HLE16" s="3"/>
      <c r="HLF16" s="3"/>
      <c r="HLG16" s="3"/>
      <c r="HLH16" s="3"/>
      <c r="HLI16" s="3"/>
      <c r="HLJ16" s="3"/>
      <c r="HLK16" s="3"/>
      <c r="HLL16" s="3"/>
      <c r="HLM16" s="3"/>
      <c r="HLN16" s="3"/>
      <c r="HLO16" s="3"/>
      <c r="HLP16" s="3"/>
      <c r="HLQ16" s="3"/>
      <c r="HLR16" s="3"/>
      <c r="HLS16" s="3"/>
      <c r="HLT16" s="3"/>
      <c r="HLU16" s="3"/>
      <c r="HLV16" s="3"/>
      <c r="HLW16" s="3"/>
      <c r="HLX16" s="3"/>
      <c r="HLY16" s="3"/>
      <c r="HLZ16" s="3"/>
      <c r="HMA16" s="3"/>
      <c r="HMB16" s="3"/>
      <c r="HMC16" s="3"/>
      <c r="HMD16" s="3"/>
      <c r="HME16" s="3"/>
      <c r="HMF16" s="3"/>
      <c r="HMG16" s="3"/>
      <c r="HMH16" s="3"/>
      <c r="HMI16" s="3"/>
      <c r="HMJ16" s="3"/>
      <c r="HMK16" s="3"/>
      <c r="HML16" s="3"/>
      <c r="HMM16" s="3"/>
      <c r="HMN16" s="3"/>
      <c r="HMO16" s="3"/>
      <c r="HMP16" s="3"/>
      <c r="HMQ16" s="3"/>
      <c r="HMR16" s="3"/>
      <c r="HMS16" s="3"/>
      <c r="HMT16" s="3"/>
      <c r="HMU16" s="3"/>
      <c r="HMV16" s="3"/>
      <c r="HMW16" s="3"/>
      <c r="HMX16" s="3"/>
      <c r="HMY16" s="3"/>
      <c r="HMZ16" s="3"/>
      <c r="HNA16" s="3"/>
      <c r="HNB16" s="3"/>
      <c r="HNC16" s="3"/>
      <c r="HND16" s="3"/>
      <c r="HNE16" s="3"/>
      <c r="HNF16" s="3"/>
      <c r="HNG16" s="3"/>
      <c r="HNH16" s="3"/>
      <c r="HNI16" s="3"/>
      <c r="HNJ16" s="3"/>
      <c r="HNK16" s="3"/>
      <c r="HNL16" s="3"/>
      <c r="HNM16" s="3"/>
      <c r="HNN16" s="3"/>
      <c r="HNO16" s="3"/>
      <c r="HNP16" s="3"/>
      <c r="HNQ16" s="3"/>
      <c r="HNR16" s="3"/>
      <c r="HNS16" s="3"/>
      <c r="HNT16" s="3"/>
      <c r="HNU16" s="3"/>
      <c r="HNV16" s="3"/>
      <c r="HNW16" s="3"/>
      <c r="HNX16" s="3"/>
      <c r="HNY16" s="3"/>
      <c r="HNZ16" s="3"/>
      <c r="HOA16" s="3"/>
      <c r="HOB16" s="3"/>
      <c r="HOC16" s="3"/>
      <c r="HOD16" s="3"/>
      <c r="HOE16" s="3"/>
      <c r="HOF16" s="3"/>
      <c r="HOG16" s="3"/>
      <c r="HOH16" s="3"/>
      <c r="HOI16" s="3"/>
      <c r="HOJ16" s="3"/>
      <c r="HOK16" s="3"/>
      <c r="HOL16" s="3"/>
      <c r="HOM16" s="3"/>
      <c r="HON16" s="3"/>
      <c r="HOO16" s="3"/>
      <c r="HOP16" s="3"/>
      <c r="HOQ16" s="3"/>
      <c r="HOR16" s="3"/>
      <c r="HOS16" s="3"/>
      <c r="HOT16" s="3"/>
      <c r="HOU16" s="3"/>
      <c r="HOV16" s="3"/>
      <c r="HOW16" s="3"/>
      <c r="HOX16" s="3"/>
      <c r="HOY16" s="3"/>
      <c r="HOZ16" s="3"/>
      <c r="HPA16" s="3"/>
      <c r="HPB16" s="3"/>
      <c r="HPC16" s="3"/>
      <c r="HPD16" s="3"/>
      <c r="HPE16" s="3"/>
      <c r="HPF16" s="3"/>
      <c r="HPG16" s="3"/>
      <c r="HPH16" s="3"/>
      <c r="HPI16" s="3"/>
      <c r="HPJ16" s="3"/>
      <c r="HPK16" s="3"/>
      <c r="HPL16" s="3"/>
      <c r="HPM16" s="3"/>
      <c r="HPN16" s="3"/>
      <c r="HPO16" s="3"/>
      <c r="HPP16" s="3"/>
      <c r="HPQ16" s="3"/>
      <c r="HPR16" s="3"/>
      <c r="HPS16" s="3"/>
      <c r="HPT16" s="3"/>
      <c r="HPU16" s="3"/>
      <c r="HPV16" s="3"/>
      <c r="HPW16" s="3"/>
      <c r="HPX16" s="3"/>
      <c r="HPY16" s="3"/>
      <c r="HPZ16" s="3"/>
      <c r="HQA16" s="3"/>
      <c r="HQB16" s="3"/>
      <c r="HQC16" s="3"/>
      <c r="HQD16" s="3"/>
      <c r="HQE16" s="3"/>
      <c r="HQF16" s="3"/>
      <c r="HQG16" s="3"/>
      <c r="HQH16" s="3"/>
      <c r="HQI16" s="3"/>
      <c r="HQJ16" s="3"/>
      <c r="HQK16" s="3"/>
      <c r="HQL16" s="3"/>
      <c r="HQM16" s="3"/>
      <c r="HQN16" s="3"/>
      <c r="HQO16" s="3"/>
      <c r="HQP16" s="3"/>
      <c r="HQQ16" s="3"/>
      <c r="HQR16" s="3"/>
      <c r="HQS16" s="3"/>
      <c r="HQT16" s="3"/>
      <c r="HQU16" s="3"/>
      <c r="HQV16" s="3"/>
      <c r="HQW16" s="3"/>
      <c r="HQX16" s="3"/>
      <c r="HQY16" s="3"/>
      <c r="HQZ16" s="3"/>
      <c r="HRA16" s="3"/>
      <c r="HRB16" s="3"/>
      <c r="HRC16" s="3"/>
      <c r="HRD16" s="3"/>
      <c r="HRE16" s="3"/>
      <c r="HRF16" s="3"/>
      <c r="HRG16" s="3"/>
      <c r="HRH16" s="3"/>
      <c r="HRI16" s="3"/>
      <c r="HRJ16" s="3"/>
      <c r="HRK16" s="3"/>
      <c r="HRL16" s="3"/>
      <c r="HRM16" s="3"/>
      <c r="HRN16" s="3"/>
      <c r="HRO16" s="3"/>
      <c r="HRP16" s="3"/>
      <c r="HRQ16" s="3"/>
      <c r="HRR16" s="3"/>
      <c r="HRS16" s="3"/>
      <c r="HRT16" s="3"/>
      <c r="HRU16" s="3"/>
      <c r="HRV16" s="3"/>
      <c r="HRW16" s="3"/>
      <c r="HRX16" s="3"/>
      <c r="HRY16" s="3"/>
      <c r="HRZ16" s="3"/>
      <c r="HSA16" s="3"/>
      <c r="HSB16" s="3"/>
      <c r="HSC16" s="3"/>
      <c r="HSD16" s="3"/>
      <c r="HSE16" s="3"/>
      <c r="HSF16" s="3"/>
      <c r="HSG16" s="3"/>
      <c r="HSH16" s="3"/>
      <c r="HSI16" s="3"/>
      <c r="HSJ16" s="3"/>
      <c r="HSK16" s="3"/>
      <c r="HSL16" s="3"/>
      <c r="HSM16" s="3"/>
      <c r="HSN16" s="3"/>
      <c r="HSO16" s="3"/>
      <c r="HSP16" s="3"/>
      <c r="HSQ16" s="3"/>
      <c r="HSR16" s="3"/>
      <c r="HSS16" s="3"/>
      <c r="HST16" s="3"/>
      <c r="HSU16" s="3"/>
      <c r="HSV16" s="3"/>
      <c r="HSW16" s="3"/>
      <c r="HSX16" s="3"/>
      <c r="HSY16" s="3"/>
      <c r="HSZ16" s="3"/>
      <c r="HTA16" s="3"/>
      <c r="HTB16" s="3"/>
      <c r="HTC16" s="3"/>
      <c r="HTD16" s="3"/>
      <c r="HTE16" s="3"/>
      <c r="HTF16" s="3"/>
      <c r="HTG16" s="3"/>
      <c r="HTH16" s="3"/>
      <c r="HTI16" s="3"/>
      <c r="HTJ16" s="3"/>
      <c r="HTK16" s="3"/>
      <c r="HTL16" s="3"/>
      <c r="HTM16" s="3"/>
      <c r="HTN16" s="3"/>
      <c r="HTO16" s="3"/>
      <c r="HTP16" s="3"/>
      <c r="HTQ16" s="3"/>
      <c r="HTR16" s="3"/>
      <c r="HTS16" s="3"/>
      <c r="HTT16" s="3"/>
      <c r="HTU16" s="3"/>
      <c r="HTV16" s="3"/>
      <c r="HTW16" s="3"/>
      <c r="HTX16" s="3"/>
      <c r="HTY16" s="3"/>
      <c r="HTZ16" s="3"/>
      <c r="HUA16" s="3"/>
      <c r="HUB16" s="3"/>
      <c r="HUC16" s="3"/>
      <c r="HUD16" s="3"/>
      <c r="HUE16" s="3"/>
      <c r="HUF16" s="3"/>
      <c r="HUG16" s="3"/>
      <c r="HUH16" s="3"/>
      <c r="HUI16" s="3"/>
      <c r="HUJ16" s="3"/>
      <c r="HUK16" s="3"/>
      <c r="HUL16" s="3"/>
      <c r="HUM16" s="3"/>
      <c r="HUN16" s="3"/>
      <c r="HUO16" s="3"/>
      <c r="HUP16" s="3"/>
      <c r="HUQ16" s="3"/>
      <c r="HUR16" s="3"/>
      <c r="HUS16" s="3"/>
      <c r="HUT16" s="3"/>
      <c r="HUU16" s="3"/>
      <c r="HUV16" s="3"/>
      <c r="HUW16" s="3"/>
      <c r="HUX16" s="3"/>
      <c r="HUY16" s="3"/>
      <c r="HUZ16" s="3"/>
      <c r="HVA16" s="3"/>
      <c r="HVB16" s="3"/>
      <c r="HVC16" s="3"/>
      <c r="HVD16" s="3"/>
      <c r="HVE16" s="3"/>
      <c r="HVF16" s="3"/>
      <c r="HVG16" s="3"/>
      <c r="HVH16" s="3"/>
      <c r="HVI16" s="3"/>
      <c r="HVJ16" s="3"/>
      <c r="HVK16" s="3"/>
      <c r="HVL16" s="3"/>
      <c r="HVM16" s="3"/>
      <c r="HVN16" s="3"/>
      <c r="HVO16" s="3"/>
      <c r="HVP16" s="3"/>
      <c r="HVQ16" s="3"/>
      <c r="HVR16" s="3"/>
      <c r="HVS16" s="3"/>
      <c r="HVT16" s="3"/>
      <c r="HVU16" s="3"/>
      <c r="HVV16" s="3"/>
      <c r="HVW16" s="3"/>
      <c r="HVX16" s="3"/>
      <c r="HVY16" s="3"/>
      <c r="HVZ16" s="3"/>
      <c r="HWA16" s="3"/>
      <c r="HWB16" s="3"/>
      <c r="HWC16" s="3"/>
      <c r="HWD16" s="3"/>
      <c r="HWE16" s="3"/>
      <c r="HWF16" s="3"/>
      <c r="HWG16" s="3"/>
      <c r="HWH16" s="3"/>
      <c r="HWI16" s="3"/>
      <c r="HWJ16" s="3"/>
      <c r="HWK16" s="3"/>
      <c r="HWL16" s="3"/>
      <c r="HWM16" s="3"/>
      <c r="HWN16" s="3"/>
      <c r="HWO16" s="3"/>
      <c r="HWP16" s="3"/>
      <c r="HWQ16" s="3"/>
      <c r="HWR16" s="3"/>
      <c r="HWS16" s="3"/>
      <c r="HWT16" s="3"/>
      <c r="HWU16" s="3"/>
      <c r="HWV16" s="3"/>
      <c r="HWW16" s="3"/>
      <c r="HWX16" s="3"/>
      <c r="HWY16" s="3"/>
      <c r="HWZ16" s="3"/>
      <c r="HXA16" s="3"/>
      <c r="HXB16" s="3"/>
      <c r="HXC16" s="3"/>
      <c r="HXD16" s="3"/>
      <c r="HXE16" s="3"/>
      <c r="HXF16" s="3"/>
      <c r="HXG16" s="3"/>
      <c r="HXH16" s="3"/>
      <c r="HXI16" s="3"/>
      <c r="HXJ16" s="3"/>
      <c r="HXK16" s="3"/>
      <c r="HXL16" s="3"/>
      <c r="HXM16" s="3"/>
      <c r="HXN16" s="3"/>
      <c r="HXO16" s="3"/>
      <c r="HXP16" s="3"/>
      <c r="HXQ16" s="3"/>
      <c r="HXR16" s="3"/>
      <c r="HXS16" s="3"/>
      <c r="HXT16" s="3"/>
      <c r="HXU16" s="3"/>
      <c r="HXV16" s="3"/>
      <c r="HXW16" s="3"/>
      <c r="HXX16" s="3"/>
      <c r="HXY16" s="3"/>
      <c r="HXZ16" s="3"/>
      <c r="HYA16" s="3"/>
      <c r="HYB16" s="3"/>
      <c r="HYC16" s="3"/>
      <c r="HYD16" s="3"/>
      <c r="HYE16" s="3"/>
      <c r="HYF16" s="3"/>
      <c r="HYG16" s="3"/>
      <c r="HYH16" s="3"/>
      <c r="HYI16" s="3"/>
      <c r="HYJ16" s="3"/>
      <c r="HYK16" s="3"/>
      <c r="HYL16" s="3"/>
      <c r="HYM16" s="3"/>
      <c r="HYN16" s="3"/>
      <c r="HYO16" s="3"/>
      <c r="HYP16" s="3"/>
      <c r="HYQ16" s="3"/>
      <c r="HYR16" s="3"/>
      <c r="HYS16" s="3"/>
      <c r="HYT16" s="3"/>
      <c r="HYU16" s="3"/>
      <c r="HYV16" s="3"/>
      <c r="HYW16" s="3"/>
      <c r="HYX16" s="3"/>
      <c r="HYY16" s="3"/>
      <c r="HYZ16" s="3"/>
      <c r="HZA16" s="3"/>
      <c r="HZB16" s="3"/>
      <c r="HZC16" s="3"/>
      <c r="HZD16" s="3"/>
      <c r="HZE16" s="3"/>
      <c r="HZF16" s="3"/>
      <c r="HZG16" s="3"/>
      <c r="HZH16" s="3"/>
      <c r="HZI16" s="3"/>
      <c r="HZJ16" s="3"/>
      <c r="HZK16" s="3"/>
      <c r="HZL16" s="3"/>
      <c r="HZM16" s="3"/>
      <c r="HZN16" s="3"/>
      <c r="HZO16" s="3"/>
      <c r="HZP16" s="3"/>
      <c r="HZQ16" s="3"/>
      <c r="HZR16" s="3"/>
      <c r="HZS16" s="3"/>
      <c r="HZT16" s="3"/>
      <c r="HZU16" s="3"/>
      <c r="HZV16" s="3"/>
      <c r="HZW16" s="3"/>
      <c r="HZX16" s="3"/>
      <c r="HZY16" s="3"/>
      <c r="HZZ16" s="3"/>
      <c r="IAA16" s="3"/>
      <c r="IAB16" s="3"/>
      <c r="IAC16" s="3"/>
      <c r="IAD16" s="3"/>
      <c r="IAE16" s="3"/>
      <c r="IAF16" s="3"/>
      <c r="IAG16" s="3"/>
      <c r="IAH16" s="3"/>
      <c r="IAI16" s="3"/>
      <c r="IAJ16" s="3"/>
      <c r="IAK16" s="3"/>
      <c r="IAL16" s="3"/>
      <c r="IAM16" s="3"/>
      <c r="IAN16" s="3"/>
      <c r="IAO16" s="3"/>
      <c r="IAP16" s="3"/>
      <c r="IAQ16" s="3"/>
      <c r="IAR16" s="3"/>
      <c r="IAS16" s="3"/>
      <c r="IAT16" s="3"/>
      <c r="IAU16" s="3"/>
      <c r="IAV16" s="3"/>
      <c r="IAW16" s="3"/>
      <c r="IAX16" s="3"/>
      <c r="IAY16" s="3"/>
      <c r="IAZ16" s="3"/>
      <c r="IBA16" s="3"/>
      <c r="IBB16" s="3"/>
      <c r="IBC16" s="3"/>
      <c r="IBD16" s="3"/>
      <c r="IBE16" s="3"/>
      <c r="IBF16" s="3"/>
      <c r="IBG16" s="3"/>
      <c r="IBH16" s="3"/>
      <c r="IBI16" s="3"/>
      <c r="IBJ16" s="3"/>
      <c r="IBK16" s="3"/>
      <c r="IBL16" s="3"/>
      <c r="IBM16" s="3"/>
      <c r="IBN16" s="3"/>
      <c r="IBO16" s="3"/>
      <c r="IBP16" s="3"/>
      <c r="IBQ16" s="3"/>
      <c r="IBR16" s="3"/>
      <c r="IBS16" s="3"/>
      <c r="IBT16" s="3"/>
      <c r="IBU16" s="3"/>
      <c r="IBV16" s="3"/>
      <c r="IBW16" s="3"/>
      <c r="IBX16" s="3"/>
      <c r="IBY16" s="3"/>
      <c r="IBZ16" s="3"/>
      <c r="ICA16" s="3"/>
      <c r="ICB16" s="3"/>
      <c r="ICC16" s="3"/>
      <c r="ICD16" s="3"/>
      <c r="ICE16" s="3"/>
      <c r="ICF16" s="3"/>
      <c r="ICG16" s="3"/>
      <c r="ICH16" s="3"/>
      <c r="ICI16" s="3"/>
      <c r="ICJ16" s="3"/>
      <c r="ICK16" s="3"/>
      <c r="ICL16" s="3"/>
      <c r="ICM16" s="3"/>
      <c r="ICN16" s="3"/>
      <c r="ICO16" s="3"/>
      <c r="ICP16" s="3"/>
      <c r="ICQ16" s="3"/>
      <c r="ICR16" s="3"/>
      <c r="ICS16" s="3"/>
      <c r="ICT16" s="3"/>
      <c r="ICU16" s="3"/>
      <c r="ICV16" s="3"/>
      <c r="ICW16" s="3"/>
      <c r="ICX16" s="3"/>
      <c r="ICY16" s="3"/>
      <c r="ICZ16" s="3"/>
      <c r="IDA16" s="3"/>
      <c r="IDB16" s="3"/>
      <c r="IDC16" s="3"/>
      <c r="IDD16" s="3"/>
      <c r="IDE16" s="3"/>
      <c r="IDF16" s="3"/>
      <c r="IDG16" s="3"/>
      <c r="IDH16" s="3"/>
      <c r="IDI16" s="3"/>
      <c r="IDJ16" s="3"/>
      <c r="IDK16" s="3"/>
      <c r="IDL16" s="3"/>
      <c r="IDM16" s="3"/>
      <c r="IDN16" s="3"/>
      <c r="IDO16" s="3"/>
      <c r="IDP16" s="3"/>
      <c r="IDQ16" s="3"/>
      <c r="IDR16" s="3"/>
      <c r="IDS16" s="3"/>
      <c r="IDT16" s="3"/>
      <c r="IDU16" s="3"/>
      <c r="IDV16" s="3"/>
      <c r="IDW16" s="3"/>
      <c r="IDX16" s="3"/>
      <c r="IDY16" s="3"/>
      <c r="IDZ16" s="3"/>
      <c r="IEA16" s="3"/>
      <c r="IEB16" s="3"/>
      <c r="IEC16" s="3"/>
      <c r="IED16" s="3"/>
      <c r="IEE16" s="3"/>
      <c r="IEF16" s="3"/>
      <c r="IEG16" s="3"/>
      <c r="IEH16" s="3"/>
      <c r="IEI16" s="3"/>
      <c r="IEJ16" s="3"/>
      <c r="IEK16" s="3"/>
      <c r="IEL16" s="3"/>
      <c r="IEM16" s="3"/>
      <c r="IEN16" s="3"/>
      <c r="IEO16" s="3"/>
      <c r="IEP16" s="3"/>
      <c r="IEQ16" s="3"/>
      <c r="IER16" s="3"/>
      <c r="IES16" s="3"/>
      <c r="IET16" s="3"/>
      <c r="IEU16" s="3"/>
      <c r="IEV16" s="3"/>
      <c r="IEW16" s="3"/>
      <c r="IEX16" s="3"/>
      <c r="IEY16" s="3"/>
      <c r="IEZ16" s="3"/>
      <c r="IFA16" s="3"/>
      <c r="IFB16" s="3"/>
      <c r="IFC16" s="3"/>
      <c r="IFD16" s="3"/>
      <c r="IFE16" s="3"/>
      <c r="IFF16" s="3"/>
      <c r="IFG16" s="3"/>
      <c r="IFH16" s="3"/>
      <c r="IFI16" s="3"/>
      <c r="IFJ16" s="3"/>
      <c r="IFK16" s="3"/>
      <c r="IFL16" s="3"/>
      <c r="IFM16" s="3"/>
      <c r="IFN16" s="3"/>
      <c r="IFO16" s="3"/>
      <c r="IFP16" s="3"/>
      <c r="IFQ16" s="3"/>
      <c r="IFR16" s="3"/>
      <c r="IFS16" s="3"/>
      <c r="IFT16" s="3"/>
      <c r="IFU16" s="3"/>
      <c r="IFV16" s="3"/>
      <c r="IFW16" s="3"/>
      <c r="IFX16" s="3"/>
      <c r="IFY16" s="3"/>
      <c r="IFZ16" s="3"/>
      <c r="IGA16" s="3"/>
      <c r="IGB16" s="3"/>
      <c r="IGC16" s="3"/>
      <c r="IGD16" s="3"/>
      <c r="IGE16" s="3"/>
      <c r="IGF16" s="3"/>
      <c r="IGG16" s="3"/>
      <c r="IGH16" s="3"/>
      <c r="IGI16" s="3"/>
      <c r="IGJ16" s="3"/>
      <c r="IGK16" s="3"/>
      <c r="IGL16" s="3"/>
      <c r="IGM16" s="3"/>
      <c r="IGN16" s="3"/>
      <c r="IGO16" s="3"/>
      <c r="IGP16" s="3"/>
      <c r="IGQ16" s="3"/>
      <c r="IGR16" s="3"/>
      <c r="IGS16" s="3"/>
      <c r="IGT16" s="3"/>
      <c r="IGU16" s="3"/>
      <c r="IGV16" s="3"/>
      <c r="IGW16" s="3"/>
      <c r="IGX16" s="3"/>
      <c r="IGY16" s="3"/>
      <c r="IGZ16" s="3"/>
      <c r="IHA16" s="3"/>
      <c r="IHB16" s="3"/>
      <c r="IHC16" s="3"/>
      <c r="IHD16" s="3"/>
      <c r="IHE16" s="3"/>
      <c r="IHF16" s="3"/>
      <c r="IHG16" s="3"/>
      <c r="IHH16" s="3"/>
      <c r="IHI16" s="3"/>
      <c r="IHJ16" s="3"/>
      <c r="IHK16" s="3"/>
      <c r="IHL16" s="3"/>
      <c r="IHM16" s="3"/>
      <c r="IHN16" s="3"/>
      <c r="IHO16" s="3"/>
      <c r="IHP16" s="3"/>
      <c r="IHQ16" s="3"/>
      <c r="IHR16" s="3"/>
      <c r="IHS16" s="3"/>
      <c r="IHT16" s="3"/>
      <c r="IHU16" s="3"/>
      <c r="IHV16" s="3"/>
      <c r="IHW16" s="3"/>
      <c r="IHX16" s="3"/>
      <c r="IHY16" s="3"/>
      <c r="IHZ16" s="3"/>
      <c r="IIA16" s="3"/>
      <c r="IIB16" s="3"/>
      <c r="IIC16" s="3"/>
      <c r="IID16" s="3"/>
      <c r="IIE16" s="3"/>
      <c r="IIF16" s="3"/>
      <c r="IIG16" s="3"/>
      <c r="IIH16" s="3"/>
      <c r="III16" s="3"/>
      <c r="IIJ16" s="3"/>
      <c r="IIK16" s="3"/>
      <c r="IIL16" s="3"/>
      <c r="IIM16" s="3"/>
      <c r="IIN16" s="3"/>
      <c r="IIO16" s="3"/>
      <c r="IIP16" s="3"/>
      <c r="IIQ16" s="3"/>
      <c r="IIR16" s="3"/>
      <c r="IIS16" s="3"/>
      <c r="IIT16" s="3"/>
      <c r="IIU16" s="3"/>
      <c r="IIV16" s="3"/>
      <c r="IIW16" s="3"/>
      <c r="IIX16" s="3"/>
      <c r="IIY16" s="3"/>
      <c r="IIZ16" s="3"/>
      <c r="IJA16" s="3"/>
      <c r="IJB16" s="3"/>
      <c r="IJC16" s="3"/>
      <c r="IJD16" s="3"/>
      <c r="IJE16" s="3"/>
      <c r="IJF16" s="3"/>
      <c r="IJG16" s="3"/>
      <c r="IJH16" s="3"/>
      <c r="IJI16" s="3"/>
      <c r="IJJ16" s="3"/>
      <c r="IJK16" s="3"/>
      <c r="IJL16" s="3"/>
      <c r="IJM16" s="3"/>
      <c r="IJN16" s="3"/>
      <c r="IJO16" s="3"/>
      <c r="IJP16" s="3"/>
      <c r="IJQ16" s="3"/>
      <c r="IJR16" s="3"/>
      <c r="IJS16" s="3"/>
      <c r="IJT16" s="3"/>
      <c r="IJU16" s="3"/>
      <c r="IJV16" s="3"/>
      <c r="IJW16" s="3"/>
      <c r="IJX16" s="3"/>
      <c r="IJY16" s="3"/>
      <c r="IJZ16" s="3"/>
      <c r="IKA16" s="3"/>
      <c r="IKB16" s="3"/>
      <c r="IKC16" s="3"/>
      <c r="IKD16" s="3"/>
      <c r="IKE16" s="3"/>
      <c r="IKF16" s="3"/>
      <c r="IKG16" s="3"/>
      <c r="IKH16" s="3"/>
      <c r="IKI16" s="3"/>
      <c r="IKJ16" s="3"/>
      <c r="IKK16" s="3"/>
      <c r="IKL16" s="3"/>
      <c r="IKM16" s="3"/>
      <c r="IKN16" s="3"/>
      <c r="IKO16" s="3"/>
      <c r="IKP16" s="3"/>
      <c r="IKQ16" s="3"/>
      <c r="IKR16" s="3"/>
      <c r="IKS16" s="3"/>
      <c r="IKT16" s="3"/>
      <c r="IKU16" s="3"/>
      <c r="IKV16" s="3"/>
      <c r="IKW16" s="3"/>
      <c r="IKX16" s="3"/>
      <c r="IKY16" s="3"/>
      <c r="IKZ16" s="3"/>
      <c r="ILA16" s="3"/>
      <c r="ILB16" s="3"/>
      <c r="ILC16" s="3"/>
      <c r="ILD16" s="3"/>
      <c r="ILE16" s="3"/>
      <c r="ILF16" s="3"/>
      <c r="ILG16" s="3"/>
      <c r="ILH16" s="3"/>
      <c r="ILI16" s="3"/>
      <c r="ILJ16" s="3"/>
      <c r="ILK16" s="3"/>
      <c r="ILL16" s="3"/>
      <c r="ILM16" s="3"/>
      <c r="ILN16" s="3"/>
      <c r="ILO16" s="3"/>
      <c r="ILP16" s="3"/>
      <c r="ILQ16" s="3"/>
      <c r="ILR16" s="3"/>
      <c r="ILS16" s="3"/>
      <c r="ILT16" s="3"/>
      <c r="ILU16" s="3"/>
      <c r="ILV16" s="3"/>
      <c r="ILW16" s="3"/>
      <c r="ILX16" s="3"/>
      <c r="ILY16" s="3"/>
      <c r="ILZ16" s="3"/>
      <c r="IMA16" s="3"/>
      <c r="IMB16" s="3"/>
      <c r="IMC16" s="3"/>
      <c r="IMD16" s="3"/>
      <c r="IME16" s="3"/>
      <c r="IMF16" s="3"/>
      <c r="IMG16" s="3"/>
      <c r="IMH16" s="3"/>
      <c r="IMI16" s="3"/>
      <c r="IMJ16" s="3"/>
      <c r="IMK16" s="3"/>
      <c r="IML16" s="3"/>
      <c r="IMM16" s="3"/>
      <c r="IMN16" s="3"/>
      <c r="IMO16" s="3"/>
      <c r="IMP16" s="3"/>
      <c r="IMQ16" s="3"/>
      <c r="IMR16" s="3"/>
      <c r="IMS16" s="3"/>
      <c r="IMT16" s="3"/>
      <c r="IMU16" s="3"/>
      <c r="IMV16" s="3"/>
      <c r="IMW16" s="3"/>
      <c r="IMX16" s="3"/>
      <c r="IMY16" s="3"/>
      <c r="IMZ16" s="3"/>
      <c r="INA16" s="3"/>
      <c r="INB16" s="3"/>
      <c r="INC16" s="3"/>
      <c r="IND16" s="3"/>
      <c r="INE16" s="3"/>
      <c r="INF16" s="3"/>
      <c r="ING16" s="3"/>
      <c r="INH16" s="3"/>
      <c r="INI16" s="3"/>
      <c r="INJ16" s="3"/>
      <c r="INK16" s="3"/>
      <c r="INL16" s="3"/>
      <c r="INM16" s="3"/>
      <c r="INN16" s="3"/>
      <c r="INO16" s="3"/>
      <c r="INP16" s="3"/>
      <c r="INQ16" s="3"/>
      <c r="INR16" s="3"/>
      <c r="INS16" s="3"/>
      <c r="INT16" s="3"/>
      <c r="INU16" s="3"/>
      <c r="INV16" s="3"/>
      <c r="INW16" s="3"/>
      <c r="INX16" s="3"/>
      <c r="INY16" s="3"/>
      <c r="INZ16" s="3"/>
      <c r="IOA16" s="3"/>
      <c r="IOB16" s="3"/>
      <c r="IOC16" s="3"/>
      <c r="IOD16" s="3"/>
      <c r="IOE16" s="3"/>
      <c r="IOF16" s="3"/>
      <c r="IOG16" s="3"/>
      <c r="IOH16" s="3"/>
      <c r="IOI16" s="3"/>
      <c r="IOJ16" s="3"/>
      <c r="IOK16" s="3"/>
      <c r="IOL16" s="3"/>
      <c r="IOM16" s="3"/>
      <c r="ION16" s="3"/>
      <c r="IOO16" s="3"/>
      <c r="IOP16" s="3"/>
      <c r="IOQ16" s="3"/>
      <c r="IOR16" s="3"/>
      <c r="IOS16" s="3"/>
      <c r="IOT16" s="3"/>
      <c r="IOU16" s="3"/>
      <c r="IOV16" s="3"/>
      <c r="IOW16" s="3"/>
      <c r="IOX16" s="3"/>
      <c r="IOY16" s="3"/>
      <c r="IOZ16" s="3"/>
      <c r="IPA16" s="3"/>
      <c r="IPB16" s="3"/>
      <c r="IPC16" s="3"/>
      <c r="IPD16" s="3"/>
      <c r="IPE16" s="3"/>
      <c r="IPF16" s="3"/>
      <c r="IPG16" s="3"/>
      <c r="IPH16" s="3"/>
      <c r="IPI16" s="3"/>
      <c r="IPJ16" s="3"/>
      <c r="IPK16" s="3"/>
      <c r="IPL16" s="3"/>
      <c r="IPM16" s="3"/>
      <c r="IPN16" s="3"/>
      <c r="IPO16" s="3"/>
      <c r="IPP16" s="3"/>
      <c r="IPQ16" s="3"/>
      <c r="IPR16" s="3"/>
      <c r="IPS16" s="3"/>
      <c r="IPT16" s="3"/>
      <c r="IPU16" s="3"/>
      <c r="IPV16" s="3"/>
      <c r="IPW16" s="3"/>
      <c r="IPX16" s="3"/>
      <c r="IPY16" s="3"/>
      <c r="IPZ16" s="3"/>
      <c r="IQA16" s="3"/>
      <c r="IQB16" s="3"/>
      <c r="IQC16" s="3"/>
      <c r="IQD16" s="3"/>
      <c r="IQE16" s="3"/>
      <c r="IQF16" s="3"/>
      <c r="IQG16" s="3"/>
      <c r="IQH16" s="3"/>
      <c r="IQI16" s="3"/>
      <c r="IQJ16" s="3"/>
      <c r="IQK16" s="3"/>
      <c r="IQL16" s="3"/>
      <c r="IQM16" s="3"/>
      <c r="IQN16" s="3"/>
      <c r="IQO16" s="3"/>
      <c r="IQP16" s="3"/>
      <c r="IQQ16" s="3"/>
      <c r="IQR16" s="3"/>
      <c r="IQS16" s="3"/>
      <c r="IQT16" s="3"/>
      <c r="IQU16" s="3"/>
      <c r="IQV16" s="3"/>
      <c r="IQW16" s="3"/>
      <c r="IQX16" s="3"/>
      <c r="IQY16" s="3"/>
      <c r="IQZ16" s="3"/>
      <c r="IRA16" s="3"/>
      <c r="IRB16" s="3"/>
      <c r="IRC16" s="3"/>
      <c r="IRD16" s="3"/>
      <c r="IRE16" s="3"/>
      <c r="IRF16" s="3"/>
      <c r="IRG16" s="3"/>
      <c r="IRH16" s="3"/>
      <c r="IRI16" s="3"/>
      <c r="IRJ16" s="3"/>
      <c r="IRK16" s="3"/>
      <c r="IRL16" s="3"/>
      <c r="IRM16" s="3"/>
      <c r="IRN16" s="3"/>
      <c r="IRO16" s="3"/>
      <c r="IRP16" s="3"/>
      <c r="IRQ16" s="3"/>
      <c r="IRR16" s="3"/>
      <c r="IRS16" s="3"/>
      <c r="IRT16" s="3"/>
      <c r="IRU16" s="3"/>
      <c r="IRV16" s="3"/>
      <c r="IRW16" s="3"/>
      <c r="IRX16" s="3"/>
      <c r="IRY16" s="3"/>
      <c r="IRZ16" s="3"/>
      <c r="ISA16" s="3"/>
      <c r="ISB16" s="3"/>
      <c r="ISC16" s="3"/>
      <c r="ISD16" s="3"/>
      <c r="ISE16" s="3"/>
      <c r="ISF16" s="3"/>
      <c r="ISG16" s="3"/>
      <c r="ISH16" s="3"/>
      <c r="ISI16" s="3"/>
      <c r="ISJ16" s="3"/>
      <c r="ISK16" s="3"/>
      <c r="ISL16" s="3"/>
      <c r="ISM16" s="3"/>
      <c r="ISN16" s="3"/>
      <c r="ISO16" s="3"/>
      <c r="ISP16" s="3"/>
      <c r="ISQ16" s="3"/>
      <c r="ISR16" s="3"/>
      <c r="ISS16" s="3"/>
      <c r="IST16" s="3"/>
      <c r="ISU16" s="3"/>
      <c r="ISV16" s="3"/>
      <c r="ISW16" s="3"/>
      <c r="ISX16" s="3"/>
      <c r="ISY16" s="3"/>
      <c r="ISZ16" s="3"/>
      <c r="ITA16" s="3"/>
      <c r="ITB16" s="3"/>
      <c r="ITC16" s="3"/>
      <c r="ITD16" s="3"/>
      <c r="ITE16" s="3"/>
      <c r="ITF16" s="3"/>
      <c r="ITG16" s="3"/>
      <c r="ITH16" s="3"/>
      <c r="ITI16" s="3"/>
      <c r="ITJ16" s="3"/>
      <c r="ITK16" s="3"/>
      <c r="ITL16" s="3"/>
      <c r="ITM16" s="3"/>
      <c r="ITN16" s="3"/>
      <c r="ITO16" s="3"/>
      <c r="ITP16" s="3"/>
      <c r="ITQ16" s="3"/>
      <c r="ITR16" s="3"/>
      <c r="ITS16" s="3"/>
      <c r="ITT16" s="3"/>
      <c r="ITU16" s="3"/>
      <c r="ITV16" s="3"/>
      <c r="ITW16" s="3"/>
      <c r="ITX16" s="3"/>
      <c r="ITY16" s="3"/>
      <c r="ITZ16" s="3"/>
      <c r="IUA16" s="3"/>
      <c r="IUB16" s="3"/>
      <c r="IUC16" s="3"/>
      <c r="IUD16" s="3"/>
      <c r="IUE16" s="3"/>
      <c r="IUF16" s="3"/>
      <c r="IUG16" s="3"/>
      <c r="IUH16" s="3"/>
      <c r="IUI16" s="3"/>
      <c r="IUJ16" s="3"/>
      <c r="IUK16" s="3"/>
      <c r="IUL16" s="3"/>
      <c r="IUM16" s="3"/>
      <c r="IUN16" s="3"/>
      <c r="IUO16" s="3"/>
      <c r="IUP16" s="3"/>
      <c r="IUQ16" s="3"/>
      <c r="IUR16" s="3"/>
      <c r="IUS16" s="3"/>
      <c r="IUT16" s="3"/>
      <c r="IUU16" s="3"/>
      <c r="IUV16" s="3"/>
      <c r="IUW16" s="3"/>
      <c r="IUX16" s="3"/>
      <c r="IUY16" s="3"/>
      <c r="IUZ16" s="3"/>
      <c r="IVA16" s="3"/>
      <c r="IVB16" s="3"/>
      <c r="IVC16" s="3"/>
      <c r="IVD16" s="3"/>
      <c r="IVE16" s="3"/>
      <c r="IVF16" s="3"/>
      <c r="IVG16" s="3"/>
      <c r="IVH16" s="3"/>
      <c r="IVI16" s="3"/>
      <c r="IVJ16" s="3"/>
      <c r="IVK16" s="3"/>
      <c r="IVL16" s="3"/>
      <c r="IVM16" s="3"/>
      <c r="IVN16" s="3"/>
      <c r="IVO16" s="3"/>
      <c r="IVP16" s="3"/>
      <c r="IVQ16" s="3"/>
      <c r="IVR16" s="3"/>
      <c r="IVS16" s="3"/>
      <c r="IVT16" s="3"/>
      <c r="IVU16" s="3"/>
      <c r="IVV16" s="3"/>
      <c r="IVW16" s="3"/>
      <c r="IVX16" s="3"/>
      <c r="IVY16" s="3"/>
      <c r="IVZ16" s="3"/>
      <c r="IWA16" s="3"/>
      <c r="IWB16" s="3"/>
      <c r="IWC16" s="3"/>
      <c r="IWD16" s="3"/>
      <c r="IWE16" s="3"/>
      <c r="IWF16" s="3"/>
      <c r="IWG16" s="3"/>
      <c r="IWH16" s="3"/>
      <c r="IWI16" s="3"/>
      <c r="IWJ16" s="3"/>
      <c r="IWK16" s="3"/>
      <c r="IWL16" s="3"/>
      <c r="IWM16" s="3"/>
      <c r="IWN16" s="3"/>
      <c r="IWO16" s="3"/>
      <c r="IWP16" s="3"/>
      <c r="IWQ16" s="3"/>
      <c r="IWR16" s="3"/>
      <c r="IWS16" s="3"/>
      <c r="IWT16" s="3"/>
      <c r="IWU16" s="3"/>
      <c r="IWV16" s="3"/>
      <c r="IWW16" s="3"/>
      <c r="IWX16" s="3"/>
      <c r="IWY16" s="3"/>
      <c r="IWZ16" s="3"/>
      <c r="IXA16" s="3"/>
      <c r="IXB16" s="3"/>
      <c r="IXC16" s="3"/>
      <c r="IXD16" s="3"/>
      <c r="IXE16" s="3"/>
      <c r="IXF16" s="3"/>
      <c r="IXG16" s="3"/>
      <c r="IXH16" s="3"/>
      <c r="IXI16" s="3"/>
      <c r="IXJ16" s="3"/>
      <c r="IXK16" s="3"/>
      <c r="IXL16" s="3"/>
      <c r="IXM16" s="3"/>
      <c r="IXN16" s="3"/>
      <c r="IXO16" s="3"/>
      <c r="IXP16" s="3"/>
      <c r="IXQ16" s="3"/>
      <c r="IXR16" s="3"/>
      <c r="IXS16" s="3"/>
      <c r="IXT16" s="3"/>
      <c r="IXU16" s="3"/>
      <c r="IXV16" s="3"/>
      <c r="IXW16" s="3"/>
      <c r="IXX16" s="3"/>
      <c r="IXY16" s="3"/>
      <c r="IXZ16" s="3"/>
      <c r="IYA16" s="3"/>
      <c r="IYB16" s="3"/>
      <c r="IYC16" s="3"/>
      <c r="IYD16" s="3"/>
      <c r="IYE16" s="3"/>
      <c r="IYF16" s="3"/>
      <c r="IYG16" s="3"/>
      <c r="IYH16" s="3"/>
      <c r="IYI16" s="3"/>
      <c r="IYJ16" s="3"/>
      <c r="IYK16" s="3"/>
      <c r="IYL16" s="3"/>
      <c r="IYM16" s="3"/>
      <c r="IYN16" s="3"/>
      <c r="IYO16" s="3"/>
      <c r="IYP16" s="3"/>
      <c r="IYQ16" s="3"/>
      <c r="IYR16" s="3"/>
      <c r="IYS16" s="3"/>
      <c r="IYT16" s="3"/>
      <c r="IYU16" s="3"/>
      <c r="IYV16" s="3"/>
      <c r="IYW16" s="3"/>
      <c r="IYX16" s="3"/>
      <c r="IYY16" s="3"/>
      <c r="IYZ16" s="3"/>
      <c r="IZA16" s="3"/>
      <c r="IZB16" s="3"/>
      <c r="IZC16" s="3"/>
      <c r="IZD16" s="3"/>
      <c r="IZE16" s="3"/>
      <c r="IZF16" s="3"/>
      <c r="IZG16" s="3"/>
      <c r="IZH16" s="3"/>
      <c r="IZI16" s="3"/>
      <c r="IZJ16" s="3"/>
      <c r="IZK16" s="3"/>
      <c r="IZL16" s="3"/>
      <c r="IZM16" s="3"/>
      <c r="IZN16" s="3"/>
      <c r="IZO16" s="3"/>
      <c r="IZP16" s="3"/>
      <c r="IZQ16" s="3"/>
      <c r="IZR16" s="3"/>
      <c r="IZS16" s="3"/>
      <c r="IZT16" s="3"/>
      <c r="IZU16" s="3"/>
      <c r="IZV16" s="3"/>
      <c r="IZW16" s="3"/>
      <c r="IZX16" s="3"/>
      <c r="IZY16" s="3"/>
      <c r="IZZ16" s="3"/>
      <c r="JAA16" s="3"/>
      <c r="JAB16" s="3"/>
      <c r="JAC16" s="3"/>
      <c r="JAD16" s="3"/>
      <c r="JAE16" s="3"/>
      <c r="JAF16" s="3"/>
      <c r="JAG16" s="3"/>
      <c r="JAH16" s="3"/>
      <c r="JAI16" s="3"/>
      <c r="JAJ16" s="3"/>
      <c r="JAK16" s="3"/>
      <c r="JAL16" s="3"/>
      <c r="JAM16" s="3"/>
      <c r="JAN16" s="3"/>
      <c r="JAO16" s="3"/>
      <c r="JAP16" s="3"/>
      <c r="JAQ16" s="3"/>
      <c r="JAR16" s="3"/>
      <c r="JAS16" s="3"/>
      <c r="JAT16" s="3"/>
      <c r="JAU16" s="3"/>
      <c r="JAV16" s="3"/>
      <c r="JAW16" s="3"/>
      <c r="JAX16" s="3"/>
      <c r="JAY16" s="3"/>
      <c r="JAZ16" s="3"/>
      <c r="JBA16" s="3"/>
      <c r="JBB16" s="3"/>
      <c r="JBC16" s="3"/>
      <c r="JBD16" s="3"/>
      <c r="JBE16" s="3"/>
      <c r="JBF16" s="3"/>
      <c r="JBG16" s="3"/>
      <c r="JBH16" s="3"/>
      <c r="JBI16" s="3"/>
      <c r="JBJ16" s="3"/>
      <c r="JBK16" s="3"/>
      <c r="JBL16" s="3"/>
      <c r="JBM16" s="3"/>
      <c r="JBN16" s="3"/>
      <c r="JBO16" s="3"/>
      <c r="JBP16" s="3"/>
      <c r="JBQ16" s="3"/>
      <c r="JBR16" s="3"/>
      <c r="JBS16" s="3"/>
      <c r="JBT16" s="3"/>
      <c r="JBU16" s="3"/>
      <c r="JBV16" s="3"/>
      <c r="JBW16" s="3"/>
      <c r="JBX16" s="3"/>
      <c r="JBY16" s="3"/>
      <c r="JBZ16" s="3"/>
      <c r="JCA16" s="3"/>
      <c r="JCB16" s="3"/>
      <c r="JCC16" s="3"/>
      <c r="JCD16" s="3"/>
      <c r="JCE16" s="3"/>
      <c r="JCF16" s="3"/>
      <c r="JCG16" s="3"/>
      <c r="JCH16" s="3"/>
      <c r="JCI16" s="3"/>
      <c r="JCJ16" s="3"/>
      <c r="JCK16" s="3"/>
      <c r="JCL16" s="3"/>
      <c r="JCM16" s="3"/>
      <c r="JCN16" s="3"/>
      <c r="JCO16" s="3"/>
      <c r="JCP16" s="3"/>
      <c r="JCQ16" s="3"/>
      <c r="JCR16" s="3"/>
      <c r="JCS16" s="3"/>
      <c r="JCT16" s="3"/>
      <c r="JCU16" s="3"/>
      <c r="JCV16" s="3"/>
      <c r="JCW16" s="3"/>
      <c r="JCX16" s="3"/>
      <c r="JCY16" s="3"/>
      <c r="JCZ16" s="3"/>
      <c r="JDA16" s="3"/>
      <c r="JDB16" s="3"/>
      <c r="JDC16" s="3"/>
      <c r="JDD16" s="3"/>
      <c r="JDE16" s="3"/>
      <c r="JDF16" s="3"/>
      <c r="JDG16" s="3"/>
      <c r="JDH16" s="3"/>
      <c r="JDI16" s="3"/>
      <c r="JDJ16" s="3"/>
      <c r="JDK16" s="3"/>
      <c r="JDL16" s="3"/>
      <c r="JDM16" s="3"/>
      <c r="JDN16" s="3"/>
      <c r="JDO16" s="3"/>
      <c r="JDP16" s="3"/>
      <c r="JDQ16" s="3"/>
      <c r="JDR16" s="3"/>
      <c r="JDS16" s="3"/>
      <c r="JDT16" s="3"/>
      <c r="JDU16" s="3"/>
      <c r="JDV16" s="3"/>
      <c r="JDW16" s="3"/>
      <c r="JDX16" s="3"/>
      <c r="JDY16" s="3"/>
      <c r="JDZ16" s="3"/>
      <c r="JEA16" s="3"/>
      <c r="JEB16" s="3"/>
      <c r="JEC16" s="3"/>
      <c r="JED16" s="3"/>
      <c r="JEE16" s="3"/>
      <c r="JEF16" s="3"/>
      <c r="JEG16" s="3"/>
      <c r="JEH16" s="3"/>
      <c r="JEI16" s="3"/>
      <c r="JEJ16" s="3"/>
      <c r="JEK16" s="3"/>
      <c r="JEL16" s="3"/>
      <c r="JEM16" s="3"/>
      <c r="JEN16" s="3"/>
      <c r="JEO16" s="3"/>
      <c r="JEP16" s="3"/>
      <c r="JEQ16" s="3"/>
      <c r="JER16" s="3"/>
      <c r="JES16" s="3"/>
      <c r="JET16" s="3"/>
      <c r="JEU16" s="3"/>
      <c r="JEV16" s="3"/>
      <c r="JEW16" s="3"/>
      <c r="JEX16" s="3"/>
      <c r="JEY16" s="3"/>
      <c r="JEZ16" s="3"/>
      <c r="JFA16" s="3"/>
      <c r="JFB16" s="3"/>
      <c r="JFC16" s="3"/>
      <c r="JFD16" s="3"/>
      <c r="JFE16" s="3"/>
      <c r="JFF16" s="3"/>
      <c r="JFG16" s="3"/>
      <c r="JFH16" s="3"/>
      <c r="JFI16" s="3"/>
      <c r="JFJ16" s="3"/>
      <c r="JFK16" s="3"/>
      <c r="JFL16" s="3"/>
      <c r="JFM16" s="3"/>
      <c r="JFN16" s="3"/>
      <c r="JFO16" s="3"/>
      <c r="JFP16" s="3"/>
      <c r="JFQ16" s="3"/>
      <c r="JFR16" s="3"/>
      <c r="JFS16" s="3"/>
      <c r="JFT16" s="3"/>
      <c r="JFU16" s="3"/>
      <c r="JFV16" s="3"/>
      <c r="JFW16" s="3"/>
      <c r="JFX16" s="3"/>
      <c r="JFY16" s="3"/>
      <c r="JFZ16" s="3"/>
      <c r="JGA16" s="3"/>
      <c r="JGB16" s="3"/>
      <c r="JGC16" s="3"/>
      <c r="JGD16" s="3"/>
      <c r="JGE16" s="3"/>
      <c r="JGF16" s="3"/>
      <c r="JGG16" s="3"/>
      <c r="JGH16" s="3"/>
      <c r="JGI16" s="3"/>
      <c r="JGJ16" s="3"/>
      <c r="JGK16" s="3"/>
      <c r="JGL16" s="3"/>
      <c r="JGM16" s="3"/>
      <c r="JGN16" s="3"/>
      <c r="JGO16" s="3"/>
      <c r="JGP16" s="3"/>
      <c r="JGQ16" s="3"/>
      <c r="JGR16" s="3"/>
      <c r="JGS16" s="3"/>
      <c r="JGT16" s="3"/>
      <c r="JGU16" s="3"/>
      <c r="JGV16" s="3"/>
      <c r="JGW16" s="3"/>
      <c r="JGX16" s="3"/>
      <c r="JGY16" s="3"/>
      <c r="JGZ16" s="3"/>
      <c r="JHA16" s="3"/>
      <c r="JHB16" s="3"/>
      <c r="JHC16" s="3"/>
      <c r="JHD16" s="3"/>
      <c r="JHE16" s="3"/>
      <c r="JHF16" s="3"/>
      <c r="JHG16" s="3"/>
      <c r="JHH16" s="3"/>
      <c r="JHI16" s="3"/>
      <c r="JHJ16" s="3"/>
      <c r="JHK16" s="3"/>
      <c r="JHL16" s="3"/>
      <c r="JHM16" s="3"/>
      <c r="JHN16" s="3"/>
      <c r="JHO16" s="3"/>
      <c r="JHP16" s="3"/>
      <c r="JHQ16" s="3"/>
      <c r="JHR16" s="3"/>
      <c r="JHS16" s="3"/>
      <c r="JHT16" s="3"/>
      <c r="JHU16" s="3"/>
      <c r="JHV16" s="3"/>
      <c r="JHW16" s="3"/>
      <c r="JHX16" s="3"/>
      <c r="JHY16" s="3"/>
      <c r="JHZ16" s="3"/>
      <c r="JIA16" s="3"/>
      <c r="JIB16" s="3"/>
      <c r="JIC16" s="3"/>
      <c r="JID16" s="3"/>
      <c r="JIE16" s="3"/>
      <c r="JIF16" s="3"/>
      <c r="JIG16" s="3"/>
      <c r="JIH16" s="3"/>
      <c r="JII16" s="3"/>
      <c r="JIJ16" s="3"/>
      <c r="JIK16" s="3"/>
      <c r="JIL16" s="3"/>
      <c r="JIM16" s="3"/>
      <c r="JIN16" s="3"/>
      <c r="JIO16" s="3"/>
      <c r="JIP16" s="3"/>
      <c r="JIQ16" s="3"/>
      <c r="JIR16" s="3"/>
      <c r="JIS16" s="3"/>
      <c r="JIT16" s="3"/>
      <c r="JIU16" s="3"/>
      <c r="JIV16" s="3"/>
      <c r="JIW16" s="3"/>
      <c r="JIX16" s="3"/>
      <c r="JIY16" s="3"/>
      <c r="JIZ16" s="3"/>
      <c r="JJA16" s="3"/>
      <c r="JJB16" s="3"/>
      <c r="JJC16" s="3"/>
      <c r="JJD16" s="3"/>
      <c r="JJE16" s="3"/>
      <c r="JJF16" s="3"/>
      <c r="JJG16" s="3"/>
      <c r="JJH16" s="3"/>
      <c r="JJI16" s="3"/>
      <c r="JJJ16" s="3"/>
      <c r="JJK16" s="3"/>
      <c r="JJL16" s="3"/>
      <c r="JJM16" s="3"/>
      <c r="JJN16" s="3"/>
      <c r="JJO16" s="3"/>
      <c r="JJP16" s="3"/>
      <c r="JJQ16" s="3"/>
      <c r="JJR16" s="3"/>
      <c r="JJS16" s="3"/>
      <c r="JJT16" s="3"/>
      <c r="JJU16" s="3"/>
      <c r="JJV16" s="3"/>
      <c r="JJW16" s="3"/>
      <c r="JJX16" s="3"/>
      <c r="JJY16" s="3"/>
      <c r="JJZ16" s="3"/>
      <c r="JKA16" s="3"/>
      <c r="JKB16" s="3"/>
      <c r="JKC16" s="3"/>
      <c r="JKD16" s="3"/>
      <c r="JKE16" s="3"/>
      <c r="JKF16" s="3"/>
      <c r="JKG16" s="3"/>
      <c r="JKH16" s="3"/>
      <c r="JKI16" s="3"/>
      <c r="JKJ16" s="3"/>
      <c r="JKK16" s="3"/>
      <c r="JKL16" s="3"/>
      <c r="JKM16" s="3"/>
      <c r="JKN16" s="3"/>
      <c r="JKO16" s="3"/>
      <c r="JKP16" s="3"/>
      <c r="JKQ16" s="3"/>
      <c r="JKR16" s="3"/>
      <c r="JKS16" s="3"/>
      <c r="JKT16" s="3"/>
      <c r="JKU16" s="3"/>
      <c r="JKV16" s="3"/>
      <c r="JKW16" s="3"/>
      <c r="JKX16" s="3"/>
      <c r="JKY16" s="3"/>
      <c r="JKZ16" s="3"/>
      <c r="JLA16" s="3"/>
      <c r="JLB16" s="3"/>
      <c r="JLC16" s="3"/>
      <c r="JLD16" s="3"/>
      <c r="JLE16" s="3"/>
      <c r="JLF16" s="3"/>
      <c r="JLG16" s="3"/>
      <c r="JLH16" s="3"/>
      <c r="JLI16" s="3"/>
      <c r="JLJ16" s="3"/>
      <c r="JLK16" s="3"/>
      <c r="JLL16" s="3"/>
      <c r="JLM16" s="3"/>
      <c r="JLN16" s="3"/>
      <c r="JLO16" s="3"/>
      <c r="JLP16" s="3"/>
      <c r="JLQ16" s="3"/>
      <c r="JLR16" s="3"/>
      <c r="JLS16" s="3"/>
      <c r="JLT16" s="3"/>
      <c r="JLU16" s="3"/>
      <c r="JLV16" s="3"/>
      <c r="JLW16" s="3"/>
      <c r="JLX16" s="3"/>
      <c r="JLY16" s="3"/>
      <c r="JLZ16" s="3"/>
      <c r="JMA16" s="3"/>
      <c r="JMB16" s="3"/>
      <c r="JMC16" s="3"/>
      <c r="JMD16" s="3"/>
      <c r="JME16" s="3"/>
      <c r="JMF16" s="3"/>
      <c r="JMG16" s="3"/>
      <c r="JMH16" s="3"/>
      <c r="JMI16" s="3"/>
      <c r="JMJ16" s="3"/>
      <c r="JMK16" s="3"/>
      <c r="JML16" s="3"/>
      <c r="JMM16" s="3"/>
      <c r="JMN16" s="3"/>
      <c r="JMO16" s="3"/>
      <c r="JMP16" s="3"/>
      <c r="JMQ16" s="3"/>
      <c r="JMR16" s="3"/>
      <c r="JMS16" s="3"/>
      <c r="JMT16" s="3"/>
      <c r="JMU16" s="3"/>
      <c r="JMV16" s="3"/>
      <c r="JMW16" s="3"/>
      <c r="JMX16" s="3"/>
      <c r="JMY16" s="3"/>
      <c r="JMZ16" s="3"/>
      <c r="JNA16" s="3"/>
      <c r="JNB16" s="3"/>
      <c r="JNC16" s="3"/>
      <c r="JND16" s="3"/>
      <c r="JNE16" s="3"/>
      <c r="JNF16" s="3"/>
      <c r="JNG16" s="3"/>
      <c r="JNH16" s="3"/>
      <c r="JNI16" s="3"/>
      <c r="JNJ16" s="3"/>
      <c r="JNK16" s="3"/>
      <c r="JNL16" s="3"/>
      <c r="JNM16" s="3"/>
      <c r="JNN16" s="3"/>
      <c r="JNO16" s="3"/>
      <c r="JNP16" s="3"/>
      <c r="JNQ16" s="3"/>
      <c r="JNR16" s="3"/>
      <c r="JNS16" s="3"/>
      <c r="JNT16" s="3"/>
      <c r="JNU16" s="3"/>
      <c r="JNV16" s="3"/>
      <c r="JNW16" s="3"/>
      <c r="JNX16" s="3"/>
      <c r="JNY16" s="3"/>
      <c r="JNZ16" s="3"/>
      <c r="JOA16" s="3"/>
      <c r="JOB16" s="3"/>
      <c r="JOC16" s="3"/>
      <c r="JOD16" s="3"/>
      <c r="JOE16" s="3"/>
      <c r="JOF16" s="3"/>
      <c r="JOG16" s="3"/>
      <c r="JOH16" s="3"/>
      <c r="JOI16" s="3"/>
      <c r="JOJ16" s="3"/>
      <c r="JOK16" s="3"/>
      <c r="JOL16" s="3"/>
      <c r="JOM16" s="3"/>
      <c r="JON16" s="3"/>
      <c r="JOO16" s="3"/>
      <c r="JOP16" s="3"/>
      <c r="JOQ16" s="3"/>
      <c r="JOR16" s="3"/>
      <c r="JOS16" s="3"/>
      <c r="JOT16" s="3"/>
      <c r="JOU16" s="3"/>
      <c r="JOV16" s="3"/>
      <c r="JOW16" s="3"/>
      <c r="JOX16" s="3"/>
      <c r="JOY16" s="3"/>
      <c r="JOZ16" s="3"/>
      <c r="JPA16" s="3"/>
      <c r="JPB16" s="3"/>
      <c r="JPC16" s="3"/>
      <c r="JPD16" s="3"/>
      <c r="JPE16" s="3"/>
      <c r="JPF16" s="3"/>
      <c r="JPG16" s="3"/>
      <c r="JPH16" s="3"/>
      <c r="JPI16" s="3"/>
      <c r="JPJ16" s="3"/>
      <c r="JPK16" s="3"/>
      <c r="JPL16" s="3"/>
      <c r="JPM16" s="3"/>
      <c r="JPN16" s="3"/>
      <c r="JPO16" s="3"/>
      <c r="JPP16" s="3"/>
      <c r="JPQ16" s="3"/>
      <c r="JPR16" s="3"/>
      <c r="JPS16" s="3"/>
      <c r="JPT16" s="3"/>
      <c r="JPU16" s="3"/>
      <c r="JPV16" s="3"/>
      <c r="JPW16" s="3"/>
      <c r="JPX16" s="3"/>
      <c r="JPY16" s="3"/>
      <c r="JPZ16" s="3"/>
      <c r="JQA16" s="3"/>
      <c r="JQB16" s="3"/>
      <c r="JQC16" s="3"/>
      <c r="JQD16" s="3"/>
      <c r="JQE16" s="3"/>
      <c r="JQF16" s="3"/>
      <c r="JQG16" s="3"/>
      <c r="JQH16" s="3"/>
      <c r="JQI16" s="3"/>
      <c r="JQJ16" s="3"/>
      <c r="JQK16" s="3"/>
      <c r="JQL16" s="3"/>
      <c r="JQM16" s="3"/>
      <c r="JQN16" s="3"/>
      <c r="JQO16" s="3"/>
      <c r="JQP16" s="3"/>
      <c r="JQQ16" s="3"/>
      <c r="JQR16" s="3"/>
      <c r="JQS16" s="3"/>
      <c r="JQT16" s="3"/>
      <c r="JQU16" s="3"/>
      <c r="JQV16" s="3"/>
      <c r="JQW16" s="3"/>
      <c r="JQX16" s="3"/>
      <c r="JQY16" s="3"/>
      <c r="JQZ16" s="3"/>
      <c r="JRA16" s="3"/>
      <c r="JRB16" s="3"/>
      <c r="JRC16" s="3"/>
      <c r="JRD16" s="3"/>
      <c r="JRE16" s="3"/>
      <c r="JRF16" s="3"/>
      <c r="JRG16" s="3"/>
      <c r="JRH16" s="3"/>
      <c r="JRI16" s="3"/>
      <c r="JRJ16" s="3"/>
      <c r="JRK16" s="3"/>
      <c r="JRL16" s="3"/>
      <c r="JRM16" s="3"/>
      <c r="JRN16" s="3"/>
      <c r="JRO16" s="3"/>
      <c r="JRP16" s="3"/>
      <c r="JRQ16" s="3"/>
      <c r="JRR16" s="3"/>
      <c r="JRS16" s="3"/>
      <c r="JRT16" s="3"/>
      <c r="JRU16" s="3"/>
      <c r="JRV16" s="3"/>
      <c r="JRW16" s="3"/>
      <c r="JRX16" s="3"/>
      <c r="JRY16" s="3"/>
      <c r="JRZ16" s="3"/>
      <c r="JSA16" s="3"/>
      <c r="JSB16" s="3"/>
      <c r="JSC16" s="3"/>
      <c r="JSD16" s="3"/>
      <c r="JSE16" s="3"/>
      <c r="JSF16" s="3"/>
      <c r="JSG16" s="3"/>
      <c r="JSH16" s="3"/>
      <c r="JSI16" s="3"/>
      <c r="JSJ16" s="3"/>
      <c r="JSK16" s="3"/>
      <c r="JSL16" s="3"/>
      <c r="JSM16" s="3"/>
      <c r="JSN16" s="3"/>
      <c r="JSO16" s="3"/>
      <c r="JSP16" s="3"/>
      <c r="JSQ16" s="3"/>
      <c r="JSR16" s="3"/>
      <c r="JSS16" s="3"/>
      <c r="JST16" s="3"/>
      <c r="JSU16" s="3"/>
      <c r="JSV16" s="3"/>
      <c r="JSW16" s="3"/>
      <c r="JSX16" s="3"/>
      <c r="JSY16" s="3"/>
      <c r="JSZ16" s="3"/>
      <c r="JTA16" s="3"/>
      <c r="JTB16" s="3"/>
      <c r="JTC16" s="3"/>
      <c r="JTD16" s="3"/>
      <c r="JTE16" s="3"/>
      <c r="JTF16" s="3"/>
      <c r="JTG16" s="3"/>
      <c r="JTH16" s="3"/>
      <c r="JTI16" s="3"/>
      <c r="JTJ16" s="3"/>
      <c r="JTK16" s="3"/>
      <c r="JTL16" s="3"/>
      <c r="JTM16" s="3"/>
      <c r="JTN16" s="3"/>
      <c r="JTO16" s="3"/>
      <c r="JTP16" s="3"/>
      <c r="JTQ16" s="3"/>
      <c r="JTR16" s="3"/>
      <c r="JTS16" s="3"/>
      <c r="JTT16" s="3"/>
      <c r="JTU16" s="3"/>
      <c r="JTV16" s="3"/>
      <c r="JTW16" s="3"/>
      <c r="JTX16" s="3"/>
      <c r="JTY16" s="3"/>
      <c r="JTZ16" s="3"/>
      <c r="JUA16" s="3"/>
      <c r="JUB16" s="3"/>
      <c r="JUC16" s="3"/>
      <c r="JUD16" s="3"/>
      <c r="JUE16" s="3"/>
      <c r="JUF16" s="3"/>
      <c r="JUG16" s="3"/>
      <c r="JUH16" s="3"/>
      <c r="JUI16" s="3"/>
      <c r="JUJ16" s="3"/>
      <c r="JUK16" s="3"/>
      <c r="JUL16" s="3"/>
      <c r="JUM16" s="3"/>
      <c r="JUN16" s="3"/>
      <c r="JUO16" s="3"/>
      <c r="JUP16" s="3"/>
      <c r="JUQ16" s="3"/>
      <c r="JUR16" s="3"/>
      <c r="JUS16" s="3"/>
      <c r="JUT16" s="3"/>
      <c r="JUU16" s="3"/>
      <c r="JUV16" s="3"/>
      <c r="JUW16" s="3"/>
      <c r="JUX16" s="3"/>
      <c r="JUY16" s="3"/>
      <c r="JUZ16" s="3"/>
      <c r="JVA16" s="3"/>
      <c r="JVB16" s="3"/>
      <c r="JVC16" s="3"/>
      <c r="JVD16" s="3"/>
      <c r="JVE16" s="3"/>
      <c r="JVF16" s="3"/>
      <c r="JVG16" s="3"/>
      <c r="JVH16" s="3"/>
      <c r="JVI16" s="3"/>
      <c r="JVJ16" s="3"/>
      <c r="JVK16" s="3"/>
      <c r="JVL16" s="3"/>
      <c r="JVM16" s="3"/>
      <c r="JVN16" s="3"/>
      <c r="JVO16" s="3"/>
      <c r="JVP16" s="3"/>
      <c r="JVQ16" s="3"/>
      <c r="JVR16" s="3"/>
      <c r="JVS16" s="3"/>
      <c r="JVT16" s="3"/>
      <c r="JVU16" s="3"/>
      <c r="JVV16" s="3"/>
      <c r="JVW16" s="3"/>
      <c r="JVX16" s="3"/>
      <c r="JVY16" s="3"/>
      <c r="JVZ16" s="3"/>
      <c r="JWA16" s="3"/>
      <c r="JWB16" s="3"/>
      <c r="JWC16" s="3"/>
      <c r="JWD16" s="3"/>
      <c r="JWE16" s="3"/>
      <c r="JWF16" s="3"/>
      <c r="JWG16" s="3"/>
      <c r="JWH16" s="3"/>
      <c r="JWI16" s="3"/>
      <c r="JWJ16" s="3"/>
      <c r="JWK16" s="3"/>
      <c r="JWL16" s="3"/>
      <c r="JWM16" s="3"/>
      <c r="JWN16" s="3"/>
      <c r="JWO16" s="3"/>
      <c r="JWP16" s="3"/>
      <c r="JWQ16" s="3"/>
      <c r="JWR16" s="3"/>
      <c r="JWS16" s="3"/>
      <c r="JWT16" s="3"/>
      <c r="JWU16" s="3"/>
      <c r="JWV16" s="3"/>
      <c r="JWW16" s="3"/>
      <c r="JWX16" s="3"/>
      <c r="JWY16" s="3"/>
      <c r="JWZ16" s="3"/>
      <c r="JXA16" s="3"/>
      <c r="JXB16" s="3"/>
      <c r="JXC16" s="3"/>
      <c r="JXD16" s="3"/>
      <c r="JXE16" s="3"/>
      <c r="JXF16" s="3"/>
      <c r="JXG16" s="3"/>
      <c r="JXH16" s="3"/>
      <c r="JXI16" s="3"/>
      <c r="JXJ16" s="3"/>
      <c r="JXK16" s="3"/>
      <c r="JXL16" s="3"/>
      <c r="JXM16" s="3"/>
      <c r="JXN16" s="3"/>
      <c r="JXO16" s="3"/>
      <c r="JXP16" s="3"/>
      <c r="JXQ16" s="3"/>
      <c r="JXR16" s="3"/>
      <c r="JXS16" s="3"/>
      <c r="JXT16" s="3"/>
      <c r="JXU16" s="3"/>
      <c r="JXV16" s="3"/>
      <c r="JXW16" s="3"/>
      <c r="JXX16" s="3"/>
      <c r="JXY16" s="3"/>
      <c r="JXZ16" s="3"/>
      <c r="JYA16" s="3"/>
      <c r="JYB16" s="3"/>
      <c r="JYC16" s="3"/>
      <c r="JYD16" s="3"/>
      <c r="JYE16" s="3"/>
      <c r="JYF16" s="3"/>
      <c r="JYG16" s="3"/>
      <c r="JYH16" s="3"/>
      <c r="JYI16" s="3"/>
      <c r="JYJ16" s="3"/>
      <c r="JYK16" s="3"/>
      <c r="JYL16" s="3"/>
      <c r="JYM16" s="3"/>
      <c r="JYN16" s="3"/>
      <c r="JYO16" s="3"/>
      <c r="JYP16" s="3"/>
      <c r="JYQ16" s="3"/>
      <c r="JYR16" s="3"/>
      <c r="JYS16" s="3"/>
      <c r="JYT16" s="3"/>
      <c r="JYU16" s="3"/>
      <c r="JYV16" s="3"/>
      <c r="JYW16" s="3"/>
      <c r="JYX16" s="3"/>
      <c r="JYY16" s="3"/>
      <c r="JYZ16" s="3"/>
      <c r="JZA16" s="3"/>
      <c r="JZB16" s="3"/>
      <c r="JZC16" s="3"/>
      <c r="JZD16" s="3"/>
      <c r="JZE16" s="3"/>
      <c r="JZF16" s="3"/>
      <c r="JZG16" s="3"/>
      <c r="JZH16" s="3"/>
      <c r="JZI16" s="3"/>
      <c r="JZJ16" s="3"/>
      <c r="JZK16" s="3"/>
      <c r="JZL16" s="3"/>
      <c r="JZM16" s="3"/>
      <c r="JZN16" s="3"/>
      <c r="JZO16" s="3"/>
      <c r="JZP16" s="3"/>
      <c r="JZQ16" s="3"/>
      <c r="JZR16" s="3"/>
      <c r="JZS16" s="3"/>
      <c r="JZT16" s="3"/>
      <c r="JZU16" s="3"/>
      <c r="JZV16" s="3"/>
      <c r="JZW16" s="3"/>
      <c r="JZX16" s="3"/>
      <c r="JZY16" s="3"/>
      <c r="JZZ16" s="3"/>
      <c r="KAA16" s="3"/>
      <c r="KAB16" s="3"/>
      <c r="KAC16" s="3"/>
      <c r="KAD16" s="3"/>
      <c r="KAE16" s="3"/>
      <c r="KAF16" s="3"/>
      <c r="KAG16" s="3"/>
      <c r="KAH16" s="3"/>
      <c r="KAI16" s="3"/>
      <c r="KAJ16" s="3"/>
      <c r="KAK16" s="3"/>
      <c r="KAL16" s="3"/>
      <c r="KAM16" s="3"/>
      <c r="KAN16" s="3"/>
      <c r="KAO16" s="3"/>
      <c r="KAP16" s="3"/>
      <c r="KAQ16" s="3"/>
      <c r="KAR16" s="3"/>
      <c r="KAS16" s="3"/>
      <c r="KAT16" s="3"/>
      <c r="KAU16" s="3"/>
      <c r="KAV16" s="3"/>
      <c r="KAW16" s="3"/>
      <c r="KAX16" s="3"/>
      <c r="KAY16" s="3"/>
      <c r="KAZ16" s="3"/>
      <c r="KBA16" s="3"/>
      <c r="KBB16" s="3"/>
      <c r="KBC16" s="3"/>
      <c r="KBD16" s="3"/>
      <c r="KBE16" s="3"/>
      <c r="KBF16" s="3"/>
      <c r="KBG16" s="3"/>
      <c r="KBH16" s="3"/>
      <c r="KBI16" s="3"/>
      <c r="KBJ16" s="3"/>
      <c r="KBK16" s="3"/>
      <c r="KBL16" s="3"/>
      <c r="KBM16" s="3"/>
      <c r="KBN16" s="3"/>
      <c r="KBO16" s="3"/>
      <c r="KBP16" s="3"/>
      <c r="KBQ16" s="3"/>
      <c r="KBR16" s="3"/>
      <c r="KBS16" s="3"/>
      <c r="KBT16" s="3"/>
      <c r="KBU16" s="3"/>
      <c r="KBV16" s="3"/>
      <c r="KBW16" s="3"/>
      <c r="KBX16" s="3"/>
      <c r="KBY16" s="3"/>
      <c r="KBZ16" s="3"/>
      <c r="KCA16" s="3"/>
      <c r="KCB16" s="3"/>
      <c r="KCC16" s="3"/>
      <c r="KCD16" s="3"/>
      <c r="KCE16" s="3"/>
      <c r="KCF16" s="3"/>
      <c r="KCG16" s="3"/>
      <c r="KCH16" s="3"/>
      <c r="KCI16" s="3"/>
      <c r="KCJ16" s="3"/>
      <c r="KCK16" s="3"/>
      <c r="KCL16" s="3"/>
      <c r="KCM16" s="3"/>
      <c r="KCN16" s="3"/>
      <c r="KCO16" s="3"/>
      <c r="KCP16" s="3"/>
      <c r="KCQ16" s="3"/>
      <c r="KCR16" s="3"/>
      <c r="KCS16" s="3"/>
      <c r="KCT16" s="3"/>
      <c r="KCU16" s="3"/>
      <c r="KCV16" s="3"/>
      <c r="KCW16" s="3"/>
      <c r="KCX16" s="3"/>
      <c r="KCY16" s="3"/>
      <c r="KCZ16" s="3"/>
      <c r="KDA16" s="3"/>
      <c r="KDB16" s="3"/>
      <c r="KDC16" s="3"/>
      <c r="KDD16" s="3"/>
      <c r="KDE16" s="3"/>
      <c r="KDF16" s="3"/>
      <c r="KDG16" s="3"/>
      <c r="KDH16" s="3"/>
      <c r="KDI16" s="3"/>
      <c r="KDJ16" s="3"/>
      <c r="KDK16" s="3"/>
      <c r="KDL16" s="3"/>
      <c r="KDM16" s="3"/>
      <c r="KDN16" s="3"/>
      <c r="KDO16" s="3"/>
      <c r="KDP16" s="3"/>
      <c r="KDQ16" s="3"/>
      <c r="KDR16" s="3"/>
      <c r="KDS16" s="3"/>
      <c r="KDT16" s="3"/>
      <c r="KDU16" s="3"/>
      <c r="KDV16" s="3"/>
      <c r="KDW16" s="3"/>
      <c r="KDX16" s="3"/>
      <c r="KDY16" s="3"/>
      <c r="KDZ16" s="3"/>
      <c r="KEA16" s="3"/>
      <c r="KEB16" s="3"/>
      <c r="KEC16" s="3"/>
      <c r="KED16" s="3"/>
      <c r="KEE16" s="3"/>
      <c r="KEF16" s="3"/>
      <c r="KEG16" s="3"/>
      <c r="KEH16" s="3"/>
      <c r="KEI16" s="3"/>
      <c r="KEJ16" s="3"/>
      <c r="KEK16" s="3"/>
      <c r="KEL16" s="3"/>
      <c r="KEM16" s="3"/>
      <c r="KEN16" s="3"/>
      <c r="KEO16" s="3"/>
      <c r="KEP16" s="3"/>
      <c r="KEQ16" s="3"/>
      <c r="KER16" s="3"/>
      <c r="KES16" s="3"/>
      <c r="KET16" s="3"/>
      <c r="KEU16" s="3"/>
      <c r="KEV16" s="3"/>
      <c r="KEW16" s="3"/>
      <c r="KEX16" s="3"/>
      <c r="KEY16" s="3"/>
      <c r="KEZ16" s="3"/>
      <c r="KFA16" s="3"/>
      <c r="KFB16" s="3"/>
      <c r="KFC16" s="3"/>
      <c r="KFD16" s="3"/>
      <c r="KFE16" s="3"/>
      <c r="KFF16" s="3"/>
      <c r="KFG16" s="3"/>
      <c r="KFH16" s="3"/>
      <c r="KFI16" s="3"/>
      <c r="KFJ16" s="3"/>
      <c r="KFK16" s="3"/>
      <c r="KFL16" s="3"/>
      <c r="KFM16" s="3"/>
      <c r="KFN16" s="3"/>
      <c r="KFO16" s="3"/>
      <c r="KFP16" s="3"/>
      <c r="KFQ16" s="3"/>
      <c r="KFR16" s="3"/>
      <c r="KFS16" s="3"/>
      <c r="KFT16" s="3"/>
      <c r="KFU16" s="3"/>
      <c r="KFV16" s="3"/>
      <c r="KFW16" s="3"/>
      <c r="KFX16" s="3"/>
      <c r="KFY16" s="3"/>
      <c r="KFZ16" s="3"/>
      <c r="KGA16" s="3"/>
      <c r="KGB16" s="3"/>
      <c r="KGC16" s="3"/>
      <c r="KGD16" s="3"/>
      <c r="KGE16" s="3"/>
      <c r="KGF16" s="3"/>
      <c r="KGG16" s="3"/>
      <c r="KGH16" s="3"/>
      <c r="KGI16" s="3"/>
      <c r="KGJ16" s="3"/>
      <c r="KGK16" s="3"/>
      <c r="KGL16" s="3"/>
      <c r="KGM16" s="3"/>
      <c r="KGN16" s="3"/>
      <c r="KGO16" s="3"/>
      <c r="KGP16" s="3"/>
      <c r="KGQ16" s="3"/>
      <c r="KGR16" s="3"/>
      <c r="KGS16" s="3"/>
      <c r="KGT16" s="3"/>
      <c r="KGU16" s="3"/>
      <c r="KGV16" s="3"/>
      <c r="KGW16" s="3"/>
      <c r="KGX16" s="3"/>
      <c r="KGY16" s="3"/>
      <c r="KGZ16" s="3"/>
      <c r="KHA16" s="3"/>
      <c r="KHB16" s="3"/>
      <c r="KHC16" s="3"/>
      <c r="KHD16" s="3"/>
      <c r="KHE16" s="3"/>
      <c r="KHF16" s="3"/>
      <c r="KHG16" s="3"/>
      <c r="KHH16" s="3"/>
      <c r="KHI16" s="3"/>
      <c r="KHJ16" s="3"/>
      <c r="KHK16" s="3"/>
      <c r="KHL16" s="3"/>
      <c r="KHM16" s="3"/>
      <c r="KHN16" s="3"/>
      <c r="KHO16" s="3"/>
      <c r="KHP16" s="3"/>
      <c r="KHQ16" s="3"/>
      <c r="KHR16" s="3"/>
      <c r="KHS16" s="3"/>
      <c r="KHT16" s="3"/>
      <c r="KHU16" s="3"/>
      <c r="KHV16" s="3"/>
      <c r="KHW16" s="3"/>
      <c r="KHX16" s="3"/>
      <c r="KHY16" s="3"/>
      <c r="KHZ16" s="3"/>
      <c r="KIA16" s="3"/>
      <c r="KIB16" s="3"/>
      <c r="KIC16" s="3"/>
      <c r="KID16" s="3"/>
      <c r="KIE16" s="3"/>
      <c r="KIF16" s="3"/>
      <c r="KIG16" s="3"/>
      <c r="KIH16" s="3"/>
      <c r="KII16" s="3"/>
      <c r="KIJ16" s="3"/>
      <c r="KIK16" s="3"/>
      <c r="KIL16" s="3"/>
      <c r="KIM16" s="3"/>
      <c r="KIN16" s="3"/>
      <c r="KIO16" s="3"/>
      <c r="KIP16" s="3"/>
      <c r="KIQ16" s="3"/>
      <c r="KIR16" s="3"/>
      <c r="KIS16" s="3"/>
      <c r="KIT16" s="3"/>
      <c r="KIU16" s="3"/>
      <c r="KIV16" s="3"/>
      <c r="KIW16" s="3"/>
      <c r="KIX16" s="3"/>
      <c r="KIY16" s="3"/>
      <c r="KIZ16" s="3"/>
      <c r="KJA16" s="3"/>
      <c r="KJB16" s="3"/>
      <c r="KJC16" s="3"/>
      <c r="KJD16" s="3"/>
      <c r="KJE16" s="3"/>
      <c r="KJF16" s="3"/>
      <c r="KJG16" s="3"/>
      <c r="KJH16" s="3"/>
      <c r="KJI16" s="3"/>
      <c r="KJJ16" s="3"/>
      <c r="KJK16" s="3"/>
      <c r="KJL16" s="3"/>
      <c r="KJM16" s="3"/>
      <c r="KJN16" s="3"/>
      <c r="KJO16" s="3"/>
      <c r="KJP16" s="3"/>
      <c r="KJQ16" s="3"/>
      <c r="KJR16" s="3"/>
      <c r="KJS16" s="3"/>
      <c r="KJT16" s="3"/>
      <c r="KJU16" s="3"/>
      <c r="KJV16" s="3"/>
      <c r="KJW16" s="3"/>
      <c r="KJX16" s="3"/>
      <c r="KJY16" s="3"/>
      <c r="KJZ16" s="3"/>
      <c r="KKA16" s="3"/>
      <c r="KKB16" s="3"/>
      <c r="KKC16" s="3"/>
      <c r="KKD16" s="3"/>
      <c r="KKE16" s="3"/>
      <c r="KKF16" s="3"/>
      <c r="KKG16" s="3"/>
      <c r="KKH16" s="3"/>
      <c r="KKI16" s="3"/>
      <c r="KKJ16" s="3"/>
      <c r="KKK16" s="3"/>
      <c r="KKL16" s="3"/>
      <c r="KKM16" s="3"/>
      <c r="KKN16" s="3"/>
      <c r="KKO16" s="3"/>
      <c r="KKP16" s="3"/>
      <c r="KKQ16" s="3"/>
      <c r="KKR16" s="3"/>
      <c r="KKS16" s="3"/>
      <c r="KKT16" s="3"/>
      <c r="KKU16" s="3"/>
      <c r="KKV16" s="3"/>
      <c r="KKW16" s="3"/>
      <c r="KKX16" s="3"/>
      <c r="KKY16" s="3"/>
      <c r="KKZ16" s="3"/>
      <c r="KLA16" s="3"/>
      <c r="KLB16" s="3"/>
      <c r="KLC16" s="3"/>
      <c r="KLD16" s="3"/>
      <c r="KLE16" s="3"/>
      <c r="KLF16" s="3"/>
      <c r="KLG16" s="3"/>
      <c r="KLH16" s="3"/>
      <c r="KLI16" s="3"/>
      <c r="KLJ16" s="3"/>
      <c r="KLK16" s="3"/>
      <c r="KLL16" s="3"/>
      <c r="KLM16" s="3"/>
      <c r="KLN16" s="3"/>
      <c r="KLO16" s="3"/>
      <c r="KLP16" s="3"/>
      <c r="KLQ16" s="3"/>
      <c r="KLR16" s="3"/>
      <c r="KLS16" s="3"/>
      <c r="KLT16" s="3"/>
      <c r="KLU16" s="3"/>
      <c r="KLV16" s="3"/>
      <c r="KLW16" s="3"/>
      <c r="KLX16" s="3"/>
      <c r="KLY16" s="3"/>
      <c r="KLZ16" s="3"/>
      <c r="KMA16" s="3"/>
      <c r="KMB16" s="3"/>
      <c r="KMC16" s="3"/>
      <c r="KMD16" s="3"/>
      <c r="KME16" s="3"/>
      <c r="KMF16" s="3"/>
      <c r="KMG16" s="3"/>
      <c r="KMH16" s="3"/>
      <c r="KMI16" s="3"/>
      <c r="KMJ16" s="3"/>
      <c r="KMK16" s="3"/>
      <c r="KML16" s="3"/>
      <c r="KMM16" s="3"/>
      <c r="KMN16" s="3"/>
      <c r="KMO16" s="3"/>
      <c r="KMP16" s="3"/>
      <c r="KMQ16" s="3"/>
      <c r="KMR16" s="3"/>
      <c r="KMS16" s="3"/>
      <c r="KMT16" s="3"/>
      <c r="KMU16" s="3"/>
      <c r="KMV16" s="3"/>
      <c r="KMW16" s="3"/>
      <c r="KMX16" s="3"/>
      <c r="KMY16" s="3"/>
      <c r="KMZ16" s="3"/>
      <c r="KNA16" s="3"/>
      <c r="KNB16" s="3"/>
      <c r="KNC16" s="3"/>
      <c r="KND16" s="3"/>
      <c r="KNE16" s="3"/>
      <c r="KNF16" s="3"/>
      <c r="KNG16" s="3"/>
      <c r="KNH16" s="3"/>
      <c r="KNI16" s="3"/>
      <c r="KNJ16" s="3"/>
      <c r="KNK16" s="3"/>
      <c r="KNL16" s="3"/>
      <c r="KNM16" s="3"/>
      <c r="KNN16" s="3"/>
      <c r="KNO16" s="3"/>
      <c r="KNP16" s="3"/>
      <c r="KNQ16" s="3"/>
      <c r="KNR16" s="3"/>
      <c r="KNS16" s="3"/>
      <c r="KNT16" s="3"/>
      <c r="KNU16" s="3"/>
      <c r="KNV16" s="3"/>
      <c r="KNW16" s="3"/>
      <c r="KNX16" s="3"/>
      <c r="KNY16" s="3"/>
      <c r="KNZ16" s="3"/>
      <c r="KOA16" s="3"/>
      <c r="KOB16" s="3"/>
      <c r="KOC16" s="3"/>
      <c r="KOD16" s="3"/>
      <c r="KOE16" s="3"/>
      <c r="KOF16" s="3"/>
      <c r="KOG16" s="3"/>
      <c r="KOH16" s="3"/>
      <c r="KOI16" s="3"/>
      <c r="KOJ16" s="3"/>
      <c r="KOK16" s="3"/>
      <c r="KOL16" s="3"/>
      <c r="KOM16" s="3"/>
      <c r="KON16" s="3"/>
      <c r="KOO16" s="3"/>
      <c r="KOP16" s="3"/>
      <c r="KOQ16" s="3"/>
      <c r="KOR16" s="3"/>
      <c r="KOS16" s="3"/>
      <c r="KOT16" s="3"/>
      <c r="KOU16" s="3"/>
      <c r="KOV16" s="3"/>
      <c r="KOW16" s="3"/>
      <c r="KOX16" s="3"/>
      <c r="KOY16" s="3"/>
      <c r="KOZ16" s="3"/>
      <c r="KPA16" s="3"/>
      <c r="KPB16" s="3"/>
      <c r="KPC16" s="3"/>
      <c r="KPD16" s="3"/>
      <c r="KPE16" s="3"/>
      <c r="KPF16" s="3"/>
      <c r="KPG16" s="3"/>
      <c r="KPH16" s="3"/>
      <c r="KPI16" s="3"/>
      <c r="KPJ16" s="3"/>
      <c r="KPK16" s="3"/>
      <c r="KPL16" s="3"/>
      <c r="KPM16" s="3"/>
      <c r="KPN16" s="3"/>
      <c r="KPO16" s="3"/>
      <c r="KPP16" s="3"/>
      <c r="KPQ16" s="3"/>
      <c r="KPR16" s="3"/>
      <c r="KPS16" s="3"/>
      <c r="KPT16" s="3"/>
      <c r="KPU16" s="3"/>
      <c r="KPV16" s="3"/>
      <c r="KPW16" s="3"/>
      <c r="KPX16" s="3"/>
      <c r="KPY16" s="3"/>
      <c r="KPZ16" s="3"/>
      <c r="KQA16" s="3"/>
      <c r="KQB16" s="3"/>
      <c r="KQC16" s="3"/>
      <c r="KQD16" s="3"/>
      <c r="KQE16" s="3"/>
      <c r="KQF16" s="3"/>
      <c r="KQG16" s="3"/>
      <c r="KQH16" s="3"/>
      <c r="KQI16" s="3"/>
      <c r="KQJ16" s="3"/>
      <c r="KQK16" s="3"/>
      <c r="KQL16" s="3"/>
      <c r="KQM16" s="3"/>
      <c r="KQN16" s="3"/>
      <c r="KQO16" s="3"/>
      <c r="KQP16" s="3"/>
      <c r="KQQ16" s="3"/>
      <c r="KQR16" s="3"/>
      <c r="KQS16" s="3"/>
      <c r="KQT16" s="3"/>
      <c r="KQU16" s="3"/>
      <c r="KQV16" s="3"/>
      <c r="KQW16" s="3"/>
      <c r="KQX16" s="3"/>
      <c r="KQY16" s="3"/>
      <c r="KQZ16" s="3"/>
      <c r="KRA16" s="3"/>
      <c r="KRB16" s="3"/>
      <c r="KRC16" s="3"/>
      <c r="KRD16" s="3"/>
      <c r="KRE16" s="3"/>
      <c r="KRF16" s="3"/>
      <c r="KRG16" s="3"/>
      <c r="KRH16" s="3"/>
      <c r="KRI16" s="3"/>
      <c r="KRJ16" s="3"/>
      <c r="KRK16" s="3"/>
      <c r="KRL16" s="3"/>
      <c r="KRM16" s="3"/>
      <c r="KRN16" s="3"/>
    </row>
    <row r="17" spans="1:7918">
      <c r="A17" s="26" t="e">
        <f t="shared" si="0"/>
        <v>#REF!</v>
      </c>
      <c r="B17" s="388" t="s">
        <v>546</v>
      </c>
      <c r="C17" s="149">
        <v>2110088008</v>
      </c>
      <c r="D17" s="386" t="s">
        <v>546</v>
      </c>
      <c r="E17" s="149" t="str">
        <f>VLOOKUP($B17,'Nomina Unhesa'!$B$4:$AB$209,2,0)</f>
        <v>Gerente Compras expo e impo</v>
      </c>
      <c r="F17" s="149">
        <f>VLOOKUP($B17,'Nomina Unhesa'!$B$4:$AB$209,4,0)</f>
        <v>30</v>
      </c>
      <c r="G17" s="230">
        <f>VLOOKUP($B17,'Nomina Unhesa'!$B$4:$AB$209,6,0)</f>
        <v>12000</v>
      </c>
      <c r="H17" s="230">
        <f>VLOOKUP($B17,'Nomina Unhesa'!$B$4:$AB$209,7,0)</f>
        <v>4000</v>
      </c>
      <c r="I17" s="230">
        <f>VLOOKUP($B17,'Nomina Unhesa'!$B$4:$AB$209,9,0)</f>
        <v>0</v>
      </c>
      <c r="J17" s="232">
        <f>VLOOKUP($B17,'Nomina Unhesa'!$B$4:$AB$209,10,0)</f>
        <v>0</v>
      </c>
      <c r="K17" s="230">
        <f>VLOOKUP($B17,'Nomina Unhesa'!$B$4:$AB$209,11,0)</f>
        <v>0</v>
      </c>
      <c r="L17" s="230">
        <f>VLOOKUP($B17,'Nomina Unhesa'!$B$4:$AB$209,12,0)</f>
        <v>0</v>
      </c>
      <c r="M17" s="230">
        <f>VLOOKUP($B17,'Nomina Unhesa'!$B$4:$AB$209,14,0)</f>
        <v>0</v>
      </c>
      <c r="N17" s="232">
        <f>VLOOKUP($B17,'Nomina Unhesa'!$B$4:$AB$209,15,0)</f>
        <v>16000</v>
      </c>
      <c r="O17" s="232">
        <f>VLOOKUP($B17,'Nomina Unhesa'!$B$4:$AB$209,16,0)</f>
        <v>579.6</v>
      </c>
      <c r="P17" s="232">
        <f>VLOOKUP($B17,'Nomina Unhesa'!$B$4:$AB$209,17,0)</f>
        <v>571.02</v>
      </c>
      <c r="Q17" s="232">
        <f>VLOOKUP($B17,'Nomina Unhesa'!$B$4:$AB$209,18,0)</f>
        <v>0</v>
      </c>
      <c r="R17" s="232">
        <f>VLOOKUP($B17,'Nomina Unhesa'!$B$4:$AB$209,19,0)</f>
        <v>198</v>
      </c>
      <c r="S17" s="232">
        <f>VLOOKUP($B17,'Nomina Unhesa'!$B$4:$AB$209,20,0)</f>
        <v>0</v>
      </c>
      <c r="T17" s="232">
        <f>VLOOKUP($B17,'Nomina Unhesa'!$B$4:$AB$209,21,0)</f>
        <v>0</v>
      </c>
      <c r="U17" s="232">
        <f>VLOOKUP($B17,'Nomina Unhesa'!$B$4:$AB$209,22,0)</f>
        <v>0</v>
      </c>
      <c r="V17" s="232">
        <f>ROUND((VLOOKUP($B17,'Nomina Unhesa'!$B$4:$AB$209,23,0)),2)</f>
        <v>150</v>
      </c>
      <c r="W17" s="232">
        <f>VLOOKUP($B17,'Nomina Unhesa'!$B$4:$AB$209,24,0)</f>
        <v>1498.62</v>
      </c>
      <c r="X17" s="233">
        <f>VLOOKUP(B17,'Nomina Unhesa'!$B$9:$Z$163,25,FALSE)</f>
        <v>14501.380000000001</v>
      </c>
      <c r="Y17" s="236">
        <f>ROUND((VLOOKUP(B17,'Nomina Unhesa'!$B$9:$AB$157,26,FALSE)),2)</f>
        <v>7404.61</v>
      </c>
      <c r="Z17" s="211">
        <f>VLOOKUP(B17,'Nomina Unhesa'!$B$9:$AB$158,27,FALSE)</f>
        <v>7096.7700000000013</v>
      </c>
      <c r="AA17" s="438">
        <v>284186186</v>
      </c>
      <c r="AB17" s="387">
        <f>+IFERROR(VLOOKUP(B17,'Nomina Unhesa'!B23:D164,3,0),"")</f>
        <v>12000</v>
      </c>
    </row>
    <row r="18" spans="1:7918">
      <c r="A18" s="26" t="e">
        <f t="shared" si="0"/>
        <v>#REF!</v>
      </c>
      <c r="B18" s="388" t="s">
        <v>549</v>
      </c>
      <c r="C18" s="179">
        <v>10077584</v>
      </c>
      <c r="D18" s="386" t="s">
        <v>549</v>
      </c>
      <c r="E18" s="149" t="str">
        <f>VLOOKUP($B18,'Nomina Unhesa'!$B$4:$AB$209,2,0)</f>
        <v>Auxiliar de Limpieza</v>
      </c>
      <c r="F18" s="149">
        <f>VLOOKUP($B18,'Nomina Unhesa'!$B$4:$AB$209,4,0)</f>
        <v>30</v>
      </c>
      <c r="G18" s="230">
        <f>VLOOKUP($B18,'Nomina Unhesa'!$B$4:$AB$209,6,0)</f>
        <v>3166.38</v>
      </c>
      <c r="H18" s="230">
        <f>VLOOKUP($B18,'Nomina Unhesa'!$B$4:$AB$209,7,0)</f>
        <v>250</v>
      </c>
      <c r="I18" s="230">
        <f>VLOOKUP($B18,'Nomina Unhesa'!$B$4:$AB$209,9,0)</f>
        <v>0</v>
      </c>
      <c r="J18" s="232">
        <f>VLOOKUP($B18,'Nomina Unhesa'!$B$4:$AB$209,10,0)</f>
        <v>0</v>
      </c>
      <c r="K18" s="230">
        <f>VLOOKUP($B18,'Nomina Unhesa'!$B$4:$AB$209,11,0)</f>
        <v>0</v>
      </c>
      <c r="L18" s="230">
        <f>VLOOKUP($B18,'Nomina Unhesa'!$B$4:$AB$209,12,0)</f>
        <v>0</v>
      </c>
      <c r="M18" s="230">
        <f>VLOOKUP($B18,'Nomina Unhesa'!$B$4:$AB$209,14,0)</f>
        <v>0</v>
      </c>
      <c r="N18" s="232">
        <f>VLOOKUP($B18,'Nomina Unhesa'!$B$4:$AB$209,15,0)</f>
        <v>3416.38</v>
      </c>
      <c r="O18" s="232">
        <f>VLOOKUP($B18,'Nomina Unhesa'!$B$4:$AB$209,16,0)</f>
        <v>152.94</v>
      </c>
      <c r="P18" s="232">
        <f>VLOOKUP($B18,'Nomina Unhesa'!$B$4:$AB$209,17,0)</f>
        <v>0</v>
      </c>
      <c r="Q18" s="232">
        <f>VLOOKUP($B18,'Nomina Unhesa'!$B$4:$AB$209,18,0)</f>
        <v>0</v>
      </c>
      <c r="R18" s="232">
        <f>VLOOKUP($B18,'Nomina Unhesa'!$B$4:$AB$209,19,0)</f>
        <v>0</v>
      </c>
      <c r="S18" s="232">
        <f>VLOOKUP($B18,'Nomina Unhesa'!$B$4:$AB$209,20,0)</f>
        <v>0</v>
      </c>
      <c r="T18" s="232">
        <f>VLOOKUP($B18,'Nomina Unhesa'!$B$4:$AB$209,21,0)</f>
        <v>0</v>
      </c>
      <c r="U18" s="232">
        <f>VLOOKUP($B18,'Nomina Unhesa'!$B$4:$AB$209,22,0)</f>
        <v>142.5</v>
      </c>
      <c r="V18" s="232">
        <f>ROUND((VLOOKUP($B18,'Nomina Unhesa'!$B$4:$AB$209,23,0)),2)</f>
        <v>50</v>
      </c>
      <c r="W18" s="232">
        <f>VLOOKUP($B18,'Nomina Unhesa'!$B$4:$AB$209,24,0)</f>
        <v>345.44</v>
      </c>
      <c r="X18" s="236">
        <f>VLOOKUP(B18,'Nomina Unhesa'!$B$9:$Z$163,25,FALSE)</f>
        <v>3070.94</v>
      </c>
      <c r="Y18" s="236">
        <f>ROUND((VLOOKUP(B18,'Nomina Unhesa'!$B$9:$AB$157,26,FALSE)),2)</f>
        <v>1554.22</v>
      </c>
      <c r="Z18" s="211">
        <f>VLOOKUP(B18,'Nomina Unhesa'!$B$9:$AB$158,27,FALSE)</f>
        <v>1516.72</v>
      </c>
      <c r="AA18" s="438">
        <v>182468835</v>
      </c>
      <c r="AB18" s="387">
        <f>+IFERROR(VLOOKUP(B18,'Nomina Unhesa'!B32:D180,3,0),"")</f>
        <v>3166.38</v>
      </c>
    </row>
    <row r="19" spans="1:7918">
      <c r="A19" s="26" t="e">
        <f t="shared" si="0"/>
        <v>#REF!</v>
      </c>
      <c r="B19" s="388" t="s">
        <v>550</v>
      </c>
      <c r="C19" s="178">
        <v>4630058826</v>
      </c>
      <c r="D19" s="386" t="s">
        <v>550</v>
      </c>
      <c r="E19" s="149" t="str">
        <f>VLOOKUP($B19,'Nomina Unhesa'!$B$4:$AB$209,2,0)</f>
        <v>Tesorera-Contador</v>
      </c>
      <c r="F19" s="149">
        <f>VLOOKUP($B19,'Nomina Unhesa'!$B$4:$AB$209,4,0)</f>
        <v>30</v>
      </c>
      <c r="G19" s="230">
        <f>VLOOKUP($B19,'Nomina Unhesa'!$B$4:$AB$209,6,0)</f>
        <v>3250</v>
      </c>
      <c r="H19" s="230">
        <f>VLOOKUP($B19,'Nomina Unhesa'!$B$4:$AB$209,7,0)</f>
        <v>1750</v>
      </c>
      <c r="I19" s="230">
        <f>VLOOKUP($B19,'Nomina Unhesa'!$B$4:$AB$209,9,0)</f>
        <v>0</v>
      </c>
      <c r="J19" s="232">
        <f>VLOOKUP($B19,'Nomina Unhesa'!$B$4:$AB$209,10,0)</f>
        <v>0</v>
      </c>
      <c r="K19" s="230">
        <f>VLOOKUP($B19,'Nomina Unhesa'!$B$4:$AB$209,11,0)</f>
        <v>0</v>
      </c>
      <c r="L19" s="230">
        <f>VLOOKUP($B19,'Nomina Unhesa'!$B$4:$AB$209,12,0)</f>
        <v>0</v>
      </c>
      <c r="M19" s="230">
        <f>VLOOKUP($B19,'Nomina Unhesa'!$B$4:$AB$209,14,0)</f>
        <v>0</v>
      </c>
      <c r="N19" s="232">
        <f>VLOOKUP($B19,'Nomina Unhesa'!$B$4:$AB$209,15,0)</f>
        <v>5000</v>
      </c>
      <c r="O19" s="232">
        <f>VLOOKUP($B19,'Nomina Unhesa'!$B$4:$AB$209,16,0)</f>
        <v>156.97999999999999</v>
      </c>
      <c r="P19" s="232">
        <f>VLOOKUP($B19,'Nomina Unhesa'!$B$4:$AB$209,17,0)</f>
        <v>42.15</v>
      </c>
      <c r="Q19" s="232">
        <f>VLOOKUP($B19,'Nomina Unhesa'!$B$4:$AB$209,18,0)</f>
        <v>538.59</v>
      </c>
      <c r="R19" s="232">
        <f>VLOOKUP($B19,'Nomina Unhesa'!$B$4:$AB$209,19,0)</f>
        <v>0</v>
      </c>
      <c r="S19" s="232">
        <f>VLOOKUP($B19,'Nomina Unhesa'!$B$4:$AB$209,20,0)</f>
        <v>0</v>
      </c>
      <c r="T19" s="232">
        <f>VLOOKUP($B19,'Nomina Unhesa'!$B$4:$AB$209,21,0)</f>
        <v>0</v>
      </c>
      <c r="U19" s="232">
        <f>VLOOKUP($B19,'Nomina Unhesa'!$B$4:$AB$209,22,0)</f>
        <v>385</v>
      </c>
      <c r="V19" s="232">
        <f>ROUND((VLOOKUP($B19,'Nomina Unhesa'!$B$4:$AB$209,23,0)),2)</f>
        <v>200</v>
      </c>
      <c r="W19" s="232">
        <f>VLOOKUP($B19,'Nomina Unhesa'!$B$4:$AB$209,24,0)</f>
        <v>1322.72</v>
      </c>
      <c r="X19" s="236">
        <f>VLOOKUP(B19,'Nomina Unhesa'!$B$9:$Z$163,25,FALSE)</f>
        <v>3677.2799999999997</v>
      </c>
      <c r="Y19" s="236">
        <f>ROUND((VLOOKUP(B19,'Nomina Unhesa'!$B$9:$AB$157,26,FALSE)),2)</f>
        <v>1968.55</v>
      </c>
      <c r="Z19" s="211">
        <f>VLOOKUP(B19,'Nomina Unhesa'!$B$9:$AB$158,27,FALSE)</f>
        <v>1708.7299999999998</v>
      </c>
      <c r="AA19" s="438">
        <v>200900660279</v>
      </c>
      <c r="AB19" s="387">
        <f>+IFERROR(VLOOKUP(B19,'Nomina Unhesa'!B13:D158,3,0),"")</f>
        <v>3250</v>
      </c>
    </row>
    <row r="20" spans="1:7918">
      <c r="A20" s="26" t="e">
        <f t="shared" si="0"/>
        <v>#REF!</v>
      </c>
      <c r="B20" s="388" t="s">
        <v>551</v>
      </c>
      <c r="C20" s="178">
        <v>140633230</v>
      </c>
      <c r="D20" s="386" t="s">
        <v>551</v>
      </c>
      <c r="E20" s="149" t="str">
        <f>VLOOKUP($B20,'Nomina Unhesa'!$B$4:$AB$209,2,0)</f>
        <v>Gerente Comercial</v>
      </c>
      <c r="F20" s="149">
        <f>VLOOKUP($B20,'Nomina Unhesa'!$B$4:$AB$209,4,0)</f>
        <v>30</v>
      </c>
      <c r="G20" s="230">
        <f>VLOOKUP($B20,'Nomina Unhesa'!$B$4:$AB$209,6,0)</f>
        <v>19460</v>
      </c>
      <c r="H20" s="230">
        <f>VLOOKUP($B20,'Nomina Unhesa'!$B$4:$AB$209,7,0)</f>
        <v>17750</v>
      </c>
      <c r="I20" s="230">
        <f>VLOOKUP($B20,'Nomina Unhesa'!$B$4:$AB$209,9,0)</f>
        <v>0</v>
      </c>
      <c r="J20" s="232">
        <f>VLOOKUP($B20,'Nomina Unhesa'!$B$4:$AB$209,10,0)</f>
        <v>0</v>
      </c>
      <c r="K20" s="230">
        <f>VLOOKUP($B20,'Nomina Unhesa'!$B$4:$AB$209,11,0)</f>
        <v>0</v>
      </c>
      <c r="L20" s="230">
        <f>VLOOKUP($B20,'Nomina Unhesa'!$B$4:$AB$209,12,0)</f>
        <v>0</v>
      </c>
      <c r="M20" s="230">
        <f>VLOOKUP($B20,'Nomina Unhesa'!$B$4:$AB$209,14,0)</f>
        <v>0</v>
      </c>
      <c r="N20" s="232">
        <f>VLOOKUP($B20,'Nomina Unhesa'!$B$4:$AB$209,15,0)</f>
        <v>37210</v>
      </c>
      <c r="O20" s="232">
        <f>VLOOKUP($B20,'Nomina Unhesa'!$B$4:$AB$209,16,0)</f>
        <v>939.92</v>
      </c>
      <c r="P20" s="232">
        <f>VLOOKUP($B20,'Nomina Unhesa'!$B$4:$AB$209,17,0)</f>
        <v>1373.91</v>
      </c>
      <c r="Q20" s="232">
        <f>VLOOKUP($B20,'Nomina Unhesa'!$B$4:$AB$209,18,0)</f>
        <v>5247.52</v>
      </c>
      <c r="R20" s="232">
        <f>VLOOKUP($B20,'Nomina Unhesa'!$B$4:$AB$209,19,0)</f>
        <v>437</v>
      </c>
      <c r="S20" s="232">
        <f>VLOOKUP($B20,'Nomina Unhesa'!$B$4:$AB$209,20,0)</f>
        <v>0</v>
      </c>
      <c r="T20" s="232">
        <f>VLOOKUP($B20,'Nomina Unhesa'!$B$4:$AB$209,21,0)</f>
        <v>0</v>
      </c>
      <c r="U20" s="232">
        <f>VLOOKUP($B20,'Nomina Unhesa'!$B$4:$AB$209,22,0)</f>
        <v>0</v>
      </c>
      <c r="V20" s="232">
        <f>ROUND((VLOOKUP($B20,'Nomina Unhesa'!$B$4:$AB$209,23,0)),2)</f>
        <v>562.5</v>
      </c>
      <c r="W20" s="232">
        <f>VLOOKUP($B20,'Nomina Unhesa'!$B$4:$AB$209,24,0)</f>
        <v>8560.85</v>
      </c>
      <c r="X20" s="236">
        <f>VLOOKUP(B20,'Nomina Unhesa'!$B$9:$Z$163,25,FALSE)</f>
        <v>28649.15</v>
      </c>
      <c r="Y20" s="236">
        <f>ROUND((VLOOKUP(B20,'Nomina Unhesa'!$B$9:$AB$157,26,FALSE)),2)</f>
        <v>23387</v>
      </c>
      <c r="Z20" s="211">
        <f>VLOOKUP(B20,'Nomina Unhesa'!$B$9:$AB$158,27,FALSE)</f>
        <v>5262.1500000000015</v>
      </c>
      <c r="AA20" s="438">
        <v>173032483</v>
      </c>
      <c r="AB20" s="387">
        <f>+IFERROR(VLOOKUP(B20,'Nomina Unhesa'!B14:D159,3,0),"")</f>
        <v>19460</v>
      </c>
    </row>
    <row r="21" spans="1:7918" s="379" customFormat="1">
      <c r="A21" s="26" t="e">
        <f t="shared" si="0"/>
        <v>#REF!</v>
      </c>
      <c r="B21" s="388" t="s">
        <v>552</v>
      </c>
      <c r="C21" s="222">
        <v>142672384</v>
      </c>
      <c r="D21" s="386" t="s">
        <v>552</v>
      </c>
      <c r="E21" s="149" t="str">
        <f>VLOOKUP($B21,'Nomina Unhesa'!$B$4:$AB$209,2,0)</f>
        <v>Auxiliar de Mantenimiento</v>
      </c>
      <c r="F21" s="178">
        <f>VLOOKUP($B21,'Nomina Unhesa'!$B$4:$AB$209,4,0)</f>
        <v>30</v>
      </c>
      <c r="G21" s="231">
        <f>VLOOKUP($B21,'Nomina Unhesa'!$B$4:$AB$209,6,0)</f>
        <v>3166.38</v>
      </c>
      <c r="H21" s="231">
        <f>VLOOKUP($B21,'Nomina Unhesa'!$B$4:$AB$209,7,0)</f>
        <v>2625</v>
      </c>
      <c r="I21" s="231">
        <f>VLOOKUP($B21,'Nomina Unhesa'!$B$4:$AB$209,9,0)</f>
        <v>5</v>
      </c>
      <c r="J21" s="237">
        <f>VLOOKUP($B21,'Nomina Unhesa'!$B$4:$AB$209,10,0)</f>
        <v>98.95</v>
      </c>
      <c r="K21" s="231">
        <f>VLOOKUP($B21,'Nomina Unhesa'!$B$4:$AB$209,11,0)</f>
        <v>0</v>
      </c>
      <c r="L21" s="231">
        <f>VLOOKUP($B21,'Nomina Unhesa'!$B$4:$AB$209,12,0)</f>
        <v>0</v>
      </c>
      <c r="M21" s="231">
        <f>VLOOKUP($B21,'Nomina Unhesa'!$B$4:$AB$209,14,0)</f>
        <v>0</v>
      </c>
      <c r="N21" s="237">
        <f>VLOOKUP($B21,'Nomina Unhesa'!$B$4:$AB$209,15,0)</f>
        <v>5890.33</v>
      </c>
      <c r="O21" s="237">
        <f>VLOOKUP($B21,'Nomina Unhesa'!$B$4:$AB$209,16,0)</f>
        <v>157.72</v>
      </c>
      <c r="P21" s="237">
        <f>VLOOKUP($B21,'Nomina Unhesa'!$B$4:$AB$209,17,0)</f>
        <v>153.97</v>
      </c>
      <c r="Q21" s="237">
        <f>VLOOKUP($B21,'Nomina Unhesa'!$B$4:$AB$209,18,0)</f>
        <v>0</v>
      </c>
      <c r="R21" s="237">
        <f>VLOOKUP($B21,'Nomina Unhesa'!$B$4:$AB$209,19,0)</f>
        <v>0</v>
      </c>
      <c r="S21" s="237">
        <f>VLOOKUP($B21,'Nomina Unhesa'!$B$4:$AB$209,20,0)</f>
        <v>0</v>
      </c>
      <c r="T21" s="237">
        <f>VLOOKUP($B21,'Nomina Unhesa'!$B$4:$AB$209,21,0)</f>
        <v>0</v>
      </c>
      <c r="U21" s="237">
        <f>VLOOKUP($B21,'Nomina Unhesa'!$B$4:$AB$209,22,0)</f>
        <v>562.5</v>
      </c>
      <c r="V21" s="237">
        <f>ROUND((VLOOKUP($B21,'Nomina Unhesa'!$B$4:$AB$209,23,0)),2)</f>
        <v>50</v>
      </c>
      <c r="W21" s="237">
        <f>VLOOKUP($B21,'Nomina Unhesa'!$B$4:$AB$209,24,0)</f>
        <v>924.19</v>
      </c>
      <c r="X21" s="234">
        <f>VLOOKUP(B21,'Nomina Unhesa'!$B$9:$Z$163,25,FALSE)</f>
        <v>4966.1399999999994</v>
      </c>
      <c r="Y21" s="234">
        <f>ROUND((VLOOKUP(B21,'Nomina Unhesa'!$B$9:$AB$157,26,FALSE)),2)</f>
        <v>1369.22</v>
      </c>
      <c r="Z21" s="212">
        <f>VLOOKUP(B21,'Nomina Unhesa'!$B$9:$AB$158,27,FALSE)</f>
        <v>3596.9199999999992</v>
      </c>
      <c r="AA21" s="443">
        <v>184134807</v>
      </c>
      <c r="AB21" s="391">
        <f>+IFERROR(VLOOKUP(B21,'Nomina Unhesa'!B17:D162,3,0),"")</f>
        <v>3265.33</v>
      </c>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c r="LU21" s="3"/>
      <c r="LV21" s="3"/>
      <c r="LW21" s="3"/>
      <c r="LX21" s="3"/>
      <c r="LY21" s="3"/>
      <c r="LZ21" s="3"/>
      <c r="MA21" s="3"/>
      <c r="MB21" s="3"/>
      <c r="MC21" s="3"/>
      <c r="MD21" s="3"/>
      <c r="ME21" s="3"/>
      <c r="MF21" s="3"/>
      <c r="MG21" s="3"/>
      <c r="MH21" s="3"/>
      <c r="MI21" s="3"/>
      <c r="MJ21" s="3"/>
      <c r="MK21" s="3"/>
      <c r="ML21" s="3"/>
      <c r="MM21" s="3"/>
      <c r="MN21" s="3"/>
      <c r="MO21" s="3"/>
      <c r="MP21" s="3"/>
      <c r="MQ21" s="3"/>
      <c r="MR21" s="3"/>
      <c r="MS21" s="3"/>
      <c r="MT21" s="3"/>
      <c r="MU21" s="3"/>
      <c r="MV21" s="3"/>
      <c r="MW21" s="3"/>
      <c r="MX21" s="3"/>
      <c r="MY21" s="3"/>
      <c r="MZ21" s="3"/>
      <c r="NA21" s="3"/>
      <c r="NB21" s="3"/>
      <c r="NC21" s="3"/>
      <c r="ND21" s="3"/>
      <c r="NE21" s="3"/>
      <c r="NF21" s="3"/>
      <c r="NG21" s="3"/>
      <c r="NH21" s="3"/>
      <c r="NI21" s="3"/>
      <c r="NJ21" s="3"/>
      <c r="NK21" s="3"/>
      <c r="NL21" s="3"/>
      <c r="NM21" s="3"/>
      <c r="NN21" s="3"/>
      <c r="NO21" s="3"/>
      <c r="NP21" s="3"/>
      <c r="NQ21" s="3"/>
      <c r="NR21" s="3"/>
      <c r="NS21" s="3"/>
      <c r="NT21" s="3"/>
      <c r="NU21" s="3"/>
      <c r="NV21" s="3"/>
      <c r="NW21" s="3"/>
      <c r="NX21" s="3"/>
      <c r="NY21" s="3"/>
      <c r="NZ21" s="3"/>
      <c r="OA21" s="3"/>
      <c r="OB21" s="3"/>
      <c r="OC21" s="3"/>
      <c r="OD21" s="3"/>
      <c r="OE21" s="3"/>
      <c r="OF21" s="3"/>
      <c r="OG21" s="3"/>
      <c r="OH21" s="3"/>
      <c r="OI21" s="3"/>
      <c r="OJ21" s="3"/>
      <c r="OK21" s="3"/>
      <c r="OL21" s="3"/>
      <c r="OM21" s="3"/>
      <c r="ON21" s="3"/>
      <c r="OO21" s="3"/>
      <c r="OP21" s="3"/>
      <c r="OQ21" s="3"/>
      <c r="OR21" s="3"/>
      <c r="OS21" s="3"/>
      <c r="OT21" s="3"/>
      <c r="OU21" s="3"/>
      <c r="OV21" s="3"/>
      <c r="OW21" s="3"/>
      <c r="OX21" s="3"/>
      <c r="OY21" s="3"/>
      <c r="OZ21" s="3"/>
      <c r="PA21" s="3"/>
      <c r="PB21" s="3"/>
      <c r="PC21" s="3"/>
      <c r="PD21" s="3"/>
      <c r="PE21" s="3"/>
      <c r="PF21" s="3"/>
      <c r="PG21" s="3"/>
      <c r="PH21" s="3"/>
      <c r="PI21" s="3"/>
      <c r="PJ21" s="3"/>
      <c r="PK21" s="3"/>
      <c r="PL21" s="3"/>
      <c r="PM21" s="3"/>
      <c r="PN21" s="3"/>
      <c r="PO21" s="3"/>
      <c r="PP21" s="3"/>
      <c r="PQ21" s="3"/>
      <c r="PR21" s="3"/>
      <c r="PS21" s="3"/>
      <c r="PT21" s="3"/>
      <c r="PU21" s="3"/>
      <c r="PV21" s="3"/>
      <c r="PW21" s="3"/>
      <c r="PX21" s="3"/>
      <c r="PY21" s="3"/>
      <c r="PZ21" s="3"/>
      <c r="QA21" s="3"/>
      <c r="QB21" s="3"/>
      <c r="QC21" s="3"/>
      <c r="QD21" s="3"/>
      <c r="QE21" s="3"/>
      <c r="QF21" s="3"/>
      <c r="QG21" s="3"/>
      <c r="QH21" s="3"/>
      <c r="QI21" s="3"/>
      <c r="QJ21" s="3"/>
      <c r="QK21" s="3"/>
      <c r="QL21" s="3"/>
      <c r="QM21" s="3"/>
      <c r="QN21" s="3"/>
      <c r="QO21" s="3"/>
      <c r="QP21" s="3"/>
      <c r="QQ21" s="3"/>
      <c r="QR21" s="3"/>
      <c r="QS21" s="3"/>
      <c r="QT21" s="3"/>
      <c r="QU21" s="3"/>
      <c r="QV21" s="3"/>
      <c r="QW21" s="3"/>
      <c r="QX21" s="3"/>
      <c r="QY21" s="3"/>
      <c r="QZ21" s="3"/>
      <c r="RA21" s="3"/>
      <c r="RB21" s="3"/>
      <c r="RC21" s="3"/>
      <c r="RD21" s="3"/>
      <c r="RE21" s="3"/>
      <c r="RF21" s="3"/>
      <c r="RG21" s="3"/>
      <c r="RH21" s="3"/>
      <c r="RI21" s="3"/>
      <c r="RJ21" s="3"/>
      <c r="RK21" s="3"/>
      <c r="RL21" s="3"/>
      <c r="RM21" s="3"/>
      <c r="RN21" s="3"/>
      <c r="RO21" s="3"/>
      <c r="RP21" s="3"/>
      <c r="RQ21" s="3"/>
      <c r="RR21" s="3"/>
      <c r="RS21" s="3"/>
      <c r="RT21" s="3"/>
      <c r="RU21" s="3"/>
      <c r="RV21" s="3"/>
      <c r="RW21" s="3"/>
      <c r="RX21" s="3"/>
      <c r="RY21" s="3"/>
      <c r="RZ21" s="3"/>
      <c r="SA21" s="3"/>
      <c r="SB21" s="3"/>
      <c r="SC21" s="3"/>
      <c r="SD21" s="3"/>
      <c r="SE21" s="3"/>
      <c r="SF21" s="3"/>
      <c r="SG21" s="3"/>
      <c r="SH21" s="3"/>
      <c r="SI21" s="3"/>
      <c r="SJ21" s="3"/>
      <c r="SK21" s="3"/>
      <c r="SL21" s="3"/>
      <c r="SM21" s="3"/>
      <c r="SN21" s="3"/>
      <c r="SO21" s="3"/>
      <c r="SP21" s="3"/>
      <c r="SQ21" s="3"/>
      <c r="SR21" s="3"/>
      <c r="SS21" s="3"/>
      <c r="ST21" s="3"/>
      <c r="SU21" s="3"/>
      <c r="SV21" s="3"/>
      <c r="SW21" s="3"/>
      <c r="SX21" s="3"/>
      <c r="SY21" s="3"/>
      <c r="SZ21" s="3"/>
      <c r="TA21" s="3"/>
      <c r="TB21" s="3"/>
      <c r="TC21" s="3"/>
      <c r="TD21" s="3"/>
      <c r="TE21" s="3"/>
      <c r="TF21" s="3"/>
      <c r="TG21" s="3"/>
      <c r="TH21" s="3"/>
      <c r="TI21" s="3"/>
      <c r="TJ21" s="3"/>
      <c r="TK21" s="3"/>
      <c r="TL21" s="3"/>
      <c r="TM21" s="3"/>
      <c r="TN21" s="3"/>
      <c r="TO21" s="3"/>
      <c r="TP21" s="3"/>
      <c r="TQ21" s="3"/>
      <c r="TR21" s="3"/>
      <c r="TS21" s="3"/>
      <c r="TT21" s="3"/>
      <c r="TU21" s="3"/>
      <c r="TV21" s="3"/>
      <c r="TW21" s="3"/>
      <c r="TX21" s="3"/>
      <c r="TY21" s="3"/>
      <c r="TZ21" s="3"/>
      <c r="UA21" s="3"/>
      <c r="UB21" s="3"/>
      <c r="UC21" s="3"/>
      <c r="UD21" s="3"/>
      <c r="UE21" s="3"/>
      <c r="UF21" s="3"/>
      <c r="UG21" s="3"/>
      <c r="UH21" s="3"/>
      <c r="UI21" s="3"/>
      <c r="UJ21" s="3"/>
      <c r="UK21" s="3"/>
      <c r="UL21" s="3"/>
      <c r="UM21" s="3"/>
      <c r="UN21" s="3"/>
      <c r="UO21" s="3"/>
      <c r="UP21" s="3"/>
      <c r="UQ21" s="3"/>
      <c r="UR21" s="3"/>
      <c r="US21" s="3"/>
      <c r="UT21" s="3"/>
      <c r="UU21" s="3"/>
      <c r="UV21" s="3"/>
      <c r="UW21" s="3"/>
      <c r="UX21" s="3"/>
      <c r="UY21" s="3"/>
      <c r="UZ21" s="3"/>
      <c r="VA21" s="3"/>
      <c r="VB21" s="3"/>
      <c r="VC21" s="3"/>
      <c r="VD21" s="3"/>
      <c r="VE21" s="3"/>
      <c r="VF21" s="3"/>
      <c r="VG21" s="3"/>
      <c r="VH21" s="3"/>
      <c r="VI21" s="3"/>
      <c r="VJ21" s="3"/>
      <c r="VK21" s="3"/>
      <c r="VL21" s="3"/>
      <c r="VM21" s="3"/>
      <c r="VN21" s="3"/>
      <c r="VO21" s="3"/>
      <c r="VP21" s="3"/>
      <c r="VQ21" s="3"/>
      <c r="VR21" s="3"/>
      <c r="VS21" s="3"/>
      <c r="VT21" s="3"/>
      <c r="VU21" s="3"/>
      <c r="VV21" s="3"/>
      <c r="VW21" s="3"/>
      <c r="VX21" s="3"/>
      <c r="VY21" s="3"/>
      <c r="VZ21" s="3"/>
      <c r="WA21" s="3"/>
      <c r="WB21" s="3"/>
      <c r="WC21" s="3"/>
      <c r="WD21" s="3"/>
      <c r="WE21" s="3"/>
      <c r="WF21" s="3"/>
      <c r="WG21" s="3"/>
      <c r="WH21" s="3"/>
      <c r="WI21" s="3"/>
      <c r="WJ21" s="3"/>
      <c r="WK21" s="3"/>
      <c r="WL21" s="3"/>
      <c r="WM21" s="3"/>
      <c r="WN21" s="3"/>
      <c r="WO21" s="3"/>
      <c r="WP21" s="3"/>
      <c r="WQ21" s="3"/>
      <c r="WR21" s="3"/>
      <c r="WS21" s="3"/>
      <c r="WT21" s="3"/>
      <c r="WU21" s="3"/>
      <c r="WV21" s="3"/>
      <c r="WW21" s="3"/>
      <c r="WX21" s="3"/>
      <c r="WY21" s="3"/>
      <c r="WZ21" s="3"/>
      <c r="XA21" s="3"/>
      <c r="XB21" s="3"/>
      <c r="XC21" s="3"/>
      <c r="XD21" s="3"/>
      <c r="XE21" s="3"/>
      <c r="XF21" s="3"/>
      <c r="XG21" s="3"/>
      <c r="XH21" s="3"/>
      <c r="XI21" s="3"/>
      <c r="XJ21" s="3"/>
      <c r="XK21" s="3"/>
      <c r="XL21" s="3"/>
      <c r="XM21" s="3"/>
      <c r="XN21" s="3"/>
      <c r="XO21" s="3"/>
      <c r="XP21" s="3"/>
      <c r="XQ21" s="3"/>
      <c r="XR21" s="3"/>
      <c r="XS21" s="3"/>
      <c r="XT21" s="3"/>
      <c r="XU21" s="3"/>
      <c r="XV21" s="3"/>
      <c r="XW21" s="3"/>
      <c r="XX21" s="3"/>
      <c r="XY21" s="3"/>
      <c r="XZ21" s="3"/>
      <c r="YA21" s="3"/>
      <c r="YB21" s="3"/>
      <c r="YC21" s="3"/>
      <c r="YD21" s="3"/>
      <c r="YE21" s="3"/>
      <c r="YF21" s="3"/>
      <c r="YG21" s="3"/>
      <c r="YH21" s="3"/>
      <c r="YI21" s="3"/>
      <c r="YJ21" s="3"/>
      <c r="YK21" s="3"/>
      <c r="YL21" s="3"/>
      <c r="YM21" s="3"/>
      <c r="YN21" s="3"/>
      <c r="YO21" s="3"/>
      <c r="YP21" s="3"/>
      <c r="YQ21" s="3"/>
      <c r="YR21" s="3"/>
      <c r="YS21" s="3"/>
      <c r="YT21" s="3"/>
      <c r="YU21" s="3"/>
      <c r="YV21" s="3"/>
      <c r="YW21" s="3"/>
      <c r="YX21" s="3"/>
      <c r="YY21" s="3"/>
      <c r="YZ21" s="3"/>
      <c r="ZA21" s="3"/>
      <c r="ZB21" s="3"/>
      <c r="ZC21" s="3"/>
      <c r="ZD21" s="3"/>
      <c r="ZE21" s="3"/>
      <c r="ZF21" s="3"/>
      <c r="ZG21" s="3"/>
      <c r="ZH21" s="3"/>
      <c r="ZI21" s="3"/>
      <c r="ZJ21" s="3"/>
      <c r="ZK21" s="3"/>
      <c r="ZL21" s="3"/>
      <c r="ZM21" s="3"/>
      <c r="ZN21" s="3"/>
      <c r="ZO21" s="3"/>
      <c r="ZP21" s="3"/>
      <c r="ZQ21" s="3"/>
      <c r="ZR21" s="3"/>
      <c r="ZS21" s="3"/>
      <c r="ZT21" s="3"/>
      <c r="ZU21" s="3"/>
      <c r="ZV21" s="3"/>
      <c r="ZW21" s="3"/>
      <c r="ZX21" s="3"/>
      <c r="ZY21" s="3"/>
      <c r="ZZ21" s="3"/>
      <c r="AAA21" s="3"/>
      <c r="AAB21" s="3"/>
      <c r="AAC21" s="3"/>
      <c r="AAD21" s="3"/>
      <c r="AAE21" s="3"/>
      <c r="AAF21" s="3"/>
      <c r="AAG21" s="3"/>
      <c r="AAH21" s="3"/>
      <c r="AAI21" s="3"/>
      <c r="AAJ21" s="3"/>
      <c r="AAK21" s="3"/>
      <c r="AAL21" s="3"/>
      <c r="AAM21" s="3"/>
      <c r="AAN21" s="3"/>
      <c r="AAO21" s="3"/>
      <c r="AAP21" s="3"/>
      <c r="AAQ21" s="3"/>
      <c r="AAR21" s="3"/>
      <c r="AAS21" s="3"/>
      <c r="AAT21" s="3"/>
      <c r="AAU21" s="3"/>
      <c r="AAV21" s="3"/>
      <c r="AAW21" s="3"/>
      <c r="AAX21" s="3"/>
      <c r="AAY21" s="3"/>
      <c r="AAZ21" s="3"/>
      <c r="ABA21" s="3"/>
      <c r="ABB21" s="3"/>
      <c r="ABC21" s="3"/>
      <c r="ABD21" s="3"/>
      <c r="ABE21" s="3"/>
      <c r="ABF21" s="3"/>
      <c r="ABG21" s="3"/>
      <c r="ABH21" s="3"/>
      <c r="ABI21" s="3"/>
      <c r="ABJ21" s="3"/>
      <c r="ABK21" s="3"/>
      <c r="ABL21" s="3"/>
      <c r="ABM21" s="3"/>
      <c r="ABN21" s="3"/>
      <c r="ABO21" s="3"/>
      <c r="ABP21" s="3"/>
      <c r="ABQ21" s="3"/>
      <c r="ABR21" s="3"/>
      <c r="ABS21" s="3"/>
      <c r="ABT21" s="3"/>
      <c r="ABU21" s="3"/>
      <c r="ABV21" s="3"/>
      <c r="ABW21" s="3"/>
      <c r="ABX21" s="3"/>
      <c r="ABY21" s="3"/>
      <c r="ABZ21" s="3"/>
      <c r="ACA21" s="3"/>
      <c r="ACB21" s="3"/>
      <c r="ACC21" s="3"/>
      <c r="ACD21" s="3"/>
      <c r="ACE21" s="3"/>
      <c r="ACF21" s="3"/>
      <c r="ACG21" s="3"/>
      <c r="ACH21" s="3"/>
      <c r="ACI21" s="3"/>
      <c r="ACJ21" s="3"/>
      <c r="ACK21" s="3"/>
      <c r="ACL21" s="3"/>
      <c r="ACM21" s="3"/>
      <c r="ACN21" s="3"/>
      <c r="ACO21" s="3"/>
      <c r="ACP21" s="3"/>
      <c r="ACQ21" s="3"/>
      <c r="ACR21" s="3"/>
      <c r="ACS21" s="3"/>
      <c r="ACT21" s="3"/>
      <c r="ACU21" s="3"/>
      <c r="ACV21" s="3"/>
      <c r="ACW21" s="3"/>
      <c r="ACX21" s="3"/>
      <c r="ACY21" s="3"/>
      <c r="ACZ21" s="3"/>
      <c r="ADA21" s="3"/>
      <c r="ADB21" s="3"/>
      <c r="ADC21" s="3"/>
      <c r="ADD21" s="3"/>
      <c r="ADE21" s="3"/>
      <c r="ADF21" s="3"/>
      <c r="ADG21" s="3"/>
      <c r="ADH21" s="3"/>
      <c r="ADI21" s="3"/>
      <c r="ADJ21" s="3"/>
      <c r="ADK21" s="3"/>
      <c r="ADL21" s="3"/>
      <c r="ADM21" s="3"/>
      <c r="ADN21" s="3"/>
      <c r="ADO21" s="3"/>
      <c r="ADP21" s="3"/>
      <c r="ADQ21" s="3"/>
      <c r="ADR21" s="3"/>
      <c r="ADS21" s="3"/>
      <c r="ADT21" s="3"/>
      <c r="ADU21" s="3"/>
      <c r="ADV21" s="3"/>
      <c r="ADW21" s="3"/>
      <c r="ADX21" s="3"/>
      <c r="ADY21" s="3"/>
      <c r="ADZ21" s="3"/>
      <c r="AEA21" s="3"/>
      <c r="AEB21" s="3"/>
      <c r="AEC21" s="3"/>
      <c r="AED21" s="3"/>
      <c r="AEE21" s="3"/>
      <c r="AEF21" s="3"/>
      <c r="AEG21" s="3"/>
      <c r="AEH21" s="3"/>
      <c r="AEI21" s="3"/>
      <c r="AEJ21" s="3"/>
      <c r="AEK21" s="3"/>
      <c r="AEL21" s="3"/>
      <c r="AEM21" s="3"/>
      <c r="AEN21" s="3"/>
      <c r="AEO21" s="3"/>
      <c r="AEP21" s="3"/>
      <c r="AEQ21" s="3"/>
      <c r="AER21" s="3"/>
      <c r="AES21" s="3"/>
      <c r="AET21" s="3"/>
      <c r="AEU21" s="3"/>
      <c r="AEV21" s="3"/>
      <c r="AEW21" s="3"/>
      <c r="AEX21" s="3"/>
      <c r="AEY21" s="3"/>
      <c r="AEZ21" s="3"/>
      <c r="AFA21" s="3"/>
      <c r="AFB21" s="3"/>
      <c r="AFC21" s="3"/>
      <c r="AFD21" s="3"/>
      <c r="AFE21" s="3"/>
      <c r="AFF21" s="3"/>
      <c r="AFG21" s="3"/>
      <c r="AFH21" s="3"/>
      <c r="AFI21" s="3"/>
      <c r="AFJ21" s="3"/>
      <c r="AFK21" s="3"/>
      <c r="AFL21" s="3"/>
      <c r="AFM21" s="3"/>
      <c r="AFN21" s="3"/>
      <c r="AFO21" s="3"/>
      <c r="AFP21" s="3"/>
      <c r="AFQ21" s="3"/>
      <c r="AFR21" s="3"/>
      <c r="AFS21" s="3"/>
      <c r="AFT21" s="3"/>
      <c r="AFU21" s="3"/>
      <c r="AFV21" s="3"/>
      <c r="AFW21" s="3"/>
      <c r="AFX21" s="3"/>
      <c r="AFY21" s="3"/>
      <c r="AFZ21" s="3"/>
      <c r="AGA21" s="3"/>
      <c r="AGB21" s="3"/>
      <c r="AGC21" s="3"/>
      <c r="AGD21" s="3"/>
      <c r="AGE21" s="3"/>
      <c r="AGF21" s="3"/>
      <c r="AGG21" s="3"/>
      <c r="AGH21" s="3"/>
      <c r="AGI21" s="3"/>
      <c r="AGJ21" s="3"/>
      <c r="AGK21" s="3"/>
      <c r="AGL21" s="3"/>
      <c r="AGM21" s="3"/>
      <c r="AGN21" s="3"/>
      <c r="AGO21" s="3"/>
      <c r="AGP21" s="3"/>
      <c r="AGQ21" s="3"/>
      <c r="AGR21" s="3"/>
      <c r="AGS21" s="3"/>
      <c r="AGT21" s="3"/>
      <c r="AGU21" s="3"/>
      <c r="AGV21" s="3"/>
      <c r="AGW21" s="3"/>
      <c r="AGX21" s="3"/>
      <c r="AGY21" s="3"/>
      <c r="AGZ21" s="3"/>
      <c r="AHA21" s="3"/>
      <c r="AHB21" s="3"/>
      <c r="AHC21" s="3"/>
      <c r="AHD21" s="3"/>
      <c r="AHE21" s="3"/>
      <c r="AHF21" s="3"/>
      <c r="AHG21" s="3"/>
      <c r="AHH21" s="3"/>
      <c r="AHI21" s="3"/>
      <c r="AHJ21" s="3"/>
      <c r="AHK21" s="3"/>
      <c r="AHL21" s="3"/>
      <c r="AHM21" s="3"/>
      <c r="AHN21" s="3"/>
      <c r="AHO21" s="3"/>
      <c r="AHP21" s="3"/>
      <c r="AHQ21" s="3"/>
      <c r="AHR21" s="3"/>
      <c r="AHS21" s="3"/>
      <c r="AHT21" s="3"/>
      <c r="AHU21" s="3"/>
      <c r="AHV21" s="3"/>
      <c r="AHW21" s="3"/>
      <c r="AHX21" s="3"/>
      <c r="AHY21" s="3"/>
      <c r="AHZ21" s="3"/>
      <c r="AIA21" s="3"/>
      <c r="AIB21" s="3"/>
      <c r="AIC21" s="3"/>
      <c r="AID21" s="3"/>
      <c r="AIE21" s="3"/>
      <c r="AIF21" s="3"/>
      <c r="AIG21" s="3"/>
      <c r="AIH21" s="3"/>
      <c r="AII21" s="3"/>
      <c r="AIJ21" s="3"/>
      <c r="AIK21" s="3"/>
      <c r="AIL21" s="3"/>
      <c r="AIM21" s="3"/>
      <c r="AIN21" s="3"/>
      <c r="AIO21" s="3"/>
      <c r="AIP21" s="3"/>
      <c r="AIQ21" s="3"/>
      <c r="AIR21" s="3"/>
      <c r="AIS21" s="3"/>
      <c r="AIT21" s="3"/>
      <c r="AIU21" s="3"/>
      <c r="AIV21" s="3"/>
      <c r="AIW21" s="3"/>
      <c r="AIX21" s="3"/>
      <c r="AIY21" s="3"/>
      <c r="AIZ21" s="3"/>
      <c r="AJA21" s="3"/>
      <c r="AJB21" s="3"/>
      <c r="AJC21" s="3"/>
      <c r="AJD21" s="3"/>
      <c r="AJE21" s="3"/>
      <c r="AJF21" s="3"/>
      <c r="AJG21" s="3"/>
      <c r="AJH21" s="3"/>
      <c r="AJI21" s="3"/>
      <c r="AJJ21" s="3"/>
      <c r="AJK21" s="3"/>
      <c r="AJL21" s="3"/>
      <c r="AJM21" s="3"/>
      <c r="AJN21" s="3"/>
      <c r="AJO21" s="3"/>
      <c r="AJP21" s="3"/>
      <c r="AJQ21" s="3"/>
      <c r="AJR21" s="3"/>
      <c r="AJS21" s="3"/>
      <c r="AJT21" s="3"/>
      <c r="AJU21" s="3"/>
      <c r="AJV21" s="3"/>
      <c r="AJW21" s="3"/>
      <c r="AJX21" s="3"/>
      <c r="AJY21" s="3"/>
      <c r="AJZ21" s="3"/>
      <c r="AKA21" s="3"/>
      <c r="AKB21" s="3"/>
      <c r="AKC21" s="3"/>
      <c r="AKD21" s="3"/>
      <c r="AKE21" s="3"/>
      <c r="AKF21" s="3"/>
      <c r="AKG21" s="3"/>
      <c r="AKH21" s="3"/>
      <c r="AKI21" s="3"/>
      <c r="AKJ21" s="3"/>
      <c r="AKK21" s="3"/>
      <c r="AKL21" s="3"/>
      <c r="AKM21" s="3"/>
      <c r="AKN21" s="3"/>
      <c r="AKO21" s="3"/>
      <c r="AKP21" s="3"/>
      <c r="AKQ21" s="3"/>
      <c r="AKR21" s="3"/>
      <c r="AKS21" s="3"/>
      <c r="AKT21" s="3"/>
      <c r="AKU21" s="3"/>
      <c r="AKV21" s="3"/>
      <c r="AKW21" s="3"/>
      <c r="AKX21" s="3"/>
      <c r="AKY21" s="3"/>
      <c r="AKZ21" s="3"/>
      <c r="ALA21" s="3"/>
      <c r="ALB21" s="3"/>
      <c r="ALC21" s="3"/>
      <c r="ALD21" s="3"/>
      <c r="ALE21" s="3"/>
      <c r="ALF21" s="3"/>
      <c r="ALG21" s="3"/>
      <c r="ALH21" s="3"/>
      <c r="ALI21" s="3"/>
      <c r="ALJ21" s="3"/>
      <c r="ALK21" s="3"/>
      <c r="ALL21" s="3"/>
      <c r="ALM21" s="3"/>
      <c r="ALN21" s="3"/>
      <c r="ALO21" s="3"/>
      <c r="ALP21" s="3"/>
      <c r="ALQ21" s="3"/>
      <c r="ALR21" s="3"/>
      <c r="ALS21" s="3"/>
      <c r="ALT21" s="3"/>
      <c r="ALU21" s="3"/>
      <c r="ALV21" s="3"/>
      <c r="ALW21" s="3"/>
      <c r="ALX21" s="3"/>
      <c r="ALY21" s="3"/>
      <c r="ALZ21" s="3"/>
      <c r="AMA21" s="3"/>
      <c r="AMB21" s="3"/>
      <c r="AMC21" s="3"/>
      <c r="AMD21" s="3"/>
      <c r="AME21" s="3"/>
      <c r="AMF21" s="3"/>
      <c r="AMG21" s="3"/>
      <c r="AMH21" s="3"/>
      <c r="AMI21" s="3"/>
      <c r="AMJ21" s="3"/>
      <c r="AMK21" s="3"/>
      <c r="AML21" s="3"/>
      <c r="AMM21" s="3"/>
      <c r="AMN21" s="3"/>
      <c r="AMO21" s="3"/>
      <c r="AMP21" s="3"/>
      <c r="AMQ21" s="3"/>
      <c r="AMR21" s="3"/>
      <c r="AMS21" s="3"/>
      <c r="AMT21" s="3"/>
      <c r="AMU21" s="3"/>
      <c r="AMV21" s="3"/>
      <c r="AMW21" s="3"/>
      <c r="AMX21" s="3"/>
      <c r="AMY21" s="3"/>
      <c r="AMZ21" s="3"/>
      <c r="ANA21" s="3"/>
      <c r="ANB21" s="3"/>
      <c r="ANC21" s="3"/>
      <c r="AND21" s="3"/>
      <c r="ANE21" s="3"/>
      <c r="ANF21" s="3"/>
      <c r="ANG21" s="3"/>
      <c r="ANH21" s="3"/>
      <c r="ANI21" s="3"/>
      <c r="ANJ21" s="3"/>
      <c r="ANK21" s="3"/>
      <c r="ANL21" s="3"/>
      <c r="ANM21" s="3"/>
      <c r="ANN21" s="3"/>
      <c r="ANO21" s="3"/>
      <c r="ANP21" s="3"/>
      <c r="ANQ21" s="3"/>
      <c r="ANR21" s="3"/>
      <c r="ANS21" s="3"/>
      <c r="ANT21" s="3"/>
      <c r="ANU21" s="3"/>
      <c r="ANV21" s="3"/>
      <c r="ANW21" s="3"/>
      <c r="ANX21" s="3"/>
      <c r="ANY21" s="3"/>
      <c r="ANZ21" s="3"/>
      <c r="AOA21" s="3"/>
      <c r="AOB21" s="3"/>
      <c r="AOC21" s="3"/>
      <c r="AOD21" s="3"/>
      <c r="AOE21" s="3"/>
      <c r="AOF21" s="3"/>
      <c r="AOG21" s="3"/>
      <c r="AOH21" s="3"/>
      <c r="AOI21" s="3"/>
      <c r="AOJ21" s="3"/>
      <c r="AOK21" s="3"/>
      <c r="AOL21" s="3"/>
      <c r="AOM21" s="3"/>
      <c r="AON21" s="3"/>
      <c r="AOO21" s="3"/>
      <c r="AOP21" s="3"/>
      <c r="AOQ21" s="3"/>
      <c r="AOR21" s="3"/>
      <c r="AOS21" s="3"/>
      <c r="AOT21" s="3"/>
      <c r="AOU21" s="3"/>
      <c r="AOV21" s="3"/>
      <c r="AOW21" s="3"/>
      <c r="AOX21" s="3"/>
      <c r="AOY21" s="3"/>
      <c r="AOZ21" s="3"/>
      <c r="APA21" s="3"/>
      <c r="APB21" s="3"/>
      <c r="APC21" s="3"/>
      <c r="APD21" s="3"/>
      <c r="APE21" s="3"/>
      <c r="APF21" s="3"/>
      <c r="APG21" s="3"/>
      <c r="APH21" s="3"/>
      <c r="API21" s="3"/>
      <c r="APJ21" s="3"/>
      <c r="APK21" s="3"/>
      <c r="APL21" s="3"/>
      <c r="APM21" s="3"/>
      <c r="APN21" s="3"/>
      <c r="APO21" s="3"/>
      <c r="APP21" s="3"/>
      <c r="APQ21" s="3"/>
      <c r="APR21" s="3"/>
      <c r="APS21" s="3"/>
      <c r="APT21" s="3"/>
      <c r="APU21" s="3"/>
      <c r="APV21" s="3"/>
      <c r="APW21" s="3"/>
      <c r="APX21" s="3"/>
      <c r="APY21" s="3"/>
      <c r="APZ21" s="3"/>
      <c r="AQA21" s="3"/>
      <c r="AQB21" s="3"/>
      <c r="AQC21" s="3"/>
      <c r="AQD21" s="3"/>
      <c r="AQE21" s="3"/>
      <c r="AQF21" s="3"/>
      <c r="AQG21" s="3"/>
      <c r="AQH21" s="3"/>
      <c r="AQI21" s="3"/>
      <c r="AQJ21" s="3"/>
      <c r="AQK21" s="3"/>
      <c r="AQL21" s="3"/>
      <c r="AQM21" s="3"/>
      <c r="AQN21" s="3"/>
      <c r="AQO21" s="3"/>
      <c r="AQP21" s="3"/>
      <c r="AQQ21" s="3"/>
      <c r="AQR21" s="3"/>
      <c r="AQS21" s="3"/>
      <c r="AQT21" s="3"/>
      <c r="AQU21" s="3"/>
      <c r="AQV21" s="3"/>
      <c r="AQW21" s="3"/>
      <c r="AQX21" s="3"/>
      <c r="AQY21" s="3"/>
      <c r="AQZ21" s="3"/>
      <c r="ARA21" s="3"/>
      <c r="ARB21" s="3"/>
      <c r="ARC21" s="3"/>
      <c r="ARD21" s="3"/>
      <c r="ARE21" s="3"/>
      <c r="ARF21" s="3"/>
      <c r="ARG21" s="3"/>
      <c r="ARH21" s="3"/>
      <c r="ARI21" s="3"/>
      <c r="ARJ21" s="3"/>
      <c r="ARK21" s="3"/>
      <c r="ARL21" s="3"/>
      <c r="ARM21" s="3"/>
      <c r="ARN21" s="3"/>
      <c r="ARO21" s="3"/>
      <c r="ARP21" s="3"/>
      <c r="ARQ21" s="3"/>
      <c r="ARR21" s="3"/>
      <c r="ARS21" s="3"/>
      <c r="ART21" s="3"/>
      <c r="ARU21" s="3"/>
      <c r="ARV21" s="3"/>
      <c r="ARW21" s="3"/>
      <c r="ARX21" s="3"/>
      <c r="ARY21" s="3"/>
      <c r="ARZ21" s="3"/>
      <c r="ASA21" s="3"/>
      <c r="ASB21" s="3"/>
      <c r="ASC21" s="3"/>
      <c r="ASD21" s="3"/>
      <c r="ASE21" s="3"/>
      <c r="ASF21" s="3"/>
      <c r="ASG21" s="3"/>
      <c r="ASH21" s="3"/>
      <c r="ASI21" s="3"/>
      <c r="ASJ21" s="3"/>
      <c r="ASK21" s="3"/>
      <c r="ASL21" s="3"/>
      <c r="ASM21" s="3"/>
      <c r="ASN21" s="3"/>
      <c r="ASO21" s="3"/>
      <c r="ASP21" s="3"/>
      <c r="ASQ21" s="3"/>
      <c r="ASR21" s="3"/>
      <c r="ASS21" s="3"/>
      <c r="AST21" s="3"/>
      <c r="ASU21" s="3"/>
      <c r="ASV21" s="3"/>
      <c r="ASW21" s="3"/>
      <c r="ASX21" s="3"/>
      <c r="ASY21" s="3"/>
      <c r="ASZ21" s="3"/>
      <c r="ATA21" s="3"/>
      <c r="ATB21" s="3"/>
      <c r="ATC21" s="3"/>
      <c r="ATD21" s="3"/>
      <c r="ATE21" s="3"/>
      <c r="ATF21" s="3"/>
      <c r="ATG21" s="3"/>
      <c r="ATH21" s="3"/>
      <c r="ATI21" s="3"/>
      <c r="ATJ21" s="3"/>
      <c r="ATK21" s="3"/>
      <c r="ATL21" s="3"/>
      <c r="ATM21" s="3"/>
      <c r="ATN21" s="3"/>
      <c r="ATO21" s="3"/>
      <c r="ATP21" s="3"/>
      <c r="ATQ21" s="3"/>
      <c r="ATR21" s="3"/>
      <c r="ATS21" s="3"/>
      <c r="ATT21" s="3"/>
      <c r="ATU21" s="3"/>
      <c r="ATV21" s="3"/>
      <c r="ATW21" s="3"/>
      <c r="ATX21" s="3"/>
      <c r="ATY21" s="3"/>
      <c r="ATZ21" s="3"/>
      <c r="AUA21" s="3"/>
      <c r="AUB21" s="3"/>
      <c r="AUC21" s="3"/>
      <c r="AUD21" s="3"/>
      <c r="AUE21" s="3"/>
      <c r="AUF21" s="3"/>
      <c r="AUG21" s="3"/>
      <c r="AUH21" s="3"/>
      <c r="AUI21" s="3"/>
      <c r="AUJ21" s="3"/>
      <c r="AUK21" s="3"/>
      <c r="AUL21" s="3"/>
      <c r="AUM21" s="3"/>
      <c r="AUN21" s="3"/>
      <c r="AUO21" s="3"/>
      <c r="AUP21" s="3"/>
      <c r="AUQ21" s="3"/>
      <c r="AUR21" s="3"/>
      <c r="AUS21" s="3"/>
      <c r="AUT21" s="3"/>
      <c r="AUU21" s="3"/>
      <c r="AUV21" s="3"/>
      <c r="AUW21" s="3"/>
      <c r="AUX21" s="3"/>
      <c r="AUY21" s="3"/>
      <c r="AUZ21" s="3"/>
      <c r="AVA21" s="3"/>
      <c r="AVB21" s="3"/>
      <c r="AVC21" s="3"/>
      <c r="AVD21" s="3"/>
      <c r="AVE21" s="3"/>
      <c r="AVF21" s="3"/>
      <c r="AVG21" s="3"/>
      <c r="AVH21" s="3"/>
      <c r="AVI21" s="3"/>
      <c r="AVJ21" s="3"/>
      <c r="AVK21" s="3"/>
      <c r="AVL21" s="3"/>
      <c r="AVM21" s="3"/>
      <c r="AVN21" s="3"/>
      <c r="AVO21" s="3"/>
      <c r="AVP21" s="3"/>
      <c r="AVQ21" s="3"/>
      <c r="AVR21" s="3"/>
      <c r="AVS21" s="3"/>
      <c r="AVT21" s="3"/>
      <c r="AVU21" s="3"/>
      <c r="AVV21" s="3"/>
      <c r="AVW21" s="3"/>
      <c r="AVX21" s="3"/>
      <c r="AVY21" s="3"/>
      <c r="AVZ21" s="3"/>
      <c r="AWA21" s="3"/>
      <c r="AWB21" s="3"/>
      <c r="AWC21" s="3"/>
      <c r="AWD21" s="3"/>
      <c r="AWE21" s="3"/>
      <c r="AWF21" s="3"/>
      <c r="AWG21" s="3"/>
      <c r="AWH21" s="3"/>
      <c r="AWI21" s="3"/>
      <c r="AWJ21" s="3"/>
      <c r="AWK21" s="3"/>
      <c r="AWL21" s="3"/>
      <c r="AWM21" s="3"/>
      <c r="AWN21" s="3"/>
      <c r="AWO21" s="3"/>
      <c r="AWP21" s="3"/>
      <c r="AWQ21" s="3"/>
      <c r="AWR21" s="3"/>
      <c r="AWS21" s="3"/>
      <c r="AWT21" s="3"/>
      <c r="AWU21" s="3"/>
      <c r="AWV21" s="3"/>
      <c r="AWW21" s="3"/>
      <c r="AWX21" s="3"/>
      <c r="AWY21" s="3"/>
      <c r="AWZ21" s="3"/>
      <c r="AXA21" s="3"/>
      <c r="AXB21" s="3"/>
      <c r="AXC21" s="3"/>
      <c r="AXD21" s="3"/>
      <c r="AXE21" s="3"/>
      <c r="AXF21" s="3"/>
      <c r="AXG21" s="3"/>
      <c r="AXH21" s="3"/>
      <c r="AXI21" s="3"/>
      <c r="AXJ21" s="3"/>
      <c r="AXK21" s="3"/>
      <c r="AXL21" s="3"/>
      <c r="AXM21" s="3"/>
      <c r="AXN21" s="3"/>
      <c r="AXO21" s="3"/>
      <c r="AXP21" s="3"/>
      <c r="AXQ21" s="3"/>
      <c r="AXR21" s="3"/>
      <c r="AXS21" s="3"/>
      <c r="AXT21" s="3"/>
      <c r="AXU21" s="3"/>
      <c r="AXV21" s="3"/>
      <c r="AXW21" s="3"/>
      <c r="AXX21" s="3"/>
      <c r="AXY21" s="3"/>
      <c r="AXZ21" s="3"/>
      <c r="AYA21" s="3"/>
      <c r="AYB21" s="3"/>
      <c r="AYC21" s="3"/>
      <c r="AYD21" s="3"/>
      <c r="AYE21" s="3"/>
      <c r="AYF21" s="3"/>
      <c r="AYG21" s="3"/>
      <c r="AYH21" s="3"/>
      <c r="AYI21" s="3"/>
      <c r="AYJ21" s="3"/>
      <c r="AYK21" s="3"/>
      <c r="AYL21" s="3"/>
      <c r="AYM21" s="3"/>
      <c r="AYN21" s="3"/>
      <c r="AYO21" s="3"/>
      <c r="AYP21" s="3"/>
      <c r="AYQ21" s="3"/>
      <c r="AYR21" s="3"/>
      <c r="AYS21" s="3"/>
      <c r="AYT21" s="3"/>
      <c r="AYU21" s="3"/>
      <c r="AYV21" s="3"/>
      <c r="AYW21" s="3"/>
      <c r="AYX21" s="3"/>
      <c r="AYY21" s="3"/>
      <c r="AYZ21" s="3"/>
      <c r="AZA21" s="3"/>
      <c r="AZB21" s="3"/>
      <c r="AZC21" s="3"/>
      <c r="AZD21" s="3"/>
      <c r="AZE21" s="3"/>
      <c r="AZF21" s="3"/>
      <c r="AZG21" s="3"/>
      <c r="AZH21" s="3"/>
      <c r="AZI21" s="3"/>
      <c r="AZJ21" s="3"/>
      <c r="AZK21" s="3"/>
      <c r="AZL21" s="3"/>
      <c r="AZM21" s="3"/>
      <c r="AZN21" s="3"/>
      <c r="AZO21" s="3"/>
      <c r="AZP21" s="3"/>
      <c r="AZQ21" s="3"/>
      <c r="AZR21" s="3"/>
      <c r="AZS21" s="3"/>
      <c r="AZT21" s="3"/>
      <c r="AZU21" s="3"/>
      <c r="AZV21" s="3"/>
      <c r="AZW21" s="3"/>
      <c r="AZX21" s="3"/>
      <c r="AZY21" s="3"/>
      <c r="AZZ21" s="3"/>
      <c r="BAA21" s="3"/>
      <c r="BAB21" s="3"/>
      <c r="BAC21" s="3"/>
      <c r="BAD21" s="3"/>
      <c r="BAE21" s="3"/>
      <c r="BAF21" s="3"/>
      <c r="BAG21" s="3"/>
      <c r="BAH21" s="3"/>
      <c r="BAI21" s="3"/>
      <c r="BAJ21" s="3"/>
      <c r="BAK21" s="3"/>
      <c r="BAL21" s="3"/>
      <c r="BAM21" s="3"/>
      <c r="BAN21" s="3"/>
      <c r="BAO21" s="3"/>
      <c r="BAP21" s="3"/>
      <c r="BAQ21" s="3"/>
      <c r="BAR21" s="3"/>
      <c r="BAS21" s="3"/>
      <c r="BAT21" s="3"/>
      <c r="BAU21" s="3"/>
      <c r="BAV21" s="3"/>
      <c r="BAW21" s="3"/>
      <c r="BAX21" s="3"/>
      <c r="BAY21" s="3"/>
      <c r="BAZ21" s="3"/>
      <c r="BBA21" s="3"/>
      <c r="BBB21" s="3"/>
      <c r="BBC21" s="3"/>
      <c r="BBD21" s="3"/>
      <c r="BBE21" s="3"/>
      <c r="BBF21" s="3"/>
      <c r="BBG21" s="3"/>
      <c r="BBH21" s="3"/>
      <c r="BBI21" s="3"/>
      <c r="BBJ21" s="3"/>
      <c r="BBK21" s="3"/>
      <c r="BBL21" s="3"/>
      <c r="BBM21" s="3"/>
      <c r="BBN21" s="3"/>
      <c r="BBO21" s="3"/>
      <c r="BBP21" s="3"/>
      <c r="BBQ21" s="3"/>
      <c r="BBR21" s="3"/>
      <c r="BBS21" s="3"/>
      <c r="BBT21" s="3"/>
      <c r="BBU21" s="3"/>
      <c r="BBV21" s="3"/>
      <c r="BBW21" s="3"/>
      <c r="BBX21" s="3"/>
      <c r="BBY21" s="3"/>
      <c r="BBZ21" s="3"/>
      <c r="BCA21" s="3"/>
      <c r="BCB21" s="3"/>
      <c r="BCC21" s="3"/>
      <c r="BCD21" s="3"/>
      <c r="BCE21" s="3"/>
      <c r="BCF21" s="3"/>
      <c r="BCG21" s="3"/>
      <c r="BCH21" s="3"/>
      <c r="BCI21" s="3"/>
      <c r="BCJ21" s="3"/>
      <c r="BCK21" s="3"/>
      <c r="BCL21" s="3"/>
      <c r="BCM21" s="3"/>
      <c r="BCN21" s="3"/>
      <c r="BCO21" s="3"/>
      <c r="BCP21" s="3"/>
      <c r="BCQ21" s="3"/>
      <c r="BCR21" s="3"/>
      <c r="BCS21" s="3"/>
      <c r="BCT21" s="3"/>
      <c r="BCU21" s="3"/>
      <c r="BCV21" s="3"/>
      <c r="BCW21" s="3"/>
      <c r="BCX21" s="3"/>
      <c r="BCY21" s="3"/>
      <c r="BCZ21" s="3"/>
      <c r="BDA21" s="3"/>
      <c r="BDB21" s="3"/>
      <c r="BDC21" s="3"/>
      <c r="BDD21" s="3"/>
      <c r="BDE21" s="3"/>
      <c r="BDF21" s="3"/>
      <c r="BDG21" s="3"/>
      <c r="BDH21" s="3"/>
      <c r="BDI21" s="3"/>
      <c r="BDJ21" s="3"/>
      <c r="BDK21" s="3"/>
      <c r="BDL21" s="3"/>
      <c r="BDM21" s="3"/>
      <c r="BDN21" s="3"/>
      <c r="BDO21" s="3"/>
      <c r="BDP21" s="3"/>
      <c r="BDQ21" s="3"/>
      <c r="BDR21" s="3"/>
      <c r="BDS21" s="3"/>
      <c r="BDT21" s="3"/>
      <c r="BDU21" s="3"/>
      <c r="BDV21" s="3"/>
      <c r="BDW21" s="3"/>
      <c r="BDX21" s="3"/>
      <c r="BDY21" s="3"/>
      <c r="BDZ21" s="3"/>
      <c r="BEA21" s="3"/>
      <c r="BEB21" s="3"/>
      <c r="BEC21" s="3"/>
      <c r="BED21" s="3"/>
      <c r="BEE21" s="3"/>
      <c r="BEF21" s="3"/>
      <c r="BEG21" s="3"/>
      <c r="BEH21" s="3"/>
      <c r="BEI21" s="3"/>
      <c r="BEJ21" s="3"/>
      <c r="BEK21" s="3"/>
      <c r="BEL21" s="3"/>
      <c r="BEM21" s="3"/>
      <c r="BEN21" s="3"/>
      <c r="BEO21" s="3"/>
      <c r="BEP21" s="3"/>
      <c r="BEQ21" s="3"/>
      <c r="BER21" s="3"/>
      <c r="BES21" s="3"/>
      <c r="BET21" s="3"/>
      <c r="BEU21" s="3"/>
      <c r="BEV21" s="3"/>
      <c r="BEW21" s="3"/>
      <c r="BEX21" s="3"/>
      <c r="BEY21" s="3"/>
      <c r="BEZ21" s="3"/>
      <c r="BFA21" s="3"/>
      <c r="BFB21" s="3"/>
      <c r="BFC21" s="3"/>
      <c r="BFD21" s="3"/>
      <c r="BFE21" s="3"/>
      <c r="BFF21" s="3"/>
      <c r="BFG21" s="3"/>
      <c r="BFH21" s="3"/>
      <c r="BFI21" s="3"/>
      <c r="BFJ21" s="3"/>
      <c r="BFK21" s="3"/>
      <c r="BFL21" s="3"/>
      <c r="BFM21" s="3"/>
      <c r="BFN21" s="3"/>
      <c r="BFO21" s="3"/>
      <c r="BFP21" s="3"/>
      <c r="BFQ21" s="3"/>
      <c r="BFR21" s="3"/>
      <c r="BFS21" s="3"/>
      <c r="BFT21" s="3"/>
      <c r="BFU21" s="3"/>
      <c r="BFV21" s="3"/>
      <c r="BFW21" s="3"/>
      <c r="BFX21" s="3"/>
      <c r="BFY21" s="3"/>
      <c r="BFZ21" s="3"/>
      <c r="BGA21" s="3"/>
      <c r="BGB21" s="3"/>
      <c r="BGC21" s="3"/>
      <c r="BGD21" s="3"/>
      <c r="BGE21" s="3"/>
      <c r="BGF21" s="3"/>
      <c r="BGG21" s="3"/>
      <c r="BGH21" s="3"/>
      <c r="BGI21" s="3"/>
      <c r="BGJ21" s="3"/>
      <c r="BGK21" s="3"/>
      <c r="BGL21" s="3"/>
      <c r="BGM21" s="3"/>
      <c r="BGN21" s="3"/>
      <c r="BGO21" s="3"/>
      <c r="BGP21" s="3"/>
      <c r="BGQ21" s="3"/>
      <c r="BGR21" s="3"/>
      <c r="BGS21" s="3"/>
      <c r="BGT21" s="3"/>
      <c r="BGU21" s="3"/>
      <c r="BGV21" s="3"/>
      <c r="BGW21" s="3"/>
      <c r="BGX21" s="3"/>
      <c r="BGY21" s="3"/>
      <c r="BGZ21" s="3"/>
      <c r="BHA21" s="3"/>
      <c r="BHB21" s="3"/>
      <c r="BHC21" s="3"/>
      <c r="BHD21" s="3"/>
      <c r="BHE21" s="3"/>
      <c r="BHF21" s="3"/>
      <c r="BHG21" s="3"/>
      <c r="BHH21" s="3"/>
      <c r="BHI21" s="3"/>
      <c r="BHJ21" s="3"/>
      <c r="BHK21" s="3"/>
      <c r="BHL21" s="3"/>
      <c r="BHM21" s="3"/>
      <c r="BHN21" s="3"/>
      <c r="BHO21" s="3"/>
      <c r="BHP21" s="3"/>
      <c r="BHQ21" s="3"/>
      <c r="BHR21" s="3"/>
      <c r="BHS21" s="3"/>
      <c r="BHT21" s="3"/>
      <c r="BHU21" s="3"/>
      <c r="BHV21" s="3"/>
      <c r="BHW21" s="3"/>
      <c r="BHX21" s="3"/>
      <c r="BHY21" s="3"/>
      <c r="BHZ21" s="3"/>
      <c r="BIA21" s="3"/>
      <c r="BIB21" s="3"/>
      <c r="BIC21" s="3"/>
      <c r="BID21" s="3"/>
      <c r="BIE21" s="3"/>
      <c r="BIF21" s="3"/>
      <c r="BIG21" s="3"/>
      <c r="BIH21" s="3"/>
      <c r="BII21" s="3"/>
      <c r="BIJ21" s="3"/>
      <c r="BIK21" s="3"/>
      <c r="BIL21" s="3"/>
      <c r="BIM21" s="3"/>
      <c r="BIN21" s="3"/>
      <c r="BIO21" s="3"/>
      <c r="BIP21" s="3"/>
      <c r="BIQ21" s="3"/>
      <c r="BIR21" s="3"/>
      <c r="BIS21" s="3"/>
      <c r="BIT21" s="3"/>
      <c r="BIU21" s="3"/>
      <c r="BIV21" s="3"/>
      <c r="BIW21" s="3"/>
      <c r="BIX21" s="3"/>
      <c r="BIY21" s="3"/>
      <c r="BIZ21" s="3"/>
      <c r="BJA21" s="3"/>
      <c r="BJB21" s="3"/>
      <c r="BJC21" s="3"/>
      <c r="BJD21" s="3"/>
      <c r="BJE21" s="3"/>
      <c r="BJF21" s="3"/>
      <c r="BJG21" s="3"/>
      <c r="BJH21" s="3"/>
      <c r="BJI21" s="3"/>
      <c r="BJJ21" s="3"/>
      <c r="BJK21" s="3"/>
      <c r="BJL21" s="3"/>
      <c r="BJM21" s="3"/>
      <c r="BJN21" s="3"/>
      <c r="BJO21" s="3"/>
      <c r="BJP21" s="3"/>
      <c r="BJQ21" s="3"/>
      <c r="BJR21" s="3"/>
      <c r="BJS21" s="3"/>
      <c r="BJT21" s="3"/>
      <c r="BJU21" s="3"/>
      <c r="BJV21" s="3"/>
      <c r="BJW21" s="3"/>
      <c r="BJX21" s="3"/>
      <c r="BJY21" s="3"/>
      <c r="BJZ21" s="3"/>
      <c r="BKA21" s="3"/>
      <c r="BKB21" s="3"/>
      <c r="BKC21" s="3"/>
      <c r="BKD21" s="3"/>
      <c r="BKE21" s="3"/>
      <c r="BKF21" s="3"/>
      <c r="BKG21" s="3"/>
      <c r="BKH21" s="3"/>
      <c r="BKI21" s="3"/>
      <c r="BKJ21" s="3"/>
      <c r="BKK21" s="3"/>
      <c r="BKL21" s="3"/>
      <c r="BKM21" s="3"/>
      <c r="BKN21" s="3"/>
      <c r="BKO21" s="3"/>
      <c r="BKP21" s="3"/>
      <c r="BKQ21" s="3"/>
      <c r="BKR21" s="3"/>
      <c r="BKS21" s="3"/>
      <c r="BKT21" s="3"/>
      <c r="BKU21" s="3"/>
      <c r="BKV21" s="3"/>
      <c r="BKW21" s="3"/>
      <c r="BKX21" s="3"/>
      <c r="BKY21" s="3"/>
      <c r="BKZ21" s="3"/>
      <c r="BLA21" s="3"/>
      <c r="BLB21" s="3"/>
      <c r="BLC21" s="3"/>
      <c r="BLD21" s="3"/>
      <c r="BLE21" s="3"/>
      <c r="BLF21" s="3"/>
      <c r="BLG21" s="3"/>
      <c r="BLH21" s="3"/>
      <c r="BLI21" s="3"/>
      <c r="BLJ21" s="3"/>
      <c r="BLK21" s="3"/>
      <c r="BLL21" s="3"/>
      <c r="BLM21" s="3"/>
      <c r="BLN21" s="3"/>
      <c r="BLO21" s="3"/>
      <c r="BLP21" s="3"/>
      <c r="BLQ21" s="3"/>
      <c r="BLR21" s="3"/>
      <c r="BLS21" s="3"/>
      <c r="BLT21" s="3"/>
      <c r="BLU21" s="3"/>
      <c r="BLV21" s="3"/>
      <c r="BLW21" s="3"/>
      <c r="BLX21" s="3"/>
      <c r="BLY21" s="3"/>
      <c r="BLZ21" s="3"/>
      <c r="BMA21" s="3"/>
      <c r="BMB21" s="3"/>
      <c r="BMC21" s="3"/>
      <c r="BMD21" s="3"/>
      <c r="BME21" s="3"/>
      <c r="BMF21" s="3"/>
      <c r="BMG21" s="3"/>
      <c r="BMH21" s="3"/>
      <c r="BMI21" s="3"/>
      <c r="BMJ21" s="3"/>
      <c r="BMK21" s="3"/>
      <c r="BML21" s="3"/>
      <c r="BMM21" s="3"/>
      <c r="BMN21" s="3"/>
      <c r="BMO21" s="3"/>
      <c r="BMP21" s="3"/>
      <c r="BMQ21" s="3"/>
      <c r="BMR21" s="3"/>
      <c r="BMS21" s="3"/>
      <c r="BMT21" s="3"/>
      <c r="BMU21" s="3"/>
      <c r="BMV21" s="3"/>
      <c r="BMW21" s="3"/>
      <c r="BMX21" s="3"/>
      <c r="BMY21" s="3"/>
      <c r="BMZ21" s="3"/>
      <c r="BNA21" s="3"/>
      <c r="BNB21" s="3"/>
      <c r="BNC21" s="3"/>
      <c r="BND21" s="3"/>
      <c r="BNE21" s="3"/>
      <c r="BNF21" s="3"/>
      <c r="BNG21" s="3"/>
      <c r="BNH21" s="3"/>
      <c r="BNI21" s="3"/>
      <c r="BNJ21" s="3"/>
      <c r="BNK21" s="3"/>
      <c r="BNL21" s="3"/>
      <c r="BNM21" s="3"/>
      <c r="BNN21" s="3"/>
      <c r="BNO21" s="3"/>
      <c r="BNP21" s="3"/>
      <c r="BNQ21" s="3"/>
      <c r="BNR21" s="3"/>
      <c r="BNS21" s="3"/>
      <c r="BNT21" s="3"/>
      <c r="BNU21" s="3"/>
      <c r="BNV21" s="3"/>
      <c r="BNW21" s="3"/>
      <c r="BNX21" s="3"/>
      <c r="BNY21" s="3"/>
      <c r="BNZ21" s="3"/>
      <c r="BOA21" s="3"/>
      <c r="BOB21" s="3"/>
      <c r="BOC21" s="3"/>
      <c r="BOD21" s="3"/>
      <c r="BOE21" s="3"/>
      <c r="BOF21" s="3"/>
      <c r="BOG21" s="3"/>
      <c r="BOH21" s="3"/>
      <c r="BOI21" s="3"/>
      <c r="BOJ21" s="3"/>
      <c r="BOK21" s="3"/>
      <c r="BOL21" s="3"/>
      <c r="BOM21" s="3"/>
      <c r="BON21" s="3"/>
      <c r="BOO21" s="3"/>
      <c r="BOP21" s="3"/>
      <c r="BOQ21" s="3"/>
      <c r="BOR21" s="3"/>
      <c r="BOS21" s="3"/>
      <c r="BOT21" s="3"/>
      <c r="BOU21" s="3"/>
      <c r="BOV21" s="3"/>
      <c r="BOW21" s="3"/>
      <c r="BOX21" s="3"/>
      <c r="BOY21" s="3"/>
      <c r="BOZ21" s="3"/>
      <c r="BPA21" s="3"/>
      <c r="BPB21" s="3"/>
      <c r="BPC21" s="3"/>
      <c r="BPD21" s="3"/>
      <c r="BPE21" s="3"/>
      <c r="BPF21" s="3"/>
      <c r="BPG21" s="3"/>
      <c r="BPH21" s="3"/>
      <c r="BPI21" s="3"/>
      <c r="BPJ21" s="3"/>
      <c r="BPK21" s="3"/>
      <c r="BPL21" s="3"/>
      <c r="BPM21" s="3"/>
      <c r="BPN21" s="3"/>
      <c r="BPO21" s="3"/>
      <c r="BPP21" s="3"/>
      <c r="BPQ21" s="3"/>
      <c r="BPR21" s="3"/>
      <c r="BPS21" s="3"/>
      <c r="BPT21" s="3"/>
      <c r="BPU21" s="3"/>
      <c r="BPV21" s="3"/>
      <c r="BPW21" s="3"/>
      <c r="BPX21" s="3"/>
      <c r="BPY21" s="3"/>
      <c r="BPZ21" s="3"/>
      <c r="BQA21" s="3"/>
      <c r="BQB21" s="3"/>
      <c r="BQC21" s="3"/>
      <c r="BQD21" s="3"/>
      <c r="BQE21" s="3"/>
      <c r="BQF21" s="3"/>
      <c r="BQG21" s="3"/>
      <c r="BQH21" s="3"/>
      <c r="BQI21" s="3"/>
      <c r="BQJ21" s="3"/>
      <c r="BQK21" s="3"/>
      <c r="BQL21" s="3"/>
      <c r="BQM21" s="3"/>
      <c r="BQN21" s="3"/>
      <c r="BQO21" s="3"/>
      <c r="BQP21" s="3"/>
      <c r="BQQ21" s="3"/>
      <c r="BQR21" s="3"/>
      <c r="BQS21" s="3"/>
      <c r="BQT21" s="3"/>
      <c r="BQU21" s="3"/>
      <c r="BQV21" s="3"/>
      <c r="BQW21" s="3"/>
      <c r="BQX21" s="3"/>
      <c r="BQY21" s="3"/>
      <c r="BQZ21" s="3"/>
      <c r="BRA21" s="3"/>
      <c r="BRB21" s="3"/>
      <c r="BRC21" s="3"/>
      <c r="BRD21" s="3"/>
      <c r="BRE21" s="3"/>
      <c r="BRF21" s="3"/>
      <c r="BRG21" s="3"/>
      <c r="BRH21" s="3"/>
      <c r="BRI21" s="3"/>
      <c r="BRJ21" s="3"/>
      <c r="BRK21" s="3"/>
      <c r="BRL21" s="3"/>
      <c r="BRM21" s="3"/>
      <c r="BRN21" s="3"/>
      <c r="BRO21" s="3"/>
      <c r="BRP21" s="3"/>
      <c r="BRQ21" s="3"/>
      <c r="BRR21" s="3"/>
      <c r="BRS21" s="3"/>
      <c r="BRT21" s="3"/>
      <c r="BRU21" s="3"/>
      <c r="BRV21" s="3"/>
      <c r="BRW21" s="3"/>
      <c r="BRX21" s="3"/>
      <c r="BRY21" s="3"/>
      <c r="BRZ21" s="3"/>
      <c r="BSA21" s="3"/>
      <c r="BSB21" s="3"/>
      <c r="BSC21" s="3"/>
      <c r="BSD21" s="3"/>
      <c r="BSE21" s="3"/>
      <c r="BSF21" s="3"/>
      <c r="BSG21" s="3"/>
      <c r="BSH21" s="3"/>
      <c r="BSI21" s="3"/>
      <c r="BSJ21" s="3"/>
      <c r="BSK21" s="3"/>
      <c r="BSL21" s="3"/>
      <c r="BSM21" s="3"/>
      <c r="BSN21" s="3"/>
      <c r="BSO21" s="3"/>
      <c r="BSP21" s="3"/>
      <c r="BSQ21" s="3"/>
      <c r="BSR21" s="3"/>
      <c r="BSS21" s="3"/>
      <c r="BST21" s="3"/>
      <c r="BSU21" s="3"/>
      <c r="BSV21" s="3"/>
      <c r="BSW21" s="3"/>
      <c r="BSX21" s="3"/>
      <c r="BSY21" s="3"/>
      <c r="BSZ21" s="3"/>
      <c r="BTA21" s="3"/>
      <c r="BTB21" s="3"/>
      <c r="BTC21" s="3"/>
      <c r="BTD21" s="3"/>
      <c r="BTE21" s="3"/>
      <c r="BTF21" s="3"/>
      <c r="BTG21" s="3"/>
      <c r="BTH21" s="3"/>
      <c r="BTI21" s="3"/>
      <c r="BTJ21" s="3"/>
      <c r="BTK21" s="3"/>
      <c r="BTL21" s="3"/>
      <c r="BTM21" s="3"/>
      <c r="BTN21" s="3"/>
      <c r="BTO21" s="3"/>
      <c r="BTP21" s="3"/>
      <c r="BTQ21" s="3"/>
      <c r="BTR21" s="3"/>
      <c r="BTS21" s="3"/>
      <c r="BTT21" s="3"/>
      <c r="BTU21" s="3"/>
      <c r="BTV21" s="3"/>
      <c r="BTW21" s="3"/>
      <c r="BTX21" s="3"/>
      <c r="BTY21" s="3"/>
      <c r="BTZ21" s="3"/>
      <c r="BUA21" s="3"/>
      <c r="BUB21" s="3"/>
      <c r="BUC21" s="3"/>
      <c r="BUD21" s="3"/>
      <c r="BUE21" s="3"/>
      <c r="BUF21" s="3"/>
      <c r="BUG21" s="3"/>
      <c r="BUH21" s="3"/>
      <c r="BUI21" s="3"/>
      <c r="BUJ21" s="3"/>
      <c r="BUK21" s="3"/>
      <c r="BUL21" s="3"/>
      <c r="BUM21" s="3"/>
      <c r="BUN21" s="3"/>
      <c r="BUO21" s="3"/>
      <c r="BUP21" s="3"/>
      <c r="BUQ21" s="3"/>
      <c r="BUR21" s="3"/>
      <c r="BUS21" s="3"/>
      <c r="BUT21" s="3"/>
      <c r="BUU21" s="3"/>
      <c r="BUV21" s="3"/>
      <c r="BUW21" s="3"/>
      <c r="BUX21" s="3"/>
      <c r="BUY21" s="3"/>
      <c r="BUZ21" s="3"/>
      <c r="BVA21" s="3"/>
      <c r="BVB21" s="3"/>
      <c r="BVC21" s="3"/>
      <c r="BVD21" s="3"/>
      <c r="BVE21" s="3"/>
      <c r="BVF21" s="3"/>
      <c r="BVG21" s="3"/>
      <c r="BVH21" s="3"/>
      <c r="BVI21" s="3"/>
      <c r="BVJ21" s="3"/>
      <c r="BVK21" s="3"/>
      <c r="BVL21" s="3"/>
      <c r="BVM21" s="3"/>
      <c r="BVN21" s="3"/>
      <c r="BVO21" s="3"/>
      <c r="BVP21" s="3"/>
      <c r="BVQ21" s="3"/>
      <c r="BVR21" s="3"/>
      <c r="BVS21" s="3"/>
      <c r="BVT21" s="3"/>
      <c r="BVU21" s="3"/>
      <c r="BVV21" s="3"/>
      <c r="BVW21" s="3"/>
      <c r="BVX21" s="3"/>
      <c r="BVY21" s="3"/>
      <c r="BVZ21" s="3"/>
      <c r="BWA21" s="3"/>
      <c r="BWB21" s="3"/>
      <c r="BWC21" s="3"/>
      <c r="BWD21" s="3"/>
      <c r="BWE21" s="3"/>
      <c r="BWF21" s="3"/>
      <c r="BWG21" s="3"/>
      <c r="BWH21" s="3"/>
      <c r="BWI21" s="3"/>
      <c r="BWJ21" s="3"/>
      <c r="BWK21" s="3"/>
      <c r="BWL21" s="3"/>
      <c r="BWM21" s="3"/>
      <c r="BWN21" s="3"/>
      <c r="BWO21" s="3"/>
      <c r="BWP21" s="3"/>
      <c r="BWQ21" s="3"/>
      <c r="BWR21" s="3"/>
      <c r="BWS21" s="3"/>
      <c r="BWT21" s="3"/>
      <c r="BWU21" s="3"/>
      <c r="BWV21" s="3"/>
      <c r="BWW21" s="3"/>
      <c r="BWX21" s="3"/>
      <c r="BWY21" s="3"/>
      <c r="BWZ21" s="3"/>
      <c r="BXA21" s="3"/>
      <c r="BXB21" s="3"/>
      <c r="BXC21" s="3"/>
      <c r="BXD21" s="3"/>
      <c r="BXE21" s="3"/>
      <c r="BXF21" s="3"/>
      <c r="BXG21" s="3"/>
      <c r="BXH21" s="3"/>
      <c r="BXI21" s="3"/>
      <c r="BXJ21" s="3"/>
      <c r="BXK21" s="3"/>
      <c r="BXL21" s="3"/>
      <c r="BXM21" s="3"/>
      <c r="BXN21" s="3"/>
      <c r="BXO21" s="3"/>
      <c r="BXP21" s="3"/>
      <c r="BXQ21" s="3"/>
      <c r="BXR21" s="3"/>
      <c r="BXS21" s="3"/>
      <c r="BXT21" s="3"/>
      <c r="BXU21" s="3"/>
      <c r="BXV21" s="3"/>
      <c r="BXW21" s="3"/>
      <c r="BXX21" s="3"/>
      <c r="BXY21" s="3"/>
      <c r="BXZ21" s="3"/>
      <c r="BYA21" s="3"/>
      <c r="BYB21" s="3"/>
      <c r="BYC21" s="3"/>
      <c r="BYD21" s="3"/>
      <c r="BYE21" s="3"/>
      <c r="BYF21" s="3"/>
      <c r="BYG21" s="3"/>
      <c r="BYH21" s="3"/>
      <c r="BYI21" s="3"/>
      <c r="BYJ21" s="3"/>
      <c r="BYK21" s="3"/>
      <c r="BYL21" s="3"/>
      <c r="BYM21" s="3"/>
      <c r="BYN21" s="3"/>
      <c r="BYO21" s="3"/>
      <c r="BYP21" s="3"/>
      <c r="BYQ21" s="3"/>
      <c r="BYR21" s="3"/>
      <c r="BYS21" s="3"/>
      <c r="BYT21" s="3"/>
      <c r="BYU21" s="3"/>
      <c r="BYV21" s="3"/>
      <c r="BYW21" s="3"/>
      <c r="BYX21" s="3"/>
      <c r="BYY21" s="3"/>
      <c r="BYZ21" s="3"/>
      <c r="BZA21" s="3"/>
      <c r="BZB21" s="3"/>
      <c r="BZC21" s="3"/>
      <c r="BZD21" s="3"/>
      <c r="BZE21" s="3"/>
      <c r="BZF21" s="3"/>
      <c r="BZG21" s="3"/>
      <c r="BZH21" s="3"/>
      <c r="BZI21" s="3"/>
      <c r="BZJ21" s="3"/>
      <c r="BZK21" s="3"/>
      <c r="BZL21" s="3"/>
      <c r="BZM21" s="3"/>
      <c r="BZN21" s="3"/>
      <c r="BZO21" s="3"/>
      <c r="BZP21" s="3"/>
      <c r="BZQ21" s="3"/>
      <c r="BZR21" s="3"/>
      <c r="BZS21" s="3"/>
      <c r="BZT21" s="3"/>
      <c r="BZU21" s="3"/>
      <c r="BZV21" s="3"/>
      <c r="BZW21" s="3"/>
      <c r="BZX21" s="3"/>
      <c r="BZY21" s="3"/>
      <c r="BZZ21" s="3"/>
      <c r="CAA21" s="3"/>
      <c r="CAB21" s="3"/>
      <c r="CAC21" s="3"/>
      <c r="CAD21" s="3"/>
      <c r="CAE21" s="3"/>
      <c r="CAF21" s="3"/>
      <c r="CAG21" s="3"/>
      <c r="CAH21" s="3"/>
      <c r="CAI21" s="3"/>
      <c r="CAJ21" s="3"/>
      <c r="CAK21" s="3"/>
      <c r="CAL21" s="3"/>
      <c r="CAM21" s="3"/>
      <c r="CAN21" s="3"/>
      <c r="CAO21" s="3"/>
      <c r="CAP21" s="3"/>
      <c r="CAQ21" s="3"/>
      <c r="CAR21" s="3"/>
      <c r="CAS21" s="3"/>
      <c r="CAT21" s="3"/>
      <c r="CAU21" s="3"/>
      <c r="CAV21" s="3"/>
      <c r="CAW21" s="3"/>
      <c r="CAX21" s="3"/>
      <c r="CAY21" s="3"/>
      <c r="CAZ21" s="3"/>
      <c r="CBA21" s="3"/>
      <c r="CBB21" s="3"/>
      <c r="CBC21" s="3"/>
      <c r="CBD21" s="3"/>
      <c r="CBE21" s="3"/>
      <c r="CBF21" s="3"/>
      <c r="CBG21" s="3"/>
      <c r="CBH21" s="3"/>
      <c r="CBI21" s="3"/>
      <c r="CBJ21" s="3"/>
      <c r="CBK21" s="3"/>
      <c r="CBL21" s="3"/>
      <c r="CBM21" s="3"/>
      <c r="CBN21" s="3"/>
      <c r="CBO21" s="3"/>
      <c r="CBP21" s="3"/>
      <c r="CBQ21" s="3"/>
      <c r="CBR21" s="3"/>
      <c r="CBS21" s="3"/>
      <c r="CBT21" s="3"/>
      <c r="CBU21" s="3"/>
      <c r="CBV21" s="3"/>
      <c r="CBW21" s="3"/>
      <c r="CBX21" s="3"/>
      <c r="CBY21" s="3"/>
      <c r="CBZ21" s="3"/>
      <c r="CCA21" s="3"/>
      <c r="CCB21" s="3"/>
      <c r="CCC21" s="3"/>
      <c r="CCD21" s="3"/>
      <c r="CCE21" s="3"/>
      <c r="CCF21" s="3"/>
      <c r="CCG21" s="3"/>
      <c r="CCH21" s="3"/>
      <c r="CCI21" s="3"/>
      <c r="CCJ21" s="3"/>
      <c r="CCK21" s="3"/>
      <c r="CCL21" s="3"/>
      <c r="CCM21" s="3"/>
      <c r="CCN21" s="3"/>
      <c r="CCO21" s="3"/>
      <c r="CCP21" s="3"/>
      <c r="CCQ21" s="3"/>
      <c r="CCR21" s="3"/>
      <c r="CCS21" s="3"/>
      <c r="CCT21" s="3"/>
      <c r="CCU21" s="3"/>
      <c r="CCV21" s="3"/>
      <c r="CCW21" s="3"/>
      <c r="CCX21" s="3"/>
      <c r="CCY21" s="3"/>
      <c r="CCZ21" s="3"/>
      <c r="CDA21" s="3"/>
      <c r="CDB21" s="3"/>
      <c r="CDC21" s="3"/>
      <c r="CDD21" s="3"/>
      <c r="CDE21" s="3"/>
      <c r="CDF21" s="3"/>
      <c r="CDG21" s="3"/>
      <c r="CDH21" s="3"/>
      <c r="CDI21" s="3"/>
      <c r="CDJ21" s="3"/>
      <c r="CDK21" s="3"/>
      <c r="CDL21" s="3"/>
      <c r="CDM21" s="3"/>
      <c r="CDN21" s="3"/>
      <c r="CDO21" s="3"/>
      <c r="CDP21" s="3"/>
      <c r="CDQ21" s="3"/>
      <c r="CDR21" s="3"/>
      <c r="CDS21" s="3"/>
      <c r="CDT21" s="3"/>
      <c r="CDU21" s="3"/>
      <c r="CDV21" s="3"/>
      <c r="CDW21" s="3"/>
      <c r="CDX21" s="3"/>
      <c r="CDY21" s="3"/>
      <c r="CDZ21" s="3"/>
      <c r="CEA21" s="3"/>
      <c r="CEB21" s="3"/>
      <c r="CEC21" s="3"/>
      <c r="CED21" s="3"/>
      <c r="CEE21" s="3"/>
      <c r="CEF21" s="3"/>
      <c r="CEG21" s="3"/>
      <c r="CEH21" s="3"/>
      <c r="CEI21" s="3"/>
      <c r="CEJ21" s="3"/>
      <c r="CEK21" s="3"/>
      <c r="CEL21" s="3"/>
      <c r="CEM21" s="3"/>
      <c r="CEN21" s="3"/>
      <c r="CEO21" s="3"/>
      <c r="CEP21" s="3"/>
      <c r="CEQ21" s="3"/>
      <c r="CER21" s="3"/>
      <c r="CES21" s="3"/>
      <c r="CET21" s="3"/>
      <c r="CEU21" s="3"/>
      <c r="CEV21" s="3"/>
      <c r="CEW21" s="3"/>
      <c r="CEX21" s="3"/>
      <c r="CEY21" s="3"/>
      <c r="CEZ21" s="3"/>
      <c r="CFA21" s="3"/>
      <c r="CFB21" s="3"/>
      <c r="CFC21" s="3"/>
      <c r="CFD21" s="3"/>
      <c r="CFE21" s="3"/>
      <c r="CFF21" s="3"/>
      <c r="CFG21" s="3"/>
      <c r="CFH21" s="3"/>
      <c r="CFI21" s="3"/>
      <c r="CFJ21" s="3"/>
      <c r="CFK21" s="3"/>
      <c r="CFL21" s="3"/>
      <c r="CFM21" s="3"/>
      <c r="CFN21" s="3"/>
      <c r="CFO21" s="3"/>
      <c r="CFP21" s="3"/>
      <c r="CFQ21" s="3"/>
      <c r="CFR21" s="3"/>
      <c r="CFS21" s="3"/>
      <c r="CFT21" s="3"/>
      <c r="CFU21" s="3"/>
      <c r="CFV21" s="3"/>
      <c r="CFW21" s="3"/>
      <c r="CFX21" s="3"/>
      <c r="CFY21" s="3"/>
      <c r="CFZ21" s="3"/>
      <c r="CGA21" s="3"/>
      <c r="CGB21" s="3"/>
      <c r="CGC21" s="3"/>
      <c r="CGD21" s="3"/>
      <c r="CGE21" s="3"/>
      <c r="CGF21" s="3"/>
      <c r="CGG21" s="3"/>
      <c r="CGH21" s="3"/>
      <c r="CGI21" s="3"/>
      <c r="CGJ21" s="3"/>
      <c r="CGK21" s="3"/>
      <c r="CGL21" s="3"/>
      <c r="CGM21" s="3"/>
      <c r="CGN21" s="3"/>
      <c r="CGO21" s="3"/>
      <c r="CGP21" s="3"/>
      <c r="CGQ21" s="3"/>
      <c r="CGR21" s="3"/>
      <c r="CGS21" s="3"/>
      <c r="CGT21" s="3"/>
      <c r="CGU21" s="3"/>
      <c r="CGV21" s="3"/>
      <c r="CGW21" s="3"/>
      <c r="CGX21" s="3"/>
      <c r="CGY21" s="3"/>
      <c r="CGZ21" s="3"/>
      <c r="CHA21" s="3"/>
      <c r="CHB21" s="3"/>
      <c r="CHC21" s="3"/>
      <c r="CHD21" s="3"/>
      <c r="CHE21" s="3"/>
      <c r="CHF21" s="3"/>
      <c r="CHG21" s="3"/>
      <c r="CHH21" s="3"/>
      <c r="CHI21" s="3"/>
      <c r="CHJ21" s="3"/>
      <c r="CHK21" s="3"/>
      <c r="CHL21" s="3"/>
      <c r="CHM21" s="3"/>
      <c r="CHN21" s="3"/>
      <c r="CHO21" s="3"/>
      <c r="CHP21" s="3"/>
      <c r="CHQ21" s="3"/>
      <c r="CHR21" s="3"/>
      <c r="CHS21" s="3"/>
      <c r="CHT21" s="3"/>
      <c r="CHU21" s="3"/>
      <c r="CHV21" s="3"/>
      <c r="CHW21" s="3"/>
      <c r="CHX21" s="3"/>
      <c r="CHY21" s="3"/>
      <c r="CHZ21" s="3"/>
      <c r="CIA21" s="3"/>
      <c r="CIB21" s="3"/>
      <c r="CIC21" s="3"/>
      <c r="CID21" s="3"/>
      <c r="CIE21" s="3"/>
      <c r="CIF21" s="3"/>
      <c r="CIG21" s="3"/>
      <c r="CIH21" s="3"/>
      <c r="CII21" s="3"/>
      <c r="CIJ21" s="3"/>
      <c r="CIK21" s="3"/>
      <c r="CIL21" s="3"/>
      <c r="CIM21" s="3"/>
      <c r="CIN21" s="3"/>
      <c r="CIO21" s="3"/>
      <c r="CIP21" s="3"/>
      <c r="CIQ21" s="3"/>
      <c r="CIR21" s="3"/>
      <c r="CIS21" s="3"/>
      <c r="CIT21" s="3"/>
      <c r="CIU21" s="3"/>
      <c r="CIV21" s="3"/>
      <c r="CIW21" s="3"/>
      <c r="CIX21" s="3"/>
      <c r="CIY21" s="3"/>
      <c r="CIZ21" s="3"/>
      <c r="CJA21" s="3"/>
      <c r="CJB21" s="3"/>
      <c r="CJC21" s="3"/>
      <c r="CJD21" s="3"/>
      <c r="CJE21" s="3"/>
      <c r="CJF21" s="3"/>
      <c r="CJG21" s="3"/>
      <c r="CJH21" s="3"/>
      <c r="CJI21" s="3"/>
      <c r="CJJ21" s="3"/>
      <c r="CJK21" s="3"/>
      <c r="CJL21" s="3"/>
      <c r="CJM21" s="3"/>
      <c r="CJN21" s="3"/>
      <c r="CJO21" s="3"/>
      <c r="CJP21" s="3"/>
      <c r="CJQ21" s="3"/>
      <c r="CJR21" s="3"/>
      <c r="CJS21" s="3"/>
      <c r="CJT21" s="3"/>
      <c r="CJU21" s="3"/>
      <c r="CJV21" s="3"/>
      <c r="CJW21" s="3"/>
      <c r="CJX21" s="3"/>
      <c r="CJY21" s="3"/>
      <c r="CJZ21" s="3"/>
      <c r="CKA21" s="3"/>
      <c r="CKB21" s="3"/>
      <c r="CKC21" s="3"/>
      <c r="CKD21" s="3"/>
      <c r="CKE21" s="3"/>
      <c r="CKF21" s="3"/>
      <c r="CKG21" s="3"/>
      <c r="CKH21" s="3"/>
      <c r="CKI21" s="3"/>
      <c r="CKJ21" s="3"/>
      <c r="CKK21" s="3"/>
      <c r="CKL21" s="3"/>
      <c r="CKM21" s="3"/>
      <c r="CKN21" s="3"/>
      <c r="CKO21" s="3"/>
      <c r="CKP21" s="3"/>
      <c r="CKQ21" s="3"/>
      <c r="CKR21" s="3"/>
      <c r="CKS21" s="3"/>
      <c r="CKT21" s="3"/>
      <c r="CKU21" s="3"/>
      <c r="CKV21" s="3"/>
      <c r="CKW21" s="3"/>
      <c r="CKX21" s="3"/>
      <c r="CKY21" s="3"/>
      <c r="CKZ21" s="3"/>
      <c r="CLA21" s="3"/>
      <c r="CLB21" s="3"/>
      <c r="CLC21" s="3"/>
      <c r="CLD21" s="3"/>
      <c r="CLE21" s="3"/>
      <c r="CLF21" s="3"/>
      <c r="CLG21" s="3"/>
      <c r="CLH21" s="3"/>
      <c r="CLI21" s="3"/>
      <c r="CLJ21" s="3"/>
      <c r="CLK21" s="3"/>
      <c r="CLL21" s="3"/>
      <c r="CLM21" s="3"/>
      <c r="CLN21" s="3"/>
      <c r="CLO21" s="3"/>
      <c r="CLP21" s="3"/>
      <c r="CLQ21" s="3"/>
      <c r="CLR21" s="3"/>
      <c r="CLS21" s="3"/>
      <c r="CLT21" s="3"/>
      <c r="CLU21" s="3"/>
      <c r="CLV21" s="3"/>
      <c r="CLW21" s="3"/>
      <c r="CLX21" s="3"/>
      <c r="CLY21" s="3"/>
      <c r="CLZ21" s="3"/>
      <c r="CMA21" s="3"/>
      <c r="CMB21" s="3"/>
      <c r="CMC21" s="3"/>
      <c r="CMD21" s="3"/>
      <c r="CME21" s="3"/>
      <c r="CMF21" s="3"/>
      <c r="CMG21" s="3"/>
      <c r="CMH21" s="3"/>
      <c r="CMI21" s="3"/>
      <c r="CMJ21" s="3"/>
      <c r="CMK21" s="3"/>
      <c r="CML21" s="3"/>
      <c r="CMM21" s="3"/>
      <c r="CMN21" s="3"/>
      <c r="CMO21" s="3"/>
      <c r="CMP21" s="3"/>
      <c r="CMQ21" s="3"/>
      <c r="CMR21" s="3"/>
      <c r="CMS21" s="3"/>
      <c r="CMT21" s="3"/>
      <c r="CMU21" s="3"/>
      <c r="CMV21" s="3"/>
      <c r="CMW21" s="3"/>
      <c r="CMX21" s="3"/>
      <c r="CMY21" s="3"/>
      <c r="CMZ21" s="3"/>
      <c r="CNA21" s="3"/>
      <c r="CNB21" s="3"/>
      <c r="CNC21" s="3"/>
      <c r="CND21" s="3"/>
      <c r="CNE21" s="3"/>
      <c r="CNF21" s="3"/>
      <c r="CNG21" s="3"/>
      <c r="CNH21" s="3"/>
      <c r="CNI21" s="3"/>
      <c r="CNJ21" s="3"/>
      <c r="CNK21" s="3"/>
      <c r="CNL21" s="3"/>
      <c r="CNM21" s="3"/>
      <c r="CNN21" s="3"/>
      <c r="CNO21" s="3"/>
      <c r="CNP21" s="3"/>
      <c r="CNQ21" s="3"/>
      <c r="CNR21" s="3"/>
      <c r="CNS21" s="3"/>
      <c r="CNT21" s="3"/>
      <c r="CNU21" s="3"/>
      <c r="CNV21" s="3"/>
      <c r="CNW21" s="3"/>
      <c r="CNX21" s="3"/>
      <c r="CNY21" s="3"/>
      <c r="CNZ21" s="3"/>
      <c r="COA21" s="3"/>
      <c r="COB21" s="3"/>
      <c r="COC21" s="3"/>
      <c r="COD21" s="3"/>
      <c r="COE21" s="3"/>
      <c r="COF21" s="3"/>
      <c r="COG21" s="3"/>
      <c r="COH21" s="3"/>
      <c r="COI21" s="3"/>
      <c r="COJ21" s="3"/>
      <c r="COK21" s="3"/>
      <c r="COL21" s="3"/>
      <c r="COM21" s="3"/>
      <c r="CON21" s="3"/>
      <c r="COO21" s="3"/>
      <c r="COP21" s="3"/>
      <c r="COQ21" s="3"/>
      <c r="COR21" s="3"/>
      <c r="COS21" s="3"/>
      <c r="COT21" s="3"/>
      <c r="COU21" s="3"/>
      <c r="COV21" s="3"/>
      <c r="COW21" s="3"/>
      <c r="COX21" s="3"/>
      <c r="COY21" s="3"/>
      <c r="COZ21" s="3"/>
      <c r="CPA21" s="3"/>
      <c r="CPB21" s="3"/>
      <c r="CPC21" s="3"/>
      <c r="CPD21" s="3"/>
      <c r="CPE21" s="3"/>
      <c r="CPF21" s="3"/>
      <c r="CPG21" s="3"/>
      <c r="CPH21" s="3"/>
      <c r="CPI21" s="3"/>
      <c r="CPJ21" s="3"/>
      <c r="CPK21" s="3"/>
      <c r="CPL21" s="3"/>
      <c r="CPM21" s="3"/>
      <c r="CPN21" s="3"/>
      <c r="CPO21" s="3"/>
      <c r="CPP21" s="3"/>
      <c r="CPQ21" s="3"/>
      <c r="CPR21" s="3"/>
      <c r="CPS21" s="3"/>
      <c r="CPT21" s="3"/>
      <c r="CPU21" s="3"/>
      <c r="CPV21" s="3"/>
      <c r="CPW21" s="3"/>
      <c r="CPX21" s="3"/>
      <c r="CPY21" s="3"/>
      <c r="CPZ21" s="3"/>
      <c r="CQA21" s="3"/>
      <c r="CQB21" s="3"/>
      <c r="CQC21" s="3"/>
      <c r="CQD21" s="3"/>
      <c r="CQE21" s="3"/>
      <c r="CQF21" s="3"/>
      <c r="CQG21" s="3"/>
      <c r="CQH21" s="3"/>
      <c r="CQI21" s="3"/>
      <c r="CQJ21" s="3"/>
      <c r="CQK21" s="3"/>
      <c r="CQL21" s="3"/>
      <c r="CQM21" s="3"/>
      <c r="CQN21" s="3"/>
      <c r="CQO21" s="3"/>
      <c r="CQP21" s="3"/>
      <c r="CQQ21" s="3"/>
      <c r="CQR21" s="3"/>
      <c r="CQS21" s="3"/>
      <c r="CQT21" s="3"/>
      <c r="CQU21" s="3"/>
      <c r="CQV21" s="3"/>
      <c r="CQW21" s="3"/>
      <c r="CQX21" s="3"/>
      <c r="CQY21" s="3"/>
      <c r="CQZ21" s="3"/>
      <c r="CRA21" s="3"/>
      <c r="CRB21" s="3"/>
      <c r="CRC21" s="3"/>
      <c r="CRD21" s="3"/>
      <c r="CRE21" s="3"/>
      <c r="CRF21" s="3"/>
      <c r="CRG21" s="3"/>
      <c r="CRH21" s="3"/>
      <c r="CRI21" s="3"/>
      <c r="CRJ21" s="3"/>
      <c r="CRK21" s="3"/>
      <c r="CRL21" s="3"/>
      <c r="CRM21" s="3"/>
      <c r="CRN21" s="3"/>
      <c r="CRO21" s="3"/>
      <c r="CRP21" s="3"/>
      <c r="CRQ21" s="3"/>
      <c r="CRR21" s="3"/>
      <c r="CRS21" s="3"/>
      <c r="CRT21" s="3"/>
      <c r="CRU21" s="3"/>
      <c r="CRV21" s="3"/>
      <c r="CRW21" s="3"/>
      <c r="CRX21" s="3"/>
      <c r="CRY21" s="3"/>
      <c r="CRZ21" s="3"/>
      <c r="CSA21" s="3"/>
      <c r="CSB21" s="3"/>
      <c r="CSC21" s="3"/>
      <c r="CSD21" s="3"/>
      <c r="CSE21" s="3"/>
      <c r="CSF21" s="3"/>
      <c r="CSG21" s="3"/>
      <c r="CSH21" s="3"/>
      <c r="CSI21" s="3"/>
      <c r="CSJ21" s="3"/>
      <c r="CSK21" s="3"/>
      <c r="CSL21" s="3"/>
      <c r="CSM21" s="3"/>
      <c r="CSN21" s="3"/>
      <c r="CSO21" s="3"/>
      <c r="CSP21" s="3"/>
      <c r="CSQ21" s="3"/>
      <c r="CSR21" s="3"/>
      <c r="CSS21" s="3"/>
      <c r="CST21" s="3"/>
      <c r="CSU21" s="3"/>
      <c r="CSV21" s="3"/>
      <c r="CSW21" s="3"/>
      <c r="CSX21" s="3"/>
      <c r="CSY21" s="3"/>
      <c r="CSZ21" s="3"/>
      <c r="CTA21" s="3"/>
      <c r="CTB21" s="3"/>
      <c r="CTC21" s="3"/>
      <c r="CTD21" s="3"/>
      <c r="CTE21" s="3"/>
      <c r="CTF21" s="3"/>
      <c r="CTG21" s="3"/>
      <c r="CTH21" s="3"/>
      <c r="CTI21" s="3"/>
      <c r="CTJ21" s="3"/>
      <c r="CTK21" s="3"/>
      <c r="CTL21" s="3"/>
      <c r="CTM21" s="3"/>
      <c r="CTN21" s="3"/>
      <c r="CTO21" s="3"/>
      <c r="CTP21" s="3"/>
      <c r="CTQ21" s="3"/>
      <c r="CTR21" s="3"/>
      <c r="CTS21" s="3"/>
      <c r="CTT21" s="3"/>
      <c r="CTU21" s="3"/>
      <c r="CTV21" s="3"/>
      <c r="CTW21" s="3"/>
      <c r="CTX21" s="3"/>
      <c r="CTY21" s="3"/>
      <c r="CTZ21" s="3"/>
      <c r="CUA21" s="3"/>
      <c r="CUB21" s="3"/>
      <c r="CUC21" s="3"/>
      <c r="CUD21" s="3"/>
      <c r="CUE21" s="3"/>
      <c r="CUF21" s="3"/>
      <c r="CUG21" s="3"/>
      <c r="CUH21" s="3"/>
      <c r="CUI21" s="3"/>
      <c r="CUJ21" s="3"/>
      <c r="CUK21" s="3"/>
      <c r="CUL21" s="3"/>
      <c r="CUM21" s="3"/>
      <c r="CUN21" s="3"/>
      <c r="CUO21" s="3"/>
      <c r="CUP21" s="3"/>
      <c r="CUQ21" s="3"/>
      <c r="CUR21" s="3"/>
      <c r="CUS21" s="3"/>
      <c r="CUT21" s="3"/>
      <c r="CUU21" s="3"/>
      <c r="CUV21" s="3"/>
      <c r="CUW21" s="3"/>
      <c r="CUX21" s="3"/>
      <c r="CUY21" s="3"/>
      <c r="CUZ21" s="3"/>
      <c r="CVA21" s="3"/>
      <c r="CVB21" s="3"/>
      <c r="CVC21" s="3"/>
      <c r="CVD21" s="3"/>
      <c r="CVE21" s="3"/>
      <c r="CVF21" s="3"/>
      <c r="CVG21" s="3"/>
      <c r="CVH21" s="3"/>
      <c r="CVI21" s="3"/>
      <c r="CVJ21" s="3"/>
      <c r="CVK21" s="3"/>
      <c r="CVL21" s="3"/>
      <c r="CVM21" s="3"/>
      <c r="CVN21" s="3"/>
      <c r="CVO21" s="3"/>
      <c r="CVP21" s="3"/>
      <c r="CVQ21" s="3"/>
      <c r="CVR21" s="3"/>
      <c r="CVS21" s="3"/>
      <c r="CVT21" s="3"/>
      <c r="CVU21" s="3"/>
      <c r="CVV21" s="3"/>
      <c r="CVW21" s="3"/>
      <c r="CVX21" s="3"/>
      <c r="CVY21" s="3"/>
      <c r="CVZ21" s="3"/>
      <c r="CWA21" s="3"/>
      <c r="CWB21" s="3"/>
      <c r="CWC21" s="3"/>
      <c r="CWD21" s="3"/>
      <c r="CWE21" s="3"/>
      <c r="CWF21" s="3"/>
      <c r="CWG21" s="3"/>
      <c r="CWH21" s="3"/>
      <c r="CWI21" s="3"/>
      <c r="CWJ21" s="3"/>
      <c r="CWK21" s="3"/>
      <c r="CWL21" s="3"/>
      <c r="CWM21" s="3"/>
      <c r="CWN21" s="3"/>
      <c r="CWO21" s="3"/>
      <c r="CWP21" s="3"/>
      <c r="CWQ21" s="3"/>
      <c r="CWR21" s="3"/>
      <c r="CWS21" s="3"/>
      <c r="CWT21" s="3"/>
      <c r="CWU21" s="3"/>
      <c r="CWV21" s="3"/>
      <c r="CWW21" s="3"/>
      <c r="CWX21" s="3"/>
      <c r="CWY21" s="3"/>
      <c r="CWZ21" s="3"/>
      <c r="CXA21" s="3"/>
      <c r="CXB21" s="3"/>
      <c r="CXC21" s="3"/>
      <c r="CXD21" s="3"/>
      <c r="CXE21" s="3"/>
      <c r="CXF21" s="3"/>
      <c r="CXG21" s="3"/>
      <c r="CXH21" s="3"/>
      <c r="CXI21" s="3"/>
      <c r="CXJ21" s="3"/>
      <c r="CXK21" s="3"/>
      <c r="CXL21" s="3"/>
      <c r="CXM21" s="3"/>
      <c r="CXN21" s="3"/>
      <c r="CXO21" s="3"/>
      <c r="CXP21" s="3"/>
      <c r="CXQ21" s="3"/>
      <c r="CXR21" s="3"/>
      <c r="CXS21" s="3"/>
      <c r="CXT21" s="3"/>
      <c r="CXU21" s="3"/>
      <c r="CXV21" s="3"/>
      <c r="CXW21" s="3"/>
      <c r="CXX21" s="3"/>
      <c r="CXY21" s="3"/>
      <c r="CXZ21" s="3"/>
      <c r="CYA21" s="3"/>
      <c r="CYB21" s="3"/>
      <c r="CYC21" s="3"/>
      <c r="CYD21" s="3"/>
      <c r="CYE21" s="3"/>
      <c r="CYF21" s="3"/>
      <c r="CYG21" s="3"/>
      <c r="CYH21" s="3"/>
      <c r="CYI21" s="3"/>
      <c r="CYJ21" s="3"/>
      <c r="CYK21" s="3"/>
      <c r="CYL21" s="3"/>
      <c r="CYM21" s="3"/>
      <c r="CYN21" s="3"/>
      <c r="CYO21" s="3"/>
      <c r="CYP21" s="3"/>
      <c r="CYQ21" s="3"/>
      <c r="CYR21" s="3"/>
      <c r="CYS21" s="3"/>
      <c r="CYT21" s="3"/>
      <c r="CYU21" s="3"/>
      <c r="CYV21" s="3"/>
      <c r="CYW21" s="3"/>
      <c r="CYX21" s="3"/>
      <c r="CYY21" s="3"/>
      <c r="CYZ21" s="3"/>
      <c r="CZA21" s="3"/>
      <c r="CZB21" s="3"/>
      <c r="CZC21" s="3"/>
      <c r="CZD21" s="3"/>
      <c r="CZE21" s="3"/>
      <c r="CZF21" s="3"/>
      <c r="CZG21" s="3"/>
      <c r="CZH21" s="3"/>
      <c r="CZI21" s="3"/>
      <c r="CZJ21" s="3"/>
      <c r="CZK21" s="3"/>
      <c r="CZL21" s="3"/>
      <c r="CZM21" s="3"/>
      <c r="CZN21" s="3"/>
      <c r="CZO21" s="3"/>
      <c r="CZP21" s="3"/>
      <c r="CZQ21" s="3"/>
      <c r="CZR21" s="3"/>
      <c r="CZS21" s="3"/>
      <c r="CZT21" s="3"/>
      <c r="CZU21" s="3"/>
      <c r="CZV21" s="3"/>
      <c r="CZW21" s="3"/>
      <c r="CZX21" s="3"/>
      <c r="CZY21" s="3"/>
      <c r="CZZ21" s="3"/>
      <c r="DAA21" s="3"/>
      <c r="DAB21" s="3"/>
      <c r="DAC21" s="3"/>
      <c r="DAD21" s="3"/>
      <c r="DAE21" s="3"/>
      <c r="DAF21" s="3"/>
      <c r="DAG21" s="3"/>
      <c r="DAH21" s="3"/>
      <c r="DAI21" s="3"/>
      <c r="DAJ21" s="3"/>
      <c r="DAK21" s="3"/>
      <c r="DAL21" s="3"/>
      <c r="DAM21" s="3"/>
      <c r="DAN21" s="3"/>
      <c r="DAO21" s="3"/>
      <c r="DAP21" s="3"/>
      <c r="DAQ21" s="3"/>
      <c r="DAR21" s="3"/>
      <c r="DAS21" s="3"/>
      <c r="DAT21" s="3"/>
      <c r="DAU21" s="3"/>
      <c r="DAV21" s="3"/>
      <c r="DAW21" s="3"/>
      <c r="DAX21" s="3"/>
      <c r="DAY21" s="3"/>
      <c r="DAZ21" s="3"/>
      <c r="DBA21" s="3"/>
      <c r="DBB21" s="3"/>
      <c r="DBC21" s="3"/>
      <c r="DBD21" s="3"/>
      <c r="DBE21" s="3"/>
      <c r="DBF21" s="3"/>
      <c r="DBG21" s="3"/>
      <c r="DBH21" s="3"/>
      <c r="DBI21" s="3"/>
      <c r="DBJ21" s="3"/>
      <c r="DBK21" s="3"/>
      <c r="DBL21" s="3"/>
      <c r="DBM21" s="3"/>
      <c r="DBN21" s="3"/>
      <c r="DBO21" s="3"/>
      <c r="DBP21" s="3"/>
      <c r="DBQ21" s="3"/>
      <c r="DBR21" s="3"/>
      <c r="DBS21" s="3"/>
      <c r="DBT21" s="3"/>
      <c r="DBU21" s="3"/>
      <c r="DBV21" s="3"/>
      <c r="DBW21" s="3"/>
      <c r="DBX21" s="3"/>
      <c r="DBY21" s="3"/>
      <c r="DBZ21" s="3"/>
      <c r="DCA21" s="3"/>
      <c r="DCB21" s="3"/>
      <c r="DCC21" s="3"/>
      <c r="DCD21" s="3"/>
      <c r="DCE21" s="3"/>
      <c r="DCF21" s="3"/>
      <c r="DCG21" s="3"/>
      <c r="DCH21" s="3"/>
      <c r="DCI21" s="3"/>
      <c r="DCJ21" s="3"/>
      <c r="DCK21" s="3"/>
      <c r="DCL21" s="3"/>
      <c r="DCM21" s="3"/>
      <c r="DCN21" s="3"/>
      <c r="DCO21" s="3"/>
      <c r="DCP21" s="3"/>
      <c r="DCQ21" s="3"/>
      <c r="DCR21" s="3"/>
      <c r="DCS21" s="3"/>
      <c r="DCT21" s="3"/>
      <c r="DCU21" s="3"/>
      <c r="DCV21" s="3"/>
      <c r="DCW21" s="3"/>
      <c r="DCX21" s="3"/>
      <c r="DCY21" s="3"/>
      <c r="DCZ21" s="3"/>
      <c r="DDA21" s="3"/>
      <c r="DDB21" s="3"/>
      <c r="DDC21" s="3"/>
      <c r="DDD21" s="3"/>
      <c r="DDE21" s="3"/>
      <c r="DDF21" s="3"/>
      <c r="DDG21" s="3"/>
      <c r="DDH21" s="3"/>
      <c r="DDI21" s="3"/>
      <c r="DDJ21" s="3"/>
      <c r="DDK21" s="3"/>
      <c r="DDL21" s="3"/>
      <c r="DDM21" s="3"/>
      <c r="DDN21" s="3"/>
      <c r="DDO21" s="3"/>
      <c r="DDP21" s="3"/>
      <c r="DDQ21" s="3"/>
      <c r="DDR21" s="3"/>
      <c r="DDS21" s="3"/>
      <c r="DDT21" s="3"/>
      <c r="DDU21" s="3"/>
      <c r="DDV21" s="3"/>
      <c r="DDW21" s="3"/>
      <c r="DDX21" s="3"/>
      <c r="DDY21" s="3"/>
      <c r="DDZ21" s="3"/>
      <c r="DEA21" s="3"/>
      <c r="DEB21" s="3"/>
      <c r="DEC21" s="3"/>
      <c r="DED21" s="3"/>
      <c r="DEE21" s="3"/>
      <c r="DEF21" s="3"/>
      <c r="DEG21" s="3"/>
      <c r="DEH21" s="3"/>
      <c r="DEI21" s="3"/>
      <c r="DEJ21" s="3"/>
      <c r="DEK21" s="3"/>
      <c r="DEL21" s="3"/>
      <c r="DEM21" s="3"/>
      <c r="DEN21" s="3"/>
      <c r="DEO21" s="3"/>
      <c r="DEP21" s="3"/>
      <c r="DEQ21" s="3"/>
      <c r="DER21" s="3"/>
      <c r="DES21" s="3"/>
      <c r="DET21" s="3"/>
      <c r="DEU21" s="3"/>
      <c r="DEV21" s="3"/>
      <c r="DEW21" s="3"/>
      <c r="DEX21" s="3"/>
      <c r="DEY21" s="3"/>
      <c r="DEZ21" s="3"/>
      <c r="DFA21" s="3"/>
      <c r="DFB21" s="3"/>
      <c r="DFC21" s="3"/>
      <c r="DFD21" s="3"/>
      <c r="DFE21" s="3"/>
      <c r="DFF21" s="3"/>
      <c r="DFG21" s="3"/>
      <c r="DFH21" s="3"/>
      <c r="DFI21" s="3"/>
      <c r="DFJ21" s="3"/>
      <c r="DFK21" s="3"/>
      <c r="DFL21" s="3"/>
      <c r="DFM21" s="3"/>
      <c r="DFN21" s="3"/>
      <c r="DFO21" s="3"/>
      <c r="DFP21" s="3"/>
      <c r="DFQ21" s="3"/>
      <c r="DFR21" s="3"/>
      <c r="DFS21" s="3"/>
      <c r="DFT21" s="3"/>
      <c r="DFU21" s="3"/>
      <c r="DFV21" s="3"/>
      <c r="DFW21" s="3"/>
      <c r="DFX21" s="3"/>
      <c r="DFY21" s="3"/>
      <c r="DFZ21" s="3"/>
      <c r="DGA21" s="3"/>
      <c r="DGB21" s="3"/>
      <c r="DGC21" s="3"/>
      <c r="DGD21" s="3"/>
      <c r="DGE21" s="3"/>
      <c r="DGF21" s="3"/>
      <c r="DGG21" s="3"/>
      <c r="DGH21" s="3"/>
      <c r="DGI21" s="3"/>
      <c r="DGJ21" s="3"/>
      <c r="DGK21" s="3"/>
      <c r="DGL21" s="3"/>
      <c r="DGM21" s="3"/>
      <c r="DGN21" s="3"/>
      <c r="DGO21" s="3"/>
      <c r="DGP21" s="3"/>
      <c r="DGQ21" s="3"/>
      <c r="DGR21" s="3"/>
      <c r="DGS21" s="3"/>
      <c r="DGT21" s="3"/>
      <c r="DGU21" s="3"/>
      <c r="DGV21" s="3"/>
      <c r="DGW21" s="3"/>
      <c r="DGX21" s="3"/>
      <c r="DGY21" s="3"/>
      <c r="DGZ21" s="3"/>
      <c r="DHA21" s="3"/>
      <c r="DHB21" s="3"/>
      <c r="DHC21" s="3"/>
      <c r="DHD21" s="3"/>
      <c r="DHE21" s="3"/>
      <c r="DHF21" s="3"/>
      <c r="DHG21" s="3"/>
      <c r="DHH21" s="3"/>
      <c r="DHI21" s="3"/>
      <c r="DHJ21" s="3"/>
      <c r="DHK21" s="3"/>
      <c r="DHL21" s="3"/>
      <c r="DHM21" s="3"/>
      <c r="DHN21" s="3"/>
      <c r="DHO21" s="3"/>
      <c r="DHP21" s="3"/>
      <c r="DHQ21" s="3"/>
      <c r="DHR21" s="3"/>
      <c r="DHS21" s="3"/>
      <c r="DHT21" s="3"/>
      <c r="DHU21" s="3"/>
      <c r="DHV21" s="3"/>
      <c r="DHW21" s="3"/>
      <c r="DHX21" s="3"/>
      <c r="DHY21" s="3"/>
      <c r="DHZ21" s="3"/>
      <c r="DIA21" s="3"/>
      <c r="DIB21" s="3"/>
      <c r="DIC21" s="3"/>
      <c r="DID21" s="3"/>
      <c r="DIE21" s="3"/>
      <c r="DIF21" s="3"/>
      <c r="DIG21" s="3"/>
      <c r="DIH21" s="3"/>
      <c r="DII21" s="3"/>
      <c r="DIJ21" s="3"/>
      <c r="DIK21" s="3"/>
      <c r="DIL21" s="3"/>
      <c r="DIM21" s="3"/>
      <c r="DIN21" s="3"/>
      <c r="DIO21" s="3"/>
      <c r="DIP21" s="3"/>
      <c r="DIQ21" s="3"/>
      <c r="DIR21" s="3"/>
      <c r="DIS21" s="3"/>
      <c r="DIT21" s="3"/>
      <c r="DIU21" s="3"/>
      <c r="DIV21" s="3"/>
      <c r="DIW21" s="3"/>
      <c r="DIX21" s="3"/>
      <c r="DIY21" s="3"/>
      <c r="DIZ21" s="3"/>
      <c r="DJA21" s="3"/>
      <c r="DJB21" s="3"/>
      <c r="DJC21" s="3"/>
      <c r="DJD21" s="3"/>
      <c r="DJE21" s="3"/>
      <c r="DJF21" s="3"/>
      <c r="DJG21" s="3"/>
      <c r="DJH21" s="3"/>
      <c r="DJI21" s="3"/>
      <c r="DJJ21" s="3"/>
      <c r="DJK21" s="3"/>
      <c r="DJL21" s="3"/>
      <c r="DJM21" s="3"/>
      <c r="DJN21" s="3"/>
      <c r="DJO21" s="3"/>
      <c r="DJP21" s="3"/>
      <c r="DJQ21" s="3"/>
      <c r="DJR21" s="3"/>
      <c r="DJS21" s="3"/>
      <c r="DJT21" s="3"/>
      <c r="DJU21" s="3"/>
      <c r="DJV21" s="3"/>
      <c r="DJW21" s="3"/>
      <c r="DJX21" s="3"/>
      <c r="DJY21" s="3"/>
      <c r="DJZ21" s="3"/>
      <c r="DKA21" s="3"/>
      <c r="DKB21" s="3"/>
      <c r="DKC21" s="3"/>
      <c r="DKD21" s="3"/>
      <c r="DKE21" s="3"/>
      <c r="DKF21" s="3"/>
      <c r="DKG21" s="3"/>
      <c r="DKH21" s="3"/>
      <c r="DKI21" s="3"/>
      <c r="DKJ21" s="3"/>
      <c r="DKK21" s="3"/>
      <c r="DKL21" s="3"/>
      <c r="DKM21" s="3"/>
      <c r="DKN21" s="3"/>
      <c r="DKO21" s="3"/>
      <c r="DKP21" s="3"/>
      <c r="DKQ21" s="3"/>
      <c r="DKR21" s="3"/>
      <c r="DKS21" s="3"/>
      <c r="DKT21" s="3"/>
      <c r="DKU21" s="3"/>
      <c r="DKV21" s="3"/>
      <c r="DKW21" s="3"/>
      <c r="DKX21" s="3"/>
      <c r="DKY21" s="3"/>
      <c r="DKZ21" s="3"/>
      <c r="DLA21" s="3"/>
      <c r="DLB21" s="3"/>
      <c r="DLC21" s="3"/>
      <c r="DLD21" s="3"/>
      <c r="DLE21" s="3"/>
      <c r="DLF21" s="3"/>
      <c r="DLG21" s="3"/>
      <c r="DLH21" s="3"/>
      <c r="DLI21" s="3"/>
      <c r="DLJ21" s="3"/>
      <c r="DLK21" s="3"/>
      <c r="DLL21" s="3"/>
      <c r="DLM21" s="3"/>
      <c r="DLN21" s="3"/>
      <c r="DLO21" s="3"/>
      <c r="DLP21" s="3"/>
      <c r="DLQ21" s="3"/>
      <c r="DLR21" s="3"/>
      <c r="DLS21" s="3"/>
      <c r="DLT21" s="3"/>
      <c r="DLU21" s="3"/>
      <c r="DLV21" s="3"/>
      <c r="DLW21" s="3"/>
      <c r="DLX21" s="3"/>
      <c r="DLY21" s="3"/>
      <c r="DLZ21" s="3"/>
      <c r="DMA21" s="3"/>
      <c r="DMB21" s="3"/>
      <c r="DMC21" s="3"/>
      <c r="DMD21" s="3"/>
      <c r="DME21" s="3"/>
      <c r="DMF21" s="3"/>
      <c r="DMG21" s="3"/>
      <c r="DMH21" s="3"/>
      <c r="DMI21" s="3"/>
      <c r="DMJ21" s="3"/>
      <c r="DMK21" s="3"/>
      <c r="DML21" s="3"/>
      <c r="DMM21" s="3"/>
      <c r="DMN21" s="3"/>
      <c r="DMO21" s="3"/>
      <c r="DMP21" s="3"/>
      <c r="DMQ21" s="3"/>
      <c r="DMR21" s="3"/>
      <c r="DMS21" s="3"/>
      <c r="DMT21" s="3"/>
      <c r="DMU21" s="3"/>
      <c r="DMV21" s="3"/>
      <c r="DMW21" s="3"/>
      <c r="DMX21" s="3"/>
      <c r="DMY21" s="3"/>
      <c r="DMZ21" s="3"/>
      <c r="DNA21" s="3"/>
      <c r="DNB21" s="3"/>
      <c r="DNC21" s="3"/>
      <c r="DND21" s="3"/>
      <c r="DNE21" s="3"/>
      <c r="DNF21" s="3"/>
      <c r="DNG21" s="3"/>
      <c r="DNH21" s="3"/>
      <c r="DNI21" s="3"/>
      <c r="DNJ21" s="3"/>
      <c r="DNK21" s="3"/>
      <c r="DNL21" s="3"/>
      <c r="DNM21" s="3"/>
      <c r="DNN21" s="3"/>
      <c r="DNO21" s="3"/>
      <c r="DNP21" s="3"/>
      <c r="DNQ21" s="3"/>
      <c r="DNR21" s="3"/>
      <c r="DNS21" s="3"/>
      <c r="DNT21" s="3"/>
      <c r="DNU21" s="3"/>
      <c r="DNV21" s="3"/>
      <c r="DNW21" s="3"/>
      <c r="DNX21" s="3"/>
      <c r="DNY21" s="3"/>
      <c r="DNZ21" s="3"/>
      <c r="DOA21" s="3"/>
      <c r="DOB21" s="3"/>
      <c r="DOC21" s="3"/>
      <c r="DOD21" s="3"/>
      <c r="DOE21" s="3"/>
      <c r="DOF21" s="3"/>
      <c r="DOG21" s="3"/>
      <c r="DOH21" s="3"/>
      <c r="DOI21" s="3"/>
      <c r="DOJ21" s="3"/>
      <c r="DOK21" s="3"/>
      <c r="DOL21" s="3"/>
      <c r="DOM21" s="3"/>
      <c r="DON21" s="3"/>
      <c r="DOO21" s="3"/>
      <c r="DOP21" s="3"/>
      <c r="DOQ21" s="3"/>
      <c r="DOR21" s="3"/>
      <c r="DOS21" s="3"/>
      <c r="DOT21" s="3"/>
      <c r="DOU21" s="3"/>
      <c r="DOV21" s="3"/>
      <c r="DOW21" s="3"/>
      <c r="DOX21" s="3"/>
      <c r="DOY21" s="3"/>
      <c r="DOZ21" s="3"/>
      <c r="DPA21" s="3"/>
      <c r="DPB21" s="3"/>
      <c r="DPC21" s="3"/>
      <c r="DPD21" s="3"/>
      <c r="DPE21" s="3"/>
      <c r="DPF21" s="3"/>
      <c r="DPG21" s="3"/>
      <c r="DPH21" s="3"/>
      <c r="DPI21" s="3"/>
      <c r="DPJ21" s="3"/>
      <c r="DPK21" s="3"/>
      <c r="DPL21" s="3"/>
      <c r="DPM21" s="3"/>
      <c r="DPN21" s="3"/>
      <c r="DPO21" s="3"/>
      <c r="DPP21" s="3"/>
      <c r="DPQ21" s="3"/>
      <c r="DPR21" s="3"/>
      <c r="DPS21" s="3"/>
      <c r="DPT21" s="3"/>
      <c r="DPU21" s="3"/>
      <c r="DPV21" s="3"/>
      <c r="DPW21" s="3"/>
      <c r="DPX21" s="3"/>
      <c r="DPY21" s="3"/>
      <c r="DPZ21" s="3"/>
      <c r="DQA21" s="3"/>
      <c r="DQB21" s="3"/>
      <c r="DQC21" s="3"/>
      <c r="DQD21" s="3"/>
      <c r="DQE21" s="3"/>
      <c r="DQF21" s="3"/>
      <c r="DQG21" s="3"/>
      <c r="DQH21" s="3"/>
      <c r="DQI21" s="3"/>
      <c r="DQJ21" s="3"/>
      <c r="DQK21" s="3"/>
      <c r="DQL21" s="3"/>
      <c r="DQM21" s="3"/>
      <c r="DQN21" s="3"/>
      <c r="DQO21" s="3"/>
      <c r="DQP21" s="3"/>
      <c r="DQQ21" s="3"/>
      <c r="DQR21" s="3"/>
      <c r="DQS21" s="3"/>
      <c r="DQT21" s="3"/>
      <c r="DQU21" s="3"/>
      <c r="DQV21" s="3"/>
      <c r="DQW21" s="3"/>
      <c r="DQX21" s="3"/>
      <c r="DQY21" s="3"/>
      <c r="DQZ21" s="3"/>
      <c r="DRA21" s="3"/>
      <c r="DRB21" s="3"/>
      <c r="DRC21" s="3"/>
      <c r="DRD21" s="3"/>
      <c r="DRE21" s="3"/>
      <c r="DRF21" s="3"/>
      <c r="DRG21" s="3"/>
      <c r="DRH21" s="3"/>
      <c r="DRI21" s="3"/>
      <c r="DRJ21" s="3"/>
      <c r="DRK21" s="3"/>
      <c r="DRL21" s="3"/>
      <c r="DRM21" s="3"/>
      <c r="DRN21" s="3"/>
      <c r="DRO21" s="3"/>
      <c r="DRP21" s="3"/>
      <c r="DRQ21" s="3"/>
      <c r="DRR21" s="3"/>
      <c r="DRS21" s="3"/>
      <c r="DRT21" s="3"/>
      <c r="DRU21" s="3"/>
      <c r="DRV21" s="3"/>
      <c r="DRW21" s="3"/>
      <c r="DRX21" s="3"/>
      <c r="DRY21" s="3"/>
      <c r="DRZ21" s="3"/>
      <c r="DSA21" s="3"/>
      <c r="DSB21" s="3"/>
      <c r="DSC21" s="3"/>
      <c r="DSD21" s="3"/>
      <c r="DSE21" s="3"/>
      <c r="DSF21" s="3"/>
      <c r="DSG21" s="3"/>
      <c r="DSH21" s="3"/>
      <c r="DSI21" s="3"/>
      <c r="DSJ21" s="3"/>
      <c r="DSK21" s="3"/>
      <c r="DSL21" s="3"/>
      <c r="DSM21" s="3"/>
      <c r="DSN21" s="3"/>
      <c r="DSO21" s="3"/>
      <c r="DSP21" s="3"/>
      <c r="DSQ21" s="3"/>
      <c r="DSR21" s="3"/>
      <c r="DSS21" s="3"/>
      <c r="DST21" s="3"/>
      <c r="DSU21" s="3"/>
      <c r="DSV21" s="3"/>
      <c r="DSW21" s="3"/>
      <c r="DSX21" s="3"/>
      <c r="DSY21" s="3"/>
      <c r="DSZ21" s="3"/>
      <c r="DTA21" s="3"/>
      <c r="DTB21" s="3"/>
      <c r="DTC21" s="3"/>
      <c r="DTD21" s="3"/>
      <c r="DTE21" s="3"/>
      <c r="DTF21" s="3"/>
      <c r="DTG21" s="3"/>
      <c r="DTH21" s="3"/>
      <c r="DTI21" s="3"/>
      <c r="DTJ21" s="3"/>
      <c r="DTK21" s="3"/>
      <c r="DTL21" s="3"/>
      <c r="DTM21" s="3"/>
      <c r="DTN21" s="3"/>
      <c r="DTO21" s="3"/>
      <c r="DTP21" s="3"/>
      <c r="DTQ21" s="3"/>
      <c r="DTR21" s="3"/>
      <c r="DTS21" s="3"/>
      <c r="DTT21" s="3"/>
      <c r="DTU21" s="3"/>
      <c r="DTV21" s="3"/>
      <c r="DTW21" s="3"/>
      <c r="DTX21" s="3"/>
      <c r="DTY21" s="3"/>
      <c r="DTZ21" s="3"/>
      <c r="DUA21" s="3"/>
      <c r="DUB21" s="3"/>
      <c r="DUC21" s="3"/>
      <c r="DUD21" s="3"/>
      <c r="DUE21" s="3"/>
      <c r="DUF21" s="3"/>
      <c r="DUG21" s="3"/>
      <c r="DUH21" s="3"/>
      <c r="DUI21" s="3"/>
      <c r="DUJ21" s="3"/>
      <c r="DUK21" s="3"/>
      <c r="DUL21" s="3"/>
      <c r="DUM21" s="3"/>
      <c r="DUN21" s="3"/>
      <c r="DUO21" s="3"/>
      <c r="DUP21" s="3"/>
      <c r="DUQ21" s="3"/>
      <c r="DUR21" s="3"/>
      <c r="DUS21" s="3"/>
      <c r="DUT21" s="3"/>
      <c r="DUU21" s="3"/>
      <c r="DUV21" s="3"/>
      <c r="DUW21" s="3"/>
      <c r="DUX21" s="3"/>
      <c r="DUY21" s="3"/>
      <c r="DUZ21" s="3"/>
      <c r="DVA21" s="3"/>
      <c r="DVB21" s="3"/>
      <c r="DVC21" s="3"/>
      <c r="DVD21" s="3"/>
      <c r="DVE21" s="3"/>
      <c r="DVF21" s="3"/>
      <c r="DVG21" s="3"/>
      <c r="DVH21" s="3"/>
      <c r="DVI21" s="3"/>
      <c r="DVJ21" s="3"/>
      <c r="DVK21" s="3"/>
      <c r="DVL21" s="3"/>
      <c r="DVM21" s="3"/>
      <c r="DVN21" s="3"/>
      <c r="DVO21" s="3"/>
      <c r="DVP21" s="3"/>
      <c r="DVQ21" s="3"/>
      <c r="DVR21" s="3"/>
      <c r="DVS21" s="3"/>
      <c r="DVT21" s="3"/>
      <c r="DVU21" s="3"/>
      <c r="DVV21" s="3"/>
      <c r="DVW21" s="3"/>
      <c r="DVX21" s="3"/>
      <c r="DVY21" s="3"/>
      <c r="DVZ21" s="3"/>
      <c r="DWA21" s="3"/>
      <c r="DWB21" s="3"/>
      <c r="DWC21" s="3"/>
      <c r="DWD21" s="3"/>
      <c r="DWE21" s="3"/>
      <c r="DWF21" s="3"/>
      <c r="DWG21" s="3"/>
      <c r="DWH21" s="3"/>
      <c r="DWI21" s="3"/>
      <c r="DWJ21" s="3"/>
      <c r="DWK21" s="3"/>
      <c r="DWL21" s="3"/>
      <c r="DWM21" s="3"/>
      <c r="DWN21" s="3"/>
      <c r="DWO21" s="3"/>
      <c r="DWP21" s="3"/>
      <c r="DWQ21" s="3"/>
      <c r="DWR21" s="3"/>
      <c r="DWS21" s="3"/>
      <c r="DWT21" s="3"/>
      <c r="DWU21" s="3"/>
      <c r="DWV21" s="3"/>
      <c r="DWW21" s="3"/>
      <c r="DWX21" s="3"/>
      <c r="DWY21" s="3"/>
      <c r="DWZ21" s="3"/>
      <c r="DXA21" s="3"/>
      <c r="DXB21" s="3"/>
      <c r="DXC21" s="3"/>
      <c r="DXD21" s="3"/>
      <c r="DXE21" s="3"/>
      <c r="DXF21" s="3"/>
      <c r="DXG21" s="3"/>
      <c r="DXH21" s="3"/>
      <c r="DXI21" s="3"/>
      <c r="DXJ21" s="3"/>
      <c r="DXK21" s="3"/>
      <c r="DXL21" s="3"/>
      <c r="DXM21" s="3"/>
      <c r="DXN21" s="3"/>
      <c r="DXO21" s="3"/>
      <c r="DXP21" s="3"/>
      <c r="DXQ21" s="3"/>
      <c r="DXR21" s="3"/>
      <c r="DXS21" s="3"/>
      <c r="DXT21" s="3"/>
      <c r="DXU21" s="3"/>
      <c r="DXV21" s="3"/>
      <c r="DXW21" s="3"/>
      <c r="DXX21" s="3"/>
      <c r="DXY21" s="3"/>
      <c r="DXZ21" s="3"/>
      <c r="DYA21" s="3"/>
      <c r="DYB21" s="3"/>
      <c r="DYC21" s="3"/>
      <c r="DYD21" s="3"/>
      <c r="DYE21" s="3"/>
      <c r="DYF21" s="3"/>
      <c r="DYG21" s="3"/>
      <c r="DYH21" s="3"/>
      <c r="DYI21" s="3"/>
      <c r="DYJ21" s="3"/>
      <c r="DYK21" s="3"/>
      <c r="DYL21" s="3"/>
      <c r="DYM21" s="3"/>
      <c r="DYN21" s="3"/>
      <c r="DYO21" s="3"/>
      <c r="DYP21" s="3"/>
      <c r="DYQ21" s="3"/>
      <c r="DYR21" s="3"/>
      <c r="DYS21" s="3"/>
      <c r="DYT21" s="3"/>
      <c r="DYU21" s="3"/>
      <c r="DYV21" s="3"/>
      <c r="DYW21" s="3"/>
      <c r="DYX21" s="3"/>
      <c r="DYY21" s="3"/>
      <c r="DYZ21" s="3"/>
      <c r="DZA21" s="3"/>
      <c r="DZB21" s="3"/>
      <c r="DZC21" s="3"/>
      <c r="DZD21" s="3"/>
      <c r="DZE21" s="3"/>
      <c r="DZF21" s="3"/>
      <c r="DZG21" s="3"/>
      <c r="DZH21" s="3"/>
      <c r="DZI21" s="3"/>
      <c r="DZJ21" s="3"/>
      <c r="DZK21" s="3"/>
      <c r="DZL21" s="3"/>
      <c r="DZM21" s="3"/>
      <c r="DZN21" s="3"/>
      <c r="DZO21" s="3"/>
      <c r="DZP21" s="3"/>
      <c r="DZQ21" s="3"/>
      <c r="DZR21" s="3"/>
      <c r="DZS21" s="3"/>
      <c r="DZT21" s="3"/>
      <c r="DZU21" s="3"/>
      <c r="DZV21" s="3"/>
      <c r="DZW21" s="3"/>
      <c r="DZX21" s="3"/>
      <c r="DZY21" s="3"/>
      <c r="DZZ21" s="3"/>
      <c r="EAA21" s="3"/>
      <c r="EAB21" s="3"/>
      <c r="EAC21" s="3"/>
      <c r="EAD21" s="3"/>
      <c r="EAE21" s="3"/>
      <c r="EAF21" s="3"/>
      <c r="EAG21" s="3"/>
      <c r="EAH21" s="3"/>
      <c r="EAI21" s="3"/>
      <c r="EAJ21" s="3"/>
      <c r="EAK21" s="3"/>
      <c r="EAL21" s="3"/>
      <c r="EAM21" s="3"/>
      <c r="EAN21" s="3"/>
      <c r="EAO21" s="3"/>
      <c r="EAP21" s="3"/>
      <c r="EAQ21" s="3"/>
      <c r="EAR21" s="3"/>
      <c r="EAS21" s="3"/>
      <c r="EAT21" s="3"/>
      <c r="EAU21" s="3"/>
      <c r="EAV21" s="3"/>
      <c r="EAW21" s="3"/>
      <c r="EAX21" s="3"/>
      <c r="EAY21" s="3"/>
      <c r="EAZ21" s="3"/>
      <c r="EBA21" s="3"/>
      <c r="EBB21" s="3"/>
      <c r="EBC21" s="3"/>
      <c r="EBD21" s="3"/>
      <c r="EBE21" s="3"/>
      <c r="EBF21" s="3"/>
      <c r="EBG21" s="3"/>
      <c r="EBH21" s="3"/>
      <c r="EBI21" s="3"/>
      <c r="EBJ21" s="3"/>
      <c r="EBK21" s="3"/>
      <c r="EBL21" s="3"/>
      <c r="EBM21" s="3"/>
      <c r="EBN21" s="3"/>
      <c r="EBO21" s="3"/>
      <c r="EBP21" s="3"/>
      <c r="EBQ21" s="3"/>
      <c r="EBR21" s="3"/>
      <c r="EBS21" s="3"/>
      <c r="EBT21" s="3"/>
      <c r="EBU21" s="3"/>
      <c r="EBV21" s="3"/>
      <c r="EBW21" s="3"/>
      <c r="EBX21" s="3"/>
      <c r="EBY21" s="3"/>
      <c r="EBZ21" s="3"/>
      <c r="ECA21" s="3"/>
      <c r="ECB21" s="3"/>
      <c r="ECC21" s="3"/>
      <c r="ECD21" s="3"/>
      <c r="ECE21" s="3"/>
      <c r="ECF21" s="3"/>
      <c r="ECG21" s="3"/>
      <c r="ECH21" s="3"/>
      <c r="ECI21" s="3"/>
      <c r="ECJ21" s="3"/>
      <c r="ECK21" s="3"/>
      <c r="ECL21" s="3"/>
      <c r="ECM21" s="3"/>
      <c r="ECN21" s="3"/>
      <c r="ECO21" s="3"/>
      <c r="ECP21" s="3"/>
      <c r="ECQ21" s="3"/>
      <c r="ECR21" s="3"/>
      <c r="ECS21" s="3"/>
      <c r="ECT21" s="3"/>
      <c r="ECU21" s="3"/>
      <c r="ECV21" s="3"/>
      <c r="ECW21" s="3"/>
      <c r="ECX21" s="3"/>
      <c r="ECY21" s="3"/>
      <c r="ECZ21" s="3"/>
      <c r="EDA21" s="3"/>
      <c r="EDB21" s="3"/>
      <c r="EDC21" s="3"/>
      <c r="EDD21" s="3"/>
      <c r="EDE21" s="3"/>
      <c r="EDF21" s="3"/>
      <c r="EDG21" s="3"/>
      <c r="EDH21" s="3"/>
      <c r="EDI21" s="3"/>
      <c r="EDJ21" s="3"/>
      <c r="EDK21" s="3"/>
      <c r="EDL21" s="3"/>
      <c r="EDM21" s="3"/>
      <c r="EDN21" s="3"/>
      <c r="EDO21" s="3"/>
      <c r="EDP21" s="3"/>
      <c r="EDQ21" s="3"/>
      <c r="EDR21" s="3"/>
      <c r="EDS21" s="3"/>
      <c r="EDT21" s="3"/>
      <c r="EDU21" s="3"/>
      <c r="EDV21" s="3"/>
      <c r="EDW21" s="3"/>
      <c r="EDX21" s="3"/>
      <c r="EDY21" s="3"/>
      <c r="EDZ21" s="3"/>
      <c r="EEA21" s="3"/>
      <c r="EEB21" s="3"/>
      <c r="EEC21" s="3"/>
      <c r="EED21" s="3"/>
      <c r="EEE21" s="3"/>
      <c r="EEF21" s="3"/>
      <c r="EEG21" s="3"/>
      <c r="EEH21" s="3"/>
      <c r="EEI21" s="3"/>
      <c r="EEJ21" s="3"/>
      <c r="EEK21" s="3"/>
      <c r="EEL21" s="3"/>
      <c r="EEM21" s="3"/>
      <c r="EEN21" s="3"/>
      <c r="EEO21" s="3"/>
      <c r="EEP21" s="3"/>
      <c r="EEQ21" s="3"/>
      <c r="EER21" s="3"/>
      <c r="EES21" s="3"/>
      <c r="EET21" s="3"/>
      <c r="EEU21" s="3"/>
      <c r="EEV21" s="3"/>
      <c r="EEW21" s="3"/>
      <c r="EEX21" s="3"/>
      <c r="EEY21" s="3"/>
      <c r="EEZ21" s="3"/>
      <c r="EFA21" s="3"/>
      <c r="EFB21" s="3"/>
      <c r="EFC21" s="3"/>
      <c r="EFD21" s="3"/>
      <c r="EFE21" s="3"/>
      <c r="EFF21" s="3"/>
      <c r="EFG21" s="3"/>
      <c r="EFH21" s="3"/>
      <c r="EFI21" s="3"/>
      <c r="EFJ21" s="3"/>
      <c r="EFK21" s="3"/>
      <c r="EFL21" s="3"/>
      <c r="EFM21" s="3"/>
      <c r="EFN21" s="3"/>
      <c r="EFO21" s="3"/>
      <c r="EFP21" s="3"/>
      <c r="EFQ21" s="3"/>
      <c r="EFR21" s="3"/>
      <c r="EFS21" s="3"/>
      <c r="EFT21" s="3"/>
      <c r="EFU21" s="3"/>
      <c r="EFV21" s="3"/>
      <c r="EFW21" s="3"/>
      <c r="EFX21" s="3"/>
      <c r="EFY21" s="3"/>
      <c r="EFZ21" s="3"/>
      <c r="EGA21" s="3"/>
      <c r="EGB21" s="3"/>
      <c r="EGC21" s="3"/>
      <c r="EGD21" s="3"/>
      <c r="EGE21" s="3"/>
      <c r="EGF21" s="3"/>
      <c r="EGG21" s="3"/>
      <c r="EGH21" s="3"/>
      <c r="EGI21" s="3"/>
      <c r="EGJ21" s="3"/>
      <c r="EGK21" s="3"/>
      <c r="EGL21" s="3"/>
      <c r="EGM21" s="3"/>
      <c r="EGN21" s="3"/>
      <c r="EGO21" s="3"/>
      <c r="EGP21" s="3"/>
      <c r="EGQ21" s="3"/>
      <c r="EGR21" s="3"/>
      <c r="EGS21" s="3"/>
      <c r="EGT21" s="3"/>
      <c r="EGU21" s="3"/>
      <c r="EGV21" s="3"/>
      <c r="EGW21" s="3"/>
      <c r="EGX21" s="3"/>
      <c r="EGY21" s="3"/>
      <c r="EGZ21" s="3"/>
      <c r="EHA21" s="3"/>
      <c r="EHB21" s="3"/>
      <c r="EHC21" s="3"/>
      <c r="EHD21" s="3"/>
      <c r="EHE21" s="3"/>
      <c r="EHF21" s="3"/>
      <c r="EHG21" s="3"/>
      <c r="EHH21" s="3"/>
      <c r="EHI21" s="3"/>
      <c r="EHJ21" s="3"/>
      <c r="EHK21" s="3"/>
      <c r="EHL21" s="3"/>
      <c r="EHM21" s="3"/>
      <c r="EHN21" s="3"/>
      <c r="EHO21" s="3"/>
      <c r="EHP21" s="3"/>
      <c r="EHQ21" s="3"/>
      <c r="EHR21" s="3"/>
      <c r="EHS21" s="3"/>
      <c r="EHT21" s="3"/>
      <c r="EHU21" s="3"/>
      <c r="EHV21" s="3"/>
      <c r="EHW21" s="3"/>
      <c r="EHX21" s="3"/>
      <c r="EHY21" s="3"/>
      <c r="EHZ21" s="3"/>
      <c r="EIA21" s="3"/>
      <c r="EIB21" s="3"/>
      <c r="EIC21" s="3"/>
      <c r="EID21" s="3"/>
      <c r="EIE21" s="3"/>
      <c r="EIF21" s="3"/>
      <c r="EIG21" s="3"/>
      <c r="EIH21" s="3"/>
      <c r="EII21" s="3"/>
      <c r="EIJ21" s="3"/>
      <c r="EIK21" s="3"/>
      <c r="EIL21" s="3"/>
      <c r="EIM21" s="3"/>
      <c r="EIN21" s="3"/>
      <c r="EIO21" s="3"/>
      <c r="EIP21" s="3"/>
      <c r="EIQ21" s="3"/>
      <c r="EIR21" s="3"/>
      <c r="EIS21" s="3"/>
      <c r="EIT21" s="3"/>
      <c r="EIU21" s="3"/>
      <c r="EIV21" s="3"/>
      <c r="EIW21" s="3"/>
      <c r="EIX21" s="3"/>
      <c r="EIY21" s="3"/>
      <c r="EIZ21" s="3"/>
      <c r="EJA21" s="3"/>
      <c r="EJB21" s="3"/>
      <c r="EJC21" s="3"/>
      <c r="EJD21" s="3"/>
      <c r="EJE21" s="3"/>
      <c r="EJF21" s="3"/>
      <c r="EJG21" s="3"/>
      <c r="EJH21" s="3"/>
      <c r="EJI21" s="3"/>
      <c r="EJJ21" s="3"/>
      <c r="EJK21" s="3"/>
      <c r="EJL21" s="3"/>
      <c r="EJM21" s="3"/>
      <c r="EJN21" s="3"/>
      <c r="EJO21" s="3"/>
      <c r="EJP21" s="3"/>
      <c r="EJQ21" s="3"/>
      <c r="EJR21" s="3"/>
      <c r="EJS21" s="3"/>
      <c r="EJT21" s="3"/>
      <c r="EJU21" s="3"/>
      <c r="EJV21" s="3"/>
      <c r="EJW21" s="3"/>
      <c r="EJX21" s="3"/>
      <c r="EJY21" s="3"/>
      <c r="EJZ21" s="3"/>
      <c r="EKA21" s="3"/>
      <c r="EKB21" s="3"/>
      <c r="EKC21" s="3"/>
      <c r="EKD21" s="3"/>
      <c r="EKE21" s="3"/>
      <c r="EKF21" s="3"/>
      <c r="EKG21" s="3"/>
      <c r="EKH21" s="3"/>
      <c r="EKI21" s="3"/>
      <c r="EKJ21" s="3"/>
      <c r="EKK21" s="3"/>
      <c r="EKL21" s="3"/>
      <c r="EKM21" s="3"/>
      <c r="EKN21" s="3"/>
      <c r="EKO21" s="3"/>
      <c r="EKP21" s="3"/>
      <c r="EKQ21" s="3"/>
      <c r="EKR21" s="3"/>
      <c r="EKS21" s="3"/>
      <c r="EKT21" s="3"/>
      <c r="EKU21" s="3"/>
      <c r="EKV21" s="3"/>
      <c r="EKW21" s="3"/>
      <c r="EKX21" s="3"/>
      <c r="EKY21" s="3"/>
      <c r="EKZ21" s="3"/>
      <c r="ELA21" s="3"/>
      <c r="ELB21" s="3"/>
      <c r="ELC21" s="3"/>
      <c r="ELD21" s="3"/>
      <c r="ELE21" s="3"/>
      <c r="ELF21" s="3"/>
      <c r="ELG21" s="3"/>
      <c r="ELH21" s="3"/>
      <c r="ELI21" s="3"/>
      <c r="ELJ21" s="3"/>
      <c r="ELK21" s="3"/>
      <c r="ELL21" s="3"/>
      <c r="ELM21" s="3"/>
      <c r="ELN21" s="3"/>
      <c r="ELO21" s="3"/>
      <c r="ELP21" s="3"/>
      <c r="ELQ21" s="3"/>
      <c r="ELR21" s="3"/>
      <c r="ELS21" s="3"/>
      <c r="ELT21" s="3"/>
      <c r="ELU21" s="3"/>
      <c r="ELV21" s="3"/>
      <c r="ELW21" s="3"/>
      <c r="ELX21" s="3"/>
      <c r="ELY21" s="3"/>
      <c r="ELZ21" s="3"/>
      <c r="EMA21" s="3"/>
      <c r="EMB21" s="3"/>
      <c r="EMC21" s="3"/>
      <c r="EMD21" s="3"/>
      <c r="EME21" s="3"/>
      <c r="EMF21" s="3"/>
      <c r="EMG21" s="3"/>
      <c r="EMH21" s="3"/>
      <c r="EMI21" s="3"/>
      <c r="EMJ21" s="3"/>
      <c r="EMK21" s="3"/>
      <c r="EML21" s="3"/>
      <c r="EMM21" s="3"/>
      <c r="EMN21" s="3"/>
      <c r="EMO21" s="3"/>
      <c r="EMP21" s="3"/>
      <c r="EMQ21" s="3"/>
      <c r="EMR21" s="3"/>
      <c r="EMS21" s="3"/>
      <c r="EMT21" s="3"/>
      <c r="EMU21" s="3"/>
      <c r="EMV21" s="3"/>
      <c r="EMW21" s="3"/>
      <c r="EMX21" s="3"/>
      <c r="EMY21" s="3"/>
      <c r="EMZ21" s="3"/>
      <c r="ENA21" s="3"/>
      <c r="ENB21" s="3"/>
      <c r="ENC21" s="3"/>
      <c r="END21" s="3"/>
      <c r="ENE21" s="3"/>
      <c r="ENF21" s="3"/>
      <c r="ENG21" s="3"/>
      <c r="ENH21" s="3"/>
      <c r="ENI21" s="3"/>
      <c r="ENJ21" s="3"/>
      <c r="ENK21" s="3"/>
      <c r="ENL21" s="3"/>
      <c r="ENM21" s="3"/>
      <c r="ENN21" s="3"/>
      <c r="ENO21" s="3"/>
      <c r="ENP21" s="3"/>
      <c r="ENQ21" s="3"/>
      <c r="ENR21" s="3"/>
      <c r="ENS21" s="3"/>
      <c r="ENT21" s="3"/>
      <c r="ENU21" s="3"/>
      <c r="ENV21" s="3"/>
      <c r="ENW21" s="3"/>
      <c r="ENX21" s="3"/>
      <c r="ENY21" s="3"/>
      <c r="ENZ21" s="3"/>
      <c r="EOA21" s="3"/>
      <c r="EOB21" s="3"/>
      <c r="EOC21" s="3"/>
      <c r="EOD21" s="3"/>
      <c r="EOE21" s="3"/>
      <c r="EOF21" s="3"/>
      <c r="EOG21" s="3"/>
      <c r="EOH21" s="3"/>
      <c r="EOI21" s="3"/>
      <c r="EOJ21" s="3"/>
      <c r="EOK21" s="3"/>
      <c r="EOL21" s="3"/>
      <c r="EOM21" s="3"/>
      <c r="EON21" s="3"/>
      <c r="EOO21" s="3"/>
      <c r="EOP21" s="3"/>
      <c r="EOQ21" s="3"/>
      <c r="EOR21" s="3"/>
      <c r="EOS21" s="3"/>
      <c r="EOT21" s="3"/>
      <c r="EOU21" s="3"/>
      <c r="EOV21" s="3"/>
      <c r="EOW21" s="3"/>
      <c r="EOX21" s="3"/>
      <c r="EOY21" s="3"/>
      <c r="EOZ21" s="3"/>
      <c r="EPA21" s="3"/>
      <c r="EPB21" s="3"/>
      <c r="EPC21" s="3"/>
      <c r="EPD21" s="3"/>
      <c r="EPE21" s="3"/>
      <c r="EPF21" s="3"/>
      <c r="EPG21" s="3"/>
      <c r="EPH21" s="3"/>
      <c r="EPI21" s="3"/>
      <c r="EPJ21" s="3"/>
      <c r="EPK21" s="3"/>
      <c r="EPL21" s="3"/>
      <c r="EPM21" s="3"/>
      <c r="EPN21" s="3"/>
      <c r="EPO21" s="3"/>
      <c r="EPP21" s="3"/>
      <c r="EPQ21" s="3"/>
      <c r="EPR21" s="3"/>
      <c r="EPS21" s="3"/>
      <c r="EPT21" s="3"/>
      <c r="EPU21" s="3"/>
      <c r="EPV21" s="3"/>
      <c r="EPW21" s="3"/>
      <c r="EPX21" s="3"/>
      <c r="EPY21" s="3"/>
      <c r="EPZ21" s="3"/>
      <c r="EQA21" s="3"/>
      <c r="EQB21" s="3"/>
      <c r="EQC21" s="3"/>
      <c r="EQD21" s="3"/>
      <c r="EQE21" s="3"/>
      <c r="EQF21" s="3"/>
      <c r="EQG21" s="3"/>
      <c r="EQH21" s="3"/>
      <c r="EQI21" s="3"/>
      <c r="EQJ21" s="3"/>
      <c r="EQK21" s="3"/>
      <c r="EQL21" s="3"/>
      <c r="EQM21" s="3"/>
      <c r="EQN21" s="3"/>
      <c r="EQO21" s="3"/>
      <c r="EQP21" s="3"/>
      <c r="EQQ21" s="3"/>
      <c r="EQR21" s="3"/>
      <c r="EQS21" s="3"/>
      <c r="EQT21" s="3"/>
      <c r="EQU21" s="3"/>
      <c r="EQV21" s="3"/>
      <c r="EQW21" s="3"/>
      <c r="EQX21" s="3"/>
      <c r="EQY21" s="3"/>
      <c r="EQZ21" s="3"/>
      <c r="ERA21" s="3"/>
      <c r="ERB21" s="3"/>
      <c r="ERC21" s="3"/>
      <c r="ERD21" s="3"/>
      <c r="ERE21" s="3"/>
      <c r="ERF21" s="3"/>
      <c r="ERG21" s="3"/>
      <c r="ERH21" s="3"/>
      <c r="ERI21" s="3"/>
      <c r="ERJ21" s="3"/>
      <c r="ERK21" s="3"/>
      <c r="ERL21" s="3"/>
      <c r="ERM21" s="3"/>
      <c r="ERN21" s="3"/>
      <c r="ERO21" s="3"/>
      <c r="ERP21" s="3"/>
      <c r="ERQ21" s="3"/>
      <c r="ERR21" s="3"/>
      <c r="ERS21" s="3"/>
      <c r="ERT21" s="3"/>
      <c r="ERU21" s="3"/>
      <c r="ERV21" s="3"/>
      <c r="ERW21" s="3"/>
      <c r="ERX21" s="3"/>
      <c r="ERY21" s="3"/>
      <c r="ERZ21" s="3"/>
      <c r="ESA21" s="3"/>
      <c r="ESB21" s="3"/>
      <c r="ESC21" s="3"/>
      <c r="ESD21" s="3"/>
      <c r="ESE21" s="3"/>
      <c r="ESF21" s="3"/>
      <c r="ESG21" s="3"/>
      <c r="ESH21" s="3"/>
      <c r="ESI21" s="3"/>
      <c r="ESJ21" s="3"/>
      <c r="ESK21" s="3"/>
      <c r="ESL21" s="3"/>
      <c r="ESM21" s="3"/>
      <c r="ESN21" s="3"/>
      <c r="ESO21" s="3"/>
      <c r="ESP21" s="3"/>
      <c r="ESQ21" s="3"/>
      <c r="ESR21" s="3"/>
      <c r="ESS21" s="3"/>
      <c r="EST21" s="3"/>
      <c r="ESU21" s="3"/>
      <c r="ESV21" s="3"/>
      <c r="ESW21" s="3"/>
      <c r="ESX21" s="3"/>
      <c r="ESY21" s="3"/>
      <c r="ESZ21" s="3"/>
      <c r="ETA21" s="3"/>
      <c r="ETB21" s="3"/>
      <c r="ETC21" s="3"/>
      <c r="ETD21" s="3"/>
      <c r="ETE21" s="3"/>
      <c r="ETF21" s="3"/>
      <c r="ETG21" s="3"/>
      <c r="ETH21" s="3"/>
      <c r="ETI21" s="3"/>
      <c r="ETJ21" s="3"/>
      <c r="ETK21" s="3"/>
      <c r="ETL21" s="3"/>
      <c r="ETM21" s="3"/>
      <c r="ETN21" s="3"/>
      <c r="ETO21" s="3"/>
      <c r="ETP21" s="3"/>
      <c r="ETQ21" s="3"/>
      <c r="ETR21" s="3"/>
      <c r="ETS21" s="3"/>
      <c r="ETT21" s="3"/>
      <c r="ETU21" s="3"/>
      <c r="ETV21" s="3"/>
      <c r="ETW21" s="3"/>
      <c r="ETX21" s="3"/>
      <c r="ETY21" s="3"/>
      <c r="ETZ21" s="3"/>
      <c r="EUA21" s="3"/>
      <c r="EUB21" s="3"/>
      <c r="EUC21" s="3"/>
      <c r="EUD21" s="3"/>
      <c r="EUE21" s="3"/>
      <c r="EUF21" s="3"/>
      <c r="EUG21" s="3"/>
      <c r="EUH21" s="3"/>
      <c r="EUI21" s="3"/>
      <c r="EUJ21" s="3"/>
      <c r="EUK21" s="3"/>
      <c r="EUL21" s="3"/>
      <c r="EUM21" s="3"/>
      <c r="EUN21" s="3"/>
      <c r="EUO21" s="3"/>
      <c r="EUP21" s="3"/>
      <c r="EUQ21" s="3"/>
      <c r="EUR21" s="3"/>
      <c r="EUS21" s="3"/>
      <c r="EUT21" s="3"/>
      <c r="EUU21" s="3"/>
      <c r="EUV21" s="3"/>
      <c r="EUW21" s="3"/>
      <c r="EUX21" s="3"/>
      <c r="EUY21" s="3"/>
      <c r="EUZ21" s="3"/>
      <c r="EVA21" s="3"/>
      <c r="EVB21" s="3"/>
      <c r="EVC21" s="3"/>
      <c r="EVD21" s="3"/>
      <c r="EVE21" s="3"/>
      <c r="EVF21" s="3"/>
      <c r="EVG21" s="3"/>
      <c r="EVH21" s="3"/>
      <c r="EVI21" s="3"/>
      <c r="EVJ21" s="3"/>
      <c r="EVK21" s="3"/>
      <c r="EVL21" s="3"/>
      <c r="EVM21" s="3"/>
      <c r="EVN21" s="3"/>
      <c r="EVO21" s="3"/>
      <c r="EVP21" s="3"/>
      <c r="EVQ21" s="3"/>
      <c r="EVR21" s="3"/>
      <c r="EVS21" s="3"/>
      <c r="EVT21" s="3"/>
      <c r="EVU21" s="3"/>
      <c r="EVV21" s="3"/>
      <c r="EVW21" s="3"/>
      <c r="EVX21" s="3"/>
      <c r="EVY21" s="3"/>
      <c r="EVZ21" s="3"/>
      <c r="EWA21" s="3"/>
      <c r="EWB21" s="3"/>
      <c r="EWC21" s="3"/>
      <c r="EWD21" s="3"/>
      <c r="EWE21" s="3"/>
      <c r="EWF21" s="3"/>
      <c r="EWG21" s="3"/>
      <c r="EWH21" s="3"/>
      <c r="EWI21" s="3"/>
      <c r="EWJ21" s="3"/>
      <c r="EWK21" s="3"/>
      <c r="EWL21" s="3"/>
      <c r="EWM21" s="3"/>
      <c r="EWN21" s="3"/>
      <c r="EWO21" s="3"/>
      <c r="EWP21" s="3"/>
      <c r="EWQ21" s="3"/>
      <c r="EWR21" s="3"/>
      <c r="EWS21" s="3"/>
      <c r="EWT21" s="3"/>
      <c r="EWU21" s="3"/>
      <c r="EWV21" s="3"/>
      <c r="EWW21" s="3"/>
      <c r="EWX21" s="3"/>
      <c r="EWY21" s="3"/>
      <c r="EWZ21" s="3"/>
      <c r="EXA21" s="3"/>
      <c r="EXB21" s="3"/>
      <c r="EXC21" s="3"/>
      <c r="EXD21" s="3"/>
      <c r="EXE21" s="3"/>
      <c r="EXF21" s="3"/>
      <c r="EXG21" s="3"/>
      <c r="EXH21" s="3"/>
      <c r="EXI21" s="3"/>
      <c r="EXJ21" s="3"/>
      <c r="EXK21" s="3"/>
      <c r="EXL21" s="3"/>
      <c r="EXM21" s="3"/>
      <c r="EXN21" s="3"/>
      <c r="EXO21" s="3"/>
      <c r="EXP21" s="3"/>
      <c r="EXQ21" s="3"/>
      <c r="EXR21" s="3"/>
      <c r="EXS21" s="3"/>
      <c r="EXT21" s="3"/>
      <c r="EXU21" s="3"/>
      <c r="EXV21" s="3"/>
      <c r="EXW21" s="3"/>
      <c r="EXX21" s="3"/>
      <c r="EXY21" s="3"/>
      <c r="EXZ21" s="3"/>
      <c r="EYA21" s="3"/>
      <c r="EYB21" s="3"/>
      <c r="EYC21" s="3"/>
      <c r="EYD21" s="3"/>
      <c r="EYE21" s="3"/>
      <c r="EYF21" s="3"/>
      <c r="EYG21" s="3"/>
      <c r="EYH21" s="3"/>
      <c r="EYI21" s="3"/>
      <c r="EYJ21" s="3"/>
      <c r="EYK21" s="3"/>
      <c r="EYL21" s="3"/>
      <c r="EYM21" s="3"/>
      <c r="EYN21" s="3"/>
      <c r="EYO21" s="3"/>
      <c r="EYP21" s="3"/>
      <c r="EYQ21" s="3"/>
      <c r="EYR21" s="3"/>
      <c r="EYS21" s="3"/>
      <c r="EYT21" s="3"/>
      <c r="EYU21" s="3"/>
      <c r="EYV21" s="3"/>
      <c r="EYW21" s="3"/>
      <c r="EYX21" s="3"/>
      <c r="EYY21" s="3"/>
      <c r="EYZ21" s="3"/>
      <c r="EZA21" s="3"/>
      <c r="EZB21" s="3"/>
      <c r="EZC21" s="3"/>
      <c r="EZD21" s="3"/>
      <c r="EZE21" s="3"/>
      <c r="EZF21" s="3"/>
      <c r="EZG21" s="3"/>
      <c r="EZH21" s="3"/>
      <c r="EZI21" s="3"/>
      <c r="EZJ21" s="3"/>
      <c r="EZK21" s="3"/>
      <c r="EZL21" s="3"/>
      <c r="EZM21" s="3"/>
      <c r="EZN21" s="3"/>
      <c r="EZO21" s="3"/>
      <c r="EZP21" s="3"/>
      <c r="EZQ21" s="3"/>
      <c r="EZR21" s="3"/>
      <c r="EZS21" s="3"/>
      <c r="EZT21" s="3"/>
      <c r="EZU21" s="3"/>
      <c r="EZV21" s="3"/>
      <c r="EZW21" s="3"/>
      <c r="EZX21" s="3"/>
      <c r="EZY21" s="3"/>
      <c r="EZZ21" s="3"/>
      <c r="FAA21" s="3"/>
      <c r="FAB21" s="3"/>
      <c r="FAC21" s="3"/>
      <c r="FAD21" s="3"/>
      <c r="FAE21" s="3"/>
      <c r="FAF21" s="3"/>
      <c r="FAG21" s="3"/>
      <c r="FAH21" s="3"/>
      <c r="FAI21" s="3"/>
      <c r="FAJ21" s="3"/>
      <c r="FAK21" s="3"/>
      <c r="FAL21" s="3"/>
      <c r="FAM21" s="3"/>
      <c r="FAN21" s="3"/>
      <c r="FAO21" s="3"/>
      <c r="FAP21" s="3"/>
      <c r="FAQ21" s="3"/>
      <c r="FAR21" s="3"/>
      <c r="FAS21" s="3"/>
      <c r="FAT21" s="3"/>
      <c r="FAU21" s="3"/>
      <c r="FAV21" s="3"/>
      <c r="FAW21" s="3"/>
      <c r="FAX21" s="3"/>
      <c r="FAY21" s="3"/>
      <c r="FAZ21" s="3"/>
      <c r="FBA21" s="3"/>
      <c r="FBB21" s="3"/>
      <c r="FBC21" s="3"/>
      <c r="FBD21" s="3"/>
      <c r="FBE21" s="3"/>
      <c r="FBF21" s="3"/>
      <c r="FBG21" s="3"/>
      <c r="FBH21" s="3"/>
      <c r="FBI21" s="3"/>
      <c r="FBJ21" s="3"/>
      <c r="FBK21" s="3"/>
      <c r="FBL21" s="3"/>
      <c r="FBM21" s="3"/>
      <c r="FBN21" s="3"/>
      <c r="FBO21" s="3"/>
      <c r="FBP21" s="3"/>
      <c r="FBQ21" s="3"/>
      <c r="FBR21" s="3"/>
      <c r="FBS21" s="3"/>
      <c r="FBT21" s="3"/>
      <c r="FBU21" s="3"/>
      <c r="FBV21" s="3"/>
      <c r="FBW21" s="3"/>
      <c r="FBX21" s="3"/>
      <c r="FBY21" s="3"/>
      <c r="FBZ21" s="3"/>
      <c r="FCA21" s="3"/>
      <c r="FCB21" s="3"/>
      <c r="FCC21" s="3"/>
      <c r="FCD21" s="3"/>
      <c r="FCE21" s="3"/>
      <c r="FCF21" s="3"/>
      <c r="FCG21" s="3"/>
      <c r="FCH21" s="3"/>
      <c r="FCI21" s="3"/>
      <c r="FCJ21" s="3"/>
      <c r="FCK21" s="3"/>
      <c r="FCL21" s="3"/>
      <c r="FCM21" s="3"/>
      <c r="FCN21" s="3"/>
      <c r="FCO21" s="3"/>
      <c r="FCP21" s="3"/>
      <c r="FCQ21" s="3"/>
      <c r="FCR21" s="3"/>
      <c r="FCS21" s="3"/>
      <c r="FCT21" s="3"/>
      <c r="FCU21" s="3"/>
      <c r="FCV21" s="3"/>
      <c r="FCW21" s="3"/>
      <c r="FCX21" s="3"/>
      <c r="FCY21" s="3"/>
      <c r="FCZ21" s="3"/>
      <c r="FDA21" s="3"/>
      <c r="FDB21" s="3"/>
      <c r="FDC21" s="3"/>
      <c r="FDD21" s="3"/>
      <c r="FDE21" s="3"/>
      <c r="FDF21" s="3"/>
      <c r="FDG21" s="3"/>
      <c r="FDH21" s="3"/>
      <c r="FDI21" s="3"/>
      <c r="FDJ21" s="3"/>
      <c r="FDK21" s="3"/>
      <c r="FDL21" s="3"/>
      <c r="FDM21" s="3"/>
      <c r="FDN21" s="3"/>
      <c r="FDO21" s="3"/>
      <c r="FDP21" s="3"/>
      <c r="FDQ21" s="3"/>
      <c r="FDR21" s="3"/>
      <c r="FDS21" s="3"/>
      <c r="FDT21" s="3"/>
      <c r="FDU21" s="3"/>
      <c r="FDV21" s="3"/>
      <c r="FDW21" s="3"/>
      <c r="FDX21" s="3"/>
      <c r="FDY21" s="3"/>
      <c r="FDZ21" s="3"/>
      <c r="FEA21" s="3"/>
      <c r="FEB21" s="3"/>
      <c r="FEC21" s="3"/>
      <c r="FED21" s="3"/>
      <c r="FEE21" s="3"/>
      <c r="FEF21" s="3"/>
      <c r="FEG21" s="3"/>
      <c r="FEH21" s="3"/>
      <c r="FEI21" s="3"/>
      <c r="FEJ21" s="3"/>
      <c r="FEK21" s="3"/>
      <c r="FEL21" s="3"/>
      <c r="FEM21" s="3"/>
      <c r="FEN21" s="3"/>
      <c r="FEO21" s="3"/>
      <c r="FEP21" s="3"/>
      <c r="FEQ21" s="3"/>
      <c r="FER21" s="3"/>
      <c r="FES21" s="3"/>
      <c r="FET21" s="3"/>
      <c r="FEU21" s="3"/>
      <c r="FEV21" s="3"/>
      <c r="FEW21" s="3"/>
      <c r="FEX21" s="3"/>
      <c r="FEY21" s="3"/>
      <c r="FEZ21" s="3"/>
      <c r="FFA21" s="3"/>
      <c r="FFB21" s="3"/>
      <c r="FFC21" s="3"/>
      <c r="FFD21" s="3"/>
      <c r="FFE21" s="3"/>
      <c r="FFF21" s="3"/>
      <c r="FFG21" s="3"/>
      <c r="FFH21" s="3"/>
      <c r="FFI21" s="3"/>
      <c r="FFJ21" s="3"/>
      <c r="FFK21" s="3"/>
      <c r="FFL21" s="3"/>
      <c r="FFM21" s="3"/>
      <c r="FFN21" s="3"/>
      <c r="FFO21" s="3"/>
      <c r="FFP21" s="3"/>
      <c r="FFQ21" s="3"/>
      <c r="FFR21" s="3"/>
      <c r="FFS21" s="3"/>
      <c r="FFT21" s="3"/>
      <c r="FFU21" s="3"/>
      <c r="FFV21" s="3"/>
      <c r="FFW21" s="3"/>
      <c r="FFX21" s="3"/>
      <c r="FFY21" s="3"/>
      <c r="FFZ21" s="3"/>
      <c r="FGA21" s="3"/>
      <c r="FGB21" s="3"/>
      <c r="FGC21" s="3"/>
      <c r="FGD21" s="3"/>
      <c r="FGE21" s="3"/>
      <c r="FGF21" s="3"/>
      <c r="FGG21" s="3"/>
      <c r="FGH21" s="3"/>
      <c r="FGI21" s="3"/>
      <c r="FGJ21" s="3"/>
      <c r="FGK21" s="3"/>
      <c r="FGL21" s="3"/>
      <c r="FGM21" s="3"/>
      <c r="FGN21" s="3"/>
      <c r="FGO21" s="3"/>
      <c r="FGP21" s="3"/>
      <c r="FGQ21" s="3"/>
      <c r="FGR21" s="3"/>
      <c r="FGS21" s="3"/>
      <c r="FGT21" s="3"/>
      <c r="FGU21" s="3"/>
      <c r="FGV21" s="3"/>
      <c r="FGW21" s="3"/>
      <c r="FGX21" s="3"/>
      <c r="FGY21" s="3"/>
      <c r="FGZ21" s="3"/>
      <c r="FHA21" s="3"/>
      <c r="FHB21" s="3"/>
      <c r="FHC21" s="3"/>
      <c r="FHD21" s="3"/>
      <c r="FHE21" s="3"/>
      <c r="FHF21" s="3"/>
      <c r="FHG21" s="3"/>
      <c r="FHH21" s="3"/>
      <c r="FHI21" s="3"/>
      <c r="FHJ21" s="3"/>
      <c r="FHK21" s="3"/>
      <c r="FHL21" s="3"/>
      <c r="FHM21" s="3"/>
      <c r="FHN21" s="3"/>
      <c r="FHO21" s="3"/>
      <c r="FHP21" s="3"/>
      <c r="FHQ21" s="3"/>
      <c r="FHR21" s="3"/>
      <c r="FHS21" s="3"/>
      <c r="FHT21" s="3"/>
      <c r="FHU21" s="3"/>
      <c r="FHV21" s="3"/>
      <c r="FHW21" s="3"/>
      <c r="FHX21" s="3"/>
      <c r="FHY21" s="3"/>
      <c r="FHZ21" s="3"/>
      <c r="FIA21" s="3"/>
      <c r="FIB21" s="3"/>
      <c r="FIC21" s="3"/>
      <c r="FID21" s="3"/>
      <c r="FIE21" s="3"/>
      <c r="FIF21" s="3"/>
      <c r="FIG21" s="3"/>
      <c r="FIH21" s="3"/>
      <c r="FII21" s="3"/>
      <c r="FIJ21" s="3"/>
      <c r="FIK21" s="3"/>
      <c r="FIL21" s="3"/>
      <c r="FIM21" s="3"/>
      <c r="FIN21" s="3"/>
      <c r="FIO21" s="3"/>
      <c r="FIP21" s="3"/>
      <c r="FIQ21" s="3"/>
      <c r="FIR21" s="3"/>
      <c r="FIS21" s="3"/>
      <c r="FIT21" s="3"/>
      <c r="FIU21" s="3"/>
      <c r="FIV21" s="3"/>
      <c r="FIW21" s="3"/>
      <c r="FIX21" s="3"/>
      <c r="FIY21" s="3"/>
      <c r="FIZ21" s="3"/>
      <c r="FJA21" s="3"/>
      <c r="FJB21" s="3"/>
      <c r="FJC21" s="3"/>
      <c r="FJD21" s="3"/>
      <c r="FJE21" s="3"/>
      <c r="FJF21" s="3"/>
      <c r="FJG21" s="3"/>
      <c r="FJH21" s="3"/>
      <c r="FJI21" s="3"/>
      <c r="FJJ21" s="3"/>
      <c r="FJK21" s="3"/>
      <c r="FJL21" s="3"/>
      <c r="FJM21" s="3"/>
      <c r="FJN21" s="3"/>
      <c r="FJO21" s="3"/>
      <c r="FJP21" s="3"/>
      <c r="FJQ21" s="3"/>
      <c r="FJR21" s="3"/>
      <c r="FJS21" s="3"/>
      <c r="FJT21" s="3"/>
      <c r="FJU21" s="3"/>
      <c r="FJV21" s="3"/>
      <c r="FJW21" s="3"/>
      <c r="FJX21" s="3"/>
      <c r="FJY21" s="3"/>
      <c r="FJZ21" s="3"/>
      <c r="FKA21" s="3"/>
      <c r="FKB21" s="3"/>
      <c r="FKC21" s="3"/>
      <c r="FKD21" s="3"/>
      <c r="FKE21" s="3"/>
      <c r="FKF21" s="3"/>
      <c r="FKG21" s="3"/>
      <c r="FKH21" s="3"/>
      <c r="FKI21" s="3"/>
      <c r="FKJ21" s="3"/>
      <c r="FKK21" s="3"/>
      <c r="FKL21" s="3"/>
      <c r="FKM21" s="3"/>
      <c r="FKN21" s="3"/>
      <c r="FKO21" s="3"/>
      <c r="FKP21" s="3"/>
      <c r="FKQ21" s="3"/>
      <c r="FKR21" s="3"/>
      <c r="FKS21" s="3"/>
      <c r="FKT21" s="3"/>
      <c r="FKU21" s="3"/>
      <c r="FKV21" s="3"/>
      <c r="FKW21" s="3"/>
      <c r="FKX21" s="3"/>
      <c r="FKY21" s="3"/>
      <c r="FKZ21" s="3"/>
      <c r="FLA21" s="3"/>
      <c r="FLB21" s="3"/>
      <c r="FLC21" s="3"/>
      <c r="FLD21" s="3"/>
      <c r="FLE21" s="3"/>
      <c r="FLF21" s="3"/>
      <c r="FLG21" s="3"/>
      <c r="FLH21" s="3"/>
      <c r="FLI21" s="3"/>
      <c r="FLJ21" s="3"/>
      <c r="FLK21" s="3"/>
      <c r="FLL21" s="3"/>
      <c r="FLM21" s="3"/>
      <c r="FLN21" s="3"/>
      <c r="FLO21" s="3"/>
      <c r="FLP21" s="3"/>
      <c r="FLQ21" s="3"/>
      <c r="FLR21" s="3"/>
      <c r="FLS21" s="3"/>
      <c r="FLT21" s="3"/>
      <c r="FLU21" s="3"/>
      <c r="FLV21" s="3"/>
      <c r="FLW21" s="3"/>
      <c r="FLX21" s="3"/>
      <c r="FLY21" s="3"/>
      <c r="FLZ21" s="3"/>
      <c r="FMA21" s="3"/>
      <c r="FMB21" s="3"/>
      <c r="FMC21" s="3"/>
      <c r="FMD21" s="3"/>
      <c r="FME21" s="3"/>
      <c r="FMF21" s="3"/>
      <c r="FMG21" s="3"/>
      <c r="FMH21" s="3"/>
      <c r="FMI21" s="3"/>
      <c r="FMJ21" s="3"/>
      <c r="FMK21" s="3"/>
      <c r="FML21" s="3"/>
      <c r="FMM21" s="3"/>
      <c r="FMN21" s="3"/>
      <c r="FMO21" s="3"/>
      <c r="FMP21" s="3"/>
      <c r="FMQ21" s="3"/>
      <c r="FMR21" s="3"/>
      <c r="FMS21" s="3"/>
      <c r="FMT21" s="3"/>
      <c r="FMU21" s="3"/>
      <c r="FMV21" s="3"/>
      <c r="FMW21" s="3"/>
      <c r="FMX21" s="3"/>
      <c r="FMY21" s="3"/>
      <c r="FMZ21" s="3"/>
      <c r="FNA21" s="3"/>
      <c r="FNB21" s="3"/>
      <c r="FNC21" s="3"/>
      <c r="FND21" s="3"/>
      <c r="FNE21" s="3"/>
      <c r="FNF21" s="3"/>
      <c r="FNG21" s="3"/>
      <c r="FNH21" s="3"/>
      <c r="FNI21" s="3"/>
      <c r="FNJ21" s="3"/>
      <c r="FNK21" s="3"/>
      <c r="FNL21" s="3"/>
      <c r="FNM21" s="3"/>
      <c r="FNN21" s="3"/>
      <c r="FNO21" s="3"/>
      <c r="FNP21" s="3"/>
      <c r="FNQ21" s="3"/>
      <c r="FNR21" s="3"/>
      <c r="FNS21" s="3"/>
      <c r="FNT21" s="3"/>
      <c r="FNU21" s="3"/>
      <c r="FNV21" s="3"/>
      <c r="FNW21" s="3"/>
      <c r="FNX21" s="3"/>
      <c r="FNY21" s="3"/>
      <c r="FNZ21" s="3"/>
      <c r="FOA21" s="3"/>
      <c r="FOB21" s="3"/>
      <c r="FOC21" s="3"/>
      <c r="FOD21" s="3"/>
      <c r="FOE21" s="3"/>
      <c r="FOF21" s="3"/>
      <c r="FOG21" s="3"/>
      <c r="FOH21" s="3"/>
      <c r="FOI21" s="3"/>
      <c r="FOJ21" s="3"/>
      <c r="FOK21" s="3"/>
      <c r="FOL21" s="3"/>
      <c r="FOM21" s="3"/>
      <c r="FON21" s="3"/>
      <c r="FOO21" s="3"/>
      <c r="FOP21" s="3"/>
      <c r="FOQ21" s="3"/>
      <c r="FOR21" s="3"/>
      <c r="FOS21" s="3"/>
      <c r="FOT21" s="3"/>
      <c r="FOU21" s="3"/>
      <c r="FOV21" s="3"/>
      <c r="FOW21" s="3"/>
      <c r="FOX21" s="3"/>
      <c r="FOY21" s="3"/>
      <c r="FOZ21" s="3"/>
      <c r="FPA21" s="3"/>
      <c r="FPB21" s="3"/>
      <c r="FPC21" s="3"/>
      <c r="FPD21" s="3"/>
      <c r="FPE21" s="3"/>
      <c r="FPF21" s="3"/>
      <c r="FPG21" s="3"/>
      <c r="FPH21" s="3"/>
      <c r="FPI21" s="3"/>
      <c r="FPJ21" s="3"/>
      <c r="FPK21" s="3"/>
      <c r="FPL21" s="3"/>
      <c r="FPM21" s="3"/>
      <c r="FPN21" s="3"/>
      <c r="FPO21" s="3"/>
      <c r="FPP21" s="3"/>
      <c r="FPQ21" s="3"/>
      <c r="FPR21" s="3"/>
      <c r="FPS21" s="3"/>
      <c r="FPT21" s="3"/>
      <c r="FPU21" s="3"/>
      <c r="FPV21" s="3"/>
      <c r="FPW21" s="3"/>
      <c r="FPX21" s="3"/>
      <c r="FPY21" s="3"/>
      <c r="FPZ21" s="3"/>
      <c r="FQA21" s="3"/>
      <c r="FQB21" s="3"/>
      <c r="FQC21" s="3"/>
      <c r="FQD21" s="3"/>
      <c r="FQE21" s="3"/>
      <c r="FQF21" s="3"/>
      <c r="FQG21" s="3"/>
      <c r="FQH21" s="3"/>
      <c r="FQI21" s="3"/>
      <c r="FQJ21" s="3"/>
      <c r="FQK21" s="3"/>
      <c r="FQL21" s="3"/>
      <c r="FQM21" s="3"/>
      <c r="FQN21" s="3"/>
      <c r="FQO21" s="3"/>
      <c r="FQP21" s="3"/>
      <c r="FQQ21" s="3"/>
      <c r="FQR21" s="3"/>
      <c r="FQS21" s="3"/>
      <c r="FQT21" s="3"/>
      <c r="FQU21" s="3"/>
      <c r="FQV21" s="3"/>
      <c r="FQW21" s="3"/>
      <c r="FQX21" s="3"/>
      <c r="FQY21" s="3"/>
      <c r="FQZ21" s="3"/>
      <c r="FRA21" s="3"/>
      <c r="FRB21" s="3"/>
      <c r="FRC21" s="3"/>
      <c r="FRD21" s="3"/>
      <c r="FRE21" s="3"/>
      <c r="FRF21" s="3"/>
      <c r="FRG21" s="3"/>
      <c r="FRH21" s="3"/>
      <c r="FRI21" s="3"/>
      <c r="FRJ21" s="3"/>
      <c r="FRK21" s="3"/>
      <c r="FRL21" s="3"/>
      <c r="FRM21" s="3"/>
      <c r="FRN21" s="3"/>
      <c r="FRO21" s="3"/>
      <c r="FRP21" s="3"/>
      <c r="FRQ21" s="3"/>
      <c r="FRR21" s="3"/>
      <c r="FRS21" s="3"/>
      <c r="FRT21" s="3"/>
      <c r="FRU21" s="3"/>
      <c r="FRV21" s="3"/>
      <c r="FRW21" s="3"/>
      <c r="FRX21" s="3"/>
      <c r="FRY21" s="3"/>
      <c r="FRZ21" s="3"/>
      <c r="FSA21" s="3"/>
      <c r="FSB21" s="3"/>
      <c r="FSC21" s="3"/>
      <c r="FSD21" s="3"/>
      <c r="FSE21" s="3"/>
      <c r="FSF21" s="3"/>
      <c r="FSG21" s="3"/>
      <c r="FSH21" s="3"/>
      <c r="FSI21" s="3"/>
      <c r="FSJ21" s="3"/>
      <c r="FSK21" s="3"/>
      <c r="FSL21" s="3"/>
      <c r="FSM21" s="3"/>
      <c r="FSN21" s="3"/>
      <c r="FSO21" s="3"/>
      <c r="FSP21" s="3"/>
      <c r="FSQ21" s="3"/>
      <c r="FSR21" s="3"/>
      <c r="FSS21" s="3"/>
      <c r="FST21" s="3"/>
      <c r="FSU21" s="3"/>
      <c r="FSV21" s="3"/>
      <c r="FSW21" s="3"/>
      <c r="FSX21" s="3"/>
      <c r="FSY21" s="3"/>
      <c r="FSZ21" s="3"/>
      <c r="FTA21" s="3"/>
      <c r="FTB21" s="3"/>
      <c r="FTC21" s="3"/>
      <c r="FTD21" s="3"/>
      <c r="FTE21" s="3"/>
      <c r="FTF21" s="3"/>
      <c r="FTG21" s="3"/>
      <c r="FTH21" s="3"/>
      <c r="FTI21" s="3"/>
      <c r="FTJ21" s="3"/>
      <c r="FTK21" s="3"/>
      <c r="FTL21" s="3"/>
      <c r="FTM21" s="3"/>
      <c r="FTN21" s="3"/>
      <c r="FTO21" s="3"/>
      <c r="FTP21" s="3"/>
      <c r="FTQ21" s="3"/>
      <c r="FTR21" s="3"/>
      <c r="FTS21" s="3"/>
      <c r="FTT21" s="3"/>
      <c r="FTU21" s="3"/>
      <c r="FTV21" s="3"/>
      <c r="FTW21" s="3"/>
      <c r="FTX21" s="3"/>
      <c r="FTY21" s="3"/>
      <c r="FTZ21" s="3"/>
      <c r="FUA21" s="3"/>
      <c r="FUB21" s="3"/>
      <c r="FUC21" s="3"/>
      <c r="FUD21" s="3"/>
      <c r="FUE21" s="3"/>
      <c r="FUF21" s="3"/>
      <c r="FUG21" s="3"/>
      <c r="FUH21" s="3"/>
      <c r="FUI21" s="3"/>
      <c r="FUJ21" s="3"/>
      <c r="FUK21" s="3"/>
      <c r="FUL21" s="3"/>
      <c r="FUM21" s="3"/>
      <c r="FUN21" s="3"/>
      <c r="FUO21" s="3"/>
      <c r="FUP21" s="3"/>
      <c r="FUQ21" s="3"/>
      <c r="FUR21" s="3"/>
      <c r="FUS21" s="3"/>
      <c r="FUT21" s="3"/>
      <c r="FUU21" s="3"/>
      <c r="FUV21" s="3"/>
      <c r="FUW21" s="3"/>
      <c r="FUX21" s="3"/>
      <c r="FUY21" s="3"/>
      <c r="FUZ21" s="3"/>
      <c r="FVA21" s="3"/>
      <c r="FVB21" s="3"/>
      <c r="FVC21" s="3"/>
      <c r="FVD21" s="3"/>
      <c r="FVE21" s="3"/>
      <c r="FVF21" s="3"/>
      <c r="FVG21" s="3"/>
      <c r="FVH21" s="3"/>
      <c r="FVI21" s="3"/>
      <c r="FVJ21" s="3"/>
      <c r="FVK21" s="3"/>
      <c r="FVL21" s="3"/>
      <c r="FVM21" s="3"/>
      <c r="FVN21" s="3"/>
      <c r="FVO21" s="3"/>
      <c r="FVP21" s="3"/>
      <c r="FVQ21" s="3"/>
      <c r="FVR21" s="3"/>
      <c r="FVS21" s="3"/>
      <c r="FVT21" s="3"/>
      <c r="FVU21" s="3"/>
      <c r="FVV21" s="3"/>
      <c r="FVW21" s="3"/>
      <c r="FVX21" s="3"/>
      <c r="FVY21" s="3"/>
      <c r="FVZ21" s="3"/>
      <c r="FWA21" s="3"/>
      <c r="FWB21" s="3"/>
      <c r="FWC21" s="3"/>
      <c r="FWD21" s="3"/>
      <c r="FWE21" s="3"/>
      <c r="FWF21" s="3"/>
      <c r="FWG21" s="3"/>
      <c r="FWH21" s="3"/>
      <c r="FWI21" s="3"/>
      <c r="FWJ21" s="3"/>
      <c r="FWK21" s="3"/>
      <c r="FWL21" s="3"/>
      <c r="FWM21" s="3"/>
      <c r="FWN21" s="3"/>
      <c r="FWO21" s="3"/>
      <c r="FWP21" s="3"/>
      <c r="FWQ21" s="3"/>
      <c r="FWR21" s="3"/>
      <c r="FWS21" s="3"/>
      <c r="FWT21" s="3"/>
      <c r="FWU21" s="3"/>
      <c r="FWV21" s="3"/>
      <c r="FWW21" s="3"/>
      <c r="FWX21" s="3"/>
      <c r="FWY21" s="3"/>
      <c r="FWZ21" s="3"/>
      <c r="FXA21" s="3"/>
      <c r="FXB21" s="3"/>
      <c r="FXC21" s="3"/>
      <c r="FXD21" s="3"/>
      <c r="FXE21" s="3"/>
      <c r="FXF21" s="3"/>
      <c r="FXG21" s="3"/>
      <c r="FXH21" s="3"/>
      <c r="FXI21" s="3"/>
      <c r="FXJ21" s="3"/>
      <c r="FXK21" s="3"/>
      <c r="FXL21" s="3"/>
      <c r="FXM21" s="3"/>
      <c r="FXN21" s="3"/>
      <c r="FXO21" s="3"/>
      <c r="FXP21" s="3"/>
      <c r="FXQ21" s="3"/>
      <c r="FXR21" s="3"/>
      <c r="FXS21" s="3"/>
      <c r="FXT21" s="3"/>
      <c r="FXU21" s="3"/>
      <c r="FXV21" s="3"/>
      <c r="FXW21" s="3"/>
      <c r="FXX21" s="3"/>
      <c r="FXY21" s="3"/>
      <c r="FXZ21" s="3"/>
      <c r="FYA21" s="3"/>
      <c r="FYB21" s="3"/>
      <c r="FYC21" s="3"/>
      <c r="FYD21" s="3"/>
      <c r="FYE21" s="3"/>
      <c r="FYF21" s="3"/>
      <c r="FYG21" s="3"/>
      <c r="FYH21" s="3"/>
      <c r="FYI21" s="3"/>
      <c r="FYJ21" s="3"/>
      <c r="FYK21" s="3"/>
      <c r="FYL21" s="3"/>
      <c r="FYM21" s="3"/>
      <c r="FYN21" s="3"/>
      <c r="FYO21" s="3"/>
      <c r="FYP21" s="3"/>
      <c r="FYQ21" s="3"/>
      <c r="FYR21" s="3"/>
      <c r="FYS21" s="3"/>
      <c r="FYT21" s="3"/>
      <c r="FYU21" s="3"/>
      <c r="FYV21" s="3"/>
      <c r="FYW21" s="3"/>
      <c r="FYX21" s="3"/>
      <c r="FYY21" s="3"/>
      <c r="FYZ21" s="3"/>
      <c r="FZA21" s="3"/>
      <c r="FZB21" s="3"/>
      <c r="FZC21" s="3"/>
      <c r="FZD21" s="3"/>
      <c r="FZE21" s="3"/>
      <c r="FZF21" s="3"/>
      <c r="FZG21" s="3"/>
      <c r="FZH21" s="3"/>
      <c r="FZI21" s="3"/>
      <c r="FZJ21" s="3"/>
      <c r="FZK21" s="3"/>
      <c r="FZL21" s="3"/>
      <c r="FZM21" s="3"/>
      <c r="FZN21" s="3"/>
      <c r="FZO21" s="3"/>
      <c r="FZP21" s="3"/>
      <c r="FZQ21" s="3"/>
      <c r="FZR21" s="3"/>
      <c r="FZS21" s="3"/>
      <c r="FZT21" s="3"/>
      <c r="FZU21" s="3"/>
      <c r="FZV21" s="3"/>
      <c r="FZW21" s="3"/>
      <c r="FZX21" s="3"/>
      <c r="FZY21" s="3"/>
      <c r="FZZ21" s="3"/>
      <c r="GAA21" s="3"/>
      <c r="GAB21" s="3"/>
      <c r="GAC21" s="3"/>
      <c r="GAD21" s="3"/>
      <c r="GAE21" s="3"/>
      <c r="GAF21" s="3"/>
      <c r="GAG21" s="3"/>
      <c r="GAH21" s="3"/>
      <c r="GAI21" s="3"/>
      <c r="GAJ21" s="3"/>
      <c r="GAK21" s="3"/>
      <c r="GAL21" s="3"/>
      <c r="GAM21" s="3"/>
      <c r="GAN21" s="3"/>
      <c r="GAO21" s="3"/>
      <c r="GAP21" s="3"/>
      <c r="GAQ21" s="3"/>
      <c r="GAR21" s="3"/>
      <c r="GAS21" s="3"/>
      <c r="GAT21" s="3"/>
      <c r="GAU21" s="3"/>
      <c r="GAV21" s="3"/>
      <c r="GAW21" s="3"/>
      <c r="GAX21" s="3"/>
      <c r="GAY21" s="3"/>
      <c r="GAZ21" s="3"/>
      <c r="GBA21" s="3"/>
      <c r="GBB21" s="3"/>
      <c r="GBC21" s="3"/>
      <c r="GBD21" s="3"/>
      <c r="GBE21" s="3"/>
      <c r="GBF21" s="3"/>
      <c r="GBG21" s="3"/>
      <c r="GBH21" s="3"/>
      <c r="GBI21" s="3"/>
      <c r="GBJ21" s="3"/>
      <c r="GBK21" s="3"/>
      <c r="GBL21" s="3"/>
      <c r="GBM21" s="3"/>
      <c r="GBN21" s="3"/>
      <c r="GBO21" s="3"/>
      <c r="GBP21" s="3"/>
      <c r="GBQ21" s="3"/>
      <c r="GBR21" s="3"/>
      <c r="GBS21" s="3"/>
      <c r="GBT21" s="3"/>
      <c r="GBU21" s="3"/>
      <c r="GBV21" s="3"/>
      <c r="GBW21" s="3"/>
      <c r="GBX21" s="3"/>
      <c r="GBY21" s="3"/>
      <c r="GBZ21" s="3"/>
      <c r="GCA21" s="3"/>
      <c r="GCB21" s="3"/>
      <c r="GCC21" s="3"/>
      <c r="GCD21" s="3"/>
      <c r="GCE21" s="3"/>
      <c r="GCF21" s="3"/>
      <c r="GCG21" s="3"/>
      <c r="GCH21" s="3"/>
      <c r="GCI21" s="3"/>
      <c r="GCJ21" s="3"/>
      <c r="GCK21" s="3"/>
      <c r="GCL21" s="3"/>
      <c r="GCM21" s="3"/>
      <c r="GCN21" s="3"/>
      <c r="GCO21" s="3"/>
      <c r="GCP21" s="3"/>
      <c r="GCQ21" s="3"/>
      <c r="GCR21" s="3"/>
      <c r="GCS21" s="3"/>
      <c r="GCT21" s="3"/>
      <c r="GCU21" s="3"/>
      <c r="GCV21" s="3"/>
      <c r="GCW21" s="3"/>
      <c r="GCX21" s="3"/>
      <c r="GCY21" s="3"/>
      <c r="GCZ21" s="3"/>
      <c r="GDA21" s="3"/>
      <c r="GDB21" s="3"/>
      <c r="GDC21" s="3"/>
      <c r="GDD21" s="3"/>
      <c r="GDE21" s="3"/>
      <c r="GDF21" s="3"/>
      <c r="GDG21" s="3"/>
      <c r="GDH21" s="3"/>
      <c r="GDI21" s="3"/>
      <c r="GDJ21" s="3"/>
      <c r="GDK21" s="3"/>
      <c r="GDL21" s="3"/>
      <c r="GDM21" s="3"/>
      <c r="GDN21" s="3"/>
      <c r="GDO21" s="3"/>
      <c r="GDP21" s="3"/>
      <c r="GDQ21" s="3"/>
      <c r="GDR21" s="3"/>
      <c r="GDS21" s="3"/>
      <c r="GDT21" s="3"/>
      <c r="GDU21" s="3"/>
      <c r="GDV21" s="3"/>
      <c r="GDW21" s="3"/>
      <c r="GDX21" s="3"/>
      <c r="GDY21" s="3"/>
      <c r="GDZ21" s="3"/>
      <c r="GEA21" s="3"/>
      <c r="GEB21" s="3"/>
      <c r="GEC21" s="3"/>
      <c r="GED21" s="3"/>
      <c r="GEE21" s="3"/>
      <c r="GEF21" s="3"/>
      <c r="GEG21" s="3"/>
      <c r="GEH21" s="3"/>
      <c r="GEI21" s="3"/>
      <c r="GEJ21" s="3"/>
      <c r="GEK21" s="3"/>
      <c r="GEL21" s="3"/>
      <c r="GEM21" s="3"/>
      <c r="GEN21" s="3"/>
      <c r="GEO21" s="3"/>
      <c r="GEP21" s="3"/>
      <c r="GEQ21" s="3"/>
      <c r="GER21" s="3"/>
      <c r="GES21" s="3"/>
      <c r="GET21" s="3"/>
      <c r="GEU21" s="3"/>
      <c r="GEV21" s="3"/>
      <c r="GEW21" s="3"/>
      <c r="GEX21" s="3"/>
      <c r="GEY21" s="3"/>
      <c r="GEZ21" s="3"/>
      <c r="GFA21" s="3"/>
      <c r="GFB21" s="3"/>
      <c r="GFC21" s="3"/>
      <c r="GFD21" s="3"/>
      <c r="GFE21" s="3"/>
      <c r="GFF21" s="3"/>
      <c r="GFG21" s="3"/>
      <c r="GFH21" s="3"/>
      <c r="GFI21" s="3"/>
      <c r="GFJ21" s="3"/>
      <c r="GFK21" s="3"/>
      <c r="GFL21" s="3"/>
      <c r="GFM21" s="3"/>
      <c r="GFN21" s="3"/>
      <c r="GFO21" s="3"/>
      <c r="GFP21" s="3"/>
      <c r="GFQ21" s="3"/>
      <c r="GFR21" s="3"/>
      <c r="GFS21" s="3"/>
      <c r="GFT21" s="3"/>
      <c r="GFU21" s="3"/>
      <c r="GFV21" s="3"/>
      <c r="GFW21" s="3"/>
      <c r="GFX21" s="3"/>
      <c r="GFY21" s="3"/>
      <c r="GFZ21" s="3"/>
      <c r="GGA21" s="3"/>
      <c r="GGB21" s="3"/>
      <c r="GGC21" s="3"/>
      <c r="GGD21" s="3"/>
      <c r="GGE21" s="3"/>
      <c r="GGF21" s="3"/>
      <c r="GGG21" s="3"/>
      <c r="GGH21" s="3"/>
      <c r="GGI21" s="3"/>
      <c r="GGJ21" s="3"/>
      <c r="GGK21" s="3"/>
      <c r="GGL21" s="3"/>
      <c r="GGM21" s="3"/>
      <c r="GGN21" s="3"/>
      <c r="GGO21" s="3"/>
      <c r="GGP21" s="3"/>
      <c r="GGQ21" s="3"/>
      <c r="GGR21" s="3"/>
      <c r="GGS21" s="3"/>
      <c r="GGT21" s="3"/>
      <c r="GGU21" s="3"/>
      <c r="GGV21" s="3"/>
      <c r="GGW21" s="3"/>
      <c r="GGX21" s="3"/>
      <c r="GGY21" s="3"/>
      <c r="GGZ21" s="3"/>
      <c r="GHA21" s="3"/>
      <c r="GHB21" s="3"/>
      <c r="GHC21" s="3"/>
      <c r="GHD21" s="3"/>
      <c r="GHE21" s="3"/>
      <c r="GHF21" s="3"/>
      <c r="GHG21" s="3"/>
      <c r="GHH21" s="3"/>
      <c r="GHI21" s="3"/>
      <c r="GHJ21" s="3"/>
      <c r="GHK21" s="3"/>
      <c r="GHL21" s="3"/>
      <c r="GHM21" s="3"/>
      <c r="GHN21" s="3"/>
      <c r="GHO21" s="3"/>
      <c r="GHP21" s="3"/>
      <c r="GHQ21" s="3"/>
      <c r="GHR21" s="3"/>
      <c r="GHS21" s="3"/>
      <c r="GHT21" s="3"/>
      <c r="GHU21" s="3"/>
      <c r="GHV21" s="3"/>
      <c r="GHW21" s="3"/>
      <c r="GHX21" s="3"/>
      <c r="GHY21" s="3"/>
      <c r="GHZ21" s="3"/>
      <c r="GIA21" s="3"/>
      <c r="GIB21" s="3"/>
      <c r="GIC21" s="3"/>
      <c r="GID21" s="3"/>
      <c r="GIE21" s="3"/>
      <c r="GIF21" s="3"/>
      <c r="GIG21" s="3"/>
      <c r="GIH21" s="3"/>
      <c r="GII21" s="3"/>
      <c r="GIJ21" s="3"/>
      <c r="GIK21" s="3"/>
      <c r="GIL21" s="3"/>
      <c r="GIM21" s="3"/>
      <c r="GIN21" s="3"/>
      <c r="GIO21" s="3"/>
      <c r="GIP21" s="3"/>
      <c r="GIQ21" s="3"/>
      <c r="GIR21" s="3"/>
      <c r="GIS21" s="3"/>
      <c r="GIT21" s="3"/>
      <c r="GIU21" s="3"/>
      <c r="GIV21" s="3"/>
      <c r="GIW21" s="3"/>
      <c r="GIX21" s="3"/>
      <c r="GIY21" s="3"/>
      <c r="GIZ21" s="3"/>
      <c r="GJA21" s="3"/>
      <c r="GJB21" s="3"/>
      <c r="GJC21" s="3"/>
      <c r="GJD21" s="3"/>
      <c r="GJE21" s="3"/>
      <c r="GJF21" s="3"/>
      <c r="GJG21" s="3"/>
      <c r="GJH21" s="3"/>
      <c r="GJI21" s="3"/>
      <c r="GJJ21" s="3"/>
      <c r="GJK21" s="3"/>
      <c r="GJL21" s="3"/>
      <c r="GJM21" s="3"/>
      <c r="GJN21" s="3"/>
      <c r="GJO21" s="3"/>
      <c r="GJP21" s="3"/>
      <c r="GJQ21" s="3"/>
      <c r="GJR21" s="3"/>
      <c r="GJS21" s="3"/>
      <c r="GJT21" s="3"/>
      <c r="GJU21" s="3"/>
      <c r="GJV21" s="3"/>
      <c r="GJW21" s="3"/>
      <c r="GJX21" s="3"/>
      <c r="GJY21" s="3"/>
      <c r="GJZ21" s="3"/>
      <c r="GKA21" s="3"/>
      <c r="GKB21" s="3"/>
      <c r="GKC21" s="3"/>
      <c r="GKD21" s="3"/>
      <c r="GKE21" s="3"/>
      <c r="GKF21" s="3"/>
      <c r="GKG21" s="3"/>
      <c r="GKH21" s="3"/>
      <c r="GKI21" s="3"/>
      <c r="GKJ21" s="3"/>
      <c r="GKK21" s="3"/>
      <c r="GKL21" s="3"/>
      <c r="GKM21" s="3"/>
      <c r="GKN21" s="3"/>
      <c r="GKO21" s="3"/>
      <c r="GKP21" s="3"/>
      <c r="GKQ21" s="3"/>
      <c r="GKR21" s="3"/>
      <c r="GKS21" s="3"/>
      <c r="GKT21" s="3"/>
      <c r="GKU21" s="3"/>
      <c r="GKV21" s="3"/>
      <c r="GKW21" s="3"/>
      <c r="GKX21" s="3"/>
      <c r="GKY21" s="3"/>
      <c r="GKZ21" s="3"/>
      <c r="GLA21" s="3"/>
      <c r="GLB21" s="3"/>
      <c r="GLC21" s="3"/>
      <c r="GLD21" s="3"/>
      <c r="GLE21" s="3"/>
      <c r="GLF21" s="3"/>
      <c r="GLG21" s="3"/>
      <c r="GLH21" s="3"/>
      <c r="GLI21" s="3"/>
      <c r="GLJ21" s="3"/>
      <c r="GLK21" s="3"/>
      <c r="GLL21" s="3"/>
      <c r="GLM21" s="3"/>
      <c r="GLN21" s="3"/>
      <c r="GLO21" s="3"/>
      <c r="GLP21" s="3"/>
      <c r="GLQ21" s="3"/>
      <c r="GLR21" s="3"/>
      <c r="GLS21" s="3"/>
      <c r="GLT21" s="3"/>
      <c r="GLU21" s="3"/>
      <c r="GLV21" s="3"/>
      <c r="GLW21" s="3"/>
      <c r="GLX21" s="3"/>
      <c r="GLY21" s="3"/>
      <c r="GLZ21" s="3"/>
      <c r="GMA21" s="3"/>
      <c r="GMB21" s="3"/>
      <c r="GMC21" s="3"/>
      <c r="GMD21" s="3"/>
      <c r="GME21" s="3"/>
      <c r="GMF21" s="3"/>
      <c r="GMG21" s="3"/>
      <c r="GMH21" s="3"/>
      <c r="GMI21" s="3"/>
      <c r="GMJ21" s="3"/>
      <c r="GMK21" s="3"/>
      <c r="GML21" s="3"/>
      <c r="GMM21" s="3"/>
      <c r="GMN21" s="3"/>
      <c r="GMO21" s="3"/>
      <c r="GMP21" s="3"/>
      <c r="GMQ21" s="3"/>
      <c r="GMR21" s="3"/>
      <c r="GMS21" s="3"/>
      <c r="GMT21" s="3"/>
      <c r="GMU21" s="3"/>
      <c r="GMV21" s="3"/>
      <c r="GMW21" s="3"/>
      <c r="GMX21" s="3"/>
      <c r="GMY21" s="3"/>
      <c r="GMZ21" s="3"/>
      <c r="GNA21" s="3"/>
      <c r="GNB21" s="3"/>
      <c r="GNC21" s="3"/>
      <c r="GND21" s="3"/>
      <c r="GNE21" s="3"/>
      <c r="GNF21" s="3"/>
      <c r="GNG21" s="3"/>
      <c r="GNH21" s="3"/>
      <c r="GNI21" s="3"/>
      <c r="GNJ21" s="3"/>
      <c r="GNK21" s="3"/>
      <c r="GNL21" s="3"/>
      <c r="GNM21" s="3"/>
      <c r="GNN21" s="3"/>
      <c r="GNO21" s="3"/>
      <c r="GNP21" s="3"/>
      <c r="GNQ21" s="3"/>
      <c r="GNR21" s="3"/>
      <c r="GNS21" s="3"/>
      <c r="GNT21" s="3"/>
      <c r="GNU21" s="3"/>
      <c r="GNV21" s="3"/>
      <c r="GNW21" s="3"/>
      <c r="GNX21" s="3"/>
      <c r="GNY21" s="3"/>
      <c r="GNZ21" s="3"/>
      <c r="GOA21" s="3"/>
      <c r="GOB21" s="3"/>
      <c r="GOC21" s="3"/>
      <c r="GOD21" s="3"/>
      <c r="GOE21" s="3"/>
      <c r="GOF21" s="3"/>
      <c r="GOG21" s="3"/>
      <c r="GOH21" s="3"/>
      <c r="GOI21" s="3"/>
      <c r="GOJ21" s="3"/>
      <c r="GOK21" s="3"/>
      <c r="GOL21" s="3"/>
      <c r="GOM21" s="3"/>
      <c r="GON21" s="3"/>
      <c r="GOO21" s="3"/>
      <c r="GOP21" s="3"/>
      <c r="GOQ21" s="3"/>
      <c r="GOR21" s="3"/>
      <c r="GOS21" s="3"/>
      <c r="GOT21" s="3"/>
      <c r="GOU21" s="3"/>
      <c r="GOV21" s="3"/>
      <c r="GOW21" s="3"/>
      <c r="GOX21" s="3"/>
      <c r="GOY21" s="3"/>
      <c r="GOZ21" s="3"/>
      <c r="GPA21" s="3"/>
      <c r="GPB21" s="3"/>
      <c r="GPC21" s="3"/>
      <c r="GPD21" s="3"/>
      <c r="GPE21" s="3"/>
      <c r="GPF21" s="3"/>
      <c r="GPG21" s="3"/>
      <c r="GPH21" s="3"/>
      <c r="GPI21" s="3"/>
      <c r="GPJ21" s="3"/>
      <c r="GPK21" s="3"/>
      <c r="GPL21" s="3"/>
      <c r="GPM21" s="3"/>
      <c r="GPN21" s="3"/>
      <c r="GPO21" s="3"/>
      <c r="GPP21" s="3"/>
      <c r="GPQ21" s="3"/>
      <c r="GPR21" s="3"/>
      <c r="GPS21" s="3"/>
      <c r="GPT21" s="3"/>
      <c r="GPU21" s="3"/>
      <c r="GPV21" s="3"/>
      <c r="GPW21" s="3"/>
      <c r="GPX21" s="3"/>
      <c r="GPY21" s="3"/>
      <c r="GPZ21" s="3"/>
      <c r="GQA21" s="3"/>
      <c r="GQB21" s="3"/>
      <c r="GQC21" s="3"/>
      <c r="GQD21" s="3"/>
      <c r="GQE21" s="3"/>
      <c r="GQF21" s="3"/>
      <c r="GQG21" s="3"/>
      <c r="GQH21" s="3"/>
      <c r="GQI21" s="3"/>
      <c r="GQJ21" s="3"/>
      <c r="GQK21" s="3"/>
      <c r="GQL21" s="3"/>
      <c r="GQM21" s="3"/>
      <c r="GQN21" s="3"/>
      <c r="GQO21" s="3"/>
      <c r="GQP21" s="3"/>
      <c r="GQQ21" s="3"/>
      <c r="GQR21" s="3"/>
      <c r="GQS21" s="3"/>
      <c r="GQT21" s="3"/>
      <c r="GQU21" s="3"/>
      <c r="GQV21" s="3"/>
      <c r="GQW21" s="3"/>
      <c r="GQX21" s="3"/>
      <c r="GQY21" s="3"/>
      <c r="GQZ21" s="3"/>
      <c r="GRA21" s="3"/>
      <c r="GRB21" s="3"/>
      <c r="GRC21" s="3"/>
      <c r="GRD21" s="3"/>
      <c r="GRE21" s="3"/>
      <c r="GRF21" s="3"/>
      <c r="GRG21" s="3"/>
      <c r="GRH21" s="3"/>
      <c r="GRI21" s="3"/>
      <c r="GRJ21" s="3"/>
      <c r="GRK21" s="3"/>
      <c r="GRL21" s="3"/>
      <c r="GRM21" s="3"/>
      <c r="GRN21" s="3"/>
      <c r="GRO21" s="3"/>
      <c r="GRP21" s="3"/>
      <c r="GRQ21" s="3"/>
      <c r="GRR21" s="3"/>
      <c r="GRS21" s="3"/>
      <c r="GRT21" s="3"/>
      <c r="GRU21" s="3"/>
      <c r="GRV21" s="3"/>
      <c r="GRW21" s="3"/>
      <c r="GRX21" s="3"/>
      <c r="GRY21" s="3"/>
      <c r="GRZ21" s="3"/>
      <c r="GSA21" s="3"/>
      <c r="GSB21" s="3"/>
      <c r="GSC21" s="3"/>
      <c r="GSD21" s="3"/>
      <c r="GSE21" s="3"/>
      <c r="GSF21" s="3"/>
      <c r="GSG21" s="3"/>
      <c r="GSH21" s="3"/>
      <c r="GSI21" s="3"/>
      <c r="GSJ21" s="3"/>
      <c r="GSK21" s="3"/>
      <c r="GSL21" s="3"/>
      <c r="GSM21" s="3"/>
      <c r="GSN21" s="3"/>
      <c r="GSO21" s="3"/>
      <c r="GSP21" s="3"/>
      <c r="GSQ21" s="3"/>
      <c r="GSR21" s="3"/>
      <c r="GSS21" s="3"/>
      <c r="GST21" s="3"/>
      <c r="GSU21" s="3"/>
      <c r="GSV21" s="3"/>
      <c r="GSW21" s="3"/>
      <c r="GSX21" s="3"/>
      <c r="GSY21" s="3"/>
      <c r="GSZ21" s="3"/>
      <c r="GTA21" s="3"/>
      <c r="GTB21" s="3"/>
      <c r="GTC21" s="3"/>
      <c r="GTD21" s="3"/>
      <c r="GTE21" s="3"/>
      <c r="GTF21" s="3"/>
      <c r="GTG21" s="3"/>
      <c r="GTH21" s="3"/>
      <c r="GTI21" s="3"/>
      <c r="GTJ21" s="3"/>
      <c r="GTK21" s="3"/>
      <c r="GTL21" s="3"/>
      <c r="GTM21" s="3"/>
      <c r="GTN21" s="3"/>
      <c r="GTO21" s="3"/>
      <c r="GTP21" s="3"/>
      <c r="GTQ21" s="3"/>
      <c r="GTR21" s="3"/>
      <c r="GTS21" s="3"/>
      <c r="GTT21" s="3"/>
      <c r="GTU21" s="3"/>
      <c r="GTV21" s="3"/>
      <c r="GTW21" s="3"/>
      <c r="GTX21" s="3"/>
      <c r="GTY21" s="3"/>
      <c r="GTZ21" s="3"/>
      <c r="GUA21" s="3"/>
      <c r="GUB21" s="3"/>
      <c r="GUC21" s="3"/>
      <c r="GUD21" s="3"/>
      <c r="GUE21" s="3"/>
      <c r="GUF21" s="3"/>
      <c r="GUG21" s="3"/>
      <c r="GUH21" s="3"/>
      <c r="GUI21" s="3"/>
      <c r="GUJ21" s="3"/>
      <c r="GUK21" s="3"/>
      <c r="GUL21" s="3"/>
      <c r="GUM21" s="3"/>
      <c r="GUN21" s="3"/>
      <c r="GUO21" s="3"/>
      <c r="GUP21" s="3"/>
      <c r="GUQ21" s="3"/>
      <c r="GUR21" s="3"/>
      <c r="GUS21" s="3"/>
      <c r="GUT21" s="3"/>
      <c r="GUU21" s="3"/>
      <c r="GUV21" s="3"/>
      <c r="GUW21" s="3"/>
      <c r="GUX21" s="3"/>
      <c r="GUY21" s="3"/>
      <c r="GUZ21" s="3"/>
      <c r="GVA21" s="3"/>
      <c r="GVB21" s="3"/>
      <c r="GVC21" s="3"/>
      <c r="GVD21" s="3"/>
      <c r="GVE21" s="3"/>
      <c r="GVF21" s="3"/>
      <c r="GVG21" s="3"/>
      <c r="GVH21" s="3"/>
      <c r="GVI21" s="3"/>
      <c r="GVJ21" s="3"/>
      <c r="GVK21" s="3"/>
      <c r="GVL21" s="3"/>
      <c r="GVM21" s="3"/>
      <c r="GVN21" s="3"/>
      <c r="GVO21" s="3"/>
      <c r="GVP21" s="3"/>
      <c r="GVQ21" s="3"/>
      <c r="GVR21" s="3"/>
      <c r="GVS21" s="3"/>
      <c r="GVT21" s="3"/>
      <c r="GVU21" s="3"/>
      <c r="GVV21" s="3"/>
      <c r="GVW21" s="3"/>
      <c r="GVX21" s="3"/>
      <c r="GVY21" s="3"/>
      <c r="GVZ21" s="3"/>
      <c r="GWA21" s="3"/>
      <c r="GWB21" s="3"/>
      <c r="GWC21" s="3"/>
      <c r="GWD21" s="3"/>
      <c r="GWE21" s="3"/>
      <c r="GWF21" s="3"/>
      <c r="GWG21" s="3"/>
      <c r="GWH21" s="3"/>
      <c r="GWI21" s="3"/>
      <c r="GWJ21" s="3"/>
      <c r="GWK21" s="3"/>
      <c r="GWL21" s="3"/>
      <c r="GWM21" s="3"/>
      <c r="GWN21" s="3"/>
      <c r="GWO21" s="3"/>
      <c r="GWP21" s="3"/>
      <c r="GWQ21" s="3"/>
      <c r="GWR21" s="3"/>
      <c r="GWS21" s="3"/>
      <c r="GWT21" s="3"/>
      <c r="GWU21" s="3"/>
      <c r="GWV21" s="3"/>
      <c r="GWW21" s="3"/>
      <c r="GWX21" s="3"/>
      <c r="GWY21" s="3"/>
      <c r="GWZ21" s="3"/>
      <c r="GXA21" s="3"/>
      <c r="GXB21" s="3"/>
      <c r="GXC21" s="3"/>
      <c r="GXD21" s="3"/>
      <c r="GXE21" s="3"/>
      <c r="GXF21" s="3"/>
      <c r="GXG21" s="3"/>
      <c r="GXH21" s="3"/>
      <c r="GXI21" s="3"/>
      <c r="GXJ21" s="3"/>
      <c r="GXK21" s="3"/>
      <c r="GXL21" s="3"/>
      <c r="GXM21" s="3"/>
      <c r="GXN21" s="3"/>
      <c r="GXO21" s="3"/>
      <c r="GXP21" s="3"/>
      <c r="GXQ21" s="3"/>
      <c r="GXR21" s="3"/>
      <c r="GXS21" s="3"/>
      <c r="GXT21" s="3"/>
      <c r="GXU21" s="3"/>
      <c r="GXV21" s="3"/>
      <c r="GXW21" s="3"/>
      <c r="GXX21" s="3"/>
      <c r="GXY21" s="3"/>
      <c r="GXZ21" s="3"/>
      <c r="GYA21" s="3"/>
      <c r="GYB21" s="3"/>
      <c r="GYC21" s="3"/>
      <c r="GYD21" s="3"/>
      <c r="GYE21" s="3"/>
      <c r="GYF21" s="3"/>
      <c r="GYG21" s="3"/>
      <c r="GYH21" s="3"/>
      <c r="GYI21" s="3"/>
      <c r="GYJ21" s="3"/>
      <c r="GYK21" s="3"/>
      <c r="GYL21" s="3"/>
      <c r="GYM21" s="3"/>
      <c r="GYN21" s="3"/>
      <c r="GYO21" s="3"/>
      <c r="GYP21" s="3"/>
      <c r="GYQ21" s="3"/>
      <c r="GYR21" s="3"/>
      <c r="GYS21" s="3"/>
      <c r="GYT21" s="3"/>
      <c r="GYU21" s="3"/>
      <c r="GYV21" s="3"/>
      <c r="GYW21" s="3"/>
      <c r="GYX21" s="3"/>
      <c r="GYY21" s="3"/>
      <c r="GYZ21" s="3"/>
      <c r="GZA21" s="3"/>
      <c r="GZB21" s="3"/>
      <c r="GZC21" s="3"/>
      <c r="GZD21" s="3"/>
      <c r="GZE21" s="3"/>
      <c r="GZF21" s="3"/>
      <c r="GZG21" s="3"/>
      <c r="GZH21" s="3"/>
      <c r="GZI21" s="3"/>
      <c r="GZJ21" s="3"/>
      <c r="GZK21" s="3"/>
      <c r="GZL21" s="3"/>
      <c r="GZM21" s="3"/>
      <c r="GZN21" s="3"/>
      <c r="GZO21" s="3"/>
      <c r="GZP21" s="3"/>
      <c r="GZQ21" s="3"/>
      <c r="GZR21" s="3"/>
      <c r="GZS21" s="3"/>
      <c r="GZT21" s="3"/>
      <c r="GZU21" s="3"/>
      <c r="GZV21" s="3"/>
      <c r="GZW21" s="3"/>
      <c r="GZX21" s="3"/>
      <c r="GZY21" s="3"/>
      <c r="GZZ21" s="3"/>
      <c r="HAA21" s="3"/>
      <c r="HAB21" s="3"/>
      <c r="HAC21" s="3"/>
      <c r="HAD21" s="3"/>
      <c r="HAE21" s="3"/>
      <c r="HAF21" s="3"/>
      <c r="HAG21" s="3"/>
      <c r="HAH21" s="3"/>
      <c r="HAI21" s="3"/>
      <c r="HAJ21" s="3"/>
      <c r="HAK21" s="3"/>
      <c r="HAL21" s="3"/>
      <c r="HAM21" s="3"/>
      <c r="HAN21" s="3"/>
      <c r="HAO21" s="3"/>
      <c r="HAP21" s="3"/>
      <c r="HAQ21" s="3"/>
      <c r="HAR21" s="3"/>
      <c r="HAS21" s="3"/>
      <c r="HAT21" s="3"/>
      <c r="HAU21" s="3"/>
      <c r="HAV21" s="3"/>
      <c r="HAW21" s="3"/>
      <c r="HAX21" s="3"/>
      <c r="HAY21" s="3"/>
      <c r="HAZ21" s="3"/>
      <c r="HBA21" s="3"/>
      <c r="HBB21" s="3"/>
      <c r="HBC21" s="3"/>
      <c r="HBD21" s="3"/>
      <c r="HBE21" s="3"/>
      <c r="HBF21" s="3"/>
      <c r="HBG21" s="3"/>
      <c r="HBH21" s="3"/>
      <c r="HBI21" s="3"/>
      <c r="HBJ21" s="3"/>
      <c r="HBK21" s="3"/>
      <c r="HBL21" s="3"/>
      <c r="HBM21" s="3"/>
      <c r="HBN21" s="3"/>
      <c r="HBO21" s="3"/>
      <c r="HBP21" s="3"/>
      <c r="HBQ21" s="3"/>
      <c r="HBR21" s="3"/>
      <c r="HBS21" s="3"/>
      <c r="HBT21" s="3"/>
      <c r="HBU21" s="3"/>
      <c r="HBV21" s="3"/>
      <c r="HBW21" s="3"/>
      <c r="HBX21" s="3"/>
      <c r="HBY21" s="3"/>
      <c r="HBZ21" s="3"/>
      <c r="HCA21" s="3"/>
      <c r="HCB21" s="3"/>
      <c r="HCC21" s="3"/>
      <c r="HCD21" s="3"/>
      <c r="HCE21" s="3"/>
      <c r="HCF21" s="3"/>
      <c r="HCG21" s="3"/>
      <c r="HCH21" s="3"/>
      <c r="HCI21" s="3"/>
      <c r="HCJ21" s="3"/>
      <c r="HCK21" s="3"/>
      <c r="HCL21" s="3"/>
      <c r="HCM21" s="3"/>
      <c r="HCN21" s="3"/>
      <c r="HCO21" s="3"/>
      <c r="HCP21" s="3"/>
      <c r="HCQ21" s="3"/>
      <c r="HCR21" s="3"/>
      <c r="HCS21" s="3"/>
      <c r="HCT21" s="3"/>
      <c r="HCU21" s="3"/>
      <c r="HCV21" s="3"/>
      <c r="HCW21" s="3"/>
      <c r="HCX21" s="3"/>
      <c r="HCY21" s="3"/>
      <c r="HCZ21" s="3"/>
      <c r="HDA21" s="3"/>
      <c r="HDB21" s="3"/>
      <c r="HDC21" s="3"/>
      <c r="HDD21" s="3"/>
      <c r="HDE21" s="3"/>
      <c r="HDF21" s="3"/>
      <c r="HDG21" s="3"/>
      <c r="HDH21" s="3"/>
      <c r="HDI21" s="3"/>
      <c r="HDJ21" s="3"/>
      <c r="HDK21" s="3"/>
      <c r="HDL21" s="3"/>
      <c r="HDM21" s="3"/>
      <c r="HDN21" s="3"/>
      <c r="HDO21" s="3"/>
      <c r="HDP21" s="3"/>
      <c r="HDQ21" s="3"/>
      <c r="HDR21" s="3"/>
      <c r="HDS21" s="3"/>
      <c r="HDT21" s="3"/>
      <c r="HDU21" s="3"/>
      <c r="HDV21" s="3"/>
      <c r="HDW21" s="3"/>
      <c r="HDX21" s="3"/>
      <c r="HDY21" s="3"/>
      <c r="HDZ21" s="3"/>
      <c r="HEA21" s="3"/>
      <c r="HEB21" s="3"/>
      <c r="HEC21" s="3"/>
      <c r="HED21" s="3"/>
      <c r="HEE21" s="3"/>
      <c r="HEF21" s="3"/>
      <c r="HEG21" s="3"/>
      <c r="HEH21" s="3"/>
      <c r="HEI21" s="3"/>
      <c r="HEJ21" s="3"/>
      <c r="HEK21" s="3"/>
      <c r="HEL21" s="3"/>
      <c r="HEM21" s="3"/>
      <c r="HEN21" s="3"/>
      <c r="HEO21" s="3"/>
      <c r="HEP21" s="3"/>
      <c r="HEQ21" s="3"/>
      <c r="HER21" s="3"/>
      <c r="HES21" s="3"/>
      <c r="HET21" s="3"/>
      <c r="HEU21" s="3"/>
      <c r="HEV21" s="3"/>
      <c r="HEW21" s="3"/>
      <c r="HEX21" s="3"/>
      <c r="HEY21" s="3"/>
      <c r="HEZ21" s="3"/>
      <c r="HFA21" s="3"/>
      <c r="HFB21" s="3"/>
      <c r="HFC21" s="3"/>
      <c r="HFD21" s="3"/>
      <c r="HFE21" s="3"/>
      <c r="HFF21" s="3"/>
      <c r="HFG21" s="3"/>
      <c r="HFH21" s="3"/>
      <c r="HFI21" s="3"/>
      <c r="HFJ21" s="3"/>
      <c r="HFK21" s="3"/>
      <c r="HFL21" s="3"/>
      <c r="HFM21" s="3"/>
      <c r="HFN21" s="3"/>
      <c r="HFO21" s="3"/>
      <c r="HFP21" s="3"/>
      <c r="HFQ21" s="3"/>
      <c r="HFR21" s="3"/>
      <c r="HFS21" s="3"/>
      <c r="HFT21" s="3"/>
      <c r="HFU21" s="3"/>
      <c r="HFV21" s="3"/>
      <c r="HFW21" s="3"/>
      <c r="HFX21" s="3"/>
      <c r="HFY21" s="3"/>
      <c r="HFZ21" s="3"/>
      <c r="HGA21" s="3"/>
      <c r="HGB21" s="3"/>
      <c r="HGC21" s="3"/>
      <c r="HGD21" s="3"/>
      <c r="HGE21" s="3"/>
      <c r="HGF21" s="3"/>
      <c r="HGG21" s="3"/>
      <c r="HGH21" s="3"/>
      <c r="HGI21" s="3"/>
      <c r="HGJ21" s="3"/>
      <c r="HGK21" s="3"/>
      <c r="HGL21" s="3"/>
      <c r="HGM21" s="3"/>
      <c r="HGN21" s="3"/>
      <c r="HGO21" s="3"/>
      <c r="HGP21" s="3"/>
      <c r="HGQ21" s="3"/>
      <c r="HGR21" s="3"/>
      <c r="HGS21" s="3"/>
      <c r="HGT21" s="3"/>
      <c r="HGU21" s="3"/>
      <c r="HGV21" s="3"/>
      <c r="HGW21" s="3"/>
      <c r="HGX21" s="3"/>
      <c r="HGY21" s="3"/>
      <c r="HGZ21" s="3"/>
      <c r="HHA21" s="3"/>
      <c r="HHB21" s="3"/>
      <c r="HHC21" s="3"/>
      <c r="HHD21" s="3"/>
      <c r="HHE21" s="3"/>
      <c r="HHF21" s="3"/>
      <c r="HHG21" s="3"/>
      <c r="HHH21" s="3"/>
      <c r="HHI21" s="3"/>
      <c r="HHJ21" s="3"/>
      <c r="HHK21" s="3"/>
      <c r="HHL21" s="3"/>
      <c r="HHM21" s="3"/>
      <c r="HHN21" s="3"/>
      <c r="HHO21" s="3"/>
      <c r="HHP21" s="3"/>
      <c r="HHQ21" s="3"/>
      <c r="HHR21" s="3"/>
      <c r="HHS21" s="3"/>
      <c r="HHT21" s="3"/>
      <c r="HHU21" s="3"/>
      <c r="HHV21" s="3"/>
      <c r="HHW21" s="3"/>
      <c r="HHX21" s="3"/>
      <c r="HHY21" s="3"/>
      <c r="HHZ21" s="3"/>
      <c r="HIA21" s="3"/>
      <c r="HIB21" s="3"/>
      <c r="HIC21" s="3"/>
      <c r="HID21" s="3"/>
      <c r="HIE21" s="3"/>
      <c r="HIF21" s="3"/>
      <c r="HIG21" s="3"/>
      <c r="HIH21" s="3"/>
      <c r="HII21" s="3"/>
      <c r="HIJ21" s="3"/>
      <c r="HIK21" s="3"/>
      <c r="HIL21" s="3"/>
      <c r="HIM21" s="3"/>
      <c r="HIN21" s="3"/>
      <c r="HIO21" s="3"/>
      <c r="HIP21" s="3"/>
      <c r="HIQ21" s="3"/>
      <c r="HIR21" s="3"/>
      <c r="HIS21" s="3"/>
      <c r="HIT21" s="3"/>
      <c r="HIU21" s="3"/>
      <c r="HIV21" s="3"/>
      <c r="HIW21" s="3"/>
      <c r="HIX21" s="3"/>
      <c r="HIY21" s="3"/>
      <c r="HIZ21" s="3"/>
      <c r="HJA21" s="3"/>
      <c r="HJB21" s="3"/>
      <c r="HJC21" s="3"/>
      <c r="HJD21" s="3"/>
      <c r="HJE21" s="3"/>
      <c r="HJF21" s="3"/>
      <c r="HJG21" s="3"/>
      <c r="HJH21" s="3"/>
      <c r="HJI21" s="3"/>
      <c r="HJJ21" s="3"/>
      <c r="HJK21" s="3"/>
      <c r="HJL21" s="3"/>
      <c r="HJM21" s="3"/>
      <c r="HJN21" s="3"/>
      <c r="HJO21" s="3"/>
      <c r="HJP21" s="3"/>
      <c r="HJQ21" s="3"/>
      <c r="HJR21" s="3"/>
      <c r="HJS21" s="3"/>
      <c r="HJT21" s="3"/>
      <c r="HJU21" s="3"/>
      <c r="HJV21" s="3"/>
      <c r="HJW21" s="3"/>
      <c r="HJX21" s="3"/>
      <c r="HJY21" s="3"/>
      <c r="HJZ21" s="3"/>
      <c r="HKA21" s="3"/>
      <c r="HKB21" s="3"/>
      <c r="HKC21" s="3"/>
      <c r="HKD21" s="3"/>
      <c r="HKE21" s="3"/>
      <c r="HKF21" s="3"/>
      <c r="HKG21" s="3"/>
      <c r="HKH21" s="3"/>
      <c r="HKI21" s="3"/>
      <c r="HKJ21" s="3"/>
      <c r="HKK21" s="3"/>
      <c r="HKL21" s="3"/>
      <c r="HKM21" s="3"/>
      <c r="HKN21" s="3"/>
      <c r="HKO21" s="3"/>
      <c r="HKP21" s="3"/>
      <c r="HKQ21" s="3"/>
      <c r="HKR21" s="3"/>
      <c r="HKS21" s="3"/>
      <c r="HKT21" s="3"/>
      <c r="HKU21" s="3"/>
      <c r="HKV21" s="3"/>
      <c r="HKW21" s="3"/>
      <c r="HKX21" s="3"/>
      <c r="HKY21" s="3"/>
      <c r="HKZ21" s="3"/>
      <c r="HLA21" s="3"/>
      <c r="HLB21" s="3"/>
      <c r="HLC21" s="3"/>
      <c r="HLD21" s="3"/>
      <c r="HLE21" s="3"/>
      <c r="HLF21" s="3"/>
      <c r="HLG21" s="3"/>
      <c r="HLH21" s="3"/>
      <c r="HLI21" s="3"/>
      <c r="HLJ21" s="3"/>
      <c r="HLK21" s="3"/>
      <c r="HLL21" s="3"/>
      <c r="HLM21" s="3"/>
      <c r="HLN21" s="3"/>
      <c r="HLO21" s="3"/>
      <c r="HLP21" s="3"/>
      <c r="HLQ21" s="3"/>
      <c r="HLR21" s="3"/>
      <c r="HLS21" s="3"/>
      <c r="HLT21" s="3"/>
      <c r="HLU21" s="3"/>
      <c r="HLV21" s="3"/>
      <c r="HLW21" s="3"/>
      <c r="HLX21" s="3"/>
      <c r="HLY21" s="3"/>
      <c r="HLZ21" s="3"/>
      <c r="HMA21" s="3"/>
      <c r="HMB21" s="3"/>
      <c r="HMC21" s="3"/>
      <c r="HMD21" s="3"/>
      <c r="HME21" s="3"/>
      <c r="HMF21" s="3"/>
      <c r="HMG21" s="3"/>
      <c r="HMH21" s="3"/>
      <c r="HMI21" s="3"/>
      <c r="HMJ21" s="3"/>
      <c r="HMK21" s="3"/>
      <c r="HML21" s="3"/>
      <c r="HMM21" s="3"/>
      <c r="HMN21" s="3"/>
      <c r="HMO21" s="3"/>
      <c r="HMP21" s="3"/>
      <c r="HMQ21" s="3"/>
      <c r="HMR21" s="3"/>
      <c r="HMS21" s="3"/>
      <c r="HMT21" s="3"/>
      <c r="HMU21" s="3"/>
      <c r="HMV21" s="3"/>
      <c r="HMW21" s="3"/>
      <c r="HMX21" s="3"/>
      <c r="HMY21" s="3"/>
      <c r="HMZ21" s="3"/>
      <c r="HNA21" s="3"/>
      <c r="HNB21" s="3"/>
      <c r="HNC21" s="3"/>
      <c r="HND21" s="3"/>
      <c r="HNE21" s="3"/>
      <c r="HNF21" s="3"/>
      <c r="HNG21" s="3"/>
      <c r="HNH21" s="3"/>
      <c r="HNI21" s="3"/>
      <c r="HNJ21" s="3"/>
      <c r="HNK21" s="3"/>
      <c r="HNL21" s="3"/>
      <c r="HNM21" s="3"/>
      <c r="HNN21" s="3"/>
      <c r="HNO21" s="3"/>
      <c r="HNP21" s="3"/>
      <c r="HNQ21" s="3"/>
      <c r="HNR21" s="3"/>
      <c r="HNS21" s="3"/>
      <c r="HNT21" s="3"/>
      <c r="HNU21" s="3"/>
      <c r="HNV21" s="3"/>
      <c r="HNW21" s="3"/>
      <c r="HNX21" s="3"/>
      <c r="HNY21" s="3"/>
      <c r="HNZ21" s="3"/>
      <c r="HOA21" s="3"/>
      <c r="HOB21" s="3"/>
      <c r="HOC21" s="3"/>
      <c r="HOD21" s="3"/>
      <c r="HOE21" s="3"/>
      <c r="HOF21" s="3"/>
      <c r="HOG21" s="3"/>
      <c r="HOH21" s="3"/>
      <c r="HOI21" s="3"/>
      <c r="HOJ21" s="3"/>
      <c r="HOK21" s="3"/>
      <c r="HOL21" s="3"/>
      <c r="HOM21" s="3"/>
      <c r="HON21" s="3"/>
      <c r="HOO21" s="3"/>
      <c r="HOP21" s="3"/>
      <c r="HOQ21" s="3"/>
      <c r="HOR21" s="3"/>
      <c r="HOS21" s="3"/>
      <c r="HOT21" s="3"/>
      <c r="HOU21" s="3"/>
      <c r="HOV21" s="3"/>
      <c r="HOW21" s="3"/>
      <c r="HOX21" s="3"/>
      <c r="HOY21" s="3"/>
      <c r="HOZ21" s="3"/>
      <c r="HPA21" s="3"/>
      <c r="HPB21" s="3"/>
      <c r="HPC21" s="3"/>
      <c r="HPD21" s="3"/>
      <c r="HPE21" s="3"/>
      <c r="HPF21" s="3"/>
      <c r="HPG21" s="3"/>
      <c r="HPH21" s="3"/>
      <c r="HPI21" s="3"/>
      <c r="HPJ21" s="3"/>
      <c r="HPK21" s="3"/>
      <c r="HPL21" s="3"/>
      <c r="HPM21" s="3"/>
      <c r="HPN21" s="3"/>
      <c r="HPO21" s="3"/>
      <c r="HPP21" s="3"/>
      <c r="HPQ21" s="3"/>
      <c r="HPR21" s="3"/>
      <c r="HPS21" s="3"/>
      <c r="HPT21" s="3"/>
      <c r="HPU21" s="3"/>
      <c r="HPV21" s="3"/>
      <c r="HPW21" s="3"/>
      <c r="HPX21" s="3"/>
      <c r="HPY21" s="3"/>
      <c r="HPZ21" s="3"/>
      <c r="HQA21" s="3"/>
      <c r="HQB21" s="3"/>
      <c r="HQC21" s="3"/>
      <c r="HQD21" s="3"/>
      <c r="HQE21" s="3"/>
      <c r="HQF21" s="3"/>
      <c r="HQG21" s="3"/>
      <c r="HQH21" s="3"/>
      <c r="HQI21" s="3"/>
      <c r="HQJ21" s="3"/>
      <c r="HQK21" s="3"/>
      <c r="HQL21" s="3"/>
      <c r="HQM21" s="3"/>
      <c r="HQN21" s="3"/>
      <c r="HQO21" s="3"/>
      <c r="HQP21" s="3"/>
      <c r="HQQ21" s="3"/>
      <c r="HQR21" s="3"/>
      <c r="HQS21" s="3"/>
      <c r="HQT21" s="3"/>
      <c r="HQU21" s="3"/>
      <c r="HQV21" s="3"/>
      <c r="HQW21" s="3"/>
      <c r="HQX21" s="3"/>
      <c r="HQY21" s="3"/>
      <c r="HQZ21" s="3"/>
      <c r="HRA21" s="3"/>
      <c r="HRB21" s="3"/>
      <c r="HRC21" s="3"/>
      <c r="HRD21" s="3"/>
      <c r="HRE21" s="3"/>
      <c r="HRF21" s="3"/>
      <c r="HRG21" s="3"/>
      <c r="HRH21" s="3"/>
      <c r="HRI21" s="3"/>
      <c r="HRJ21" s="3"/>
      <c r="HRK21" s="3"/>
      <c r="HRL21" s="3"/>
      <c r="HRM21" s="3"/>
      <c r="HRN21" s="3"/>
      <c r="HRO21" s="3"/>
      <c r="HRP21" s="3"/>
      <c r="HRQ21" s="3"/>
      <c r="HRR21" s="3"/>
      <c r="HRS21" s="3"/>
      <c r="HRT21" s="3"/>
      <c r="HRU21" s="3"/>
      <c r="HRV21" s="3"/>
      <c r="HRW21" s="3"/>
      <c r="HRX21" s="3"/>
      <c r="HRY21" s="3"/>
      <c r="HRZ21" s="3"/>
      <c r="HSA21" s="3"/>
      <c r="HSB21" s="3"/>
      <c r="HSC21" s="3"/>
      <c r="HSD21" s="3"/>
      <c r="HSE21" s="3"/>
      <c r="HSF21" s="3"/>
      <c r="HSG21" s="3"/>
      <c r="HSH21" s="3"/>
      <c r="HSI21" s="3"/>
      <c r="HSJ21" s="3"/>
      <c r="HSK21" s="3"/>
      <c r="HSL21" s="3"/>
      <c r="HSM21" s="3"/>
      <c r="HSN21" s="3"/>
      <c r="HSO21" s="3"/>
      <c r="HSP21" s="3"/>
      <c r="HSQ21" s="3"/>
      <c r="HSR21" s="3"/>
      <c r="HSS21" s="3"/>
      <c r="HST21" s="3"/>
      <c r="HSU21" s="3"/>
      <c r="HSV21" s="3"/>
      <c r="HSW21" s="3"/>
      <c r="HSX21" s="3"/>
      <c r="HSY21" s="3"/>
      <c r="HSZ21" s="3"/>
      <c r="HTA21" s="3"/>
      <c r="HTB21" s="3"/>
      <c r="HTC21" s="3"/>
      <c r="HTD21" s="3"/>
      <c r="HTE21" s="3"/>
      <c r="HTF21" s="3"/>
      <c r="HTG21" s="3"/>
      <c r="HTH21" s="3"/>
      <c r="HTI21" s="3"/>
      <c r="HTJ21" s="3"/>
      <c r="HTK21" s="3"/>
      <c r="HTL21" s="3"/>
      <c r="HTM21" s="3"/>
      <c r="HTN21" s="3"/>
      <c r="HTO21" s="3"/>
      <c r="HTP21" s="3"/>
      <c r="HTQ21" s="3"/>
      <c r="HTR21" s="3"/>
      <c r="HTS21" s="3"/>
      <c r="HTT21" s="3"/>
      <c r="HTU21" s="3"/>
      <c r="HTV21" s="3"/>
      <c r="HTW21" s="3"/>
      <c r="HTX21" s="3"/>
      <c r="HTY21" s="3"/>
      <c r="HTZ21" s="3"/>
      <c r="HUA21" s="3"/>
      <c r="HUB21" s="3"/>
      <c r="HUC21" s="3"/>
      <c r="HUD21" s="3"/>
      <c r="HUE21" s="3"/>
      <c r="HUF21" s="3"/>
      <c r="HUG21" s="3"/>
      <c r="HUH21" s="3"/>
      <c r="HUI21" s="3"/>
      <c r="HUJ21" s="3"/>
      <c r="HUK21" s="3"/>
      <c r="HUL21" s="3"/>
      <c r="HUM21" s="3"/>
      <c r="HUN21" s="3"/>
      <c r="HUO21" s="3"/>
      <c r="HUP21" s="3"/>
      <c r="HUQ21" s="3"/>
      <c r="HUR21" s="3"/>
      <c r="HUS21" s="3"/>
      <c r="HUT21" s="3"/>
      <c r="HUU21" s="3"/>
      <c r="HUV21" s="3"/>
      <c r="HUW21" s="3"/>
      <c r="HUX21" s="3"/>
      <c r="HUY21" s="3"/>
      <c r="HUZ21" s="3"/>
      <c r="HVA21" s="3"/>
      <c r="HVB21" s="3"/>
      <c r="HVC21" s="3"/>
      <c r="HVD21" s="3"/>
      <c r="HVE21" s="3"/>
      <c r="HVF21" s="3"/>
      <c r="HVG21" s="3"/>
      <c r="HVH21" s="3"/>
      <c r="HVI21" s="3"/>
      <c r="HVJ21" s="3"/>
      <c r="HVK21" s="3"/>
      <c r="HVL21" s="3"/>
      <c r="HVM21" s="3"/>
      <c r="HVN21" s="3"/>
      <c r="HVO21" s="3"/>
      <c r="HVP21" s="3"/>
      <c r="HVQ21" s="3"/>
      <c r="HVR21" s="3"/>
      <c r="HVS21" s="3"/>
      <c r="HVT21" s="3"/>
      <c r="HVU21" s="3"/>
      <c r="HVV21" s="3"/>
      <c r="HVW21" s="3"/>
      <c r="HVX21" s="3"/>
      <c r="HVY21" s="3"/>
      <c r="HVZ21" s="3"/>
      <c r="HWA21" s="3"/>
      <c r="HWB21" s="3"/>
      <c r="HWC21" s="3"/>
      <c r="HWD21" s="3"/>
      <c r="HWE21" s="3"/>
      <c r="HWF21" s="3"/>
      <c r="HWG21" s="3"/>
      <c r="HWH21" s="3"/>
      <c r="HWI21" s="3"/>
      <c r="HWJ21" s="3"/>
      <c r="HWK21" s="3"/>
      <c r="HWL21" s="3"/>
      <c r="HWM21" s="3"/>
      <c r="HWN21" s="3"/>
      <c r="HWO21" s="3"/>
      <c r="HWP21" s="3"/>
      <c r="HWQ21" s="3"/>
      <c r="HWR21" s="3"/>
      <c r="HWS21" s="3"/>
      <c r="HWT21" s="3"/>
      <c r="HWU21" s="3"/>
      <c r="HWV21" s="3"/>
      <c r="HWW21" s="3"/>
      <c r="HWX21" s="3"/>
      <c r="HWY21" s="3"/>
      <c r="HWZ21" s="3"/>
      <c r="HXA21" s="3"/>
      <c r="HXB21" s="3"/>
      <c r="HXC21" s="3"/>
      <c r="HXD21" s="3"/>
      <c r="HXE21" s="3"/>
      <c r="HXF21" s="3"/>
      <c r="HXG21" s="3"/>
      <c r="HXH21" s="3"/>
      <c r="HXI21" s="3"/>
      <c r="HXJ21" s="3"/>
      <c r="HXK21" s="3"/>
      <c r="HXL21" s="3"/>
      <c r="HXM21" s="3"/>
      <c r="HXN21" s="3"/>
      <c r="HXO21" s="3"/>
      <c r="HXP21" s="3"/>
      <c r="HXQ21" s="3"/>
      <c r="HXR21" s="3"/>
      <c r="HXS21" s="3"/>
      <c r="HXT21" s="3"/>
      <c r="HXU21" s="3"/>
      <c r="HXV21" s="3"/>
      <c r="HXW21" s="3"/>
      <c r="HXX21" s="3"/>
      <c r="HXY21" s="3"/>
      <c r="HXZ21" s="3"/>
      <c r="HYA21" s="3"/>
      <c r="HYB21" s="3"/>
      <c r="HYC21" s="3"/>
      <c r="HYD21" s="3"/>
      <c r="HYE21" s="3"/>
      <c r="HYF21" s="3"/>
      <c r="HYG21" s="3"/>
      <c r="HYH21" s="3"/>
      <c r="HYI21" s="3"/>
      <c r="HYJ21" s="3"/>
      <c r="HYK21" s="3"/>
      <c r="HYL21" s="3"/>
      <c r="HYM21" s="3"/>
      <c r="HYN21" s="3"/>
      <c r="HYO21" s="3"/>
      <c r="HYP21" s="3"/>
      <c r="HYQ21" s="3"/>
      <c r="HYR21" s="3"/>
      <c r="HYS21" s="3"/>
      <c r="HYT21" s="3"/>
      <c r="HYU21" s="3"/>
      <c r="HYV21" s="3"/>
      <c r="HYW21" s="3"/>
      <c r="HYX21" s="3"/>
      <c r="HYY21" s="3"/>
      <c r="HYZ21" s="3"/>
      <c r="HZA21" s="3"/>
      <c r="HZB21" s="3"/>
      <c r="HZC21" s="3"/>
      <c r="HZD21" s="3"/>
      <c r="HZE21" s="3"/>
      <c r="HZF21" s="3"/>
      <c r="HZG21" s="3"/>
      <c r="HZH21" s="3"/>
      <c r="HZI21" s="3"/>
      <c r="HZJ21" s="3"/>
      <c r="HZK21" s="3"/>
      <c r="HZL21" s="3"/>
      <c r="HZM21" s="3"/>
      <c r="HZN21" s="3"/>
      <c r="HZO21" s="3"/>
      <c r="HZP21" s="3"/>
      <c r="HZQ21" s="3"/>
      <c r="HZR21" s="3"/>
      <c r="HZS21" s="3"/>
      <c r="HZT21" s="3"/>
      <c r="HZU21" s="3"/>
      <c r="HZV21" s="3"/>
      <c r="HZW21" s="3"/>
      <c r="HZX21" s="3"/>
      <c r="HZY21" s="3"/>
      <c r="HZZ21" s="3"/>
      <c r="IAA21" s="3"/>
      <c r="IAB21" s="3"/>
      <c r="IAC21" s="3"/>
      <c r="IAD21" s="3"/>
      <c r="IAE21" s="3"/>
      <c r="IAF21" s="3"/>
      <c r="IAG21" s="3"/>
      <c r="IAH21" s="3"/>
      <c r="IAI21" s="3"/>
      <c r="IAJ21" s="3"/>
      <c r="IAK21" s="3"/>
      <c r="IAL21" s="3"/>
      <c r="IAM21" s="3"/>
      <c r="IAN21" s="3"/>
      <c r="IAO21" s="3"/>
      <c r="IAP21" s="3"/>
      <c r="IAQ21" s="3"/>
      <c r="IAR21" s="3"/>
      <c r="IAS21" s="3"/>
      <c r="IAT21" s="3"/>
      <c r="IAU21" s="3"/>
      <c r="IAV21" s="3"/>
      <c r="IAW21" s="3"/>
      <c r="IAX21" s="3"/>
      <c r="IAY21" s="3"/>
      <c r="IAZ21" s="3"/>
      <c r="IBA21" s="3"/>
      <c r="IBB21" s="3"/>
      <c r="IBC21" s="3"/>
      <c r="IBD21" s="3"/>
      <c r="IBE21" s="3"/>
      <c r="IBF21" s="3"/>
      <c r="IBG21" s="3"/>
      <c r="IBH21" s="3"/>
      <c r="IBI21" s="3"/>
      <c r="IBJ21" s="3"/>
      <c r="IBK21" s="3"/>
      <c r="IBL21" s="3"/>
      <c r="IBM21" s="3"/>
      <c r="IBN21" s="3"/>
      <c r="IBO21" s="3"/>
      <c r="IBP21" s="3"/>
      <c r="IBQ21" s="3"/>
      <c r="IBR21" s="3"/>
      <c r="IBS21" s="3"/>
      <c r="IBT21" s="3"/>
      <c r="IBU21" s="3"/>
      <c r="IBV21" s="3"/>
      <c r="IBW21" s="3"/>
      <c r="IBX21" s="3"/>
      <c r="IBY21" s="3"/>
      <c r="IBZ21" s="3"/>
      <c r="ICA21" s="3"/>
      <c r="ICB21" s="3"/>
      <c r="ICC21" s="3"/>
      <c r="ICD21" s="3"/>
      <c r="ICE21" s="3"/>
      <c r="ICF21" s="3"/>
      <c r="ICG21" s="3"/>
      <c r="ICH21" s="3"/>
      <c r="ICI21" s="3"/>
      <c r="ICJ21" s="3"/>
      <c r="ICK21" s="3"/>
      <c r="ICL21" s="3"/>
      <c r="ICM21" s="3"/>
      <c r="ICN21" s="3"/>
      <c r="ICO21" s="3"/>
      <c r="ICP21" s="3"/>
      <c r="ICQ21" s="3"/>
      <c r="ICR21" s="3"/>
      <c r="ICS21" s="3"/>
      <c r="ICT21" s="3"/>
      <c r="ICU21" s="3"/>
      <c r="ICV21" s="3"/>
      <c r="ICW21" s="3"/>
      <c r="ICX21" s="3"/>
      <c r="ICY21" s="3"/>
      <c r="ICZ21" s="3"/>
      <c r="IDA21" s="3"/>
      <c r="IDB21" s="3"/>
      <c r="IDC21" s="3"/>
      <c r="IDD21" s="3"/>
      <c r="IDE21" s="3"/>
      <c r="IDF21" s="3"/>
      <c r="IDG21" s="3"/>
      <c r="IDH21" s="3"/>
      <c r="IDI21" s="3"/>
      <c r="IDJ21" s="3"/>
      <c r="IDK21" s="3"/>
      <c r="IDL21" s="3"/>
      <c r="IDM21" s="3"/>
      <c r="IDN21" s="3"/>
      <c r="IDO21" s="3"/>
      <c r="IDP21" s="3"/>
      <c r="IDQ21" s="3"/>
      <c r="IDR21" s="3"/>
      <c r="IDS21" s="3"/>
      <c r="IDT21" s="3"/>
      <c r="IDU21" s="3"/>
      <c r="IDV21" s="3"/>
      <c r="IDW21" s="3"/>
      <c r="IDX21" s="3"/>
      <c r="IDY21" s="3"/>
      <c r="IDZ21" s="3"/>
      <c r="IEA21" s="3"/>
      <c r="IEB21" s="3"/>
      <c r="IEC21" s="3"/>
      <c r="IED21" s="3"/>
      <c r="IEE21" s="3"/>
      <c r="IEF21" s="3"/>
      <c r="IEG21" s="3"/>
      <c r="IEH21" s="3"/>
      <c r="IEI21" s="3"/>
      <c r="IEJ21" s="3"/>
      <c r="IEK21" s="3"/>
      <c r="IEL21" s="3"/>
      <c r="IEM21" s="3"/>
      <c r="IEN21" s="3"/>
      <c r="IEO21" s="3"/>
      <c r="IEP21" s="3"/>
      <c r="IEQ21" s="3"/>
      <c r="IER21" s="3"/>
      <c r="IES21" s="3"/>
      <c r="IET21" s="3"/>
      <c r="IEU21" s="3"/>
      <c r="IEV21" s="3"/>
      <c r="IEW21" s="3"/>
      <c r="IEX21" s="3"/>
      <c r="IEY21" s="3"/>
      <c r="IEZ21" s="3"/>
      <c r="IFA21" s="3"/>
      <c r="IFB21" s="3"/>
      <c r="IFC21" s="3"/>
      <c r="IFD21" s="3"/>
      <c r="IFE21" s="3"/>
      <c r="IFF21" s="3"/>
      <c r="IFG21" s="3"/>
      <c r="IFH21" s="3"/>
      <c r="IFI21" s="3"/>
      <c r="IFJ21" s="3"/>
      <c r="IFK21" s="3"/>
      <c r="IFL21" s="3"/>
      <c r="IFM21" s="3"/>
      <c r="IFN21" s="3"/>
      <c r="IFO21" s="3"/>
      <c r="IFP21" s="3"/>
      <c r="IFQ21" s="3"/>
      <c r="IFR21" s="3"/>
      <c r="IFS21" s="3"/>
      <c r="IFT21" s="3"/>
      <c r="IFU21" s="3"/>
      <c r="IFV21" s="3"/>
      <c r="IFW21" s="3"/>
      <c r="IFX21" s="3"/>
      <c r="IFY21" s="3"/>
      <c r="IFZ21" s="3"/>
      <c r="IGA21" s="3"/>
      <c r="IGB21" s="3"/>
      <c r="IGC21" s="3"/>
      <c r="IGD21" s="3"/>
      <c r="IGE21" s="3"/>
      <c r="IGF21" s="3"/>
      <c r="IGG21" s="3"/>
      <c r="IGH21" s="3"/>
      <c r="IGI21" s="3"/>
      <c r="IGJ21" s="3"/>
      <c r="IGK21" s="3"/>
      <c r="IGL21" s="3"/>
      <c r="IGM21" s="3"/>
      <c r="IGN21" s="3"/>
      <c r="IGO21" s="3"/>
      <c r="IGP21" s="3"/>
      <c r="IGQ21" s="3"/>
      <c r="IGR21" s="3"/>
      <c r="IGS21" s="3"/>
      <c r="IGT21" s="3"/>
      <c r="IGU21" s="3"/>
      <c r="IGV21" s="3"/>
      <c r="IGW21" s="3"/>
      <c r="IGX21" s="3"/>
      <c r="IGY21" s="3"/>
      <c r="IGZ21" s="3"/>
      <c r="IHA21" s="3"/>
      <c r="IHB21" s="3"/>
      <c r="IHC21" s="3"/>
      <c r="IHD21" s="3"/>
      <c r="IHE21" s="3"/>
      <c r="IHF21" s="3"/>
      <c r="IHG21" s="3"/>
      <c r="IHH21" s="3"/>
      <c r="IHI21" s="3"/>
      <c r="IHJ21" s="3"/>
      <c r="IHK21" s="3"/>
      <c r="IHL21" s="3"/>
      <c r="IHM21" s="3"/>
      <c r="IHN21" s="3"/>
      <c r="IHO21" s="3"/>
      <c r="IHP21" s="3"/>
      <c r="IHQ21" s="3"/>
      <c r="IHR21" s="3"/>
      <c r="IHS21" s="3"/>
      <c r="IHT21" s="3"/>
      <c r="IHU21" s="3"/>
      <c r="IHV21" s="3"/>
      <c r="IHW21" s="3"/>
      <c r="IHX21" s="3"/>
      <c r="IHY21" s="3"/>
      <c r="IHZ21" s="3"/>
      <c r="IIA21" s="3"/>
      <c r="IIB21" s="3"/>
      <c r="IIC21" s="3"/>
      <c r="IID21" s="3"/>
      <c r="IIE21" s="3"/>
      <c r="IIF21" s="3"/>
      <c r="IIG21" s="3"/>
      <c r="IIH21" s="3"/>
      <c r="III21" s="3"/>
      <c r="IIJ21" s="3"/>
      <c r="IIK21" s="3"/>
      <c r="IIL21" s="3"/>
      <c r="IIM21" s="3"/>
      <c r="IIN21" s="3"/>
      <c r="IIO21" s="3"/>
      <c r="IIP21" s="3"/>
      <c r="IIQ21" s="3"/>
      <c r="IIR21" s="3"/>
      <c r="IIS21" s="3"/>
      <c r="IIT21" s="3"/>
      <c r="IIU21" s="3"/>
      <c r="IIV21" s="3"/>
      <c r="IIW21" s="3"/>
      <c r="IIX21" s="3"/>
      <c r="IIY21" s="3"/>
      <c r="IIZ21" s="3"/>
      <c r="IJA21" s="3"/>
      <c r="IJB21" s="3"/>
      <c r="IJC21" s="3"/>
      <c r="IJD21" s="3"/>
      <c r="IJE21" s="3"/>
      <c r="IJF21" s="3"/>
      <c r="IJG21" s="3"/>
      <c r="IJH21" s="3"/>
      <c r="IJI21" s="3"/>
      <c r="IJJ21" s="3"/>
      <c r="IJK21" s="3"/>
      <c r="IJL21" s="3"/>
      <c r="IJM21" s="3"/>
      <c r="IJN21" s="3"/>
      <c r="IJO21" s="3"/>
      <c r="IJP21" s="3"/>
      <c r="IJQ21" s="3"/>
      <c r="IJR21" s="3"/>
      <c r="IJS21" s="3"/>
      <c r="IJT21" s="3"/>
      <c r="IJU21" s="3"/>
      <c r="IJV21" s="3"/>
      <c r="IJW21" s="3"/>
      <c r="IJX21" s="3"/>
      <c r="IJY21" s="3"/>
      <c r="IJZ21" s="3"/>
      <c r="IKA21" s="3"/>
      <c r="IKB21" s="3"/>
      <c r="IKC21" s="3"/>
      <c r="IKD21" s="3"/>
      <c r="IKE21" s="3"/>
      <c r="IKF21" s="3"/>
      <c r="IKG21" s="3"/>
      <c r="IKH21" s="3"/>
      <c r="IKI21" s="3"/>
      <c r="IKJ21" s="3"/>
      <c r="IKK21" s="3"/>
      <c r="IKL21" s="3"/>
      <c r="IKM21" s="3"/>
      <c r="IKN21" s="3"/>
      <c r="IKO21" s="3"/>
      <c r="IKP21" s="3"/>
      <c r="IKQ21" s="3"/>
      <c r="IKR21" s="3"/>
      <c r="IKS21" s="3"/>
      <c r="IKT21" s="3"/>
      <c r="IKU21" s="3"/>
      <c r="IKV21" s="3"/>
      <c r="IKW21" s="3"/>
      <c r="IKX21" s="3"/>
      <c r="IKY21" s="3"/>
      <c r="IKZ21" s="3"/>
      <c r="ILA21" s="3"/>
      <c r="ILB21" s="3"/>
      <c r="ILC21" s="3"/>
      <c r="ILD21" s="3"/>
      <c r="ILE21" s="3"/>
      <c r="ILF21" s="3"/>
      <c r="ILG21" s="3"/>
      <c r="ILH21" s="3"/>
      <c r="ILI21" s="3"/>
      <c r="ILJ21" s="3"/>
      <c r="ILK21" s="3"/>
      <c r="ILL21" s="3"/>
      <c r="ILM21" s="3"/>
      <c r="ILN21" s="3"/>
      <c r="ILO21" s="3"/>
      <c r="ILP21" s="3"/>
      <c r="ILQ21" s="3"/>
      <c r="ILR21" s="3"/>
      <c r="ILS21" s="3"/>
      <c r="ILT21" s="3"/>
      <c r="ILU21" s="3"/>
      <c r="ILV21" s="3"/>
      <c r="ILW21" s="3"/>
      <c r="ILX21" s="3"/>
      <c r="ILY21" s="3"/>
      <c r="ILZ21" s="3"/>
      <c r="IMA21" s="3"/>
      <c r="IMB21" s="3"/>
      <c r="IMC21" s="3"/>
      <c r="IMD21" s="3"/>
      <c r="IME21" s="3"/>
      <c r="IMF21" s="3"/>
      <c r="IMG21" s="3"/>
      <c r="IMH21" s="3"/>
      <c r="IMI21" s="3"/>
      <c r="IMJ21" s="3"/>
      <c r="IMK21" s="3"/>
      <c r="IML21" s="3"/>
      <c r="IMM21" s="3"/>
      <c r="IMN21" s="3"/>
      <c r="IMO21" s="3"/>
      <c r="IMP21" s="3"/>
      <c r="IMQ21" s="3"/>
      <c r="IMR21" s="3"/>
      <c r="IMS21" s="3"/>
      <c r="IMT21" s="3"/>
      <c r="IMU21" s="3"/>
      <c r="IMV21" s="3"/>
      <c r="IMW21" s="3"/>
      <c r="IMX21" s="3"/>
      <c r="IMY21" s="3"/>
      <c r="IMZ21" s="3"/>
      <c r="INA21" s="3"/>
      <c r="INB21" s="3"/>
      <c r="INC21" s="3"/>
      <c r="IND21" s="3"/>
      <c r="INE21" s="3"/>
      <c r="INF21" s="3"/>
      <c r="ING21" s="3"/>
      <c r="INH21" s="3"/>
      <c r="INI21" s="3"/>
      <c r="INJ21" s="3"/>
      <c r="INK21" s="3"/>
      <c r="INL21" s="3"/>
      <c r="INM21" s="3"/>
      <c r="INN21" s="3"/>
      <c r="INO21" s="3"/>
      <c r="INP21" s="3"/>
      <c r="INQ21" s="3"/>
      <c r="INR21" s="3"/>
      <c r="INS21" s="3"/>
      <c r="INT21" s="3"/>
      <c r="INU21" s="3"/>
      <c r="INV21" s="3"/>
      <c r="INW21" s="3"/>
      <c r="INX21" s="3"/>
      <c r="INY21" s="3"/>
      <c r="INZ21" s="3"/>
      <c r="IOA21" s="3"/>
      <c r="IOB21" s="3"/>
      <c r="IOC21" s="3"/>
      <c r="IOD21" s="3"/>
      <c r="IOE21" s="3"/>
      <c r="IOF21" s="3"/>
      <c r="IOG21" s="3"/>
      <c r="IOH21" s="3"/>
      <c r="IOI21" s="3"/>
      <c r="IOJ21" s="3"/>
      <c r="IOK21" s="3"/>
      <c r="IOL21" s="3"/>
      <c r="IOM21" s="3"/>
      <c r="ION21" s="3"/>
      <c r="IOO21" s="3"/>
      <c r="IOP21" s="3"/>
      <c r="IOQ21" s="3"/>
      <c r="IOR21" s="3"/>
      <c r="IOS21" s="3"/>
      <c r="IOT21" s="3"/>
      <c r="IOU21" s="3"/>
      <c r="IOV21" s="3"/>
      <c r="IOW21" s="3"/>
      <c r="IOX21" s="3"/>
      <c r="IOY21" s="3"/>
      <c r="IOZ21" s="3"/>
      <c r="IPA21" s="3"/>
      <c r="IPB21" s="3"/>
      <c r="IPC21" s="3"/>
      <c r="IPD21" s="3"/>
      <c r="IPE21" s="3"/>
      <c r="IPF21" s="3"/>
      <c r="IPG21" s="3"/>
      <c r="IPH21" s="3"/>
      <c r="IPI21" s="3"/>
      <c r="IPJ21" s="3"/>
      <c r="IPK21" s="3"/>
      <c r="IPL21" s="3"/>
      <c r="IPM21" s="3"/>
      <c r="IPN21" s="3"/>
      <c r="IPO21" s="3"/>
      <c r="IPP21" s="3"/>
      <c r="IPQ21" s="3"/>
      <c r="IPR21" s="3"/>
      <c r="IPS21" s="3"/>
      <c r="IPT21" s="3"/>
      <c r="IPU21" s="3"/>
      <c r="IPV21" s="3"/>
      <c r="IPW21" s="3"/>
      <c r="IPX21" s="3"/>
      <c r="IPY21" s="3"/>
      <c r="IPZ21" s="3"/>
      <c r="IQA21" s="3"/>
      <c r="IQB21" s="3"/>
      <c r="IQC21" s="3"/>
      <c r="IQD21" s="3"/>
      <c r="IQE21" s="3"/>
      <c r="IQF21" s="3"/>
      <c r="IQG21" s="3"/>
      <c r="IQH21" s="3"/>
      <c r="IQI21" s="3"/>
      <c r="IQJ21" s="3"/>
      <c r="IQK21" s="3"/>
      <c r="IQL21" s="3"/>
      <c r="IQM21" s="3"/>
      <c r="IQN21" s="3"/>
      <c r="IQO21" s="3"/>
      <c r="IQP21" s="3"/>
      <c r="IQQ21" s="3"/>
      <c r="IQR21" s="3"/>
      <c r="IQS21" s="3"/>
      <c r="IQT21" s="3"/>
      <c r="IQU21" s="3"/>
      <c r="IQV21" s="3"/>
      <c r="IQW21" s="3"/>
      <c r="IQX21" s="3"/>
      <c r="IQY21" s="3"/>
      <c r="IQZ21" s="3"/>
      <c r="IRA21" s="3"/>
      <c r="IRB21" s="3"/>
      <c r="IRC21" s="3"/>
      <c r="IRD21" s="3"/>
      <c r="IRE21" s="3"/>
      <c r="IRF21" s="3"/>
      <c r="IRG21" s="3"/>
      <c r="IRH21" s="3"/>
      <c r="IRI21" s="3"/>
      <c r="IRJ21" s="3"/>
      <c r="IRK21" s="3"/>
      <c r="IRL21" s="3"/>
      <c r="IRM21" s="3"/>
      <c r="IRN21" s="3"/>
      <c r="IRO21" s="3"/>
      <c r="IRP21" s="3"/>
      <c r="IRQ21" s="3"/>
      <c r="IRR21" s="3"/>
      <c r="IRS21" s="3"/>
      <c r="IRT21" s="3"/>
      <c r="IRU21" s="3"/>
      <c r="IRV21" s="3"/>
      <c r="IRW21" s="3"/>
      <c r="IRX21" s="3"/>
      <c r="IRY21" s="3"/>
      <c r="IRZ21" s="3"/>
      <c r="ISA21" s="3"/>
      <c r="ISB21" s="3"/>
      <c r="ISC21" s="3"/>
      <c r="ISD21" s="3"/>
      <c r="ISE21" s="3"/>
      <c r="ISF21" s="3"/>
      <c r="ISG21" s="3"/>
      <c r="ISH21" s="3"/>
      <c r="ISI21" s="3"/>
      <c r="ISJ21" s="3"/>
      <c r="ISK21" s="3"/>
      <c r="ISL21" s="3"/>
      <c r="ISM21" s="3"/>
      <c r="ISN21" s="3"/>
      <c r="ISO21" s="3"/>
      <c r="ISP21" s="3"/>
      <c r="ISQ21" s="3"/>
      <c r="ISR21" s="3"/>
      <c r="ISS21" s="3"/>
      <c r="IST21" s="3"/>
      <c r="ISU21" s="3"/>
      <c r="ISV21" s="3"/>
      <c r="ISW21" s="3"/>
      <c r="ISX21" s="3"/>
      <c r="ISY21" s="3"/>
      <c r="ISZ21" s="3"/>
      <c r="ITA21" s="3"/>
      <c r="ITB21" s="3"/>
      <c r="ITC21" s="3"/>
      <c r="ITD21" s="3"/>
      <c r="ITE21" s="3"/>
      <c r="ITF21" s="3"/>
      <c r="ITG21" s="3"/>
      <c r="ITH21" s="3"/>
      <c r="ITI21" s="3"/>
      <c r="ITJ21" s="3"/>
      <c r="ITK21" s="3"/>
      <c r="ITL21" s="3"/>
      <c r="ITM21" s="3"/>
      <c r="ITN21" s="3"/>
      <c r="ITO21" s="3"/>
      <c r="ITP21" s="3"/>
      <c r="ITQ21" s="3"/>
      <c r="ITR21" s="3"/>
      <c r="ITS21" s="3"/>
      <c r="ITT21" s="3"/>
      <c r="ITU21" s="3"/>
      <c r="ITV21" s="3"/>
      <c r="ITW21" s="3"/>
      <c r="ITX21" s="3"/>
      <c r="ITY21" s="3"/>
      <c r="ITZ21" s="3"/>
      <c r="IUA21" s="3"/>
      <c r="IUB21" s="3"/>
      <c r="IUC21" s="3"/>
      <c r="IUD21" s="3"/>
      <c r="IUE21" s="3"/>
      <c r="IUF21" s="3"/>
      <c r="IUG21" s="3"/>
      <c r="IUH21" s="3"/>
      <c r="IUI21" s="3"/>
      <c r="IUJ21" s="3"/>
      <c r="IUK21" s="3"/>
      <c r="IUL21" s="3"/>
      <c r="IUM21" s="3"/>
      <c r="IUN21" s="3"/>
      <c r="IUO21" s="3"/>
      <c r="IUP21" s="3"/>
      <c r="IUQ21" s="3"/>
      <c r="IUR21" s="3"/>
      <c r="IUS21" s="3"/>
      <c r="IUT21" s="3"/>
      <c r="IUU21" s="3"/>
      <c r="IUV21" s="3"/>
      <c r="IUW21" s="3"/>
      <c r="IUX21" s="3"/>
      <c r="IUY21" s="3"/>
      <c r="IUZ21" s="3"/>
      <c r="IVA21" s="3"/>
      <c r="IVB21" s="3"/>
      <c r="IVC21" s="3"/>
      <c r="IVD21" s="3"/>
      <c r="IVE21" s="3"/>
      <c r="IVF21" s="3"/>
      <c r="IVG21" s="3"/>
      <c r="IVH21" s="3"/>
      <c r="IVI21" s="3"/>
      <c r="IVJ21" s="3"/>
      <c r="IVK21" s="3"/>
      <c r="IVL21" s="3"/>
      <c r="IVM21" s="3"/>
      <c r="IVN21" s="3"/>
      <c r="IVO21" s="3"/>
      <c r="IVP21" s="3"/>
      <c r="IVQ21" s="3"/>
      <c r="IVR21" s="3"/>
      <c r="IVS21" s="3"/>
      <c r="IVT21" s="3"/>
      <c r="IVU21" s="3"/>
      <c r="IVV21" s="3"/>
      <c r="IVW21" s="3"/>
      <c r="IVX21" s="3"/>
      <c r="IVY21" s="3"/>
      <c r="IVZ21" s="3"/>
      <c r="IWA21" s="3"/>
      <c r="IWB21" s="3"/>
      <c r="IWC21" s="3"/>
      <c r="IWD21" s="3"/>
      <c r="IWE21" s="3"/>
      <c r="IWF21" s="3"/>
      <c r="IWG21" s="3"/>
      <c r="IWH21" s="3"/>
      <c r="IWI21" s="3"/>
      <c r="IWJ21" s="3"/>
      <c r="IWK21" s="3"/>
      <c r="IWL21" s="3"/>
      <c r="IWM21" s="3"/>
      <c r="IWN21" s="3"/>
      <c r="IWO21" s="3"/>
      <c r="IWP21" s="3"/>
      <c r="IWQ21" s="3"/>
      <c r="IWR21" s="3"/>
      <c r="IWS21" s="3"/>
      <c r="IWT21" s="3"/>
      <c r="IWU21" s="3"/>
      <c r="IWV21" s="3"/>
      <c r="IWW21" s="3"/>
      <c r="IWX21" s="3"/>
      <c r="IWY21" s="3"/>
      <c r="IWZ21" s="3"/>
      <c r="IXA21" s="3"/>
      <c r="IXB21" s="3"/>
      <c r="IXC21" s="3"/>
      <c r="IXD21" s="3"/>
      <c r="IXE21" s="3"/>
      <c r="IXF21" s="3"/>
      <c r="IXG21" s="3"/>
      <c r="IXH21" s="3"/>
      <c r="IXI21" s="3"/>
      <c r="IXJ21" s="3"/>
      <c r="IXK21" s="3"/>
      <c r="IXL21" s="3"/>
      <c r="IXM21" s="3"/>
      <c r="IXN21" s="3"/>
      <c r="IXO21" s="3"/>
      <c r="IXP21" s="3"/>
      <c r="IXQ21" s="3"/>
      <c r="IXR21" s="3"/>
      <c r="IXS21" s="3"/>
      <c r="IXT21" s="3"/>
      <c r="IXU21" s="3"/>
      <c r="IXV21" s="3"/>
      <c r="IXW21" s="3"/>
      <c r="IXX21" s="3"/>
      <c r="IXY21" s="3"/>
      <c r="IXZ21" s="3"/>
      <c r="IYA21" s="3"/>
      <c r="IYB21" s="3"/>
      <c r="IYC21" s="3"/>
      <c r="IYD21" s="3"/>
      <c r="IYE21" s="3"/>
      <c r="IYF21" s="3"/>
      <c r="IYG21" s="3"/>
      <c r="IYH21" s="3"/>
      <c r="IYI21" s="3"/>
      <c r="IYJ21" s="3"/>
      <c r="IYK21" s="3"/>
      <c r="IYL21" s="3"/>
      <c r="IYM21" s="3"/>
      <c r="IYN21" s="3"/>
      <c r="IYO21" s="3"/>
      <c r="IYP21" s="3"/>
      <c r="IYQ21" s="3"/>
      <c r="IYR21" s="3"/>
      <c r="IYS21" s="3"/>
      <c r="IYT21" s="3"/>
      <c r="IYU21" s="3"/>
      <c r="IYV21" s="3"/>
      <c r="IYW21" s="3"/>
      <c r="IYX21" s="3"/>
      <c r="IYY21" s="3"/>
      <c r="IYZ21" s="3"/>
      <c r="IZA21" s="3"/>
      <c r="IZB21" s="3"/>
      <c r="IZC21" s="3"/>
      <c r="IZD21" s="3"/>
      <c r="IZE21" s="3"/>
      <c r="IZF21" s="3"/>
      <c r="IZG21" s="3"/>
      <c r="IZH21" s="3"/>
      <c r="IZI21" s="3"/>
      <c r="IZJ21" s="3"/>
      <c r="IZK21" s="3"/>
      <c r="IZL21" s="3"/>
      <c r="IZM21" s="3"/>
      <c r="IZN21" s="3"/>
      <c r="IZO21" s="3"/>
      <c r="IZP21" s="3"/>
      <c r="IZQ21" s="3"/>
      <c r="IZR21" s="3"/>
      <c r="IZS21" s="3"/>
      <c r="IZT21" s="3"/>
      <c r="IZU21" s="3"/>
      <c r="IZV21" s="3"/>
      <c r="IZW21" s="3"/>
      <c r="IZX21" s="3"/>
      <c r="IZY21" s="3"/>
      <c r="IZZ21" s="3"/>
      <c r="JAA21" s="3"/>
      <c r="JAB21" s="3"/>
      <c r="JAC21" s="3"/>
      <c r="JAD21" s="3"/>
      <c r="JAE21" s="3"/>
      <c r="JAF21" s="3"/>
      <c r="JAG21" s="3"/>
      <c r="JAH21" s="3"/>
      <c r="JAI21" s="3"/>
      <c r="JAJ21" s="3"/>
      <c r="JAK21" s="3"/>
      <c r="JAL21" s="3"/>
      <c r="JAM21" s="3"/>
      <c r="JAN21" s="3"/>
      <c r="JAO21" s="3"/>
      <c r="JAP21" s="3"/>
      <c r="JAQ21" s="3"/>
      <c r="JAR21" s="3"/>
      <c r="JAS21" s="3"/>
      <c r="JAT21" s="3"/>
      <c r="JAU21" s="3"/>
      <c r="JAV21" s="3"/>
      <c r="JAW21" s="3"/>
      <c r="JAX21" s="3"/>
      <c r="JAY21" s="3"/>
      <c r="JAZ21" s="3"/>
      <c r="JBA21" s="3"/>
      <c r="JBB21" s="3"/>
      <c r="JBC21" s="3"/>
      <c r="JBD21" s="3"/>
      <c r="JBE21" s="3"/>
      <c r="JBF21" s="3"/>
      <c r="JBG21" s="3"/>
      <c r="JBH21" s="3"/>
      <c r="JBI21" s="3"/>
      <c r="JBJ21" s="3"/>
      <c r="JBK21" s="3"/>
      <c r="JBL21" s="3"/>
      <c r="JBM21" s="3"/>
      <c r="JBN21" s="3"/>
      <c r="JBO21" s="3"/>
      <c r="JBP21" s="3"/>
      <c r="JBQ21" s="3"/>
      <c r="JBR21" s="3"/>
      <c r="JBS21" s="3"/>
      <c r="JBT21" s="3"/>
      <c r="JBU21" s="3"/>
      <c r="JBV21" s="3"/>
      <c r="JBW21" s="3"/>
      <c r="JBX21" s="3"/>
      <c r="JBY21" s="3"/>
      <c r="JBZ21" s="3"/>
      <c r="JCA21" s="3"/>
      <c r="JCB21" s="3"/>
      <c r="JCC21" s="3"/>
      <c r="JCD21" s="3"/>
      <c r="JCE21" s="3"/>
      <c r="JCF21" s="3"/>
      <c r="JCG21" s="3"/>
      <c r="JCH21" s="3"/>
      <c r="JCI21" s="3"/>
      <c r="JCJ21" s="3"/>
      <c r="JCK21" s="3"/>
      <c r="JCL21" s="3"/>
      <c r="JCM21" s="3"/>
      <c r="JCN21" s="3"/>
      <c r="JCO21" s="3"/>
      <c r="JCP21" s="3"/>
      <c r="JCQ21" s="3"/>
      <c r="JCR21" s="3"/>
      <c r="JCS21" s="3"/>
      <c r="JCT21" s="3"/>
      <c r="JCU21" s="3"/>
      <c r="JCV21" s="3"/>
      <c r="JCW21" s="3"/>
      <c r="JCX21" s="3"/>
      <c r="JCY21" s="3"/>
      <c r="JCZ21" s="3"/>
      <c r="JDA21" s="3"/>
      <c r="JDB21" s="3"/>
      <c r="JDC21" s="3"/>
      <c r="JDD21" s="3"/>
      <c r="JDE21" s="3"/>
      <c r="JDF21" s="3"/>
      <c r="JDG21" s="3"/>
      <c r="JDH21" s="3"/>
      <c r="JDI21" s="3"/>
      <c r="JDJ21" s="3"/>
      <c r="JDK21" s="3"/>
      <c r="JDL21" s="3"/>
      <c r="JDM21" s="3"/>
      <c r="JDN21" s="3"/>
      <c r="JDO21" s="3"/>
      <c r="JDP21" s="3"/>
      <c r="JDQ21" s="3"/>
      <c r="JDR21" s="3"/>
      <c r="JDS21" s="3"/>
      <c r="JDT21" s="3"/>
      <c r="JDU21" s="3"/>
      <c r="JDV21" s="3"/>
      <c r="JDW21" s="3"/>
      <c r="JDX21" s="3"/>
      <c r="JDY21" s="3"/>
      <c r="JDZ21" s="3"/>
      <c r="JEA21" s="3"/>
      <c r="JEB21" s="3"/>
      <c r="JEC21" s="3"/>
      <c r="JED21" s="3"/>
      <c r="JEE21" s="3"/>
      <c r="JEF21" s="3"/>
      <c r="JEG21" s="3"/>
      <c r="JEH21" s="3"/>
      <c r="JEI21" s="3"/>
      <c r="JEJ21" s="3"/>
      <c r="JEK21" s="3"/>
      <c r="JEL21" s="3"/>
      <c r="JEM21" s="3"/>
      <c r="JEN21" s="3"/>
      <c r="JEO21" s="3"/>
      <c r="JEP21" s="3"/>
      <c r="JEQ21" s="3"/>
      <c r="JER21" s="3"/>
      <c r="JES21" s="3"/>
      <c r="JET21" s="3"/>
      <c r="JEU21" s="3"/>
      <c r="JEV21" s="3"/>
      <c r="JEW21" s="3"/>
      <c r="JEX21" s="3"/>
      <c r="JEY21" s="3"/>
      <c r="JEZ21" s="3"/>
      <c r="JFA21" s="3"/>
      <c r="JFB21" s="3"/>
      <c r="JFC21" s="3"/>
      <c r="JFD21" s="3"/>
      <c r="JFE21" s="3"/>
      <c r="JFF21" s="3"/>
      <c r="JFG21" s="3"/>
      <c r="JFH21" s="3"/>
      <c r="JFI21" s="3"/>
      <c r="JFJ21" s="3"/>
      <c r="JFK21" s="3"/>
      <c r="JFL21" s="3"/>
      <c r="JFM21" s="3"/>
      <c r="JFN21" s="3"/>
      <c r="JFO21" s="3"/>
      <c r="JFP21" s="3"/>
      <c r="JFQ21" s="3"/>
      <c r="JFR21" s="3"/>
      <c r="JFS21" s="3"/>
      <c r="JFT21" s="3"/>
      <c r="JFU21" s="3"/>
      <c r="JFV21" s="3"/>
      <c r="JFW21" s="3"/>
      <c r="JFX21" s="3"/>
      <c r="JFY21" s="3"/>
      <c r="JFZ21" s="3"/>
      <c r="JGA21" s="3"/>
      <c r="JGB21" s="3"/>
      <c r="JGC21" s="3"/>
      <c r="JGD21" s="3"/>
      <c r="JGE21" s="3"/>
      <c r="JGF21" s="3"/>
      <c r="JGG21" s="3"/>
      <c r="JGH21" s="3"/>
      <c r="JGI21" s="3"/>
      <c r="JGJ21" s="3"/>
      <c r="JGK21" s="3"/>
      <c r="JGL21" s="3"/>
      <c r="JGM21" s="3"/>
      <c r="JGN21" s="3"/>
      <c r="JGO21" s="3"/>
      <c r="JGP21" s="3"/>
      <c r="JGQ21" s="3"/>
      <c r="JGR21" s="3"/>
      <c r="JGS21" s="3"/>
      <c r="JGT21" s="3"/>
      <c r="JGU21" s="3"/>
      <c r="JGV21" s="3"/>
      <c r="JGW21" s="3"/>
      <c r="JGX21" s="3"/>
      <c r="JGY21" s="3"/>
      <c r="JGZ21" s="3"/>
      <c r="JHA21" s="3"/>
      <c r="JHB21" s="3"/>
      <c r="JHC21" s="3"/>
      <c r="JHD21" s="3"/>
      <c r="JHE21" s="3"/>
      <c r="JHF21" s="3"/>
      <c r="JHG21" s="3"/>
      <c r="JHH21" s="3"/>
      <c r="JHI21" s="3"/>
      <c r="JHJ21" s="3"/>
      <c r="JHK21" s="3"/>
      <c r="JHL21" s="3"/>
      <c r="JHM21" s="3"/>
      <c r="JHN21" s="3"/>
      <c r="JHO21" s="3"/>
      <c r="JHP21" s="3"/>
      <c r="JHQ21" s="3"/>
      <c r="JHR21" s="3"/>
      <c r="JHS21" s="3"/>
      <c r="JHT21" s="3"/>
      <c r="JHU21" s="3"/>
      <c r="JHV21" s="3"/>
      <c r="JHW21" s="3"/>
      <c r="JHX21" s="3"/>
      <c r="JHY21" s="3"/>
      <c r="JHZ21" s="3"/>
      <c r="JIA21" s="3"/>
      <c r="JIB21" s="3"/>
      <c r="JIC21" s="3"/>
      <c r="JID21" s="3"/>
      <c r="JIE21" s="3"/>
      <c r="JIF21" s="3"/>
      <c r="JIG21" s="3"/>
      <c r="JIH21" s="3"/>
      <c r="JII21" s="3"/>
      <c r="JIJ21" s="3"/>
      <c r="JIK21" s="3"/>
      <c r="JIL21" s="3"/>
      <c r="JIM21" s="3"/>
      <c r="JIN21" s="3"/>
      <c r="JIO21" s="3"/>
      <c r="JIP21" s="3"/>
      <c r="JIQ21" s="3"/>
      <c r="JIR21" s="3"/>
      <c r="JIS21" s="3"/>
      <c r="JIT21" s="3"/>
      <c r="JIU21" s="3"/>
      <c r="JIV21" s="3"/>
      <c r="JIW21" s="3"/>
      <c r="JIX21" s="3"/>
      <c r="JIY21" s="3"/>
      <c r="JIZ21" s="3"/>
      <c r="JJA21" s="3"/>
      <c r="JJB21" s="3"/>
      <c r="JJC21" s="3"/>
      <c r="JJD21" s="3"/>
      <c r="JJE21" s="3"/>
      <c r="JJF21" s="3"/>
      <c r="JJG21" s="3"/>
      <c r="JJH21" s="3"/>
      <c r="JJI21" s="3"/>
      <c r="JJJ21" s="3"/>
      <c r="JJK21" s="3"/>
      <c r="JJL21" s="3"/>
      <c r="JJM21" s="3"/>
      <c r="JJN21" s="3"/>
      <c r="JJO21" s="3"/>
      <c r="JJP21" s="3"/>
      <c r="JJQ21" s="3"/>
      <c r="JJR21" s="3"/>
      <c r="JJS21" s="3"/>
      <c r="JJT21" s="3"/>
      <c r="JJU21" s="3"/>
      <c r="JJV21" s="3"/>
      <c r="JJW21" s="3"/>
      <c r="JJX21" s="3"/>
      <c r="JJY21" s="3"/>
      <c r="JJZ21" s="3"/>
      <c r="JKA21" s="3"/>
      <c r="JKB21" s="3"/>
      <c r="JKC21" s="3"/>
      <c r="JKD21" s="3"/>
      <c r="JKE21" s="3"/>
      <c r="JKF21" s="3"/>
      <c r="JKG21" s="3"/>
      <c r="JKH21" s="3"/>
      <c r="JKI21" s="3"/>
      <c r="JKJ21" s="3"/>
      <c r="JKK21" s="3"/>
      <c r="JKL21" s="3"/>
      <c r="JKM21" s="3"/>
      <c r="JKN21" s="3"/>
      <c r="JKO21" s="3"/>
      <c r="JKP21" s="3"/>
      <c r="JKQ21" s="3"/>
      <c r="JKR21" s="3"/>
      <c r="JKS21" s="3"/>
      <c r="JKT21" s="3"/>
      <c r="JKU21" s="3"/>
      <c r="JKV21" s="3"/>
      <c r="JKW21" s="3"/>
      <c r="JKX21" s="3"/>
      <c r="JKY21" s="3"/>
      <c r="JKZ21" s="3"/>
      <c r="JLA21" s="3"/>
      <c r="JLB21" s="3"/>
      <c r="JLC21" s="3"/>
      <c r="JLD21" s="3"/>
      <c r="JLE21" s="3"/>
      <c r="JLF21" s="3"/>
      <c r="JLG21" s="3"/>
      <c r="JLH21" s="3"/>
      <c r="JLI21" s="3"/>
      <c r="JLJ21" s="3"/>
      <c r="JLK21" s="3"/>
      <c r="JLL21" s="3"/>
      <c r="JLM21" s="3"/>
      <c r="JLN21" s="3"/>
      <c r="JLO21" s="3"/>
      <c r="JLP21" s="3"/>
      <c r="JLQ21" s="3"/>
      <c r="JLR21" s="3"/>
      <c r="JLS21" s="3"/>
      <c r="JLT21" s="3"/>
      <c r="JLU21" s="3"/>
      <c r="JLV21" s="3"/>
      <c r="JLW21" s="3"/>
      <c r="JLX21" s="3"/>
      <c r="JLY21" s="3"/>
      <c r="JLZ21" s="3"/>
      <c r="JMA21" s="3"/>
      <c r="JMB21" s="3"/>
      <c r="JMC21" s="3"/>
      <c r="JMD21" s="3"/>
      <c r="JME21" s="3"/>
      <c r="JMF21" s="3"/>
      <c r="JMG21" s="3"/>
      <c r="JMH21" s="3"/>
      <c r="JMI21" s="3"/>
      <c r="JMJ21" s="3"/>
      <c r="JMK21" s="3"/>
      <c r="JML21" s="3"/>
      <c r="JMM21" s="3"/>
      <c r="JMN21" s="3"/>
      <c r="JMO21" s="3"/>
      <c r="JMP21" s="3"/>
      <c r="JMQ21" s="3"/>
      <c r="JMR21" s="3"/>
      <c r="JMS21" s="3"/>
      <c r="JMT21" s="3"/>
      <c r="JMU21" s="3"/>
      <c r="JMV21" s="3"/>
      <c r="JMW21" s="3"/>
      <c r="JMX21" s="3"/>
      <c r="JMY21" s="3"/>
      <c r="JMZ21" s="3"/>
      <c r="JNA21" s="3"/>
      <c r="JNB21" s="3"/>
      <c r="JNC21" s="3"/>
      <c r="JND21" s="3"/>
      <c r="JNE21" s="3"/>
      <c r="JNF21" s="3"/>
      <c r="JNG21" s="3"/>
      <c r="JNH21" s="3"/>
      <c r="JNI21" s="3"/>
      <c r="JNJ21" s="3"/>
      <c r="JNK21" s="3"/>
      <c r="JNL21" s="3"/>
      <c r="JNM21" s="3"/>
      <c r="JNN21" s="3"/>
      <c r="JNO21" s="3"/>
      <c r="JNP21" s="3"/>
      <c r="JNQ21" s="3"/>
      <c r="JNR21" s="3"/>
      <c r="JNS21" s="3"/>
      <c r="JNT21" s="3"/>
      <c r="JNU21" s="3"/>
      <c r="JNV21" s="3"/>
      <c r="JNW21" s="3"/>
      <c r="JNX21" s="3"/>
      <c r="JNY21" s="3"/>
      <c r="JNZ21" s="3"/>
      <c r="JOA21" s="3"/>
      <c r="JOB21" s="3"/>
      <c r="JOC21" s="3"/>
      <c r="JOD21" s="3"/>
      <c r="JOE21" s="3"/>
      <c r="JOF21" s="3"/>
      <c r="JOG21" s="3"/>
      <c r="JOH21" s="3"/>
      <c r="JOI21" s="3"/>
      <c r="JOJ21" s="3"/>
      <c r="JOK21" s="3"/>
      <c r="JOL21" s="3"/>
      <c r="JOM21" s="3"/>
      <c r="JON21" s="3"/>
      <c r="JOO21" s="3"/>
      <c r="JOP21" s="3"/>
      <c r="JOQ21" s="3"/>
      <c r="JOR21" s="3"/>
      <c r="JOS21" s="3"/>
      <c r="JOT21" s="3"/>
      <c r="JOU21" s="3"/>
      <c r="JOV21" s="3"/>
      <c r="JOW21" s="3"/>
      <c r="JOX21" s="3"/>
      <c r="JOY21" s="3"/>
      <c r="JOZ21" s="3"/>
      <c r="JPA21" s="3"/>
      <c r="JPB21" s="3"/>
      <c r="JPC21" s="3"/>
      <c r="JPD21" s="3"/>
      <c r="JPE21" s="3"/>
      <c r="JPF21" s="3"/>
      <c r="JPG21" s="3"/>
      <c r="JPH21" s="3"/>
      <c r="JPI21" s="3"/>
      <c r="JPJ21" s="3"/>
      <c r="JPK21" s="3"/>
      <c r="JPL21" s="3"/>
      <c r="JPM21" s="3"/>
      <c r="JPN21" s="3"/>
      <c r="JPO21" s="3"/>
      <c r="JPP21" s="3"/>
      <c r="JPQ21" s="3"/>
      <c r="JPR21" s="3"/>
      <c r="JPS21" s="3"/>
      <c r="JPT21" s="3"/>
      <c r="JPU21" s="3"/>
      <c r="JPV21" s="3"/>
      <c r="JPW21" s="3"/>
      <c r="JPX21" s="3"/>
      <c r="JPY21" s="3"/>
      <c r="JPZ21" s="3"/>
      <c r="JQA21" s="3"/>
      <c r="JQB21" s="3"/>
      <c r="JQC21" s="3"/>
      <c r="JQD21" s="3"/>
      <c r="JQE21" s="3"/>
      <c r="JQF21" s="3"/>
      <c r="JQG21" s="3"/>
      <c r="JQH21" s="3"/>
      <c r="JQI21" s="3"/>
      <c r="JQJ21" s="3"/>
      <c r="JQK21" s="3"/>
      <c r="JQL21" s="3"/>
      <c r="JQM21" s="3"/>
      <c r="JQN21" s="3"/>
      <c r="JQO21" s="3"/>
      <c r="JQP21" s="3"/>
      <c r="JQQ21" s="3"/>
      <c r="JQR21" s="3"/>
      <c r="JQS21" s="3"/>
      <c r="JQT21" s="3"/>
      <c r="JQU21" s="3"/>
      <c r="JQV21" s="3"/>
      <c r="JQW21" s="3"/>
      <c r="JQX21" s="3"/>
      <c r="JQY21" s="3"/>
      <c r="JQZ21" s="3"/>
      <c r="JRA21" s="3"/>
      <c r="JRB21" s="3"/>
      <c r="JRC21" s="3"/>
      <c r="JRD21" s="3"/>
      <c r="JRE21" s="3"/>
      <c r="JRF21" s="3"/>
      <c r="JRG21" s="3"/>
      <c r="JRH21" s="3"/>
      <c r="JRI21" s="3"/>
      <c r="JRJ21" s="3"/>
      <c r="JRK21" s="3"/>
      <c r="JRL21" s="3"/>
      <c r="JRM21" s="3"/>
      <c r="JRN21" s="3"/>
      <c r="JRO21" s="3"/>
      <c r="JRP21" s="3"/>
      <c r="JRQ21" s="3"/>
      <c r="JRR21" s="3"/>
      <c r="JRS21" s="3"/>
      <c r="JRT21" s="3"/>
      <c r="JRU21" s="3"/>
      <c r="JRV21" s="3"/>
      <c r="JRW21" s="3"/>
      <c r="JRX21" s="3"/>
      <c r="JRY21" s="3"/>
      <c r="JRZ21" s="3"/>
      <c r="JSA21" s="3"/>
      <c r="JSB21" s="3"/>
      <c r="JSC21" s="3"/>
      <c r="JSD21" s="3"/>
      <c r="JSE21" s="3"/>
      <c r="JSF21" s="3"/>
      <c r="JSG21" s="3"/>
      <c r="JSH21" s="3"/>
      <c r="JSI21" s="3"/>
      <c r="JSJ21" s="3"/>
      <c r="JSK21" s="3"/>
      <c r="JSL21" s="3"/>
      <c r="JSM21" s="3"/>
      <c r="JSN21" s="3"/>
      <c r="JSO21" s="3"/>
      <c r="JSP21" s="3"/>
      <c r="JSQ21" s="3"/>
      <c r="JSR21" s="3"/>
      <c r="JSS21" s="3"/>
      <c r="JST21" s="3"/>
      <c r="JSU21" s="3"/>
      <c r="JSV21" s="3"/>
      <c r="JSW21" s="3"/>
      <c r="JSX21" s="3"/>
      <c r="JSY21" s="3"/>
      <c r="JSZ21" s="3"/>
      <c r="JTA21" s="3"/>
      <c r="JTB21" s="3"/>
      <c r="JTC21" s="3"/>
      <c r="JTD21" s="3"/>
      <c r="JTE21" s="3"/>
      <c r="JTF21" s="3"/>
      <c r="JTG21" s="3"/>
      <c r="JTH21" s="3"/>
      <c r="JTI21" s="3"/>
      <c r="JTJ21" s="3"/>
      <c r="JTK21" s="3"/>
      <c r="JTL21" s="3"/>
      <c r="JTM21" s="3"/>
      <c r="JTN21" s="3"/>
      <c r="JTO21" s="3"/>
      <c r="JTP21" s="3"/>
      <c r="JTQ21" s="3"/>
      <c r="JTR21" s="3"/>
      <c r="JTS21" s="3"/>
      <c r="JTT21" s="3"/>
      <c r="JTU21" s="3"/>
      <c r="JTV21" s="3"/>
      <c r="JTW21" s="3"/>
      <c r="JTX21" s="3"/>
      <c r="JTY21" s="3"/>
      <c r="JTZ21" s="3"/>
      <c r="JUA21" s="3"/>
      <c r="JUB21" s="3"/>
      <c r="JUC21" s="3"/>
      <c r="JUD21" s="3"/>
      <c r="JUE21" s="3"/>
      <c r="JUF21" s="3"/>
      <c r="JUG21" s="3"/>
      <c r="JUH21" s="3"/>
      <c r="JUI21" s="3"/>
      <c r="JUJ21" s="3"/>
      <c r="JUK21" s="3"/>
      <c r="JUL21" s="3"/>
      <c r="JUM21" s="3"/>
      <c r="JUN21" s="3"/>
      <c r="JUO21" s="3"/>
      <c r="JUP21" s="3"/>
      <c r="JUQ21" s="3"/>
      <c r="JUR21" s="3"/>
      <c r="JUS21" s="3"/>
      <c r="JUT21" s="3"/>
      <c r="JUU21" s="3"/>
      <c r="JUV21" s="3"/>
      <c r="JUW21" s="3"/>
      <c r="JUX21" s="3"/>
      <c r="JUY21" s="3"/>
      <c r="JUZ21" s="3"/>
      <c r="JVA21" s="3"/>
      <c r="JVB21" s="3"/>
      <c r="JVC21" s="3"/>
      <c r="JVD21" s="3"/>
      <c r="JVE21" s="3"/>
      <c r="JVF21" s="3"/>
      <c r="JVG21" s="3"/>
      <c r="JVH21" s="3"/>
      <c r="JVI21" s="3"/>
      <c r="JVJ21" s="3"/>
      <c r="JVK21" s="3"/>
      <c r="JVL21" s="3"/>
      <c r="JVM21" s="3"/>
      <c r="JVN21" s="3"/>
      <c r="JVO21" s="3"/>
      <c r="JVP21" s="3"/>
      <c r="JVQ21" s="3"/>
      <c r="JVR21" s="3"/>
      <c r="JVS21" s="3"/>
      <c r="JVT21" s="3"/>
      <c r="JVU21" s="3"/>
      <c r="JVV21" s="3"/>
      <c r="JVW21" s="3"/>
      <c r="JVX21" s="3"/>
      <c r="JVY21" s="3"/>
      <c r="JVZ21" s="3"/>
      <c r="JWA21" s="3"/>
      <c r="JWB21" s="3"/>
      <c r="JWC21" s="3"/>
      <c r="JWD21" s="3"/>
      <c r="JWE21" s="3"/>
      <c r="JWF21" s="3"/>
      <c r="JWG21" s="3"/>
      <c r="JWH21" s="3"/>
      <c r="JWI21" s="3"/>
      <c r="JWJ21" s="3"/>
      <c r="JWK21" s="3"/>
      <c r="JWL21" s="3"/>
      <c r="JWM21" s="3"/>
      <c r="JWN21" s="3"/>
      <c r="JWO21" s="3"/>
      <c r="JWP21" s="3"/>
      <c r="JWQ21" s="3"/>
      <c r="JWR21" s="3"/>
      <c r="JWS21" s="3"/>
      <c r="JWT21" s="3"/>
      <c r="JWU21" s="3"/>
      <c r="JWV21" s="3"/>
      <c r="JWW21" s="3"/>
      <c r="JWX21" s="3"/>
      <c r="JWY21" s="3"/>
      <c r="JWZ21" s="3"/>
      <c r="JXA21" s="3"/>
      <c r="JXB21" s="3"/>
      <c r="JXC21" s="3"/>
      <c r="JXD21" s="3"/>
      <c r="JXE21" s="3"/>
      <c r="JXF21" s="3"/>
      <c r="JXG21" s="3"/>
      <c r="JXH21" s="3"/>
      <c r="JXI21" s="3"/>
      <c r="JXJ21" s="3"/>
      <c r="JXK21" s="3"/>
      <c r="JXL21" s="3"/>
      <c r="JXM21" s="3"/>
      <c r="JXN21" s="3"/>
      <c r="JXO21" s="3"/>
      <c r="JXP21" s="3"/>
      <c r="JXQ21" s="3"/>
      <c r="JXR21" s="3"/>
      <c r="JXS21" s="3"/>
      <c r="JXT21" s="3"/>
      <c r="JXU21" s="3"/>
      <c r="JXV21" s="3"/>
      <c r="JXW21" s="3"/>
      <c r="JXX21" s="3"/>
      <c r="JXY21" s="3"/>
      <c r="JXZ21" s="3"/>
      <c r="JYA21" s="3"/>
      <c r="JYB21" s="3"/>
      <c r="JYC21" s="3"/>
      <c r="JYD21" s="3"/>
      <c r="JYE21" s="3"/>
      <c r="JYF21" s="3"/>
      <c r="JYG21" s="3"/>
      <c r="JYH21" s="3"/>
      <c r="JYI21" s="3"/>
      <c r="JYJ21" s="3"/>
      <c r="JYK21" s="3"/>
      <c r="JYL21" s="3"/>
      <c r="JYM21" s="3"/>
      <c r="JYN21" s="3"/>
      <c r="JYO21" s="3"/>
      <c r="JYP21" s="3"/>
      <c r="JYQ21" s="3"/>
      <c r="JYR21" s="3"/>
      <c r="JYS21" s="3"/>
      <c r="JYT21" s="3"/>
      <c r="JYU21" s="3"/>
      <c r="JYV21" s="3"/>
      <c r="JYW21" s="3"/>
      <c r="JYX21" s="3"/>
      <c r="JYY21" s="3"/>
      <c r="JYZ21" s="3"/>
      <c r="JZA21" s="3"/>
      <c r="JZB21" s="3"/>
      <c r="JZC21" s="3"/>
      <c r="JZD21" s="3"/>
      <c r="JZE21" s="3"/>
      <c r="JZF21" s="3"/>
      <c r="JZG21" s="3"/>
      <c r="JZH21" s="3"/>
      <c r="JZI21" s="3"/>
      <c r="JZJ21" s="3"/>
      <c r="JZK21" s="3"/>
      <c r="JZL21" s="3"/>
      <c r="JZM21" s="3"/>
      <c r="JZN21" s="3"/>
      <c r="JZO21" s="3"/>
      <c r="JZP21" s="3"/>
      <c r="JZQ21" s="3"/>
      <c r="JZR21" s="3"/>
      <c r="JZS21" s="3"/>
      <c r="JZT21" s="3"/>
      <c r="JZU21" s="3"/>
      <c r="JZV21" s="3"/>
      <c r="JZW21" s="3"/>
      <c r="JZX21" s="3"/>
      <c r="JZY21" s="3"/>
      <c r="JZZ21" s="3"/>
      <c r="KAA21" s="3"/>
      <c r="KAB21" s="3"/>
      <c r="KAC21" s="3"/>
      <c r="KAD21" s="3"/>
      <c r="KAE21" s="3"/>
      <c r="KAF21" s="3"/>
      <c r="KAG21" s="3"/>
      <c r="KAH21" s="3"/>
      <c r="KAI21" s="3"/>
      <c r="KAJ21" s="3"/>
      <c r="KAK21" s="3"/>
      <c r="KAL21" s="3"/>
      <c r="KAM21" s="3"/>
      <c r="KAN21" s="3"/>
      <c r="KAO21" s="3"/>
      <c r="KAP21" s="3"/>
      <c r="KAQ21" s="3"/>
      <c r="KAR21" s="3"/>
      <c r="KAS21" s="3"/>
      <c r="KAT21" s="3"/>
      <c r="KAU21" s="3"/>
      <c r="KAV21" s="3"/>
      <c r="KAW21" s="3"/>
      <c r="KAX21" s="3"/>
      <c r="KAY21" s="3"/>
      <c r="KAZ21" s="3"/>
      <c r="KBA21" s="3"/>
      <c r="KBB21" s="3"/>
      <c r="KBC21" s="3"/>
      <c r="KBD21" s="3"/>
      <c r="KBE21" s="3"/>
      <c r="KBF21" s="3"/>
      <c r="KBG21" s="3"/>
      <c r="KBH21" s="3"/>
      <c r="KBI21" s="3"/>
      <c r="KBJ21" s="3"/>
      <c r="KBK21" s="3"/>
      <c r="KBL21" s="3"/>
      <c r="KBM21" s="3"/>
      <c r="KBN21" s="3"/>
      <c r="KBO21" s="3"/>
      <c r="KBP21" s="3"/>
      <c r="KBQ21" s="3"/>
      <c r="KBR21" s="3"/>
      <c r="KBS21" s="3"/>
      <c r="KBT21" s="3"/>
      <c r="KBU21" s="3"/>
      <c r="KBV21" s="3"/>
      <c r="KBW21" s="3"/>
      <c r="KBX21" s="3"/>
      <c r="KBY21" s="3"/>
      <c r="KBZ21" s="3"/>
      <c r="KCA21" s="3"/>
      <c r="KCB21" s="3"/>
      <c r="KCC21" s="3"/>
      <c r="KCD21" s="3"/>
      <c r="KCE21" s="3"/>
      <c r="KCF21" s="3"/>
      <c r="KCG21" s="3"/>
      <c r="KCH21" s="3"/>
      <c r="KCI21" s="3"/>
      <c r="KCJ21" s="3"/>
      <c r="KCK21" s="3"/>
      <c r="KCL21" s="3"/>
      <c r="KCM21" s="3"/>
      <c r="KCN21" s="3"/>
      <c r="KCO21" s="3"/>
      <c r="KCP21" s="3"/>
      <c r="KCQ21" s="3"/>
      <c r="KCR21" s="3"/>
      <c r="KCS21" s="3"/>
      <c r="KCT21" s="3"/>
      <c r="KCU21" s="3"/>
      <c r="KCV21" s="3"/>
      <c r="KCW21" s="3"/>
      <c r="KCX21" s="3"/>
      <c r="KCY21" s="3"/>
      <c r="KCZ21" s="3"/>
      <c r="KDA21" s="3"/>
      <c r="KDB21" s="3"/>
      <c r="KDC21" s="3"/>
      <c r="KDD21" s="3"/>
      <c r="KDE21" s="3"/>
      <c r="KDF21" s="3"/>
      <c r="KDG21" s="3"/>
      <c r="KDH21" s="3"/>
      <c r="KDI21" s="3"/>
      <c r="KDJ21" s="3"/>
      <c r="KDK21" s="3"/>
      <c r="KDL21" s="3"/>
      <c r="KDM21" s="3"/>
      <c r="KDN21" s="3"/>
      <c r="KDO21" s="3"/>
      <c r="KDP21" s="3"/>
      <c r="KDQ21" s="3"/>
      <c r="KDR21" s="3"/>
      <c r="KDS21" s="3"/>
      <c r="KDT21" s="3"/>
      <c r="KDU21" s="3"/>
      <c r="KDV21" s="3"/>
      <c r="KDW21" s="3"/>
      <c r="KDX21" s="3"/>
      <c r="KDY21" s="3"/>
      <c r="KDZ21" s="3"/>
      <c r="KEA21" s="3"/>
      <c r="KEB21" s="3"/>
      <c r="KEC21" s="3"/>
      <c r="KED21" s="3"/>
      <c r="KEE21" s="3"/>
      <c r="KEF21" s="3"/>
      <c r="KEG21" s="3"/>
      <c r="KEH21" s="3"/>
      <c r="KEI21" s="3"/>
      <c r="KEJ21" s="3"/>
      <c r="KEK21" s="3"/>
      <c r="KEL21" s="3"/>
      <c r="KEM21" s="3"/>
      <c r="KEN21" s="3"/>
      <c r="KEO21" s="3"/>
      <c r="KEP21" s="3"/>
      <c r="KEQ21" s="3"/>
      <c r="KER21" s="3"/>
      <c r="KES21" s="3"/>
      <c r="KET21" s="3"/>
      <c r="KEU21" s="3"/>
      <c r="KEV21" s="3"/>
      <c r="KEW21" s="3"/>
      <c r="KEX21" s="3"/>
      <c r="KEY21" s="3"/>
      <c r="KEZ21" s="3"/>
      <c r="KFA21" s="3"/>
      <c r="KFB21" s="3"/>
      <c r="KFC21" s="3"/>
      <c r="KFD21" s="3"/>
      <c r="KFE21" s="3"/>
      <c r="KFF21" s="3"/>
      <c r="KFG21" s="3"/>
      <c r="KFH21" s="3"/>
      <c r="KFI21" s="3"/>
      <c r="KFJ21" s="3"/>
      <c r="KFK21" s="3"/>
      <c r="KFL21" s="3"/>
      <c r="KFM21" s="3"/>
      <c r="KFN21" s="3"/>
      <c r="KFO21" s="3"/>
      <c r="KFP21" s="3"/>
      <c r="KFQ21" s="3"/>
      <c r="KFR21" s="3"/>
      <c r="KFS21" s="3"/>
      <c r="KFT21" s="3"/>
      <c r="KFU21" s="3"/>
      <c r="KFV21" s="3"/>
      <c r="KFW21" s="3"/>
      <c r="KFX21" s="3"/>
      <c r="KFY21" s="3"/>
      <c r="KFZ21" s="3"/>
      <c r="KGA21" s="3"/>
      <c r="KGB21" s="3"/>
      <c r="KGC21" s="3"/>
      <c r="KGD21" s="3"/>
      <c r="KGE21" s="3"/>
      <c r="KGF21" s="3"/>
      <c r="KGG21" s="3"/>
      <c r="KGH21" s="3"/>
      <c r="KGI21" s="3"/>
      <c r="KGJ21" s="3"/>
      <c r="KGK21" s="3"/>
      <c r="KGL21" s="3"/>
      <c r="KGM21" s="3"/>
      <c r="KGN21" s="3"/>
      <c r="KGO21" s="3"/>
      <c r="KGP21" s="3"/>
      <c r="KGQ21" s="3"/>
      <c r="KGR21" s="3"/>
      <c r="KGS21" s="3"/>
      <c r="KGT21" s="3"/>
      <c r="KGU21" s="3"/>
      <c r="KGV21" s="3"/>
      <c r="KGW21" s="3"/>
      <c r="KGX21" s="3"/>
      <c r="KGY21" s="3"/>
      <c r="KGZ21" s="3"/>
      <c r="KHA21" s="3"/>
      <c r="KHB21" s="3"/>
      <c r="KHC21" s="3"/>
      <c r="KHD21" s="3"/>
      <c r="KHE21" s="3"/>
      <c r="KHF21" s="3"/>
      <c r="KHG21" s="3"/>
      <c r="KHH21" s="3"/>
      <c r="KHI21" s="3"/>
      <c r="KHJ21" s="3"/>
      <c r="KHK21" s="3"/>
      <c r="KHL21" s="3"/>
      <c r="KHM21" s="3"/>
      <c r="KHN21" s="3"/>
      <c r="KHO21" s="3"/>
      <c r="KHP21" s="3"/>
      <c r="KHQ21" s="3"/>
      <c r="KHR21" s="3"/>
      <c r="KHS21" s="3"/>
      <c r="KHT21" s="3"/>
      <c r="KHU21" s="3"/>
      <c r="KHV21" s="3"/>
      <c r="KHW21" s="3"/>
      <c r="KHX21" s="3"/>
      <c r="KHY21" s="3"/>
      <c r="KHZ21" s="3"/>
      <c r="KIA21" s="3"/>
      <c r="KIB21" s="3"/>
      <c r="KIC21" s="3"/>
      <c r="KID21" s="3"/>
      <c r="KIE21" s="3"/>
      <c r="KIF21" s="3"/>
      <c r="KIG21" s="3"/>
      <c r="KIH21" s="3"/>
      <c r="KII21" s="3"/>
      <c r="KIJ21" s="3"/>
      <c r="KIK21" s="3"/>
      <c r="KIL21" s="3"/>
      <c r="KIM21" s="3"/>
      <c r="KIN21" s="3"/>
      <c r="KIO21" s="3"/>
      <c r="KIP21" s="3"/>
      <c r="KIQ21" s="3"/>
      <c r="KIR21" s="3"/>
      <c r="KIS21" s="3"/>
      <c r="KIT21" s="3"/>
      <c r="KIU21" s="3"/>
      <c r="KIV21" s="3"/>
      <c r="KIW21" s="3"/>
      <c r="KIX21" s="3"/>
      <c r="KIY21" s="3"/>
      <c r="KIZ21" s="3"/>
      <c r="KJA21" s="3"/>
      <c r="KJB21" s="3"/>
      <c r="KJC21" s="3"/>
      <c r="KJD21" s="3"/>
      <c r="KJE21" s="3"/>
      <c r="KJF21" s="3"/>
      <c r="KJG21" s="3"/>
      <c r="KJH21" s="3"/>
      <c r="KJI21" s="3"/>
      <c r="KJJ21" s="3"/>
      <c r="KJK21" s="3"/>
      <c r="KJL21" s="3"/>
      <c r="KJM21" s="3"/>
      <c r="KJN21" s="3"/>
      <c r="KJO21" s="3"/>
      <c r="KJP21" s="3"/>
      <c r="KJQ21" s="3"/>
      <c r="KJR21" s="3"/>
      <c r="KJS21" s="3"/>
      <c r="KJT21" s="3"/>
      <c r="KJU21" s="3"/>
      <c r="KJV21" s="3"/>
      <c r="KJW21" s="3"/>
      <c r="KJX21" s="3"/>
      <c r="KJY21" s="3"/>
      <c r="KJZ21" s="3"/>
      <c r="KKA21" s="3"/>
      <c r="KKB21" s="3"/>
      <c r="KKC21" s="3"/>
      <c r="KKD21" s="3"/>
      <c r="KKE21" s="3"/>
      <c r="KKF21" s="3"/>
      <c r="KKG21" s="3"/>
      <c r="KKH21" s="3"/>
      <c r="KKI21" s="3"/>
      <c r="KKJ21" s="3"/>
      <c r="KKK21" s="3"/>
      <c r="KKL21" s="3"/>
      <c r="KKM21" s="3"/>
      <c r="KKN21" s="3"/>
      <c r="KKO21" s="3"/>
      <c r="KKP21" s="3"/>
      <c r="KKQ21" s="3"/>
      <c r="KKR21" s="3"/>
      <c r="KKS21" s="3"/>
      <c r="KKT21" s="3"/>
      <c r="KKU21" s="3"/>
      <c r="KKV21" s="3"/>
      <c r="KKW21" s="3"/>
      <c r="KKX21" s="3"/>
      <c r="KKY21" s="3"/>
      <c r="KKZ21" s="3"/>
      <c r="KLA21" s="3"/>
      <c r="KLB21" s="3"/>
      <c r="KLC21" s="3"/>
      <c r="KLD21" s="3"/>
      <c r="KLE21" s="3"/>
      <c r="KLF21" s="3"/>
      <c r="KLG21" s="3"/>
      <c r="KLH21" s="3"/>
      <c r="KLI21" s="3"/>
      <c r="KLJ21" s="3"/>
      <c r="KLK21" s="3"/>
      <c r="KLL21" s="3"/>
      <c r="KLM21" s="3"/>
      <c r="KLN21" s="3"/>
      <c r="KLO21" s="3"/>
      <c r="KLP21" s="3"/>
      <c r="KLQ21" s="3"/>
      <c r="KLR21" s="3"/>
      <c r="KLS21" s="3"/>
      <c r="KLT21" s="3"/>
      <c r="KLU21" s="3"/>
      <c r="KLV21" s="3"/>
      <c r="KLW21" s="3"/>
      <c r="KLX21" s="3"/>
      <c r="KLY21" s="3"/>
      <c r="KLZ21" s="3"/>
      <c r="KMA21" s="3"/>
      <c r="KMB21" s="3"/>
      <c r="KMC21" s="3"/>
      <c r="KMD21" s="3"/>
      <c r="KME21" s="3"/>
      <c r="KMF21" s="3"/>
      <c r="KMG21" s="3"/>
      <c r="KMH21" s="3"/>
      <c r="KMI21" s="3"/>
      <c r="KMJ21" s="3"/>
      <c r="KMK21" s="3"/>
      <c r="KML21" s="3"/>
      <c r="KMM21" s="3"/>
      <c r="KMN21" s="3"/>
      <c r="KMO21" s="3"/>
      <c r="KMP21" s="3"/>
      <c r="KMQ21" s="3"/>
      <c r="KMR21" s="3"/>
      <c r="KMS21" s="3"/>
      <c r="KMT21" s="3"/>
      <c r="KMU21" s="3"/>
      <c r="KMV21" s="3"/>
      <c r="KMW21" s="3"/>
      <c r="KMX21" s="3"/>
      <c r="KMY21" s="3"/>
      <c r="KMZ21" s="3"/>
      <c r="KNA21" s="3"/>
      <c r="KNB21" s="3"/>
      <c r="KNC21" s="3"/>
      <c r="KND21" s="3"/>
      <c r="KNE21" s="3"/>
      <c r="KNF21" s="3"/>
      <c r="KNG21" s="3"/>
      <c r="KNH21" s="3"/>
      <c r="KNI21" s="3"/>
      <c r="KNJ21" s="3"/>
      <c r="KNK21" s="3"/>
      <c r="KNL21" s="3"/>
      <c r="KNM21" s="3"/>
      <c r="KNN21" s="3"/>
      <c r="KNO21" s="3"/>
      <c r="KNP21" s="3"/>
      <c r="KNQ21" s="3"/>
      <c r="KNR21" s="3"/>
      <c r="KNS21" s="3"/>
      <c r="KNT21" s="3"/>
      <c r="KNU21" s="3"/>
      <c r="KNV21" s="3"/>
      <c r="KNW21" s="3"/>
      <c r="KNX21" s="3"/>
      <c r="KNY21" s="3"/>
      <c r="KNZ21" s="3"/>
      <c r="KOA21" s="3"/>
      <c r="KOB21" s="3"/>
      <c r="KOC21" s="3"/>
      <c r="KOD21" s="3"/>
      <c r="KOE21" s="3"/>
      <c r="KOF21" s="3"/>
      <c r="KOG21" s="3"/>
      <c r="KOH21" s="3"/>
      <c r="KOI21" s="3"/>
      <c r="KOJ21" s="3"/>
      <c r="KOK21" s="3"/>
      <c r="KOL21" s="3"/>
      <c r="KOM21" s="3"/>
      <c r="KON21" s="3"/>
      <c r="KOO21" s="3"/>
      <c r="KOP21" s="3"/>
      <c r="KOQ21" s="3"/>
      <c r="KOR21" s="3"/>
      <c r="KOS21" s="3"/>
      <c r="KOT21" s="3"/>
      <c r="KOU21" s="3"/>
      <c r="KOV21" s="3"/>
      <c r="KOW21" s="3"/>
      <c r="KOX21" s="3"/>
      <c r="KOY21" s="3"/>
      <c r="KOZ21" s="3"/>
      <c r="KPA21" s="3"/>
      <c r="KPB21" s="3"/>
      <c r="KPC21" s="3"/>
      <c r="KPD21" s="3"/>
      <c r="KPE21" s="3"/>
      <c r="KPF21" s="3"/>
      <c r="KPG21" s="3"/>
      <c r="KPH21" s="3"/>
      <c r="KPI21" s="3"/>
      <c r="KPJ21" s="3"/>
      <c r="KPK21" s="3"/>
      <c r="KPL21" s="3"/>
      <c r="KPM21" s="3"/>
      <c r="KPN21" s="3"/>
      <c r="KPO21" s="3"/>
      <c r="KPP21" s="3"/>
      <c r="KPQ21" s="3"/>
      <c r="KPR21" s="3"/>
      <c r="KPS21" s="3"/>
      <c r="KPT21" s="3"/>
      <c r="KPU21" s="3"/>
      <c r="KPV21" s="3"/>
      <c r="KPW21" s="3"/>
      <c r="KPX21" s="3"/>
      <c r="KPY21" s="3"/>
      <c r="KPZ21" s="3"/>
      <c r="KQA21" s="3"/>
      <c r="KQB21" s="3"/>
      <c r="KQC21" s="3"/>
      <c r="KQD21" s="3"/>
      <c r="KQE21" s="3"/>
      <c r="KQF21" s="3"/>
      <c r="KQG21" s="3"/>
      <c r="KQH21" s="3"/>
      <c r="KQI21" s="3"/>
      <c r="KQJ21" s="3"/>
      <c r="KQK21" s="3"/>
      <c r="KQL21" s="3"/>
      <c r="KQM21" s="3"/>
      <c r="KQN21" s="3"/>
      <c r="KQO21" s="3"/>
      <c r="KQP21" s="3"/>
      <c r="KQQ21" s="3"/>
      <c r="KQR21" s="3"/>
      <c r="KQS21" s="3"/>
      <c r="KQT21" s="3"/>
      <c r="KQU21" s="3"/>
      <c r="KQV21" s="3"/>
      <c r="KQW21" s="3"/>
      <c r="KQX21" s="3"/>
      <c r="KQY21" s="3"/>
      <c r="KQZ21" s="3"/>
      <c r="KRA21" s="3"/>
      <c r="KRB21" s="3"/>
      <c r="KRC21" s="3"/>
      <c r="KRD21" s="3"/>
      <c r="KRE21" s="3"/>
      <c r="KRF21" s="3"/>
      <c r="KRG21" s="3"/>
      <c r="KRH21" s="3"/>
      <c r="KRI21" s="3"/>
      <c r="KRJ21" s="3"/>
      <c r="KRK21" s="3"/>
      <c r="KRL21" s="3"/>
      <c r="KRM21" s="3"/>
      <c r="KRN21" s="3"/>
    </row>
    <row r="22" spans="1:7918" s="205" customFormat="1">
      <c r="A22" s="26" t="e">
        <f t="shared" si="0"/>
        <v>#REF!</v>
      </c>
      <c r="B22" s="388" t="s">
        <v>555</v>
      </c>
      <c r="C22" s="223">
        <v>1420072561</v>
      </c>
      <c r="D22" s="386" t="s">
        <v>555</v>
      </c>
      <c r="E22" s="149" t="str">
        <f>VLOOKUP($B22,'Nomina Unhesa'!$B$4:$AB$209,2,0)</f>
        <v>Empacadora de Sobres</v>
      </c>
      <c r="F22" s="221">
        <f>VLOOKUP($B22,'Nomina Unhesa'!$B$4:$AB$209,4,0)</f>
        <v>30</v>
      </c>
      <c r="G22" s="229">
        <f>VLOOKUP($B22,'Nomina Unhesa'!$B$4:$AB$209,6,0)</f>
        <v>3166.38</v>
      </c>
      <c r="H22" s="229">
        <f>VLOOKUP($B22,'Nomina Unhesa'!$B$4:$AB$209,7,0)</f>
        <v>250</v>
      </c>
      <c r="I22" s="229">
        <f>VLOOKUP($B22,'Nomina Unhesa'!$B$4:$AB$209,9,0)</f>
        <v>2</v>
      </c>
      <c r="J22" s="234">
        <f>VLOOKUP($B22,'Nomina Unhesa'!$B$4:$AB$209,10,0)</f>
        <v>39.58</v>
      </c>
      <c r="K22" s="229">
        <f>VLOOKUP($B22,'Nomina Unhesa'!$B$4:$AB$209,11,0)</f>
        <v>0</v>
      </c>
      <c r="L22" s="229">
        <f>VLOOKUP($B22,'Nomina Unhesa'!$B$4:$AB$209,12,0)</f>
        <v>0</v>
      </c>
      <c r="M22" s="229">
        <f>VLOOKUP($B22,'Nomina Unhesa'!$B$4:$AB$209,14,0)</f>
        <v>0</v>
      </c>
      <c r="N22" s="234">
        <f>VLOOKUP($B22,'Nomina Unhesa'!$B$4:$AB$209,15,0)</f>
        <v>3455.96</v>
      </c>
      <c r="O22" s="234">
        <f>VLOOKUP($B22,'Nomina Unhesa'!$B$4:$AB$209,16,0)</f>
        <v>154.85</v>
      </c>
      <c r="P22" s="234">
        <f>VLOOKUP($B22,'Nomina Unhesa'!$B$4:$AB$209,17,0)</f>
        <v>0</v>
      </c>
      <c r="Q22" s="234">
        <f>VLOOKUP($B22,'Nomina Unhesa'!$B$4:$AB$209,18,0)</f>
        <v>0</v>
      </c>
      <c r="R22" s="234">
        <f>VLOOKUP($B22,'Nomina Unhesa'!$B$4:$AB$209,19,0)</f>
        <v>0</v>
      </c>
      <c r="S22" s="234">
        <f>VLOOKUP($B22,'Nomina Unhesa'!$B$4:$AB$209,20,0)</f>
        <v>0</v>
      </c>
      <c r="T22" s="234">
        <f>VLOOKUP($B22,'Nomina Unhesa'!$B$4:$AB$209,21,0)</f>
        <v>0</v>
      </c>
      <c r="U22" s="234">
        <f>VLOOKUP($B22,'Nomina Unhesa'!$B$4:$AB$209,22,0)</f>
        <v>419.75</v>
      </c>
      <c r="V22" s="234">
        <f>ROUND((VLOOKUP($B22,'Nomina Unhesa'!$B$4:$AB$209,23,0)),2)</f>
        <v>50</v>
      </c>
      <c r="W22" s="234">
        <f>VLOOKUP($B22,'Nomina Unhesa'!$B$4:$AB$209,24,0)</f>
        <v>624.6</v>
      </c>
      <c r="X22" s="234">
        <f>VLOOKUP(B22,'Nomina Unhesa'!$B$9:$Z$163,25,FALSE)</f>
        <v>2831.36</v>
      </c>
      <c r="Y22" s="369">
        <f>ROUND((VLOOKUP(B22,'Nomina Unhesa'!$B$9:$AB$157,26,FALSE)),2)</f>
        <v>1428.72</v>
      </c>
      <c r="Z22" s="370">
        <f>VLOOKUP(B22,'Nomina Unhesa'!$B$9:$AB$158,27,FALSE)</f>
        <v>1402.64</v>
      </c>
      <c r="AA22" s="441"/>
      <c r="AB22" s="389">
        <f>+IFERROR(VLOOKUP(B22,'Nomina Unhesa'!B31:D175,3,0),"")</f>
        <v>3205.96</v>
      </c>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3"/>
      <c r="PB22" s="3"/>
      <c r="PC22" s="3"/>
      <c r="PD22" s="3"/>
      <c r="PE22" s="3"/>
      <c r="PF22" s="3"/>
      <c r="PG22" s="3"/>
      <c r="PH22" s="3"/>
      <c r="PI22" s="3"/>
      <c r="PJ22" s="3"/>
      <c r="PK22" s="3"/>
      <c r="PL22" s="3"/>
      <c r="PM22" s="3"/>
      <c r="PN22" s="3"/>
      <c r="PO22" s="3"/>
      <c r="PP22" s="3"/>
      <c r="PQ22" s="3"/>
      <c r="PR22" s="3"/>
      <c r="PS22" s="3"/>
      <c r="PT22" s="3"/>
      <c r="PU22" s="3"/>
      <c r="PV22" s="3"/>
      <c r="PW22" s="3"/>
      <c r="PX22" s="3"/>
      <c r="PY22" s="3"/>
      <c r="PZ22" s="3"/>
      <c r="QA22" s="3"/>
      <c r="QB22" s="3"/>
      <c r="QC22" s="3"/>
      <c r="QD22" s="3"/>
      <c r="QE22" s="3"/>
      <c r="QF22" s="3"/>
      <c r="QG22" s="3"/>
      <c r="QH22" s="3"/>
      <c r="QI22" s="3"/>
      <c r="QJ22" s="3"/>
      <c r="QK22" s="3"/>
      <c r="QL22" s="3"/>
      <c r="QM22" s="3"/>
      <c r="QN22" s="3"/>
      <c r="QO22" s="3"/>
      <c r="QP22" s="3"/>
      <c r="QQ22" s="3"/>
      <c r="QR22" s="3"/>
      <c r="QS22" s="3"/>
      <c r="QT22" s="3"/>
      <c r="QU22" s="3"/>
      <c r="QV22" s="3"/>
      <c r="QW22" s="3"/>
      <c r="QX22" s="3"/>
      <c r="QY22" s="3"/>
      <c r="QZ22" s="3"/>
      <c r="RA22" s="3"/>
      <c r="RB22" s="3"/>
      <c r="RC22" s="3"/>
      <c r="RD22" s="3"/>
      <c r="RE22" s="3"/>
      <c r="RF22" s="3"/>
      <c r="RG22" s="3"/>
      <c r="RH22" s="3"/>
      <c r="RI22" s="3"/>
      <c r="RJ22" s="3"/>
      <c r="RK22" s="3"/>
      <c r="RL22" s="3"/>
      <c r="RM22" s="3"/>
      <c r="RN22" s="3"/>
      <c r="RO22" s="3"/>
      <c r="RP22" s="3"/>
      <c r="RQ22" s="3"/>
      <c r="RR22" s="3"/>
      <c r="RS22" s="3"/>
      <c r="RT22" s="3"/>
      <c r="RU22" s="3"/>
      <c r="RV22" s="3"/>
      <c r="RW22" s="3"/>
      <c r="RX22" s="3"/>
      <c r="RY22" s="3"/>
      <c r="RZ22" s="3"/>
      <c r="SA22" s="3"/>
      <c r="SB22" s="3"/>
      <c r="SC22" s="3"/>
      <c r="SD22" s="3"/>
      <c r="SE22" s="3"/>
      <c r="SF22" s="3"/>
      <c r="SG22" s="3"/>
      <c r="SH22" s="3"/>
      <c r="SI22" s="3"/>
      <c r="SJ22" s="3"/>
      <c r="SK22" s="3"/>
      <c r="SL22" s="3"/>
      <c r="SM22" s="3"/>
      <c r="SN22" s="3"/>
      <c r="SO22" s="3"/>
      <c r="SP22" s="3"/>
      <c r="SQ22" s="3"/>
      <c r="SR22" s="3"/>
      <c r="SS22" s="3"/>
      <c r="ST22" s="3"/>
      <c r="SU22" s="3"/>
      <c r="SV22" s="3"/>
      <c r="SW22" s="3"/>
      <c r="SX22" s="3"/>
      <c r="SY22" s="3"/>
      <c r="SZ22" s="3"/>
      <c r="TA22" s="3"/>
      <c r="TB22" s="3"/>
      <c r="TC22" s="3"/>
      <c r="TD22" s="3"/>
      <c r="TE22" s="3"/>
      <c r="TF22" s="3"/>
      <c r="TG22" s="3"/>
      <c r="TH22" s="3"/>
      <c r="TI22" s="3"/>
      <c r="TJ22" s="3"/>
      <c r="TK22" s="3"/>
      <c r="TL22" s="3"/>
      <c r="TM22" s="3"/>
      <c r="TN22" s="3"/>
      <c r="TO22" s="3"/>
      <c r="TP22" s="3"/>
      <c r="TQ22" s="3"/>
      <c r="TR22" s="3"/>
      <c r="TS22" s="3"/>
      <c r="TT22" s="3"/>
      <c r="TU22" s="3"/>
      <c r="TV22" s="3"/>
      <c r="TW22" s="3"/>
      <c r="TX22" s="3"/>
      <c r="TY22" s="3"/>
      <c r="TZ22" s="3"/>
      <c r="UA22" s="3"/>
      <c r="UB22" s="3"/>
      <c r="UC22" s="3"/>
      <c r="UD22" s="3"/>
      <c r="UE22" s="3"/>
      <c r="UF22" s="3"/>
      <c r="UG22" s="3"/>
      <c r="UH22" s="3"/>
      <c r="UI22" s="3"/>
      <c r="UJ22" s="3"/>
      <c r="UK22" s="3"/>
      <c r="UL22" s="3"/>
      <c r="UM22" s="3"/>
      <c r="UN22" s="3"/>
      <c r="UO22" s="3"/>
      <c r="UP22" s="3"/>
      <c r="UQ22" s="3"/>
      <c r="UR22" s="3"/>
      <c r="US22" s="3"/>
      <c r="UT22" s="3"/>
      <c r="UU22" s="3"/>
      <c r="UV22" s="3"/>
      <c r="UW22" s="3"/>
      <c r="UX22" s="3"/>
      <c r="UY22" s="3"/>
      <c r="UZ22" s="3"/>
      <c r="VA22" s="3"/>
      <c r="VB22" s="3"/>
      <c r="VC22" s="3"/>
      <c r="VD22" s="3"/>
      <c r="VE22" s="3"/>
      <c r="VF22" s="3"/>
      <c r="VG22" s="3"/>
      <c r="VH22" s="3"/>
      <c r="VI22" s="3"/>
      <c r="VJ22" s="3"/>
      <c r="VK22" s="3"/>
      <c r="VL22" s="3"/>
      <c r="VM22" s="3"/>
      <c r="VN22" s="3"/>
      <c r="VO22" s="3"/>
      <c r="VP22" s="3"/>
      <c r="VQ22" s="3"/>
      <c r="VR22" s="3"/>
      <c r="VS22" s="3"/>
      <c r="VT22" s="3"/>
      <c r="VU22" s="3"/>
      <c r="VV22" s="3"/>
      <c r="VW22" s="3"/>
      <c r="VX22" s="3"/>
      <c r="VY22" s="3"/>
      <c r="VZ22" s="3"/>
      <c r="WA22" s="3"/>
      <c r="WB22" s="3"/>
      <c r="WC22" s="3"/>
      <c r="WD22" s="3"/>
      <c r="WE22" s="3"/>
      <c r="WF22" s="3"/>
      <c r="WG22" s="3"/>
      <c r="WH22" s="3"/>
      <c r="WI22" s="3"/>
      <c r="WJ22" s="3"/>
      <c r="WK22" s="3"/>
      <c r="WL22" s="3"/>
      <c r="WM22" s="3"/>
      <c r="WN22" s="3"/>
      <c r="WO22" s="3"/>
      <c r="WP22" s="3"/>
      <c r="WQ22" s="3"/>
      <c r="WR22" s="3"/>
      <c r="WS22" s="3"/>
      <c r="WT22" s="3"/>
      <c r="WU22" s="3"/>
      <c r="WV22" s="3"/>
      <c r="WW22" s="3"/>
      <c r="WX22" s="3"/>
      <c r="WY22" s="3"/>
      <c r="WZ22" s="3"/>
      <c r="XA22" s="3"/>
      <c r="XB22" s="3"/>
      <c r="XC22" s="3"/>
      <c r="XD22" s="3"/>
      <c r="XE22" s="3"/>
      <c r="XF22" s="3"/>
      <c r="XG22" s="3"/>
      <c r="XH22" s="3"/>
      <c r="XI22" s="3"/>
      <c r="XJ22" s="3"/>
      <c r="XK22" s="3"/>
      <c r="XL22" s="3"/>
      <c r="XM22" s="3"/>
      <c r="XN22" s="3"/>
      <c r="XO22" s="3"/>
      <c r="XP22" s="3"/>
      <c r="XQ22" s="3"/>
      <c r="XR22" s="3"/>
      <c r="XS22" s="3"/>
      <c r="XT22" s="3"/>
      <c r="XU22" s="3"/>
      <c r="XV22" s="3"/>
      <c r="XW22" s="3"/>
      <c r="XX22" s="3"/>
      <c r="XY22" s="3"/>
      <c r="XZ22" s="3"/>
      <c r="YA22" s="3"/>
      <c r="YB22" s="3"/>
      <c r="YC22" s="3"/>
      <c r="YD22" s="3"/>
      <c r="YE22" s="3"/>
      <c r="YF22" s="3"/>
      <c r="YG22" s="3"/>
      <c r="YH22" s="3"/>
      <c r="YI22" s="3"/>
      <c r="YJ22" s="3"/>
      <c r="YK22" s="3"/>
      <c r="YL22" s="3"/>
      <c r="YM22" s="3"/>
      <c r="YN22" s="3"/>
      <c r="YO22" s="3"/>
      <c r="YP22" s="3"/>
      <c r="YQ22" s="3"/>
      <c r="YR22" s="3"/>
      <c r="YS22" s="3"/>
      <c r="YT22" s="3"/>
      <c r="YU22" s="3"/>
      <c r="YV22" s="3"/>
      <c r="YW22" s="3"/>
      <c r="YX22" s="3"/>
      <c r="YY22" s="3"/>
      <c r="YZ22" s="3"/>
      <c r="ZA22" s="3"/>
      <c r="ZB22" s="3"/>
      <c r="ZC22" s="3"/>
      <c r="ZD22" s="3"/>
      <c r="ZE22" s="3"/>
      <c r="ZF22" s="3"/>
      <c r="ZG22" s="3"/>
      <c r="ZH22" s="3"/>
      <c r="ZI22" s="3"/>
      <c r="ZJ22" s="3"/>
      <c r="ZK22" s="3"/>
      <c r="ZL22" s="3"/>
      <c r="ZM22" s="3"/>
      <c r="ZN22" s="3"/>
      <c r="ZO22" s="3"/>
      <c r="ZP22" s="3"/>
      <c r="ZQ22" s="3"/>
      <c r="ZR22" s="3"/>
      <c r="ZS22" s="3"/>
      <c r="ZT22" s="3"/>
      <c r="ZU22" s="3"/>
      <c r="ZV22" s="3"/>
      <c r="ZW22" s="3"/>
      <c r="ZX22" s="3"/>
      <c r="ZY22" s="3"/>
      <c r="ZZ22" s="3"/>
      <c r="AAA22" s="3"/>
      <c r="AAB22" s="3"/>
      <c r="AAC22" s="3"/>
      <c r="AAD22" s="3"/>
      <c r="AAE22" s="3"/>
      <c r="AAF22" s="3"/>
      <c r="AAG22" s="3"/>
      <c r="AAH22" s="3"/>
      <c r="AAI22" s="3"/>
      <c r="AAJ22" s="3"/>
      <c r="AAK22" s="3"/>
      <c r="AAL22" s="3"/>
      <c r="AAM22" s="3"/>
      <c r="AAN22" s="3"/>
      <c r="AAO22" s="3"/>
      <c r="AAP22" s="3"/>
      <c r="AAQ22" s="3"/>
      <c r="AAR22" s="3"/>
      <c r="AAS22" s="3"/>
      <c r="AAT22" s="3"/>
      <c r="AAU22" s="3"/>
      <c r="AAV22" s="3"/>
      <c r="AAW22" s="3"/>
      <c r="AAX22" s="3"/>
      <c r="AAY22" s="3"/>
      <c r="AAZ22" s="3"/>
      <c r="ABA22" s="3"/>
      <c r="ABB22" s="3"/>
      <c r="ABC22" s="3"/>
      <c r="ABD22" s="3"/>
      <c r="ABE22" s="3"/>
      <c r="ABF22" s="3"/>
      <c r="ABG22" s="3"/>
      <c r="ABH22" s="3"/>
      <c r="ABI22" s="3"/>
      <c r="ABJ22" s="3"/>
      <c r="ABK22" s="3"/>
      <c r="ABL22" s="3"/>
      <c r="ABM22" s="3"/>
      <c r="ABN22" s="3"/>
      <c r="ABO22" s="3"/>
      <c r="ABP22" s="3"/>
      <c r="ABQ22" s="3"/>
      <c r="ABR22" s="3"/>
      <c r="ABS22" s="3"/>
      <c r="ABT22" s="3"/>
      <c r="ABU22" s="3"/>
      <c r="ABV22" s="3"/>
      <c r="ABW22" s="3"/>
      <c r="ABX22" s="3"/>
      <c r="ABY22" s="3"/>
      <c r="ABZ22" s="3"/>
      <c r="ACA22" s="3"/>
      <c r="ACB22" s="3"/>
      <c r="ACC22" s="3"/>
      <c r="ACD22" s="3"/>
      <c r="ACE22" s="3"/>
      <c r="ACF22" s="3"/>
      <c r="ACG22" s="3"/>
      <c r="ACH22" s="3"/>
      <c r="ACI22" s="3"/>
      <c r="ACJ22" s="3"/>
      <c r="ACK22" s="3"/>
      <c r="ACL22" s="3"/>
      <c r="ACM22" s="3"/>
      <c r="ACN22" s="3"/>
      <c r="ACO22" s="3"/>
      <c r="ACP22" s="3"/>
      <c r="ACQ22" s="3"/>
      <c r="ACR22" s="3"/>
      <c r="ACS22" s="3"/>
      <c r="ACT22" s="3"/>
      <c r="ACU22" s="3"/>
      <c r="ACV22" s="3"/>
      <c r="ACW22" s="3"/>
      <c r="ACX22" s="3"/>
      <c r="ACY22" s="3"/>
      <c r="ACZ22" s="3"/>
      <c r="ADA22" s="3"/>
      <c r="ADB22" s="3"/>
      <c r="ADC22" s="3"/>
      <c r="ADD22" s="3"/>
      <c r="ADE22" s="3"/>
      <c r="ADF22" s="3"/>
      <c r="ADG22" s="3"/>
      <c r="ADH22" s="3"/>
      <c r="ADI22" s="3"/>
      <c r="ADJ22" s="3"/>
      <c r="ADK22" s="3"/>
      <c r="ADL22" s="3"/>
      <c r="ADM22" s="3"/>
      <c r="ADN22" s="3"/>
      <c r="ADO22" s="3"/>
      <c r="ADP22" s="3"/>
      <c r="ADQ22" s="3"/>
      <c r="ADR22" s="3"/>
      <c r="ADS22" s="3"/>
      <c r="ADT22" s="3"/>
      <c r="ADU22" s="3"/>
      <c r="ADV22" s="3"/>
      <c r="ADW22" s="3"/>
      <c r="ADX22" s="3"/>
      <c r="ADY22" s="3"/>
      <c r="ADZ22" s="3"/>
      <c r="AEA22" s="3"/>
      <c r="AEB22" s="3"/>
      <c r="AEC22" s="3"/>
      <c r="AED22" s="3"/>
      <c r="AEE22" s="3"/>
      <c r="AEF22" s="3"/>
      <c r="AEG22" s="3"/>
      <c r="AEH22" s="3"/>
      <c r="AEI22" s="3"/>
      <c r="AEJ22" s="3"/>
      <c r="AEK22" s="3"/>
      <c r="AEL22" s="3"/>
      <c r="AEM22" s="3"/>
      <c r="AEN22" s="3"/>
      <c r="AEO22" s="3"/>
      <c r="AEP22" s="3"/>
      <c r="AEQ22" s="3"/>
      <c r="AER22" s="3"/>
      <c r="AES22" s="3"/>
      <c r="AET22" s="3"/>
      <c r="AEU22" s="3"/>
      <c r="AEV22" s="3"/>
      <c r="AEW22" s="3"/>
      <c r="AEX22" s="3"/>
      <c r="AEY22" s="3"/>
      <c r="AEZ22" s="3"/>
      <c r="AFA22" s="3"/>
      <c r="AFB22" s="3"/>
      <c r="AFC22" s="3"/>
      <c r="AFD22" s="3"/>
      <c r="AFE22" s="3"/>
      <c r="AFF22" s="3"/>
      <c r="AFG22" s="3"/>
      <c r="AFH22" s="3"/>
      <c r="AFI22" s="3"/>
      <c r="AFJ22" s="3"/>
      <c r="AFK22" s="3"/>
      <c r="AFL22" s="3"/>
      <c r="AFM22" s="3"/>
      <c r="AFN22" s="3"/>
      <c r="AFO22" s="3"/>
      <c r="AFP22" s="3"/>
      <c r="AFQ22" s="3"/>
      <c r="AFR22" s="3"/>
      <c r="AFS22" s="3"/>
      <c r="AFT22" s="3"/>
      <c r="AFU22" s="3"/>
      <c r="AFV22" s="3"/>
      <c r="AFW22" s="3"/>
      <c r="AFX22" s="3"/>
      <c r="AFY22" s="3"/>
      <c r="AFZ22" s="3"/>
      <c r="AGA22" s="3"/>
      <c r="AGB22" s="3"/>
      <c r="AGC22" s="3"/>
      <c r="AGD22" s="3"/>
      <c r="AGE22" s="3"/>
      <c r="AGF22" s="3"/>
      <c r="AGG22" s="3"/>
      <c r="AGH22" s="3"/>
      <c r="AGI22" s="3"/>
      <c r="AGJ22" s="3"/>
      <c r="AGK22" s="3"/>
      <c r="AGL22" s="3"/>
      <c r="AGM22" s="3"/>
      <c r="AGN22" s="3"/>
      <c r="AGO22" s="3"/>
      <c r="AGP22" s="3"/>
      <c r="AGQ22" s="3"/>
      <c r="AGR22" s="3"/>
      <c r="AGS22" s="3"/>
      <c r="AGT22" s="3"/>
      <c r="AGU22" s="3"/>
      <c r="AGV22" s="3"/>
      <c r="AGW22" s="3"/>
      <c r="AGX22" s="3"/>
      <c r="AGY22" s="3"/>
      <c r="AGZ22" s="3"/>
      <c r="AHA22" s="3"/>
      <c r="AHB22" s="3"/>
      <c r="AHC22" s="3"/>
      <c r="AHD22" s="3"/>
      <c r="AHE22" s="3"/>
      <c r="AHF22" s="3"/>
      <c r="AHG22" s="3"/>
      <c r="AHH22" s="3"/>
      <c r="AHI22" s="3"/>
      <c r="AHJ22" s="3"/>
      <c r="AHK22" s="3"/>
      <c r="AHL22" s="3"/>
      <c r="AHM22" s="3"/>
      <c r="AHN22" s="3"/>
      <c r="AHO22" s="3"/>
      <c r="AHP22" s="3"/>
      <c r="AHQ22" s="3"/>
      <c r="AHR22" s="3"/>
      <c r="AHS22" s="3"/>
      <c r="AHT22" s="3"/>
      <c r="AHU22" s="3"/>
      <c r="AHV22" s="3"/>
      <c r="AHW22" s="3"/>
      <c r="AHX22" s="3"/>
      <c r="AHY22" s="3"/>
      <c r="AHZ22" s="3"/>
      <c r="AIA22" s="3"/>
      <c r="AIB22" s="3"/>
      <c r="AIC22" s="3"/>
      <c r="AID22" s="3"/>
      <c r="AIE22" s="3"/>
      <c r="AIF22" s="3"/>
      <c r="AIG22" s="3"/>
      <c r="AIH22" s="3"/>
      <c r="AII22" s="3"/>
      <c r="AIJ22" s="3"/>
      <c r="AIK22" s="3"/>
      <c r="AIL22" s="3"/>
      <c r="AIM22" s="3"/>
      <c r="AIN22" s="3"/>
      <c r="AIO22" s="3"/>
      <c r="AIP22" s="3"/>
      <c r="AIQ22" s="3"/>
      <c r="AIR22" s="3"/>
      <c r="AIS22" s="3"/>
      <c r="AIT22" s="3"/>
      <c r="AIU22" s="3"/>
      <c r="AIV22" s="3"/>
      <c r="AIW22" s="3"/>
      <c r="AIX22" s="3"/>
      <c r="AIY22" s="3"/>
      <c r="AIZ22" s="3"/>
      <c r="AJA22" s="3"/>
      <c r="AJB22" s="3"/>
      <c r="AJC22" s="3"/>
      <c r="AJD22" s="3"/>
      <c r="AJE22" s="3"/>
      <c r="AJF22" s="3"/>
      <c r="AJG22" s="3"/>
      <c r="AJH22" s="3"/>
      <c r="AJI22" s="3"/>
      <c r="AJJ22" s="3"/>
      <c r="AJK22" s="3"/>
      <c r="AJL22" s="3"/>
      <c r="AJM22" s="3"/>
      <c r="AJN22" s="3"/>
      <c r="AJO22" s="3"/>
      <c r="AJP22" s="3"/>
      <c r="AJQ22" s="3"/>
      <c r="AJR22" s="3"/>
      <c r="AJS22" s="3"/>
      <c r="AJT22" s="3"/>
      <c r="AJU22" s="3"/>
      <c r="AJV22" s="3"/>
      <c r="AJW22" s="3"/>
      <c r="AJX22" s="3"/>
      <c r="AJY22" s="3"/>
      <c r="AJZ22" s="3"/>
      <c r="AKA22" s="3"/>
      <c r="AKB22" s="3"/>
      <c r="AKC22" s="3"/>
      <c r="AKD22" s="3"/>
      <c r="AKE22" s="3"/>
      <c r="AKF22" s="3"/>
      <c r="AKG22" s="3"/>
      <c r="AKH22" s="3"/>
      <c r="AKI22" s="3"/>
      <c r="AKJ22" s="3"/>
      <c r="AKK22" s="3"/>
      <c r="AKL22" s="3"/>
      <c r="AKM22" s="3"/>
      <c r="AKN22" s="3"/>
      <c r="AKO22" s="3"/>
      <c r="AKP22" s="3"/>
      <c r="AKQ22" s="3"/>
      <c r="AKR22" s="3"/>
      <c r="AKS22" s="3"/>
      <c r="AKT22" s="3"/>
      <c r="AKU22" s="3"/>
      <c r="AKV22" s="3"/>
      <c r="AKW22" s="3"/>
      <c r="AKX22" s="3"/>
      <c r="AKY22" s="3"/>
      <c r="AKZ22" s="3"/>
      <c r="ALA22" s="3"/>
      <c r="ALB22" s="3"/>
      <c r="ALC22" s="3"/>
      <c r="ALD22" s="3"/>
      <c r="ALE22" s="3"/>
      <c r="ALF22" s="3"/>
      <c r="ALG22" s="3"/>
      <c r="ALH22" s="3"/>
      <c r="ALI22" s="3"/>
      <c r="ALJ22" s="3"/>
      <c r="ALK22" s="3"/>
      <c r="ALL22" s="3"/>
      <c r="ALM22" s="3"/>
      <c r="ALN22" s="3"/>
      <c r="ALO22" s="3"/>
      <c r="ALP22" s="3"/>
      <c r="ALQ22" s="3"/>
      <c r="ALR22" s="3"/>
      <c r="ALS22" s="3"/>
      <c r="ALT22" s="3"/>
      <c r="ALU22" s="3"/>
      <c r="ALV22" s="3"/>
      <c r="ALW22" s="3"/>
      <c r="ALX22" s="3"/>
      <c r="ALY22" s="3"/>
      <c r="ALZ22" s="3"/>
      <c r="AMA22" s="3"/>
      <c r="AMB22" s="3"/>
      <c r="AMC22" s="3"/>
      <c r="AMD22" s="3"/>
      <c r="AME22" s="3"/>
      <c r="AMF22" s="3"/>
      <c r="AMG22" s="3"/>
      <c r="AMH22" s="3"/>
      <c r="AMI22" s="3"/>
      <c r="AMJ22" s="3"/>
      <c r="AMK22" s="3"/>
      <c r="AML22" s="3"/>
      <c r="AMM22" s="3"/>
      <c r="AMN22" s="3"/>
      <c r="AMO22" s="3"/>
      <c r="AMP22" s="3"/>
      <c r="AMQ22" s="3"/>
      <c r="AMR22" s="3"/>
      <c r="AMS22" s="3"/>
      <c r="AMT22" s="3"/>
      <c r="AMU22" s="3"/>
      <c r="AMV22" s="3"/>
      <c r="AMW22" s="3"/>
      <c r="AMX22" s="3"/>
      <c r="AMY22" s="3"/>
      <c r="AMZ22" s="3"/>
      <c r="ANA22" s="3"/>
      <c r="ANB22" s="3"/>
      <c r="ANC22" s="3"/>
      <c r="AND22" s="3"/>
      <c r="ANE22" s="3"/>
      <c r="ANF22" s="3"/>
      <c r="ANG22" s="3"/>
      <c r="ANH22" s="3"/>
      <c r="ANI22" s="3"/>
      <c r="ANJ22" s="3"/>
      <c r="ANK22" s="3"/>
      <c r="ANL22" s="3"/>
      <c r="ANM22" s="3"/>
      <c r="ANN22" s="3"/>
      <c r="ANO22" s="3"/>
      <c r="ANP22" s="3"/>
      <c r="ANQ22" s="3"/>
      <c r="ANR22" s="3"/>
      <c r="ANS22" s="3"/>
      <c r="ANT22" s="3"/>
      <c r="ANU22" s="3"/>
      <c r="ANV22" s="3"/>
      <c r="ANW22" s="3"/>
      <c r="ANX22" s="3"/>
      <c r="ANY22" s="3"/>
      <c r="ANZ22" s="3"/>
      <c r="AOA22" s="3"/>
      <c r="AOB22" s="3"/>
      <c r="AOC22" s="3"/>
      <c r="AOD22" s="3"/>
      <c r="AOE22" s="3"/>
      <c r="AOF22" s="3"/>
      <c r="AOG22" s="3"/>
      <c r="AOH22" s="3"/>
      <c r="AOI22" s="3"/>
      <c r="AOJ22" s="3"/>
      <c r="AOK22" s="3"/>
      <c r="AOL22" s="3"/>
      <c r="AOM22" s="3"/>
      <c r="AON22" s="3"/>
      <c r="AOO22" s="3"/>
      <c r="AOP22" s="3"/>
      <c r="AOQ22" s="3"/>
      <c r="AOR22" s="3"/>
      <c r="AOS22" s="3"/>
      <c r="AOT22" s="3"/>
      <c r="AOU22" s="3"/>
      <c r="AOV22" s="3"/>
      <c r="AOW22" s="3"/>
      <c r="AOX22" s="3"/>
      <c r="AOY22" s="3"/>
      <c r="AOZ22" s="3"/>
      <c r="APA22" s="3"/>
      <c r="APB22" s="3"/>
      <c r="APC22" s="3"/>
      <c r="APD22" s="3"/>
      <c r="APE22" s="3"/>
      <c r="APF22" s="3"/>
      <c r="APG22" s="3"/>
      <c r="APH22" s="3"/>
      <c r="API22" s="3"/>
      <c r="APJ22" s="3"/>
      <c r="APK22" s="3"/>
      <c r="APL22" s="3"/>
      <c r="APM22" s="3"/>
      <c r="APN22" s="3"/>
      <c r="APO22" s="3"/>
      <c r="APP22" s="3"/>
      <c r="APQ22" s="3"/>
      <c r="APR22" s="3"/>
      <c r="APS22" s="3"/>
      <c r="APT22" s="3"/>
      <c r="APU22" s="3"/>
      <c r="APV22" s="3"/>
      <c r="APW22" s="3"/>
      <c r="APX22" s="3"/>
      <c r="APY22" s="3"/>
      <c r="APZ22" s="3"/>
      <c r="AQA22" s="3"/>
      <c r="AQB22" s="3"/>
      <c r="AQC22" s="3"/>
      <c r="AQD22" s="3"/>
      <c r="AQE22" s="3"/>
      <c r="AQF22" s="3"/>
      <c r="AQG22" s="3"/>
      <c r="AQH22" s="3"/>
      <c r="AQI22" s="3"/>
      <c r="AQJ22" s="3"/>
      <c r="AQK22" s="3"/>
      <c r="AQL22" s="3"/>
      <c r="AQM22" s="3"/>
      <c r="AQN22" s="3"/>
      <c r="AQO22" s="3"/>
      <c r="AQP22" s="3"/>
      <c r="AQQ22" s="3"/>
      <c r="AQR22" s="3"/>
      <c r="AQS22" s="3"/>
      <c r="AQT22" s="3"/>
      <c r="AQU22" s="3"/>
      <c r="AQV22" s="3"/>
      <c r="AQW22" s="3"/>
      <c r="AQX22" s="3"/>
      <c r="AQY22" s="3"/>
      <c r="AQZ22" s="3"/>
      <c r="ARA22" s="3"/>
      <c r="ARB22" s="3"/>
      <c r="ARC22" s="3"/>
      <c r="ARD22" s="3"/>
      <c r="ARE22" s="3"/>
      <c r="ARF22" s="3"/>
      <c r="ARG22" s="3"/>
      <c r="ARH22" s="3"/>
      <c r="ARI22" s="3"/>
      <c r="ARJ22" s="3"/>
      <c r="ARK22" s="3"/>
      <c r="ARL22" s="3"/>
      <c r="ARM22" s="3"/>
      <c r="ARN22" s="3"/>
      <c r="ARO22" s="3"/>
      <c r="ARP22" s="3"/>
      <c r="ARQ22" s="3"/>
      <c r="ARR22" s="3"/>
      <c r="ARS22" s="3"/>
      <c r="ART22" s="3"/>
      <c r="ARU22" s="3"/>
      <c r="ARV22" s="3"/>
      <c r="ARW22" s="3"/>
      <c r="ARX22" s="3"/>
      <c r="ARY22" s="3"/>
      <c r="ARZ22" s="3"/>
      <c r="ASA22" s="3"/>
      <c r="ASB22" s="3"/>
      <c r="ASC22" s="3"/>
      <c r="ASD22" s="3"/>
      <c r="ASE22" s="3"/>
      <c r="ASF22" s="3"/>
      <c r="ASG22" s="3"/>
      <c r="ASH22" s="3"/>
      <c r="ASI22" s="3"/>
      <c r="ASJ22" s="3"/>
      <c r="ASK22" s="3"/>
      <c r="ASL22" s="3"/>
      <c r="ASM22" s="3"/>
      <c r="ASN22" s="3"/>
      <c r="ASO22" s="3"/>
      <c r="ASP22" s="3"/>
      <c r="ASQ22" s="3"/>
      <c r="ASR22" s="3"/>
      <c r="ASS22" s="3"/>
      <c r="AST22" s="3"/>
      <c r="ASU22" s="3"/>
      <c r="ASV22" s="3"/>
      <c r="ASW22" s="3"/>
      <c r="ASX22" s="3"/>
      <c r="ASY22" s="3"/>
      <c r="ASZ22" s="3"/>
      <c r="ATA22" s="3"/>
      <c r="ATB22" s="3"/>
      <c r="ATC22" s="3"/>
      <c r="ATD22" s="3"/>
      <c r="ATE22" s="3"/>
      <c r="ATF22" s="3"/>
      <c r="ATG22" s="3"/>
      <c r="ATH22" s="3"/>
      <c r="ATI22" s="3"/>
      <c r="ATJ22" s="3"/>
      <c r="ATK22" s="3"/>
      <c r="ATL22" s="3"/>
      <c r="ATM22" s="3"/>
      <c r="ATN22" s="3"/>
      <c r="ATO22" s="3"/>
      <c r="ATP22" s="3"/>
      <c r="ATQ22" s="3"/>
      <c r="ATR22" s="3"/>
      <c r="ATS22" s="3"/>
      <c r="ATT22" s="3"/>
      <c r="ATU22" s="3"/>
      <c r="ATV22" s="3"/>
      <c r="ATW22" s="3"/>
      <c r="ATX22" s="3"/>
      <c r="ATY22" s="3"/>
      <c r="ATZ22" s="3"/>
      <c r="AUA22" s="3"/>
      <c r="AUB22" s="3"/>
      <c r="AUC22" s="3"/>
      <c r="AUD22" s="3"/>
      <c r="AUE22" s="3"/>
      <c r="AUF22" s="3"/>
      <c r="AUG22" s="3"/>
      <c r="AUH22" s="3"/>
      <c r="AUI22" s="3"/>
      <c r="AUJ22" s="3"/>
      <c r="AUK22" s="3"/>
      <c r="AUL22" s="3"/>
      <c r="AUM22" s="3"/>
      <c r="AUN22" s="3"/>
      <c r="AUO22" s="3"/>
      <c r="AUP22" s="3"/>
      <c r="AUQ22" s="3"/>
      <c r="AUR22" s="3"/>
      <c r="AUS22" s="3"/>
      <c r="AUT22" s="3"/>
      <c r="AUU22" s="3"/>
      <c r="AUV22" s="3"/>
      <c r="AUW22" s="3"/>
      <c r="AUX22" s="3"/>
      <c r="AUY22" s="3"/>
      <c r="AUZ22" s="3"/>
      <c r="AVA22" s="3"/>
      <c r="AVB22" s="3"/>
      <c r="AVC22" s="3"/>
      <c r="AVD22" s="3"/>
      <c r="AVE22" s="3"/>
      <c r="AVF22" s="3"/>
      <c r="AVG22" s="3"/>
      <c r="AVH22" s="3"/>
      <c r="AVI22" s="3"/>
      <c r="AVJ22" s="3"/>
      <c r="AVK22" s="3"/>
      <c r="AVL22" s="3"/>
      <c r="AVM22" s="3"/>
      <c r="AVN22" s="3"/>
      <c r="AVO22" s="3"/>
      <c r="AVP22" s="3"/>
      <c r="AVQ22" s="3"/>
      <c r="AVR22" s="3"/>
      <c r="AVS22" s="3"/>
      <c r="AVT22" s="3"/>
      <c r="AVU22" s="3"/>
      <c r="AVV22" s="3"/>
      <c r="AVW22" s="3"/>
      <c r="AVX22" s="3"/>
      <c r="AVY22" s="3"/>
      <c r="AVZ22" s="3"/>
      <c r="AWA22" s="3"/>
      <c r="AWB22" s="3"/>
      <c r="AWC22" s="3"/>
      <c r="AWD22" s="3"/>
      <c r="AWE22" s="3"/>
      <c r="AWF22" s="3"/>
      <c r="AWG22" s="3"/>
      <c r="AWH22" s="3"/>
      <c r="AWI22" s="3"/>
      <c r="AWJ22" s="3"/>
      <c r="AWK22" s="3"/>
      <c r="AWL22" s="3"/>
      <c r="AWM22" s="3"/>
      <c r="AWN22" s="3"/>
      <c r="AWO22" s="3"/>
      <c r="AWP22" s="3"/>
      <c r="AWQ22" s="3"/>
      <c r="AWR22" s="3"/>
      <c r="AWS22" s="3"/>
      <c r="AWT22" s="3"/>
      <c r="AWU22" s="3"/>
      <c r="AWV22" s="3"/>
      <c r="AWW22" s="3"/>
      <c r="AWX22" s="3"/>
      <c r="AWY22" s="3"/>
      <c r="AWZ22" s="3"/>
      <c r="AXA22" s="3"/>
      <c r="AXB22" s="3"/>
      <c r="AXC22" s="3"/>
      <c r="AXD22" s="3"/>
      <c r="AXE22" s="3"/>
      <c r="AXF22" s="3"/>
      <c r="AXG22" s="3"/>
      <c r="AXH22" s="3"/>
      <c r="AXI22" s="3"/>
      <c r="AXJ22" s="3"/>
      <c r="AXK22" s="3"/>
      <c r="AXL22" s="3"/>
      <c r="AXM22" s="3"/>
      <c r="AXN22" s="3"/>
      <c r="AXO22" s="3"/>
      <c r="AXP22" s="3"/>
      <c r="AXQ22" s="3"/>
      <c r="AXR22" s="3"/>
      <c r="AXS22" s="3"/>
      <c r="AXT22" s="3"/>
      <c r="AXU22" s="3"/>
      <c r="AXV22" s="3"/>
      <c r="AXW22" s="3"/>
      <c r="AXX22" s="3"/>
      <c r="AXY22" s="3"/>
      <c r="AXZ22" s="3"/>
      <c r="AYA22" s="3"/>
      <c r="AYB22" s="3"/>
      <c r="AYC22" s="3"/>
      <c r="AYD22" s="3"/>
      <c r="AYE22" s="3"/>
      <c r="AYF22" s="3"/>
      <c r="AYG22" s="3"/>
      <c r="AYH22" s="3"/>
      <c r="AYI22" s="3"/>
      <c r="AYJ22" s="3"/>
      <c r="AYK22" s="3"/>
      <c r="AYL22" s="3"/>
      <c r="AYM22" s="3"/>
      <c r="AYN22" s="3"/>
      <c r="AYO22" s="3"/>
      <c r="AYP22" s="3"/>
      <c r="AYQ22" s="3"/>
      <c r="AYR22" s="3"/>
      <c r="AYS22" s="3"/>
      <c r="AYT22" s="3"/>
      <c r="AYU22" s="3"/>
      <c r="AYV22" s="3"/>
      <c r="AYW22" s="3"/>
      <c r="AYX22" s="3"/>
      <c r="AYY22" s="3"/>
      <c r="AYZ22" s="3"/>
      <c r="AZA22" s="3"/>
      <c r="AZB22" s="3"/>
      <c r="AZC22" s="3"/>
      <c r="AZD22" s="3"/>
      <c r="AZE22" s="3"/>
      <c r="AZF22" s="3"/>
      <c r="AZG22" s="3"/>
      <c r="AZH22" s="3"/>
      <c r="AZI22" s="3"/>
      <c r="AZJ22" s="3"/>
      <c r="AZK22" s="3"/>
      <c r="AZL22" s="3"/>
      <c r="AZM22" s="3"/>
      <c r="AZN22" s="3"/>
      <c r="AZO22" s="3"/>
      <c r="AZP22" s="3"/>
      <c r="AZQ22" s="3"/>
      <c r="AZR22" s="3"/>
      <c r="AZS22" s="3"/>
      <c r="AZT22" s="3"/>
      <c r="AZU22" s="3"/>
      <c r="AZV22" s="3"/>
      <c r="AZW22" s="3"/>
      <c r="AZX22" s="3"/>
      <c r="AZY22" s="3"/>
      <c r="AZZ22" s="3"/>
      <c r="BAA22" s="3"/>
      <c r="BAB22" s="3"/>
      <c r="BAC22" s="3"/>
      <c r="BAD22" s="3"/>
      <c r="BAE22" s="3"/>
      <c r="BAF22" s="3"/>
      <c r="BAG22" s="3"/>
      <c r="BAH22" s="3"/>
      <c r="BAI22" s="3"/>
      <c r="BAJ22" s="3"/>
      <c r="BAK22" s="3"/>
      <c r="BAL22" s="3"/>
      <c r="BAM22" s="3"/>
      <c r="BAN22" s="3"/>
      <c r="BAO22" s="3"/>
      <c r="BAP22" s="3"/>
      <c r="BAQ22" s="3"/>
      <c r="BAR22" s="3"/>
      <c r="BAS22" s="3"/>
      <c r="BAT22" s="3"/>
      <c r="BAU22" s="3"/>
      <c r="BAV22" s="3"/>
      <c r="BAW22" s="3"/>
      <c r="BAX22" s="3"/>
      <c r="BAY22" s="3"/>
      <c r="BAZ22" s="3"/>
      <c r="BBA22" s="3"/>
      <c r="BBB22" s="3"/>
      <c r="BBC22" s="3"/>
      <c r="BBD22" s="3"/>
      <c r="BBE22" s="3"/>
      <c r="BBF22" s="3"/>
      <c r="BBG22" s="3"/>
      <c r="BBH22" s="3"/>
      <c r="BBI22" s="3"/>
      <c r="BBJ22" s="3"/>
      <c r="BBK22" s="3"/>
      <c r="BBL22" s="3"/>
      <c r="BBM22" s="3"/>
      <c r="BBN22" s="3"/>
      <c r="BBO22" s="3"/>
      <c r="BBP22" s="3"/>
      <c r="BBQ22" s="3"/>
      <c r="BBR22" s="3"/>
      <c r="BBS22" s="3"/>
      <c r="BBT22" s="3"/>
      <c r="BBU22" s="3"/>
      <c r="BBV22" s="3"/>
      <c r="BBW22" s="3"/>
      <c r="BBX22" s="3"/>
      <c r="BBY22" s="3"/>
      <c r="BBZ22" s="3"/>
      <c r="BCA22" s="3"/>
      <c r="BCB22" s="3"/>
      <c r="BCC22" s="3"/>
      <c r="BCD22" s="3"/>
      <c r="BCE22" s="3"/>
      <c r="BCF22" s="3"/>
      <c r="BCG22" s="3"/>
      <c r="BCH22" s="3"/>
      <c r="BCI22" s="3"/>
      <c r="BCJ22" s="3"/>
      <c r="BCK22" s="3"/>
      <c r="BCL22" s="3"/>
      <c r="BCM22" s="3"/>
      <c r="BCN22" s="3"/>
      <c r="BCO22" s="3"/>
      <c r="BCP22" s="3"/>
      <c r="BCQ22" s="3"/>
      <c r="BCR22" s="3"/>
      <c r="BCS22" s="3"/>
      <c r="BCT22" s="3"/>
      <c r="BCU22" s="3"/>
      <c r="BCV22" s="3"/>
      <c r="BCW22" s="3"/>
      <c r="BCX22" s="3"/>
      <c r="BCY22" s="3"/>
      <c r="BCZ22" s="3"/>
      <c r="BDA22" s="3"/>
      <c r="BDB22" s="3"/>
      <c r="BDC22" s="3"/>
      <c r="BDD22" s="3"/>
      <c r="BDE22" s="3"/>
      <c r="BDF22" s="3"/>
      <c r="BDG22" s="3"/>
      <c r="BDH22" s="3"/>
      <c r="BDI22" s="3"/>
      <c r="BDJ22" s="3"/>
      <c r="BDK22" s="3"/>
      <c r="BDL22" s="3"/>
      <c r="BDM22" s="3"/>
      <c r="BDN22" s="3"/>
      <c r="BDO22" s="3"/>
      <c r="BDP22" s="3"/>
      <c r="BDQ22" s="3"/>
      <c r="BDR22" s="3"/>
      <c r="BDS22" s="3"/>
      <c r="BDT22" s="3"/>
      <c r="BDU22" s="3"/>
      <c r="BDV22" s="3"/>
      <c r="BDW22" s="3"/>
      <c r="BDX22" s="3"/>
      <c r="BDY22" s="3"/>
      <c r="BDZ22" s="3"/>
      <c r="BEA22" s="3"/>
      <c r="BEB22" s="3"/>
      <c r="BEC22" s="3"/>
      <c r="BED22" s="3"/>
      <c r="BEE22" s="3"/>
      <c r="BEF22" s="3"/>
      <c r="BEG22" s="3"/>
      <c r="BEH22" s="3"/>
      <c r="BEI22" s="3"/>
      <c r="BEJ22" s="3"/>
      <c r="BEK22" s="3"/>
      <c r="BEL22" s="3"/>
      <c r="BEM22" s="3"/>
      <c r="BEN22" s="3"/>
      <c r="BEO22" s="3"/>
      <c r="BEP22" s="3"/>
      <c r="BEQ22" s="3"/>
      <c r="BER22" s="3"/>
      <c r="BES22" s="3"/>
      <c r="BET22" s="3"/>
      <c r="BEU22" s="3"/>
      <c r="BEV22" s="3"/>
      <c r="BEW22" s="3"/>
      <c r="BEX22" s="3"/>
      <c r="BEY22" s="3"/>
      <c r="BEZ22" s="3"/>
      <c r="BFA22" s="3"/>
      <c r="BFB22" s="3"/>
      <c r="BFC22" s="3"/>
      <c r="BFD22" s="3"/>
      <c r="BFE22" s="3"/>
      <c r="BFF22" s="3"/>
      <c r="BFG22" s="3"/>
      <c r="BFH22" s="3"/>
      <c r="BFI22" s="3"/>
      <c r="BFJ22" s="3"/>
      <c r="BFK22" s="3"/>
      <c r="BFL22" s="3"/>
      <c r="BFM22" s="3"/>
      <c r="BFN22" s="3"/>
      <c r="BFO22" s="3"/>
      <c r="BFP22" s="3"/>
      <c r="BFQ22" s="3"/>
      <c r="BFR22" s="3"/>
      <c r="BFS22" s="3"/>
      <c r="BFT22" s="3"/>
      <c r="BFU22" s="3"/>
      <c r="BFV22" s="3"/>
      <c r="BFW22" s="3"/>
      <c r="BFX22" s="3"/>
      <c r="BFY22" s="3"/>
      <c r="BFZ22" s="3"/>
      <c r="BGA22" s="3"/>
      <c r="BGB22" s="3"/>
      <c r="BGC22" s="3"/>
      <c r="BGD22" s="3"/>
      <c r="BGE22" s="3"/>
      <c r="BGF22" s="3"/>
      <c r="BGG22" s="3"/>
      <c r="BGH22" s="3"/>
      <c r="BGI22" s="3"/>
      <c r="BGJ22" s="3"/>
      <c r="BGK22" s="3"/>
      <c r="BGL22" s="3"/>
      <c r="BGM22" s="3"/>
      <c r="BGN22" s="3"/>
      <c r="BGO22" s="3"/>
      <c r="BGP22" s="3"/>
      <c r="BGQ22" s="3"/>
      <c r="BGR22" s="3"/>
      <c r="BGS22" s="3"/>
      <c r="BGT22" s="3"/>
      <c r="BGU22" s="3"/>
      <c r="BGV22" s="3"/>
      <c r="BGW22" s="3"/>
      <c r="BGX22" s="3"/>
      <c r="BGY22" s="3"/>
      <c r="BGZ22" s="3"/>
      <c r="BHA22" s="3"/>
      <c r="BHB22" s="3"/>
      <c r="BHC22" s="3"/>
      <c r="BHD22" s="3"/>
      <c r="BHE22" s="3"/>
      <c r="BHF22" s="3"/>
      <c r="BHG22" s="3"/>
      <c r="BHH22" s="3"/>
      <c r="BHI22" s="3"/>
      <c r="BHJ22" s="3"/>
      <c r="BHK22" s="3"/>
      <c r="BHL22" s="3"/>
      <c r="BHM22" s="3"/>
      <c r="BHN22" s="3"/>
      <c r="BHO22" s="3"/>
      <c r="BHP22" s="3"/>
      <c r="BHQ22" s="3"/>
      <c r="BHR22" s="3"/>
      <c r="BHS22" s="3"/>
      <c r="BHT22" s="3"/>
      <c r="BHU22" s="3"/>
      <c r="BHV22" s="3"/>
      <c r="BHW22" s="3"/>
      <c r="BHX22" s="3"/>
      <c r="BHY22" s="3"/>
      <c r="BHZ22" s="3"/>
      <c r="BIA22" s="3"/>
      <c r="BIB22" s="3"/>
      <c r="BIC22" s="3"/>
      <c r="BID22" s="3"/>
      <c r="BIE22" s="3"/>
      <c r="BIF22" s="3"/>
      <c r="BIG22" s="3"/>
      <c r="BIH22" s="3"/>
      <c r="BII22" s="3"/>
      <c r="BIJ22" s="3"/>
      <c r="BIK22" s="3"/>
      <c r="BIL22" s="3"/>
      <c r="BIM22" s="3"/>
      <c r="BIN22" s="3"/>
      <c r="BIO22" s="3"/>
      <c r="BIP22" s="3"/>
      <c r="BIQ22" s="3"/>
      <c r="BIR22" s="3"/>
      <c r="BIS22" s="3"/>
      <c r="BIT22" s="3"/>
      <c r="BIU22" s="3"/>
      <c r="BIV22" s="3"/>
      <c r="BIW22" s="3"/>
      <c r="BIX22" s="3"/>
      <c r="BIY22" s="3"/>
      <c r="BIZ22" s="3"/>
      <c r="BJA22" s="3"/>
      <c r="BJB22" s="3"/>
      <c r="BJC22" s="3"/>
      <c r="BJD22" s="3"/>
      <c r="BJE22" s="3"/>
      <c r="BJF22" s="3"/>
      <c r="BJG22" s="3"/>
      <c r="BJH22" s="3"/>
      <c r="BJI22" s="3"/>
      <c r="BJJ22" s="3"/>
      <c r="BJK22" s="3"/>
      <c r="BJL22" s="3"/>
      <c r="BJM22" s="3"/>
      <c r="BJN22" s="3"/>
      <c r="BJO22" s="3"/>
      <c r="BJP22" s="3"/>
      <c r="BJQ22" s="3"/>
      <c r="BJR22" s="3"/>
      <c r="BJS22" s="3"/>
      <c r="BJT22" s="3"/>
      <c r="BJU22" s="3"/>
      <c r="BJV22" s="3"/>
      <c r="BJW22" s="3"/>
      <c r="BJX22" s="3"/>
      <c r="BJY22" s="3"/>
      <c r="BJZ22" s="3"/>
      <c r="BKA22" s="3"/>
      <c r="BKB22" s="3"/>
      <c r="BKC22" s="3"/>
      <c r="BKD22" s="3"/>
      <c r="BKE22" s="3"/>
      <c r="BKF22" s="3"/>
      <c r="BKG22" s="3"/>
      <c r="BKH22" s="3"/>
      <c r="BKI22" s="3"/>
      <c r="BKJ22" s="3"/>
      <c r="BKK22" s="3"/>
      <c r="BKL22" s="3"/>
      <c r="BKM22" s="3"/>
      <c r="BKN22" s="3"/>
      <c r="BKO22" s="3"/>
      <c r="BKP22" s="3"/>
      <c r="BKQ22" s="3"/>
      <c r="BKR22" s="3"/>
      <c r="BKS22" s="3"/>
      <c r="BKT22" s="3"/>
      <c r="BKU22" s="3"/>
      <c r="BKV22" s="3"/>
      <c r="BKW22" s="3"/>
      <c r="BKX22" s="3"/>
      <c r="BKY22" s="3"/>
      <c r="BKZ22" s="3"/>
      <c r="BLA22" s="3"/>
      <c r="BLB22" s="3"/>
      <c r="BLC22" s="3"/>
      <c r="BLD22" s="3"/>
      <c r="BLE22" s="3"/>
      <c r="BLF22" s="3"/>
      <c r="BLG22" s="3"/>
      <c r="BLH22" s="3"/>
      <c r="BLI22" s="3"/>
      <c r="BLJ22" s="3"/>
      <c r="BLK22" s="3"/>
      <c r="BLL22" s="3"/>
      <c r="BLM22" s="3"/>
      <c r="BLN22" s="3"/>
      <c r="BLO22" s="3"/>
      <c r="BLP22" s="3"/>
      <c r="BLQ22" s="3"/>
      <c r="BLR22" s="3"/>
      <c r="BLS22" s="3"/>
      <c r="BLT22" s="3"/>
      <c r="BLU22" s="3"/>
      <c r="BLV22" s="3"/>
      <c r="BLW22" s="3"/>
      <c r="BLX22" s="3"/>
      <c r="BLY22" s="3"/>
      <c r="BLZ22" s="3"/>
      <c r="BMA22" s="3"/>
      <c r="BMB22" s="3"/>
      <c r="BMC22" s="3"/>
      <c r="BMD22" s="3"/>
      <c r="BME22" s="3"/>
      <c r="BMF22" s="3"/>
      <c r="BMG22" s="3"/>
      <c r="BMH22" s="3"/>
      <c r="BMI22" s="3"/>
      <c r="BMJ22" s="3"/>
      <c r="BMK22" s="3"/>
      <c r="BML22" s="3"/>
      <c r="BMM22" s="3"/>
      <c r="BMN22" s="3"/>
      <c r="BMO22" s="3"/>
      <c r="BMP22" s="3"/>
      <c r="BMQ22" s="3"/>
      <c r="BMR22" s="3"/>
      <c r="BMS22" s="3"/>
      <c r="BMT22" s="3"/>
      <c r="BMU22" s="3"/>
      <c r="BMV22" s="3"/>
      <c r="BMW22" s="3"/>
      <c r="BMX22" s="3"/>
      <c r="BMY22" s="3"/>
      <c r="BMZ22" s="3"/>
      <c r="BNA22" s="3"/>
      <c r="BNB22" s="3"/>
      <c r="BNC22" s="3"/>
      <c r="BND22" s="3"/>
      <c r="BNE22" s="3"/>
      <c r="BNF22" s="3"/>
      <c r="BNG22" s="3"/>
      <c r="BNH22" s="3"/>
      <c r="BNI22" s="3"/>
      <c r="BNJ22" s="3"/>
      <c r="BNK22" s="3"/>
      <c r="BNL22" s="3"/>
      <c r="BNM22" s="3"/>
      <c r="BNN22" s="3"/>
      <c r="BNO22" s="3"/>
      <c r="BNP22" s="3"/>
      <c r="BNQ22" s="3"/>
      <c r="BNR22" s="3"/>
      <c r="BNS22" s="3"/>
      <c r="BNT22" s="3"/>
      <c r="BNU22" s="3"/>
      <c r="BNV22" s="3"/>
      <c r="BNW22" s="3"/>
      <c r="BNX22" s="3"/>
      <c r="BNY22" s="3"/>
      <c r="BNZ22" s="3"/>
      <c r="BOA22" s="3"/>
      <c r="BOB22" s="3"/>
      <c r="BOC22" s="3"/>
      <c r="BOD22" s="3"/>
      <c r="BOE22" s="3"/>
      <c r="BOF22" s="3"/>
      <c r="BOG22" s="3"/>
      <c r="BOH22" s="3"/>
      <c r="BOI22" s="3"/>
      <c r="BOJ22" s="3"/>
      <c r="BOK22" s="3"/>
      <c r="BOL22" s="3"/>
      <c r="BOM22" s="3"/>
      <c r="BON22" s="3"/>
      <c r="BOO22" s="3"/>
      <c r="BOP22" s="3"/>
      <c r="BOQ22" s="3"/>
      <c r="BOR22" s="3"/>
      <c r="BOS22" s="3"/>
      <c r="BOT22" s="3"/>
      <c r="BOU22" s="3"/>
      <c r="BOV22" s="3"/>
      <c r="BOW22" s="3"/>
      <c r="BOX22" s="3"/>
      <c r="BOY22" s="3"/>
      <c r="BOZ22" s="3"/>
      <c r="BPA22" s="3"/>
      <c r="BPB22" s="3"/>
      <c r="BPC22" s="3"/>
      <c r="BPD22" s="3"/>
      <c r="BPE22" s="3"/>
      <c r="BPF22" s="3"/>
      <c r="BPG22" s="3"/>
      <c r="BPH22" s="3"/>
      <c r="BPI22" s="3"/>
      <c r="BPJ22" s="3"/>
      <c r="BPK22" s="3"/>
      <c r="BPL22" s="3"/>
      <c r="BPM22" s="3"/>
      <c r="BPN22" s="3"/>
      <c r="BPO22" s="3"/>
      <c r="BPP22" s="3"/>
      <c r="BPQ22" s="3"/>
      <c r="BPR22" s="3"/>
      <c r="BPS22" s="3"/>
      <c r="BPT22" s="3"/>
      <c r="BPU22" s="3"/>
      <c r="BPV22" s="3"/>
      <c r="BPW22" s="3"/>
      <c r="BPX22" s="3"/>
      <c r="BPY22" s="3"/>
      <c r="BPZ22" s="3"/>
      <c r="BQA22" s="3"/>
      <c r="BQB22" s="3"/>
      <c r="BQC22" s="3"/>
      <c r="BQD22" s="3"/>
      <c r="BQE22" s="3"/>
      <c r="BQF22" s="3"/>
      <c r="BQG22" s="3"/>
      <c r="BQH22" s="3"/>
      <c r="BQI22" s="3"/>
      <c r="BQJ22" s="3"/>
      <c r="BQK22" s="3"/>
      <c r="BQL22" s="3"/>
      <c r="BQM22" s="3"/>
      <c r="BQN22" s="3"/>
      <c r="BQO22" s="3"/>
      <c r="BQP22" s="3"/>
      <c r="BQQ22" s="3"/>
      <c r="BQR22" s="3"/>
      <c r="BQS22" s="3"/>
      <c r="BQT22" s="3"/>
      <c r="BQU22" s="3"/>
      <c r="BQV22" s="3"/>
      <c r="BQW22" s="3"/>
      <c r="BQX22" s="3"/>
      <c r="BQY22" s="3"/>
      <c r="BQZ22" s="3"/>
      <c r="BRA22" s="3"/>
      <c r="BRB22" s="3"/>
      <c r="BRC22" s="3"/>
      <c r="BRD22" s="3"/>
      <c r="BRE22" s="3"/>
      <c r="BRF22" s="3"/>
      <c r="BRG22" s="3"/>
      <c r="BRH22" s="3"/>
      <c r="BRI22" s="3"/>
      <c r="BRJ22" s="3"/>
      <c r="BRK22" s="3"/>
      <c r="BRL22" s="3"/>
      <c r="BRM22" s="3"/>
      <c r="BRN22" s="3"/>
      <c r="BRO22" s="3"/>
      <c r="BRP22" s="3"/>
      <c r="BRQ22" s="3"/>
      <c r="BRR22" s="3"/>
      <c r="BRS22" s="3"/>
      <c r="BRT22" s="3"/>
      <c r="BRU22" s="3"/>
      <c r="BRV22" s="3"/>
      <c r="BRW22" s="3"/>
      <c r="BRX22" s="3"/>
      <c r="BRY22" s="3"/>
      <c r="BRZ22" s="3"/>
      <c r="BSA22" s="3"/>
      <c r="BSB22" s="3"/>
      <c r="BSC22" s="3"/>
      <c r="BSD22" s="3"/>
      <c r="BSE22" s="3"/>
      <c r="BSF22" s="3"/>
      <c r="BSG22" s="3"/>
      <c r="BSH22" s="3"/>
      <c r="BSI22" s="3"/>
      <c r="BSJ22" s="3"/>
      <c r="BSK22" s="3"/>
      <c r="BSL22" s="3"/>
      <c r="BSM22" s="3"/>
      <c r="BSN22" s="3"/>
      <c r="BSO22" s="3"/>
      <c r="BSP22" s="3"/>
      <c r="BSQ22" s="3"/>
      <c r="BSR22" s="3"/>
      <c r="BSS22" s="3"/>
      <c r="BST22" s="3"/>
      <c r="BSU22" s="3"/>
      <c r="BSV22" s="3"/>
      <c r="BSW22" s="3"/>
      <c r="BSX22" s="3"/>
      <c r="BSY22" s="3"/>
      <c r="BSZ22" s="3"/>
      <c r="BTA22" s="3"/>
      <c r="BTB22" s="3"/>
      <c r="BTC22" s="3"/>
      <c r="BTD22" s="3"/>
      <c r="BTE22" s="3"/>
      <c r="BTF22" s="3"/>
      <c r="BTG22" s="3"/>
      <c r="BTH22" s="3"/>
      <c r="BTI22" s="3"/>
      <c r="BTJ22" s="3"/>
      <c r="BTK22" s="3"/>
      <c r="BTL22" s="3"/>
      <c r="BTM22" s="3"/>
      <c r="BTN22" s="3"/>
      <c r="BTO22" s="3"/>
      <c r="BTP22" s="3"/>
      <c r="BTQ22" s="3"/>
      <c r="BTR22" s="3"/>
      <c r="BTS22" s="3"/>
      <c r="BTT22" s="3"/>
      <c r="BTU22" s="3"/>
      <c r="BTV22" s="3"/>
      <c r="BTW22" s="3"/>
      <c r="BTX22" s="3"/>
      <c r="BTY22" s="3"/>
      <c r="BTZ22" s="3"/>
      <c r="BUA22" s="3"/>
      <c r="BUB22" s="3"/>
      <c r="BUC22" s="3"/>
      <c r="BUD22" s="3"/>
      <c r="BUE22" s="3"/>
      <c r="BUF22" s="3"/>
      <c r="BUG22" s="3"/>
      <c r="BUH22" s="3"/>
      <c r="BUI22" s="3"/>
      <c r="BUJ22" s="3"/>
      <c r="BUK22" s="3"/>
      <c r="BUL22" s="3"/>
      <c r="BUM22" s="3"/>
      <c r="BUN22" s="3"/>
      <c r="BUO22" s="3"/>
      <c r="BUP22" s="3"/>
      <c r="BUQ22" s="3"/>
      <c r="BUR22" s="3"/>
      <c r="BUS22" s="3"/>
      <c r="BUT22" s="3"/>
      <c r="BUU22" s="3"/>
      <c r="BUV22" s="3"/>
      <c r="BUW22" s="3"/>
      <c r="BUX22" s="3"/>
      <c r="BUY22" s="3"/>
      <c r="BUZ22" s="3"/>
      <c r="BVA22" s="3"/>
      <c r="BVB22" s="3"/>
      <c r="BVC22" s="3"/>
      <c r="BVD22" s="3"/>
      <c r="BVE22" s="3"/>
      <c r="BVF22" s="3"/>
      <c r="BVG22" s="3"/>
      <c r="BVH22" s="3"/>
      <c r="BVI22" s="3"/>
      <c r="BVJ22" s="3"/>
      <c r="BVK22" s="3"/>
      <c r="BVL22" s="3"/>
      <c r="BVM22" s="3"/>
      <c r="BVN22" s="3"/>
      <c r="BVO22" s="3"/>
      <c r="BVP22" s="3"/>
      <c r="BVQ22" s="3"/>
      <c r="BVR22" s="3"/>
      <c r="BVS22" s="3"/>
      <c r="BVT22" s="3"/>
      <c r="BVU22" s="3"/>
      <c r="BVV22" s="3"/>
      <c r="BVW22" s="3"/>
      <c r="BVX22" s="3"/>
      <c r="BVY22" s="3"/>
      <c r="BVZ22" s="3"/>
      <c r="BWA22" s="3"/>
      <c r="BWB22" s="3"/>
      <c r="BWC22" s="3"/>
      <c r="BWD22" s="3"/>
      <c r="BWE22" s="3"/>
      <c r="BWF22" s="3"/>
      <c r="BWG22" s="3"/>
      <c r="BWH22" s="3"/>
      <c r="BWI22" s="3"/>
      <c r="BWJ22" s="3"/>
      <c r="BWK22" s="3"/>
      <c r="BWL22" s="3"/>
      <c r="BWM22" s="3"/>
      <c r="BWN22" s="3"/>
      <c r="BWO22" s="3"/>
      <c r="BWP22" s="3"/>
      <c r="BWQ22" s="3"/>
      <c r="BWR22" s="3"/>
      <c r="BWS22" s="3"/>
      <c r="BWT22" s="3"/>
      <c r="BWU22" s="3"/>
      <c r="BWV22" s="3"/>
      <c r="BWW22" s="3"/>
      <c r="BWX22" s="3"/>
      <c r="BWY22" s="3"/>
      <c r="BWZ22" s="3"/>
      <c r="BXA22" s="3"/>
      <c r="BXB22" s="3"/>
      <c r="BXC22" s="3"/>
      <c r="BXD22" s="3"/>
      <c r="BXE22" s="3"/>
      <c r="BXF22" s="3"/>
      <c r="BXG22" s="3"/>
      <c r="BXH22" s="3"/>
      <c r="BXI22" s="3"/>
      <c r="BXJ22" s="3"/>
      <c r="BXK22" s="3"/>
      <c r="BXL22" s="3"/>
      <c r="BXM22" s="3"/>
      <c r="BXN22" s="3"/>
      <c r="BXO22" s="3"/>
      <c r="BXP22" s="3"/>
      <c r="BXQ22" s="3"/>
      <c r="BXR22" s="3"/>
      <c r="BXS22" s="3"/>
      <c r="BXT22" s="3"/>
      <c r="BXU22" s="3"/>
      <c r="BXV22" s="3"/>
      <c r="BXW22" s="3"/>
      <c r="BXX22" s="3"/>
      <c r="BXY22" s="3"/>
      <c r="BXZ22" s="3"/>
      <c r="BYA22" s="3"/>
      <c r="BYB22" s="3"/>
      <c r="BYC22" s="3"/>
      <c r="BYD22" s="3"/>
      <c r="BYE22" s="3"/>
      <c r="BYF22" s="3"/>
      <c r="BYG22" s="3"/>
      <c r="BYH22" s="3"/>
      <c r="BYI22" s="3"/>
      <c r="BYJ22" s="3"/>
      <c r="BYK22" s="3"/>
      <c r="BYL22" s="3"/>
      <c r="BYM22" s="3"/>
      <c r="BYN22" s="3"/>
      <c r="BYO22" s="3"/>
      <c r="BYP22" s="3"/>
      <c r="BYQ22" s="3"/>
      <c r="BYR22" s="3"/>
      <c r="BYS22" s="3"/>
      <c r="BYT22" s="3"/>
      <c r="BYU22" s="3"/>
      <c r="BYV22" s="3"/>
      <c r="BYW22" s="3"/>
      <c r="BYX22" s="3"/>
      <c r="BYY22" s="3"/>
      <c r="BYZ22" s="3"/>
      <c r="BZA22" s="3"/>
      <c r="BZB22" s="3"/>
      <c r="BZC22" s="3"/>
      <c r="BZD22" s="3"/>
      <c r="BZE22" s="3"/>
      <c r="BZF22" s="3"/>
      <c r="BZG22" s="3"/>
      <c r="BZH22" s="3"/>
      <c r="BZI22" s="3"/>
      <c r="BZJ22" s="3"/>
      <c r="BZK22" s="3"/>
      <c r="BZL22" s="3"/>
      <c r="BZM22" s="3"/>
      <c r="BZN22" s="3"/>
      <c r="BZO22" s="3"/>
      <c r="BZP22" s="3"/>
      <c r="BZQ22" s="3"/>
      <c r="BZR22" s="3"/>
      <c r="BZS22" s="3"/>
      <c r="BZT22" s="3"/>
      <c r="BZU22" s="3"/>
      <c r="BZV22" s="3"/>
      <c r="BZW22" s="3"/>
      <c r="BZX22" s="3"/>
      <c r="BZY22" s="3"/>
      <c r="BZZ22" s="3"/>
      <c r="CAA22" s="3"/>
      <c r="CAB22" s="3"/>
      <c r="CAC22" s="3"/>
      <c r="CAD22" s="3"/>
      <c r="CAE22" s="3"/>
      <c r="CAF22" s="3"/>
      <c r="CAG22" s="3"/>
      <c r="CAH22" s="3"/>
      <c r="CAI22" s="3"/>
      <c r="CAJ22" s="3"/>
      <c r="CAK22" s="3"/>
      <c r="CAL22" s="3"/>
      <c r="CAM22" s="3"/>
      <c r="CAN22" s="3"/>
      <c r="CAO22" s="3"/>
      <c r="CAP22" s="3"/>
      <c r="CAQ22" s="3"/>
      <c r="CAR22" s="3"/>
      <c r="CAS22" s="3"/>
      <c r="CAT22" s="3"/>
      <c r="CAU22" s="3"/>
      <c r="CAV22" s="3"/>
      <c r="CAW22" s="3"/>
      <c r="CAX22" s="3"/>
      <c r="CAY22" s="3"/>
      <c r="CAZ22" s="3"/>
      <c r="CBA22" s="3"/>
      <c r="CBB22" s="3"/>
      <c r="CBC22" s="3"/>
      <c r="CBD22" s="3"/>
      <c r="CBE22" s="3"/>
      <c r="CBF22" s="3"/>
      <c r="CBG22" s="3"/>
      <c r="CBH22" s="3"/>
      <c r="CBI22" s="3"/>
      <c r="CBJ22" s="3"/>
      <c r="CBK22" s="3"/>
      <c r="CBL22" s="3"/>
      <c r="CBM22" s="3"/>
      <c r="CBN22" s="3"/>
      <c r="CBO22" s="3"/>
      <c r="CBP22" s="3"/>
      <c r="CBQ22" s="3"/>
      <c r="CBR22" s="3"/>
      <c r="CBS22" s="3"/>
      <c r="CBT22" s="3"/>
      <c r="CBU22" s="3"/>
      <c r="CBV22" s="3"/>
      <c r="CBW22" s="3"/>
      <c r="CBX22" s="3"/>
      <c r="CBY22" s="3"/>
      <c r="CBZ22" s="3"/>
      <c r="CCA22" s="3"/>
      <c r="CCB22" s="3"/>
      <c r="CCC22" s="3"/>
      <c r="CCD22" s="3"/>
      <c r="CCE22" s="3"/>
      <c r="CCF22" s="3"/>
      <c r="CCG22" s="3"/>
      <c r="CCH22" s="3"/>
      <c r="CCI22" s="3"/>
      <c r="CCJ22" s="3"/>
      <c r="CCK22" s="3"/>
      <c r="CCL22" s="3"/>
      <c r="CCM22" s="3"/>
      <c r="CCN22" s="3"/>
      <c r="CCO22" s="3"/>
      <c r="CCP22" s="3"/>
      <c r="CCQ22" s="3"/>
      <c r="CCR22" s="3"/>
      <c r="CCS22" s="3"/>
      <c r="CCT22" s="3"/>
      <c r="CCU22" s="3"/>
      <c r="CCV22" s="3"/>
      <c r="CCW22" s="3"/>
      <c r="CCX22" s="3"/>
      <c r="CCY22" s="3"/>
      <c r="CCZ22" s="3"/>
      <c r="CDA22" s="3"/>
      <c r="CDB22" s="3"/>
      <c r="CDC22" s="3"/>
      <c r="CDD22" s="3"/>
      <c r="CDE22" s="3"/>
      <c r="CDF22" s="3"/>
      <c r="CDG22" s="3"/>
      <c r="CDH22" s="3"/>
      <c r="CDI22" s="3"/>
      <c r="CDJ22" s="3"/>
      <c r="CDK22" s="3"/>
      <c r="CDL22" s="3"/>
      <c r="CDM22" s="3"/>
      <c r="CDN22" s="3"/>
      <c r="CDO22" s="3"/>
      <c r="CDP22" s="3"/>
      <c r="CDQ22" s="3"/>
      <c r="CDR22" s="3"/>
      <c r="CDS22" s="3"/>
      <c r="CDT22" s="3"/>
      <c r="CDU22" s="3"/>
      <c r="CDV22" s="3"/>
      <c r="CDW22" s="3"/>
      <c r="CDX22" s="3"/>
      <c r="CDY22" s="3"/>
      <c r="CDZ22" s="3"/>
      <c r="CEA22" s="3"/>
      <c r="CEB22" s="3"/>
      <c r="CEC22" s="3"/>
      <c r="CED22" s="3"/>
      <c r="CEE22" s="3"/>
      <c r="CEF22" s="3"/>
      <c r="CEG22" s="3"/>
      <c r="CEH22" s="3"/>
      <c r="CEI22" s="3"/>
      <c r="CEJ22" s="3"/>
      <c r="CEK22" s="3"/>
      <c r="CEL22" s="3"/>
      <c r="CEM22" s="3"/>
      <c r="CEN22" s="3"/>
      <c r="CEO22" s="3"/>
      <c r="CEP22" s="3"/>
      <c r="CEQ22" s="3"/>
      <c r="CER22" s="3"/>
      <c r="CES22" s="3"/>
      <c r="CET22" s="3"/>
      <c r="CEU22" s="3"/>
      <c r="CEV22" s="3"/>
      <c r="CEW22" s="3"/>
      <c r="CEX22" s="3"/>
      <c r="CEY22" s="3"/>
      <c r="CEZ22" s="3"/>
      <c r="CFA22" s="3"/>
      <c r="CFB22" s="3"/>
      <c r="CFC22" s="3"/>
      <c r="CFD22" s="3"/>
      <c r="CFE22" s="3"/>
      <c r="CFF22" s="3"/>
      <c r="CFG22" s="3"/>
      <c r="CFH22" s="3"/>
      <c r="CFI22" s="3"/>
      <c r="CFJ22" s="3"/>
      <c r="CFK22" s="3"/>
      <c r="CFL22" s="3"/>
      <c r="CFM22" s="3"/>
      <c r="CFN22" s="3"/>
      <c r="CFO22" s="3"/>
      <c r="CFP22" s="3"/>
      <c r="CFQ22" s="3"/>
      <c r="CFR22" s="3"/>
      <c r="CFS22" s="3"/>
      <c r="CFT22" s="3"/>
      <c r="CFU22" s="3"/>
      <c r="CFV22" s="3"/>
      <c r="CFW22" s="3"/>
      <c r="CFX22" s="3"/>
      <c r="CFY22" s="3"/>
      <c r="CFZ22" s="3"/>
      <c r="CGA22" s="3"/>
      <c r="CGB22" s="3"/>
      <c r="CGC22" s="3"/>
      <c r="CGD22" s="3"/>
      <c r="CGE22" s="3"/>
      <c r="CGF22" s="3"/>
      <c r="CGG22" s="3"/>
      <c r="CGH22" s="3"/>
      <c r="CGI22" s="3"/>
      <c r="CGJ22" s="3"/>
      <c r="CGK22" s="3"/>
      <c r="CGL22" s="3"/>
      <c r="CGM22" s="3"/>
      <c r="CGN22" s="3"/>
      <c r="CGO22" s="3"/>
      <c r="CGP22" s="3"/>
      <c r="CGQ22" s="3"/>
      <c r="CGR22" s="3"/>
      <c r="CGS22" s="3"/>
      <c r="CGT22" s="3"/>
      <c r="CGU22" s="3"/>
      <c r="CGV22" s="3"/>
      <c r="CGW22" s="3"/>
      <c r="CGX22" s="3"/>
      <c r="CGY22" s="3"/>
      <c r="CGZ22" s="3"/>
      <c r="CHA22" s="3"/>
      <c r="CHB22" s="3"/>
      <c r="CHC22" s="3"/>
      <c r="CHD22" s="3"/>
      <c r="CHE22" s="3"/>
      <c r="CHF22" s="3"/>
      <c r="CHG22" s="3"/>
      <c r="CHH22" s="3"/>
      <c r="CHI22" s="3"/>
      <c r="CHJ22" s="3"/>
      <c r="CHK22" s="3"/>
      <c r="CHL22" s="3"/>
      <c r="CHM22" s="3"/>
      <c r="CHN22" s="3"/>
      <c r="CHO22" s="3"/>
      <c r="CHP22" s="3"/>
      <c r="CHQ22" s="3"/>
      <c r="CHR22" s="3"/>
      <c r="CHS22" s="3"/>
      <c r="CHT22" s="3"/>
      <c r="CHU22" s="3"/>
      <c r="CHV22" s="3"/>
      <c r="CHW22" s="3"/>
      <c r="CHX22" s="3"/>
      <c r="CHY22" s="3"/>
      <c r="CHZ22" s="3"/>
      <c r="CIA22" s="3"/>
      <c r="CIB22" s="3"/>
      <c r="CIC22" s="3"/>
      <c r="CID22" s="3"/>
      <c r="CIE22" s="3"/>
      <c r="CIF22" s="3"/>
      <c r="CIG22" s="3"/>
      <c r="CIH22" s="3"/>
      <c r="CII22" s="3"/>
      <c r="CIJ22" s="3"/>
      <c r="CIK22" s="3"/>
      <c r="CIL22" s="3"/>
      <c r="CIM22" s="3"/>
      <c r="CIN22" s="3"/>
      <c r="CIO22" s="3"/>
      <c r="CIP22" s="3"/>
      <c r="CIQ22" s="3"/>
      <c r="CIR22" s="3"/>
      <c r="CIS22" s="3"/>
      <c r="CIT22" s="3"/>
      <c r="CIU22" s="3"/>
      <c r="CIV22" s="3"/>
      <c r="CIW22" s="3"/>
      <c r="CIX22" s="3"/>
      <c r="CIY22" s="3"/>
      <c r="CIZ22" s="3"/>
      <c r="CJA22" s="3"/>
      <c r="CJB22" s="3"/>
      <c r="CJC22" s="3"/>
      <c r="CJD22" s="3"/>
      <c r="CJE22" s="3"/>
      <c r="CJF22" s="3"/>
      <c r="CJG22" s="3"/>
      <c r="CJH22" s="3"/>
      <c r="CJI22" s="3"/>
      <c r="CJJ22" s="3"/>
      <c r="CJK22" s="3"/>
      <c r="CJL22" s="3"/>
      <c r="CJM22" s="3"/>
      <c r="CJN22" s="3"/>
      <c r="CJO22" s="3"/>
      <c r="CJP22" s="3"/>
      <c r="CJQ22" s="3"/>
      <c r="CJR22" s="3"/>
      <c r="CJS22" s="3"/>
      <c r="CJT22" s="3"/>
      <c r="CJU22" s="3"/>
      <c r="CJV22" s="3"/>
      <c r="CJW22" s="3"/>
      <c r="CJX22" s="3"/>
      <c r="CJY22" s="3"/>
      <c r="CJZ22" s="3"/>
      <c r="CKA22" s="3"/>
      <c r="CKB22" s="3"/>
      <c r="CKC22" s="3"/>
      <c r="CKD22" s="3"/>
      <c r="CKE22" s="3"/>
      <c r="CKF22" s="3"/>
      <c r="CKG22" s="3"/>
      <c r="CKH22" s="3"/>
      <c r="CKI22" s="3"/>
      <c r="CKJ22" s="3"/>
      <c r="CKK22" s="3"/>
      <c r="CKL22" s="3"/>
      <c r="CKM22" s="3"/>
      <c r="CKN22" s="3"/>
      <c r="CKO22" s="3"/>
      <c r="CKP22" s="3"/>
      <c r="CKQ22" s="3"/>
      <c r="CKR22" s="3"/>
      <c r="CKS22" s="3"/>
      <c r="CKT22" s="3"/>
      <c r="CKU22" s="3"/>
      <c r="CKV22" s="3"/>
      <c r="CKW22" s="3"/>
      <c r="CKX22" s="3"/>
      <c r="CKY22" s="3"/>
      <c r="CKZ22" s="3"/>
      <c r="CLA22" s="3"/>
      <c r="CLB22" s="3"/>
      <c r="CLC22" s="3"/>
      <c r="CLD22" s="3"/>
      <c r="CLE22" s="3"/>
      <c r="CLF22" s="3"/>
      <c r="CLG22" s="3"/>
      <c r="CLH22" s="3"/>
      <c r="CLI22" s="3"/>
      <c r="CLJ22" s="3"/>
      <c r="CLK22" s="3"/>
      <c r="CLL22" s="3"/>
      <c r="CLM22" s="3"/>
      <c r="CLN22" s="3"/>
      <c r="CLO22" s="3"/>
      <c r="CLP22" s="3"/>
      <c r="CLQ22" s="3"/>
      <c r="CLR22" s="3"/>
      <c r="CLS22" s="3"/>
      <c r="CLT22" s="3"/>
      <c r="CLU22" s="3"/>
      <c r="CLV22" s="3"/>
      <c r="CLW22" s="3"/>
      <c r="CLX22" s="3"/>
      <c r="CLY22" s="3"/>
      <c r="CLZ22" s="3"/>
      <c r="CMA22" s="3"/>
      <c r="CMB22" s="3"/>
      <c r="CMC22" s="3"/>
      <c r="CMD22" s="3"/>
      <c r="CME22" s="3"/>
      <c r="CMF22" s="3"/>
      <c r="CMG22" s="3"/>
      <c r="CMH22" s="3"/>
      <c r="CMI22" s="3"/>
      <c r="CMJ22" s="3"/>
      <c r="CMK22" s="3"/>
      <c r="CML22" s="3"/>
      <c r="CMM22" s="3"/>
      <c r="CMN22" s="3"/>
      <c r="CMO22" s="3"/>
      <c r="CMP22" s="3"/>
      <c r="CMQ22" s="3"/>
      <c r="CMR22" s="3"/>
      <c r="CMS22" s="3"/>
      <c r="CMT22" s="3"/>
      <c r="CMU22" s="3"/>
      <c r="CMV22" s="3"/>
      <c r="CMW22" s="3"/>
      <c r="CMX22" s="3"/>
      <c r="CMY22" s="3"/>
      <c r="CMZ22" s="3"/>
      <c r="CNA22" s="3"/>
      <c r="CNB22" s="3"/>
      <c r="CNC22" s="3"/>
      <c r="CND22" s="3"/>
      <c r="CNE22" s="3"/>
      <c r="CNF22" s="3"/>
      <c r="CNG22" s="3"/>
      <c r="CNH22" s="3"/>
      <c r="CNI22" s="3"/>
      <c r="CNJ22" s="3"/>
      <c r="CNK22" s="3"/>
      <c r="CNL22" s="3"/>
      <c r="CNM22" s="3"/>
      <c r="CNN22" s="3"/>
      <c r="CNO22" s="3"/>
      <c r="CNP22" s="3"/>
      <c r="CNQ22" s="3"/>
      <c r="CNR22" s="3"/>
      <c r="CNS22" s="3"/>
      <c r="CNT22" s="3"/>
      <c r="CNU22" s="3"/>
      <c r="CNV22" s="3"/>
      <c r="CNW22" s="3"/>
      <c r="CNX22" s="3"/>
      <c r="CNY22" s="3"/>
      <c r="CNZ22" s="3"/>
      <c r="COA22" s="3"/>
      <c r="COB22" s="3"/>
      <c r="COC22" s="3"/>
      <c r="COD22" s="3"/>
      <c r="COE22" s="3"/>
      <c r="COF22" s="3"/>
      <c r="COG22" s="3"/>
      <c r="COH22" s="3"/>
      <c r="COI22" s="3"/>
      <c r="COJ22" s="3"/>
      <c r="COK22" s="3"/>
      <c r="COL22" s="3"/>
      <c r="COM22" s="3"/>
      <c r="CON22" s="3"/>
      <c r="COO22" s="3"/>
      <c r="COP22" s="3"/>
      <c r="COQ22" s="3"/>
      <c r="COR22" s="3"/>
      <c r="COS22" s="3"/>
      <c r="COT22" s="3"/>
      <c r="COU22" s="3"/>
      <c r="COV22" s="3"/>
      <c r="COW22" s="3"/>
      <c r="COX22" s="3"/>
      <c r="COY22" s="3"/>
      <c r="COZ22" s="3"/>
      <c r="CPA22" s="3"/>
      <c r="CPB22" s="3"/>
      <c r="CPC22" s="3"/>
      <c r="CPD22" s="3"/>
      <c r="CPE22" s="3"/>
      <c r="CPF22" s="3"/>
      <c r="CPG22" s="3"/>
      <c r="CPH22" s="3"/>
      <c r="CPI22" s="3"/>
      <c r="CPJ22" s="3"/>
      <c r="CPK22" s="3"/>
      <c r="CPL22" s="3"/>
      <c r="CPM22" s="3"/>
      <c r="CPN22" s="3"/>
      <c r="CPO22" s="3"/>
      <c r="CPP22" s="3"/>
      <c r="CPQ22" s="3"/>
      <c r="CPR22" s="3"/>
      <c r="CPS22" s="3"/>
      <c r="CPT22" s="3"/>
      <c r="CPU22" s="3"/>
      <c r="CPV22" s="3"/>
      <c r="CPW22" s="3"/>
      <c r="CPX22" s="3"/>
      <c r="CPY22" s="3"/>
      <c r="CPZ22" s="3"/>
      <c r="CQA22" s="3"/>
      <c r="CQB22" s="3"/>
      <c r="CQC22" s="3"/>
      <c r="CQD22" s="3"/>
      <c r="CQE22" s="3"/>
      <c r="CQF22" s="3"/>
      <c r="CQG22" s="3"/>
      <c r="CQH22" s="3"/>
      <c r="CQI22" s="3"/>
      <c r="CQJ22" s="3"/>
      <c r="CQK22" s="3"/>
      <c r="CQL22" s="3"/>
      <c r="CQM22" s="3"/>
      <c r="CQN22" s="3"/>
      <c r="CQO22" s="3"/>
      <c r="CQP22" s="3"/>
      <c r="CQQ22" s="3"/>
      <c r="CQR22" s="3"/>
      <c r="CQS22" s="3"/>
      <c r="CQT22" s="3"/>
      <c r="CQU22" s="3"/>
      <c r="CQV22" s="3"/>
      <c r="CQW22" s="3"/>
      <c r="CQX22" s="3"/>
      <c r="CQY22" s="3"/>
      <c r="CQZ22" s="3"/>
      <c r="CRA22" s="3"/>
      <c r="CRB22" s="3"/>
      <c r="CRC22" s="3"/>
      <c r="CRD22" s="3"/>
      <c r="CRE22" s="3"/>
      <c r="CRF22" s="3"/>
      <c r="CRG22" s="3"/>
      <c r="CRH22" s="3"/>
      <c r="CRI22" s="3"/>
      <c r="CRJ22" s="3"/>
      <c r="CRK22" s="3"/>
      <c r="CRL22" s="3"/>
      <c r="CRM22" s="3"/>
      <c r="CRN22" s="3"/>
      <c r="CRO22" s="3"/>
      <c r="CRP22" s="3"/>
      <c r="CRQ22" s="3"/>
      <c r="CRR22" s="3"/>
      <c r="CRS22" s="3"/>
      <c r="CRT22" s="3"/>
      <c r="CRU22" s="3"/>
      <c r="CRV22" s="3"/>
      <c r="CRW22" s="3"/>
      <c r="CRX22" s="3"/>
      <c r="CRY22" s="3"/>
      <c r="CRZ22" s="3"/>
      <c r="CSA22" s="3"/>
      <c r="CSB22" s="3"/>
      <c r="CSC22" s="3"/>
      <c r="CSD22" s="3"/>
      <c r="CSE22" s="3"/>
      <c r="CSF22" s="3"/>
      <c r="CSG22" s="3"/>
      <c r="CSH22" s="3"/>
      <c r="CSI22" s="3"/>
      <c r="CSJ22" s="3"/>
      <c r="CSK22" s="3"/>
      <c r="CSL22" s="3"/>
      <c r="CSM22" s="3"/>
      <c r="CSN22" s="3"/>
      <c r="CSO22" s="3"/>
      <c r="CSP22" s="3"/>
      <c r="CSQ22" s="3"/>
      <c r="CSR22" s="3"/>
      <c r="CSS22" s="3"/>
      <c r="CST22" s="3"/>
      <c r="CSU22" s="3"/>
      <c r="CSV22" s="3"/>
      <c r="CSW22" s="3"/>
      <c r="CSX22" s="3"/>
      <c r="CSY22" s="3"/>
      <c r="CSZ22" s="3"/>
      <c r="CTA22" s="3"/>
      <c r="CTB22" s="3"/>
      <c r="CTC22" s="3"/>
      <c r="CTD22" s="3"/>
      <c r="CTE22" s="3"/>
      <c r="CTF22" s="3"/>
      <c r="CTG22" s="3"/>
      <c r="CTH22" s="3"/>
      <c r="CTI22" s="3"/>
      <c r="CTJ22" s="3"/>
      <c r="CTK22" s="3"/>
      <c r="CTL22" s="3"/>
      <c r="CTM22" s="3"/>
      <c r="CTN22" s="3"/>
      <c r="CTO22" s="3"/>
      <c r="CTP22" s="3"/>
      <c r="CTQ22" s="3"/>
      <c r="CTR22" s="3"/>
      <c r="CTS22" s="3"/>
      <c r="CTT22" s="3"/>
      <c r="CTU22" s="3"/>
      <c r="CTV22" s="3"/>
      <c r="CTW22" s="3"/>
      <c r="CTX22" s="3"/>
      <c r="CTY22" s="3"/>
      <c r="CTZ22" s="3"/>
      <c r="CUA22" s="3"/>
      <c r="CUB22" s="3"/>
      <c r="CUC22" s="3"/>
      <c r="CUD22" s="3"/>
      <c r="CUE22" s="3"/>
      <c r="CUF22" s="3"/>
      <c r="CUG22" s="3"/>
      <c r="CUH22" s="3"/>
      <c r="CUI22" s="3"/>
      <c r="CUJ22" s="3"/>
      <c r="CUK22" s="3"/>
      <c r="CUL22" s="3"/>
      <c r="CUM22" s="3"/>
      <c r="CUN22" s="3"/>
      <c r="CUO22" s="3"/>
      <c r="CUP22" s="3"/>
      <c r="CUQ22" s="3"/>
      <c r="CUR22" s="3"/>
      <c r="CUS22" s="3"/>
      <c r="CUT22" s="3"/>
      <c r="CUU22" s="3"/>
      <c r="CUV22" s="3"/>
      <c r="CUW22" s="3"/>
      <c r="CUX22" s="3"/>
      <c r="CUY22" s="3"/>
      <c r="CUZ22" s="3"/>
      <c r="CVA22" s="3"/>
      <c r="CVB22" s="3"/>
      <c r="CVC22" s="3"/>
      <c r="CVD22" s="3"/>
      <c r="CVE22" s="3"/>
      <c r="CVF22" s="3"/>
      <c r="CVG22" s="3"/>
      <c r="CVH22" s="3"/>
      <c r="CVI22" s="3"/>
      <c r="CVJ22" s="3"/>
      <c r="CVK22" s="3"/>
      <c r="CVL22" s="3"/>
      <c r="CVM22" s="3"/>
      <c r="CVN22" s="3"/>
      <c r="CVO22" s="3"/>
      <c r="CVP22" s="3"/>
      <c r="CVQ22" s="3"/>
      <c r="CVR22" s="3"/>
      <c r="CVS22" s="3"/>
      <c r="CVT22" s="3"/>
      <c r="CVU22" s="3"/>
      <c r="CVV22" s="3"/>
      <c r="CVW22" s="3"/>
      <c r="CVX22" s="3"/>
      <c r="CVY22" s="3"/>
      <c r="CVZ22" s="3"/>
      <c r="CWA22" s="3"/>
      <c r="CWB22" s="3"/>
      <c r="CWC22" s="3"/>
      <c r="CWD22" s="3"/>
      <c r="CWE22" s="3"/>
      <c r="CWF22" s="3"/>
      <c r="CWG22" s="3"/>
      <c r="CWH22" s="3"/>
      <c r="CWI22" s="3"/>
      <c r="CWJ22" s="3"/>
      <c r="CWK22" s="3"/>
      <c r="CWL22" s="3"/>
      <c r="CWM22" s="3"/>
      <c r="CWN22" s="3"/>
      <c r="CWO22" s="3"/>
      <c r="CWP22" s="3"/>
      <c r="CWQ22" s="3"/>
      <c r="CWR22" s="3"/>
      <c r="CWS22" s="3"/>
      <c r="CWT22" s="3"/>
      <c r="CWU22" s="3"/>
      <c r="CWV22" s="3"/>
      <c r="CWW22" s="3"/>
      <c r="CWX22" s="3"/>
      <c r="CWY22" s="3"/>
      <c r="CWZ22" s="3"/>
      <c r="CXA22" s="3"/>
      <c r="CXB22" s="3"/>
      <c r="CXC22" s="3"/>
      <c r="CXD22" s="3"/>
      <c r="CXE22" s="3"/>
      <c r="CXF22" s="3"/>
      <c r="CXG22" s="3"/>
      <c r="CXH22" s="3"/>
      <c r="CXI22" s="3"/>
      <c r="CXJ22" s="3"/>
      <c r="CXK22" s="3"/>
      <c r="CXL22" s="3"/>
      <c r="CXM22" s="3"/>
      <c r="CXN22" s="3"/>
      <c r="CXO22" s="3"/>
      <c r="CXP22" s="3"/>
      <c r="CXQ22" s="3"/>
      <c r="CXR22" s="3"/>
      <c r="CXS22" s="3"/>
      <c r="CXT22" s="3"/>
      <c r="CXU22" s="3"/>
      <c r="CXV22" s="3"/>
      <c r="CXW22" s="3"/>
      <c r="CXX22" s="3"/>
      <c r="CXY22" s="3"/>
      <c r="CXZ22" s="3"/>
      <c r="CYA22" s="3"/>
      <c r="CYB22" s="3"/>
      <c r="CYC22" s="3"/>
      <c r="CYD22" s="3"/>
      <c r="CYE22" s="3"/>
      <c r="CYF22" s="3"/>
      <c r="CYG22" s="3"/>
      <c r="CYH22" s="3"/>
      <c r="CYI22" s="3"/>
      <c r="CYJ22" s="3"/>
      <c r="CYK22" s="3"/>
      <c r="CYL22" s="3"/>
      <c r="CYM22" s="3"/>
      <c r="CYN22" s="3"/>
      <c r="CYO22" s="3"/>
      <c r="CYP22" s="3"/>
      <c r="CYQ22" s="3"/>
      <c r="CYR22" s="3"/>
      <c r="CYS22" s="3"/>
      <c r="CYT22" s="3"/>
      <c r="CYU22" s="3"/>
      <c r="CYV22" s="3"/>
      <c r="CYW22" s="3"/>
      <c r="CYX22" s="3"/>
      <c r="CYY22" s="3"/>
      <c r="CYZ22" s="3"/>
      <c r="CZA22" s="3"/>
      <c r="CZB22" s="3"/>
      <c r="CZC22" s="3"/>
      <c r="CZD22" s="3"/>
      <c r="CZE22" s="3"/>
      <c r="CZF22" s="3"/>
      <c r="CZG22" s="3"/>
      <c r="CZH22" s="3"/>
      <c r="CZI22" s="3"/>
      <c r="CZJ22" s="3"/>
      <c r="CZK22" s="3"/>
      <c r="CZL22" s="3"/>
      <c r="CZM22" s="3"/>
      <c r="CZN22" s="3"/>
      <c r="CZO22" s="3"/>
      <c r="CZP22" s="3"/>
      <c r="CZQ22" s="3"/>
      <c r="CZR22" s="3"/>
      <c r="CZS22" s="3"/>
      <c r="CZT22" s="3"/>
      <c r="CZU22" s="3"/>
      <c r="CZV22" s="3"/>
      <c r="CZW22" s="3"/>
      <c r="CZX22" s="3"/>
      <c r="CZY22" s="3"/>
      <c r="CZZ22" s="3"/>
      <c r="DAA22" s="3"/>
      <c r="DAB22" s="3"/>
      <c r="DAC22" s="3"/>
      <c r="DAD22" s="3"/>
      <c r="DAE22" s="3"/>
      <c r="DAF22" s="3"/>
      <c r="DAG22" s="3"/>
      <c r="DAH22" s="3"/>
      <c r="DAI22" s="3"/>
      <c r="DAJ22" s="3"/>
      <c r="DAK22" s="3"/>
      <c r="DAL22" s="3"/>
      <c r="DAM22" s="3"/>
      <c r="DAN22" s="3"/>
      <c r="DAO22" s="3"/>
      <c r="DAP22" s="3"/>
      <c r="DAQ22" s="3"/>
      <c r="DAR22" s="3"/>
      <c r="DAS22" s="3"/>
      <c r="DAT22" s="3"/>
      <c r="DAU22" s="3"/>
      <c r="DAV22" s="3"/>
      <c r="DAW22" s="3"/>
      <c r="DAX22" s="3"/>
      <c r="DAY22" s="3"/>
      <c r="DAZ22" s="3"/>
      <c r="DBA22" s="3"/>
      <c r="DBB22" s="3"/>
      <c r="DBC22" s="3"/>
      <c r="DBD22" s="3"/>
      <c r="DBE22" s="3"/>
      <c r="DBF22" s="3"/>
      <c r="DBG22" s="3"/>
      <c r="DBH22" s="3"/>
      <c r="DBI22" s="3"/>
      <c r="DBJ22" s="3"/>
      <c r="DBK22" s="3"/>
      <c r="DBL22" s="3"/>
      <c r="DBM22" s="3"/>
      <c r="DBN22" s="3"/>
      <c r="DBO22" s="3"/>
      <c r="DBP22" s="3"/>
      <c r="DBQ22" s="3"/>
      <c r="DBR22" s="3"/>
      <c r="DBS22" s="3"/>
      <c r="DBT22" s="3"/>
      <c r="DBU22" s="3"/>
      <c r="DBV22" s="3"/>
      <c r="DBW22" s="3"/>
      <c r="DBX22" s="3"/>
      <c r="DBY22" s="3"/>
      <c r="DBZ22" s="3"/>
      <c r="DCA22" s="3"/>
      <c r="DCB22" s="3"/>
      <c r="DCC22" s="3"/>
      <c r="DCD22" s="3"/>
      <c r="DCE22" s="3"/>
      <c r="DCF22" s="3"/>
      <c r="DCG22" s="3"/>
      <c r="DCH22" s="3"/>
      <c r="DCI22" s="3"/>
      <c r="DCJ22" s="3"/>
      <c r="DCK22" s="3"/>
      <c r="DCL22" s="3"/>
      <c r="DCM22" s="3"/>
      <c r="DCN22" s="3"/>
      <c r="DCO22" s="3"/>
      <c r="DCP22" s="3"/>
      <c r="DCQ22" s="3"/>
      <c r="DCR22" s="3"/>
      <c r="DCS22" s="3"/>
      <c r="DCT22" s="3"/>
      <c r="DCU22" s="3"/>
      <c r="DCV22" s="3"/>
      <c r="DCW22" s="3"/>
      <c r="DCX22" s="3"/>
      <c r="DCY22" s="3"/>
      <c r="DCZ22" s="3"/>
      <c r="DDA22" s="3"/>
      <c r="DDB22" s="3"/>
      <c r="DDC22" s="3"/>
      <c r="DDD22" s="3"/>
      <c r="DDE22" s="3"/>
      <c r="DDF22" s="3"/>
      <c r="DDG22" s="3"/>
      <c r="DDH22" s="3"/>
      <c r="DDI22" s="3"/>
      <c r="DDJ22" s="3"/>
      <c r="DDK22" s="3"/>
      <c r="DDL22" s="3"/>
      <c r="DDM22" s="3"/>
      <c r="DDN22" s="3"/>
      <c r="DDO22" s="3"/>
      <c r="DDP22" s="3"/>
      <c r="DDQ22" s="3"/>
      <c r="DDR22" s="3"/>
      <c r="DDS22" s="3"/>
      <c r="DDT22" s="3"/>
      <c r="DDU22" s="3"/>
      <c r="DDV22" s="3"/>
      <c r="DDW22" s="3"/>
      <c r="DDX22" s="3"/>
      <c r="DDY22" s="3"/>
      <c r="DDZ22" s="3"/>
      <c r="DEA22" s="3"/>
      <c r="DEB22" s="3"/>
      <c r="DEC22" s="3"/>
      <c r="DED22" s="3"/>
      <c r="DEE22" s="3"/>
      <c r="DEF22" s="3"/>
      <c r="DEG22" s="3"/>
      <c r="DEH22" s="3"/>
      <c r="DEI22" s="3"/>
      <c r="DEJ22" s="3"/>
      <c r="DEK22" s="3"/>
      <c r="DEL22" s="3"/>
      <c r="DEM22" s="3"/>
      <c r="DEN22" s="3"/>
      <c r="DEO22" s="3"/>
      <c r="DEP22" s="3"/>
      <c r="DEQ22" s="3"/>
      <c r="DER22" s="3"/>
      <c r="DES22" s="3"/>
      <c r="DET22" s="3"/>
      <c r="DEU22" s="3"/>
      <c r="DEV22" s="3"/>
      <c r="DEW22" s="3"/>
      <c r="DEX22" s="3"/>
      <c r="DEY22" s="3"/>
      <c r="DEZ22" s="3"/>
      <c r="DFA22" s="3"/>
      <c r="DFB22" s="3"/>
      <c r="DFC22" s="3"/>
      <c r="DFD22" s="3"/>
      <c r="DFE22" s="3"/>
      <c r="DFF22" s="3"/>
      <c r="DFG22" s="3"/>
      <c r="DFH22" s="3"/>
      <c r="DFI22" s="3"/>
      <c r="DFJ22" s="3"/>
      <c r="DFK22" s="3"/>
      <c r="DFL22" s="3"/>
      <c r="DFM22" s="3"/>
      <c r="DFN22" s="3"/>
      <c r="DFO22" s="3"/>
      <c r="DFP22" s="3"/>
      <c r="DFQ22" s="3"/>
      <c r="DFR22" s="3"/>
      <c r="DFS22" s="3"/>
      <c r="DFT22" s="3"/>
      <c r="DFU22" s="3"/>
      <c r="DFV22" s="3"/>
      <c r="DFW22" s="3"/>
      <c r="DFX22" s="3"/>
      <c r="DFY22" s="3"/>
      <c r="DFZ22" s="3"/>
      <c r="DGA22" s="3"/>
      <c r="DGB22" s="3"/>
      <c r="DGC22" s="3"/>
      <c r="DGD22" s="3"/>
      <c r="DGE22" s="3"/>
      <c r="DGF22" s="3"/>
      <c r="DGG22" s="3"/>
      <c r="DGH22" s="3"/>
      <c r="DGI22" s="3"/>
      <c r="DGJ22" s="3"/>
      <c r="DGK22" s="3"/>
      <c r="DGL22" s="3"/>
      <c r="DGM22" s="3"/>
      <c r="DGN22" s="3"/>
      <c r="DGO22" s="3"/>
      <c r="DGP22" s="3"/>
      <c r="DGQ22" s="3"/>
      <c r="DGR22" s="3"/>
      <c r="DGS22" s="3"/>
      <c r="DGT22" s="3"/>
      <c r="DGU22" s="3"/>
      <c r="DGV22" s="3"/>
      <c r="DGW22" s="3"/>
      <c r="DGX22" s="3"/>
      <c r="DGY22" s="3"/>
      <c r="DGZ22" s="3"/>
      <c r="DHA22" s="3"/>
      <c r="DHB22" s="3"/>
      <c r="DHC22" s="3"/>
      <c r="DHD22" s="3"/>
      <c r="DHE22" s="3"/>
      <c r="DHF22" s="3"/>
      <c r="DHG22" s="3"/>
      <c r="DHH22" s="3"/>
      <c r="DHI22" s="3"/>
      <c r="DHJ22" s="3"/>
      <c r="DHK22" s="3"/>
      <c r="DHL22" s="3"/>
      <c r="DHM22" s="3"/>
      <c r="DHN22" s="3"/>
      <c r="DHO22" s="3"/>
      <c r="DHP22" s="3"/>
      <c r="DHQ22" s="3"/>
      <c r="DHR22" s="3"/>
      <c r="DHS22" s="3"/>
      <c r="DHT22" s="3"/>
      <c r="DHU22" s="3"/>
      <c r="DHV22" s="3"/>
      <c r="DHW22" s="3"/>
      <c r="DHX22" s="3"/>
      <c r="DHY22" s="3"/>
      <c r="DHZ22" s="3"/>
      <c r="DIA22" s="3"/>
      <c r="DIB22" s="3"/>
      <c r="DIC22" s="3"/>
      <c r="DID22" s="3"/>
      <c r="DIE22" s="3"/>
      <c r="DIF22" s="3"/>
      <c r="DIG22" s="3"/>
      <c r="DIH22" s="3"/>
      <c r="DII22" s="3"/>
      <c r="DIJ22" s="3"/>
      <c r="DIK22" s="3"/>
      <c r="DIL22" s="3"/>
      <c r="DIM22" s="3"/>
      <c r="DIN22" s="3"/>
      <c r="DIO22" s="3"/>
      <c r="DIP22" s="3"/>
      <c r="DIQ22" s="3"/>
      <c r="DIR22" s="3"/>
      <c r="DIS22" s="3"/>
      <c r="DIT22" s="3"/>
      <c r="DIU22" s="3"/>
      <c r="DIV22" s="3"/>
      <c r="DIW22" s="3"/>
      <c r="DIX22" s="3"/>
      <c r="DIY22" s="3"/>
      <c r="DIZ22" s="3"/>
      <c r="DJA22" s="3"/>
      <c r="DJB22" s="3"/>
      <c r="DJC22" s="3"/>
      <c r="DJD22" s="3"/>
      <c r="DJE22" s="3"/>
      <c r="DJF22" s="3"/>
      <c r="DJG22" s="3"/>
      <c r="DJH22" s="3"/>
      <c r="DJI22" s="3"/>
      <c r="DJJ22" s="3"/>
      <c r="DJK22" s="3"/>
      <c r="DJL22" s="3"/>
      <c r="DJM22" s="3"/>
      <c r="DJN22" s="3"/>
      <c r="DJO22" s="3"/>
      <c r="DJP22" s="3"/>
      <c r="DJQ22" s="3"/>
      <c r="DJR22" s="3"/>
      <c r="DJS22" s="3"/>
      <c r="DJT22" s="3"/>
      <c r="DJU22" s="3"/>
      <c r="DJV22" s="3"/>
      <c r="DJW22" s="3"/>
      <c r="DJX22" s="3"/>
      <c r="DJY22" s="3"/>
      <c r="DJZ22" s="3"/>
      <c r="DKA22" s="3"/>
      <c r="DKB22" s="3"/>
      <c r="DKC22" s="3"/>
      <c r="DKD22" s="3"/>
      <c r="DKE22" s="3"/>
      <c r="DKF22" s="3"/>
      <c r="DKG22" s="3"/>
      <c r="DKH22" s="3"/>
      <c r="DKI22" s="3"/>
      <c r="DKJ22" s="3"/>
      <c r="DKK22" s="3"/>
      <c r="DKL22" s="3"/>
      <c r="DKM22" s="3"/>
      <c r="DKN22" s="3"/>
      <c r="DKO22" s="3"/>
      <c r="DKP22" s="3"/>
      <c r="DKQ22" s="3"/>
      <c r="DKR22" s="3"/>
      <c r="DKS22" s="3"/>
      <c r="DKT22" s="3"/>
      <c r="DKU22" s="3"/>
      <c r="DKV22" s="3"/>
      <c r="DKW22" s="3"/>
      <c r="DKX22" s="3"/>
      <c r="DKY22" s="3"/>
      <c r="DKZ22" s="3"/>
      <c r="DLA22" s="3"/>
      <c r="DLB22" s="3"/>
      <c r="DLC22" s="3"/>
      <c r="DLD22" s="3"/>
      <c r="DLE22" s="3"/>
      <c r="DLF22" s="3"/>
      <c r="DLG22" s="3"/>
      <c r="DLH22" s="3"/>
      <c r="DLI22" s="3"/>
      <c r="DLJ22" s="3"/>
      <c r="DLK22" s="3"/>
      <c r="DLL22" s="3"/>
      <c r="DLM22" s="3"/>
      <c r="DLN22" s="3"/>
      <c r="DLO22" s="3"/>
      <c r="DLP22" s="3"/>
      <c r="DLQ22" s="3"/>
      <c r="DLR22" s="3"/>
      <c r="DLS22" s="3"/>
      <c r="DLT22" s="3"/>
      <c r="DLU22" s="3"/>
      <c r="DLV22" s="3"/>
      <c r="DLW22" s="3"/>
      <c r="DLX22" s="3"/>
      <c r="DLY22" s="3"/>
      <c r="DLZ22" s="3"/>
      <c r="DMA22" s="3"/>
      <c r="DMB22" s="3"/>
      <c r="DMC22" s="3"/>
      <c r="DMD22" s="3"/>
      <c r="DME22" s="3"/>
      <c r="DMF22" s="3"/>
      <c r="DMG22" s="3"/>
      <c r="DMH22" s="3"/>
      <c r="DMI22" s="3"/>
      <c r="DMJ22" s="3"/>
      <c r="DMK22" s="3"/>
      <c r="DML22" s="3"/>
      <c r="DMM22" s="3"/>
      <c r="DMN22" s="3"/>
      <c r="DMO22" s="3"/>
      <c r="DMP22" s="3"/>
      <c r="DMQ22" s="3"/>
      <c r="DMR22" s="3"/>
      <c r="DMS22" s="3"/>
      <c r="DMT22" s="3"/>
      <c r="DMU22" s="3"/>
      <c r="DMV22" s="3"/>
      <c r="DMW22" s="3"/>
      <c r="DMX22" s="3"/>
      <c r="DMY22" s="3"/>
      <c r="DMZ22" s="3"/>
      <c r="DNA22" s="3"/>
      <c r="DNB22" s="3"/>
      <c r="DNC22" s="3"/>
      <c r="DND22" s="3"/>
      <c r="DNE22" s="3"/>
      <c r="DNF22" s="3"/>
      <c r="DNG22" s="3"/>
      <c r="DNH22" s="3"/>
      <c r="DNI22" s="3"/>
      <c r="DNJ22" s="3"/>
      <c r="DNK22" s="3"/>
      <c r="DNL22" s="3"/>
      <c r="DNM22" s="3"/>
      <c r="DNN22" s="3"/>
      <c r="DNO22" s="3"/>
      <c r="DNP22" s="3"/>
      <c r="DNQ22" s="3"/>
      <c r="DNR22" s="3"/>
      <c r="DNS22" s="3"/>
      <c r="DNT22" s="3"/>
      <c r="DNU22" s="3"/>
      <c r="DNV22" s="3"/>
      <c r="DNW22" s="3"/>
      <c r="DNX22" s="3"/>
      <c r="DNY22" s="3"/>
      <c r="DNZ22" s="3"/>
      <c r="DOA22" s="3"/>
      <c r="DOB22" s="3"/>
      <c r="DOC22" s="3"/>
      <c r="DOD22" s="3"/>
      <c r="DOE22" s="3"/>
      <c r="DOF22" s="3"/>
      <c r="DOG22" s="3"/>
      <c r="DOH22" s="3"/>
      <c r="DOI22" s="3"/>
      <c r="DOJ22" s="3"/>
      <c r="DOK22" s="3"/>
      <c r="DOL22" s="3"/>
      <c r="DOM22" s="3"/>
      <c r="DON22" s="3"/>
      <c r="DOO22" s="3"/>
      <c r="DOP22" s="3"/>
      <c r="DOQ22" s="3"/>
      <c r="DOR22" s="3"/>
      <c r="DOS22" s="3"/>
      <c r="DOT22" s="3"/>
      <c r="DOU22" s="3"/>
      <c r="DOV22" s="3"/>
      <c r="DOW22" s="3"/>
      <c r="DOX22" s="3"/>
      <c r="DOY22" s="3"/>
      <c r="DOZ22" s="3"/>
      <c r="DPA22" s="3"/>
      <c r="DPB22" s="3"/>
      <c r="DPC22" s="3"/>
      <c r="DPD22" s="3"/>
      <c r="DPE22" s="3"/>
      <c r="DPF22" s="3"/>
      <c r="DPG22" s="3"/>
      <c r="DPH22" s="3"/>
      <c r="DPI22" s="3"/>
      <c r="DPJ22" s="3"/>
      <c r="DPK22" s="3"/>
      <c r="DPL22" s="3"/>
      <c r="DPM22" s="3"/>
      <c r="DPN22" s="3"/>
      <c r="DPO22" s="3"/>
      <c r="DPP22" s="3"/>
      <c r="DPQ22" s="3"/>
      <c r="DPR22" s="3"/>
      <c r="DPS22" s="3"/>
      <c r="DPT22" s="3"/>
      <c r="DPU22" s="3"/>
      <c r="DPV22" s="3"/>
      <c r="DPW22" s="3"/>
      <c r="DPX22" s="3"/>
      <c r="DPY22" s="3"/>
      <c r="DPZ22" s="3"/>
      <c r="DQA22" s="3"/>
      <c r="DQB22" s="3"/>
      <c r="DQC22" s="3"/>
      <c r="DQD22" s="3"/>
      <c r="DQE22" s="3"/>
      <c r="DQF22" s="3"/>
      <c r="DQG22" s="3"/>
      <c r="DQH22" s="3"/>
      <c r="DQI22" s="3"/>
      <c r="DQJ22" s="3"/>
      <c r="DQK22" s="3"/>
      <c r="DQL22" s="3"/>
      <c r="DQM22" s="3"/>
      <c r="DQN22" s="3"/>
      <c r="DQO22" s="3"/>
      <c r="DQP22" s="3"/>
      <c r="DQQ22" s="3"/>
      <c r="DQR22" s="3"/>
      <c r="DQS22" s="3"/>
      <c r="DQT22" s="3"/>
      <c r="DQU22" s="3"/>
      <c r="DQV22" s="3"/>
      <c r="DQW22" s="3"/>
      <c r="DQX22" s="3"/>
      <c r="DQY22" s="3"/>
      <c r="DQZ22" s="3"/>
      <c r="DRA22" s="3"/>
      <c r="DRB22" s="3"/>
      <c r="DRC22" s="3"/>
      <c r="DRD22" s="3"/>
      <c r="DRE22" s="3"/>
      <c r="DRF22" s="3"/>
      <c r="DRG22" s="3"/>
      <c r="DRH22" s="3"/>
      <c r="DRI22" s="3"/>
      <c r="DRJ22" s="3"/>
      <c r="DRK22" s="3"/>
      <c r="DRL22" s="3"/>
      <c r="DRM22" s="3"/>
      <c r="DRN22" s="3"/>
      <c r="DRO22" s="3"/>
      <c r="DRP22" s="3"/>
      <c r="DRQ22" s="3"/>
      <c r="DRR22" s="3"/>
      <c r="DRS22" s="3"/>
      <c r="DRT22" s="3"/>
      <c r="DRU22" s="3"/>
      <c r="DRV22" s="3"/>
      <c r="DRW22" s="3"/>
      <c r="DRX22" s="3"/>
      <c r="DRY22" s="3"/>
      <c r="DRZ22" s="3"/>
      <c r="DSA22" s="3"/>
      <c r="DSB22" s="3"/>
      <c r="DSC22" s="3"/>
      <c r="DSD22" s="3"/>
      <c r="DSE22" s="3"/>
      <c r="DSF22" s="3"/>
      <c r="DSG22" s="3"/>
      <c r="DSH22" s="3"/>
      <c r="DSI22" s="3"/>
      <c r="DSJ22" s="3"/>
      <c r="DSK22" s="3"/>
      <c r="DSL22" s="3"/>
      <c r="DSM22" s="3"/>
      <c r="DSN22" s="3"/>
      <c r="DSO22" s="3"/>
      <c r="DSP22" s="3"/>
      <c r="DSQ22" s="3"/>
      <c r="DSR22" s="3"/>
      <c r="DSS22" s="3"/>
      <c r="DST22" s="3"/>
      <c r="DSU22" s="3"/>
      <c r="DSV22" s="3"/>
      <c r="DSW22" s="3"/>
      <c r="DSX22" s="3"/>
      <c r="DSY22" s="3"/>
      <c r="DSZ22" s="3"/>
      <c r="DTA22" s="3"/>
      <c r="DTB22" s="3"/>
      <c r="DTC22" s="3"/>
      <c r="DTD22" s="3"/>
      <c r="DTE22" s="3"/>
      <c r="DTF22" s="3"/>
      <c r="DTG22" s="3"/>
      <c r="DTH22" s="3"/>
      <c r="DTI22" s="3"/>
      <c r="DTJ22" s="3"/>
      <c r="DTK22" s="3"/>
      <c r="DTL22" s="3"/>
      <c r="DTM22" s="3"/>
      <c r="DTN22" s="3"/>
      <c r="DTO22" s="3"/>
      <c r="DTP22" s="3"/>
      <c r="DTQ22" s="3"/>
      <c r="DTR22" s="3"/>
      <c r="DTS22" s="3"/>
      <c r="DTT22" s="3"/>
      <c r="DTU22" s="3"/>
      <c r="DTV22" s="3"/>
      <c r="DTW22" s="3"/>
      <c r="DTX22" s="3"/>
      <c r="DTY22" s="3"/>
      <c r="DTZ22" s="3"/>
      <c r="DUA22" s="3"/>
      <c r="DUB22" s="3"/>
      <c r="DUC22" s="3"/>
      <c r="DUD22" s="3"/>
      <c r="DUE22" s="3"/>
      <c r="DUF22" s="3"/>
      <c r="DUG22" s="3"/>
      <c r="DUH22" s="3"/>
      <c r="DUI22" s="3"/>
      <c r="DUJ22" s="3"/>
      <c r="DUK22" s="3"/>
      <c r="DUL22" s="3"/>
      <c r="DUM22" s="3"/>
      <c r="DUN22" s="3"/>
      <c r="DUO22" s="3"/>
      <c r="DUP22" s="3"/>
      <c r="DUQ22" s="3"/>
      <c r="DUR22" s="3"/>
      <c r="DUS22" s="3"/>
      <c r="DUT22" s="3"/>
      <c r="DUU22" s="3"/>
      <c r="DUV22" s="3"/>
      <c r="DUW22" s="3"/>
      <c r="DUX22" s="3"/>
      <c r="DUY22" s="3"/>
      <c r="DUZ22" s="3"/>
      <c r="DVA22" s="3"/>
      <c r="DVB22" s="3"/>
      <c r="DVC22" s="3"/>
      <c r="DVD22" s="3"/>
      <c r="DVE22" s="3"/>
      <c r="DVF22" s="3"/>
      <c r="DVG22" s="3"/>
      <c r="DVH22" s="3"/>
      <c r="DVI22" s="3"/>
      <c r="DVJ22" s="3"/>
      <c r="DVK22" s="3"/>
      <c r="DVL22" s="3"/>
      <c r="DVM22" s="3"/>
      <c r="DVN22" s="3"/>
      <c r="DVO22" s="3"/>
      <c r="DVP22" s="3"/>
      <c r="DVQ22" s="3"/>
      <c r="DVR22" s="3"/>
      <c r="DVS22" s="3"/>
      <c r="DVT22" s="3"/>
      <c r="DVU22" s="3"/>
      <c r="DVV22" s="3"/>
      <c r="DVW22" s="3"/>
      <c r="DVX22" s="3"/>
      <c r="DVY22" s="3"/>
      <c r="DVZ22" s="3"/>
      <c r="DWA22" s="3"/>
      <c r="DWB22" s="3"/>
      <c r="DWC22" s="3"/>
      <c r="DWD22" s="3"/>
      <c r="DWE22" s="3"/>
      <c r="DWF22" s="3"/>
      <c r="DWG22" s="3"/>
      <c r="DWH22" s="3"/>
      <c r="DWI22" s="3"/>
      <c r="DWJ22" s="3"/>
      <c r="DWK22" s="3"/>
      <c r="DWL22" s="3"/>
      <c r="DWM22" s="3"/>
      <c r="DWN22" s="3"/>
      <c r="DWO22" s="3"/>
      <c r="DWP22" s="3"/>
      <c r="DWQ22" s="3"/>
      <c r="DWR22" s="3"/>
      <c r="DWS22" s="3"/>
      <c r="DWT22" s="3"/>
      <c r="DWU22" s="3"/>
      <c r="DWV22" s="3"/>
      <c r="DWW22" s="3"/>
      <c r="DWX22" s="3"/>
      <c r="DWY22" s="3"/>
      <c r="DWZ22" s="3"/>
      <c r="DXA22" s="3"/>
      <c r="DXB22" s="3"/>
      <c r="DXC22" s="3"/>
      <c r="DXD22" s="3"/>
      <c r="DXE22" s="3"/>
      <c r="DXF22" s="3"/>
      <c r="DXG22" s="3"/>
      <c r="DXH22" s="3"/>
      <c r="DXI22" s="3"/>
      <c r="DXJ22" s="3"/>
      <c r="DXK22" s="3"/>
      <c r="DXL22" s="3"/>
      <c r="DXM22" s="3"/>
      <c r="DXN22" s="3"/>
      <c r="DXO22" s="3"/>
      <c r="DXP22" s="3"/>
      <c r="DXQ22" s="3"/>
      <c r="DXR22" s="3"/>
      <c r="DXS22" s="3"/>
      <c r="DXT22" s="3"/>
      <c r="DXU22" s="3"/>
      <c r="DXV22" s="3"/>
      <c r="DXW22" s="3"/>
      <c r="DXX22" s="3"/>
      <c r="DXY22" s="3"/>
      <c r="DXZ22" s="3"/>
      <c r="DYA22" s="3"/>
      <c r="DYB22" s="3"/>
      <c r="DYC22" s="3"/>
      <c r="DYD22" s="3"/>
      <c r="DYE22" s="3"/>
      <c r="DYF22" s="3"/>
      <c r="DYG22" s="3"/>
      <c r="DYH22" s="3"/>
      <c r="DYI22" s="3"/>
      <c r="DYJ22" s="3"/>
      <c r="DYK22" s="3"/>
      <c r="DYL22" s="3"/>
      <c r="DYM22" s="3"/>
      <c r="DYN22" s="3"/>
      <c r="DYO22" s="3"/>
      <c r="DYP22" s="3"/>
      <c r="DYQ22" s="3"/>
      <c r="DYR22" s="3"/>
      <c r="DYS22" s="3"/>
      <c r="DYT22" s="3"/>
      <c r="DYU22" s="3"/>
      <c r="DYV22" s="3"/>
      <c r="DYW22" s="3"/>
      <c r="DYX22" s="3"/>
      <c r="DYY22" s="3"/>
      <c r="DYZ22" s="3"/>
      <c r="DZA22" s="3"/>
      <c r="DZB22" s="3"/>
      <c r="DZC22" s="3"/>
      <c r="DZD22" s="3"/>
      <c r="DZE22" s="3"/>
      <c r="DZF22" s="3"/>
      <c r="DZG22" s="3"/>
      <c r="DZH22" s="3"/>
      <c r="DZI22" s="3"/>
      <c r="DZJ22" s="3"/>
      <c r="DZK22" s="3"/>
      <c r="DZL22" s="3"/>
      <c r="DZM22" s="3"/>
      <c r="DZN22" s="3"/>
      <c r="DZO22" s="3"/>
      <c r="DZP22" s="3"/>
      <c r="DZQ22" s="3"/>
      <c r="DZR22" s="3"/>
      <c r="DZS22" s="3"/>
      <c r="DZT22" s="3"/>
      <c r="DZU22" s="3"/>
      <c r="DZV22" s="3"/>
      <c r="DZW22" s="3"/>
      <c r="DZX22" s="3"/>
      <c r="DZY22" s="3"/>
      <c r="DZZ22" s="3"/>
      <c r="EAA22" s="3"/>
      <c r="EAB22" s="3"/>
      <c r="EAC22" s="3"/>
      <c r="EAD22" s="3"/>
      <c r="EAE22" s="3"/>
      <c r="EAF22" s="3"/>
      <c r="EAG22" s="3"/>
      <c r="EAH22" s="3"/>
      <c r="EAI22" s="3"/>
      <c r="EAJ22" s="3"/>
      <c r="EAK22" s="3"/>
      <c r="EAL22" s="3"/>
      <c r="EAM22" s="3"/>
      <c r="EAN22" s="3"/>
      <c r="EAO22" s="3"/>
      <c r="EAP22" s="3"/>
      <c r="EAQ22" s="3"/>
      <c r="EAR22" s="3"/>
      <c r="EAS22" s="3"/>
      <c r="EAT22" s="3"/>
      <c r="EAU22" s="3"/>
      <c r="EAV22" s="3"/>
      <c r="EAW22" s="3"/>
      <c r="EAX22" s="3"/>
      <c r="EAY22" s="3"/>
      <c r="EAZ22" s="3"/>
      <c r="EBA22" s="3"/>
      <c r="EBB22" s="3"/>
      <c r="EBC22" s="3"/>
      <c r="EBD22" s="3"/>
      <c r="EBE22" s="3"/>
      <c r="EBF22" s="3"/>
      <c r="EBG22" s="3"/>
      <c r="EBH22" s="3"/>
      <c r="EBI22" s="3"/>
      <c r="EBJ22" s="3"/>
      <c r="EBK22" s="3"/>
      <c r="EBL22" s="3"/>
      <c r="EBM22" s="3"/>
      <c r="EBN22" s="3"/>
      <c r="EBO22" s="3"/>
      <c r="EBP22" s="3"/>
      <c r="EBQ22" s="3"/>
      <c r="EBR22" s="3"/>
      <c r="EBS22" s="3"/>
      <c r="EBT22" s="3"/>
      <c r="EBU22" s="3"/>
      <c r="EBV22" s="3"/>
      <c r="EBW22" s="3"/>
      <c r="EBX22" s="3"/>
      <c r="EBY22" s="3"/>
      <c r="EBZ22" s="3"/>
      <c r="ECA22" s="3"/>
      <c r="ECB22" s="3"/>
      <c r="ECC22" s="3"/>
      <c r="ECD22" s="3"/>
      <c r="ECE22" s="3"/>
      <c r="ECF22" s="3"/>
      <c r="ECG22" s="3"/>
      <c r="ECH22" s="3"/>
      <c r="ECI22" s="3"/>
      <c r="ECJ22" s="3"/>
      <c r="ECK22" s="3"/>
      <c r="ECL22" s="3"/>
      <c r="ECM22" s="3"/>
      <c r="ECN22" s="3"/>
      <c r="ECO22" s="3"/>
      <c r="ECP22" s="3"/>
      <c r="ECQ22" s="3"/>
      <c r="ECR22" s="3"/>
      <c r="ECS22" s="3"/>
      <c r="ECT22" s="3"/>
      <c r="ECU22" s="3"/>
      <c r="ECV22" s="3"/>
      <c r="ECW22" s="3"/>
      <c r="ECX22" s="3"/>
      <c r="ECY22" s="3"/>
      <c r="ECZ22" s="3"/>
      <c r="EDA22" s="3"/>
      <c r="EDB22" s="3"/>
      <c r="EDC22" s="3"/>
      <c r="EDD22" s="3"/>
      <c r="EDE22" s="3"/>
      <c r="EDF22" s="3"/>
      <c r="EDG22" s="3"/>
      <c r="EDH22" s="3"/>
      <c r="EDI22" s="3"/>
      <c r="EDJ22" s="3"/>
      <c r="EDK22" s="3"/>
      <c r="EDL22" s="3"/>
      <c r="EDM22" s="3"/>
      <c r="EDN22" s="3"/>
      <c r="EDO22" s="3"/>
      <c r="EDP22" s="3"/>
      <c r="EDQ22" s="3"/>
      <c r="EDR22" s="3"/>
      <c r="EDS22" s="3"/>
      <c r="EDT22" s="3"/>
      <c r="EDU22" s="3"/>
      <c r="EDV22" s="3"/>
      <c r="EDW22" s="3"/>
      <c r="EDX22" s="3"/>
      <c r="EDY22" s="3"/>
      <c r="EDZ22" s="3"/>
      <c r="EEA22" s="3"/>
      <c r="EEB22" s="3"/>
      <c r="EEC22" s="3"/>
      <c r="EED22" s="3"/>
      <c r="EEE22" s="3"/>
      <c r="EEF22" s="3"/>
      <c r="EEG22" s="3"/>
      <c r="EEH22" s="3"/>
      <c r="EEI22" s="3"/>
      <c r="EEJ22" s="3"/>
      <c r="EEK22" s="3"/>
      <c r="EEL22" s="3"/>
      <c r="EEM22" s="3"/>
      <c r="EEN22" s="3"/>
      <c r="EEO22" s="3"/>
      <c r="EEP22" s="3"/>
      <c r="EEQ22" s="3"/>
      <c r="EER22" s="3"/>
      <c r="EES22" s="3"/>
      <c r="EET22" s="3"/>
      <c r="EEU22" s="3"/>
      <c r="EEV22" s="3"/>
      <c r="EEW22" s="3"/>
      <c r="EEX22" s="3"/>
      <c r="EEY22" s="3"/>
      <c r="EEZ22" s="3"/>
      <c r="EFA22" s="3"/>
      <c r="EFB22" s="3"/>
      <c r="EFC22" s="3"/>
      <c r="EFD22" s="3"/>
      <c r="EFE22" s="3"/>
      <c r="EFF22" s="3"/>
      <c r="EFG22" s="3"/>
      <c r="EFH22" s="3"/>
      <c r="EFI22" s="3"/>
      <c r="EFJ22" s="3"/>
      <c r="EFK22" s="3"/>
      <c r="EFL22" s="3"/>
      <c r="EFM22" s="3"/>
      <c r="EFN22" s="3"/>
      <c r="EFO22" s="3"/>
      <c r="EFP22" s="3"/>
      <c r="EFQ22" s="3"/>
      <c r="EFR22" s="3"/>
      <c r="EFS22" s="3"/>
      <c r="EFT22" s="3"/>
      <c r="EFU22" s="3"/>
      <c r="EFV22" s="3"/>
      <c r="EFW22" s="3"/>
      <c r="EFX22" s="3"/>
      <c r="EFY22" s="3"/>
      <c r="EFZ22" s="3"/>
      <c r="EGA22" s="3"/>
      <c r="EGB22" s="3"/>
      <c r="EGC22" s="3"/>
      <c r="EGD22" s="3"/>
      <c r="EGE22" s="3"/>
      <c r="EGF22" s="3"/>
      <c r="EGG22" s="3"/>
      <c r="EGH22" s="3"/>
      <c r="EGI22" s="3"/>
      <c r="EGJ22" s="3"/>
      <c r="EGK22" s="3"/>
      <c r="EGL22" s="3"/>
      <c r="EGM22" s="3"/>
      <c r="EGN22" s="3"/>
      <c r="EGO22" s="3"/>
      <c r="EGP22" s="3"/>
      <c r="EGQ22" s="3"/>
      <c r="EGR22" s="3"/>
      <c r="EGS22" s="3"/>
      <c r="EGT22" s="3"/>
      <c r="EGU22" s="3"/>
      <c r="EGV22" s="3"/>
      <c r="EGW22" s="3"/>
      <c r="EGX22" s="3"/>
      <c r="EGY22" s="3"/>
      <c r="EGZ22" s="3"/>
      <c r="EHA22" s="3"/>
      <c r="EHB22" s="3"/>
      <c r="EHC22" s="3"/>
      <c r="EHD22" s="3"/>
      <c r="EHE22" s="3"/>
      <c r="EHF22" s="3"/>
      <c r="EHG22" s="3"/>
      <c r="EHH22" s="3"/>
      <c r="EHI22" s="3"/>
      <c r="EHJ22" s="3"/>
      <c r="EHK22" s="3"/>
      <c r="EHL22" s="3"/>
      <c r="EHM22" s="3"/>
      <c r="EHN22" s="3"/>
      <c r="EHO22" s="3"/>
      <c r="EHP22" s="3"/>
      <c r="EHQ22" s="3"/>
      <c r="EHR22" s="3"/>
      <c r="EHS22" s="3"/>
      <c r="EHT22" s="3"/>
      <c r="EHU22" s="3"/>
      <c r="EHV22" s="3"/>
      <c r="EHW22" s="3"/>
      <c r="EHX22" s="3"/>
      <c r="EHY22" s="3"/>
      <c r="EHZ22" s="3"/>
      <c r="EIA22" s="3"/>
      <c r="EIB22" s="3"/>
      <c r="EIC22" s="3"/>
      <c r="EID22" s="3"/>
      <c r="EIE22" s="3"/>
      <c r="EIF22" s="3"/>
      <c r="EIG22" s="3"/>
      <c r="EIH22" s="3"/>
      <c r="EII22" s="3"/>
      <c r="EIJ22" s="3"/>
      <c r="EIK22" s="3"/>
      <c r="EIL22" s="3"/>
      <c r="EIM22" s="3"/>
      <c r="EIN22" s="3"/>
      <c r="EIO22" s="3"/>
      <c r="EIP22" s="3"/>
      <c r="EIQ22" s="3"/>
      <c r="EIR22" s="3"/>
      <c r="EIS22" s="3"/>
      <c r="EIT22" s="3"/>
      <c r="EIU22" s="3"/>
      <c r="EIV22" s="3"/>
      <c r="EIW22" s="3"/>
      <c r="EIX22" s="3"/>
      <c r="EIY22" s="3"/>
      <c r="EIZ22" s="3"/>
      <c r="EJA22" s="3"/>
      <c r="EJB22" s="3"/>
      <c r="EJC22" s="3"/>
      <c r="EJD22" s="3"/>
      <c r="EJE22" s="3"/>
      <c r="EJF22" s="3"/>
      <c r="EJG22" s="3"/>
      <c r="EJH22" s="3"/>
      <c r="EJI22" s="3"/>
      <c r="EJJ22" s="3"/>
      <c r="EJK22" s="3"/>
      <c r="EJL22" s="3"/>
      <c r="EJM22" s="3"/>
      <c r="EJN22" s="3"/>
      <c r="EJO22" s="3"/>
      <c r="EJP22" s="3"/>
      <c r="EJQ22" s="3"/>
      <c r="EJR22" s="3"/>
      <c r="EJS22" s="3"/>
      <c r="EJT22" s="3"/>
      <c r="EJU22" s="3"/>
      <c r="EJV22" s="3"/>
      <c r="EJW22" s="3"/>
      <c r="EJX22" s="3"/>
      <c r="EJY22" s="3"/>
      <c r="EJZ22" s="3"/>
      <c r="EKA22" s="3"/>
      <c r="EKB22" s="3"/>
      <c r="EKC22" s="3"/>
      <c r="EKD22" s="3"/>
      <c r="EKE22" s="3"/>
      <c r="EKF22" s="3"/>
      <c r="EKG22" s="3"/>
      <c r="EKH22" s="3"/>
      <c r="EKI22" s="3"/>
      <c r="EKJ22" s="3"/>
      <c r="EKK22" s="3"/>
      <c r="EKL22" s="3"/>
      <c r="EKM22" s="3"/>
      <c r="EKN22" s="3"/>
      <c r="EKO22" s="3"/>
      <c r="EKP22" s="3"/>
      <c r="EKQ22" s="3"/>
      <c r="EKR22" s="3"/>
      <c r="EKS22" s="3"/>
      <c r="EKT22" s="3"/>
      <c r="EKU22" s="3"/>
      <c r="EKV22" s="3"/>
      <c r="EKW22" s="3"/>
      <c r="EKX22" s="3"/>
      <c r="EKY22" s="3"/>
      <c r="EKZ22" s="3"/>
      <c r="ELA22" s="3"/>
      <c r="ELB22" s="3"/>
      <c r="ELC22" s="3"/>
      <c r="ELD22" s="3"/>
      <c r="ELE22" s="3"/>
      <c r="ELF22" s="3"/>
      <c r="ELG22" s="3"/>
      <c r="ELH22" s="3"/>
      <c r="ELI22" s="3"/>
      <c r="ELJ22" s="3"/>
      <c r="ELK22" s="3"/>
      <c r="ELL22" s="3"/>
      <c r="ELM22" s="3"/>
      <c r="ELN22" s="3"/>
      <c r="ELO22" s="3"/>
      <c r="ELP22" s="3"/>
      <c r="ELQ22" s="3"/>
      <c r="ELR22" s="3"/>
      <c r="ELS22" s="3"/>
      <c r="ELT22" s="3"/>
      <c r="ELU22" s="3"/>
      <c r="ELV22" s="3"/>
      <c r="ELW22" s="3"/>
      <c r="ELX22" s="3"/>
      <c r="ELY22" s="3"/>
      <c r="ELZ22" s="3"/>
      <c r="EMA22" s="3"/>
      <c r="EMB22" s="3"/>
      <c r="EMC22" s="3"/>
      <c r="EMD22" s="3"/>
      <c r="EME22" s="3"/>
      <c r="EMF22" s="3"/>
      <c r="EMG22" s="3"/>
      <c r="EMH22" s="3"/>
      <c r="EMI22" s="3"/>
      <c r="EMJ22" s="3"/>
      <c r="EMK22" s="3"/>
      <c r="EML22" s="3"/>
      <c r="EMM22" s="3"/>
      <c r="EMN22" s="3"/>
      <c r="EMO22" s="3"/>
      <c r="EMP22" s="3"/>
      <c r="EMQ22" s="3"/>
      <c r="EMR22" s="3"/>
      <c r="EMS22" s="3"/>
      <c r="EMT22" s="3"/>
      <c r="EMU22" s="3"/>
      <c r="EMV22" s="3"/>
      <c r="EMW22" s="3"/>
      <c r="EMX22" s="3"/>
      <c r="EMY22" s="3"/>
      <c r="EMZ22" s="3"/>
      <c r="ENA22" s="3"/>
      <c r="ENB22" s="3"/>
      <c r="ENC22" s="3"/>
      <c r="END22" s="3"/>
      <c r="ENE22" s="3"/>
      <c r="ENF22" s="3"/>
      <c r="ENG22" s="3"/>
      <c r="ENH22" s="3"/>
      <c r="ENI22" s="3"/>
      <c r="ENJ22" s="3"/>
      <c r="ENK22" s="3"/>
      <c r="ENL22" s="3"/>
      <c r="ENM22" s="3"/>
      <c r="ENN22" s="3"/>
      <c r="ENO22" s="3"/>
      <c r="ENP22" s="3"/>
      <c r="ENQ22" s="3"/>
      <c r="ENR22" s="3"/>
      <c r="ENS22" s="3"/>
      <c r="ENT22" s="3"/>
      <c r="ENU22" s="3"/>
      <c r="ENV22" s="3"/>
      <c r="ENW22" s="3"/>
      <c r="ENX22" s="3"/>
      <c r="ENY22" s="3"/>
      <c r="ENZ22" s="3"/>
      <c r="EOA22" s="3"/>
      <c r="EOB22" s="3"/>
      <c r="EOC22" s="3"/>
      <c r="EOD22" s="3"/>
      <c r="EOE22" s="3"/>
      <c r="EOF22" s="3"/>
      <c r="EOG22" s="3"/>
      <c r="EOH22" s="3"/>
      <c r="EOI22" s="3"/>
      <c r="EOJ22" s="3"/>
      <c r="EOK22" s="3"/>
      <c r="EOL22" s="3"/>
      <c r="EOM22" s="3"/>
      <c r="EON22" s="3"/>
      <c r="EOO22" s="3"/>
      <c r="EOP22" s="3"/>
      <c r="EOQ22" s="3"/>
      <c r="EOR22" s="3"/>
      <c r="EOS22" s="3"/>
      <c r="EOT22" s="3"/>
      <c r="EOU22" s="3"/>
      <c r="EOV22" s="3"/>
      <c r="EOW22" s="3"/>
      <c r="EOX22" s="3"/>
      <c r="EOY22" s="3"/>
      <c r="EOZ22" s="3"/>
      <c r="EPA22" s="3"/>
      <c r="EPB22" s="3"/>
      <c r="EPC22" s="3"/>
      <c r="EPD22" s="3"/>
      <c r="EPE22" s="3"/>
      <c r="EPF22" s="3"/>
      <c r="EPG22" s="3"/>
      <c r="EPH22" s="3"/>
      <c r="EPI22" s="3"/>
      <c r="EPJ22" s="3"/>
      <c r="EPK22" s="3"/>
      <c r="EPL22" s="3"/>
      <c r="EPM22" s="3"/>
      <c r="EPN22" s="3"/>
      <c r="EPO22" s="3"/>
      <c r="EPP22" s="3"/>
      <c r="EPQ22" s="3"/>
      <c r="EPR22" s="3"/>
      <c r="EPS22" s="3"/>
      <c r="EPT22" s="3"/>
      <c r="EPU22" s="3"/>
      <c r="EPV22" s="3"/>
      <c r="EPW22" s="3"/>
      <c r="EPX22" s="3"/>
      <c r="EPY22" s="3"/>
      <c r="EPZ22" s="3"/>
      <c r="EQA22" s="3"/>
      <c r="EQB22" s="3"/>
      <c r="EQC22" s="3"/>
      <c r="EQD22" s="3"/>
      <c r="EQE22" s="3"/>
      <c r="EQF22" s="3"/>
      <c r="EQG22" s="3"/>
      <c r="EQH22" s="3"/>
      <c r="EQI22" s="3"/>
      <c r="EQJ22" s="3"/>
      <c r="EQK22" s="3"/>
      <c r="EQL22" s="3"/>
      <c r="EQM22" s="3"/>
      <c r="EQN22" s="3"/>
      <c r="EQO22" s="3"/>
      <c r="EQP22" s="3"/>
      <c r="EQQ22" s="3"/>
      <c r="EQR22" s="3"/>
      <c r="EQS22" s="3"/>
      <c r="EQT22" s="3"/>
      <c r="EQU22" s="3"/>
      <c r="EQV22" s="3"/>
      <c r="EQW22" s="3"/>
      <c r="EQX22" s="3"/>
      <c r="EQY22" s="3"/>
      <c r="EQZ22" s="3"/>
      <c r="ERA22" s="3"/>
      <c r="ERB22" s="3"/>
      <c r="ERC22" s="3"/>
      <c r="ERD22" s="3"/>
      <c r="ERE22" s="3"/>
      <c r="ERF22" s="3"/>
      <c r="ERG22" s="3"/>
      <c r="ERH22" s="3"/>
      <c r="ERI22" s="3"/>
      <c r="ERJ22" s="3"/>
      <c r="ERK22" s="3"/>
      <c r="ERL22" s="3"/>
      <c r="ERM22" s="3"/>
      <c r="ERN22" s="3"/>
      <c r="ERO22" s="3"/>
      <c r="ERP22" s="3"/>
      <c r="ERQ22" s="3"/>
      <c r="ERR22" s="3"/>
      <c r="ERS22" s="3"/>
      <c r="ERT22" s="3"/>
      <c r="ERU22" s="3"/>
      <c r="ERV22" s="3"/>
      <c r="ERW22" s="3"/>
      <c r="ERX22" s="3"/>
      <c r="ERY22" s="3"/>
      <c r="ERZ22" s="3"/>
      <c r="ESA22" s="3"/>
      <c r="ESB22" s="3"/>
      <c r="ESC22" s="3"/>
      <c r="ESD22" s="3"/>
      <c r="ESE22" s="3"/>
      <c r="ESF22" s="3"/>
      <c r="ESG22" s="3"/>
      <c r="ESH22" s="3"/>
      <c r="ESI22" s="3"/>
      <c r="ESJ22" s="3"/>
      <c r="ESK22" s="3"/>
      <c r="ESL22" s="3"/>
      <c r="ESM22" s="3"/>
      <c r="ESN22" s="3"/>
      <c r="ESO22" s="3"/>
      <c r="ESP22" s="3"/>
      <c r="ESQ22" s="3"/>
      <c r="ESR22" s="3"/>
      <c r="ESS22" s="3"/>
      <c r="EST22" s="3"/>
      <c r="ESU22" s="3"/>
      <c r="ESV22" s="3"/>
      <c r="ESW22" s="3"/>
      <c r="ESX22" s="3"/>
      <c r="ESY22" s="3"/>
      <c r="ESZ22" s="3"/>
      <c r="ETA22" s="3"/>
      <c r="ETB22" s="3"/>
      <c r="ETC22" s="3"/>
      <c r="ETD22" s="3"/>
      <c r="ETE22" s="3"/>
      <c r="ETF22" s="3"/>
      <c r="ETG22" s="3"/>
      <c r="ETH22" s="3"/>
      <c r="ETI22" s="3"/>
      <c r="ETJ22" s="3"/>
      <c r="ETK22" s="3"/>
      <c r="ETL22" s="3"/>
      <c r="ETM22" s="3"/>
      <c r="ETN22" s="3"/>
      <c r="ETO22" s="3"/>
      <c r="ETP22" s="3"/>
      <c r="ETQ22" s="3"/>
      <c r="ETR22" s="3"/>
      <c r="ETS22" s="3"/>
      <c r="ETT22" s="3"/>
      <c r="ETU22" s="3"/>
      <c r="ETV22" s="3"/>
      <c r="ETW22" s="3"/>
      <c r="ETX22" s="3"/>
      <c r="ETY22" s="3"/>
      <c r="ETZ22" s="3"/>
      <c r="EUA22" s="3"/>
      <c r="EUB22" s="3"/>
      <c r="EUC22" s="3"/>
      <c r="EUD22" s="3"/>
      <c r="EUE22" s="3"/>
      <c r="EUF22" s="3"/>
      <c r="EUG22" s="3"/>
      <c r="EUH22" s="3"/>
      <c r="EUI22" s="3"/>
      <c r="EUJ22" s="3"/>
      <c r="EUK22" s="3"/>
      <c r="EUL22" s="3"/>
      <c r="EUM22" s="3"/>
      <c r="EUN22" s="3"/>
      <c r="EUO22" s="3"/>
      <c r="EUP22" s="3"/>
      <c r="EUQ22" s="3"/>
      <c r="EUR22" s="3"/>
      <c r="EUS22" s="3"/>
      <c r="EUT22" s="3"/>
      <c r="EUU22" s="3"/>
      <c r="EUV22" s="3"/>
      <c r="EUW22" s="3"/>
      <c r="EUX22" s="3"/>
      <c r="EUY22" s="3"/>
      <c r="EUZ22" s="3"/>
      <c r="EVA22" s="3"/>
      <c r="EVB22" s="3"/>
      <c r="EVC22" s="3"/>
      <c r="EVD22" s="3"/>
      <c r="EVE22" s="3"/>
      <c r="EVF22" s="3"/>
      <c r="EVG22" s="3"/>
      <c r="EVH22" s="3"/>
      <c r="EVI22" s="3"/>
      <c r="EVJ22" s="3"/>
      <c r="EVK22" s="3"/>
      <c r="EVL22" s="3"/>
      <c r="EVM22" s="3"/>
      <c r="EVN22" s="3"/>
      <c r="EVO22" s="3"/>
      <c r="EVP22" s="3"/>
      <c r="EVQ22" s="3"/>
      <c r="EVR22" s="3"/>
      <c r="EVS22" s="3"/>
      <c r="EVT22" s="3"/>
      <c r="EVU22" s="3"/>
      <c r="EVV22" s="3"/>
      <c r="EVW22" s="3"/>
      <c r="EVX22" s="3"/>
      <c r="EVY22" s="3"/>
      <c r="EVZ22" s="3"/>
      <c r="EWA22" s="3"/>
      <c r="EWB22" s="3"/>
      <c r="EWC22" s="3"/>
      <c r="EWD22" s="3"/>
      <c r="EWE22" s="3"/>
      <c r="EWF22" s="3"/>
      <c r="EWG22" s="3"/>
      <c r="EWH22" s="3"/>
      <c r="EWI22" s="3"/>
      <c r="EWJ22" s="3"/>
      <c r="EWK22" s="3"/>
      <c r="EWL22" s="3"/>
      <c r="EWM22" s="3"/>
      <c r="EWN22" s="3"/>
      <c r="EWO22" s="3"/>
      <c r="EWP22" s="3"/>
      <c r="EWQ22" s="3"/>
      <c r="EWR22" s="3"/>
      <c r="EWS22" s="3"/>
      <c r="EWT22" s="3"/>
      <c r="EWU22" s="3"/>
      <c r="EWV22" s="3"/>
      <c r="EWW22" s="3"/>
      <c r="EWX22" s="3"/>
      <c r="EWY22" s="3"/>
      <c r="EWZ22" s="3"/>
      <c r="EXA22" s="3"/>
      <c r="EXB22" s="3"/>
      <c r="EXC22" s="3"/>
      <c r="EXD22" s="3"/>
      <c r="EXE22" s="3"/>
      <c r="EXF22" s="3"/>
      <c r="EXG22" s="3"/>
      <c r="EXH22" s="3"/>
      <c r="EXI22" s="3"/>
      <c r="EXJ22" s="3"/>
      <c r="EXK22" s="3"/>
      <c r="EXL22" s="3"/>
      <c r="EXM22" s="3"/>
      <c r="EXN22" s="3"/>
      <c r="EXO22" s="3"/>
      <c r="EXP22" s="3"/>
      <c r="EXQ22" s="3"/>
      <c r="EXR22" s="3"/>
      <c r="EXS22" s="3"/>
      <c r="EXT22" s="3"/>
      <c r="EXU22" s="3"/>
      <c r="EXV22" s="3"/>
      <c r="EXW22" s="3"/>
      <c r="EXX22" s="3"/>
      <c r="EXY22" s="3"/>
      <c r="EXZ22" s="3"/>
      <c r="EYA22" s="3"/>
      <c r="EYB22" s="3"/>
      <c r="EYC22" s="3"/>
      <c r="EYD22" s="3"/>
      <c r="EYE22" s="3"/>
      <c r="EYF22" s="3"/>
      <c r="EYG22" s="3"/>
      <c r="EYH22" s="3"/>
      <c r="EYI22" s="3"/>
      <c r="EYJ22" s="3"/>
      <c r="EYK22" s="3"/>
      <c r="EYL22" s="3"/>
      <c r="EYM22" s="3"/>
      <c r="EYN22" s="3"/>
      <c r="EYO22" s="3"/>
      <c r="EYP22" s="3"/>
      <c r="EYQ22" s="3"/>
      <c r="EYR22" s="3"/>
      <c r="EYS22" s="3"/>
      <c r="EYT22" s="3"/>
      <c r="EYU22" s="3"/>
      <c r="EYV22" s="3"/>
      <c r="EYW22" s="3"/>
      <c r="EYX22" s="3"/>
      <c r="EYY22" s="3"/>
      <c r="EYZ22" s="3"/>
      <c r="EZA22" s="3"/>
      <c r="EZB22" s="3"/>
      <c r="EZC22" s="3"/>
      <c r="EZD22" s="3"/>
      <c r="EZE22" s="3"/>
      <c r="EZF22" s="3"/>
      <c r="EZG22" s="3"/>
      <c r="EZH22" s="3"/>
      <c r="EZI22" s="3"/>
      <c r="EZJ22" s="3"/>
      <c r="EZK22" s="3"/>
      <c r="EZL22" s="3"/>
      <c r="EZM22" s="3"/>
      <c r="EZN22" s="3"/>
      <c r="EZO22" s="3"/>
      <c r="EZP22" s="3"/>
      <c r="EZQ22" s="3"/>
      <c r="EZR22" s="3"/>
      <c r="EZS22" s="3"/>
      <c r="EZT22" s="3"/>
      <c r="EZU22" s="3"/>
      <c r="EZV22" s="3"/>
      <c r="EZW22" s="3"/>
      <c r="EZX22" s="3"/>
      <c r="EZY22" s="3"/>
      <c r="EZZ22" s="3"/>
      <c r="FAA22" s="3"/>
      <c r="FAB22" s="3"/>
      <c r="FAC22" s="3"/>
      <c r="FAD22" s="3"/>
      <c r="FAE22" s="3"/>
      <c r="FAF22" s="3"/>
      <c r="FAG22" s="3"/>
      <c r="FAH22" s="3"/>
      <c r="FAI22" s="3"/>
      <c r="FAJ22" s="3"/>
      <c r="FAK22" s="3"/>
      <c r="FAL22" s="3"/>
      <c r="FAM22" s="3"/>
      <c r="FAN22" s="3"/>
      <c r="FAO22" s="3"/>
      <c r="FAP22" s="3"/>
      <c r="FAQ22" s="3"/>
      <c r="FAR22" s="3"/>
      <c r="FAS22" s="3"/>
      <c r="FAT22" s="3"/>
      <c r="FAU22" s="3"/>
      <c r="FAV22" s="3"/>
      <c r="FAW22" s="3"/>
      <c r="FAX22" s="3"/>
      <c r="FAY22" s="3"/>
      <c r="FAZ22" s="3"/>
      <c r="FBA22" s="3"/>
      <c r="FBB22" s="3"/>
      <c r="FBC22" s="3"/>
      <c r="FBD22" s="3"/>
      <c r="FBE22" s="3"/>
      <c r="FBF22" s="3"/>
      <c r="FBG22" s="3"/>
      <c r="FBH22" s="3"/>
      <c r="FBI22" s="3"/>
      <c r="FBJ22" s="3"/>
      <c r="FBK22" s="3"/>
      <c r="FBL22" s="3"/>
      <c r="FBM22" s="3"/>
      <c r="FBN22" s="3"/>
      <c r="FBO22" s="3"/>
      <c r="FBP22" s="3"/>
      <c r="FBQ22" s="3"/>
      <c r="FBR22" s="3"/>
      <c r="FBS22" s="3"/>
      <c r="FBT22" s="3"/>
      <c r="FBU22" s="3"/>
      <c r="FBV22" s="3"/>
      <c r="FBW22" s="3"/>
      <c r="FBX22" s="3"/>
      <c r="FBY22" s="3"/>
      <c r="FBZ22" s="3"/>
      <c r="FCA22" s="3"/>
      <c r="FCB22" s="3"/>
      <c r="FCC22" s="3"/>
      <c r="FCD22" s="3"/>
      <c r="FCE22" s="3"/>
      <c r="FCF22" s="3"/>
      <c r="FCG22" s="3"/>
      <c r="FCH22" s="3"/>
      <c r="FCI22" s="3"/>
      <c r="FCJ22" s="3"/>
      <c r="FCK22" s="3"/>
      <c r="FCL22" s="3"/>
      <c r="FCM22" s="3"/>
      <c r="FCN22" s="3"/>
      <c r="FCO22" s="3"/>
      <c r="FCP22" s="3"/>
      <c r="FCQ22" s="3"/>
      <c r="FCR22" s="3"/>
      <c r="FCS22" s="3"/>
      <c r="FCT22" s="3"/>
      <c r="FCU22" s="3"/>
      <c r="FCV22" s="3"/>
      <c r="FCW22" s="3"/>
      <c r="FCX22" s="3"/>
      <c r="FCY22" s="3"/>
      <c r="FCZ22" s="3"/>
      <c r="FDA22" s="3"/>
      <c r="FDB22" s="3"/>
      <c r="FDC22" s="3"/>
      <c r="FDD22" s="3"/>
      <c r="FDE22" s="3"/>
      <c r="FDF22" s="3"/>
      <c r="FDG22" s="3"/>
      <c r="FDH22" s="3"/>
      <c r="FDI22" s="3"/>
      <c r="FDJ22" s="3"/>
      <c r="FDK22" s="3"/>
      <c r="FDL22" s="3"/>
      <c r="FDM22" s="3"/>
      <c r="FDN22" s="3"/>
      <c r="FDO22" s="3"/>
      <c r="FDP22" s="3"/>
      <c r="FDQ22" s="3"/>
      <c r="FDR22" s="3"/>
      <c r="FDS22" s="3"/>
      <c r="FDT22" s="3"/>
      <c r="FDU22" s="3"/>
      <c r="FDV22" s="3"/>
      <c r="FDW22" s="3"/>
      <c r="FDX22" s="3"/>
      <c r="FDY22" s="3"/>
      <c r="FDZ22" s="3"/>
      <c r="FEA22" s="3"/>
      <c r="FEB22" s="3"/>
      <c r="FEC22" s="3"/>
      <c r="FED22" s="3"/>
      <c r="FEE22" s="3"/>
      <c r="FEF22" s="3"/>
      <c r="FEG22" s="3"/>
      <c r="FEH22" s="3"/>
      <c r="FEI22" s="3"/>
      <c r="FEJ22" s="3"/>
      <c r="FEK22" s="3"/>
      <c r="FEL22" s="3"/>
      <c r="FEM22" s="3"/>
      <c r="FEN22" s="3"/>
      <c r="FEO22" s="3"/>
      <c r="FEP22" s="3"/>
      <c r="FEQ22" s="3"/>
      <c r="FER22" s="3"/>
      <c r="FES22" s="3"/>
      <c r="FET22" s="3"/>
      <c r="FEU22" s="3"/>
      <c r="FEV22" s="3"/>
      <c r="FEW22" s="3"/>
      <c r="FEX22" s="3"/>
      <c r="FEY22" s="3"/>
      <c r="FEZ22" s="3"/>
      <c r="FFA22" s="3"/>
      <c r="FFB22" s="3"/>
      <c r="FFC22" s="3"/>
      <c r="FFD22" s="3"/>
      <c r="FFE22" s="3"/>
      <c r="FFF22" s="3"/>
      <c r="FFG22" s="3"/>
      <c r="FFH22" s="3"/>
      <c r="FFI22" s="3"/>
      <c r="FFJ22" s="3"/>
      <c r="FFK22" s="3"/>
      <c r="FFL22" s="3"/>
      <c r="FFM22" s="3"/>
      <c r="FFN22" s="3"/>
      <c r="FFO22" s="3"/>
      <c r="FFP22" s="3"/>
      <c r="FFQ22" s="3"/>
      <c r="FFR22" s="3"/>
      <c r="FFS22" s="3"/>
      <c r="FFT22" s="3"/>
      <c r="FFU22" s="3"/>
      <c r="FFV22" s="3"/>
      <c r="FFW22" s="3"/>
      <c r="FFX22" s="3"/>
      <c r="FFY22" s="3"/>
      <c r="FFZ22" s="3"/>
      <c r="FGA22" s="3"/>
      <c r="FGB22" s="3"/>
      <c r="FGC22" s="3"/>
      <c r="FGD22" s="3"/>
      <c r="FGE22" s="3"/>
      <c r="FGF22" s="3"/>
      <c r="FGG22" s="3"/>
      <c r="FGH22" s="3"/>
      <c r="FGI22" s="3"/>
      <c r="FGJ22" s="3"/>
      <c r="FGK22" s="3"/>
      <c r="FGL22" s="3"/>
      <c r="FGM22" s="3"/>
      <c r="FGN22" s="3"/>
      <c r="FGO22" s="3"/>
      <c r="FGP22" s="3"/>
      <c r="FGQ22" s="3"/>
      <c r="FGR22" s="3"/>
      <c r="FGS22" s="3"/>
      <c r="FGT22" s="3"/>
      <c r="FGU22" s="3"/>
      <c r="FGV22" s="3"/>
      <c r="FGW22" s="3"/>
      <c r="FGX22" s="3"/>
      <c r="FGY22" s="3"/>
      <c r="FGZ22" s="3"/>
      <c r="FHA22" s="3"/>
      <c r="FHB22" s="3"/>
      <c r="FHC22" s="3"/>
      <c r="FHD22" s="3"/>
      <c r="FHE22" s="3"/>
      <c r="FHF22" s="3"/>
      <c r="FHG22" s="3"/>
      <c r="FHH22" s="3"/>
      <c r="FHI22" s="3"/>
      <c r="FHJ22" s="3"/>
      <c r="FHK22" s="3"/>
      <c r="FHL22" s="3"/>
      <c r="FHM22" s="3"/>
      <c r="FHN22" s="3"/>
      <c r="FHO22" s="3"/>
      <c r="FHP22" s="3"/>
      <c r="FHQ22" s="3"/>
      <c r="FHR22" s="3"/>
      <c r="FHS22" s="3"/>
      <c r="FHT22" s="3"/>
      <c r="FHU22" s="3"/>
      <c r="FHV22" s="3"/>
      <c r="FHW22" s="3"/>
      <c r="FHX22" s="3"/>
      <c r="FHY22" s="3"/>
      <c r="FHZ22" s="3"/>
      <c r="FIA22" s="3"/>
      <c r="FIB22" s="3"/>
      <c r="FIC22" s="3"/>
      <c r="FID22" s="3"/>
      <c r="FIE22" s="3"/>
      <c r="FIF22" s="3"/>
      <c r="FIG22" s="3"/>
      <c r="FIH22" s="3"/>
      <c r="FII22" s="3"/>
      <c r="FIJ22" s="3"/>
      <c r="FIK22" s="3"/>
      <c r="FIL22" s="3"/>
      <c r="FIM22" s="3"/>
      <c r="FIN22" s="3"/>
      <c r="FIO22" s="3"/>
      <c r="FIP22" s="3"/>
      <c r="FIQ22" s="3"/>
      <c r="FIR22" s="3"/>
      <c r="FIS22" s="3"/>
      <c r="FIT22" s="3"/>
      <c r="FIU22" s="3"/>
      <c r="FIV22" s="3"/>
      <c r="FIW22" s="3"/>
      <c r="FIX22" s="3"/>
      <c r="FIY22" s="3"/>
      <c r="FIZ22" s="3"/>
      <c r="FJA22" s="3"/>
      <c r="FJB22" s="3"/>
      <c r="FJC22" s="3"/>
      <c r="FJD22" s="3"/>
      <c r="FJE22" s="3"/>
      <c r="FJF22" s="3"/>
      <c r="FJG22" s="3"/>
      <c r="FJH22" s="3"/>
      <c r="FJI22" s="3"/>
      <c r="FJJ22" s="3"/>
      <c r="FJK22" s="3"/>
      <c r="FJL22" s="3"/>
      <c r="FJM22" s="3"/>
      <c r="FJN22" s="3"/>
      <c r="FJO22" s="3"/>
      <c r="FJP22" s="3"/>
      <c r="FJQ22" s="3"/>
      <c r="FJR22" s="3"/>
      <c r="FJS22" s="3"/>
      <c r="FJT22" s="3"/>
      <c r="FJU22" s="3"/>
      <c r="FJV22" s="3"/>
      <c r="FJW22" s="3"/>
      <c r="FJX22" s="3"/>
      <c r="FJY22" s="3"/>
      <c r="FJZ22" s="3"/>
      <c r="FKA22" s="3"/>
      <c r="FKB22" s="3"/>
      <c r="FKC22" s="3"/>
      <c r="FKD22" s="3"/>
      <c r="FKE22" s="3"/>
      <c r="FKF22" s="3"/>
      <c r="FKG22" s="3"/>
      <c r="FKH22" s="3"/>
      <c r="FKI22" s="3"/>
      <c r="FKJ22" s="3"/>
      <c r="FKK22" s="3"/>
      <c r="FKL22" s="3"/>
      <c r="FKM22" s="3"/>
      <c r="FKN22" s="3"/>
      <c r="FKO22" s="3"/>
      <c r="FKP22" s="3"/>
      <c r="FKQ22" s="3"/>
      <c r="FKR22" s="3"/>
      <c r="FKS22" s="3"/>
      <c r="FKT22" s="3"/>
      <c r="FKU22" s="3"/>
      <c r="FKV22" s="3"/>
      <c r="FKW22" s="3"/>
      <c r="FKX22" s="3"/>
      <c r="FKY22" s="3"/>
      <c r="FKZ22" s="3"/>
      <c r="FLA22" s="3"/>
      <c r="FLB22" s="3"/>
      <c r="FLC22" s="3"/>
      <c r="FLD22" s="3"/>
      <c r="FLE22" s="3"/>
      <c r="FLF22" s="3"/>
      <c r="FLG22" s="3"/>
      <c r="FLH22" s="3"/>
      <c r="FLI22" s="3"/>
      <c r="FLJ22" s="3"/>
      <c r="FLK22" s="3"/>
      <c r="FLL22" s="3"/>
      <c r="FLM22" s="3"/>
      <c r="FLN22" s="3"/>
      <c r="FLO22" s="3"/>
      <c r="FLP22" s="3"/>
      <c r="FLQ22" s="3"/>
      <c r="FLR22" s="3"/>
      <c r="FLS22" s="3"/>
      <c r="FLT22" s="3"/>
      <c r="FLU22" s="3"/>
      <c r="FLV22" s="3"/>
      <c r="FLW22" s="3"/>
      <c r="FLX22" s="3"/>
      <c r="FLY22" s="3"/>
      <c r="FLZ22" s="3"/>
      <c r="FMA22" s="3"/>
      <c r="FMB22" s="3"/>
      <c r="FMC22" s="3"/>
      <c r="FMD22" s="3"/>
      <c r="FME22" s="3"/>
      <c r="FMF22" s="3"/>
      <c r="FMG22" s="3"/>
      <c r="FMH22" s="3"/>
      <c r="FMI22" s="3"/>
      <c r="FMJ22" s="3"/>
      <c r="FMK22" s="3"/>
      <c r="FML22" s="3"/>
      <c r="FMM22" s="3"/>
      <c r="FMN22" s="3"/>
      <c r="FMO22" s="3"/>
      <c r="FMP22" s="3"/>
      <c r="FMQ22" s="3"/>
      <c r="FMR22" s="3"/>
      <c r="FMS22" s="3"/>
      <c r="FMT22" s="3"/>
      <c r="FMU22" s="3"/>
      <c r="FMV22" s="3"/>
      <c r="FMW22" s="3"/>
      <c r="FMX22" s="3"/>
      <c r="FMY22" s="3"/>
      <c r="FMZ22" s="3"/>
      <c r="FNA22" s="3"/>
      <c r="FNB22" s="3"/>
      <c r="FNC22" s="3"/>
      <c r="FND22" s="3"/>
      <c r="FNE22" s="3"/>
      <c r="FNF22" s="3"/>
      <c r="FNG22" s="3"/>
      <c r="FNH22" s="3"/>
      <c r="FNI22" s="3"/>
      <c r="FNJ22" s="3"/>
      <c r="FNK22" s="3"/>
      <c r="FNL22" s="3"/>
      <c r="FNM22" s="3"/>
      <c r="FNN22" s="3"/>
      <c r="FNO22" s="3"/>
      <c r="FNP22" s="3"/>
      <c r="FNQ22" s="3"/>
      <c r="FNR22" s="3"/>
      <c r="FNS22" s="3"/>
      <c r="FNT22" s="3"/>
      <c r="FNU22" s="3"/>
      <c r="FNV22" s="3"/>
      <c r="FNW22" s="3"/>
      <c r="FNX22" s="3"/>
      <c r="FNY22" s="3"/>
      <c r="FNZ22" s="3"/>
      <c r="FOA22" s="3"/>
      <c r="FOB22" s="3"/>
      <c r="FOC22" s="3"/>
      <c r="FOD22" s="3"/>
      <c r="FOE22" s="3"/>
      <c r="FOF22" s="3"/>
      <c r="FOG22" s="3"/>
      <c r="FOH22" s="3"/>
      <c r="FOI22" s="3"/>
      <c r="FOJ22" s="3"/>
      <c r="FOK22" s="3"/>
      <c r="FOL22" s="3"/>
      <c r="FOM22" s="3"/>
      <c r="FON22" s="3"/>
      <c r="FOO22" s="3"/>
      <c r="FOP22" s="3"/>
      <c r="FOQ22" s="3"/>
      <c r="FOR22" s="3"/>
      <c r="FOS22" s="3"/>
      <c r="FOT22" s="3"/>
      <c r="FOU22" s="3"/>
      <c r="FOV22" s="3"/>
      <c r="FOW22" s="3"/>
      <c r="FOX22" s="3"/>
      <c r="FOY22" s="3"/>
      <c r="FOZ22" s="3"/>
      <c r="FPA22" s="3"/>
      <c r="FPB22" s="3"/>
      <c r="FPC22" s="3"/>
      <c r="FPD22" s="3"/>
      <c r="FPE22" s="3"/>
      <c r="FPF22" s="3"/>
      <c r="FPG22" s="3"/>
      <c r="FPH22" s="3"/>
      <c r="FPI22" s="3"/>
      <c r="FPJ22" s="3"/>
      <c r="FPK22" s="3"/>
      <c r="FPL22" s="3"/>
      <c r="FPM22" s="3"/>
      <c r="FPN22" s="3"/>
      <c r="FPO22" s="3"/>
      <c r="FPP22" s="3"/>
      <c r="FPQ22" s="3"/>
      <c r="FPR22" s="3"/>
      <c r="FPS22" s="3"/>
      <c r="FPT22" s="3"/>
      <c r="FPU22" s="3"/>
      <c r="FPV22" s="3"/>
      <c r="FPW22" s="3"/>
      <c r="FPX22" s="3"/>
      <c r="FPY22" s="3"/>
      <c r="FPZ22" s="3"/>
      <c r="FQA22" s="3"/>
      <c r="FQB22" s="3"/>
      <c r="FQC22" s="3"/>
      <c r="FQD22" s="3"/>
      <c r="FQE22" s="3"/>
      <c r="FQF22" s="3"/>
      <c r="FQG22" s="3"/>
      <c r="FQH22" s="3"/>
      <c r="FQI22" s="3"/>
      <c r="FQJ22" s="3"/>
      <c r="FQK22" s="3"/>
      <c r="FQL22" s="3"/>
      <c r="FQM22" s="3"/>
      <c r="FQN22" s="3"/>
      <c r="FQO22" s="3"/>
      <c r="FQP22" s="3"/>
      <c r="FQQ22" s="3"/>
      <c r="FQR22" s="3"/>
      <c r="FQS22" s="3"/>
      <c r="FQT22" s="3"/>
      <c r="FQU22" s="3"/>
      <c r="FQV22" s="3"/>
      <c r="FQW22" s="3"/>
      <c r="FQX22" s="3"/>
      <c r="FQY22" s="3"/>
      <c r="FQZ22" s="3"/>
      <c r="FRA22" s="3"/>
      <c r="FRB22" s="3"/>
      <c r="FRC22" s="3"/>
      <c r="FRD22" s="3"/>
      <c r="FRE22" s="3"/>
      <c r="FRF22" s="3"/>
      <c r="FRG22" s="3"/>
      <c r="FRH22" s="3"/>
      <c r="FRI22" s="3"/>
      <c r="FRJ22" s="3"/>
      <c r="FRK22" s="3"/>
      <c r="FRL22" s="3"/>
      <c r="FRM22" s="3"/>
      <c r="FRN22" s="3"/>
      <c r="FRO22" s="3"/>
      <c r="FRP22" s="3"/>
      <c r="FRQ22" s="3"/>
      <c r="FRR22" s="3"/>
      <c r="FRS22" s="3"/>
      <c r="FRT22" s="3"/>
      <c r="FRU22" s="3"/>
      <c r="FRV22" s="3"/>
      <c r="FRW22" s="3"/>
      <c r="FRX22" s="3"/>
      <c r="FRY22" s="3"/>
      <c r="FRZ22" s="3"/>
      <c r="FSA22" s="3"/>
      <c r="FSB22" s="3"/>
      <c r="FSC22" s="3"/>
      <c r="FSD22" s="3"/>
      <c r="FSE22" s="3"/>
      <c r="FSF22" s="3"/>
      <c r="FSG22" s="3"/>
      <c r="FSH22" s="3"/>
      <c r="FSI22" s="3"/>
      <c r="FSJ22" s="3"/>
      <c r="FSK22" s="3"/>
      <c r="FSL22" s="3"/>
      <c r="FSM22" s="3"/>
      <c r="FSN22" s="3"/>
      <c r="FSO22" s="3"/>
      <c r="FSP22" s="3"/>
      <c r="FSQ22" s="3"/>
      <c r="FSR22" s="3"/>
      <c r="FSS22" s="3"/>
      <c r="FST22" s="3"/>
      <c r="FSU22" s="3"/>
      <c r="FSV22" s="3"/>
      <c r="FSW22" s="3"/>
      <c r="FSX22" s="3"/>
      <c r="FSY22" s="3"/>
      <c r="FSZ22" s="3"/>
      <c r="FTA22" s="3"/>
      <c r="FTB22" s="3"/>
      <c r="FTC22" s="3"/>
      <c r="FTD22" s="3"/>
      <c r="FTE22" s="3"/>
      <c r="FTF22" s="3"/>
      <c r="FTG22" s="3"/>
      <c r="FTH22" s="3"/>
      <c r="FTI22" s="3"/>
      <c r="FTJ22" s="3"/>
      <c r="FTK22" s="3"/>
      <c r="FTL22" s="3"/>
      <c r="FTM22" s="3"/>
      <c r="FTN22" s="3"/>
      <c r="FTO22" s="3"/>
      <c r="FTP22" s="3"/>
      <c r="FTQ22" s="3"/>
      <c r="FTR22" s="3"/>
      <c r="FTS22" s="3"/>
      <c r="FTT22" s="3"/>
      <c r="FTU22" s="3"/>
      <c r="FTV22" s="3"/>
      <c r="FTW22" s="3"/>
      <c r="FTX22" s="3"/>
      <c r="FTY22" s="3"/>
      <c r="FTZ22" s="3"/>
      <c r="FUA22" s="3"/>
      <c r="FUB22" s="3"/>
      <c r="FUC22" s="3"/>
      <c r="FUD22" s="3"/>
      <c r="FUE22" s="3"/>
      <c r="FUF22" s="3"/>
      <c r="FUG22" s="3"/>
      <c r="FUH22" s="3"/>
      <c r="FUI22" s="3"/>
      <c r="FUJ22" s="3"/>
      <c r="FUK22" s="3"/>
      <c r="FUL22" s="3"/>
      <c r="FUM22" s="3"/>
      <c r="FUN22" s="3"/>
      <c r="FUO22" s="3"/>
      <c r="FUP22" s="3"/>
      <c r="FUQ22" s="3"/>
      <c r="FUR22" s="3"/>
      <c r="FUS22" s="3"/>
      <c r="FUT22" s="3"/>
      <c r="FUU22" s="3"/>
      <c r="FUV22" s="3"/>
      <c r="FUW22" s="3"/>
      <c r="FUX22" s="3"/>
      <c r="FUY22" s="3"/>
      <c r="FUZ22" s="3"/>
      <c r="FVA22" s="3"/>
      <c r="FVB22" s="3"/>
      <c r="FVC22" s="3"/>
      <c r="FVD22" s="3"/>
      <c r="FVE22" s="3"/>
      <c r="FVF22" s="3"/>
      <c r="FVG22" s="3"/>
      <c r="FVH22" s="3"/>
      <c r="FVI22" s="3"/>
      <c r="FVJ22" s="3"/>
      <c r="FVK22" s="3"/>
      <c r="FVL22" s="3"/>
      <c r="FVM22" s="3"/>
      <c r="FVN22" s="3"/>
      <c r="FVO22" s="3"/>
      <c r="FVP22" s="3"/>
      <c r="FVQ22" s="3"/>
      <c r="FVR22" s="3"/>
      <c r="FVS22" s="3"/>
      <c r="FVT22" s="3"/>
      <c r="FVU22" s="3"/>
      <c r="FVV22" s="3"/>
      <c r="FVW22" s="3"/>
      <c r="FVX22" s="3"/>
      <c r="FVY22" s="3"/>
      <c r="FVZ22" s="3"/>
      <c r="FWA22" s="3"/>
      <c r="FWB22" s="3"/>
      <c r="FWC22" s="3"/>
      <c r="FWD22" s="3"/>
      <c r="FWE22" s="3"/>
      <c r="FWF22" s="3"/>
      <c r="FWG22" s="3"/>
      <c r="FWH22" s="3"/>
      <c r="FWI22" s="3"/>
      <c r="FWJ22" s="3"/>
      <c r="FWK22" s="3"/>
      <c r="FWL22" s="3"/>
      <c r="FWM22" s="3"/>
      <c r="FWN22" s="3"/>
      <c r="FWO22" s="3"/>
      <c r="FWP22" s="3"/>
      <c r="FWQ22" s="3"/>
      <c r="FWR22" s="3"/>
      <c r="FWS22" s="3"/>
      <c r="FWT22" s="3"/>
      <c r="FWU22" s="3"/>
      <c r="FWV22" s="3"/>
      <c r="FWW22" s="3"/>
      <c r="FWX22" s="3"/>
      <c r="FWY22" s="3"/>
      <c r="FWZ22" s="3"/>
      <c r="FXA22" s="3"/>
      <c r="FXB22" s="3"/>
      <c r="FXC22" s="3"/>
      <c r="FXD22" s="3"/>
      <c r="FXE22" s="3"/>
      <c r="FXF22" s="3"/>
      <c r="FXG22" s="3"/>
      <c r="FXH22" s="3"/>
      <c r="FXI22" s="3"/>
      <c r="FXJ22" s="3"/>
      <c r="FXK22" s="3"/>
      <c r="FXL22" s="3"/>
      <c r="FXM22" s="3"/>
      <c r="FXN22" s="3"/>
      <c r="FXO22" s="3"/>
      <c r="FXP22" s="3"/>
      <c r="FXQ22" s="3"/>
      <c r="FXR22" s="3"/>
      <c r="FXS22" s="3"/>
      <c r="FXT22" s="3"/>
      <c r="FXU22" s="3"/>
      <c r="FXV22" s="3"/>
      <c r="FXW22" s="3"/>
      <c r="FXX22" s="3"/>
      <c r="FXY22" s="3"/>
      <c r="FXZ22" s="3"/>
      <c r="FYA22" s="3"/>
      <c r="FYB22" s="3"/>
      <c r="FYC22" s="3"/>
      <c r="FYD22" s="3"/>
      <c r="FYE22" s="3"/>
      <c r="FYF22" s="3"/>
      <c r="FYG22" s="3"/>
      <c r="FYH22" s="3"/>
      <c r="FYI22" s="3"/>
      <c r="FYJ22" s="3"/>
      <c r="FYK22" s="3"/>
      <c r="FYL22" s="3"/>
      <c r="FYM22" s="3"/>
      <c r="FYN22" s="3"/>
      <c r="FYO22" s="3"/>
      <c r="FYP22" s="3"/>
      <c r="FYQ22" s="3"/>
      <c r="FYR22" s="3"/>
      <c r="FYS22" s="3"/>
      <c r="FYT22" s="3"/>
      <c r="FYU22" s="3"/>
      <c r="FYV22" s="3"/>
      <c r="FYW22" s="3"/>
      <c r="FYX22" s="3"/>
      <c r="FYY22" s="3"/>
      <c r="FYZ22" s="3"/>
      <c r="FZA22" s="3"/>
      <c r="FZB22" s="3"/>
      <c r="FZC22" s="3"/>
      <c r="FZD22" s="3"/>
      <c r="FZE22" s="3"/>
      <c r="FZF22" s="3"/>
      <c r="FZG22" s="3"/>
      <c r="FZH22" s="3"/>
      <c r="FZI22" s="3"/>
      <c r="FZJ22" s="3"/>
      <c r="FZK22" s="3"/>
      <c r="FZL22" s="3"/>
      <c r="FZM22" s="3"/>
      <c r="FZN22" s="3"/>
      <c r="FZO22" s="3"/>
      <c r="FZP22" s="3"/>
      <c r="FZQ22" s="3"/>
      <c r="FZR22" s="3"/>
      <c r="FZS22" s="3"/>
      <c r="FZT22" s="3"/>
      <c r="FZU22" s="3"/>
      <c r="FZV22" s="3"/>
      <c r="FZW22" s="3"/>
      <c r="FZX22" s="3"/>
      <c r="FZY22" s="3"/>
      <c r="FZZ22" s="3"/>
      <c r="GAA22" s="3"/>
      <c r="GAB22" s="3"/>
      <c r="GAC22" s="3"/>
      <c r="GAD22" s="3"/>
      <c r="GAE22" s="3"/>
      <c r="GAF22" s="3"/>
      <c r="GAG22" s="3"/>
      <c r="GAH22" s="3"/>
      <c r="GAI22" s="3"/>
      <c r="GAJ22" s="3"/>
      <c r="GAK22" s="3"/>
      <c r="GAL22" s="3"/>
      <c r="GAM22" s="3"/>
      <c r="GAN22" s="3"/>
      <c r="GAO22" s="3"/>
      <c r="GAP22" s="3"/>
      <c r="GAQ22" s="3"/>
      <c r="GAR22" s="3"/>
      <c r="GAS22" s="3"/>
      <c r="GAT22" s="3"/>
      <c r="GAU22" s="3"/>
      <c r="GAV22" s="3"/>
      <c r="GAW22" s="3"/>
      <c r="GAX22" s="3"/>
      <c r="GAY22" s="3"/>
      <c r="GAZ22" s="3"/>
      <c r="GBA22" s="3"/>
      <c r="GBB22" s="3"/>
      <c r="GBC22" s="3"/>
      <c r="GBD22" s="3"/>
      <c r="GBE22" s="3"/>
      <c r="GBF22" s="3"/>
      <c r="GBG22" s="3"/>
      <c r="GBH22" s="3"/>
      <c r="GBI22" s="3"/>
      <c r="GBJ22" s="3"/>
      <c r="GBK22" s="3"/>
      <c r="GBL22" s="3"/>
      <c r="GBM22" s="3"/>
      <c r="GBN22" s="3"/>
      <c r="GBO22" s="3"/>
      <c r="GBP22" s="3"/>
      <c r="GBQ22" s="3"/>
      <c r="GBR22" s="3"/>
      <c r="GBS22" s="3"/>
      <c r="GBT22" s="3"/>
      <c r="GBU22" s="3"/>
      <c r="GBV22" s="3"/>
      <c r="GBW22" s="3"/>
      <c r="GBX22" s="3"/>
      <c r="GBY22" s="3"/>
      <c r="GBZ22" s="3"/>
      <c r="GCA22" s="3"/>
      <c r="GCB22" s="3"/>
      <c r="GCC22" s="3"/>
      <c r="GCD22" s="3"/>
      <c r="GCE22" s="3"/>
      <c r="GCF22" s="3"/>
      <c r="GCG22" s="3"/>
      <c r="GCH22" s="3"/>
      <c r="GCI22" s="3"/>
      <c r="GCJ22" s="3"/>
      <c r="GCK22" s="3"/>
      <c r="GCL22" s="3"/>
      <c r="GCM22" s="3"/>
      <c r="GCN22" s="3"/>
      <c r="GCO22" s="3"/>
      <c r="GCP22" s="3"/>
      <c r="GCQ22" s="3"/>
      <c r="GCR22" s="3"/>
      <c r="GCS22" s="3"/>
      <c r="GCT22" s="3"/>
      <c r="GCU22" s="3"/>
      <c r="GCV22" s="3"/>
      <c r="GCW22" s="3"/>
      <c r="GCX22" s="3"/>
      <c r="GCY22" s="3"/>
      <c r="GCZ22" s="3"/>
      <c r="GDA22" s="3"/>
      <c r="GDB22" s="3"/>
      <c r="GDC22" s="3"/>
      <c r="GDD22" s="3"/>
      <c r="GDE22" s="3"/>
      <c r="GDF22" s="3"/>
      <c r="GDG22" s="3"/>
      <c r="GDH22" s="3"/>
      <c r="GDI22" s="3"/>
      <c r="GDJ22" s="3"/>
      <c r="GDK22" s="3"/>
      <c r="GDL22" s="3"/>
      <c r="GDM22" s="3"/>
      <c r="GDN22" s="3"/>
      <c r="GDO22" s="3"/>
      <c r="GDP22" s="3"/>
      <c r="GDQ22" s="3"/>
      <c r="GDR22" s="3"/>
      <c r="GDS22" s="3"/>
      <c r="GDT22" s="3"/>
      <c r="GDU22" s="3"/>
      <c r="GDV22" s="3"/>
      <c r="GDW22" s="3"/>
      <c r="GDX22" s="3"/>
      <c r="GDY22" s="3"/>
      <c r="GDZ22" s="3"/>
      <c r="GEA22" s="3"/>
      <c r="GEB22" s="3"/>
      <c r="GEC22" s="3"/>
      <c r="GED22" s="3"/>
      <c r="GEE22" s="3"/>
      <c r="GEF22" s="3"/>
      <c r="GEG22" s="3"/>
      <c r="GEH22" s="3"/>
      <c r="GEI22" s="3"/>
      <c r="GEJ22" s="3"/>
      <c r="GEK22" s="3"/>
      <c r="GEL22" s="3"/>
      <c r="GEM22" s="3"/>
      <c r="GEN22" s="3"/>
      <c r="GEO22" s="3"/>
      <c r="GEP22" s="3"/>
      <c r="GEQ22" s="3"/>
      <c r="GER22" s="3"/>
      <c r="GES22" s="3"/>
      <c r="GET22" s="3"/>
      <c r="GEU22" s="3"/>
      <c r="GEV22" s="3"/>
      <c r="GEW22" s="3"/>
      <c r="GEX22" s="3"/>
      <c r="GEY22" s="3"/>
      <c r="GEZ22" s="3"/>
      <c r="GFA22" s="3"/>
      <c r="GFB22" s="3"/>
      <c r="GFC22" s="3"/>
      <c r="GFD22" s="3"/>
      <c r="GFE22" s="3"/>
      <c r="GFF22" s="3"/>
      <c r="GFG22" s="3"/>
      <c r="GFH22" s="3"/>
      <c r="GFI22" s="3"/>
      <c r="GFJ22" s="3"/>
      <c r="GFK22" s="3"/>
      <c r="GFL22" s="3"/>
      <c r="GFM22" s="3"/>
      <c r="GFN22" s="3"/>
      <c r="GFO22" s="3"/>
      <c r="GFP22" s="3"/>
      <c r="GFQ22" s="3"/>
      <c r="GFR22" s="3"/>
      <c r="GFS22" s="3"/>
      <c r="GFT22" s="3"/>
      <c r="GFU22" s="3"/>
      <c r="GFV22" s="3"/>
      <c r="GFW22" s="3"/>
      <c r="GFX22" s="3"/>
      <c r="GFY22" s="3"/>
      <c r="GFZ22" s="3"/>
      <c r="GGA22" s="3"/>
      <c r="GGB22" s="3"/>
      <c r="GGC22" s="3"/>
      <c r="GGD22" s="3"/>
      <c r="GGE22" s="3"/>
      <c r="GGF22" s="3"/>
      <c r="GGG22" s="3"/>
      <c r="GGH22" s="3"/>
      <c r="GGI22" s="3"/>
      <c r="GGJ22" s="3"/>
      <c r="GGK22" s="3"/>
      <c r="GGL22" s="3"/>
      <c r="GGM22" s="3"/>
      <c r="GGN22" s="3"/>
      <c r="GGO22" s="3"/>
      <c r="GGP22" s="3"/>
      <c r="GGQ22" s="3"/>
      <c r="GGR22" s="3"/>
      <c r="GGS22" s="3"/>
      <c r="GGT22" s="3"/>
      <c r="GGU22" s="3"/>
      <c r="GGV22" s="3"/>
      <c r="GGW22" s="3"/>
      <c r="GGX22" s="3"/>
      <c r="GGY22" s="3"/>
      <c r="GGZ22" s="3"/>
      <c r="GHA22" s="3"/>
      <c r="GHB22" s="3"/>
      <c r="GHC22" s="3"/>
      <c r="GHD22" s="3"/>
      <c r="GHE22" s="3"/>
      <c r="GHF22" s="3"/>
      <c r="GHG22" s="3"/>
      <c r="GHH22" s="3"/>
      <c r="GHI22" s="3"/>
      <c r="GHJ22" s="3"/>
      <c r="GHK22" s="3"/>
      <c r="GHL22" s="3"/>
      <c r="GHM22" s="3"/>
      <c r="GHN22" s="3"/>
      <c r="GHO22" s="3"/>
      <c r="GHP22" s="3"/>
      <c r="GHQ22" s="3"/>
      <c r="GHR22" s="3"/>
      <c r="GHS22" s="3"/>
      <c r="GHT22" s="3"/>
      <c r="GHU22" s="3"/>
      <c r="GHV22" s="3"/>
      <c r="GHW22" s="3"/>
      <c r="GHX22" s="3"/>
      <c r="GHY22" s="3"/>
      <c r="GHZ22" s="3"/>
      <c r="GIA22" s="3"/>
      <c r="GIB22" s="3"/>
      <c r="GIC22" s="3"/>
      <c r="GID22" s="3"/>
      <c r="GIE22" s="3"/>
      <c r="GIF22" s="3"/>
      <c r="GIG22" s="3"/>
      <c r="GIH22" s="3"/>
      <c r="GII22" s="3"/>
      <c r="GIJ22" s="3"/>
      <c r="GIK22" s="3"/>
      <c r="GIL22" s="3"/>
      <c r="GIM22" s="3"/>
      <c r="GIN22" s="3"/>
      <c r="GIO22" s="3"/>
      <c r="GIP22" s="3"/>
      <c r="GIQ22" s="3"/>
      <c r="GIR22" s="3"/>
      <c r="GIS22" s="3"/>
      <c r="GIT22" s="3"/>
      <c r="GIU22" s="3"/>
      <c r="GIV22" s="3"/>
      <c r="GIW22" s="3"/>
      <c r="GIX22" s="3"/>
      <c r="GIY22" s="3"/>
      <c r="GIZ22" s="3"/>
      <c r="GJA22" s="3"/>
      <c r="GJB22" s="3"/>
      <c r="GJC22" s="3"/>
      <c r="GJD22" s="3"/>
      <c r="GJE22" s="3"/>
      <c r="GJF22" s="3"/>
      <c r="GJG22" s="3"/>
      <c r="GJH22" s="3"/>
      <c r="GJI22" s="3"/>
      <c r="GJJ22" s="3"/>
      <c r="GJK22" s="3"/>
      <c r="GJL22" s="3"/>
      <c r="GJM22" s="3"/>
      <c r="GJN22" s="3"/>
      <c r="GJO22" s="3"/>
      <c r="GJP22" s="3"/>
      <c r="GJQ22" s="3"/>
      <c r="GJR22" s="3"/>
      <c r="GJS22" s="3"/>
      <c r="GJT22" s="3"/>
      <c r="GJU22" s="3"/>
      <c r="GJV22" s="3"/>
      <c r="GJW22" s="3"/>
      <c r="GJX22" s="3"/>
      <c r="GJY22" s="3"/>
      <c r="GJZ22" s="3"/>
      <c r="GKA22" s="3"/>
      <c r="GKB22" s="3"/>
      <c r="GKC22" s="3"/>
      <c r="GKD22" s="3"/>
      <c r="GKE22" s="3"/>
      <c r="GKF22" s="3"/>
      <c r="GKG22" s="3"/>
      <c r="GKH22" s="3"/>
      <c r="GKI22" s="3"/>
      <c r="GKJ22" s="3"/>
      <c r="GKK22" s="3"/>
      <c r="GKL22" s="3"/>
      <c r="GKM22" s="3"/>
      <c r="GKN22" s="3"/>
      <c r="GKO22" s="3"/>
      <c r="GKP22" s="3"/>
      <c r="GKQ22" s="3"/>
      <c r="GKR22" s="3"/>
      <c r="GKS22" s="3"/>
      <c r="GKT22" s="3"/>
      <c r="GKU22" s="3"/>
      <c r="GKV22" s="3"/>
      <c r="GKW22" s="3"/>
      <c r="GKX22" s="3"/>
      <c r="GKY22" s="3"/>
      <c r="GKZ22" s="3"/>
      <c r="GLA22" s="3"/>
      <c r="GLB22" s="3"/>
      <c r="GLC22" s="3"/>
      <c r="GLD22" s="3"/>
      <c r="GLE22" s="3"/>
      <c r="GLF22" s="3"/>
      <c r="GLG22" s="3"/>
      <c r="GLH22" s="3"/>
      <c r="GLI22" s="3"/>
      <c r="GLJ22" s="3"/>
      <c r="GLK22" s="3"/>
      <c r="GLL22" s="3"/>
      <c r="GLM22" s="3"/>
      <c r="GLN22" s="3"/>
      <c r="GLO22" s="3"/>
      <c r="GLP22" s="3"/>
      <c r="GLQ22" s="3"/>
      <c r="GLR22" s="3"/>
      <c r="GLS22" s="3"/>
      <c r="GLT22" s="3"/>
      <c r="GLU22" s="3"/>
      <c r="GLV22" s="3"/>
      <c r="GLW22" s="3"/>
      <c r="GLX22" s="3"/>
      <c r="GLY22" s="3"/>
      <c r="GLZ22" s="3"/>
      <c r="GMA22" s="3"/>
      <c r="GMB22" s="3"/>
      <c r="GMC22" s="3"/>
      <c r="GMD22" s="3"/>
      <c r="GME22" s="3"/>
      <c r="GMF22" s="3"/>
      <c r="GMG22" s="3"/>
      <c r="GMH22" s="3"/>
      <c r="GMI22" s="3"/>
      <c r="GMJ22" s="3"/>
      <c r="GMK22" s="3"/>
      <c r="GML22" s="3"/>
      <c r="GMM22" s="3"/>
      <c r="GMN22" s="3"/>
      <c r="GMO22" s="3"/>
      <c r="GMP22" s="3"/>
      <c r="GMQ22" s="3"/>
      <c r="GMR22" s="3"/>
      <c r="GMS22" s="3"/>
      <c r="GMT22" s="3"/>
      <c r="GMU22" s="3"/>
      <c r="GMV22" s="3"/>
      <c r="GMW22" s="3"/>
      <c r="GMX22" s="3"/>
      <c r="GMY22" s="3"/>
      <c r="GMZ22" s="3"/>
      <c r="GNA22" s="3"/>
      <c r="GNB22" s="3"/>
      <c r="GNC22" s="3"/>
      <c r="GND22" s="3"/>
      <c r="GNE22" s="3"/>
      <c r="GNF22" s="3"/>
      <c r="GNG22" s="3"/>
      <c r="GNH22" s="3"/>
      <c r="GNI22" s="3"/>
      <c r="GNJ22" s="3"/>
      <c r="GNK22" s="3"/>
      <c r="GNL22" s="3"/>
      <c r="GNM22" s="3"/>
      <c r="GNN22" s="3"/>
      <c r="GNO22" s="3"/>
      <c r="GNP22" s="3"/>
      <c r="GNQ22" s="3"/>
      <c r="GNR22" s="3"/>
      <c r="GNS22" s="3"/>
      <c r="GNT22" s="3"/>
      <c r="GNU22" s="3"/>
      <c r="GNV22" s="3"/>
      <c r="GNW22" s="3"/>
      <c r="GNX22" s="3"/>
      <c r="GNY22" s="3"/>
      <c r="GNZ22" s="3"/>
      <c r="GOA22" s="3"/>
      <c r="GOB22" s="3"/>
      <c r="GOC22" s="3"/>
      <c r="GOD22" s="3"/>
      <c r="GOE22" s="3"/>
      <c r="GOF22" s="3"/>
      <c r="GOG22" s="3"/>
      <c r="GOH22" s="3"/>
      <c r="GOI22" s="3"/>
      <c r="GOJ22" s="3"/>
      <c r="GOK22" s="3"/>
      <c r="GOL22" s="3"/>
      <c r="GOM22" s="3"/>
      <c r="GON22" s="3"/>
      <c r="GOO22" s="3"/>
      <c r="GOP22" s="3"/>
      <c r="GOQ22" s="3"/>
      <c r="GOR22" s="3"/>
      <c r="GOS22" s="3"/>
      <c r="GOT22" s="3"/>
      <c r="GOU22" s="3"/>
      <c r="GOV22" s="3"/>
      <c r="GOW22" s="3"/>
      <c r="GOX22" s="3"/>
      <c r="GOY22" s="3"/>
      <c r="GOZ22" s="3"/>
      <c r="GPA22" s="3"/>
      <c r="GPB22" s="3"/>
      <c r="GPC22" s="3"/>
      <c r="GPD22" s="3"/>
      <c r="GPE22" s="3"/>
      <c r="GPF22" s="3"/>
      <c r="GPG22" s="3"/>
      <c r="GPH22" s="3"/>
      <c r="GPI22" s="3"/>
      <c r="GPJ22" s="3"/>
      <c r="GPK22" s="3"/>
      <c r="GPL22" s="3"/>
      <c r="GPM22" s="3"/>
      <c r="GPN22" s="3"/>
      <c r="GPO22" s="3"/>
      <c r="GPP22" s="3"/>
      <c r="GPQ22" s="3"/>
      <c r="GPR22" s="3"/>
      <c r="GPS22" s="3"/>
      <c r="GPT22" s="3"/>
      <c r="GPU22" s="3"/>
      <c r="GPV22" s="3"/>
      <c r="GPW22" s="3"/>
      <c r="GPX22" s="3"/>
      <c r="GPY22" s="3"/>
      <c r="GPZ22" s="3"/>
      <c r="GQA22" s="3"/>
      <c r="GQB22" s="3"/>
      <c r="GQC22" s="3"/>
      <c r="GQD22" s="3"/>
      <c r="GQE22" s="3"/>
      <c r="GQF22" s="3"/>
      <c r="GQG22" s="3"/>
      <c r="GQH22" s="3"/>
      <c r="GQI22" s="3"/>
      <c r="GQJ22" s="3"/>
      <c r="GQK22" s="3"/>
      <c r="GQL22" s="3"/>
      <c r="GQM22" s="3"/>
      <c r="GQN22" s="3"/>
      <c r="GQO22" s="3"/>
      <c r="GQP22" s="3"/>
      <c r="GQQ22" s="3"/>
      <c r="GQR22" s="3"/>
      <c r="GQS22" s="3"/>
      <c r="GQT22" s="3"/>
      <c r="GQU22" s="3"/>
      <c r="GQV22" s="3"/>
      <c r="GQW22" s="3"/>
      <c r="GQX22" s="3"/>
      <c r="GQY22" s="3"/>
      <c r="GQZ22" s="3"/>
      <c r="GRA22" s="3"/>
      <c r="GRB22" s="3"/>
      <c r="GRC22" s="3"/>
      <c r="GRD22" s="3"/>
      <c r="GRE22" s="3"/>
      <c r="GRF22" s="3"/>
      <c r="GRG22" s="3"/>
      <c r="GRH22" s="3"/>
      <c r="GRI22" s="3"/>
      <c r="GRJ22" s="3"/>
      <c r="GRK22" s="3"/>
      <c r="GRL22" s="3"/>
      <c r="GRM22" s="3"/>
      <c r="GRN22" s="3"/>
      <c r="GRO22" s="3"/>
      <c r="GRP22" s="3"/>
      <c r="GRQ22" s="3"/>
      <c r="GRR22" s="3"/>
      <c r="GRS22" s="3"/>
      <c r="GRT22" s="3"/>
      <c r="GRU22" s="3"/>
      <c r="GRV22" s="3"/>
      <c r="GRW22" s="3"/>
      <c r="GRX22" s="3"/>
      <c r="GRY22" s="3"/>
      <c r="GRZ22" s="3"/>
      <c r="GSA22" s="3"/>
      <c r="GSB22" s="3"/>
      <c r="GSC22" s="3"/>
      <c r="GSD22" s="3"/>
      <c r="GSE22" s="3"/>
      <c r="GSF22" s="3"/>
      <c r="GSG22" s="3"/>
      <c r="GSH22" s="3"/>
      <c r="GSI22" s="3"/>
      <c r="GSJ22" s="3"/>
      <c r="GSK22" s="3"/>
      <c r="GSL22" s="3"/>
      <c r="GSM22" s="3"/>
      <c r="GSN22" s="3"/>
      <c r="GSO22" s="3"/>
      <c r="GSP22" s="3"/>
      <c r="GSQ22" s="3"/>
      <c r="GSR22" s="3"/>
      <c r="GSS22" s="3"/>
      <c r="GST22" s="3"/>
      <c r="GSU22" s="3"/>
      <c r="GSV22" s="3"/>
      <c r="GSW22" s="3"/>
      <c r="GSX22" s="3"/>
      <c r="GSY22" s="3"/>
      <c r="GSZ22" s="3"/>
      <c r="GTA22" s="3"/>
      <c r="GTB22" s="3"/>
      <c r="GTC22" s="3"/>
      <c r="GTD22" s="3"/>
      <c r="GTE22" s="3"/>
      <c r="GTF22" s="3"/>
      <c r="GTG22" s="3"/>
      <c r="GTH22" s="3"/>
      <c r="GTI22" s="3"/>
      <c r="GTJ22" s="3"/>
      <c r="GTK22" s="3"/>
      <c r="GTL22" s="3"/>
      <c r="GTM22" s="3"/>
      <c r="GTN22" s="3"/>
      <c r="GTO22" s="3"/>
      <c r="GTP22" s="3"/>
      <c r="GTQ22" s="3"/>
      <c r="GTR22" s="3"/>
      <c r="GTS22" s="3"/>
      <c r="GTT22" s="3"/>
      <c r="GTU22" s="3"/>
      <c r="GTV22" s="3"/>
      <c r="GTW22" s="3"/>
      <c r="GTX22" s="3"/>
      <c r="GTY22" s="3"/>
      <c r="GTZ22" s="3"/>
      <c r="GUA22" s="3"/>
      <c r="GUB22" s="3"/>
      <c r="GUC22" s="3"/>
      <c r="GUD22" s="3"/>
      <c r="GUE22" s="3"/>
      <c r="GUF22" s="3"/>
      <c r="GUG22" s="3"/>
      <c r="GUH22" s="3"/>
      <c r="GUI22" s="3"/>
      <c r="GUJ22" s="3"/>
      <c r="GUK22" s="3"/>
      <c r="GUL22" s="3"/>
      <c r="GUM22" s="3"/>
      <c r="GUN22" s="3"/>
      <c r="GUO22" s="3"/>
      <c r="GUP22" s="3"/>
      <c r="GUQ22" s="3"/>
      <c r="GUR22" s="3"/>
      <c r="GUS22" s="3"/>
      <c r="GUT22" s="3"/>
      <c r="GUU22" s="3"/>
      <c r="GUV22" s="3"/>
      <c r="GUW22" s="3"/>
      <c r="GUX22" s="3"/>
      <c r="GUY22" s="3"/>
      <c r="GUZ22" s="3"/>
      <c r="GVA22" s="3"/>
      <c r="GVB22" s="3"/>
      <c r="GVC22" s="3"/>
      <c r="GVD22" s="3"/>
      <c r="GVE22" s="3"/>
      <c r="GVF22" s="3"/>
      <c r="GVG22" s="3"/>
      <c r="GVH22" s="3"/>
      <c r="GVI22" s="3"/>
      <c r="GVJ22" s="3"/>
      <c r="GVK22" s="3"/>
      <c r="GVL22" s="3"/>
      <c r="GVM22" s="3"/>
      <c r="GVN22" s="3"/>
      <c r="GVO22" s="3"/>
      <c r="GVP22" s="3"/>
      <c r="GVQ22" s="3"/>
      <c r="GVR22" s="3"/>
      <c r="GVS22" s="3"/>
      <c r="GVT22" s="3"/>
      <c r="GVU22" s="3"/>
      <c r="GVV22" s="3"/>
      <c r="GVW22" s="3"/>
      <c r="GVX22" s="3"/>
      <c r="GVY22" s="3"/>
      <c r="GVZ22" s="3"/>
      <c r="GWA22" s="3"/>
      <c r="GWB22" s="3"/>
      <c r="GWC22" s="3"/>
      <c r="GWD22" s="3"/>
      <c r="GWE22" s="3"/>
      <c r="GWF22" s="3"/>
      <c r="GWG22" s="3"/>
      <c r="GWH22" s="3"/>
      <c r="GWI22" s="3"/>
      <c r="GWJ22" s="3"/>
      <c r="GWK22" s="3"/>
      <c r="GWL22" s="3"/>
      <c r="GWM22" s="3"/>
      <c r="GWN22" s="3"/>
      <c r="GWO22" s="3"/>
      <c r="GWP22" s="3"/>
      <c r="GWQ22" s="3"/>
      <c r="GWR22" s="3"/>
      <c r="GWS22" s="3"/>
      <c r="GWT22" s="3"/>
      <c r="GWU22" s="3"/>
      <c r="GWV22" s="3"/>
      <c r="GWW22" s="3"/>
      <c r="GWX22" s="3"/>
      <c r="GWY22" s="3"/>
      <c r="GWZ22" s="3"/>
      <c r="GXA22" s="3"/>
      <c r="GXB22" s="3"/>
      <c r="GXC22" s="3"/>
      <c r="GXD22" s="3"/>
      <c r="GXE22" s="3"/>
      <c r="GXF22" s="3"/>
      <c r="GXG22" s="3"/>
      <c r="GXH22" s="3"/>
      <c r="GXI22" s="3"/>
      <c r="GXJ22" s="3"/>
      <c r="GXK22" s="3"/>
      <c r="GXL22" s="3"/>
      <c r="GXM22" s="3"/>
      <c r="GXN22" s="3"/>
      <c r="GXO22" s="3"/>
      <c r="GXP22" s="3"/>
      <c r="GXQ22" s="3"/>
      <c r="GXR22" s="3"/>
      <c r="GXS22" s="3"/>
      <c r="GXT22" s="3"/>
      <c r="GXU22" s="3"/>
      <c r="GXV22" s="3"/>
      <c r="GXW22" s="3"/>
      <c r="GXX22" s="3"/>
      <c r="GXY22" s="3"/>
      <c r="GXZ22" s="3"/>
      <c r="GYA22" s="3"/>
      <c r="GYB22" s="3"/>
      <c r="GYC22" s="3"/>
      <c r="GYD22" s="3"/>
      <c r="GYE22" s="3"/>
      <c r="GYF22" s="3"/>
      <c r="GYG22" s="3"/>
      <c r="GYH22" s="3"/>
      <c r="GYI22" s="3"/>
      <c r="GYJ22" s="3"/>
      <c r="GYK22" s="3"/>
      <c r="GYL22" s="3"/>
      <c r="GYM22" s="3"/>
      <c r="GYN22" s="3"/>
      <c r="GYO22" s="3"/>
      <c r="GYP22" s="3"/>
      <c r="GYQ22" s="3"/>
      <c r="GYR22" s="3"/>
      <c r="GYS22" s="3"/>
      <c r="GYT22" s="3"/>
      <c r="GYU22" s="3"/>
      <c r="GYV22" s="3"/>
      <c r="GYW22" s="3"/>
      <c r="GYX22" s="3"/>
      <c r="GYY22" s="3"/>
      <c r="GYZ22" s="3"/>
      <c r="GZA22" s="3"/>
      <c r="GZB22" s="3"/>
      <c r="GZC22" s="3"/>
      <c r="GZD22" s="3"/>
      <c r="GZE22" s="3"/>
      <c r="GZF22" s="3"/>
      <c r="GZG22" s="3"/>
      <c r="GZH22" s="3"/>
      <c r="GZI22" s="3"/>
      <c r="GZJ22" s="3"/>
      <c r="GZK22" s="3"/>
      <c r="GZL22" s="3"/>
      <c r="GZM22" s="3"/>
      <c r="GZN22" s="3"/>
      <c r="GZO22" s="3"/>
      <c r="GZP22" s="3"/>
      <c r="GZQ22" s="3"/>
      <c r="GZR22" s="3"/>
      <c r="GZS22" s="3"/>
      <c r="GZT22" s="3"/>
      <c r="GZU22" s="3"/>
      <c r="GZV22" s="3"/>
      <c r="GZW22" s="3"/>
      <c r="GZX22" s="3"/>
      <c r="GZY22" s="3"/>
      <c r="GZZ22" s="3"/>
      <c r="HAA22" s="3"/>
      <c r="HAB22" s="3"/>
      <c r="HAC22" s="3"/>
      <c r="HAD22" s="3"/>
      <c r="HAE22" s="3"/>
      <c r="HAF22" s="3"/>
      <c r="HAG22" s="3"/>
      <c r="HAH22" s="3"/>
      <c r="HAI22" s="3"/>
      <c r="HAJ22" s="3"/>
      <c r="HAK22" s="3"/>
      <c r="HAL22" s="3"/>
      <c r="HAM22" s="3"/>
      <c r="HAN22" s="3"/>
      <c r="HAO22" s="3"/>
      <c r="HAP22" s="3"/>
      <c r="HAQ22" s="3"/>
      <c r="HAR22" s="3"/>
      <c r="HAS22" s="3"/>
      <c r="HAT22" s="3"/>
      <c r="HAU22" s="3"/>
      <c r="HAV22" s="3"/>
      <c r="HAW22" s="3"/>
      <c r="HAX22" s="3"/>
      <c r="HAY22" s="3"/>
      <c r="HAZ22" s="3"/>
      <c r="HBA22" s="3"/>
      <c r="HBB22" s="3"/>
      <c r="HBC22" s="3"/>
      <c r="HBD22" s="3"/>
      <c r="HBE22" s="3"/>
      <c r="HBF22" s="3"/>
      <c r="HBG22" s="3"/>
      <c r="HBH22" s="3"/>
      <c r="HBI22" s="3"/>
      <c r="HBJ22" s="3"/>
      <c r="HBK22" s="3"/>
      <c r="HBL22" s="3"/>
      <c r="HBM22" s="3"/>
      <c r="HBN22" s="3"/>
      <c r="HBO22" s="3"/>
      <c r="HBP22" s="3"/>
      <c r="HBQ22" s="3"/>
      <c r="HBR22" s="3"/>
      <c r="HBS22" s="3"/>
      <c r="HBT22" s="3"/>
      <c r="HBU22" s="3"/>
      <c r="HBV22" s="3"/>
      <c r="HBW22" s="3"/>
      <c r="HBX22" s="3"/>
      <c r="HBY22" s="3"/>
      <c r="HBZ22" s="3"/>
      <c r="HCA22" s="3"/>
      <c r="HCB22" s="3"/>
      <c r="HCC22" s="3"/>
      <c r="HCD22" s="3"/>
      <c r="HCE22" s="3"/>
      <c r="HCF22" s="3"/>
      <c r="HCG22" s="3"/>
      <c r="HCH22" s="3"/>
      <c r="HCI22" s="3"/>
      <c r="HCJ22" s="3"/>
      <c r="HCK22" s="3"/>
      <c r="HCL22" s="3"/>
      <c r="HCM22" s="3"/>
      <c r="HCN22" s="3"/>
      <c r="HCO22" s="3"/>
      <c r="HCP22" s="3"/>
      <c r="HCQ22" s="3"/>
      <c r="HCR22" s="3"/>
      <c r="HCS22" s="3"/>
      <c r="HCT22" s="3"/>
      <c r="HCU22" s="3"/>
      <c r="HCV22" s="3"/>
      <c r="HCW22" s="3"/>
      <c r="HCX22" s="3"/>
      <c r="HCY22" s="3"/>
      <c r="HCZ22" s="3"/>
      <c r="HDA22" s="3"/>
      <c r="HDB22" s="3"/>
      <c r="HDC22" s="3"/>
      <c r="HDD22" s="3"/>
      <c r="HDE22" s="3"/>
      <c r="HDF22" s="3"/>
      <c r="HDG22" s="3"/>
      <c r="HDH22" s="3"/>
      <c r="HDI22" s="3"/>
      <c r="HDJ22" s="3"/>
      <c r="HDK22" s="3"/>
      <c r="HDL22" s="3"/>
      <c r="HDM22" s="3"/>
      <c r="HDN22" s="3"/>
      <c r="HDO22" s="3"/>
      <c r="HDP22" s="3"/>
      <c r="HDQ22" s="3"/>
      <c r="HDR22" s="3"/>
      <c r="HDS22" s="3"/>
      <c r="HDT22" s="3"/>
      <c r="HDU22" s="3"/>
      <c r="HDV22" s="3"/>
      <c r="HDW22" s="3"/>
      <c r="HDX22" s="3"/>
      <c r="HDY22" s="3"/>
      <c r="HDZ22" s="3"/>
      <c r="HEA22" s="3"/>
      <c r="HEB22" s="3"/>
      <c r="HEC22" s="3"/>
      <c r="HED22" s="3"/>
      <c r="HEE22" s="3"/>
      <c r="HEF22" s="3"/>
      <c r="HEG22" s="3"/>
      <c r="HEH22" s="3"/>
      <c r="HEI22" s="3"/>
      <c r="HEJ22" s="3"/>
      <c r="HEK22" s="3"/>
      <c r="HEL22" s="3"/>
      <c r="HEM22" s="3"/>
      <c r="HEN22" s="3"/>
      <c r="HEO22" s="3"/>
      <c r="HEP22" s="3"/>
      <c r="HEQ22" s="3"/>
      <c r="HER22" s="3"/>
      <c r="HES22" s="3"/>
      <c r="HET22" s="3"/>
      <c r="HEU22" s="3"/>
      <c r="HEV22" s="3"/>
      <c r="HEW22" s="3"/>
      <c r="HEX22" s="3"/>
      <c r="HEY22" s="3"/>
      <c r="HEZ22" s="3"/>
      <c r="HFA22" s="3"/>
      <c r="HFB22" s="3"/>
      <c r="HFC22" s="3"/>
      <c r="HFD22" s="3"/>
      <c r="HFE22" s="3"/>
      <c r="HFF22" s="3"/>
      <c r="HFG22" s="3"/>
      <c r="HFH22" s="3"/>
      <c r="HFI22" s="3"/>
      <c r="HFJ22" s="3"/>
      <c r="HFK22" s="3"/>
      <c r="HFL22" s="3"/>
      <c r="HFM22" s="3"/>
      <c r="HFN22" s="3"/>
      <c r="HFO22" s="3"/>
      <c r="HFP22" s="3"/>
      <c r="HFQ22" s="3"/>
      <c r="HFR22" s="3"/>
      <c r="HFS22" s="3"/>
      <c r="HFT22" s="3"/>
      <c r="HFU22" s="3"/>
      <c r="HFV22" s="3"/>
      <c r="HFW22" s="3"/>
      <c r="HFX22" s="3"/>
      <c r="HFY22" s="3"/>
      <c r="HFZ22" s="3"/>
      <c r="HGA22" s="3"/>
      <c r="HGB22" s="3"/>
      <c r="HGC22" s="3"/>
      <c r="HGD22" s="3"/>
      <c r="HGE22" s="3"/>
      <c r="HGF22" s="3"/>
      <c r="HGG22" s="3"/>
      <c r="HGH22" s="3"/>
      <c r="HGI22" s="3"/>
      <c r="HGJ22" s="3"/>
      <c r="HGK22" s="3"/>
      <c r="HGL22" s="3"/>
      <c r="HGM22" s="3"/>
      <c r="HGN22" s="3"/>
      <c r="HGO22" s="3"/>
      <c r="HGP22" s="3"/>
      <c r="HGQ22" s="3"/>
      <c r="HGR22" s="3"/>
      <c r="HGS22" s="3"/>
      <c r="HGT22" s="3"/>
      <c r="HGU22" s="3"/>
      <c r="HGV22" s="3"/>
      <c r="HGW22" s="3"/>
      <c r="HGX22" s="3"/>
      <c r="HGY22" s="3"/>
      <c r="HGZ22" s="3"/>
      <c r="HHA22" s="3"/>
      <c r="HHB22" s="3"/>
      <c r="HHC22" s="3"/>
      <c r="HHD22" s="3"/>
      <c r="HHE22" s="3"/>
      <c r="HHF22" s="3"/>
      <c r="HHG22" s="3"/>
      <c r="HHH22" s="3"/>
      <c r="HHI22" s="3"/>
      <c r="HHJ22" s="3"/>
      <c r="HHK22" s="3"/>
      <c r="HHL22" s="3"/>
      <c r="HHM22" s="3"/>
      <c r="HHN22" s="3"/>
      <c r="HHO22" s="3"/>
      <c r="HHP22" s="3"/>
      <c r="HHQ22" s="3"/>
      <c r="HHR22" s="3"/>
      <c r="HHS22" s="3"/>
      <c r="HHT22" s="3"/>
      <c r="HHU22" s="3"/>
      <c r="HHV22" s="3"/>
      <c r="HHW22" s="3"/>
      <c r="HHX22" s="3"/>
      <c r="HHY22" s="3"/>
      <c r="HHZ22" s="3"/>
      <c r="HIA22" s="3"/>
      <c r="HIB22" s="3"/>
      <c r="HIC22" s="3"/>
      <c r="HID22" s="3"/>
      <c r="HIE22" s="3"/>
      <c r="HIF22" s="3"/>
      <c r="HIG22" s="3"/>
      <c r="HIH22" s="3"/>
      <c r="HII22" s="3"/>
      <c r="HIJ22" s="3"/>
      <c r="HIK22" s="3"/>
      <c r="HIL22" s="3"/>
      <c r="HIM22" s="3"/>
      <c r="HIN22" s="3"/>
      <c r="HIO22" s="3"/>
      <c r="HIP22" s="3"/>
      <c r="HIQ22" s="3"/>
      <c r="HIR22" s="3"/>
      <c r="HIS22" s="3"/>
      <c r="HIT22" s="3"/>
      <c r="HIU22" s="3"/>
      <c r="HIV22" s="3"/>
      <c r="HIW22" s="3"/>
      <c r="HIX22" s="3"/>
      <c r="HIY22" s="3"/>
      <c r="HIZ22" s="3"/>
      <c r="HJA22" s="3"/>
      <c r="HJB22" s="3"/>
      <c r="HJC22" s="3"/>
      <c r="HJD22" s="3"/>
      <c r="HJE22" s="3"/>
      <c r="HJF22" s="3"/>
      <c r="HJG22" s="3"/>
      <c r="HJH22" s="3"/>
      <c r="HJI22" s="3"/>
      <c r="HJJ22" s="3"/>
      <c r="HJK22" s="3"/>
      <c r="HJL22" s="3"/>
      <c r="HJM22" s="3"/>
      <c r="HJN22" s="3"/>
      <c r="HJO22" s="3"/>
      <c r="HJP22" s="3"/>
      <c r="HJQ22" s="3"/>
      <c r="HJR22" s="3"/>
      <c r="HJS22" s="3"/>
      <c r="HJT22" s="3"/>
      <c r="HJU22" s="3"/>
      <c r="HJV22" s="3"/>
      <c r="HJW22" s="3"/>
      <c r="HJX22" s="3"/>
      <c r="HJY22" s="3"/>
      <c r="HJZ22" s="3"/>
      <c r="HKA22" s="3"/>
      <c r="HKB22" s="3"/>
      <c r="HKC22" s="3"/>
      <c r="HKD22" s="3"/>
      <c r="HKE22" s="3"/>
      <c r="HKF22" s="3"/>
      <c r="HKG22" s="3"/>
      <c r="HKH22" s="3"/>
      <c r="HKI22" s="3"/>
      <c r="HKJ22" s="3"/>
      <c r="HKK22" s="3"/>
      <c r="HKL22" s="3"/>
      <c r="HKM22" s="3"/>
      <c r="HKN22" s="3"/>
      <c r="HKO22" s="3"/>
      <c r="HKP22" s="3"/>
      <c r="HKQ22" s="3"/>
      <c r="HKR22" s="3"/>
      <c r="HKS22" s="3"/>
      <c r="HKT22" s="3"/>
      <c r="HKU22" s="3"/>
      <c r="HKV22" s="3"/>
      <c r="HKW22" s="3"/>
      <c r="HKX22" s="3"/>
      <c r="HKY22" s="3"/>
      <c r="HKZ22" s="3"/>
      <c r="HLA22" s="3"/>
      <c r="HLB22" s="3"/>
      <c r="HLC22" s="3"/>
      <c r="HLD22" s="3"/>
      <c r="HLE22" s="3"/>
      <c r="HLF22" s="3"/>
      <c r="HLG22" s="3"/>
      <c r="HLH22" s="3"/>
      <c r="HLI22" s="3"/>
      <c r="HLJ22" s="3"/>
      <c r="HLK22" s="3"/>
      <c r="HLL22" s="3"/>
      <c r="HLM22" s="3"/>
      <c r="HLN22" s="3"/>
      <c r="HLO22" s="3"/>
      <c r="HLP22" s="3"/>
      <c r="HLQ22" s="3"/>
      <c r="HLR22" s="3"/>
      <c r="HLS22" s="3"/>
      <c r="HLT22" s="3"/>
      <c r="HLU22" s="3"/>
      <c r="HLV22" s="3"/>
      <c r="HLW22" s="3"/>
      <c r="HLX22" s="3"/>
      <c r="HLY22" s="3"/>
      <c r="HLZ22" s="3"/>
      <c r="HMA22" s="3"/>
      <c r="HMB22" s="3"/>
      <c r="HMC22" s="3"/>
      <c r="HMD22" s="3"/>
      <c r="HME22" s="3"/>
      <c r="HMF22" s="3"/>
      <c r="HMG22" s="3"/>
      <c r="HMH22" s="3"/>
      <c r="HMI22" s="3"/>
      <c r="HMJ22" s="3"/>
      <c r="HMK22" s="3"/>
      <c r="HML22" s="3"/>
      <c r="HMM22" s="3"/>
      <c r="HMN22" s="3"/>
      <c r="HMO22" s="3"/>
      <c r="HMP22" s="3"/>
      <c r="HMQ22" s="3"/>
      <c r="HMR22" s="3"/>
      <c r="HMS22" s="3"/>
      <c r="HMT22" s="3"/>
      <c r="HMU22" s="3"/>
      <c r="HMV22" s="3"/>
      <c r="HMW22" s="3"/>
      <c r="HMX22" s="3"/>
      <c r="HMY22" s="3"/>
      <c r="HMZ22" s="3"/>
      <c r="HNA22" s="3"/>
      <c r="HNB22" s="3"/>
      <c r="HNC22" s="3"/>
      <c r="HND22" s="3"/>
      <c r="HNE22" s="3"/>
      <c r="HNF22" s="3"/>
      <c r="HNG22" s="3"/>
      <c r="HNH22" s="3"/>
      <c r="HNI22" s="3"/>
      <c r="HNJ22" s="3"/>
      <c r="HNK22" s="3"/>
      <c r="HNL22" s="3"/>
      <c r="HNM22" s="3"/>
      <c r="HNN22" s="3"/>
      <c r="HNO22" s="3"/>
      <c r="HNP22" s="3"/>
      <c r="HNQ22" s="3"/>
      <c r="HNR22" s="3"/>
      <c r="HNS22" s="3"/>
      <c r="HNT22" s="3"/>
      <c r="HNU22" s="3"/>
      <c r="HNV22" s="3"/>
      <c r="HNW22" s="3"/>
      <c r="HNX22" s="3"/>
      <c r="HNY22" s="3"/>
      <c r="HNZ22" s="3"/>
      <c r="HOA22" s="3"/>
      <c r="HOB22" s="3"/>
      <c r="HOC22" s="3"/>
      <c r="HOD22" s="3"/>
      <c r="HOE22" s="3"/>
      <c r="HOF22" s="3"/>
      <c r="HOG22" s="3"/>
      <c r="HOH22" s="3"/>
      <c r="HOI22" s="3"/>
      <c r="HOJ22" s="3"/>
      <c r="HOK22" s="3"/>
      <c r="HOL22" s="3"/>
      <c r="HOM22" s="3"/>
      <c r="HON22" s="3"/>
      <c r="HOO22" s="3"/>
      <c r="HOP22" s="3"/>
      <c r="HOQ22" s="3"/>
      <c r="HOR22" s="3"/>
      <c r="HOS22" s="3"/>
      <c r="HOT22" s="3"/>
      <c r="HOU22" s="3"/>
      <c r="HOV22" s="3"/>
      <c r="HOW22" s="3"/>
      <c r="HOX22" s="3"/>
      <c r="HOY22" s="3"/>
      <c r="HOZ22" s="3"/>
      <c r="HPA22" s="3"/>
      <c r="HPB22" s="3"/>
      <c r="HPC22" s="3"/>
      <c r="HPD22" s="3"/>
      <c r="HPE22" s="3"/>
      <c r="HPF22" s="3"/>
      <c r="HPG22" s="3"/>
      <c r="HPH22" s="3"/>
      <c r="HPI22" s="3"/>
      <c r="HPJ22" s="3"/>
      <c r="HPK22" s="3"/>
      <c r="HPL22" s="3"/>
      <c r="HPM22" s="3"/>
      <c r="HPN22" s="3"/>
      <c r="HPO22" s="3"/>
      <c r="HPP22" s="3"/>
      <c r="HPQ22" s="3"/>
      <c r="HPR22" s="3"/>
      <c r="HPS22" s="3"/>
      <c r="HPT22" s="3"/>
      <c r="HPU22" s="3"/>
      <c r="HPV22" s="3"/>
      <c r="HPW22" s="3"/>
      <c r="HPX22" s="3"/>
      <c r="HPY22" s="3"/>
      <c r="HPZ22" s="3"/>
      <c r="HQA22" s="3"/>
      <c r="HQB22" s="3"/>
      <c r="HQC22" s="3"/>
      <c r="HQD22" s="3"/>
      <c r="HQE22" s="3"/>
      <c r="HQF22" s="3"/>
      <c r="HQG22" s="3"/>
      <c r="HQH22" s="3"/>
      <c r="HQI22" s="3"/>
      <c r="HQJ22" s="3"/>
      <c r="HQK22" s="3"/>
      <c r="HQL22" s="3"/>
      <c r="HQM22" s="3"/>
      <c r="HQN22" s="3"/>
      <c r="HQO22" s="3"/>
      <c r="HQP22" s="3"/>
      <c r="HQQ22" s="3"/>
      <c r="HQR22" s="3"/>
      <c r="HQS22" s="3"/>
      <c r="HQT22" s="3"/>
      <c r="HQU22" s="3"/>
      <c r="HQV22" s="3"/>
      <c r="HQW22" s="3"/>
      <c r="HQX22" s="3"/>
      <c r="HQY22" s="3"/>
      <c r="HQZ22" s="3"/>
      <c r="HRA22" s="3"/>
      <c r="HRB22" s="3"/>
      <c r="HRC22" s="3"/>
      <c r="HRD22" s="3"/>
      <c r="HRE22" s="3"/>
      <c r="HRF22" s="3"/>
      <c r="HRG22" s="3"/>
      <c r="HRH22" s="3"/>
      <c r="HRI22" s="3"/>
      <c r="HRJ22" s="3"/>
      <c r="HRK22" s="3"/>
      <c r="HRL22" s="3"/>
      <c r="HRM22" s="3"/>
      <c r="HRN22" s="3"/>
      <c r="HRO22" s="3"/>
      <c r="HRP22" s="3"/>
      <c r="HRQ22" s="3"/>
      <c r="HRR22" s="3"/>
      <c r="HRS22" s="3"/>
      <c r="HRT22" s="3"/>
      <c r="HRU22" s="3"/>
      <c r="HRV22" s="3"/>
      <c r="HRW22" s="3"/>
      <c r="HRX22" s="3"/>
      <c r="HRY22" s="3"/>
      <c r="HRZ22" s="3"/>
      <c r="HSA22" s="3"/>
      <c r="HSB22" s="3"/>
      <c r="HSC22" s="3"/>
      <c r="HSD22" s="3"/>
      <c r="HSE22" s="3"/>
      <c r="HSF22" s="3"/>
      <c r="HSG22" s="3"/>
      <c r="HSH22" s="3"/>
      <c r="HSI22" s="3"/>
      <c r="HSJ22" s="3"/>
      <c r="HSK22" s="3"/>
      <c r="HSL22" s="3"/>
      <c r="HSM22" s="3"/>
      <c r="HSN22" s="3"/>
      <c r="HSO22" s="3"/>
      <c r="HSP22" s="3"/>
      <c r="HSQ22" s="3"/>
      <c r="HSR22" s="3"/>
      <c r="HSS22" s="3"/>
      <c r="HST22" s="3"/>
      <c r="HSU22" s="3"/>
      <c r="HSV22" s="3"/>
      <c r="HSW22" s="3"/>
      <c r="HSX22" s="3"/>
      <c r="HSY22" s="3"/>
      <c r="HSZ22" s="3"/>
      <c r="HTA22" s="3"/>
      <c r="HTB22" s="3"/>
      <c r="HTC22" s="3"/>
      <c r="HTD22" s="3"/>
      <c r="HTE22" s="3"/>
      <c r="HTF22" s="3"/>
      <c r="HTG22" s="3"/>
      <c r="HTH22" s="3"/>
      <c r="HTI22" s="3"/>
      <c r="HTJ22" s="3"/>
      <c r="HTK22" s="3"/>
      <c r="HTL22" s="3"/>
      <c r="HTM22" s="3"/>
      <c r="HTN22" s="3"/>
      <c r="HTO22" s="3"/>
      <c r="HTP22" s="3"/>
      <c r="HTQ22" s="3"/>
      <c r="HTR22" s="3"/>
      <c r="HTS22" s="3"/>
      <c r="HTT22" s="3"/>
      <c r="HTU22" s="3"/>
      <c r="HTV22" s="3"/>
      <c r="HTW22" s="3"/>
      <c r="HTX22" s="3"/>
      <c r="HTY22" s="3"/>
      <c r="HTZ22" s="3"/>
      <c r="HUA22" s="3"/>
      <c r="HUB22" s="3"/>
      <c r="HUC22" s="3"/>
      <c r="HUD22" s="3"/>
      <c r="HUE22" s="3"/>
      <c r="HUF22" s="3"/>
      <c r="HUG22" s="3"/>
      <c r="HUH22" s="3"/>
      <c r="HUI22" s="3"/>
      <c r="HUJ22" s="3"/>
      <c r="HUK22" s="3"/>
      <c r="HUL22" s="3"/>
      <c r="HUM22" s="3"/>
      <c r="HUN22" s="3"/>
      <c r="HUO22" s="3"/>
      <c r="HUP22" s="3"/>
      <c r="HUQ22" s="3"/>
      <c r="HUR22" s="3"/>
      <c r="HUS22" s="3"/>
      <c r="HUT22" s="3"/>
      <c r="HUU22" s="3"/>
      <c r="HUV22" s="3"/>
      <c r="HUW22" s="3"/>
      <c r="HUX22" s="3"/>
      <c r="HUY22" s="3"/>
      <c r="HUZ22" s="3"/>
      <c r="HVA22" s="3"/>
      <c r="HVB22" s="3"/>
      <c r="HVC22" s="3"/>
      <c r="HVD22" s="3"/>
      <c r="HVE22" s="3"/>
      <c r="HVF22" s="3"/>
      <c r="HVG22" s="3"/>
      <c r="HVH22" s="3"/>
      <c r="HVI22" s="3"/>
      <c r="HVJ22" s="3"/>
      <c r="HVK22" s="3"/>
      <c r="HVL22" s="3"/>
      <c r="HVM22" s="3"/>
      <c r="HVN22" s="3"/>
      <c r="HVO22" s="3"/>
      <c r="HVP22" s="3"/>
      <c r="HVQ22" s="3"/>
      <c r="HVR22" s="3"/>
      <c r="HVS22" s="3"/>
      <c r="HVT22" s="3"/>
      <c r="HVU22" s="3"/>
      <c r="HVV22" s="3"/>
      <c r="HVW22" s="3"/>
      <c r="HVX22" s="3"/>
      <c r="HVY22" s="3"/>
      <c r="HVZ22" s="3"/>
      <c r="HWA22" s="3"/>
      <c r="HWB22" s="3"/>
      <c r="HWC22" s="3"/>
      <c r="HWD22" s="3"/>
      <c r="HWE22" s="3"/>
      <c r="HWF22" s="3"/>
      <c r="HWG22" s="3"/>
      <c r="HWH22" s="3"/>
      <c r="HWI22" s="3"/>
      <c r="HWJ22" s="3"/>
      <c r="HWK22" s="3"/>
      <c r="HWL22" s="3"/>
      <c r="HWM22" s="3"/>
      <c r="HWN22" s="3"/>
      <c r="HWO22" s="3"/>
      <c r="HWP22" s="3"/>
      <c r="HWQ22" s="3"/>
      <c r="HWR22" s="3"/>
      <c r="HWS22" s="3"/>
      <c r="HWT22" s="3"/>
      <c r="HWU22" s="3"/>
      <c r="HWV22" s="3"/>
      <c r="HWW22" s="3"/>
      <c r="HWX22" s="3"/>
      <c r="HWY22" s="3"/>
      <c r="HWZ22" s="3"/>
      <c r="HXA22" s="3"/>
      <c r="HXB22" s="3"/>
      <c r="HXC22" s="3"/>
      <c r="HXD22" s="3"/>
      <c r="HXE22" s="3"/>
      <c r="HXF22" s="3"/>
      <c r="HXG22" s="3"/>
      <c r="HXH22" s="3"/>
      <c r="HXI22" s="3"/>
      <c r="HXJ22" s="3"/>
      <c r="HXK22" s="3"/>
      <c r="HXL22" s="3"/>
      <c r="HXM22" s="3"/>
      <c r="HXN22" s="3"/>
      <c r="HXO22" s="3"/>
      <c r="HXP22" s="3"/>
      <c r="HXQ22" s="3"/>
      <c r="HXR22" s="3"/>
      <c r="HXS22" s="3"/>
      <c r="HXT22" s="3"/>
      <c r="HXU22" s="3"/>
      <c r="HXV22" s="3"/>
      <c r="HXW22" s="3"/>
      <c r="HXX22" s="3"/>
      <c r="HXY22" s="3"/>
      <c r="HXZ22" s="3"/>
      <c r="HYA22" s="3"/>
      <c r="HYB22" s="3"/>
      <c r="HYC22" s="3"/>
      <c r="HYD22" s="3"/>
      <c r="HYE22" s="3"/>
      <c r="HYF22" s="3"/>
      <c r="HYG22" s="3"/>
      <c r="HYH22" s="3"/>
      <c r="HYI22" s="3"/>
      <c r="HYJ22" s="3"/>
      <c r="HYK22" s="3"/>
      <c r="HYL22" s="3"/>
      <c r="HYM22" s="3"/>
      <c r="HYN22" s="3"/>
      <c r="HYO22" s="3"/>
      <c r="HYP22" s="3"/>
      <c r="HYQ22" s="3"/>
      <c r="HYR22" s="3"/>
      <c r="HYS22" s="3"/>
      <c r="HYT22" s="3"/>
      <c r="HYU22" s="3"/>
      <c r="HYV22" s="3"/>
      <c r="HYW22" s="3"/>
      <c r="HYX22" s="3"/>
      <c r="HYY22" s="3"/>
      <c r="HYZ22" s="3"/>
      <c r="HZA22" s="3"/>
      <c r="HZB22" s="3"/>
      <c r="HZC22" s="3"/>
      <c r="HZD22" s="3"/>
      <c r="HZE22" s="3"/>
      <c r="HZF22" s="3"/>
      <c r="HZG22" s="3"/>
      <c r="HZH22" s="3"/>
      <c r="HZI22" s="3"/>
      <c r="HZJ22" s="3"/>
      <c r="HZK22" s="3"/>
      <c r="HZL22" s="3"/>
      <c r="HZM22" s="3"/>
      <c r="HZN22" s="3"/>
      <c r="HZO22" s="3"/>
      <c r="HZP22" s="3"/>
      <c r="HZQ22" s="3"/>
      <c r="HZR22" s="3"/>
      <c r="HZS22" s="3"/>
      <c r="HZT22" s="3"/>
      <c r="HZU22" s="3"/>
      <c r="HZV22" s="3"/>
      <c r="HZW22" s="3"/>
      <c r="HZX22" s="3"/>
      <c r="HZY22" s="3"/>
      <c r="HZZ22" s="3"/>
      <c r="IAA22" s="3"/>
      <c r="IAB22" s="3"/>
      <c r="IAC22" s="3"/>
      <c r="IAD22" s="3"/>
      <c r="IAE22" s="3"/>
      <c r="IAF22" s="3"/>
      <c r="IAG22" s="3"/>
      <c r="IAH22" s="3"/>
      <c r="IAI22" s="3"/>
      <c r="IAJ22" s="3"/>
      <c r="IAK22" s="3"/>
      <c r="IAL22" s="3"/>
      <c r="IAM22" s="3"/>
      <c r="IAN22" s="3"/>
      <c r="IAO22" s="3"/>
      <c r="IAP22" s="3"/>
      <c r="IAQ22" s="3"/>
      <c r="IAR22" s="3"/>
      <c r="IAS22" s="3"/>
      <c r="IAT22" s="3"/>
      <c r="IAU22" s="3"/>
      <c r="IAV22" s="3"/>
      <c r="IAW22" s="3"/>
      <c r="IAX22" s="3"/>
      <c r="IAY22" s="3"/>
      <c r="IAZ22" s="3"/>
      <c r="IBA22" s="3"/>
      <c r="IBB22" s="3"/>
      <c r="IBC22" s="3"/>
      <c r="IBD22" s="3"/>
      <c r="IBE22" s="3"/>
      <c r="IBF22" s="3"/>
      <c r="IBG22" s="3"/>
      <c r="IBH22" s="3"/>
      <c r="IBI22" s="3"/>
      <c r="IBJ22" s="3"/>
      <c r="IBK22" s="3"/>
      <c r="IBL22" s="3"/>
      <c r="IBM22" s="3"/>
      <c r="IBN22" s="3"/>
      <c r="IBO22" s="3"/>
      <c r="IBP22" s="3"/>
      <c r="IBQ22" s="3"/>
      <c r="IBR22" s="3"/>
      <c r="IBS22" s="3"/>
      <c r="IBT22" s="3"/>
      <c r="IBU22" s="3"/>
      <c r="IBV22" s="3"/>
      <c r="IBW22" s="3"/>
      <c r="IBX22" s="3"/>
      <c r="IBY22" s="3"/>
      <c r="IBZ22" s="3"/>
      <c r="ICA22" s="3"/>
      <c r="ICB22" s="3"/>
      <c r="ICC22" s="3"/>
      <c r="ICD22" s="3"/>
      <c r="ICE22" s="3"/>
      <c r="ICF22" s="3"/>
      <c r="ICG22" s="3"/>
      <c r="ICH22" s="3"/>
      <c r="ICI22" s="3"/>
      <c r="ICJ22" s="3"/>
      <c r="ICK22" s="3"/>
      <c r="ICL22" s="3"/>
      <c r="ICM22" s="3"/>
      <c r="ICN22" s="3"/>
      <c r="ICO22" s="3"/>
      <c r="ICP22" s="3"/>
      <c r="ICQ22" s="3"/>
      <c r="ICR22" s="3"/>
      <c r="ICS22" s="3"/>
      <c r="ICT22" s="3"/>
      <c r="ICU22" s="3"/>
      <c r="ICV22" s="3"/>
      <c r="ICW22" s="3"/>
      <c r="ICX22" s="3"/>
      <c r="ICY22" s="3"/>
      <c r="ICZ22" s="3"/>
      <c r="IDA22" s="3"/>
      <c r="IDB22" s="3"/>
      <c r="IDC22" s="3"/>
      <c r="IDD22" s="3"/>
      <c r="IDE22" s="3"/>
      <c r="IDF22" s="3"/>
      <c r="IDG22" s="3"/>
      <c r="IDH22" s="3"/>
      <c r="IDI22" s="3"/>
      <c r="IDJ22" s="3"/>
      <c r="IDK22" s="3"/>
      <c r="IDL22" s="3"/>
      <c r="IDM22" s="3"/>
      <c r="IDN22" s="3"/>
      <c r="IDO22" s="3"/>
      <c r="IDP22" s="3"/>
      <c r="IDQ22" s="3"/>
      <c r="IDR22" s="3"/>
      <c r="IDS22" s="3"/>
      <c r="IDT22" s="3"/>
      <c r="IDU22" s="3"/>
      <c r="IDV22" s="3"/>
      <c r="IDW22" s="3"/>
      <c r="IDX22" s="3"/>
      <c r="IDY22" s="3"/>
      <c r="IDZ22" s="3"/>
      <c r="IEA22" s="3"/>
      <c r="IEB22" s="3"/>
      <c r="IEC22" s="3"/>
      <c r="IED22" s="3"/>
      <c r="IEE22" s="3"/>
      <c r="IEF22" s="3"/>
      <c r="IEG22" s="3"/>
      <c r="IEH22" s="3"/>
      <c r="IEI22" s="3"/>
      <c r="IEJ22" s="3"/>
      <c r="IEK22" s="3"/>
      <c r="IEL22" s="3"/>
      <c r="IEM22" s="3"/>
      <c r="IEN22" s="3"/>
      <c r="IEO22" s="3"/>
      <c r="IEP22" s="3"/>
      <c r="IEQ22" s="3"/>
      <c r="IER22" s="3"/>
      <c r="IES22" s="3"/>
      <c r="IET22" s="3"/>
      <c r="IEU22" s="3"/>
      <c r="IEV22" s="3"/>
      <c r="IEW22" s="3"/>
      <c r="IEX22" s="3"/>
      <c r="IEY22" s="3"/>
      <c r="IEZ22" s="3"/>
      <c r="IFA22" s="3"/>
      <c r="IFB22" s="3"/>
      <c r="IFC22" s="3"/>
      <c r="IFD22" s="3"/>
      <c r="IFE22" s="3"/>
      <c r="IFF22" s="3"/>
      <c r="IFG22" s="3"/>
      <c r="IFH22" s="3"/>
      <c r="IFI22" s="3"/>
      <c r="IFJ22" s="3"/>
      <c r="IFK22" s="3"/>
      <c r="IFL22" s="3"/>
      <c r="IFM22" s="3"/>
      <c r="IFN22" s="3"/>
      <c r="IFO22" s="3"/>
      <c r="IFP22" s="3"/>
      <c r="IFQ22" s="3"/>
      <c r="IFR22" s="3"/>
      <c r="IFS22" s="3"/>
      <c r="IFT22" s="3"/>
      <c r="IFU22" s="3"/>
      <c r="IFV22" s="3"/>
      <c r="IFW22" s="3"/>
      <c r="IFX22" s="3"/>
      <c r="IFY22" s="3"/>
      <c r="IFZ22" s="3"/>
      <c r="IGA22" s="3"/>
      <c r="IGB22" s="3"/>
      <c r="IGC22" s="3"/>
      <c r="IGD22" s="3"/>
      <c r="IGE22" s="3"/>
      <c r="IGF22" s="3"/>
      <c r="IGG22" s="3"/>
      <c r="IGH22" s="3"/>
      <c r="IGI22" s="3"/>
      <c r="IGJ22" s="3"/>
      <c r="IGK22" s="3"/>
      <c r="IGL22" s="3"/>
      <c r="IGM22" s="3"/>
      <c r="IGN22" s="3"/>
      <c r="IGO22" s="3"/>
      <c r="IGP22" s="3"/>
      <c r="IGQ22" s="3"/>
      <c r="IGR22" s="3"/>
      <c r="IGS22" s="3"/>
      <c r="IGT22" s="3"/>
      <c r="IGU22" s="3"/>
      <c r="IGV22" s="3"/>
      <c r="IGW22" s="3"/>
      <c r="IGX22" s="3"/>
      <c r="IGY22" s="3"/>
      <c r="IGZ22" s="3"/>
      <c r="IHA22" s="3"/>
      <c r="IHB22" s="3"/>
      <c r="IHC22" s="3"/>
      <c r="IHD22" s="3"/>
      <c r="IHE22" s="3"/>
      <c r="IHF22" s="3"/>
      <c r="IHG22" s="3"/>
      <c r="IHH22" s="3"/>
      <c r="IHI22" s="3"/>
      <c r="IHJ22" s="3"/>
      <c r="IHK22" s="3"/>
      <c r="IHL22" s="3"/>
      <c r="IHM22" s="3"/>
      <c r="IHN22" s="3"/>
      <c r="IHO22" s="3"/>
      <c r="IHP22" s="3"/>
      <c r="IHQ22" s="3"/>
      <c r="IHR22" s="3"/>
      <c r="IHS22" s="3"/>
      <c r="IHT22" s="3"/>
      <c r="IHU22" s="3"/>
      <c r="IHV22" s="3"/>
      <c r="IHW22" s="3"/>
      <c r="IHX22" s="3"/>
      <c r="IHY22" s="3"/>
      <c r="IHZ22" s="3"/>
      <c r="IIA22" s="3"/>
      <c r="IIB22" s="3"/>
      <c r="IIC22" s="3"/>
      <c r="IID22" s="3"/>
      <c r="IIE22" s="3"/>
      <c r="IIF22" s="3"/>
      <c r="IIG22" s="3"/>
      <c r="IIH22" s="3"/>
      <c r="III22" s="3"/>
      <c r="IIJ22" s="3"/>
      <c r="IIK22" s="3"/>
      <c r="IIL22" s="3"/>
      <c r="IIM22" s="3"/>
      <c r="IIN22" s="3"/>
      <c r="IIO22" s="3"/>
      <c r="IIP22" s="3"/>
      <c r="IIQ22" s="3"/>
      <c r="IIR22" s="3"/>
      <c r="IIS22" s="3"/>
      <c r="IIT22" s="3"/>
      <c r="IIU22" s="3"/>
      <c r="IIV22" s="3"/>
      <c r="IIW22" s="3"/>
      <c r="IIX22" s="3"/>
      <c r="IIY22" s="3"/>
      <c r="IIZ22" s="3"/>
      <c r="IJA22" s="3"/>
      <c r="IJB22" s="3"/>
      <c r="IJC22" s="3"/>
      <c r="IJD22" s="3"/>
      <c r="IJE22" s="3"/>
      <c r="IJF22" s="3"/>
      <c r="IJG22" s="3"/>
      <c r="IJH22" s="3"/>
      <c r="IJI22" s="3"/>
      <c r="IJJ22" s="3"/>
      <c r="IJK22" s="3"/>
      <c r="IJL22" s="3"/>
      <c r="IJM22" s="3"/>
      <c r="IJN22" s="3"/>
      <c r="IJO22" s="3"/>
      <c r="IJP22" s="3"/>
      <c r="IJQ22" s="3"/>
      <c r="IJR22" s="3"/>
      <c r="IJS22" s="3"/>
      <c r="IJT22" s="3"/>
      <c r="IJU22" s="3"/>
      <c r="IJV22" s="3"/>
      <c r="IJW22" s="3"/>
      <c r="IJX22" s="3"/>
      <c r="IJY22" s="3"/>
      <c r="IJZ22" s="3"/>
      <c r="IKA22" s="3"/>
      <c r="IKB22" s="3"/>
      <c r="IKC22" s="3"/>
      <c r="IKD22" s="3"/>
      <c r="IKE22" s="3"/>
      <c r="IKF22" s="3"/>
      <c r="IKG22" s="3"/>
      <c r="IKH22" s="3"/>
      <c r="IKI22" s="3"/>
      <c r="IKJ22" s="3"/>
      <c r="IKK22" s="3"/>
      <c r="IKL22" s="3"/>
      <c r="IKM22" s="3"/>
      <c r="IKN22" s="3"/>
      <c r="IKO22" s="3"/>
      <c r="IKP22" s="3"/>
      <c r="IKQ22" s="3"/>
      <c r="IKR22" s="3"/>
      <c r="IKS22" s="3"/>
      <c r="IKT22" s="3"/>
      <c r="IKU22" s="3"/>
      <c r="IKV22" s="3"/>
      <c r="IKW22" s="3"/>
      <c r="IKX22" s="3"/>
      <c r="IKY22" s="3"/>
      <c r="IKZ22" s="3"/>
      <c r="ILA22" s="3"/>
      <c r="ILB22" s="3"/>
      <c r="ILC22" s="3"/>
      <c r="ILD22" s="3"/>
      <c r="ILE22" s="3"/>
      <c r="ILF22" s="3"/>
      <c r="ILG22" s="3"/>
      <c r="ILH22" s="3"/>
      <c r="ILI22" s="3"/>
      <c r="ILJ22" s="3"/>
      <c r="ILK22" s="3"/>
      <c r="ILL22" s="3"/>
      <c r="ILM22" s="3"/>
      <c r="ILN22" s="3"/>
      <c r="ILO22" s="3"/>
      <c r="ILP22" s="3"/>
      <c r="ILQ22" s="3"/>
      <c r="ILR22" s="3"/>
      <c r="ILS22" s="3"/>
      <c r="ILT22" s="3"/>
      <c r="ILU22" s="3"/>
      <c r="ILV22" s="3"/>
      <c r="ILW22" s="3"/>
      <c r="ILX22" s="3"/>
      <c r="ILY22" s="3"/>
      <c r="ILZ22" s="3"/>
      <c r="IMA22" s="3"/>
      <c r="IMB22" s="3"/>
      <c r="IMC22" s="3"/>
      <c r="IMD22" s="3"/>
      <c r="IME22" s="3"/>
      <c r="IMF22" s="3"/>
      <c r="IMG22" s="3"/>
      <c r="IMH22" s="3"/>
      <c r="IMI22" s="3"/>
      <c r="IMJ22" s="3"/>
      <c r="IMK22" s="3"/>
      <c r="IML22" s="3"/>
      <c r="IMM22" s="3"/>
      <c r="IMN22" s="3"/>
      <c r="IMO22" s="3"/>
      <c r="IMP22" s="3"/>
      <c r="IMQ22" s="3"/>
      <c r="IMR22" s="3"/>
      <c r="IMS22" s="3"/>
      <c r="IMT22" s="3"/>
      <c r="IMU22" s="3"/>
      <c r="IMV22" s="3"/>
      <c r="IMW22" s="3"/>
      <c r="IMX22" s="3"/>
      <c r="IMY22" s="3"/>
      <c r="IMZ22" s="3"/>
      <c r="INA22" s="3"/>
      <c r="INB22" s="3"/>
      <c r="INC22" s="3"/>
      <c r="IND22" s="3"/>
      <c r="INE22" s="3"/>
      <c r="INF22" s="3"/>
      <c r="ING22" s="3"/>
      <c r="INH22" s="3"/>
      <c r="INI22" s="3"/>
      <c r="INJ22" s="3"/>
      <c r="INK22" s="3"/>
      <c r="INL22" s="3"/>
      <c r="INM22" s="3"/>
      <c r="INN22" s="3"/>
      <c r="INO22" s="3"/>
      <c r="INP22" s="3"/>
      <c r="INQ22" s="3"/>
      <c r="INR22" s="3"/>
      <c r="INS22" s="3"/>
      <c r="INT22" s="3"/>
      <c r="INU22" s="3"/>
      <c r="INV22" s="3"/>
      <c r="INW22" s="3"/>
      <c r="INX22" s="3"/>
      <c r="INY22" s="3"/>
      <c r="INZ22" s="3"/>
      <c r="IOA22" s="3"/>
      <c r="IOB22" s="3"/>
      <c r="IOC22" s="3"/>
      <c r="IOD22" s="3"/>
      <c r="IOE22" s="3"/>
      <c r="IOF22" s="3"/>
      <c r="IOG22" s="3"/>
      <c r="IOH22" s="3"/>
      <c r="IOI22" s="3"/>
      <c r="IOJ22" s="3"/>
      <c r="IOK22" s="3"/>
      <c r="IOL22" s="3"/>
      <c r="IOM22" s="3"/>
      <c r="ION22" s="3"/>
      <c r="IOO22" s="3"/>
      <c r="IOP22" s="3"/>
      <c r="IOQ22" s="3"/>
      <c r="IOR22" s="3"/>
      <c r="IOS22" s="3"/>
      <c r="IOT22" s="3"/>
      <c r="IOU22" s="3"/>
      <c r="IOV22" s="3"/>
      <c r="IOW22" s="3"/>
      <c r="IOX22" s="3"/>
      <c r="IOY22" s="3"/>
      <c r="IOZ22" s="3"/>
      <c r="IPA22" s="3"/>
      <c r="IPB22" s="3"/>
      <c r="IPC22" s="3"/>
      <c r="IPD22" s="3"/>
      <c r="IPE22" s="3"/>
      <c r="IPF22" s="3"/>
      <c r="IPG22" s="3"/>
      <c r="IPH22" s="3"/>
      <c r="IPI22" s="3"/>
      <c r="IPJ22" s="3"/>
      <c r="IPK22" s="3"/>
      <c r="IPL22" s="3"/>
      <c r="IPM22" s="3"/>
      <c r="IPN22" s="3"/>
      <c r="IPO22" s="3"/>
      <c r="IPP22" s="3"/>
      <c r="IPQ22" s="3"/>
      <c r="IPR22" s="3"/>
      <c r="IPS22" s="3"/>
      <c r="IPT22" s="3"/>
      <c r="IPU22" s="3"/>
      <c r="IPV22" s="3"/>
      <c r="IPW22" s="3"/>
      <c r="IPX22" s="3"/>
      <c r="IPY22" s="3"/>
      <c r="IPZ22" s="3"/>
      <c r="IQA22" s="3"/>
      <c r="IQB22" s="3"/>
      <c r="IQC22" s="3"/>
      <c r="IQD22" s="3"/>
      <c r="IQE22" s="3"/>
      <c r="IQF22" s="3"/>
      <c r="IQG22" s="3"/>
      <c r="IQH22" s="3"/>
      <c r="IQI22" s="3"/>
      <c r="IQJ22" s="3"/>
      <c r="IQK22" s="3"/>
      <c r="IQL22" s="3"/>
      <c r="IQM22" s="3"/>
      <c r="IQN22" s="3"/>
      <c r="IQO22" s="3"/>
      <c r="IQP22" s="3"/>
      <c r="IQQ22" s="3"/>
      <c r="IQR22" s="3"/>
      <c r="IQS22" s="3"/>
      <c r="IQT22" s="3"/>
      <c r="IQU22" s="3"/>
      <c r="IQV22" s="3"/>
      <c r="IQW22" s="3"/>
      <c r="IQX22" s="3"/>
      <c r="IQY22" s="3"/>
      <c r="IQZ22" s="3"/>
      <c r="IRA22" s="3"/>
      <c r="IRB22" s="3"/>
      <c r="IRC22" s="3"/>
      <c r="IRD22" s="3"/>
      <c r="IRE22" s="3"/>
      <c r="IRF22" s="3"/>
      <c r="IRG22" s="3"/>
      <c r="IRH22" s="3"/>
      <c r="IRI22" s="3"/>
      <c r="IRJ22" s="3"/>
      <c r="IRK22" s="3"/>
      <c r="IRL22" s="3"/>
      <c r="IRM22" s="3"/>
      <c r="IRN22" s="3"/>
      <c r="IRO22" s="3"/>
      <c r="IRP22" s="3"/>
      <c r="IRQ22" s="3"/>
      <c r="IRR22" s="3"/>
      <c r="IRS22" s="3"/>
      <c r="IRT22" s="3"/>
      <c r="IRU22" s="3"/>
      <c r="IRV22" s="3"/>
      <c r="IRW22" s="3"/>
      <c r="IRX22" s="3"/>
      <c r="IRY22" s="3"/>
      <c r="IRZ22" s="3"/>
      <c r="ISA22" s="3"/>
      <c r="ISB22" s="3"/>
      <c r="ISC22" s="3"/>
      <c r="ISD22" s="3"/>
      <c r="ISE22" s="3"/>
      <c r="ISF22" s="3"/>
      <c r="ISG22" s="3"/>
      <c r="ISH22" s="3"/>
      <c r="ISI22" s="3"/>
      <c r="ISJ22" s="3"/>
      <c r="ISK22" s="3"/>
      <c r="ISL22" s="3"/>
      <c r="ISM22" s="3"/>
      <c r="ISN22" s="3"/>
      <c r="ISO22" s="3"/>
      <c r="ISP22" s="3"/>
      <c r="ISQ22" s="3"/>
      <c r="ISR22" s="3"/>
      <c r="ISS22" s="3"/>
      <c r="IST22" s="3"/>
      <c r="ISU22" s="3"/>
      <c r="ISV22" s="3"/>
      <c r="ISW22" s="3"/>
      <c r="ISX22" s="3"/>
      <c r="ISY22" s="3"/>
      <c r="ISZ22" s="3"/>
      <c r="ITA22" s="3"/>
      <c r="ITB22" s="3"/>
      <c r="ITC22" s="3"/>
      <c r="ITD22" s="3"/>
      <c r="ITE22" s="3"/>
      <c r="ITF22" s="3"/>
      <c r="ITG22" s="3"/>
      <c r="ITH22" s="3"/>
      <c r="ITI22" s="3"/>
      <c r="ITJ22" s="3"/>
      <c r="ITK22" s="3"/>
      <c r="ITL22" s="3"/>
      <c r="ITM22" s="3"/>
      <c r="ITN22" s="3"/>
      <c r="ITO22" s="3"/>
      <c r="ITP22" s="3"/>
      <c r="ITQ22" s="3"/>
      <c r="ITR22" s="3"/>
      <c r="ITS22" s="3"/>
      <c r="ITT22" s="3"/>
      <c r="ITU22" s="3"/>
      <c r="ITV22" s="3"/>
      <c r="ITW22" s="3"/>
      <c r="ITX22" s="3"/>
      <c r="ITY22" s="3"/>
      <c r="ITZ22" s="3"/>
      <c r="IUA22" s="3"/>
      <c r="IUB22" s="3"/>
      <c r="IUC22" s="3"/>
      <c r="IUD22" s="3"/>
      <c r="IUE22" s="3"/>
      <c r="IUF22" s="3"/>
      <c r="IUG22" s="3"/>
      <c r="IUH22" s="3"/>
      <c r="IUI22" s="3"/>
      <c r="IUJ22" s="3"/>
      <c r="IUK22" s="3"/>
      <c r="IUL22" s="3"/>
      <c r="IUM22" s="3"/>
      <c r="IUN22" s="3"/>
      <c r="IUO22" s="3"/>
      <c r="IUP22" s="3"/>
      <c r="IUQ22" s="3"/>
      <c r="IUR22" s="3"/>
      <c r="IUS22" s="3"/>
      <c r="IUT22" s="3"/>
      <c r="IUU22" s="3"/>
      <c r="IUV22" s="3"/>
      <c r="IUW22" s="3"/>
      <c r="IUX22" s="3"/>
      <c r="IUY22" s="3"/>
      <c r="IUZ22" s="3"/>
      <c r="IVA22" s="3"/>
      <c r="IVB22" s="3"/>
      <c r="IVC22" s="3"/>
      <c r="IVD22" s="3"/>
      <c r="IVE22" s="3"/>
      <c r="IVF22" s="3"/>
      <c r="IVG22" s="3"/>
      <c r="IVH22" s="3"/>
      <c r="IVI22" s="3"/>
      <c r="IVJ22" s="3"/>
      <c r="IVK22" s="3"/>
      <c r="IVL22" s="3"/>
      <c r="IVM22" s="3"/>
      <c r="IVN22" s="3"/>
      <c r="IVO22" s="3"/>
      <c r="IVP22" s="3"/>
      <c r="IVQ22" s="3"/>
      <c r="IVR22" s="3"/>
      <c r="IVS22" s="3"/>
      <c r="IVT22" s="3"/>
      <c r="IVU22" s="3"/>
      <c r="IVV22" s="3"/>
      <c r="IVW22" s="3"/>
      <c r="IVX22" s="3"/>
      <c r="IVY22" s="3"/>
      <c r="IVZ22" s="3"/>
      <c r="IWA22" s="3"/>
      <c r="IWB22" s="3"/>
      <c r="IWC22" s="3"/>
      <c r="IWD22" s="3"/>
      <c r="IWE22" s="3"/>
      <c r="IWF22" s="3"/>
      <c r="IWG22" s="3"/>
      <c r="IWH22" s="3"/>
      <c r="IWI22" s="3"/>
      <c r="IWJ22" s="3"/>
      <c r="IWK22" s="3"/>
      <c r="IWL22" s="3"/>
      <c r="IWM22" s="3"/>
      <c r="IWN22" s="3"/>
      <c r="IWO22" s="3"/>
      <c r="IWP22" s="3"/>
      <c r="IWQ22" s="3"/>
      <c r="IWR22" s="3"/>
      <c r="IWS22" s="3"/>
      <c r="IWT22" s="3"/>
      <c r="IWU22" s="3"/>
      <c r="IWV22" s="3"/>
      <c r="IWW22" s="3"/>
      <c r="IWX22" s="3"/>
      <c r="IWY22" s="3"/>
      <c r="IWZ22" s="3"/>
      <c r="IXA22" s="3"/>
      <c r="IXB22" s="3"/>
      <c r="IXC22" s="3"/>
      <c r="IXD22" s="3"/>
      <c r="IXE22" s="3"/>
      <c r="IXF22" s="3"/>
      <c r="IXG22" s="3"/>
      <c r="IXH22" s="3"/>
      <c r="IXI22" s="3"/>
      <c r="IXJ22" s="3"/>
      <c r="IXK22" s="3"/>
      <c r="IXL22" s="3"/>
      <c r="IXM22" s="3"/>
      <c r="IXN22" s="3"/>
      <c r="IXO22" s="3"/>
      <c r="IXP22" s="3"/>
      <c r="IXQ22" s="3"/>
      <c r="IXR22" s="3"/>
      <c r="IXS22" s="3"/>
      <c r="IXT22" s="3"/>
      <c r="IXU22" s="3"/>
      <c r="IXV22" s="3"/>
      <c r="IXW22" s="3"/>
      <c r="IXX22" s="3"/>
      <c r="IXY22" s="3"/>
      <c r="IXZ22" s="3"/>
      <c r="IYA22" s="3"/>
      <c r="IYB22" s="3"/>
      <c r="IYC22" s="3"/>
      <c r="IYD22" s="3"/>
      <c r="IYE22" s="3"/>
      <c r="IYF22" s="3"/>
      <c r="IYG22" s="3"/>
      <c r="IYH22" s="3"/>
      <c r="IYI22" s="3"/>
      <c r="IYJ22" s="3"/>
      <c r="IYK22" s="3"/>
      <c r="IYL22" s="3"/>
      <c r="IYM22" s="3"/>
      <c r="IYN22" s="3"/>
      <c r="IYO22" s="3"/>
      <c r="IYP22" s="3"/>
      <c r="IYQ22" s="3"/>
      <c r="IYR22" s="3"/>
      <c r="IYS22" s="3"/>
      <c r="IYT22" s="3"/>
      <c r="IYU22" s="3"/>
      <c r="IYV22" s="3"/>
      <c r="IYW22" s="3"/>
      <c r="IYX22" s="3"/>
      <c r="IYY22" s="3"/>
      <c r="IYZ22" s="3"/>
      <c r="IZA22" s="3"/>
      <c r="IZB22" s="3"/>
      <c r="IZC22" s="3"/>
      <c r="IZD22" s="3"/>
      <c r="IZE22" s="3"/>
      <c r="IZF22" s="3"/>
      <c r="IZG22" s="3"/>
      <c r="IZH22" s="3"/>
      <c r="IZI22" s="3"/>
      <c r="IZJ22" s="3"/>
      <c r="IZK22" s="3"/>
      <c r="IZL22" s="3"/>
      <c r="IZM22" s="3"/>
      <c r="IZN22" s="3"/>
      <c r="IZO22" s="3"/>
      <c r="IZP22" s="3"/>
      <c r="IZQ22" s="3"/>
      <c r="IZR22" s="3"/>
      <c r="IZS22" s="3"/>
      <c r="IZT22" s="3"/>
      <c r="IZU22" s="3"/>
      <c r="IZV22" s="3"/>
      <c r="IZW22" s="3"/>
      <c r="IZX22" s="3"/>
      <c r="IZY22" s="3"/>
      <c r="IZZ22" s="3"/>
      <c r="JAA22" s="3"/>
      <c r="JAB22" s="3"/>
      <c r="JAC22" s="3"/>
      <c r="JAD22" s="3"/>
      <c r="JAE22" s="3"/>
      <c r="JAF22" s="3"/>
      <c r="JAG22" s="3"/>
      <c r="JAH22" s="3"/>
      <c r="JAI22" s="3"/>
      <c r="JAJ22" s="3"/>
      <c r="JAK22" s="3"/>
      <c r="JAL22" s="3"/>
      <c r="JAM22" s="3"/>
      <c r="JAN22" s="3"/>
      <c r="JAO22" s="3"/>
      <c r="JAP22" s="3"/>
      <c r="JAQ22" s="3"/>
      <c r="JAR22" s="3"/>
      <c r="JAS22" s="3"/>
      <c r="JAT22" s="3"/>
      <c r="JAU22" s="3"/>
      <c r="JAV22" s="3"/>
      <c r="JAW22" s="3"/>
      <c r="JAX22" s="3"/>
      <c r="JAY22" s="3"/>
      <c r="JAZ22" s="3"/>
      <c r="JBA22" s="3"/>
      <c r="JBB22" s="3"/>
      <c r="JBC22" s="3"/>
      <c r="JBD22" s="3"/>
      <c r="JBE22" s="3"/>
      <c r="JBF22" s="3"/>
      <c r="JBG22" s="3"/>
      <c r="JBH22" s="3"/>
      <c r="JBI22" s="3"/>
      <c r="JBJ22" s="3"/>
      <c r="JBK22" s="3"/>
      <c r="JBL22" s="3"/>
      <c r="JBM22" s="3"/>
      <c r="JBN22" s="3"/>
      <c r="JBO22" s="3"/>
      <c r="JBP22" s="3"/>
      <c r="JBQ22" s="3"/>
      <c r="JBR22" s="3"/>
      <c r="JBS22" s="3"/>
      <c r="JBT22" s="3"/>
      <c r="JBU22" s="3"/>
      <c r="JBV22" s="3"/>
      <c r="JBW22" s="3"/>
      <c r="JBX22" s="3"/>
      <c r="JBY22" s="3"/>
      <c r="JBZ22" s="3"/>
      <c r="JCA22" s="3"/>
      <c r="JCB22" s="3"/>
      <c r="JCC22" s="3"/>
      <c r="JCD22" s="3"/>
      <c r="JCE22" s="3"/>
      <c r="JCF22" s="3"/>
      <c r="JCG22" s="3"/>
      <c r="JCH22" s="3"/>
      <c r="JCI22" s="3"/>
      <c r="JCJ22" s="3"/>
      <c r="JCK22" s="3"/>
      <c r="JCL22" s="3"/>
      <c r="JCM22" s="3"/>
      <c r="JCN22" s="3"/>
      <c r="JCO22" s="3"/>
      <c r="JCP22" s="3"/>
      <c r="JCQ22" s="3"/>
      <c r="JCR22" s="3"/>
      <c r="JCS22" s="3"/>
      <c r="JCT22" s="3"/>
      <c r="JCU22" s="3"/>
      <c r="JCV22" s="3"/>
      <c r="JCW22" s="3"/>
      <c r="JCX22" s="3"/>
      <c r="JCY22" s="3"/>
      <c r="JCZ22" s="3"/>
      <c r="JDA22" s="3"/>
      <c r="JDB22" s="3"/>
      <c r="JDC22" s="3"/>
      <c r="JDD22" s="3"/>
      <c r="JDE22" s="3"/>
      <c r="JDF22" s="3"/>
      <c r="JDG22" s="3"/>
      <c r="JDH22" s="3"/>
      <c r="JDI22" s="3"/>
      <c r="JDJ22" s="3"/>
      <c r="JDK22" s="3"/>
      <c r="JDL22" s="3"/>
      <c r="JDM22" s="3"/>
      <c r="JDN22" s="3"/>
      <c r="JDO22" s="3"/>
      <c r="JDP22" s="3"/>
      <c r="JDQ22" s="3"/>
      <c r="JDR22" s="3"/>
      <c r="JDS22" s="3"/>
      <c r="JDT22" s="3"/>
      <c r="JDU22" s="3"/>
      <c r="JDV22" s="3"/>
      <c r="JDW22" s="3"/>
      <c r="JDX22" s="3"/>
      <c r="JDY22" s="3"/>
      <c r="JDZ22" s="3"/>
      <c r="JEA22" s="3"/>
      <c r="JEB22" s="3"/>
      <c r="JEC22" s="3"/>
      <c r="JED22" s="3"/>
      <c r="JEE22" s="3"/>
      <c r="JEF22" s="3"/>
      <c r="JEG22" s="3"/>
      <c r="JEH22" s="3"/>
      <c r="JEI22" s="3"/>
      <c r="JEJ22" s="3"/>
      <c r="JEK22" s="3"/>
      <c r="JEL22" s="3"/>
      <c r="JEM22" s="3"/>
      <c r="JEN22" s="3"/>
      <c r="JEO22" s="3"/>
      <c r="JEP22" s="3"/>
      <c r="JEQ22" s="3"/>
      <c r="JER22" s="3"/>
      <c r="JES22" s="3"/>
      <c r="JET22" s="3"/>
      <c r="JEU22" s="3"/>
      <c r="JEV22" s="3"/>
      <c r="JEW22" s="3"/>
      <c r="JEX22" s="3"/>
      <c r="JEY22" s="3"/>
      <c r="JEZ22" s="3"/>
      <c r="JFA22" s="3"/>
      <c r="JFB22" s="3"/>
      <c r="JFC22" s="3"/>
      <c r="JFD22" s="3"/>
      <c r="JFE22" s="3"/>
      <c r="JFF22" s="3"/>
      <c r="JFG22" s="3"/>
      <c r="JFH22" s="3"/>
      <c r="JFI22" s="3"/>
      <c r="JFJ22" s="3"/>
      <c r="JFK22" s="3"/>
      <c r="JFL22" s="3"/>
      <c r="JFM22" s="3"/>
      <c r="JFN22" s="3"/>
      <c r="JFO22" s="3"/>
      <c r="JFP22" s="3"/>
      <c r="JFQ22" s="3"/>
      <c r="JFR22" s="3"/>
      <c r="JFS22" s="3"/>
      <c r="JFT22" s="3"/>
      <c r="JFU22" s="3"/>
      <c r="JFV22" s="3"/>
      <c r="JFW22" s="3"/>
      <c r="JFX22" s="3"/>
      <c r="JFY22" s="3"/>
      <c r="JFZ22" s="3"/>
      <c r="JGA22" s="3"/>
      <c r="JGB22" s="3"/>
      <c r="JGC22" s="3"/>
      <c r="JGD22" s="3"/>
      <c r="JGE22" s="3"/>
      <c r="JGF22" s="3"/>
      <c r="JGG22" s="3"/>
      <c r="JGH22" s="3"/>
      <c r="JGI22" s="3"/>
      <c r="JGJ22" s="3"/>
      <c r="JGK22" s="3"/>
      <c r="JGL22" s="3"/>
      <c r="JGM22" s="3"/>
      <c r="JGN22" s="3"/>
      <c r="JGO22" s="3"/>
      <c r="JGP22" s="3"/>
      <c r="JGQ22" s="3"/>
      <c r="JGR22" s="3"/>
      <c r="JGS22" s="3"/>
      <c r="JGT22" s="3"/>
      <c r="JGU22" s="3"/>
      <c r="JGV22" s="3"/>
      <c r="JGW22" s="3"/>
      <c r="JGX22" s="3"/>
      <c r="JGY22" s="3"/>
      <c r="JGZ22" s="3"/>
      <c r="JHA22" s="3"/>
      <c r="JHB22" s="3"/>
      <c r="JHC22" s="3"/>
      <c r="JHD22" s="3"/>
      <c r="JHE22" s="3"/>
      <c r="JHF22" s="3"/>
      <c r="JHG22" s="3"/>
      <c r="JHH22" s="3"/>
      <c r="JHI22" s="3"/>
      <c r="JHJ22" s="3"/>
      <c r="JHK22" s="3"/>
      <c r="JHL22" s="3"/>
      <c r="JHM22" s="3"/>
      <c r="JHN22" s="3"/>
      <c r="JHO22" s="3"/>
      <c r="JHP22" s="3"/>
      <c r="JHQ22" s="3"/>
      <c r="JHR22" s="3"/>
      <c r="JHS22" s="3"/>
      <c r="JHT22" s="3"/>
      <c r="JHU22" s="3"/>
      <c r="JHV22" s="3"/>
      <c r="JHW22" s="3"/>
      <c r="JHX22" s="3"/>
      <c r="JHY22" s="3"/>
      <c r="JHZ22" s="3"/>
      <c r="JIA22" s="3"/>
      <c r="JIB22" s="3"/>
      <c r="JIC22" s="3"/>
      <c r="JID22" s="3"/>
      <c r="JIE22" s="3"/>
      <c r="JIF22" s="3"/>
      <c r="JIG22" s="3"/>
      <c r="JIH22" s="3"/>
      <c r="JII22" s="3"/>
      <c r="JIJ22" s="3"/>
      <c r="JIK22" s="3"/>
      <c r="JIL22" s="3"/>
      <c r="JIM22" s="3"/>
      <c r="JIN22" s="3"/>
      <c r="JIO22" s="3"/>
      <c r="JIP22" s="3"/>
      <c r="JIQ22" s="3"/>
      <c r="JIR22" s="3"/>
      <c r="JIS22" s="3"/>
      <c r="JIT22" s="3"/>
      <c r="JIU22" s="3"/>
      <c r="JIV22" s="3"/>
      <c r="JIW22" s="3"/>
      <c r="JIX22" s="3"/>
      <c r="JIY22" s="3"/>
      <c r="JIZ22" s="3"/>
      <c r="JJA22" s="3"/>
      <c r="JJB22" s="3"/>
      <c r="JJC22" s="3"/>
      <c r="JJD22" s="3"/>
      <c r="JJE22" s="3"/>
      <c r="JJF22" s="3"/>
      <c r="JJG22" s="3"/>
      <c r="JJH22" s="3"/>
      <c r="JJI22" s="3"/>
      <c r="JJJ22" s="3"/>
      <c r="JJK22" s="3"/>
      <c r="JJL22" s="3"/>
      <c r="JJM22" s="3"/>
      <c r="JJN22" s="3"/>
      <c r="JJO22" s="3"/>
      <c r="JJP22" s="3"/>
      <c r="JJQ22" s="3"/>
      <c r="JJR22" s="3"/>
      <c r="JJS22" s="3"/>
      <c r="JJT22" s="3"/>
      <c r="JJU22" s="3"/>
      <c r="JJV22" s="3"/>
      <c r="JJW22" s="3"/>
      <c r="JJX22" s="3"/>
      <c r="JJY22" s="3"/>
      <c r="JJZ22" s="3"/>
      <c r="JKA22" s="3"/>
      <c r="JKB22" s="3"/>
      <c r="JKC22" s="3"/>
      <c r="JKD22" s="3"/>
      <c r="JKE22" s="3"/>
      <c r="JKF22" s="3"/>
      <c r="JKG22" s="3"/>
      <c r="JKH22" s="3"/>
      <c r="JKI22" s="3"/>
      <c r="JKJ22" s="3"/>
      <c r="JKK22" s="3"/>
      <c r="JKL22" s="3"/>
      <c r="JKM22" s="3"/>
      <c r="JKN22" s="3"/>
      <c r="JKO22" s="3"/>
      <c r="JKP22" s="3"/>
      <c r="JKQ22" s="3"/>
      <c r="JKR22" s="3"/>
      <c r="JKS22" s="3"/>
      <c r="JKT22" s="3"/>
      <c r="JKU22" s="3"/>
      <c r="JKV22" s="3"/>
      <c r="JKW22" s="3"/>
      <c r="JKX22" s="3"/>
      <c r="JKY22" s="3"/>
      <c r="JKZ22" s="3"/>
      <c r="JLA22" s="3"/>
      <c r="JLB22" s="3"/>
      <c r="JLC22" s="3"/>
      <c r="JLD22" s="3"/>
      <c r="JLE22" s="3"/>
      <c r="JLF22" s="3"/>
      <c r="JLG22" s="3"/>
      <c r="JLH22" s="3"/>
      <c r="JLI22" s="3"/>
      <c r="JLJ22" s="3"/>
      <c r="JLK22" s="3"/>
      <c r="JLL22" s="3"/>
      <c r="JLM22" s="3"/>
      <c r="JLN22" s="3"/>
      <c r="JLO22" s="3"/>
      <c r="JLP22" s="3"/>
      <c r="JLQ22" s="3"/>
      <c r="JLR22" s="3"/>
      <c r="JLS22" s="3"/>
      <c r="JLT22" s="3"/>
      <c r="JLU22" s="3"/>
      <c r="JLV22" s="3"/>
      <c r="JLW22" s="3"/>
      <c r="JLX22" s="3"/>
      <c r="JLY22" s="3"/>
      <c r="JLZ22" s="3"/>
      <c r="JMA22" s="3"/>
      <c r="JMB22" s="3"/>
      <c r="JMC22" s="3"/>
      <c r="JMD22" s="3"/>
      <c r="JME22" s="3"/>
      <c r="JMF22" s="3"/>
      <c r="JMG22" s="3"/>
      <c r="JMH22" s="3"/>
      <c r="JMI22" s="3"/>
      <c r="JMJ22" s="3"/>
      <c r="JMK22" s="3"/>
      <c r="JML22" s="3"/>
      <c r="JMM22" s="3"/>
      <c r="JMN22" s="3"/>
      <c r="JMO22" s="3"/>
      <c r="JMP22" s="3"/>
      <c r="JMQ22" s="3"/>
      <c r="JMR22" s="3"/>
      <c r="JMS22" s="3"/>
      <c r="JMT22" s="3"/>
      <c r="JMU22" s="3"/>
      <c r="JMV22" s="3"/>
      <c r="JMW22" s="3"/>
      <c r="JMX22" s="3"/>
      <c r="JMY22" s="3"/>
      <c r="JMZ22" s="3"/>
      <c r="JNA22" s="3"/>
      <c r="JNB22" s="3"/>
      <c r="JNC22" s="3"/>
      <c r="JND22" s="3"/>
      <c r="JNE22" s="3"/>
      <c r="JNF22" s="3"/>
      <c r="JNG22" s="3"/>
      <c r="JNH22" s="3"/>
      <c r="JNI22" s="3"/>
      <c r="JNJ22" s="3"/>
      <c r="JNK22" s="3"/>
      <c r="JNL22" s="3"/>
      <c r="JNM22" s="3"/>
      <c r="JNN22" s="3"/>
      <c r="JNO22" s="3"/>
      <c r="JNP22" s="3"/>
      <c r="JNQ22" s="3"/>
      <c r="JNR22" s="3"/>
      <c r="JNS22" s="3"/>
      <c r="JNT22" s="3"/>
      <c r="JNU22" s="3"/>
      <c r="JNV22" s="3"/>
      <c r="JNW22" s="3"/>
      <c r="JNX22" s="3"/>
      <c r="JNY22" s="3"/>
      <c r="JNZ22" s="3"/>
      <c r="JOA22" s="3"/>
      <c r="JOB22" s="3"/>
      <c r="JOC22" s="3"/>
      <c r="JOD22" s="3"/>
      <c r="JOE22" s="3"/>
      <c r="JOF22" s="3"/>
      <c r="JOG22" s="3"/>
      <c r="JOH22" s="3"/>
      <c r="JOI22" s="3"/>
      <c r="JOJ22" s="3"/>
      <c r="JOK22" s="3"/>
      <c r="JOL22" s="3"/>
      <c r="JOM22" s="3"/>
      <c r="JON22" s="3"/>
      <c r="JOO22" s="3"/>
      <c r="JOP22" s="3"/>
      <c r="JOQ22" s="3"/>
      <c r="JOR22" s="3"/>
      <c r="JOS22" s="3"/>
      <c r="JOT22" s="3"/>
      <c r="JOU22" s="3"/>
      <c r="JOV22" s="3"/>
      <c r="JOW22" s="3"/>
      <c r="JOX22" s="3"/>
      <c r="JOY22" s="3"/>
      <c r="JOZ22" s="3"/>
      <c r="JPA22" s="3"/>
      <c r="JPB22" s="3"/>
      <c r="JPC22" s="3"/>
      <c r="JPD22" s="3"/>
      <c r="JPE22" s="3"/>
      <c r="JPF22" s="3"/>
      <c r="JPG22" s="3"/>
      <c r="JPH22" s="3"/>
      <c r="JPI22" s="3"/>
      <c r="JPJ22" s="3"/>
      <c r="JPK22" s="3"/>
      <c r="JPL22" s="3"/>
      <c r="JPM22" s="3"/>
      <c r="JPN22" s="3"/>
      <c r="JPO22" s="3"/>
      <c r="JPP22" s="3"/>
      <c r="JPQ22" s="3"/>
      <c r="JPR22" s="3"/>
      <c r="JPS22" s="3"/>
      <c r="JPT22" s="3"/>
      <c r="JPU22" s="3"/>
      <c r="JPV22" s="3"/>
      <c r="JPW22" s="3"/>
      <c r="JPX22" s="3"/>
      <c r="JPY22" s="3"/>
      <c r="JPZ22" s="3"/>
      <c r="JQA22" s="3"/>
      <c r="JQB22" s="3"/>
      <c r="JQC22" s="3"/>
      <c r="JQD22" s="3"/>
      <c r="JQE22" s="3"/>
      <c r="JQF22" s="3"/>
      <c r="JQG22" s="3"/>
      <c r="JQH22" s="3"/>
      <c r="JQI22" s="3"/>
      <c r="JQJ22" s="3"/>
      <c r="JQK22" s="3"/>
      <c r="JQL22" s="3"/>
      <c r="JQM22" s="3"/>
      <c r="JQN22" s="3"/>
      <c r="JQO22" s="3"/>
      <c r="JQP22" s="3"/>
      <c r="JQQ22" s="3"/>
      <c r="JQR22" s="3"/>
      <c r="JQS22" s="3"/>
      <c r="JQT22" s="3"/>
      <c r="JQU22" s="3"/>
      <c r="JQV22" s="3"/>
      <c r="JQW22" s="3"/>
      <c r="JQX22" s="3"/>
      <c r="JQY22" s="3"/>
      <c r="JQZ22" s="3"/>
      <c r="JRA22" s="3"/>
      <c r="JRB22" s="3"/>
      <c r="JRC22" s="3"/>
      <c r="JRD22" s="3"/>
      <c r="JRE22" s="3"/>
      <c r="JRF22" s="3"/>
      <c r="JRG22" s="3"/>
      <c r="JRH22" s="3"/>
      <c r="JRI22" s="3"/>
      <c r="JRJ22" s="3"/>
      <c r="JRK22" s="3"/>
      <c r="JRL22" s="3"/>
      <c r="JRM22" s="3"/>
      <c r="JRN22" s="3"/>
      <c r="JRO22" s="3"/>
      <c r="JRP22" s="3"/>
      <c r="JRQ22" s="3"/>
      <c r="JRR22" s="3"/>
      <c r="JRS22" s="3"/>
      <c r="JRT22" s="3"/>
      <c r="JRU22" s="3"/>
      <c r="JRV22" s="3"/>
      <c r="JRW22" s="3"/>
      <c r="JRX22" s="3"/>
      <c r="JRY22" s="3"/>
      <c r="JRZ22" s="3"/>
      <c r="JSA22" s="3"/>
      <c r="JSB22" s="3"/>
      <c r="JSC22" s="3"/>
      <c r="JSD22" s="3"/>
      <c r="JSE22" s="3"/>
      <c r="JSF22" s="3"/>
      <c r="JSG22" s="3"/>
      <c r="JSH22" s="3"/>
      <c r="JSI22" s="3"/>
      <c r="JSJ22" s="3"/>
      <c r="JSK22" s="3"/>
      <c r="JSL22" s="3"/>
      <c r="JSM22" s="3"/>
      <c r="JSN22" s="3"/>
      <c r="JSO22" s="3"/>
      <c r="JSP22" s="3"/>
      <c r="JSQ22" s="3"/>
      <c r="JSR22" s="3"/>
      <c r="JSS22" s="3"/>
      <c r="JST22" s="3"/>
      <c r="JSU22" s="3"/>
      <c r="JSV22" s="3"/>
      <c r="JSW22" s="3"/>
      <c r="JSX22" s="3"/>
      <c r="JSY22" s="3"/>
      <c r="JSZ22" s="3"/>
      <c r="JTA22" s="3"/>
      <c r="JTB22" s="3"/>
      <c r="JTC22" s="3"/>
      <c r="JTD22" s="3"/>
      <c r="JTE22" s="3"/>
      <c r="JTF22" s="3"/>
      <c r="JTG22" s="3"/>
      <c r="JTH22" s="3"/>
      <c r="JTI22" s="3"/>
      <c r="JTJ22" s="3"/>
      <c r="JTK22" s="3"/>
      <c r="JTL22" s="3"/>
      <c r="JTM22" s="3"/>
      <c r="JTN22" s="3"/>
      <c r="JTO22" s="3"/>
      <c r="JTP22" s="3"/>
      <c r="JTQ22" s="3"/>
      <c r="JTR22" s="3"/>
      <c r="JTS22" s="3"/>
      <c r="JTT22" s="3"/>
      <c r="JTU22" s="3"/>
      <c r="JTV22" s="3"/>
      <c r="JTW22" s="3"/>
      <c r="JTX22" s="3"/>
      <c r="JTY22" s="3"/>
      <c r="JTZ22" s="3"/>
      <c r="JUA22" s="3"/>
      <c r="JUB22" s="3"/>
      <c r="JUC22" s="3"/>
      <c r="JUD22" s="3"/>
      <c r="JUE22" s="3"/>
      <c r="JUF22" s="3"/>
      <c r="JUG22" s="3"/>
      <c r="JUH22" s="3"/>
      <c r="JUI22" s="3"/>
      <c r="JUJ22" s="3"/>
      <c r="JUK22" s="3"/>
      <c r="JUL22" s="3"/>
      <c r="JUM22" s="3"/>
      <c r="JUN22" s="3"/>
      <c r="JUO22" s="3"/>
      <c r="JUP22" s="3"/>
      <c r="JUQ22" s="3"/>
      <c r="JUR22" s="3"/>
      <c r="JUS22" s="3"/>
      <c r="JUT22" s="3"/>
      <c r="JUU22" s="3"/>
      <c r="JUV22" s="3"/>
      <c r="JUW22" s="3"/>
      <c r="JUX22" s="3"/>
      <c r="JUY22" s="3"/>
      <c r="JUZ22" s="3"/>
      <c r="JVA22" s="3"/>
      <c r="JVB22" s="3"/>
      <c r="JVC22" s="3"/>
      <c r="JVD22" s="3"/>
      <c r="JVE22" s="3"/>
      <c r="JVF22" s="3"/>
      <c r="JVG22" s="3"/>
      <c r="JVH22" s="3"/>
      <c r="JVI22" s="3"/>
      <c r="JVJ22" s="3"/>
      <c r="JVK22" s="3"/>
      <c r="JVL22" s="3"/>
      <c r="JVM22" s="3"/>
      <c r="JVN22" s="3"/>
      <c r="JVO22" s="3"/>
      <c r="JVP22" s="3"/>
      <c r="JVQ22" s="3"/>
      <c r="JVR22" s="3"/>
      <c r="JVS22" s="3"/>
      <c r="JVT22" s="3"/>
      <c r="JVU22" s="3"/>
      <c r="JVV22" s="3"/>
      <c r="JVW22" s="3"/>
      <c r="JVX22" s="3"/>
      <c r="JVY22" s="3"/>
      <c r="JVZ22" s="3"/>
      <c r="JWA22" s="3"/>
      <c r="JWB22" s="3"/>
      <c r="JWC22" s="3"/>
      <c r="JWD22" s="3"/>
      <c r="JWE22" s="3"/>
      <c r="JWF22" s="3"/>
      <c r="JWG22" s="3"/>
      <c r="JWH22" s="3"/>
      <c r="JWI22" s="3"/>
      <c r="JWJ22" s="3"/>
      <c r="JWK22" s="3"/>
      <c r="JWL22" s="3"/>
      <c r="JWM22" s="3"/>
      <c r="JWN22" s="3"/>
      <c r="JWO22" s="3"/>
      <c r="JWP22" s="3"/>
      <c r="JWQ22" s="3"/>
      <c r="JWR22" s="3"/>
      <c r="JWS22" s="3"/>
      <c r="JWT22" s="3"/>
      <c r="JWU22" s="3"/>
      <c r="JWV22" s="3"/>
      <c r="JWW22" s="3"/>
      <c r="JWX22" s="3"/>
      <c r="JWY22" s="3"/>
      <c r="JWZ22" s="3"/>
      <c r="JXA22" s="3"/>
      <c r="JXB22" s="3"/>
      <c r="JXC22" s="3"/>
      <c r="JXD22" s="3"/>
      <c r="JXE22" s="3"/>
      <c r="JXF22" s="3"/>
      <c r="JXG22" s="3"/>
      <c r="JXH22" s="3"/>
      <c r="JXI22" s="3"/>
      <c r="JXJ22" s="3"/>
      <c r="JXK22" s="3"/>
      <c r="JXL22" s="3"/>
      <c r="JXM22" s="3"/>
      <c r="JXN22" s="3"/>
      <c r="JXO22" s="3"/>
      <c r="JXP22" s="3"/>
      <c r="JXQ22" s="3"/>
      <c r="JXR22" s="3"/>
      <c r="JXS22" s="3"/>
      <c r="JXT22" s="3"/>
      <c r="JXU22" s="3"/>
      <c r="JXV22" s="3"/>
      <c r="JXW22" s="3"/>
      <c r="JXX22" s="3"/>
      <c r="JXY22" s="3"/>
      <c r="JXZ22" s="3"/>
      <c r="JYA22" s="3"/>
      <c r="JYB22" s="3"/>
      <c r="JYC22" s="3"/>
      <c r="JYD22" s="3"/>
      <c r="JYE22" s="3"/>
      <c r="JYF22" s="3"/>
      <c r="JYG22" s="3"/>
      <c r="JYH22" s="3"/>
      <c r="JYI22" s="3"/>
      <c r="JYJ22" s="3"/>
      <c r="JYK22" s="3"/>
      <c r="JYL22" s="3"/>
      <c r="JYM22" s="3"/>
      <c r="JYN22" s="3"/>
      <c r="JYO22" s="3"/>
      <c r="JYP22" s="3"/>
      <c r="JYQ22" s="3"/>
      <c r="JYR22" s="3"/>
      <c r="JYS22" s="3"/>
      <c r="JYT22" s="3"/>
      <c r="JYU22" s="3"/>
      <c r="JYV22" s="3"/>
      <c r="JYW22" s="3"/>
      <c r="JYX22" s="3"/>
      <c r="JYY22" s="3"/>
      <c r="JYZ22" s="3"/>
      <c r="JZA22" s="3"/>
      <c r="JZB22" s="3"/>
      <c r="JZC22" s="3"/>
      <c r="JZD22" s="3"/>
      <c r="JZE22" s="3"/>
      <c r="JZF22" s="3"/>
      <c r="JZG22" s="3"/>
      <c r="JZH22" s="3"/>
      <c r="JZI22" s="3"/>
      <c r="JZJ22" s="3"/>
      <c r="JZK22" s="3"/>
      <c r="JZL22" s="3"/>
      <c r="JZM22" s="3"/>
      <c r="JZN22" s="3"/>
      <c r="JZO22" s="3"/>
      <c r="JZP22" s="3"/>
      <c r="JZQ22" s="3"/>
      <c r="JZR22" s="3"/>
      <c r="JZS22" s="3"/>
      <c r="JZT22" s="3"/>
      <c r="JZU22" s="3"/>
      <c r="JZV22" s="3"/>
      <c r="JZW22" s="3"/>
      <c r="JZX22" s="3"/>
      <c r="JZY22" s="3"/>
      <c r="JZZ22" s="3"/>
      <c r="KAA22" s="3"/>
      <c r="KAB22" s="3"/>
      <c r="KAC22" s="3"/>
      <c r="KAD22" s="3"/>
      <c r="KAE22" s="3"/>
      <c r="KAF22" s="3"/>
      <c r="KAG22" s="3"/>
      <c r="KAH22" s="3"/>
      <c r="KAI22" s="3"/>
      <c r="KAJ22" s="3"/>
      <c r="KAK22" s="3"/>
      <c r="KAL22" s="3"/>
      <c r="KAM22" s="3"/>
      <c r="KAN22" s="3"/>
      <c r="KAO22" s="3"/>
      <c r="KAP22" s="3"/>
      <c r="KAQ22" s="3"/>
      <c r="KAR22" s="3"/>
      <c r="KAS22" s="3"/>
      <c r="KAT22" s="3"/>
      <c r="KAU22" s="3"/>
      <c r="KAV22" s="3"/>
      <c r="KAW22" s="3"/>
      <c r="KAX22" s="3"/>
      <c r="KAY22" s="3"/>
      <c r="KAZ22" s="3"/>
      <c r="KBA22" s="3"/>
      <c r="KBB22" s="3"/>
      <c r="KBC22" s="3"/>
      <c r="KBD22" s="3"/>
      <c r="KBE22" s="3"/>
      <c r="KBF22" s="3"/>
      <c r="KBG22" s="3"/>
      <c r="KBH22" s="3"/>
      <c r="KBI22" s="3"/>
      <c r="KBJ22" s="3"/>
      <c r="KBK22" s="3"/>
      <c r="KBL22" s="3"/>
      <c r="KBM22" s="3"/>
      <c r="KBN22" s="3"/>
      <c r="KBO22" s="3"/>
      <c r="KBP22" s="3"/>
      <c r="KBQ22" s="3"/>
      <c r="KBR22" s="3"/>
      <c r="KBS22" s="3"/>
      <c r="KBT22" s="3"/>
      <c r="KBU22" s="3"/>
      <c r="KBV22" s="3"/>
      <c r="KBW22" s="3"/>
      <c r="KBX22" s="3"/>
      <c r="KBY22" s="3"/>
      <c r="KBZ22" s="3"/>
      <c r="KCA22" s="3"/>
      <c r="KCB22" s="3"/>
      <c r="KCC22" s="3"/>
      <c r="KCD22" s="3"/>
      <c r="KCE22" s="3"/>
      <c r="KCF22" s="3"/>
      <c r="KCG22" s="3"/>
      <c r="KCH22" s="3"/>
      <c r="KCI22" s="3"/>
      <c r="KCJ22" s="3"/>
      <c r="KCK22" s="3"/>
      <c r="KCL22" s="3"/>
      <c r="KCM22" s="3"/>
      <c r="KCN22" s="3"/>
      <c r="KCO22" s="3"/>
      <c r="KCP22" s="3"/>
      <c r="KCQ22" s="3"/>
      <c r="KCR22" s="3"/>
      <c r="KCS22" s="3"/>
      <c r="KCT22" s="3"/>
      <c r="KCU22" s="3"/>
      <c r="KCV22" s="3"/>
      <c r="KCW22" s="3"/>
      <c r="KCX22" s="3"/>
      <c r="KCY22" s="3"/>
      <c r="KCZ22" s="3"/>
      <c r="KDA22" s="3"/>
      <c r="KDB22" s="3"/>
      <c r="KDC22" s="3"/>
      <c r="KDD22" s="3"/>
      <c r="KDE22" s="3"/>
      <c r="KDF22" s="3"/>
      <c r="KDG22" s="3"/>
      <c r="KDH22" s="3"/>
      <c r="KDI22" s="3"/>
      <c r="KDJ22" s="3"/>
      <c r="KDK22" s="3"/>
      <c r="KDL22" s="3"/>
      <c r="KDM22" s="3"/>
      <c r="KDN22" s="3"/>
      <c r="KDO22" s="3"/>
      <c r="KDP22" s="3"/>
      <c r="KDQ22" s="3"/>
      <c r="KDR22" s="3"/>
      <c r="KDS22" s="3"/>
      <c r="KDT22" s="3"/>
      <c r="KDU22" s="3"/>
      <c r="KDV22" s="3"/>
      <c r="KDW22" s="3"/>
      <c r="KDX22" s="3"/>
      <c r="KDY22" s="3"/>
      <c r="KDZ22" s="3"/>
      <c r="KEA22" s="3"/>
      <c r="KEB22" s="3"/>
      <c r="KEC22" s="3"/>
      <c r="KED22" s="3"/>
      <c r="KEE22" s="3"/>
      <c r="KEF22" s="3"/>
      <c r="KEG22" s="3"/>
      <c r="KEH22" s="3"/>
      <c r="KEI22" s="3"/>
      <c r="KEJ22" s="3"/>
      <c r="KEK22" s="3"/>
      <c r="KEL22" s="3"/>
      <c r="KEM22" s="3"/>
      <c r="KEN22" s="3"/>
      <c r="KEO22" s="3"/>
      <c r="KEP22" s="3"/>
      <c r="KEQ22" s="3"/>
      <c r="KER22" s="3"/>
      <c r="KES22" s="3"/>
      <c r="KET22" s="3"/>
      <c r="KEU22" s="3"/>
      <c r="KEV22" s="3"/>
      <c r="KEW22" s="3"/>
      <c r="KEX22" s="3"/>
      <c r="KEY22" s="3"/>
      <c r="KEZ22" s="3"/>
      <c r="KFA22" s="3"/>
      <c r="KFB22" s="3"/>
      <c r="KFC22" s="3"/>
      <c r="KFD22" s="3"/>
      <c r="KFE22" s="3"/>
      <c r="KFF22" s="3"/>
      <c r="KFG22" s="3"/>
      <c r="KFH22" s="3"/>
      <c r="KFI22" s="3"/>
      <c r="KFJ22" s="3"/>
      <c r="KFK22" s="3"/>
      <c r="KFL22" s="3"/>
      <c r="KFM22" s="3"/>
      <c r="KFN22" s="3"/>
      <c r="KFO22" s="3"/>
      <c r="KFP22" s="3"/>
      <c r="KFQ22" s="3"/>
      <c r="KFR22" s="3"/>
      <c r="KFS22" s="3"/>
      <c r="KFT22" s="3"/>
      <c r="KFU22" s="3"/>
      <c r="KFV22" s="3"/>
      <c r="KFW22" s="3"/>
      <c r="KFX22" s="3"/>
      <c r="KFY22" s="3"/>
      <c r="KFZ22" s="3"/>
      <c r="KGA22" s="3"/>
      <c r="KGB22" s="3"/>
      <c r="KGC22" s="3"/>
      <c r="KGD22" s="3"/>
      <c r="KGE22" s="3"/>
      <c r="KGF22" s="3"/>
      <c r="KGG22" s="3"/>
      <c r="KGH22" s="3"/>
      <c r="KGI22" s="3"/>
      <c r="KGJ22" s="3"/>
      <c r="KGK22" s="3"/>
      <c r="KGL22" s="3"/>
      <c r="KGM22" s="3"/>
      <c r="KGN22" s="3"/>
      <c r="KGO22" s="3"/>
      <c r="KGP22" s="3"/>
      <c r="KGQ22" s="3"/>
      <c r="KGR22" s="3"/>
      <c r="KGS22" s="3"/>
      <c r="KGT22" s="3"/>
      <c r="KGU22" s="3"/>
      <c r="KGV22" s="3"/>
      <c r="KGW22" s="3"/>
      <c r="KGX22" s="3"/>
      <c r="KGY22" s="3"/>
      <c r="KGZ22" s="3"/>
      <c r="KHA22" s="3"/>
      <c r="KHB22" s="3"/>
      <c r="KHC22" s="3"/>
      <c r="KHD22" s="3"/>
      <c r="KHE22" s="3"/>
      <c r="KHF22" s="3"/>
      <c r="KHG22" s="3"/>
      <c r="KHH22" s="3"/>
      <c r="KHI22" s="3"/>
      <c r="KHJ22" s="3"/>
      <c r="KHK22" s="3"/>
      <c r="KHL22" s="3"/>
      <c r="KHM22" s="3"/>
      <c r="KHN22" s="3"/>
      <c r="KHO22" s="3"/>
      <c r="KHP22" s="3"/>
      <c r="KHQ22" s="3"/>
      <c r="KHR22" s="3"/>
      <c r="KHS22" s="3"/>
      <c r="KHT22" s="3"/>
      <c r="KHU22" s="3"/>
      <c r="KHV22" s="3"/>
      <c r="KHW22" s="3"/>
      <c r="KHX22" s="3"/>
      <c r="KHY22" s="3"/>
      <c r="KHZ22" s="3"/>
      <c r="KIA22" s="3"/>
      <c r="KIB22" s="3"/>
      <c r="KIC22" s="3"/>
      <c r="KID22" s="3"/>
      <c r="KIE22" s="3"/>
      <c r="KIF22" s="3"/>
      <c r="KIG22" s="3"/>
      <c r="KIH22" s="3"/>
      <c r="KII22" s="3"/>
      <c r="KIJ22" s="3"/>
      <c r="KIK22" s="3"/>
      <c r="KIL22" s="3"/>
      <c r="KIM22" s="3"/>
      <c r="KIN22" s="3"/>
      <c r="KIO22" s="3"/>
      <c r="KIP22" s="3"/>
      <c r="KIQ22" s="3"/>
      <c r="KIR22" s="3"/>
      <c r="KIS22" s="3"/>
      <c r="KIT22" s="3"/>
      <c r="KIU22" s="3"/>
      <c r="KIV22" s="3"/>
      <c r="KIW22" s="3"/>
      <c r="KIX22" s="3"/>
      <c r="KIY22" s="3"/>
      <c r="KIZ22" s="3"/>
      <c r="KJA22" s="3"/>
      <c r="KJB22" s="3"/>
      <c r="KJC22" s="3"/>
      <c r="KJD22" s="3"/>
      <c r="KJE22" s="3"/>
      <c r="KJF22" s="3"/>
      <c r="KJG22" s="3"/>
      <c r="KJH22" s="3"/>
      <c r="KJI22" s="3"/>
      <c r="KJJ22" s="3"/>
      <c r="KJK22" s="3"/>
      <c r="KJL22" s="3"/>
      <c r="KJM22" s="3"/>
      <c r="KJN22" s="3"/>
      <c r="KJO22" s="3"/>
      <c r="KJP22" s="3"/>
      <c r="KJQ22" s="3"/>
      <c r="KJR22" s="3"/>
      <c r="KJS22" s="3"/>
      <c r="KJT22" s="3"/>
      <c r="KJU22" s="3"/>
      <c r="KJV22" s="3"/>
      <c r="KJW22" s="3"/>
      <c r="KJX22" s="3"/>
      <c r="KJY22" s="3"/>
      <c r="KJZ22" s="3"/>
      <c r="KKA22" s="3"/>
      <c r="KKB22" s="3"/>
      <c r="KKC22" s="3"/>
      <c r="KKD22" s="3"/>
      <c r="KKE22" s="3"/>
      <c r="KKF22" s="3"/>
      <c r="KKG22" s="3"/>
      <c r="KKH22" s="3"/>
      <c r="KKI22" s="3"/>
      <c r="KKJ22" s="3"/>
      <c r="KKK22" s="3"/>
      <c r="KKL22" s="3"/>
      <c r="KKM22" s="3"/>
      <c r="KKN22" s="3"/>
      <c r="KKO22" s="3"/>
      <c r="KKP22" s="3"/>
      <c r="KKQ22" s="3"/>
      <c r="KKR22" s="3"/>
      <c r="KKS22" s="3"/>
      <c r="KKT22" s="3"/>
      <c r="KKU22" s="3"/>
      <c r="KKV22" s="3"/>
      <c r="KKW22" s="3"/>
      <c r="KKX22" s="3"/>
      <c r="KKY22" s="3"/>
      <c r="KKZ22" s="3"/>
      <c r="KLA22" s="3"/>
      <c r="KLB22" s="3"/>
      <c r="KLC22" s="3"/>
      <c r="KLD22" s="3"/>
      <c r="KLE22" s="3"/>
      <c r="KLF22" s="3"/>
      <c r="KLG22" s="3"/>
      <c r="KLH22" s="3"/>
      <c r="KLI22" s="3"/>
      <c r="KLJ22" s="3"/>
      <c r="KLK22" s="3"/>
      <c r="KLL22" s="3"/>
      <c r="KLM22" s="3"/>
      <c r="KLN22" s="3"/>
      <c r="KLO22" s="3"/>
      <c r="KLP22" s="3"/>
      <c r="KLQ22" s="3"/>
      <c r="KLR22" s="3"/>
      <c r="KLS22" s="3"/>
      <c r="KLT22" s="3"/>
      <c r="KLU22" s="3"/>
      <c r="KLV22" s="3"/>
      <c r="KLW22" s="3"/>
      <c r="KLX22" s="3"/>
      <c r="KLY22" s="3"/>
      <c r="KLZ22" s="3"/>
      <c r="KMA22" s="3"/>
      <c r="KMB22" s="3"/>
      <c r="KMC22" s="3"/>
      <c r="KMD22" s="3"/>
      <c r="KME22" s="3"/>
      <c r="KMF22" s="3"/>
      <c r="KMG22" s="3"/>
      <c r="KMH22" s="3"/>
      <c r="KMI22" s="3"/>
      <c r="KMJ22" s="3"/>
      <c r="KMK22" s="3"/>
      <c r="KML22" s="3"/>
      <c r="KMM22" s="3"/>
      <c r="KMN22" s="3"/>
      <c r="KMO22" s="3"/>
      <c r="KMP22" s="3"/>
      <c r="KMQ22" s="3"/>
      <c r="KMR22" s="3"/>
      <c r="KMS22" s="3"/>
      <c r="KMT22" s="3"/>
      <c r="KMU22" s="3"/>
      <c r="KMV22" s="3"/>
      <c r="KMW22" s="3"/>
      <c r="KMX22" s="3"/>
      <c r="KMY22" s="3"/>
      <c r="KMZ22" s="3"/>
      <c r="KNA22" s="3"/>
      <c r="KNB22" s="3"/>
      <c r="KNC22" s="3"/>
      <c r="KND22" s="3"/>
      <c r="KNE22" s="3"/>
      <c r="KNF22" s="3"/>
      <c r="KNG22" s="3"/>
      <c r="KNH22" s="3"/>
      <c r="KNI22" s="3"/>
      <c r="KNJ22" s="3"/>
      <c r="KNK22" s="3"/>
      <c r="KNL22" s="3"/>
      <c r="KNM22" s="3"/>
      <c r="KNN22" s="3"/>
      <c r="KNO22" s="3"/>
      <c r="KNP22" s="3"/>
      <c r="KNQ22" s="3"/>
      <c r="KNR22" s="3"/>
      <c r="KNS22" s="3"/>
      <c r="KNT22" s="3"/>
      <c r="KNU22" s="3"/>
      <c r="KNV22" s="3"/>
      <c r="KNW22" s="3"/>
      <c r="KNX22" s="3"/>
      <c r="KNY22" s="3"/>
      <c r="KNZ22" s="3"/>
      <c r="KOA22" s="3"/>
      <c r="KOB22" s="3"/>
      <c r="KOC22" s="3"/>
      <c r="KOD22" s="3"/>
      <c r="KOE22" s="3"/>
      <c r="KOF22" s="3"/>
      <c r="KOG22" s="3"/>
      <c r="KOH22" s="3"/>
      <c r="KOI22" s="3"/>
      <c r="KOJ22" s="3"/>
      <c r="KOK22" s="3"/>
      <c r="KOL22" s="3"/>
      <c r="KOM22" s="3"/>
      <c r="KON22" s="3"/>
      <c r="KOO22" s="3"/>
      <c r="KOP22" s="3"/>
      <c r="KOQ22" s="3"/>
      <c r="KOR22" s="3"/>
      <c r="KOS22" s="3"/>
      <c r="KOT22" s="3"/>
      <c r="KOU22" s="3"/>
      <c r="KOV22" s="3"/>
      <c r="KOW22" s="3"/>
      <c r="KOX22" s="3"/>
      <c r="KOY22" s="3"/>
      <c r="KOZ22" s="3"/>
      <c r="KPA22" s="3"/>
      <c r="KPB22" s="3"/>
      <c r="KPC22" s="3"/>
      <c r="KPD22" s="3"/>
      <c r="KPE22" s="3"/>
      <c r="KPF22" s="3"/>
      <c r="KPG22" s="3"/>
      <c r="KPH22" s="3"/>
      <c r="KPI22" s="3"/>
      <c r="KPJ22" s="3"/>
      <c r="KPK22" s="3"/>
      <c r="KPL22" s="3"/>
      <c r="KPM22" s="3"/>
      <c r="KPN22" s="3"/>
      <c r="KPO22" s="3"/>
      <c r="KPP22" s="3"/>
      <c r="KPQ22" s="3"/>
      <c r="KPR22" s="3"/>
      <c r="KPS22" s="3"/>
      <c r="KPT22" s="3"/>
      <c r="KPU22" s="3"/>
      <c r="KPV22" s="3"/>
      <c r="KPW22" s="3"/>
      <c r="KPX22" s="3"/>
      <c r="KPY22" s="3"/>
      <c r="KPZ22" s="3"/>
      <c r="KQA22" s="3"/>
      <c r="KQB22" s="3"/>
      <c r="KQC22" s="3"/>
      <c r="KQD22" s="3"/>
      <c r="KQE22" s="3"/>
      <c r="KQF22" s="3"/>
      <c r="KQG22" s="3"/>
      <c r="KQH22" s="3"/>
      <c r="KQI22" s="3"/>
      <c r="KQJ22" s="3"/>
      <c r="KQK22" s="3"/>
      <c r="KQL22" s="3"/>
      <c r="KQM22" s="3"/>
      <c r="KQN22" s="3"/>
      <c r="KQO22" s="3"/>
      <c r="KQP22" s="3"/>
      <c r="KQQ22" s="3"/>
      <c r="KQR22" s="3"/>
      <c r="KQS22" s="3"/>
      <c r="KQT22" s="3"/>
      <c r="KQU22" s="3"/>
      <c r="KQV22" s="3"/>
      <c r="KQW22" s="3"/>
      <c r="KQX22" s="3"/>
      <c r="KQY22" s="3"/>
      <c r="KQZ22" s="3"/>
      <c r="KRA22" s="3"/>
      <c r="KRB22" s="3"/>
      <c r="KRC22" s="3"/>
      <c r="KRD22" s="3"/>
      <c r="KRE22" s="3"/>
      <c r="KRF22" s="3"/>
      <c r="KRG22" s="3"/>
      <c r="KRH22" s="3"/>
      <c r="KRI22" s="3"/>
      <c r="KRJ22" s="3"/>
      <c r="KRK22" s="3"/>
      <c r="KRL22" s="3"/>
      <c r="KRM22" s="3"/>
      <c r="KRN22" s="3"/>
    </row>
    <row r="23" spans="1:7918" s="205" customFormat="1">
      <c r="A23" s="26" t="e">
        <f t="shared" si="0"/>
        <v>#REF!</v>
      </c>
      <c r="B23" s="388" t="s">
        <v>556</v>
      </c>
      <c r="C23" s="301">
        <v>5520031419</v>
      </c>
      <c r="D23" s="386" t="s">
        <v>556</v>
      </c>
      <c r="E23" s="256" t="str">
        <f>VLOOKUP($B23,'Nomina Unhesa'!$B$4:$AB$209,2,0)</f>
        <v>Empacadora de Sobres</v>
      </c>
      <c r="F23" s="256">
        <f>VLOOKUP($B23,'Nomina Unhesa'!$B$4:$AB$209,4,0)</f>
        <v>30</v>
      </c>
      <c r="G23" s="257">
        <f>VLOOKUP($B23,'Nomina Unhesa'!$B$4:$AB$209,6,0)</f>
        <v>3166.38</v>
      </c>
      <c r="H23" s="257">
        <f>VLOOKUP($B23,'Nomina Unhesa'!$B$4:$AB$209,7,0)</f>
        <v>250</v>
      </c>
      <c r="I23" s="257">
        <f>VLOOKUP($B23,'Nomina Unhesa'!$B$4:$AB$209,9,0)</f>
        <v>0</v>
      </c>
      <c r="J23" s="236">
        <f>VLOOKUP($B23,'Nomina Unhesa'!$B$4:$AB$209,10,0)</f>
        <v>0</v>
      </c>
      <c r="K23" s="257">
        <f>VLOOKUP($B23,'Nomina Unhesa'!$B$4:$AB$209,11,0)</f>
        <v>0</v>
      </c>
      <c r="L23" s="257">
        <f>VLOOKUP($B23,'Nomina Unhesa'!$B$4:$AB$209,12,0)</f>
        <v>0</v>
      </c>
      <c r="M23" s="257">
        <f>VLOOKUP($B23,'Nomina Unhesa'!$B$4:$AB$209,14,0)</f>
        <v>0</v>
      </c>
      <c r="N23" s="236">
        <f>VLOOKUP($B23,'Nomina Unhesa'!$B$4:$AB$209,15,0)</f>
        <v>3416.38</v>
      </c>
      <c r="O23" s="236">
        <f>VLOOKUP($B23,'Nomina Unhesa'!$B$4:$AB$209,16,0)</f>
        <v>152.94</v>
      </c>
      <c r="P23" s="236">
        <f>VLOOKUP($B23,'Nomina Unhesa'!$B$4:$AB$209,17,0)</f>
        <v>0</v>
      </c>
      <c r="Q23" s="236">
        <f>VLOOKUP($B23,'Nomina Unhesa'!$B$4:$AB$209,18,0)</f>
        <v>0</v>
      </c>
      <c r="R23" s="236">
        <f>VLOOKUP($B23,'Nomina Unhesa'!$B$4:$AB$209,19,0)</f>
        <v>0</v>
      </c>
      <c r="S23" s="236">
        <f>VLOOKUP($B23,'Nomina Unhesa'!$B$4:$AB$209,20,0)</f>
        <v>0</v>
      </c>
      <c r="T23" s="236">
        <f>VLOOKUP($B23,'Nomina Unhesa'!$B$4:$AB$209,21,0)</f>
        <v>0</v>
      </c>
      <c r="U23" s="236">
        <f>VLOOKUP($B23,'Nomina Unhesa'!$B$4:$AB$209,22,0)</f>
        <v>0</v>
      </c>
      <c r="V23" s="236">
        <f>ROUND((VLOOKUP($B23,'Nomina Unhesa'!$B$4:$AB$209,23,0)),2)</f>
        <v>300</v>
      </c>
      <c r="W23" s="236">
        <f>VLOOKUP($B23,'Nomina Unhesa'!$B$4:$AB$209,24,0)</f>
        <v>452.94</v>
      </c>
      <c r="X23" s="236">
        <f>VLOOKUP(B23,'Nomina Unhesa'!$B$9:$Z$163,25,FALSE)</f>
        <v>2963.44</v>
      </c>
      <c r="Y23" s="236">
        <f>ROUND((VLOOKUP(B23,'Nomina Unhesa'!$B$9:$AB$157,26,FALSE)),2)</f>
        <v>1506.72</v>
      </c>
      <c r="Z23" s="258">
        <f>VLOOKUP(B23,'Nomina Unhesa'!$B$9:$AB$158,27,FALSE)</f>
        <v>1456.72</v>
      </c>
      <c r="AA23" s="442"/>
      <c r="AB23" s="390">
        <f>+IFERROR(VLOOKUP(B23,'Nomina Unhesa'!B32:D180,3,0),"")</f>
        <v>3166.38</v>
      </c>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c r="JH23" s="3"/>
      <c r="JI23" s="3"/>
      <c r="JJ23" s="3"/>
      <c r="JK23" s="3"/>
      <c r="JL23" s="3"/>
      <c r="JM23" s="3"/>
      <c r="JN23" s="3"/>
      <c r="JO23" s="3"/>
      <c r="JP23" s="3"/>
      <c r="JQ23" s="3"/>
      <c r="JR23" s="3"/>
      <c r="JS23" s="3"/>
      <c r="JT23" s="3"/>
      <c r="JU23" s="3"/>
      <c r="JV23" s="3"/>
      <c r="JW23" s="3"/>
      <c r="JX23" s="3"/>
      <c r="JY23" s="3"/>
      <c r="JZ23" s="3"/>
      <c r="KA23" s="3"/>
      <c r="KB23" s="3"/>
      <c r="KC23" s="3"/>
      <c r="KD23" s="3"/>
      <c r="KE23" s="3"/>
      <c r="KF23" s="3"/>
      <c r="KG23" s="3"/>
      <c r="KH23" s="3"/>
      <c r="KI23" s="3"/>
      <c r="KJ23" s="3"/>
      <c r="KK23" s="3"/>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c r="LL23" s="3"/>
      <c r="LM23" s="3"/>
      <c r="LN23" s="3"/>
      <c r="LO23" s="3"/>
      <c r="LP23" s="3"/>
      <c r="LQ23" s="3"/>
      <c r="LR23" s="3"/>
      <c r="LS23" s="3"/>
      <c r="LT23" s="3"/>
      <c r="LU23" s="3"/>
      <c r="LV23" s="3"/>
      <c r="LW23" s="3"/>
      <c r="LX23" s="3"/>
      <c r="LY23" s="3"/>
      <c r="LZ23" s="3"/>
      <c r="MA23" s="3"/>
      <c r="MB23" s="3"/>
      <c r="MC23" s="3"/>
      <c r="MD23" s="3"/>
      <c r="ME23" s="3"/>
      <c r="MF23" s="3"/>
      <c r="MG23" s="3"/>
      <c r="MH23" s="3"/>
      <c r="MI23" s="3"/>
      <c r="MJ23" s="3"/>
      <c r="MK23" s="3"/>
      <c r="ML23" s="3"/>
      <c r="MM23" s="3"/>
      <c r="MN23" s="3"/>
      <c r="MO23" s="3"/>
      <c r="MP23" s="3"/>
      <c r="MQ23" s="3"/>
      <c r="MR23" s="3"/>
      <c r="MS23" s="3"/>
      <c r="MT23" s="3"/>
      <c r="MU23" s="3"/>
      <c r="MV23" s="3"/>
      <c r="MW23" s="3"/>
      <c r="MX23" s="3"/>
      <c r="MY23" s="3"/>
      <c r="MZ23" s="3"/>
      <c r="NA23" s="3"/>
      <c r="NB23" s="3"/>
      <c r="NC23" s="3"/>
      <c r="ND23" s="3"/>
      <c r="NE23" s="3"/>
      <c r="NF23" s="3"/>
      <c r="NG23" s="3"/>
      <c r="NH23" s="3"/>
      <c r="NI23" s="3"/>
      <c r="NJ23" s="3"/>
      <c r="NK23" s="3"/>
      <c r="NL23" s="3"/>
      <c r="NM23" s="3"/>
      <c r="NN23" s="3"/>
      <c r="NO23" s="3"/>
      <c r="NP23" s="3"/>
      <c r="NQ23" s="3"/>
      <c r="NR23" s="3"/>
      <c r="NS23" s="3"/>
      <c r="NT23" s="3"/>
      <c r="NU23" s="3"/>
      <c r="NV23" s="3"/>
      <c r="NW23" s="3"/>
      <c r="NX23" s="3"/>
      <c r="NY23" s="3"/>
      <c r="NZ23" s="3"/>
      <c r="OA23" s="3"/>
      <c r="OB23" s="3"/>
      <c r="OC23" s="3"/>
      <c r="OD23" s="3"/>
      <c r="OE23" s="3"/>
      <c r="OF23" s="3"/>
      <c r="OG23" s="3"/>
      <c r="OH23" s="3"/>
      <c r="OI23" s="3"/>
      <c r="OJ23" s="3"/>
      <c r="OK23" s="3"/>
      <c r="OL23" s="3"/>
      <c r="OM23" s="3"/>
      <c r="ON23" s="3"/>
      <c r="OO23" s="3"/>
      <c r="OP23" s="3"/>
      <c r="OQ23" s="3"/>
      <c r="OR23" s="3"/>
      <c r="OS23" s="3"/>
      <c r="OT23" s="3"/>
      <c r="OU23" s="3"/>
      <c r="OV23" s="3"/>
      <c r="OW23" s="3"/>
      <c r="OX23" s="3"/>
      <c r="OY23" s="3"/>
      <c r="OZ23" s="3"/>
      <c r="PA23" s="3"/>
      <c r="PB23" s="3"/>
      <c r="PC23" s="3"/>
      <c r="PD23" s="3"/>
      <c r="PE23" s="3"/>
      <c r="PF23" s="3"/>
      <c r="PG23" s="3"/>
      <c r="PH23" s="3"/>
      <c r="PI23" s="3"/>
      <c r="PJ23" s="3"/>
      <c r="PK23" s="3"/>
      <c r="PL23" s="3"/>
      <c r="PM23" s="3"/>
      <c r="PN23" s="3"/>
      <c r="PO23" s="3"/>
      <c r="PP23" s="3"/>
      <c r="PQ23" s="3"/>
      <c r="PR23" s="3"/>
      <c r="PS23" s="3"/>
      <c r="PT23" s="3"/>
      <c r="PU23" s="3"/>
      <c r="PV23" s="3"/>
      <c r="PW23" s="3"/>
      <c r="PX23" s="3"/>
      <c r="PY23" s="3"/>
      <c r="PZ23" s="3"/>
      <c r="QA23" s="3"/>
      <c r="QB23" s="3"/>
      <c r="QC23" s="3"/>
      <c r="QD23" s="3"/>
      <c r="QE23" s="3"/>
      <c r="QF23" s="3"/>
      <c r="QG23" s="3"/>
      <c r="QH23" s="3"/>
      <c r="QI23" s="3"/>
      <c r="QJ23" s="3"/>
      <c r="QK23" s="3"/>
      <c r="QL23" s="3"/>
      <c r="QM23" s="3"/>
      <c r="QN23" s="3"/>
      <c r="QO23" s="3"/>
      <c r="QP23" s="3"/>
      <c r="QQ23" s="3"/>
      <c r="QR23" s="3"/>
      <c r="QS23" s="3"/>
      <c r="QT23" s="3"/>
      <c r="QU23" s="3"/>
      <c r="QV23" s="3"/>
      <c r="QW23" s="3"/>
      <c r="QX23" s="3"/>
      <c r="QY23" s="3"/>
      <c r="QZ23" s="3"/>
      <c r="RA23" s="3"/>
      <c r="RB23" s="3"/>
      <c r="RC23" s="3"/>
      <c r="RD23" s="3"/>
      <c r="RE23" s="3"/>
      <c r="RF23" s="3"/>
      <c r="RG23" s="3"/>
      <c r="RH23" s="3"/>
      <c r="RI23" s="3"/>
      <c r="RJ23" s="3"/>
      <c r="RK23" s="3"/>
      <c r="RL23" s="3"/>
      <c r="RM23" s="3"/>
      <c r="RN23" s="3"/>
      <c r="RO23" s="3"/>
      <c r="RP23" s="3"/>
      <c r="RQ23" s="3"/>
      <c r="RR23" s="3"/>
      <c r="RS23" s="3"/>
      <c r="RT23" s="3"/>
      <c r="RU23" s="3"/>
      <c r="RV23" s="3"/>
      <c r="RW23" s="3"/>
      <c r="RX23" s="3"/>
      <c r="RY23" s="3"/>
      <c r="RZ23" s="3"/>
      <c r="SA23" s="3"/>
      <c r="SB23" s="3"/>
      <c r="SC23" s="3"/>
      <c r="SD23" s="3"/>
      <c r="SE23" s="3"/>
      <c r="SF23" s="3"/>
      <c r="SG23" s="3"/>
      <c r="SH23" s="3"/>
      <c r="SI23" s="3"/>
      <c r="SJ23" s="3"/>
      <c r="SK23" s="3"/>
      <c r="SL23" s="3"/>
      <c r="SM23" s="3"/>
      <c r="SN23" s="3"/>
      <c r="SO23" s="3"/>
      <c r="SP23" s="3"/>
      <c r="SQ23" s="3"/>
      <c r="SR23" s="3"/>
      <c r="SS23" s="3"/>
      <c r="ST23" s="3"/>
      <c r="SU23" s="3"/>
      <c r="SV23" s="3"/>
      <c r="SW23" s="3"/>
      <c r="SX23" s="3"/>
      <c r="SY23" s="3"/>
      <c r="SZ23" s="3"/>
      <c r="TA23" s="3"/>
      <c r="TB23" s="3"/>
      <c r="TC23" s="3"/>
      <c r="TD23" s="3"/>
      <c r="TE23" s="3"/>
      <c r="TF23" s="3"/>
      <c r="TG23" s="3"/>
      <c r="TH23" s="3"/>
      <c r="TI23" s="3"/>
      <c r="TJ23" s="3"/>
      <c r="TK23" s="3"/>
      <c r="TL23" s="3"/>
      <c r="TM23" s="3"/>
      <c r="TN23" s="3"/>
      <c r="TO23" s="3"/>
      <c r="TP23" s="3"/>
      <c r="TQ23" s="3"/>
      <c r="TR23" s="3"/>
      <c r="TS23" s="3"/>
      <c r="TT23" s="3"/>
      <c r="TU23" s="3"/>
      <c r="TV23" s="3"/>
      <c r="TW23" s="3"/>
      <c r="TX23" s="3"/>
      <c r="TY23" s="3"/>
      <c r="TZ23" s="3"/>
      <c r="UA23" s="3"/>
      <c r="UB23" s="3"/>
      <c r="UC23" s="3"/>
      <c r="UD23" s="3"/>
      <c r="UE23" s="3"/>
      <c r="UF23" s="3"/>
      <c r="UG23" s="3"/>
      <c r="UH23" s="3"/>
      <c r="UI23" s="3"/>
      <c r="UJ23" s="3"/>
      <c r="UK23" s="3"/>
      <c r="UL23" s="3"/>
      <c r="UM23" s="3"/>
      <c r="UN23" s="3"/>
      <c r="UO23" s="3"/>
      <c r="UP23" s="3"/>
      <c r="UQ23" s="3"/>
      <c r="UR23" s="3"/>
      <c r="US23" s="3"/>
      <c r="UT23" s="3"/>
      <c r="UU23" s="3"/>
      <c r="UV23" s="3"/>
      <c r="UW23" s="3"/>
      <c r="UX23" s="3"/>
      <c r="UY23" s="3"/>
      <c r="UZ23" s="3"/>
      <c r="VA23" s="3"/>
      <c r="VB23" s="3"/>
      <c r="VC23" s="3"/>
      <c r="VD23" s="3"/>
      <c r="VE23" s="3"/>
      <c r="VF23" s="3"/>
      <c r="VG23" s="3"/>
      <c r="VH23" s="3"/>
      <c r="VI23" s="3"/>
      <c r="VJ23" s="3"/>
      <c r="VK23" s="3"/>
      <c r="VL23" s="3"/>
      <c r="VM23" s="3"/>
      <c r="VN23" s="3"/>
      <c r="VO23" s="3"/>
      <c r="VP23" s="3"/>
      <c r="VQ23" s="3"/>
      <c r="VR23" s="3"/>
      <c r="VS23" s="3"/>
      <c r="VT23" s="3"/>
      <c r="VU23" s="3"/>
      <c r="VV23" s="3"/>
      <c r="VW23" s="3"/>
      <c r="VX23" s="3"/>
      <c r="VY23" s="3"/>
      <c r="VZ23" s="3"/>
      <c r="WA23" s="3"/>
      <c r="WB23" s="3"/>
      <c r="WC23" s="3"/>
      <c r="WD23" s="3"/>
      <c r="WE23" s="3"/>
      <c r="WF23" s="3"/>
      <c r="WG23" s="3"/>
      <c r="WH23" s="3"/>
      <c r="WI23" s="3"/>
      <c r="WJ23" s="3"/>
      <c r="WK23" s="3"/>
      <c r="WL23" s="3"/>
      <c r="WM23" s="3"/>
      <c r="WN23" s="3"/>
      <c r="WO23" s="3"/>
      <c r="WP23" s="3"/>
      <c r="WQ23" s="3"/>
      <c r="WR23" s="3"/>
      <c r="WS23" s="3"/>
      <c r="WT23" s="3"/>
      <c r="WU23" s="3"/>
      <c r="WV23" s="3"/>
      <c r="WW23" s="3"/>
      <c r="WX23" s="3"/>
      <c r="WY23" s="3"/>
      <c r="WZ23" s="3"/>
      <c r="XA23" s="3"/>
      <c r="XB23" s="3"/>
      <c r="XC23" s="3"/>
      <c r="XD23" s="3"/>
      <c r="XE23" s="3"/>
      <c r="XF23" s="3"/>
      <c r="XG23" s="3"/>
      <c r="XH23" s="3"/>
      <c r="XI23" s="3"/>
      <c r="XJ23" s="3"/>
      <c r="XK23" s="3"/>
      <c r="XL23" s="3"/>
      <c r="XM23" s="3"/>
      <c r="XN23" s="3"/>
      <c r="XO23" s="3"/>
      <c r="XP23" s="3"/>
      <c r="XQ23" s="3"/>
      <c r="XR23" s="3"/>
      <c r="XS23" s="3"/>
      <c r="XT23" s="3"/>
      <c r="XU23" s="3"/>
      <c r="XV23" s="3"/>
      <c r="XW23" s="3"/>
      <c r="XX23" s="3"/>
      <c r="XY23" s="3"/>
      <c r="XZ23" s="3"/>
      <c r="YA23" s="3"/>
      <c r="YB23" s="3"/>
      <c r="YC23" s="3"/>
      <c r="YD23" s="3"/>
      <c r="YE23" s="3"/>
      <c r="YF23" s="3"/>
      <c r="YG23" s="3"/>
      <c r="YH23" s="3"/>
      <c r="YI23" s="3"/>
      <c r="YJ23" s="3"/>
      <c r="YK23" s="3"/>
      <c r="YL23" s="3"/>
      <c r="YM23" s="3"/>
      <c r="YN23" s="3"/>
      <c r="YO23" s="3"/>
      <c r="YP23" s="3"/>
      <c r="YQ23" s="3"/>
      <c r="YR23" s="3"/>
      <c r="YS23" s="3"/>
      <c r="YT23" s="3"/>
      <c r="YU23" s="3"/>
      <c r="YV23" s="3"/>
      <c r="YW23" s="3"/>
      <c r="YX23" s="3"/>
      <c r="YY23" s="3"/>
      <c r="YZ23" s="3"/>
      <c r="ZA23" s="3"/>
      <c r="ZB23" s="3"/>
      <c r="ZC23" s="3"/>
      <c r="ZD23" s="3"/>
      <c r="ZE23" s="3"/>
      <c r="ZF23" s="3"/>
      <c r="ZG23" s="3"/>
      <c r="ZH23" s="3"/>
      <c r="ZI23" s="3"/>
      <c r="ZJ23" s="3"/>
      <c r="ZK23" s="3"/>
      <c r="ZL23" s="3"/>
      <c r="ZM23" s="3"/>
      <c r="ZN23" s="3"/>
      <c r="ZO23" s="3"/>
      <c r="ZP23" s="3"/>
      <c r="ZQ23" s="3"/>
      <c r="ZR23" s="3"/>
      <c r="ZS23" s="3"/>
      <c r="ZT23" s="3"/>
      <c r="ZU23" s="3"/>
      <c r="ZV23" s="3"/>
      <c r="ZW23" s="3"/>
      <c r="ZX23" s="3"/>
      <c r="ZY23" s="3"/>
      <c r="ZZ23" s="3"/>
      <c r="AAA23" s="3"/>
      <c r="AAB23" s="3"/>
      <c r="AAC23" s="3"/>
      <c r="AAD23" s="3"/>
      <c r="AAE23" s="3"/>
      <c r="AAF23" s="3"/>
      <c r="AAG23" s="3"/>
      <c r="AAH23" s="3"/>
      <c r="AAI23" s="3"/>
      <c r="AAJ23" s="3"/>
      <c r="AAK23" s="3"/>
      <c r="AAL23" s="3"/>
      <c r="AAM23" s="3"/>
      <c r="AAN23" s="3"/>
      <c r="AAO23" s="3"/>
      <c r="AAP23" s="3"/>
      <c r="AAQ23" s="3"/>
      <c r="AAR23" s="3"/>
      <c r="AAS23" s="3"/>
      <c r="AAT23" s="3"/>
      <c r="AAU23" s="3"/>
      <c r="AAV23" s="3"/>
      <c r="AAW23" s="3"/>
      <c r="AAX23" s="3"/>
      <c r="AAY23" s="3"/>
      <c r="AAZ23" s="3"/>
      <c r="ABA23" s="3"/>
      <c r="ABB23" s="3"/>
      <c r="ABC23" s="3"/>
      <c r="ABD23" s="3"/>
      <c r="ABE23" s="3"/>
      <c r="ABF23" s="3"/>
      <c r="ABG23" s="3"/>
      <c r="ABH23" s="3"/>
      <c r="ABI23" s="3"/>
      <c r="ABJ23" s="3"/>
      <c r="ABK23" s="3"/>
      <c r="ABL23" s="3"/>
      <c r="ABM23" s="3"/>
      <c r="ABN23" s="3"/>
      <c r="ABO23" s="3"/>
      <c r="ABP23" s="3"/>
      <c r="ABQ23" s="3"/>
      <c r="ABR23" s="3"/>
      <c r="ABS23" s="3"/>
      <c r="ABT23" s="3"/>
      <c r="ABU23" s="3"/>
      <c r="ABV23" s="3"/>
      <c r="ABW23" s="3"/>
      <c r="ABX23" s="3"/>
      <c r="ABY23" s="3"/>
      <c r="ABZ23" s="3"/>
      <c r="ACA23" s="3"/>
      <c r="ACB23" s="3"/>
      <c r="ACC23" s="3"/>
      <c r="ACD23" s="3"/>
      <c r="ACE23" s="3"/>
      <c r="ACF23" s="3"/>
      <c r="ACG23" s="3"/>
      <c r="ACH23" s="3"/>
      <c r="ACI23" s="3"/>
      <c r="ACJ23" s="3"/>
      <c r="ACK23" s="3"/>
      <c r="ACL23" s="3"/>
      <c r="ACM23" s="3"/>
      <c r="ACN23" s="3"/>
      <c r="ACO23" s="3"/>
      <c r="ACP23" s="3"/>
      <c r="ACQ23" s="3"/>
      <c r="ACR23" s="3"/>
      <c r="ACS23" s="3"/>
      <c r="ACT23" s="3"/>
      <c r="ACU23" s="3"/>
      <c r="ACV23" s="3"/>
      <c r="ACW23" s="3"/>
      <c r="ACX23" s="3"/>
      <c r="ACY23" s="3"/>
      <c r="ACZ23" s="3"/>
      <c r="ADA23" s="3"/>
      <c r="ADB23" s="3"/>
      <c r="ADC23" s="3"/>
      <c r="ADD23" s="3"/>
      <c r="ADE23" s="3"/>
      <c r="ADF23" s="3"/>
      <c r="ADG23" s="3"/>
      <c r="ADH23" s="3"/>
      <c r="ADI23" s="3"/>
      <c r="ADJ23" s="3"/>
      <c r="ADK23" s="3"/>
      <c r="ADL23" s="3"/>
      <c r="ADM23" s="3"/>
      <c r="ADN23" s="3"/>
      <c r="ADO23" s="3"/>
      <c r="ADP23" s="3"/>
      <c r="ADQ23" s="3"/>
      <c r="ADR23" s="3"/>
      <c r="ADS23" s="3"/>
      <c r="ADT23" s="3"/>
      <c r="ADU23" s="3"/>
      <c r="ADV23" s="3"/>
      <c r="ADW23" s="3"/>
      <c r="ADX23" s="3"/>
      <c r="ADY23" s="3"/>
      <c r="ADZ23" s="3"/>
      <c r="AEA23" s="3"/>
      <c r="AEB23" s="3"/>
      <c r="AEC23" s="3"/>
      <c r="AED23" s="3"/>
      <c r="AEE23" s="3"/>
      <c r="AEF23" s="3"/>
      <c r="AEG23" s="3"/>
      <c r="AEH23" s="3"/>
      <c r="AEI23" s="3"/>
      <c r="AEJ23" s="3"/>
      <c r="AEK23" s="3"/>
      <c r="AEL23" s="3"/>
      <c r="AEM23" s="3"/>
      <c r="AEN23" s="3"/>
      <c r="AEO23" s="3"/>
      <c r="AEP23" s="3"/>
      <c r="AEQ23" s="3"/>
      <c r="AER23" s="3"/>
      <c r="AES23" s="3"/>
      <c r="AET23" s="3"/>
      <c r="AEU23" s="3"/>
      <c r="AEV23" s="3"/>
      <c r="AEW23" s="3"/>
      <c r="AEX23" s="3"/>
      <c r="AEY23" s="3"/>
      <c r="AEZ23" s="3"/>
      <c r="AFA23" s="3"/>
      <c r="AFB23" s="3"/>
      <c r="AFC23" s="3"/>
      <c r="AFD23" s="3"/>
      <c r="AFE23" s="3"/>
      <c r="AFF23" s="3"/>
      <c r="AFG23" s="3"/>
      <c r="AFH23" s="3"/>
      <c r="AFI23" s="3"/>
      <c r="AFJ23" s="3"/>
      <c r="AFK23" s="3"/>
      <c r="AFL23" s="3"/>
      <c r="AFM23" s="3"/>
      <c r="AFN23" s="3"/>
      <c r="AFO23" s="3"/>
      <c r="AFP23" s="3"/>
      <c r="AFQ23" s="3"/>
      <c r="AFR23" s="3"/>
      <c r="AFS23" s="3"/>
      <c r="AFT23" s="3"/>
      <c r="AFU23" s="3"/>
      <c r="AFV23" s="3"/>
      <c r="AFW23" s="3"/>
      <c r="AFX23" s="3"/>
      <c r="AFY23" s="3"/>
      <c r="AFZ23" s="3"/>
      <c r="AGA23" s="3"/>
      <c r="AGB23" s="3"/>
      <c r="AGC23" s="3"/>
      <c r="AGD23" s="3"/>
      <c r="AGE23" s="3"/>
      <c r="AGF23" s="3"/>
      <c r="AGG23" s="3"/>
      <c r="AGH23" s="3"/>
      <c r="AGI23" s="3"/>
      <c r="AGJ23" s="3"/>
      <c r="AGK23" s="3"/>
      <c r="AGL23" s="3"/>
      <c r="AGM23" s="3"/>
      <c r="AGN23" s="3"/>
      <c r="AGO23" s="3"/>
      <c r="AGP23" s="3"/>
      <c r="AGQ23" s="3"/>
      <c r="AGR23" s="3"/>
      <c r="AGS23" s="3"/>
      <c r="AGT23" s="3"/>
      <c r="AGU23" s="3"/>
      <c r="AGV23" s="3"/>
      <c r="AGW23" s="3"/>
      <c r="AGX23" s="3"/>
      <c r="AGY23" s="3"/>
      <c r="AGZ23" s="3"/>
      <c r="AHA23" s="3"/>
      <c r="AHB23" s="3"/>
      <c r="AHC23" s="3"/>
      <c r="AHD23" s="3"/>
      <c r="AHE23" s="3"/>
      <c r="AHF23" s="3"/>
      <c r="AHG23" s="3"/>
      <c r="AHH23" s="3"/>
      <c r="AHI23" s="3"/>
      <c r="AHJ23" s="3"/>
      <c r="AHK23" s="3"/>
      <c r="AHL23" s="3"/>
      <c r="AHM23" s="3"/>
      <c r="AHN23" s="3"/>
      <c r="AHO23" s="3"/>
      <c r="AHP23" s="3"/>
      <c r="AHQ23" s="3"/>
      <c r="AHR23" s="3"/>
      <c r="AHS23" s="3"/>
      <c r="AHT23" s="3"/>
      <c r="AHU23" s="3"/>
      <c r="AHV23" s="3"/>
      <c r="AHW23" s="3"/>
      <c r="AHX23" s="3"/>
      <c r="AHY23" s="3"/>
      <c r="AHZ23" s="3"/>
      <c r="AIA23" s="3"/>
      <c r="AIB23" s="3"/>
      <c r="AIC23" s="3"/>
      <c r="AID23" s="3"/>
      <c r="AIE23" s="3"/>
      <c r="AIF23" s="3"/>
      <c r="AIG23" s="3"/>
      <c r="AIH23" s="3"/>
      <c r="AII23" s="3"/>
      <c r="AIJ23" s="3"/>
      <c r="AIK23" s="3"/>
      <c r="AIL23" s="3"/>
      <c r="AIM23" s="3"/>
      <c r="AIN23" s="3"/>
      <c r="AIO23" s="3"/>
      <c r="AIP23" s="3"/>
      <c r="AIQ23" s="3"/>
      <c r="AIR23" s="3"/>
      <c r="AIS23" s="3"/>
      <c r="AIT23" s="3"/>
      <c r="AIU23" s="3"/>
      <c r="AIV23" s="3"/>
      <c r="AIW23" s="3"/>
      <c r="AIX23" s="3"/>
      <c r="AIY23" s="3"/>
      <c r="AIZ23" s="3"/>
      <c r="AJA23" s="3"/>
      <c r="AJB23" s="3"/>
      <c r="AJC23" s="3"/>
      <c r="AJD23" s="3"/>
      <c r="AJE23" s="3"/>
      <c r="AJF23" s="3"/>
      <c r="AJG23" s="3"/>
      <c r="AJH23" s="3"/>
      <c r="AJI23" s="3"/>
      <c r="AJJ23" s="3"/>
      <c r="AJK23" s="3"/>
      <c r="AJL23" s="3"/>
      <c r="AJM23" s="3"/>
      <c r="AJN23" s="3"/>
      <c r="AJO23" s="3"/>
      <c r="AJP23" s="3"/>
      <c r="AJQ23" s="3"/>
      <c r="AJR23" s="3"/>
      <c r="AJS23" s="3"/>
      <c r="AJT23" s="3"/>
      <c r="AJU23" s="3"/>
      <c r="AJV23" s="3"/>
      <c r="AJW23" s="3"/>
      <c r="AJX23" s="3"/>
      <c r="AJY23" s="3"/>
      <c r="AJZ23" s="3"/>
      <c r="AKA23" s="3"/>
      <c r="AKB23" s="3"/>
      <c r="AKC23" s="3"/>
      <c r="AKD23" s="3"/>
      <c r="AKE23" s="3"/>
      <c r="AKF23" s="3"/>
      <c r="AKG23" s="3"/>
      <c r="AKH23" s="3"/>
      <c r="AKI23" s="3"/>
      <c r="AKJ23" s="3"/>
      <c r="AKK23" s="3"/>
      <c r="AKL23" s="3"/>
      <c r="AKM23" s="3"/>
      <c r="AKN23" s="3"/>
      <c r="AKO23" s="3"/>
      <c r="AKP23" s="3"/>
      <c r="AKQ23" s="3"/>
      <c r="AKR23" s="3"/>
      <c r="AKS23" s="3"/>
      <c r="AKT23" s="3"/>
      <c r="AKU23" s="3"/>
      <c r="AKV23" s="3"/>
      <c r="AKW23" s="3"/>
      <c r="AKX23" s="3"/>
      <c r="AKY23" s="3"/>
      <c r="AKZ23" s="3"/>
      <c r="ALA23" s="3"/>
      <c r="ALB23" s="3"/>
      <c r="ALC23" s="3"/>
      <c r="ALD23" s="3"/>
      <c r="ALE23" s="3"/>
      <c r="ALF23" s="3"/>
      <c r="ALG23" s="3"/>
      <c r="ALH23" s="3"/>
      <c r="ALI23" s="3"/>
      <c r="ALJ23" s="3"/>
      <c r="ALK23" s="3"/>
      <c r="ALL23" s="3"/>
      <c r="ALM23" s="3"/>
      <c r="ALN23" s="3"/>
      <c r="ALO23" s="3"/>
      <c r="ALP23" s="3"/>
      <c r="ALQ23" s="3"/>
      <c r="ALR23" s="3"/>
      <c r="ALS23" s="3"/>
      <c r="ALT23" s="3"/>
      <c r="ALU23" s="3"/>
      <c r="ALV23" s="3"/>
      <c r="ALW23" s="3"/>
      <c r="ALX23" s="3"/>
      <c r="ALY23" s="3"/>
      <c r="ALZ23" s="3"/>
      <c r="AMA23" s="3"/>
      <c r="AMB23" s="3"/>
      <c r="AMC23" s="3"/>
      <c r="AMD23" s="3"/>
      <c r="AME23" s="3"/>
      <c r="AMF23" s="3"/>
      <c r="AMG23" s="3"/>
      <c r="AMH23" s="3"/>
      <c r="AMI23" s="3"/>
      <c r="AMJ23" s="3"/>
      <c r="AMK23" s="3"/>
      <c r="AML23" s="3"/>
      <c r="AMM23" s="3"/>
      <c r="AMN23" s="3"/>
      <c r="AMO23" s="3"/>
      <c r="AMP23" s="3"/>
      <c r="AMQ23" s="3"/>
      <c r="AMR23" s="3"/>
      <c r="AMS23" s="3"/>
      <c r="AMT23" s="3"/>
      <c r="AMU23" s="3"/>
      <c r="AMV23" s="3"/>
      <c r="AMW23" s="3"/>
      <c r="AMX23" s="3"/>
      <c r="AMY23" s="3"/>
      <c r="AMZ23" s="3"/>
      <c r="ANA23" s="3"/>
      <c r="ANB23" s="3"/>
      <c r="ANC23" s="3"/>
      <c r="AND23" s="3"/>
      <c r="ANE23" s="3"/>
      <c r="ANF23" s="3"/>
      <c r="ANG23" s="3"/>
      <c r="ANH23" s="3"/>
      <c r="ANI23" s="3"/>
      <c r="ANJ23" s="3"/>
      <c r="ANK23" s="3"/>
      <c r="ANL23" s="3"/>
      <c r="ANM23" s="3"/>
      <c r="ANN23" s="3"/>
      <c r="ANO23" s="3"/>
      <c r="ANP23" s="3"/>
      <c r="ANQ23" s="3"/>
      <c r="ANR23" s="3"/>
      <c r="ANS23" s="3"/>
      <c r="ANT23" s="3"/>
      <c r="ANU23" s="3"/>
      <c r="ANV23" s="3"/>
      <c r="ANW23" s="3"/>
      <c r="ANX23" s="3"/>
      <c r="ANY23" s="3"/>
      <c r="ANZ23" s="3"/>
      <c r="AOA23" s="3"/>
      <c r="AOB23" s="3"/>
      <c r="AOC23" s="3"/>
      <c r="AOD23" s="3"/>
      <c r="AOE23" s="3"/>
      <c r="AOF23" s="3"/>
      <c r="AOG23" s="3"/>
      <c r="AOH23" s="3"/>
      <c r="AOI23" s="3"/>
      <c r="AOJ23" s="3"/>
      <c r="AOK23" s="3"/>
      <c r="AOL23" s="3"/>
      <c r="AOM23" s="3"/>
      <c r="AON23" s="3"/>
      <c r="AOO23" s="3"/>
      <c r="AOP23" s="3"/>
      <c r="AOQ23" s="3"/>
      <c r="AOR23" s="3"/>
      <c r="AOS23" s="3"/>
      <c r="AOT23" s="3"/>
      <c r="AOU23" s="3"/>
      <c r="AOV23" s="3"/>
      <c r="AOW23" s="3"/>
      <c r="AOX23" s="3"/>
      <c r="AOY23" s="3"/>
      <c r="AOZ23" s="3"/>
      <c r="APA23" s="3"/>
      <c r="APB23" s="3"/>
      <c r="APC23" s="3"/>
      <c r="APD23" s="3"/>
      <c r="APE23" s="3"/>
      <c r="APF23" s="3"/>
      <c r="APG23" s="3"/>
      <c r="APH23" s="3"/>
      <c r="API23" s="3"/>
      <c r="APJ23" s="3"/>
      <c r="APK23" s="3"/>
      <c r="APL23" s="3"/>
      <c r="APM23" s="3"/>
      <c r="APN23" s="3"/>
      <c r="APO23" s="3"/>
      <c r="APP23" s="3"/>
      <c r="APQ23" s="3"/>
      <c r="APR23" s="3"/>
      <c r="APS23" s="3"/>
      <c r="APT23" s="3"/>
      <c r="APU23" s="3"/>
      <c r="APV23" s="3"/>
      <c r="APW23" s="3"/>
      <c r="APX23" s="3"/>
      <c r="APY23" s="3"/>
      <c r="APZ23" s="3"/>
      <c r="AQA23" s="3"/>
      <c r="AQB23" s="3"/>
      <c r="AQC23" s="3"/>
      <c r="AQD23" s="3"/>
      <c r="AQE23" s="3"/>
      <c r="AQF23" s="3"/>
      <c r="AQG23" s="3"/>
      <c r="AQH23" s="3"/>
      <c r="AQI23" s="3"/>
      <c r="AQJ23" s="3"/>
      <c r="AQK23" s="3"/>
      <c r="AQL23" s="3"/>
      <c r="AQM23" s="3"/>
      <c r="AQN23" s="3"/>
      <c r="AQO23" s="3"/>
      <c r="AQP23" s="3"/>
      <c r="AQQ23" s="3"/>
      <c r="AQR23" s="3"/>
      <c r="AQS23" s="3"/>
      <c r="AQT23" s="3"/>
      <c r="AQU23" s="3"/>
      <c r="AQV23" s="3"/>
      <c r="AQW23" s="3"/>
      <c r="AQX23" s="3"/>
      <c r="AQY23" s="3"/>
      <c r="AQZ23" s="3"/>
      <c r="ARA23" s="3"/>
      <c r="ARB23" s="3"/>
      <c r="ARC23" s="3"/>
      <c r="ARD23" s="3"/>
      <c r="ARE23" s="3"/>
      <c r="ARF23" s="3"/>
      <c r="ARG23" s="3"/>
      <c r="ARH23" s="3"/>
      <c r="ARI23" s="3"/>
      <c r="ARJ23" s="3"/>
      <c r="ARK23" s="3"/>
      <c r="ARL23" s="3"/>
      <c r="ARM23" s="3"/>
      <c r="ARN23" s="3"/>
      <c r="ARO23" s="3"/>
      <c r="ARP23" s="3"/>
      <c r="ARQ23" s="3"/>
      <c r="ARR23" s="3"/>
      <c r="ARS23" s="3"/>
      <c r="ART23" s="3"/>
      <c r="ARU23" s="3"/>
      <c r="ARV23" s="3"/>
      <c r="ARW23" s="3"/>
      <c r="ARX23" s="3"/>
      <c r="ARY23" s="3"/>
      <c r="ARZ23" s="3"/>
      <c r="ASA23" s="3"/>
      <c r="ASB23" s="3"/>
      <c r="ASC23" s="3"/>
      <c r="ASD23" s="3"/>
      <c r="ASE23" s="3"/>
      <c r="ASF23" s="3"/>
      <c r="ASG23" s="3"/>
      <c r="ASH23" s="3"/>
      <c r="ASI23" s="3"/>
      <c r="ASJ23" s="3"/>
      <c r="ASK23" s="3"/>
      <c r="ASL23" s="3"/>
      <c r="ASM23" s="3"/>
      <c r="ASN23" s="3"/>
      <c r="ASO23" s="3"/>
      <c r="ASP23" s="3"/>
      <c r="ASQ23" s="3"/>
      <c r="ASR23" s="3"/>
      <c r="ASS23" s="3"/>
      <c r="AST23" s="3"/>
      <c r="ASU23" s="3"/>
      <c r="ASV23" s="3"/>
      <c r="ASW23" s="3"/>
      <c r="ASX23" s="3"/>
      <c r="ASY23" s="3"/>
      <c r="ASZ23" s="3"/>
      <c r="ATA23" s="3"/>
      <c r="ATB23" s="3"/>
      <c r="ATC23" s="3"/>
      <c r="ATD23" s="3"/>
      <c r="ATE23" s="3"/>
      <c r="ATF23" s="3"/>
      <c r="ATG23" s="3"/>
      <c r="ATH23" s="3"/>
      <c r="ATI23" s="3"/>
      <c r="ATJ23" s="3"/>
      <c r="ATK23" s="3"/>
      <c r="ATL23" s="3"/>
      <c r="ATM23" s="3"/>
      <c r="ATN23" s="3"/>
      <c r="ATO23" s="3"/>
      <c r="ATP23" s="3"/>
      <c r="ATQ23" s="3"/>
      <c r="ATR23" s="3"/>
      <c r="ATS23" s="3"/>
      <c r="ATT23" s="3"/>
      <c r="ATU23" s="3"/>
      <c r="ATV23" s="3"/>
      <c r="ATW23" s="3"/>
      <c r="ATX23" s="3"/>
      <c r="ATY23" s="3"/>
      <c r="ATZ23" s="3"/>
      <c r="AUA23" s="3"/>
      <c r="AUB23" s="3"/>
      <c r="AUC23" s="3"/>
      <c r="AUD23" s="3"/>
      <c r="AUE23" s="3"/>
      <c r="AUF23" s="3"/>
      <c r="AUG23" s="3"/>
      <c r="AUH23" s="3"/>
      <c r="AUI23" s="3"/>
      <c r="AUJ23" s="3"/>
      <c r="AUK23" s="3"/>
      <c r="AUL23" s="3"/>
      <c r="AUM23" s="3"/>
      <c r="AUN23" s="3"/>
      <c r="AUO23" s="3"/>
      <c r="AUP23" s="3"/>
      <c r="AUQ23" s="3"/>
      <c r="AUR23" s="3"/>
      <c r="AUS23" s="3"/>
      <c r="AUT23" s="3"/>
      <c r="AUU23" s="3"/>
      <c r="AUV23" s="3"/>
      <c r="AUW23" s="3"/>
      <c r="AUX23" s="3"/>
      <c r="AUY23" s="3"/>
      <c r="AUZ23" s="3"/>
      <c r="AVA23" s="3"/>
      <c r="AVB23" s="3"/>
      <c r="AVC23" s="3"/>
      <c r="AVD23" s="3"/>
      <c r="AVE23" s="3"/>
      <c r="AVF23" s="3"/>
      <c r="AVG23" s="3"/>
      <c r="AVH23" s="3"/>
      <c r="AVI23" s="3"/>
      <c r="AVJ23" s="3"/>
      <c r="AVK23" s="3"/>
      <c r="AVL23" s="3"/>
      <c r="AVM23" s="3"/>
      <c r="AVN23" s="3"/>
      <c r="AVO23" s="3"/>
      <c r="AVP23" s="3"/>
      <c r="AVQ23" s="3"/>
      <c r="AVR23" s="3"/>
      <c r="AVS23" s="3"/>
      <c r="AVT23" s="3"/>
      <c r="AVU23" s="3"/>
      <c r="AVV23" s="3"/>
      <c r="AVW23" s="3"/>
      <c r="AVX23" s="3"/>
      <c r="AVY23" s="3"/>
      <c r="AVZ23" s="3"/>
      <c r="AWA23" s="3"/>
      <c r="AWB23" s="3"/>
      <c r="AWC23" s="3"/>
      <c r="AWD23" s="3"/>
      <c r="AWE23" s="3"/>
      <c r="AWF23" s="3"/>
      <c r="AWG23" s="3"/>
      <c r="AWH23" s="3"/>
      <c r="AWI23" s="3"/>
      <c r="AWJ23" s="3"/>
      <c r="AWK23" s="3"/>
      <c r="AWL23" s="3"/>
      <c r="AWM23" s="3"/>
      <c r="AWN23" s="3"/>
      <c r="AWO23" s="3"/>
      <c r="AWP23" s="3"/>
      <c r="AWQ23" s="3"/>
      <c r="AWR23" s="3"/>
      <c r="AWS23" s="3"/>
      <c r="AWT23" s="3"/>
      <c r="AWU23" s="3"/>
      <c r="AWV23" s="3"/>
      <c r="AWW23" s="3"/>
      <c r="AWX23" s="3"/>
      <c r="AWY23" s="3"/>
      <c r="AWZ23" s="3"/>
      <c r="AXA23" s="3"/>
      <c r="AXB23" s="3"/>
      <c r="AXC23" s="3"/>
      <c r="AXD23" s="3"/>
      <c r="AXE23" s="3"/>
      <c r="AXF23" s="3"/>
      <c r="AXG23" s="3"/>
      <c r="AXH23" s="3"/>
      <c r="AXI23" s="3"/>
      <c r="AXJ23" s="3"/>
      <c r="AXK23" s="3"/>
      <c r="AXL23" s="3"/>
      <c r="AXM23" s="3"/>
      <c r="AXN23" s="3"/>
      <c r="AXO23" s="3"/>
      <c r="AXP23" s="3"/>
      <c r="AXQ23" s="3"/>
      <c r="AXR23" s="3"/>
      <c r="AXS23" s="3"/>
      <c r="AXT23" s="3"/>
      <c r="AXU23" s="3"/>
      <c r="AXV23" s="3"/>
      <c r="AXW23" s="3"/>
      <c r="AXX23" s="3"/>
      <c r="AXY23" s="3"/>
      <c r="AXZ23" s="3"/>
      <c r="AYA23" s="3"/>
      <c r="AYB23" s="3"/>
      <c r="AYC23" s="3"/>
      <c r="AYD23" s="3"/>
      <c r="AYE23" s="3"/>
      <c r="AYF23" s="3"/>
      <c r="AYG23" s="3"/>
      <c r="AYH23" s="3"/>
      <c r="AYI23" s="3"/>
      <c r="AYJ23" s="3"/>
      <c r="AYK23" s="3"/>
      <c r="AYL23" s="3"/>
      <c r="AYM23" s="3"/>
      <c r="AYN23" s="3"/>
      <c r="AYO23" s="3"/>
      <c r="AYP23" s="3"/>
      <c r="AYQ23" s="3"/>
      <c r="AYR23" s="3"/>
      <c r="AYS23" s="3"/>
      <c r="AYT23" s="3"/>
      <c r="AYU23" s="3"/>
      <c r="AYV23" s="3"/>
      <c r="AYW23" s="3"/>
      <c r="AYX23" s="3"/>
      <c r="AYY23" s="3"/>
      <c r="AYZ23" s="3"/>
      <c r="AZA23" s="3"/>
      <c r="AZB23" s="3"/>
      <c r="AZC23" s="3"/>
      <c r="AZD23" s="3"/>
      <c r="AZE23" s="3"/>
      <c r="AZF23" s="3"/>
      <c r="AZG23" s="3"/>
      <c r="AZH23" s="3"/>
      <c r="AZI23" s="3"/>
      <c r="AZJ23" s="3"/>
      <c r="AZK23" s="3"/>
      <c r="AZL23" s="3"/>
      <c r="AZM23" s="3"/>
      <c r="AZN23" s="3"/>
      <c r="AZO23" s="3"/>
      <c r="AZP23" s="3"/>
      <c r="AZQ23" s="3"/>
      <c r="AZR23" s="3"/>
      <c r="AZS23" s="3"/>
      <c r="AZT23" s="3"/>
      <c r="AZU23" s="3"/>
      <c r="AZV23" s="3"/>
      <c r="AZW23" s="3"/>
      <c r="AZX23" s="3"/>
      <c r="AZY23" s="3"/>
      <c r="AZZ23" s="3"/>
      <c r="BAA23" s="3"/>
      <c r="BAB23" s="3"/>
      <c r="BAC23" s="3"/>
      <c r="BAD23" s="3"/>
      <c r="BAE23" s="3"/>
      <c r="BAF23" s="3"/>
      <c r="BAG23" s="3"/>
      <c r="BAH23" s="3"/>
      <c r="BAI23" s="3"/>
      <c r="BAJ23" s="3"/>
      <c r="BAK23" s="3"/>
      <c r="BAL23" s="3"/>
      <c r="BAM23" s="3"/>
      <c r="BAN23" s="3"/>
      <c r="BAO23" s="3"/>
      <c r="BAP23" s="3"/>
      <c r="BAQ23" s="3"/>
      <c r="BAR23" s="3"/>
      <c r="BAS23" s="3"/>
      <c r="BAT23" s="3"/>
      <c r="BAU23" s="3"/>
      <c r="BAV23" s="3"/>
      <c r="BAW23" s="3"/>
      <c r="BAX23" s="3"/>
      <c r="BAY23" s="3"/>
      <c r="BAZ23" s="3"/>
      <c r="BBA23" s="3"/>
      <c r="BBB23" s="3"/>
      <c r="BBC23" s="3"/>
      <c r="BBD23" s="3"/>
      <c r="BBE23" s="3"/>
      <c r="BBF23" s="3"/>
      <c r="BBG23" s="3"/>
      <c r="BBH23" s="3"/>
      <c r="BBI23" s="3"/>
      <c r="BBJ23" s="3"/>
      <c r="BBK23" s="3"/>
      <c r="BBL23" s="3"/>
      <c r="BBM23" s="3"/>
      <c r="BBN23" s="3"/>
      <c r="BBO23" s="3"/>
      <c r="BBP23" s="3"/>
      <c r="BBQ23" s="3"/>
      <c r="BBR23" s="3"/>
      <c r="BBS23" s="3"/>
      <c r="BBT23" s="3"/>
      <c r="BBU23" s="3"/>
      <c r="BBV23" s="3"/>
      <c r="BBW23" s="3"/>
      <c r="BBX23" s="3"/>
      <c r="BBY23" s="3"/>
      <c r="BBZ23" s="3"/>
      <c r="BCA23" s="3"/>
      <c r="BCB23" s="3"/>
      <c r="BCC23" s="3"/>
      <c r="BCD23" s="3"/>
      <c r="BCE23" s="3"/>
      <c r="BCF23" s="3"/>
      <c r="BCG23" s="3"/>
      <c r="BCH23" s="3"/>
      <c r="BCI23" s="3"/>
      <c r="BCJ23" s="3"/>
      <c r="BCK23" s="3"/>
      <c r="BCL23" s="3"/>
      <c r="BCM23" s="3"/>
      <c r="BCN23" s="3"/>
      <c r="BCO23" s="3"/>
      <c r="BCP23" s="3"/>
      <c r="BCQ23" s="3"/>
      <c r="BCR23" s="3"/>
      <c r="BCS23" s="3"/>
      <c r="BCT23" s="3"/>
      <c r="BCU23" s="3"/>
      <c r="BCV23" s="3"/>
      <c r="BCW23" s="3"/>
      <c r="BCX23" s="3"/>
      <c r="BCY23" s="3"/>
      <c r="BCZ23" s="3"/>
      <c r="BDA23" s="3"/>
      <c r="BDB23" s="3"/>
      <c r="BDC23" s="3"/>
      <c r="BDD23" s="3"/>
      <c r="BDE23" s="3"/>
      <c r="BDF23" s="3"/>
      <c r="BDG23" s="3"/>
      <c r="BDH23" s="3"/>
      <c r="BDI23" s="3"/>
      <c r="BDJ23" s="3"/>
      <c r="BDK23" s="3"/>
      <c r="BDL23" s="3"/>
      <c r="BDM23" s="3"/>
      <c r="BDN23" s="3"/>
      <c r="BDO23" s="3"/>
      <c r="BDP23" s="3"/>
      <c r="BDQ23" s="3"/>
      <c r="BDR23" s="3"/>
      <c r="BDS23" s="3"/>
      <c r="BDT23" s="3"/>
      <c r="BDU23" s="3"/>
      <c r="BDV23" s="3"/>
      <c r="BDW23" s="3"/>
      <c r="BDX23" s="3"/>
      <c r="BDY23" s="3"/>
      <c r="BDZ23" s="3"/>
      <c r="BEA23" s="3"/>
      <c r="BEB23" s="3"/>
      <c r="BEC23" s="3"/>
      <c r="BED23" s="3"/>
      <c r="BEE23" s="3"/>
      <c r="BEF23" s="3"/>
      <c r="BEG23" s="3"/>
      <c r="BEH23" s="3"/>
      <c r="BEI23" s="3"/>
      <c r="BEJ23" s="3"/>
      <c r="BEK23" s="3"/>
      <c r="BEL23" s="3"/>
      <c r="BEM23" s="3"/>
      <c r="BEN23" s="3"/>
      <c r="BEO23" s="3"/>
      <c r="BEP23" s="3"/>
      <c r="BEQ23" s="3"/>
      <c r="BER23" s="3"/>
      <c r="BES23" s="3"/>
      <c r="BET23" s="3"/>
      <c r="BEU23" s="3"/>
      <c r="BEV23" s="3"/>
      <c r="BEW23" s="3"/>
      <c r="BEX23" s="3"/>
      <c r="BEY23" s="3"/>
      <c r="BEZ23" s="3"/>
      <c r="BFA23" s="3"/>
      <c r="BFB23" s="3"/>
      <c r="BFC23" s="3"/>
      <c r="BFD23" s="3"/>
      <c r="BFE23" s="3"/>
      <c r="BFF23" s="3"/>
      <c r="BFG23" s="3"/>
      <c r="BFH23" s="3"/>
      <c r="BFI23" s="3"/>
      <c r="BFJ23" s="3"/>
      <c r="BFK23" s="3"/>
      <c r="BFL23" s="3"/>
      <c r="BFM23" s="3"/>
      <c r="BFN23" s="3"/>
      <c r="BFO23" s="3"/>
      <c r="BFP23" s="3"/>
      <c r="BFQ23" s="3"/>
      <c r="BFR23" s="3"/>
      <c r="BFS23" s="3"/>
      <c r="BFT23" s="3"/>
      <c r="BFU23" s="3"/>
      <c r="BFV23" s="3"/>
      <c r="BFW23" s="3"/>
      <c r="BFX23" s="3"/>
      <c r="BFY23" s="3"/>
      <c r="BFZ23" s="3"/>
      <c r="BGA23" s="3"/>
      <c r="BGB23" s="3"/>
      <c r="BGC23" s="3"/>
      <c r="BGD23" s="3"/>
      <c r="BGE23" s="3"/>
      <c r="BGF23" s="3"/>
      <c r="BGG23" s="3"/>
      <c r="BGH23" s="3"/>
      <c r="BGI23" s="3"/>
      <c r="BGJ23" s="3"/>
      <c r="BGK23" s="3"/>
      <c r="BGL23" s="3"/>
      <c r="BGM23" s="3"/>
      <c r="BGN23" s="3"/>
      <c r="BGO23" s="3"/>
      <c r="BGP23" s="3"/>
      <c r="BGQ23" s="3"/>
      <c r="BGR23" s="3"/>
      <c r="BGS23" s="3"/>
      <c r="BGT23" s="3"/>
      <c r="BGU23" s="3"/>
      <c r="BGV23" s="3"/>
      <c r="BGW23" s="3"/>
      <c r="BGX23" s="3"/>
      <c r="BGY23" s="3"/>
      <c r="BGZ23" s="3"/>
      <c r="BHA23" s="3"/>
      <c r="BHB23" s="3"/>
      <c r="BHC23" s="3"/>
      <c r="BHD23" s="3"/>
      <c r="BHE23" s="3"/>
      <c r="BHF23" s="3"/>
      <c r="BHG23" s="3"/>
      <c r="BHH23" s="3"/>
      <c r="BHI23" s="3"/>
      <c r="BHJ23" s="3"/>
      <c r="BHK23" s="3"/>
      <c r="BHL23" s="3"/>
      <c r="BHM23" s="3"/>
      <c r="BHN23" s="3"/>
      <c r="BHO23" s="3"/>
      <c r="BHP23" s="3"/>
      <c r="BHQ23" s="3"/>
      <c r="BHR23" s="3"/>
      <c r="BHS23" s="3"/>
      <c r="BHT23" s="3"/>
      <c r="BHU23" s="3"/>
      <c r="BHV23" s="3"/>
      <c r="BHW23" s="3"/>
      <c r="BHX23" s="3"/>
      <c r="BHY23" s="3"/>
      <c r="BHZ23" s="3"/>
      <c r="BIA23" s="3"/>
      <c r="BIB23" s="3"/>
      <c r="BIC23" s="3"/>
      <c r="BID23" s="3"/>
      <c r="BIE23" s="3"/>
      <c r="BIF23" s="3"/>
      <c r="BIG23" s="3"/>
      <c r="BIH23" s="3"/>
      <c r="BII23" s="3"/>
      <c r="BIJ23" s="3"/>
      <c r="BIK23" s="3"/>
      <c r="BIL23" s="3"/>
      <c r="BIM23" s="3"/>
      <c r="BIN23" s="3"/>
      <c r="BIO23" s="3"/>
      <c r="BIP23" s="3"/>
      <c r="BIQ23" s="3"/>
      <c r="BIR23" s="3"/>
      <c r="BIS23" s="3"/>
      <c r="BIT23" s="3"/>
      <c r="BIU23" s="3"/>
      <c r="BIV23" s="3"/>
      <c r="BIW23" s="3"/>
      <c r="BIX23" s="3"/>
      <c r="BIY23" s="3"/>
      <c r="BIZ23" s="3"/>
      <c r="BJA23" s="3"/>
      <c r="BJB23" s="3"/>
      <c r="BJC23" s="3"/>
      <c r="BJD23" s="3"/>
      <c r="BJE23" s="3"/>
      <c r="BJF23" s="3"/>
      <c r="BJG23" s="3"/>
      <c r="BJH23" s="3"/>
      <c r="BJI23" s="3"/>
      <c r="BJJ23" s="3"/>
      <c r="BJK23" s="3"/>
      <c r="BJL23" s="3"/>
      <c r="BJM23" s="3"/>
      <c r="BJN23" s="3"/>
      <c r="BJO23" s="3"/>
      <c r="BJP23" s="3"/>
      <c r="BJQ23" s="3"/>
      <c r="BJR23" s="3"/>
      <c r="BJS23" s="3"/>
      <c r="BJT23" s="3"/>
      <c r="BJU23" s="3"/>
      <c r="BJV23" s="3"/>
      <c r="BJW23" s="3"/>
      <c r="BJX23" s="3"/>
      <c r="BJY23" s="3"/>
      <c r="BJZ23" s="3"/>
      <c r="BKA23" s="3"/>
      <c r="BKB23" s="3"/>
      <c r="BKC23" s="3"/>
      <c r="BKD23" s="3"/>
      <c r="BKE23" s="3"/>
      <c r="BKF23" s="3"/>
      <c r="BKG23" s="3"/>
      <c r="BKH23" s="3"/>
      <c r="BKI23" s="3"/>
      <c r="BKJ23" s="3"/>
      <c r="BKK23" s="3"/>
      <c r="BKL23" s="3"/>
      <c r="BKM23" s="3"/>
      <c r="BKN23" s="3"/>
      <c r="BKO23" s="3"/>
      <c r="BKP23" s="3"/>
      <c r="BKQ23" s="3"/>
      <c r="BKR23" s="3"/>
      <c r="BKS23" s="3"/>
      <c r="BKT23" s="3"/>
      <c r="BKU23" s="3"/>
      <c r="BKV23" s="3"/>
      <c r="BKW23" s="3"/>
      <c r="BKX23" s="3"/>
      <c r="BKY23" s="3"/>
      <c r="BKZ23" s="3"/>
      <c r="BLA23" s="3"/>
      <c r="BLB23" s="3"/>
      <c r="BLC23" s="3"/>
      <c r="BLD23" s="3"/>
      <c r="BLE23" s="3"/>
      <c r="BLF23" s="3"/>
      <c r="BLG23" s="3"/>
      <c r="BLH23" s="3"/>
      <c r="BLI23" s="3"/>
      <c r="BLJ23" s="3"/>
      <c r="BLK23" s="3"/>
      <c r="BLL23" s="3"/>
      <c r="BLM23" s="3"/>
      <c r="BLN23" s="3"/>
      <c r="BLO23" s="3"/>
      <c r="BLP23" s="3"/>
      <c r="BLQ23" s="3"/>
      <c r="BLR23" s="3"/>
      <c r="BLS23" s="3"/>
      <c r="BLT23" s="3"/>
      <c r="BLU23" s="3"/>
      <c r="BLV23" s="3"/>
      <c r="BLW23" s="3"/>
      <c r="BLX23" s="3"/>
      <c r="BLY23" s="3"/>
      <c r="BLZ23" s="3"/>
      <c r="BMA23" s="3"/>
      <c r="BMB23" s="3"/>
      <c r="BMC23" s="3"/>
      <c r="BMD23" s="3"/>
      <c r="BME23" s="3"/>
      <c r="BMF23" s="3"/>
      <c r="BMG23" s="3"/>
      <c r="BMH23" s="3"/>
      <c r="BMI23" s="3"/>
      <c r="BMJ23" s="3"/>
      <c r="BMK23" s="3"/>
      <c r="BML23" s="3"/>
      <c r="BMM23" s="3"/>
      <c r="BMN23" s="3"/>
      <c r="BMO23" s="3"/>
      <c r="BMP23" s="3"/>
      <c r="BMQ23" s="3"/>
      <c r="BMR23" s="3"/>
      <c r="BMS23" s="3"/>
      <c r="BMT23" s="3"/>
      <c r="BMU23" s="3"/>
      <c r="BMV23" s="3"/>
      <c r="BMW23" s="3"/>
      <c r="BMX23" s="3"/>
      <c r="BMY23" s="3"/>
      <c r="BMZ23" s="3"/>
      <c r="BNA23" s="3"/>
      <c r="BNB23" s="3"/>
      <c r="BNC23" s="3"/>
      <c r="BND23" s="3"/>
      <c r="BNE23" s="3"/>
      <c r="BNF23" s="3"/>
      <c r="BNG23" s="3"/>
      <c r="BNH23" s="3"/>
      <c r="BNI23" s="3"/>
      <c r="BNJ23" s="3"/>
      <c r="BNK23" s="3"/>
      <c r="BNL23" s="3"/>
      <c r="BNM23" s="3"/>
      <c r="BNN23" s="3"/>
      <c r="BNO23" s="3"/>
      <c r="BNP23" s="3"/>
      <c r="BNQ23" s="3"/>
      <c r="BNR23" s="3"/>
      <c r="BNS23" s="3"/>
      <c r="BNT23" s="3"/>
      <c r="BNU23" s="3"/>
      <c r="BNV23" s="3"/>
      <c r="BNW23" s="3"/>
      <c r="BNX23" s="3"/>
      <c r="BNY23" s="3"/>
      <c r="BNZ23" s="3"/>
      <c r="BOA23" s="3"/>
      <c r="BOB23" s="3"/>
      <c r="BOC23" s="3"/>
      <c r="BOD23" s="3"/>
      <c r="BOE23" s="3"/>
      <c r="BOF23" s="3"/>
      <c r="BOG23" s="3"/>
      <c r="BOH23" s="3"/>
      <c r="BOI23" s="3"/>
      <c r="BOJ23" s="3"/>
      <c r="BOK23" s="3"/>
      <c r="BOL23" s="3"/>
      <c r="BOM23" s="3"/>
      <c r="BON23" s="3"/>
      <c r="BOO23" s="3"/>
      <c r="BOP23" s="3"/>
      <c r="BOQ23" s="3"/>
      <c r="BOR23" s="3"/>
      <c r="BOS23" s="3"/>
      <c r="BOT23" s="3"/>
      <c r="BOU23" s="3"/>
      <c r="BOV23" s="3"/>
      <c r="BOW23" s="3"/>
      <c r="BOX23" s="3"/>
      <c r="BOY23" s="3"/>
      <c r="BOZ23" s="3"/>
      <c r="BPA23" s="3"/>
      <c r="BPB23" s="3"/>
      <c r="BPC23" s="3"/>
      <c r="BPD23" s="3"/>
      <c r="BPE23" s="3"/>
      <c r="BPF23" s="3"/>
      <c r="BPG23" s="3"/>
      <c r="BPH23" s="3"/>
      <c r="BPI23" s="3"/>
      <c r="BPJ23" s="3"/>
      <c r="BPK23" s="3"/>
      <c r="BPL23" s="3"/>
      <c r="BPM23" s="3"/>
      <c r="BPN23" s="3"/>
      <c r="BPO23" s="3"/>
      <c r="BPP23" s="3"/>
      <c r="BPQ23" s="3"/>
      <c r="BPR23" s="3"/>
      <c r="BPS23" s="3"/>
      <c r="BPT23" s="3"/>
      <c r="BPU23" s="3"/>
      <c r="BPV23" s="3"/>
      <c r="BPW23" s="3"/>
      <c r="BPX23" s="3"/>
      <c r="BPY23" s="3"/>
      <c r="BPZ23" s="3"/>
      <c r="BQA23" s="3"/>
      <c r="BQB23" s="3"/>
      <c r="BQC23" s="3"/>
      <c r="BQD23" s="3"/>
      <c r="BQE23" s="3"/>
      <c r="BQF23" s="3"/>
      <c r="BQG23" s="3"/>
      <c r="BQH23" s="3"/>
      <c r="BQI23" s="3"/>
      <c r="BQJ23" s="3"/>
      <c r="BQK23" s="3"/>
      <c r="BQL23" s="3"/>
      <c r="BQM23" s="3"/>
      <c r="BQN23" s="3"/>
      <c r="BQO23" s="3"/>
      <c r="BQP23" s="3"/>
      <c r="BQQ23" s="3"/>
      <c r="BQR23" s="3"/>
      <c r="BQS23" s="3"/>
      <c r="BQT23" s="3"/>
      <c r="BQU23" s="3"/>
      <c r="BQV23" s="3"/>
      <c r="BQW23" s="3"/>
      <c r="BQX23" s="3"/>
      <c r="BQY23" s="3"/>
      <c r="BQZ23" s="3"/>
      <c r="BRA23" s="3"/>
      <c r="BRB23" s="3"/>
      <c r="BRC23" s="3"/>
      <c r="BRD23" s="3"/>
      <c r="BRE23" s="3"/>
      <c r="BRF23" s="3"/>
      <c r="BRG23" s="3"/>
      <c r="BRH23" s="3"/>
      <c r="BRI23" s="3"/>
      <c r="BRJ23" s="3"/>
      <c r="BRK23" s="3"/>
      <c r="BRL23" s="3"/>
      <c r="BRM23" s="3"/>
      <c r="BRN23" s="3"/>
      <c r="BRO23" s="3"/>
      <c r="BRP23" s="3"/>
      <c r="BRQ23" s="3"/>
      <c r="BRR23" s="3"/>
      <c r="BRS23" s="3"/>
      <c r="BRT23" s="3"/>
      <c r="BRU23" s="3"/>
      <c r="BRV23" s="3"/>
      <c r="BRW23" s="3"/>
      <c r="BRX23" s="3"/>
      <c r="BRY23" s="3"/>
      <c r="BRZ23" s="3"/>
      <c r="BSA23" s="3"/>
      <c r="BSB23" s="3"/>
      <c r="BSC23" s="3"/>
      <c r="BSD23" s="3"/>
      <c r="BSE23" s="3"/>
      <c r="BSF23" s="3"/>
      <c r="BSG23" s="3"/>
      <c r="BSH23" s="3"/>
      <c r="BSI23" s="3"/>
      <c r="BSJ23" s="3"/>
      <c r="BSK23" s="3"/>
      <c r="BSL23" s="3"/>
      <c r="BSM23" s="3"/>
      <c r="BSN23" s="3"/>
      <c r="BSO23" s="3"/>
      <c r="BSP23" s="3"/>
      <c r="BSQ23" s="3"/>
      <c r="BSR23" s="3"/>
      <c r="BSS23" s="3"/>
      <c r="BST23" s="3"/>
      <c r="BSU23" s="3"/>
      <c r="BSV23" s="3"/>
      <c r="BSW23" s="3"/>
      <c r="BSX23" s="3"/>
      <c r="BSY23" s="3"/>
      <c r="BSZ23" s="3"/>
      <c r="BTA23" s="3"/>
      <c r="BTB23" s="3"/>
      <c r="BTC23" s="3"/>
      <c r="BTD23" s="3"/>
      <c r="BTE23" s="3"/>
      <c r="BTF23" s="3"/>
      <c r="BTG23" s="3"/>
      <c r="BTH23" s="3"/>
      <c r="BTI23" s="3"/>
      <c r="BTJ23" s="3"/>
      <c r="BTK23" s="3"/>
      <c r="BTL23" s="3"/>
      <c r="BTM23" s="3"/>
      <c r="BTN23" s="3"/>
      <c r="BTO23" s="3"/>
      <c r="BTP23" s="3"/>
      <c r="BTQ23" s="3"/>
      <c r="BTR23" s="3"/>
      <c r="BTS23" s="3"/>
      <c r="BTT23" s="3"/>
      <c r="BTU23" s="3"/>
      <c r="BTV23" s="3"/>
      <c r="BTW23" s="3"/>
      <c r="BTX23" s="3"/>
      <c r="BTY23" s="3"/>
      <c r="BTZ23" s="3"/>
      <c r="BUA23" s="3"/>
      <c r="BUB23" s="3"/>
      <c r="BUC23" s="3"/>
      <c r="BUD23" s="3"/>
      <c r="BUE23" s="3"/>
      <c r="BUF23" s="3"/>
      <c r="BUG23" s="3"/>
      <c r="BUH23" s="3"/>
      <c r="BUI23" s="3"/>
      <c r="BUJ23" s="3"/>
      <c r="BUK23" s="3"/>
      <c r="BUL23" s="3"/>
      <c r="BUM23" s="3"/>
      <c r="BUN23" s="3"/>
      <c r="BUO23" s="3"/>
      <c r="BUP23" s="3"/>
      <c r="BUQ23" s="3"/>
      <c r="BUR23" s="3"/>
      <c r="BUS23" s="3"/>
      <c r="BUT23" s="3"/>
      <c r="BUU23" s="3"/>
      <c r="BUV23" s="3"/>
      <c r="BUW23" s="3"/>
      <c r="BUX23" s="3"/>
      <c r="BUY23" s="3"/>
      <c r="BUZ23" s="3"/>
      <c r="BVA23" s="3"/>
      <c r="BVB23" s="3"/>
      <c r="BVC23" s="3"/>
      <c r="BVD23" s="3"/>
      <c r="BVE23" s="3"/>
      <c r="BVF23" s="3"/>
      <c r="BVG23" s="3"/>
      <c r="BVH23" s="3"/>
      <c r="BVI23" s="3"/>
      <c r="BVJ23" s="3"/>
      <c r="BVK23" s="3"/>
      <c r="BVL23" s="3"/>
      <c r="BVM23" s="3"/>
      <c r="BVN23" s="3"/>
      <c r="BVO23" s="3"/>
      <c r="BVP23" s="3"/>
      <c r="BVQ23" s="3"/>
      <c r="BVR23" s="3"/>
      <c r="BVS23" s="3"/>
      <c r="BVT23" s="3"/>
      <c r="BVU23" s="3"/>
      <c r="BVV23" s="3"/>
      <c r="BVW23" s="3"/>
      <c r="BVX23" s="3"/>
      <c r="BVY23" s="3"/>
      <c r="BVZ23" s="3"/>
      <c r="BWA23" s="3"/>
      <c r="BWB23" s="3"/>
      <c r="BWC23" s="3"/>
      <c r="BWD23" s="3"/>
      <c r="BWE23" s="3"/>
      <c r="BWF23" s="3"/>
      <c r="BWG23" s="3"/>
      <c r="BWH23" s="3"/>
      <c r="BWI23" s="3"/>
      <c r="BWJ23" s="3"/>
      <c r="BWK23" s="3"/>
      <c r="BWL23" s="3"/>
      <c r="BWM23" s="3"/>
      <c r="BWN23" s="3"/>
      <c r="BWO23" s="3"/>
      <c r="BWP23" s="3"/>
      <c r="BWQ23" s="3"/>
      <c r="BWR23" s="3"/>
      <c r="BWS23" s="3"/>
      <c r="BWT23" s="3"/>
      <c r="BWU23" s="3"/>
      <c r="BWV23" s="3"/>
      <c r="BWW23" s="3"/>
      <c r="BWX23" s="3"/>
      <c r="BWY23" s="3"/>
      <c r="BWZ23" s="3"/>
      <c r="BXA23" s="3"/>
      <c r="BXB23" s="3"/>
      <c r="BXC23" s="3"/>
      <c r="BXD23" s="3"/>
      <c r="BXE23" s="3"/>
      <c r="BXF23" s="3"/>
      <c r="BXG23" s="3"/>
      <c r="BXH23" s="3"/>
      <c r="BXI23" s="3"/>
      <c r="BXJ23" s="3"/>
      <c r="BXK23" s="3"/>
      <c r="BXL23" s="3"/>
      <c r="BXM23" s="3"/>
      <c r="BXN23" s="3"/>
      <c r="BXO23" s="3"/>
      <c r="BXP23" s="3"/>
      <c r="BXQ23" s="3"/>
      <c r="BXR23" s="3"/>
      <c r="BXS23" s="3"/>
      <c r="BXT23" s="3"/>
      <c r="BXU23" s="3"/>
      <c r="BXV23" s="3"/>
      <c r="BXW23" s="3"/>
      <c r="BXX23" s="3"/>
      <c r="BXY23" s="3"/>
      <c r="BXZ23" s="3"/>
      <c r="BYA23" s="3"/>
      <c r="BYB23" s="3"/>
      <c r="BYC23" s="3"/>
      <c r="BYD23" s="3"/>
      <c r="BYE23" s="3"/>
      <c r="BYF23" s="3"/>
      <c r="BYG23" s="3"/>
      <c r="BYH23" s="3"/>
      <c r="BYI23" s="3"/>
      <c r="BYJ23" s="3"/>
      <c r="BYK23" s="3"/>
      <c r="BYL23" s="3"/>
      <c r="BYM23" s="3"/>
      <c r="BYN23" s="3"/>
      <c r="BYO23" s="3"/>
      <c r="BYP23" s="3"/>
      <c r="BYQ23" s="3"/>
      <c r="BYR23" s="3"/>
      <c r="BYS23" s="3"/>
      <c r="BYT23" s="3"/>
      <c r="BYU23" s="3"/>
      <c r="BYV23" s="3"/>
      <c r="BYW23" s="3"/>
      <c r="BYX23" s="3"/>
      <c r="BYY23" s="3"/>
      <c r="BYZ23" s="3"/>
      <c r="BZA23" s="3"/>
      <c r="BZB23" s="3"/>
      <c r="BZC23" s="3"/>
      <c r="BZD23" s="3"/>
      <c r="BZE23" s="3"/>
      <c r="BZF23" s="3"/>
      <c r="BZG23" s="3"/>
      <c r="BZH23" s="3"/>
      <c r="BZI23" s="3"/>
      <c r="BZJ23" s="3"/>
      <c r="BZK23" s="3"/>
      <c r="BZL23" s="3"/>
      <c r="BZM23" s="3"/>
      <c r="BZN23" s="3"/>
      <c r="BZO23" s="3"/>
      <c r="BZP23" s="3"/>
      <c r="BZQ23" s="3"/>
      <c r="BZR23" s="3"/>
      <c r="BZS23" s="3"/>
      <c r="BZT23" s="3"/>
      <c r="BZU23" s="3"/>
      <c r="BZV23" s="3"/>
      <c r="BZW23" s="3"/>
      <c r="BZX23" s="3"/>
      <c r="BZY23" s="3"/>
      <c r="BZZ23" s="3"/>
      <c r="CAA23" s="3"/>
      <c r="CAB23" s="3"/>
      <c r="CAC23" s="3"/>
      <c r="CAD23" s="3"/>
      <c r="CAE23" s="3"/>
      <c r="CAF23" s="3"/>
      <c r="CAG23" s="3"/>
      <c r="CAH23" s="3"/>
      <c r="CAI23" s="3"/>
      <c r="CAJ23" s="3"/>
      <c r="CAK23" s="3"/>
      <c r="CAL23" s="3"/>
      <c r="CAM23" s="3"/>
      <c r="CAN23" s="3"/>
      <c r="CAO23" s="3"/>
      <c r="CAP23" s="3"/>
      <c r="CAQ23" s="3"/>
      <c r="CAR23" s="3"/>
      <c r="CAS23" s="3"/>
      <c r="CAT23" s="3"/>
      <c r="CAU23" s="3"/>
      <c r="CAV23" s="3"/>
      <c r="CAW23" s="3"/>
      <c r="CAX23" s="3"/>
      <c r="CAY23" s="3"/>
      <c r="CAZ23" s="3"/>
      <c r="CBA23" s="3"/>
      <c r="CBB23" s="3"/>
      <c r="CBC23" s="3"/>
      <c r="CBD23" s="3"/>
      <c r="CBE23" s="3"/>
      <c r="CBF23" s="3"/>
      <c r="CBG23" s="3"/>
      <c r="CBH23" s="3"/>
      <c r="CBI23" s="3"/>
      <c r="CBJ23" s="3"/>
      <c r="CBK23" s="3"/>
      <c r="CBL23" s="3"/>
      <c r="CBM23" s="3"/>
      <c r="CBN23" s="3"/>
      <c r="CBO23" s="3"/>
      <c r="CBP23" s="3"/>
      <c r="CBQ23" s="3"/>
      <c r="CBR23" s="3"/>
      <c r="CBS23" s="3"/>
      <c r="CBT23" s="3"/>
      <c r="CBU23" s="3"/>
      <c r="CBV23" s="3"/>
      <c r="CBW23" s="3"/>
      <c r="CBX23" s="3"/>
      <c r="CBY23" s="3"/>
      <c r="CBZ23" s="3"/>
      <c r="CCA23" s="3"/>
      <c r="CCB23" s="3"/>
      <c r="CCC23" s="3"/>
      <c r="CCD23" s="3"/>
      <c r="CCE23" s="3"/>
      <c r="CCF23" s="3"/>
      <c r="CCG23" s="3"/>
      <c r="CCH23" s="3"/>
      <c r="CCI23" s="3"/>
      <c r="CCJ23" s="3"/>
      <c r="CCK23" s="3"/>
      <c r="CCL23" s="3"/>
      <c r="CCM23" s="3"/>
      <c r="CCN23" s="3"/>
      <c r="CCO23" s="3"/>
      <c r="CCP23" s="3"/>
      <c r="CCQ23" s="3"/>
      <c r="CCR23" s="3"/>
      <c r="CCS23" s="3"/>
      <c r="CCT23" s="3"/>
      <c r="CCU23" s="3"/>
      <c r="CCV23" s="3"/>
      <c r="CCW23" s="3"/>
      <c r="CCX23" s="3"/>
      <c r="CCY23" s="3"/>
      <c r="CCZ23" s="3"/>
      <c r="CDA23" s="3"/>
      <c r="CDB23" s="3"/>
      <c r="CDC23" s="3"/>
      <c r="CDD23" s="3"/>
      <c r="CDE23" s="3"/>
      <c r="CDF23" s="3"/>
      <c r="CDG23" s="3"/>
      <c r="CDH23" s="3"/>
      <c r="CDI23" s="3"/>
      <c r="CDJ23" s="3"/>
      <c r="CDK23" s="3"/>
      <c r="CDL23" s="3"/>
      <c r="CDM23" s="3"/>
      <c r="CDN23" s="3"/>
      <c r="CDO23" s="3"/>
      <c r="CDP23" s="3"/>
      <c r="CDQ23" s="3"/>
      <c r="CDR23" s="3"/>
      <c r="CDS23" s="3"/>
      <c r="CDT23" s="3"/>
      <c r="CDU23" s="3"/>
      <c r="CDV23" s="3"/>
      <c r="CDW23" s="3"/>
      <c r="CDX23" s="3"/>
      <c r="CDY23" s="3"/>
      <c r="CDZ23" s="3"/>
      <c r="CEA23" s="3"/>
      <c r="CEB23" s="3"/>
      <c r="CEC23" s="3"/>
      <c r="CED23" s="3"/>
      <c r="CEE23" s="3"/>
      <c r="CEF23" s="3"/>
      <c r="CEG23" s="3"/>
      <c r="CEH23" s="3"/>
      <c r="CEI23" s="3"/>
      <c r="CEJ23" s="3"/>
      <c r="CEK23" s="3"/>
      <c r="CEL23" s="3"/>
      <c r="CEM23" s="3"/>
      <c r="CEN23" s="3"/>
      <c r="CEO23" s="3"/>
      <c r="CEP23" s="3"/>
      <c r="CEQ23" s="3"/>
      <c r="CER23" s="3"/>
      <c r="CES23" s="3"/>
      <c r="CET23" s="3"/>
      <c r="CEU23" s="3"/>
      <c r="CEV23" s="3"/>
      <c r="CEW23" s="3"/>
      <c r="CEX23" s="3"/>
      <c r="CEY23" s="3"/>
      <c r="CEZ23" s="3"/>
      <c r="CFA23" s="3"/>
      <c r="CFB23" s="3"/>
      <c r="CFC23" s="3"/>
      <c r="CFD23" s="3"/>
      <c r="CFE23" s="3"/>
      <c r="CFF23" s="3"/>
      <c r="CFG23" s="3"/>
      <c r="CFH23" s="3"/>
      <c r="CFI23" s="3"/>
      <c r="CFJ23" s="3"/>
      <c r="CFK23" s="3"/>
      <c r="CFL23" s="3"/>
      <c r="CFM23" s="3"/>
      <c r="CFN23" s="3"/>
      <c r="CFO23" s="3"/>
      <c r="CFP23" s="3"/>
      <c r="CFQ23" s="3"/>
      <c r="CFR23" s="3"/>
      <c r="CFS23" s="3"/>
      <c r="CFT23" s="3"/>
      <c r="CFU23" s="3"/>
      <c r="CFV23" s="3"/>
      <c r="CFW23" s="3"/>
      <c r="CFX23" s="3"/>
      <c r="CFY23" s="3"/>
      <c r="CFZ23" s="3"/>
      <c r="CGA23" s="3"/>
      <c r="CGB23" s="3"/>
      <c r="CGC23" s="3"/>
      <c r="CGD23" s="3"/>
      <c r="CGE23" s="3"/>
      <c r="CGF23" s="3"/>
      <c r="CGG23" s="3"/>
      <c r="CGH23" s="3"/>
      <c r="CGI23" s="3"/>
      <c r="CGJ23" s="3"/>
      <c r="CGK23" s="3"/>
      <c r="CGL23" s="3"/>
      <c r="CGM23" s="3"/>
      <c r="CGN23" s="3"/>
      <c r="CGO23" s="3"/>
      <c r="CGP23" s="3"/>
      <c r="CGQ23" s="3"/>
      <c r="CGR23" s="3"/>
      <c r="CGS23" s="3"/>
      <c r="CGT23" s="3"/>
      <c r="CGU23" s="3"/>
      <c r="CGV23" s="3"/>
      <c r="CGW23" s="3"/>
      <c r="CGX23" s="3"/>
      <c r="CGY23" s="3"/>
      <c r="CGZ23" s="3"/>
      <c r="CHA23" s="3"/>
      <c r="CHB23" s="3"/>
      <c r="CHC23" s="3"/>
      <c r="CHD23" s="3"/>
      <c r="CHE23" s="3"/>
      <c r="CHF23" s="3"/>
      <c r="CHG23" s="3"/>
      <c r="CHH23" s="3"/>
      <c r="CHI23" s="3"/>
      <c r="CHJ23" s="3"/>
      <c r="CHK23" s="3"/>
      <c r="CHL23" s="3"/>
      <c r="CHM23" s="3"/>
      <c r="CHN23" s="3"/>
      <c r="CHO23" s="3"/>
      <c r="CHP23" s="3"/>
      <c r="CHQ23" s="3"/>
      <c r="CHR23" s="3"/>
      <c r="CHS23" s="3"/>
      <c r="CHT23" s="3"/>
      <c r="CHU23" s="3"/>
      <c r="CHV23" s="3"/>
      <c r="CHW23" s="3"/>
      <c r="CHX23" s="3"/>
      <c r="CHY23" s="3"/>
      <c r="CHZ23" s="3"/>
      <c r="CIA23" s="3"/>
      <c r="CIB23" s="3"/>
      <c r="CIC23" s="3"/>
      <c r="CID23" s="3"/>
      <c r="CIE23" s="3"/>
      <c r="CIF23" s="3"/>
      <c r="CIG23" s="3"/>
      <c r="CIH23" s="3"/>
      <c r="CII23" s="3"/>
      <c r="CIJ23" s="3"/>
      <c r="CIK23" s="3"/>
      <c r="CIL23" s="3"/>
      <c r="CIM23" s="3"/>
      <c r="CIN23" s="3"/>
      <c r="CIO23" s="3"/>
      <c r="CIP23" s="3"/>
      <c r="CIQ23" s="3"/>
      <c r="CIR23" s="3"/>
      <c r="CIS23" s="3"/>
      <c r="CIT23" s="3"/>
      <c r="CIU23" s="3"/>
      <c r="CIV23" s="3"/>
      <c r="CIW23" s="3"/>
      <c r="CIX23" s="3"/>
      <c r="CIY23" s="3"/>
      <c r="CIZ23" s="3"/>
      <c r="CJA23" s="3"/>
      <c r="CJB23" s="3"/>
      <c r="CJC23" s="3"/>
      <c r="CJD23" s="3"/>
      <c r="CJE23" s="3"/>
      <c r="CJF23" s="3"/>
      <c r="CJG23" s="3"/>
      <c r="CJH23" s="3"/>
      <c r="CJI23" s="3"/>
      <c r="CJJ23" s="3"/>
      <c r="CJK23" s="3"/>
      <c r="CJL23" s="3"/>
      <c r="CJM23" s="3"/>
      <c r="CJN23" s="3"/>
      <c r="CJO23" s="3"/>
      <c r="CJP23" s="3"/>
      <c r="CJQ23" s="3"/>
      <c r="CJR23" s="3"/>
      <c r="CJS23" s="3"/>
      <c r="CJT23" s="3"/>
      <c r="CJU23" s="3"/>
      <c r="CJV23" s="3"/>
      <c r="CJW23" s="3"/>
      <c r="CJX23" s="3"/>
      <c r="CJY23" s="3"/>
      <c r="CJZ23" s="3"/>
      <c r="CKA23" s="3"/>
      <c r="CKB23" s="3"/>
      <c r="CKC23" s="3"/>
      <c r="CKD23" s="3"/>
      <c r="CKE23" s="3"/>
      <c r="CKF23" s="3"/>
      <c r="CKG23" s="3"/>
      <c r="CKH23" s="3"/>
      <c r="CKI23" s="3"/>
      <c r="CKJ23" s="3"/>
      <c r="CKK23" s="3"/>
      <c r="CKL23" s="3"/>
      <c r="CKM23" s="3"/>
      <c r="CKN23" s="3"/>
      <c r="CKO23" s="3"/>
      <c r="CKP23" s="3"/>
      <c r="CKQ23" s="3"/>
      <c r="CKR23" s="3"/>
      <c r="CKS23" s="3"/>
      <c r="CKT23" s="3"/>
      <c r="CKU23" s="3"/>
      <c r="CKV23" s="3"/>
      <c r="CKW23" s="3"/>
      <c r="CKX23" s="3"/>
      <c r="CKY23" s="3"/>
      <c r="CKZ23" s="3"/>
      <c r="CLA23" s="3"/>
      <c r="CLB23" s="3"/>
      <c r="CLC23" s="3"/>
      <c r="CLD23" s="3"/>
      <c r="CLE23" s="3"/>
      <c r="CLF23" s="3"/>
      <c r="CLG23" s="3"/>
      <c r="CLH23" s="3"/>
      <c r="CLI23" s="3"/>
      <c r="CLJ23" s="3"/>
      <c r="CLK23" s="3"/>
      <c r="CLL23" s="3"/>
      <c r="CLM23" s="3"/>
      <c r="CLN23" s="3"/>
      <c r="CLO23" s="3"/>
      <c r="CLP23" s="3"/>
      <c r="CLQ23" s="3"/>
      <c r="CLR23" s="3"/>
      <c r="CLS23" s="3"/>
      <c r="CLT23" s="3"/>
      <c r="CLU23" s="3"/>
      <c r="CLV23" s="3"/>
      <c r="CLW23" s="3"/>
      <c r="CLX23" s="3"/>
      <c r="CLY23" s="3"/>
      <c r="CLZ23" s="3"/>
      <c r="CMA23" s="3"/>
      <c r="CMB23" s="3"/>
      <c r="CMC23" s="3"/>
      <c r="CMD23" s="3"/>
      <c r="CME23" s="3"/>
      <c r="CMF23" s="3"/>
      <c r="CMG23" s="3"/>
      <c r="CMH23" s="3"/>
      <c r="CMI23" s="3"/>
      <c r="CMJ23" s="3"/>
      <c r="CMK23" s="3"/>
      <c r="CML23" s="3"/>
      <c r="CMM23" s="3"/>
      <c r="CMN23" s="3"/>
      <c r="CMO23" s="3"/>
      <c r="CMP23" s="3"/>
      <c r="CMQ23" s="3"/>
      <c r="CMR23" s="3"/>
      <c r="CMS23" s="3"/>
      <c r="CMT23" s="3"/>
      <c r="CMU23" s="3"/>
      <c r="CMV23" s="3"/>
      <c r="CMW23" s="3"/>
      <c r="CMX23" s="3"/>
      <c r="CMY23" s="3"/>
      <c r="CMZ23" s="3"/>
      <c r="CNA23" s="3"/>
      <c r="CNB23" s="3"/>
      <c r="CNC23" s="3"/>
      <c r="CND23" s="3"/>
      <c r="CNE23" s="3"/>
      <c r="CNF23" s="3"/>
      <c r="CNG23" s="3"/>
      <c r="CNH23" s="3"/>
      <c r="CNI23" s="3"/>
      <c r="CNJ23" s="3"/>
      <c r="CNK23" s="3"/>
      <c r="CNL23" s="3"/>
      <c r="CNM23" s="3"/>
      <c r="CNN23" s="3"/>
      <c r="CNO23" s="3"/>
      <c r="CNP23" s="3"/>
      <c r="CNQ23" s="3"/>
      <c r="CNR23" s="3"/>
      <c r="CNS23" s="3"/>
      <c r="CNT23" s="3"/>
      <c r="CNU23" s="3"/>
      <c r="CNV23" s="3"/>
      <c r="CNW23" s="3"/>
      <c r="CNX23" s="3"/>
      <c r="CNY23" s="3"/>
      <c r="CNZ23" s="3"/>
      <c r="COA23" s="3"/>
      <c r="COB23" s="3"/>
      <c r="COC23" s="3"/>
      <c r="COD23" s="3"/>
      <c r="COE23" s="3"/>
      <c r="COF23" s="3"/>
      <c r="COG23" s="3"/>
      <c r="COH23" s="3"/>
      <c r="COI23" s="3"/>
      <c r="COJ23" s="3"/>
      <c r="COK23" s="3"/>
      <c r="COL23" s="3"/>
      <c r="COM23" s="3"/>
      <c r="CON23" s="3"/>
      <c r="COO23" s="3"/>
      <c r="COP23" s="3"/>
      <c r="COQ23" s="3"/>
      <c r="COR23" s="3"/>
      <c r="COS23" s="3"/>
      <c r="COT23" s="3"/>
      <c r="COU23" s="3"/>
      <c r="COV23" s="3"/>
      <c r="COW23" s="3"/>
      <c r="COX23" s="3"/>
      <c r="COY23" s="3"/>
      <c r="COZ23" s="3"/>
      <c r="CPA23" s="3"/>
      <c r="CPB23" s="3"/>
      <c r="CPC23" s="3"/>
      <c r="CPD23" s="3"/>
      <c r="CPE23" s="3"/>
      <c r="CPF23" s="3"/>
      <c r="CPG23" s="3"/>
      <c r="CPH23" s="3"/>
      <c r="CPI23" s="3"/>
      <c r="CPJ23" s="3"/>
      <c r="CPK23" s="3"/>
      <c r="CPL23" s="3"/>
      <c r="CPM23" s="3"/>
      <c r="CPN23" s="3"/>
      <c r="CPO23" s="3"/>
      <c r="CPP23" s="3"/>
      <c r="CPQ23" s="3"/>
      <c r="CPR23" s="3"/>
      <c r="CPS23" s="3"/>
      <c r="CPT23" s="3"/>
      <c r="CPU23" s="3"/>
      <c r="CPV23" s="3"/>
      <c r="CPW23" s="3"/>
      <c r="CPX23" s="3"/>
      <c r="CPY23" s="3"/>
      <c r="CPZ23" s="3"/>
      <c r="CQA23" s="3"/>
      <c r="CQB23" s="3"/>
      <c r="CQC23" s="3"/>
      <c r="CQD23" s="3"/>
      <c r="CQE23" s="3"/>
      <c r="CQF23" s="3"/>
      <c r="CQG23" s="3"/>
      <c r="CQH23" s="3"/>
      <c r="CQI23" s="3"/>
      <c r="CQJ23" s="3"/>
      <c r="CQK23" s="3"/>
      <c r="CQL23" s="3"/>
      <c r="CQM23" s="3"/>
      <c r="CQN23" s="3"/>
      <c r="CQO23" s="3"/>
      <c r="CQP23" s="3"/>
      <c r="CQQ23" s="3"/>
      <c r="CQR23" s="3"/>
      <c r="CQS23" s="3"/>
      <c r="CQT23" s="3"/>
      <c r="CQU23" s="3"/>
      <c r="CQV23" s="3"/>
      <c r="CQW23" s="3"/>
      <c r="CQX23" s="3"/>
      <c r="CQY23" s="3"/>
      <c r="CQZ23" s="3"/>
      <c r="CRA23" s="3"/>
      <c r="CRB23" s="3"/>
      <c r="CRC23" s="3"/>
      <c r="CRD23" s="3"/>
      <c r="CRE23" s="3"/>
      <c r="CRF23" s="3"/>
      <c r="CRG23" s="3"/>
      <c r="CRH23" s="3"/>
      <c r="CRI23" s="3"/>
      <c r="CRJ23" s="3"/>
      <c r="CRK23" s="3"/>
      <c r="CRL23" s="3"/>
      <c r="CRM23" s="3"/>
      <c r="CRN23" s="3"/>
      <c r="CRO23" s="3"/>
      <c r="CRP23" s="3"/>
      <c r="CRQ23" s="3"/>
      <c r="CRR23" s="3"/>
      <c r="CRS23" s="3"/>
      <c r="CRT23" s="3"/>
      <c r="CRU23" s="3"/>
      <c r="CRV23" s="3"/>
      <c r="CRW23" s="3"/>
      <c r="CRX23" s="3"/>
      <c r="CRY23" s="3"/>
      <c r="CRZ23" s="3"/>
      <c r="CSA23" s="3"/>
      <c r="CSB23" s="3"/>
      <c r="CSC23" s="3"/>
      <c r="CSD23" s="3"/>
      <c r="CSE23" s="3"/>
      <c r="CSF23" s="3"/>
      <c r="CSG23" s="3"/>
      <c r="CSH23" s="3"/>
      <c r="CSI23" s="3"/>
      <c r="CSJ23" s="3"/>
      <c r="CSK23" s="3"/>
      <c r="CSL23" s="3"/>
      <c r="CSM23" s="3"/>
      <c r="CSN23" s="3"/>
      <c r="CSO23" s="3"/>
      <c r="CSP23" s="3"/>
      <c r="CSQ23" s="3"/>
      <c r="CSR23" s="3"/>
      <c r="CSS23" s="3"/>
      <c r="CST23" s="3"/>
      <c r="CSU23" s="3"/>
      <c r="CSV23" s="3"/>
      <c r="CSW23" s="3"/>
      <c r="CSX23" s="3"/>
      <c r="CSY23" s="3"/>
      <c r="CSZ23" s="3"/>
      <c r="CTA23" s="3"/>
      <c r="CTB23" s="3"/>
      <c r="CTC23" s="3"/>
      <c r="CTD23" s="3"/>
      <c r="CTE23" s="3"/>
      <c r="CTF23" s="3"/>
      <c r="CTG23" s="3"/>
      <c r="CTH23" s="3"/>
      <c r="CTI23" s="3"/>
      <c r="CTJ23" s="3"/>
      <c r="CTK23" s="3"/>
      <c r="CTL23" s="3"/>
      <c r="CTM23" s="3"/>
      <c r="CTN23" s="3"/>
      <c r="CTO23" s="3"/>
      <c r="CTP23" s="3"/>
      <c r="CTQ23" s="3"/>
      <c r="CTR23" s="3"/>
      <c r="CTS23" s="3"/>
      <c r="CTT23" s="3"/>
      <c r="CTU23" s="3"/>
      <c r="CTV23" s="3"/>
      <c r="CTW23" s="3"/>
      <c r="CTX23" s="3"/>
      <c r="CTY23" s="3"/>
      <c r="CTZ23" s="3"/>
      <c r="CUA23" s="3"/>
      <c r="CUB23" s="3"/>
      <c r="CUC23" s="3"/>
      <c r="CUD23" s="3"/>
      <c r="CUE23" s="3"/>
      <c r="CUF23" s="3"/>
      <c r="CUG23" s="3"/>
      <c r="CUH23" s="3"/>
      <c r="CUI23" s="3"/>
      <c r="CUJ23" s="3"/>
      <c r="CUK23" s="3"/>
      <c r="CUL23" s="3"/>
      <c r="CUM23" s="3"/>
      <c r="CUN23" s="3"/>
      <c r="CUO23" s="3"/>
      <c r="CUP23" s="3"/>
      <c r="CUQ23" s="3"/>
      <c r="CUR23" s="3"/>
      <c r="CUS23" s="3"/>
      <c r="CUT23" s="3"/>
      <c r="CUU23" s="3"/>
      <c r="CUV23" s="3"/>
      <c r="CUW23" s="3"/>
      <c r="CUX23" s="3"/>
      <c r="CUY23" s="3"/>
      <c r="CUZ23" s="3"/>
      <c r="CVA23" s="3"/>
      <c r="CVB23" s="3"/>
      <c r="CVC23" s="3"/>
      <c r="CVD23" s="3"/>
      <c r="CVE23" s="3"/>
      <c r="CVF23" s="3"/>
      <c r="CVG23" s="3"/>
      <c r="CVH23" s="3"/>
      <c r="CVI23" s="3"/>
      <c r="CVJ23" s="3"/>
      <c r="CVK23" s="3"/>
      <c r="CVL23" s="3"/>
      <c r="CVM23" s="3"/>
      <c r="CVN23" s="3"/>
      <c r="CVO23" s="3"/>
      <c r="CVP23" s="3"/>
      <c r="CVQ23" s="3"/>
      <c r="CVR23" s="3"/>
      <c r="CVS23" s="3"/>
      <c r="CVT23" s="3"/>
      <c r="CVU23" s="3"/>
      <c r="CVV23" s="3"/>
      <c r="CVW23" s="3"/>
      <c r="CVX23" s="3"/>
      <c r="CVY23" s="3"/>
      <c r="CVZ23" s="3"/>
      <c r="CWA23" s="3"/>
      <c r="CWB23" s="3"/>
      <c r="CWC23" s="3"/>
      <c r="CWD23" s="3"/>
      <c r="CWE23" s="3"/>
      <c r="CWF23" s="3"/>
      <c r="CWG23" s="3"/>
      <c r="CWH23" s="3"/>
      <c r="CWI23" s="3"/>
      <c r="CWJ23" s="3"/>
      <c r="CWK23" s="3"/>
      <c r="CWL23" s="3"/>
      <c r="CWM23" s="3"/>
      <c r="CWN23" s="3"/>
      <c r="CWO23" s="3"/>
      <c r="CWP23" s="3"/>
      <c r="CWQ23" s="3"/>
      <c r="CWR23" s="3"/>
      <c r="CWS23" s="3"/>
      <c r="CWT23" s="3"/>
      <c r="CWU23" s="3"/>
      <c r="CWV23" s="3"/>
      <c r="CWW23" s="3"/>
      <c r="CWX23" s="3"/>
      <c r="CWY23" s="3"/>
      <c r="CWZ23" s="3"/>
      <c r="CXA23" s="3"/>
      <c r="CXB23" s="3"/>
      <c r="CXC23" s="3"/>
      <c r="CXD23" s="3"/>
      <c r="CXE23" s="3"/>
      <c r="CXF23" s="3"/>
      <c r="CXG23" s="3"/>
      <c r="CXH23" s="3"/>
      <c r="CXI23" s="3"/>
      <c r="CXJ23" s="3"/>
      <c r="CXK23" s="3"/>
      <c r="CXL23" s="3"/>
      <c r="CXM23" s="3"/>
      <c r="CXN23" s="3"/>
      <c r="CXO23" s="3"/>
      <c r="CXP23" s="3"/>
      <c r="CXQ23" s="3"/>
      <c r="CXR23" s="3"/>
      <c r="CXS23" s="3"/>
      <c r="CXT23" s="3"/>
      <c r="CXU23" s="3"/>
      <c r="CXV23" s="3"/>
      <c r="CXW23" s="3"/>
      <c r="CXX23" s="3"/>
      <c r="CXY23" s="3"/>
      <c r="CXZ23" s="3"/>
      <c r="CYA23" s="3"/>
      <c r="CYB23" s="3"/>
      <c r="CYC23" s="3"/>
      <c r="CYD23" s="3"/>
      <c r="CYE23" s="3"/>
      <c r="CYF23" s="3"/>
      <c r="CYG23" s="3"/>
      <c r="CYH23" s="3"/>
      <c r="CYI23" s="3"/>
      <c r="CYJ23" s="3"/>
      <c r="CYK23" s="3"/>
      <c r="CYL23" s="3"/>
      <c r="CYM23" s="3"/>
      <c r="CYN23" s="3"/>
      <c r="CYO23" s="3"/>
      <c r="CYP23" s="3"/>
      <c r="CYQ23" s="3"/>
      <c r="CYR23" s="3"/>
      <c r="CYS23" s="3"/>
      <c r="CYT23" s="3"/>
      <c r="CYU23" s="3"/>
      <c r="CYV23" s="3"/>
      <c r="CYW23" s="3"/>
      <c r="CYX23" s="3"/>
      <c r="CYY23" s="3"/>
      <c r="CYZ23" s="3"/>
      <c r="CZA23" s="3"/>
      <c r="CZB23" s="3"/>
      <c r="CZC23" s="3"/>
      <c r="CZD23" s="3"/>
      <c r="CZE23" s="3"/>
      <c r="CZF23" s="3"/>
      <c r="CZG23" s="3"/>
      <c r="CZH23" s="3"/>
      <c r="CZI23" s="3"/>
      <c r="CZJ23" s="3"/>
      <c r="CZK23" s="3"/>
      <c r="CZL23" s="3"/>
      <c r="CZM23" s="3"/>
      <c r="CZN23" s="3"/>
      <c r="CZO23" s="3"/>
      <c r="CZP23" s="3"/>
      <c r="CZQ23" s="3"/>
      <c r="CZR23" s="3"/>
      <c r="CZS23" s="3"/>
      <c r="CZT23" s="3"/>
      <c r="CZU23" s="3"/>
      <c r="CZV23" s="3"/>
      <c r="CZW23" s="3"/>
      <c r="CZX23" s="3"/>
      <c r="CZY23" s="3"/>
      <c r="CZZ23" s="3"/>
      <c r="DAA23" s="3"/>
      <c r="DAB23" s="3"/>
      <c r="DAC23" s="3"/>
      <c r="DAD23" s="3"/>
      <c r="DAE23" s="3"/>
      <c r="DAF23" s="3"/>
      <c r="DAG23" s="3"/>
      <c r="DAH23" s="3"/>
      <c r="DAI23" s="3"/>
      <c r="DAJ23" s="3"/>
      <c r="DAK23" s="3"/>
      <c r="DAL23" s="3"/>
      <c r="DAM23" s="3"/>
      <c r="DAN23" s="3"/>
      <c r="DAO23" s="3"/>
      <c r="DAP23" s="3"/>
      <c r="DAQ23" s="3"/>
      <c r="DAR23" s="3"/>
      <c r="DAS23" s="3"/>
      <c r="DAT23" s="3"/>
      <c r="DAU23" s="3"/>
      <c r="DAV23" s="3"/>
      <c r="DAW23" s="3"/>
      <c r="DAX23" s="3"/>
      <c r="DAY23" s="3"/>
      <c r="DAZ23" s="3"/>
      <c r="DBA23" s="3"/>
      <c r="DBB23" s="3"/>
      <c r="DBC23" s="3"/>
      <c r="DBD23" s="3"/>
      <c r="DBE23" s="3"/>
      <c r="DBF23" s="3"/>
      <c r="DBG23" s="3"/>
      <c r="DBH23" s="3"/>
      <c r="DBI23" s="3"/>
      <c r="DBJ23" s="3"/>
      <c r="DBK23" s="3"/>
      <c r="DBL23" s="3"/>
      <c r="DBM23" s="3"/>
      <c r="DBN23" s="3"/>
      <c r="DBO23" s="3"/>
      <c r="DBP23" s="3"/>
      <c r="DBQ23" s="3"/>
      <c r="DBR23" s="3"/>
      <c r="DBS23" s="3"/>
      <c r="DBT23" s="3"/>
      <c r="DBU23" s="3"/>
      <c r="DBV23" s="3"/>
      <c r="DBW23" s="3"/>
      <c r="DBX23" s="3"/>
      <c r="DBY23" s="3"/>
      <c r="DBZ23" s="3"/>
      <c r="DCA23" s="3"/>
      <c r="DCB23" s="3"/>
      <c r="DCC23" s="3"/>
      <c r="DCD23" s="3"/>
      <c r="DCE23" s="3"/>
      <c r="DCF23" s="3"/>
      <c r="DCG23" s="3"/>
      <c r="DCH23" s="3"/>
      <c r="DCI23" s="3"/>
      <c r="DCJ23" s="3"/>
      <c r="DCK23" s="3"/>
      <c r="DCL23" s="3"/>
      <c r="DCM23" s="3"/>
      <c r="DCN23" s="3"/>
      <c r="DCO23" s="3"/>
      <c r="DCP23" s="3"/>
      <c r="DCQ23" s="3"/>
      <c r="DCR23" s="3"/>
      <c r="DCS23" s="3"/>
      <c r="DCT23" s="3"/>
      <c r="DCU23" s="3"/>
      <c r="DCV23" s="3"/>
      <c r="DCW23" s="3"/>
      <c r="DCX23" s="3"/>
      <c r="DCY23" s="3"/>
      <c r="DCZ23" s="3"/>
      <c r="DDA23" s="3"/>
      <c r="DDB23" s="3"/>
      <c r="DDC23" s="3"/>
      <c r="DDD23" s="3"/>
      <c r="DDE23" s="3"/>
      <c r="DDF23" s="3"/>
      <c r="DDG23" s="3"/>
      <c r="DDH23" s="3"/>
      <c r="DDI23" s="3"/>
      <c r="DDJ23" s="3"/>
      <c r="DDK23" s="3"/>
      <c r="DDL23" s="3"/>
      <c r="DDM23" s="3"/>
      <c r="DDN23" s="3"/>
      <c r="DDO23" s="3"/>
      <c r="DDP23" s="3"/>
      <c r="DDQ23" s="3"/>
      <c r="DDR23" s="3"/>
      <c r="DDS23" s="3"/>
      <c r="DDT23" s="3"/>
      <c r="DDU23" s="3"/>
      <c r="DDV23" s="3"/>
      <c r="DDW23" s="3"/>
      <c r="DDX23" s="3"/>
      <c r="DDY23" s="3"/>
      <c r="DDZ23" s="3"/>
      <c r="DEA23" s="3"/>
      <c r="DEB23" s="3"/>
      <c r="DEC23" s="3"/>
      <c r="DED23" s="3"/>
      <c r="DEE23" s="3"/>
      <c r="DEF23" s="3"/>
      <c r="DEG23" s="3"/>
      <c r="DEH23" s="3"/>
      <c r="DEI23" s="3"/>
      <c r="DEJ23" s="3"/>
      <c r="DEK23" s="3"/>
      <c r="DEL23" s="3"/>
      <c r="DEM23" s="3"/>
      <c r="DEN23" s="3"/>
      <c r="DEO23" s="3"/>
      <c r="DEP23" s="3"/>
      <c r="DEQ23" s="3"/>
      <c r="DER23" s="3"/>
      <c r="DES23" s="3"/>
      <c r="DET23" s="3"/>
      <c r="DEU23" s="3"/>
      <c r="DEV23" s="3"/>
      <c r="DEW23" s="3"/>
      <c r="DEX23" s="3"/>
      <c r="DEY23" s="3"/>
      <c r="DEZ23" s="3"/>
      <c r="DFA23" s="3"/>
      <c r="DFB23" s="3"/>
      <c r="DFC23" s="3"/>
      <c r="DFD23" s="3"/>
      <c r="DFE23" s="3"/>
      <c r="DFF23" s="3"/>
      <c r="DFG23" s="3"/>
      <c r="DFH23" s="3"/>
      <c r="DFI23" s="3"/>
      <c r="DFJ23" s="3"/>
      <c r="DFK23" s="3"/>
      <c r="DFL23" s="3"/>
      <c r="DFM23" s="3"/>
      <c r="DFN23" s="3"/>
      <c r="DFO23" s="3"/>
      <c r="DFP23" s="3"/>
      <c r="DFQ23" s="3"/>
      <c r="DFR23" s="3"/>
      <c r="DFS23" s="3"/>
      <c r="DFT23" s="3"/>
      <c r="DFU23" s="3"/>
      <c r="DFV23" s="3"/>
      <c r="DFW23" s="3"/>
      <c r="DFX23" s="3"/>
      <c r="DFY23" s="3"/>
      <c r="DFZ23" s="3"/>
      <c r="DGA23" s="3"/>
      <c r="DGB23" s="3"/>
      <c r="DGC23" s="3"/>
      <c r="DGD23" s="3"/>
      <c r="DGE23" s="3"/>
      <c r="DGF23" s="3"/>
      <c r="DGG23" s="3"/>
      <c r="DGH23" s="3"/>
      <c r="DGI23" s="3"/>
      <c r="DGJ23" s="3"/>
      <c r="DGK23" s="3"/>
      <c r="DGL23" s="3"/>
      <c r="DGM23" s="3"/>
      <c r="DGN23" s="3"/>
      <c r="DGO23" s="3"/>
      <c r="DGP23" s="3"/>
      <c r="DGQ23" s="3"/>
      <c r="DGR23" s="3"/>
      <c r="DGS23" s="3"/>
      <c r="DGT23" s="3"/>
      <c r="DGU23" s="3"/>
      <c r="DGV23" s="3"/>
      <c r="DGW23" s="3"/>
      <c r="DGX23" s="3"/>
      <c r="DGY23" s="3"/>
      <c r="DGZ23" s="3"/>
      <c r="DHA23" s="3"/>
      <c r="DHB23" s="3"/>
      <c r="DHC23" s="3"/>
      <c r="DHD23" s="3"/>
      <c r="DHE23" s="3"/>
      <c r="DHF23" s="3"/>
      <c r="DHG23" s="3"/>
      <c r="DHH23" s="3"/>
      <c r="DHI23" s="3"/>
      <c r="DHJ23" s="3"/>
      <c r="DHK23" s="3"/>
      <c r="DHL23" s="3"/>
      <c r="DHM23" s="3"/>
      <c r="DHN23" s="3"/>
      <c r="DHO23" s="3"/>
      <c r="DHP23" s="3"/>
      <c r="DHQ23" s="3"/>
      <c r="DHR23" s="3"/>
      <c r="DHS23" s="3"/>
      <c r="DHT23" s="3"/>
      <c r="DHU23" s="3"/>
      <c r="DHV23" s="3"/>
      <c r="DHW23" s="3"/>
      <c r="DHX23" s="3"/>
      <c r="DHY23" s="3"/>
      <c r="DHZ23" s="3"/>
      <c r="DIA23" s="3"/>
      <c r="DIB23" s="3"/>
      <c r="DIC23" s="3"/>
      <c r="DID23" s="3"/>
      <c r="DIE23" s="3"/>
      <c r="DIF23" s="3"/>
      <c r="DIG23" s="3"/>
      <c r="DIH23" s="3"/>
      <c r="DII23" s="3"/>
      <c r="DIJ23" s="3"/>
      <c r="DIK23" s="3"/>
      <c r="DIL23" s="3"/>
      <c r="DIM23" s="3"/>
      <c r="DIN23" s="3"/>
      <c r="DIO23" s="3"/>
      <c r="DIP23" s="3"/>
      <c r="DIQ23" s="3"/>
      <c r="DIR23" s="3"/>
      <c r="DIS23" s="3"/>
      <c r="DIT23" s="3"/>
      <c r="DIU23" s="3"/>
      <c r="DIV23" s="3"/>
      <c r="DIW23" s="3"/>
      <c r="DIX23" s="3"/>
      <c r="DIY23" s="3"/>
      <c r="DIZ23" s="3"/>
      <c r="DJA23" s="3"/>
      <c r="DJB23" s="3"/>
      <c r="DJC23" s="3"/>
      <c r="DJD23" s="3"/>
      <c r="DJE23" s="3"/>
      <c r="DJF23" s="3"/>
      <c r="DJG23" s="3"/>
      <c r="DJH23" s="3"/>
      <c r="DJI23" s="3"/>
      <c r="DJJ23" s="3"/>
      <c r="DJK23" s="3"/>
      <c r="DJL23" s="3"/>
      <c r="DJM23" s="3"/>
      <c r="DJN23" s="3"/>
      <c r="DJO23" s="3"/>
      <c r="DJP23" s="3"/>
      <c r="DJQ23" s="3"/>
      <c r="DJR23" s="3"/>
      <c r="DJS23" s="3"/>
      <c r="DJT23" s="3"/>
      <c r="DJU23" s="3"/>
      <c r="DJV23" s="3"/>
      <c r="DJW23" s="3"/>
      <c r="DJX23" s="3"/>
      <c r="DJY23" s="3"/>
      <c r="DJZ23" s="3"/>
      <c r="DKA23" s="3"/>
      <c r="DKB23" s="3"/>
      <c r="DKC23" s="3"/>
      <c r="DKD23" s="3"/>
      <c r="DKE23" s="3"/>
      <c r="DKF23" s="3"/>
      <c r="DKG23" s="3"/>
      <c r="DKH23" s="3"/>
      <c r="DKI23" s="3"/>
      <c r="DKJ23" s="3"/>
      <c r="DKK23" s="3"/>
      <c r="DKL23" s="3"/>
      <c r="DKM23" s="3"/>
      <c r="DKN23" s="3"/>
      <c r="DKO23" s="3"/>
      <c r="DKP23" s="3"/>
      <c r="DKQ23" s="3"/>
      <c r="DKR23" s="3"/>
      <c r="DKS23" s="3"/>
      <c r="DKT23" s="3"/>
      <c r="DKU23" s="3"/>
      <c r="DKV23" s="3"/>
      <c r="DKW23" s="3"/>
      <c r="DKX23" s="3"/>
      <c r="DKY23" s="3"/>
      <c r="DKZ23" s="3"/>
      <c r="DLA23" s="3"/>
      <c r="DLB23" s="3"/>
      <c r="DLC23" s="3"/>
      <c r="DLD23" s="3"/>
      <c r="DLE23" s="3"/>
      <c r="DLF23" s="3"/>
      <c r="DLG23" s="3"/>
      <c r="DLH23" s="3"/>
      <c r="DLI23" s="3"/>
      <c r="DLJ23" s="3"/>
      <c r="DLK23" s="3"/>
      <c r="DLL23" s="3"/>
      <c r="DLM23" s="3"/>
      <c r="DLN23" s="3"/>
      <c r="DLO23" s="3"/>
      <c r="DLP23" s="3"/>
      <c r="DLQ23" s="3"/>
      <c r="DLR23" s="3"/>
      <c r="DLS23" s="3"/>
      <c r="DLT23" s="3"/>
      <c r="DLU23" s="3"/>
      <c r="DLV23" s="3"/>
      <c r="DLW23" s="3"/>
      <c r="DLX23" s="3"/>
      <c r="DLY23" s="3"/>
      <c r="DLZ23" s="3"/>
      <c r="DMA23" s="3"/>
      <c r="DMB23" s="3"/>
      <c r="DMC23" s="3"/>
      <c r="DMD23" s="3"/>
      <c r="DME23" s="3"/>
      <c r="DMF23" s="3"/>
      <c r="DMG23" s="3"/>
      <c r="DMH23" s="3"/>
      <c r="DMI23" s="3"/>
      <c r="DMJ23" s="3"/>
      <c r="DMK23" s="3"/>
      <c r="DML23" s="3"/>
      <c r="DMM23" s="3"/>
      <c r="DMN23" s="3"/>
      <c r="DMO23" s="3"/>
      <c r="DMP23" s="3"/>
      <c r="DMQ23" s="3"/>
      <c r="DMR23" s="3"/>
      <c r="DMS23" s="3"/>
      <c r="DMT23" s="3"/>
      <c r="DMU23" s="3"/>
      <c r="DMV23" s="3"/>
      <c r="DMW23" s="3"/>
      <c r="DMX23" s="3"/>
      <c r="DMY23" s="3"/>
      <c r="DMZ23" s="3"/>
      <c r="DNA23" s="3"/>
      <c r="DNB23" s="3"/>
      <c r="DNC23" s="3"/>
      <c r="DND23" s="3"/>
      <c r="DNE23" s="3"/>
      <c r="DNF23" s="3"/>
      <c r="DNG23" s="3"/>
      <c r="DNH23" s="3"/>
      <c r="DNI23" s="3"/>
      <c r="DNJ23" s="3"/>
      <c r="DNK23" s="3"/>
      <c r="DNL23" s="3"/>
      <c r="DNM23" s="3"/>
      <c r="DNN23" s="3"/>
      <c r="DNO23" s="3"/>
      <c r="DNP23" s="3"/>
      <c r="DNQ23" s="3"/>
      <c r="DNR23" s="3"/>
      <c r="DNS23" s="3"/>
      <c r="DNT23" s="3"/>
      <c r="DNU23" s="3"/>
      <c r="DNV23" s="3"/>
      <c r="DNW23" s="3"/>
      <c r="DNX23" s="3"/>
      <c r="DNY23" s="3"/>
      <c r="DNZ23" s="3"/>
      <c r="DOA23" s="3"/>
      <c r="DOB23" s="3"/>
      <c r="DOC23" s="3"/>
      <c r="DOD23" s="3"/>
      <c r="DOE23" s="3"/>
      <c r="DOF23" s="3"/>
      <c r="DOG23" s="3"/>
      <c r="DOH23" s="3"/>
      <c r="DOI23" s="3"/>
      <c r="DOJ23" s="3"/>
      <c r="DOK23" s="3"/>
      <c r="DOL23" s="3"/>
      <c r="DOM23" s="3"/>
      <c r="DON23" s="3"/>
      <c r="DOO23" s="3"/>
      <c r="DOP23" s="3"/>
      <c r="DOQ23" s="3"/>
      <c r="DOR23" s="3"/>
      <c r="DOS23" s="3"/>
      <c r="DOT23" s="3"/>
      <c r="DOU23" s="3"/>
      <c r="DOV23" s="3"/>
      <c r="DOW23" s="3"/>
      <c r="DOX23" s="3"/>
      <c r="DOY23" s="3"/>
      <c r="DOZ23" s="3"/>
      <c r="DPA23" s="3"/>
      <c r="DPB23" s="3"/>
      <c r="DPC23" s="3"/>
      <c r="DPD23" s="3"/>
      <c r="DPE23" s="3"/>
      <c r="DPF23" s="3"/>
      <c r="DPG23" s="3"/>
      <c r="DPH23" s="3"/>
      <c r="DPI23" s="3"/>
      <c r="DPJ23" s="3"/>
      <c r="DPK23" s="3"/>
      <c r="DPL23" s="3"/>
      <c r="DPM23" s="3"/>
      <c r="DPN23" s="3"/>
      <c r="DPO23" s="3"/>
      <c r="DPP23" s="3"/>
      <c r="DPQ23" s="3"/>
      <c r="DPR23" s="3"/>
      <c r="DPS23" s="3"/>
      <c r="DPT23" s="3"/>
      <c r="DPU23" s="3"/>
      <c r="DPV23" s="3"/>
      <c r="DPW23" s="3"/>
      <c r="DPX23" s="3"/>
      <c r="DPY23" s="3"/>
      <c r="DPZ23" s="3"/>
      <c r="DQA23" s="3"/>
      <c r="DQB23" s="3"/>
      <c r="DQC23" s="3"/>
      <c r="DQD23" s="3"/>
      <c r="DQE23" s="3"/>
      <c r="DQF23" s="3"/>
      <c r="DQG23" s="3"/>
      <c r="DQH23" s="3"/>
      <c r="DQI23" s="3"/>
      <c r="DQJ23" s="3"/>
      <c r="DQK23" s="3"/>
      <c r="DQL23" s="3"/>
      <c r="DQM23" s="3"/>
      <c r="DQN23" s="3"/>
      <c r="DQO23" s="3"/>
      <c r="DQP23" s="3"/>
      <c r="DQQ23" s="3"/>
      <c r="DQR23" s="3"/>
      <c r="DQS23" s="3"/>
      <c r="DQT23" s="3"/>
      <c r="DQU23" s="3"/>
      <c r="DQV23" s="3"/>
      <c r="DQW23" s="3"/>
      <c r="DQX23" s="3"/>
      <c r="DQY23" s="3"/>
      <c r="DQZ23" s="3"/>
      <c r="DRA23" s="3"/>
      <c r="DRB23" s="3"/>
      <c r="DRC23" s="3"/>
      <c r="DRD23" s="3"/>
      <c r="DRE23" s="3"/>
      <c r="DRF23" s="3"/>
      <c r="DRG23" s="3"/>
      <c r="DRH23" s="3"/>
      <c r="DRI23" s="3"/>
      <c r="DRJ23" s="3"/>
      <c r="DRK23" s="3"/>
      <c r="DRL23" s="3"/>
      <c r="DRM23" s="3"/>
      <c r="DRN23" s="3"/>
      <c r="DRO23" s="3"/>
      <c r="DRP23" s="3"/>
      <c r="DRQ23" s="3"/>
      <c r="DRR23" s="3"/>
      <c r="DRS23" s="3"/>
      <c r="DRT23" s="3"/>
      <c r="DRU23" s="3"/>
      <c r="DRV23" s="3"/>
      <c r="DRW23" s="3"/>
      <c r="DRX23" s="3"/>
      <c r="DRY23" s="3"/>
      <c r="DRZ23" s="3"/>
      <c r="DSA23" s="3"/>
      <c r="DSB23" s="3"/>
      <c r="DSC23" s="3"/>
      <c r="DSD23" s="3"/>
      <c r="DSE23" s="3"/>
      <c r="DSF23" s="3"/>
      <c r="DSG23" s="3"/>
      <c r="DSH23" s="3"/>
      <c r="DSI23" s="3"/>
      <c r="DSJ23" s="3"/>
      <c r="DSK23" s="3"/>
      <c r="DSL23" s="3"/>
      <c r="DSM23" s="3"/>
      <c r="DSN23" s="3"/>
      <c r="DSO23" s="3"/>
      <c r="DSP23" s="3"/>
      <c r="DSQ23" s="3"/>
      <c r="DSR23" s="3"/>
      <c r="DSS23" s="3"/>
      <c r="DST23" s="3"/>
      <c r="DSU23" s="3"/>
      <c r="DSV23" s="3"/>
      <c r="DSW23" s="3"/>
      <c r="DSX23" s="3"/>
      <c r="DSY23" s="3"/>
      <c r="DSZ23" s="3"/>
      <c r="DTA23" s="3"/>
      <c r="DTB23" s="3"/>
      <c r="DTC23" s="3"/>
      <c r="DTD23" s="3"/>
      <c r="DTE23" s="3"/>
      <c r="DTF23" s="3"/>
      <c r="DTG23" s="3"/>
      <c r="DTH23" s="3"/>
      <c r="DTI23" s="3"/>
      <c r="DTJ23" s="3"/>
      <c r="DTK23" s="3"/>
      <c r="DTL23" s="3"/>
      <c r="DTM23" s="3"/>
      <c r="DTN23" s="3"/>
      <c r="DTO23" s="3"/>
      <c r="DTP23" s="3"/>
      <c r="DTQ23" s="3"/>
      <c r="DTR23" s="3"/>
      <c r="DTS23" s="3"/>
      <c r="DTT23" s="3"/>
      <c r="DTU23" s="3"/>
      <c r="DTV23" s="3"/>
      <c r="DTW23" s="3"/>
      <c r="DTX23" s="3"/>
      <c r="DTY23" s="3"/>
      <c r="DTZ23" s="3"/>
      <c r="DUA23" s="3"/>
      <c r="DUB23" s="3"/>
      <c r="DUC23" s="3"/>
      <c r="DUD23" s="3"/>
      <c r="DUE23" s="3"/>
      <c r="DUF23" s="3"/>
      <c r="DUG23" s="3"/>
      <c r="DUH23" s="3"/>
      <c r="DUI23" s="3"/>
      <c r="DUJ23" s="3"/>
      <c r="DUK23" s="3"/>
      <c r="DUL23" s="3"/>
      <c r="DUM23" s="3"/>
      <c r="DUN23" s="3"/>
      <c r="DUO23" s="3"/>
      <c r="DUP23" s="3"/>
      <c r="DUQ23" s="3"/>
      <c r="DUR23" s="3"/>
      <c r="DUS23" s="3"/>
      <c r="DUT23" s="3"/>
      <c r="DUU23" s="3"/>
      <c r="DUV23" s="3"/>
      <c r="DUW23" s="3"/>
      <c r="DUX23" s="3"/>
      <c r="DUY23" s="3"/>
      <c r="DUZ23" s="3"/>
      <c r="DVA23" s="3"/>
      <c r="DVB23" s="3"/>
      <c r="DVC23" s="3"/>
      <c r="DVD23" s="3"/>
      <c r="DVE23" s="3"/>
      <c r="DVF23" s="3"/>
      <c r="DVG23" s="3"/>
      <c r="DVH23" s="3"/>
      <c r="DVI23" s="3"/>
      <c r="DVJ23" s="3"/>
      <c r="DVK23" s="3"/>
      <c r="DVL23" s="3"/>
      <c r="DVM23" s="3"/>
      <c r="DVN23" s="3"/>
      <c r="DVO23" s="3"/>
      <c r="DVP23" s="3"/>
      <c r="DVQ23" s="3"/>
      <c r="DVR23" s="3"/>
      <c r="DVS23" s="3"/>
      <c r="DVT23" s="3"/>
      <c r="DVU23" s="3"/>
      <c r="DVV23" s="3"/>
      <c r="DVW23" s="3"/>
      <c r="DVX23" s="3"/>
      <c r="DVY23" s="3"/>
      <c r="DVZ23" s="3"/>
      <c r="DWA23" s="3"/>
      <c r="DWB23" s="3"/>
      <c r="DWC23" s="3"/>
      <c r="DWD23" s="3"/>
      <c r="DWE23" s="3"/>
      <c r="DWF23" s="3"/>
      <c r="DWG23" s="3"/>
      <c r="DWH23" s="3"/>
      <c r="DWI23" s="3"/>
      <c r="DWJ23" s="3"/>
      <c r="DWK23" s="3"/>
      <c r="DWL23" s="3"/>
      <c r="DWM23" s="3"/>
      <c r="DWN23" s="3"/>
      <c r="DWO23" s="3"/>
      <c r="DWP23" s="3"/>
      <c r="DWQ23" s="3"/>
      <c r="DWR23" s="3"/>
      <c r="DWS23" s="3"/>
      <c r="DWT23" s="3"/>
      <c r="DWU23" s="3"/>
      <c r="DWV23" s="3"/>
      <c r="DWW23" s="3"/>
      <c r="DWX23" s="3"/>
      <c r="DWY23" s="3"/>
      <c r="DWZ23" s="3"/>
      <c r="DXA23" s="3"/>
      <c r="DXB23" s="3"/>
      <c r="DXC23" s="3"/>
      <c r="DXD23" s="3"/>
      <c r="DXE23" s="3"/>
      <c r="DXF23" s="3"/>
      <c r="DXG23" s="3"/>
      <c r="DXH23" s="3"/>
      <c r="DXI23" s="3"/>
      <c r="DXJ23" s="3"/>
      <c r="DXK23" s="3"/>
      <c r="DXL23" s="3"/>
      <c r="DXM23" s="3"/>
      <c r="DXN23" s="3"/>
      <c r="DXO23" s="3"/>
      <c r="DXP23" s="3"/>
      <c r="DXQ23" s="3"/>
      <c r="DXR23" s="3"/>
      <c r="DXS23" s="3"/>
      <c r="DXT23" s="3"/>
      <c r="DXU23" s="3"/>
      <c r="DXV23" s="3"/>
      <c r="DXW23" s="3"/>
      <c r="DXX23" s="3"/>
      <c r="DXY23" s="3"/>
      <c r="DXZ23" s="3"/>
      <c r="DYA23" s="3"/>
      <c r="DYB23" s="3"/>
      <c r="DYC23" s="3"/>
      <c r="DYD23" s="3"/>
      <c r="DYE23" s="3"/>
      <c r="DYF23" s="3"/>
      <c r="DYG23" s="3"/>
      <c r="DYH23" s="3"/>
      <c r="DYI23" s="3"/>
      <c r="DYJ23" s="3"/>
      <c r="DYK23" s="3"/>
      <c r="DYL23" s="3"/>
      <c r="DYM23" s="3"/>
      <c r="DYN23" s="3"/>
      <c r="DYO23" s="3"/>
      <c r="DYP23" s="3"/>
      <c r="DYQ23" s="3"/>
      <c r="DYR23" s="3"/>
      <c r="DYS23" s="3"/>
      <c r="DYT23" s="3"/>
      <c r="DYU23" s="3"/>
      <c r="DYV23" s="3"/>
      <c r="DYW23" s="3"/>
      <c r="DYX23" s="3"/>
      <c r="DYY23" s="3"/>
      <c r="DYZ23" s="3"/>
      <c r="DZA23" s="3"/>
      <c r="DZB23" s="3"/>
      <c r="DZC23" s="3"/>
      <c r="DZD23" s="3"/>
      <c r="DZE23" s="3"/>
      <c r="DZF23" s="3"/>
      <c r="DZG23" s="3"/>
      <c r="DZH23" s="3"/>
      <c r="DZI23" s="3"/>
      <c r="DZJ23" s="3"/>
      <c r="DZK23" s="3"/>
      <c r="DZL23" s="3"/>
      <c r="DZM23" s="3"/>
      <c r="DZN23" s="3"/>
      <c r="DZO23" s="3"/>
      <c r="DZP23" s="3"/>
      <c r="DZQ23" s="3"/>
      <c r="DZR23" s="3"/>
      <c r="DZS23" s="3"/>
      <c r="DZT23" s="3"/>
      <c r="DZU23" s="3"/>
      <c r="DZV23" s="3"/>
      <c r="DZW23" s="3"/>
      <c r="DZX23" s="3"/>
      <c r="DZY23" s="3"/>
      <c r="DZZ23" s="3"/>
      <c r="EAA23" s="3"/>
      <c r="EAB23" s="3"/>
      <c r="EAC23" s="3"/>
      <c r="EAD23" s="3"/>
      <c r="EAE23" s="3"/>
      <c r="EAF23" s="3"/>
      <c r="EAG23" s="3"/>
      <c r="EAH23" s="3"/>
      <c r="EAI23" s="3"/>
      <c r="EAJ23" s="3"/>
      <c r="EAK23" s="3"/>
      <c r="EAL23" s="3"/>
      <c r="EAM23" s="3"/>
      <c r="EAN23" s="3"/>
      <c r="EAO23" s="3"/>
      <c r="EAP23" s="3"/>
      <c r="EAQ23" s="3"/>
      <c r="EAR23" s="3"/>
      <c r="EAS23" s="3"/>
      <c r="EAT23" s="3"/>
      <c r="EAU23" s="3"/>
      <c r="EAV23" s="3"/>
      <c r="EAW23" s="3"/>
      <c r="EAX23" s="3"/>
      <c r="EAY23" s="3"/>
      <c r="EAZ23" s="3"/>
      <c r="EBA23" s="3"/>
      <c r="EBB23" s="3"/>
      <c r="EBC23" s="3"/>
      <c r="EBD23" s="3"/>
      <c r="EBE23" s="3"/>
      <c r="EBF23" s="3"/>
      <c r="EBG23" s="3"/>
      <c r="EBH23" s="3"/>
      <c r="EBI23" s="3"/>
      <c r="EBJ23" s="3"/>
      <c r="EBK23" s="3"/>
      <c r="EBL23" s="3"/>
      <c r="EBM23" s="3"/>
      <c r="EBN23" s="3"/>
      <c r="EBO23" s="3"/>
      <c r="EBP23" s="3"/>
      <c r="EBQ23" s="3"/>
      <c r="EBR23" s="3"/>
      <c r="EBS23" s="3"/>
      <c r="EBT23" s="3"/>
      <c r="EBU23" s="3"/>
      <c r="EBV23" s="3"/>
      <c r="EBW23" s="3"/>
      <c r="EBX23" s="3"/>
      <c r="EBY23" s="3"/>
      <c r="EBZ23" s="3"/>
      <c r="ECA23" s="3"/>
      <c r="ECB23" s="3"/>
      <c r="ECC23" s="3"/>
      <c r="ECD23" s="3"/>
      <c r="ECE23" s="3"/>
      <c r="ECF23" s="3"/>
      <c r="ECG23" s="3"/>
      <c r="ECH23" s="3"/>
      <c r="ECI23" s="3"/>
      <c r="ECJ23" s="3"/>
      <c r="ECK23" s="3"/>
      <c r="ECL23" s="3"/>
      <c r="ECM23" s="3"/>
      <c r="ECN23" s="3"/>
      <c r="ECO23" s="3"/>
      <c r="ECP23" s="3"/>
      <c r="ECQ23" s="3"/>
      <c r="ECR23" s="3"/>
      <c r="ECS23" s="3"/>
      <c r="ECT23" s="3"/>
      <c r="ECU23" s="3"/>
      <c r="ECV23" s="3"/>
      <c r="ECW23" s="3"/>
      <c r="ECX23" s="3"/>
      <c r="ECY23" s="3"/>
      <c r="ECZ23" s="3"/>
      <c r="EDA23" s="3"/>
      <c r="EDB23" s="3"/>
      <c r="EDC23" s="3"/>
      <c r="EDD23" s="3"/>
      <c r="EDE23" s="3"/>
      <c r="EDF23" s="3"/>
      <c r="EDG23" s="3"/>
      <c r="EDH23" s="3"/>
      <c r="EDI23" s="3"/>
      <c r="EDJ23" s="3"/>
      <c r="EDK23" s="3"/>
      <c r="EDL23" s="3"/>
      <c r="EDM23" s="3"/>
      <c r="EDN23" s="3"/>
      <c r="EDO23" s="3"/>
      <c r="EDP23" s="3"/>
      <c r="EDQ23" s="3"/>
      <c r="EDR23" s="3"/>
      <c r="EDS23" s="3"/>
      <c r="EDT23" s="3"/>
      <c r="EDU23" s="3"/>
      <c r="EDV23" s="3"/>
      <c r="EDW23" s="3"/>
      <c r="EDX23" s="3"/>
      <c r="EDY23" s="3"/>
      <c r="EDZ23" s="3"/>
      <c r="EEA23" s="3"/>
      <c r="EEB23" s="3"/>
      <c r="EEC23" s="3"/>
      <c r="EED23" s="3"/>
      <c r="EEE23" s="3"/>
      <c r="EEF23" s="3"/>
      <c r="EEG23" s="3"/>
      <c r="EEH23" s="3"/>
      <c r="EEI23" s="3"/>
      <c r="EEJ23" s="3"/>
      <c r="EEK23" s="3"/>
      <c r="EEL23" s="3"/>
      <c r="EEM23" s="3"/>
      <c r="EEN23" s="3"/>
      <c r="EEO23" s="3"/>
      <c r="EEP23" s="3"/>
      <c r="EEQ23" s="3"/>
      <c r="EER23" s="3"/>
      <c r="EES23" s="3"/>
      <c r="EET23" s="3"/>
      <c r="EEU23" s="3"/>
      <c r="EEV23" s="3"/>
      <c r="EEW23" s="3"/>
      <c r="EEX23" s="3"/>
      <c r="EEY23" s="3"/>
      <c r="EEZ23" s="3"/>
      <c r="EFA23" s="3"/>
      <c r="EFB23" s="3"/>
      <c r="EFC23" s="3"/>
      <c r="EFD23" s="3"/>
      <c r="EFE23" s="3"/>
      <c r="EFF23" s="3"/>
      <c r="EFG23" s="3"/>
      <c r="EFH23" s="3"/>
      <c r="EFI23" s="3"/>
      <c r="EFJ23" s="3"/>
      <c r="EFK23" s="3"/>
      <c r="EFL23" s="3"/>
      <c r="EFM23" s="3"/>
      <c r="EFN23" s="3"/>
      <c r="EFO23" s="3"/>
      <c r="EFP23" s="3"/>
      <c r="EFQ23" s="3"/>
      <c r="EFR23" s="3"/>
      <c r="EFS23" s="3"/>
      <c r="EFT23" s="3"/>
      <c r="EFU23" s="3"/>
      <c r="EFV23" s="3"/>
      <c r="EFW23" s="3"/>
      <c r="EFX23" s="3"/>
      <c r="EFY23" s="3"/>
      <c r="EFZ23" s="3"/>
      <c r="EGA23" s="3"/>
      <c r="EGB23" s="3"/>
      <c r="EGC23" s="3"/>
      <c r="EGD23" s="3"/>
      <c r="EGE23" s="3"/>
      <c r="EGF23" s="3"/>
      <c r="EGG23" s="3"/>
      <c r="EGH23" s="3"/>
      <c r="EGI23" s="3"/>
      <c r="EGJ23" s="3"/>
      <c r="EGK23" s="3"/>
      <c r="EGL23" s="3"/>
      <c r="EGM23" s="3"/>
      <c r="EGN23" s="3"/>
      <c r="EGO23" s="3"/>
      <c r="EGP23" s="3"/>
      <c r="EGQ23" s="3"/>
      <c r="EGR23" s="3"/>
      <c r="EGS23" s="3"/>
      <c r="EGT23" s="3"/>
      <c r="EGU23" s="3"/>
      <c r="EGV23" s="3"/>
      <c r="EGW23" s="3"/>
      <c r="EGX23" s="3"/>
      <c r="EGY23" s="3"/>
      <c r="EGZ23" s="3"/>
      <c r="EHA23" s="3"/>
      <c r="EHB23" s="3"/>
      <c r="EHC23" s="3"/>
      <c r="EHD23" s="3"/>
      <c r="EHE23" s="3"/>
      <c r="EHF23" s="3"/>
      <c r="EHG23" s="3"/>
      <c r="EHH23" s="3"/>
      <c r="EHI23" s="3"/>
      <c r="EHJ23" s="3"/>
      <c r="EHK23" s="3"/>
      <c r="EHL23" s="3"/>
      <c r="EHM23" s="3"/>
      <c r="EHN23" s="3"/>
      <c r="EHO23" s="3"/>
      <c r="EHP23" s="3"/>
      <c r="EHQ23" s="3"/>
      <c r="EHR23" s="3"/>
      <c r="EHS23" s="3"/>
      <c r="EHT23" s="3"/>
      <c r="EHU23" s="3"/>
      <c r="EHV23" s="3"/>
      <c r="EHW23" s="3"/>
      <c r="EHX23" s="3"/>
      <c r="EHY23" s="3"/>
      <c r="EHZ23" s="3"/>
      <c r="EIA23" s="3"/>
      <c r="EIB23" s="3"/>
      <c r="EIC23" s="3"/>
      <c r="EID23" s="3"/>
      <c r="EIE23" s="3"/>
      <c r="EIF23" s="3"/>
      <c r="EIG23" s="3"/>
      <c r="EIH23" s="3"/>
      <c r="EII23" s="3"/>
      <c r="EIJ23" s="3"/>
      <c r="EIK23" s="3"/>
      <c r="EIL23" s="3"/>
      <c r="EIM23" s="3"/>
      <c r="EIN23" s="3"/>
      <c r="EIO23" s="3"/>
      <c r="EIP23" s="3"/>
      <c r="EIQ23" s="3"/>
      <c r="EIR23" s="3"/>
      <c r="EIS23" s="3"/>
      <c r="EIT23" s="3"/>
      <c r="EIU23" s="3"/>
      <c r="EIV23" s="3"/>
      <c r="EIW23" s="3"/>
      <c r="EIX23" s="3"/>
      <c r="EIY23" s="3"/>
      <c r="EIZ23" s="3"/>
      <c r="EJA23" s="3"/>
      <c r="EJB23" s="3"/>
      <c r="EJC23" s="3"/>
      <c r="EJD23" s="3"/>
      <c r="EJE23" s="3"/>
      <c r="EJF23" s="3"/>
      <c r="EJG23" s="3"/>
      <c r="EJH23" s="3"/>
      <c r="EJI23" s="3"/>
      <c r="EJJ23" s="3"/>
      <c r="EJK23" s="3"/>
      <c r="EJL23" s="3"/>
      <c r="EJM23" s="3"/>
      <c r="EJN23" s="3"/>
      <c r="EJO23" s="3"/>
      <c r="EJP23" s="3"/>
      <c r="EJQ23" s="3"/>
      <c r="EJR23" s="3"/>
      <c r="EJS23" s="3"/>
      <c r="EJT23" s="3"/>
      <c r="EJU23" s="3"/>
      <c r="EJV23" s="3"/>
      <c r="EJW23" s="3"/>
      <c r="EJX23" s="3"/>
      <c r="EJY23" s="3"/>
      <c r="EJZ23" s="3"/>
      <c r="EKA23" s="3"/>
      <c r="EKB23" s="3"/>
      <c r="EKC23" s="3"/>
      <c r="EKD23" s="3"/>
      <c r="EKE23" s="3"/>
      <c r="EKF23" s="3"/>
      <c r="EKG23" s="3"/>
      <c r="EKH23" s="3"/>
      <c r="EKI23" s="3"/>
      <c r="EKJ23" s="3"/>
      <c r="EKK23" s="3"/>
      <c r="EKL23" s="3"/>
      <c r="EKM23" s="3"/>
      <c r="EKN23" s="3"/>
      <c r="EKO23" s="3"/>
      <c r="EKP23" s="3"/>
      <c r="EKQ23" s="3"/>
      <c r="EKR23" s="3"/>
      <c r="EKS23" s="3"/>
      <c r="EKT23" s="3"/>
      <c r="EKU23" s="3"/>
      <c r="EKV23" s="3"/>
      <c r="EKW23" s="3"/>
      <c r="EKX23" s="3"/>
      <c r="EKY23" s="3"/>
      <c r="EKZ23" s="3"/>
      <c r="ELA23" s="3"/>
      <c r="ELB23" s="3"/>
      <c r="ELC23" s="3"/>
      <c r="ELD23" s="3"/>
      <c r="ELE23" s="3"/>
      <c r="ELF23" s="3"/>
      <c r="ELG23" s="3"/>
      <c r="ELH23" s="3"/>
      <c r="ELI23" s="3"/>
      <c r="ELJ23" s="3"/>
      <c r="ELK23" s="3"/>
      <c r="ELL23" s="3"/>
      <c r="ELM23" s="3"/>
      <c r="ELN23" s="3"/>
      <c r="ELO23" s="3"/>
      <c r="ELP23" s="3"/>
      <c r="ELQ23" s="3"/>
      <c r="ELR23" s="3"/>
      <c r="ELS23" s="3"/>
      <c r="ELT23" s="3"/>
      <c r="ELU23" s="3"/>
      <c r="ELV23" s="3"/>
      <c r="ELW23" s="3"/>
      <c r="ELX23" s="3"/>
      <c r="ELY23" s="3"/>
      <c r="ELZ23" s="3"/>
      <c r="EMA23" s="3"/>
      <c r="EMB23" s="3"/>
      <c r="EMC23" s="3"/>
      <c r="EMD23" s="3"/>
      <c r="EME23" s="3"/>
      <c r="EMF23" s="3"/>
      <c r="EMG23" s="3"/>
      <c r="EMH23" s="3"/>
      <c r="EMI23" s="3"/>
      <c r="EMJ23" s="3"/>
      <c r="EMK23" s="3"/>
      <c r="EML23" s="3"/>
      <c r="EMM23" s="3"/>
      <c r="EMN23" s="3"/>
      <c r="EMO23" s="3"/>
      <c r="EMP23" s="3"/>
      <c r="EMQ23" s="3"/>
      <c r="EMR23" s="3"/>
      <c r="EMS23" s="3"/>
      <c r="EMT23" s="3"/>
      <c r="EMU23" s="3"/>
      <c r="EMV23" s="3"/>
      <c r="EMW23" s="3"/>
      <c r="EMX23" s="3"/>
      <c r="EMY23" s="3"/>
      <c r="EMZ23" s="3"/>
      <c r="ENA23" s="3"/>
      <c r="ENB23" s="3"/>
      <c r="ENC23" s="3"/>
      <c r="END23" s="3"/>
      <c r="ENE23" s="3"/>
      <c r="ENF23" s="3"/>
      <c r="ENG23" s="3"/>
      <c r="ENH23" s="3"/>
      <c r="ENI23" s="3"/>
      <c r="ENJ23" s="3"/>
      <c r="ENK23" s="3"/>
      <c r="ENL23" s="3"/>
      <c r="ENM23" s="3"/>
      <c r="ENN23" s="3"/>
      <c r="ENO23" s="3"/>
      <c r="ENP23" s="3"/>
      <c r="ENQ23" s="3"/>
      <c r="ENR23" s="3"/>
      <c r="ENS23" s="3"/>
      <c r="ENT23" s="3"/>
      <c r="ENU23" s="3"/>
      <c r="ENV23" s="3"/>
      <c r="ENW23" s="3"/>
      <c r="ENX23" s="3"/>
      <c r="ENY23" s="3"/>
      <c r="ENZ23" s="3"/>
      <c r="EOA23" s="3"/>
      <c r="EOB23" s="3"/>
      <c r="EOC23" s="3"/>
      <c r="EOD23" s="3"/>
      <c r="EOE23" s="3"/>
      <c r="EOF23" s="3"/>
      <c r="EOG23" s="3"/>
      <c r="EOH23" s="3"/>
      <c r="EOI23" s="3"/>
      <c r="EOJ23" s="3"/>
      <c r="EOK23" s="3"/>
      <c r="EOL23" s="3"/>
      <c r="EOM23" s="3"/>
      <c r="EON23" s="3"/>
      <c r="EOO23" s="3"/>
      <c r="EOP23" s="3"/>
      <c r="EOQ23" s="3"/>
      <c r="EOR23" s="3"/>
      <c r="EOS23" s="3"/>
      <c r="EOT23" s="3"/>
      <c r="EOU23" s="3"/>
      <c r="EOV23" s="3"/>
      <c r="EOW23" s="3"/>
      <c r="EOX23" s="3"/>
      <c r="EOY23" s="3"/>
      <c r="EOZ23" s="3"/>
      <c r="EPA23" s="3"/>
      <c r="EPB23" s="3"/>
      <c r="EPC23" s="3"/>
      <c r="EPD23" s="3"/>
      <c r="EPE23" s="3"/>
      <c r="EPF23" s="3"/>
      <c r="EPG23" s="3"/>
      <c r="EPH23" s="3"/>
      <c r="EPI23" s="3"/>
      <c r="EPJ23" s="3"/>
      <c r="EPK23" s="3"/>
      <c r="EPL23" s="3"/>
      <c r="EPM23" s="3"/>
      <c r="EPN23" s="3"/>
      <c r="EPO23" s="3"/>
      <c r="EPP23" s="3"/>
      <c r="EPQ23" s="3"/>
      <c r="EPR23" s="3"/>
      <c r="EPS23" s="3"/>
      <c r="EPT23" s="3"/>
      <c r="EPU23" s="3"/>
      <c r="EPV23" s="3"/>
      <c r="EPW23" s="3"/>
      <c r="EPX23" s="3"/>
      <c r="EPY23" s="3"/>
      <c r="EPZ23" s="3"/>
      <c r="EQA23" s="3"/>
      <c r="EQB23" s="3"/>
      <c r="EQC23" s="3"/>
      <c r="EQD23" s="3"/>
      <c r="EQE23" s="3"/>
      <c r="EQF23" s="3"/>
      <c r="EQG23" s="3"/>
      <c r="EQH23" s="3"/>
      <c r="EQI23" s="3"/>
      <c r="EQJ23" s="3"/>
      <c r="EQK23" s="3"/>
      <c r="EQL23" s="3"/>
      <c r="EQM23" s="3"/>
      <c r="EQN23" s="3"/>
      <c r="EQO23" s="3"/>
      <c r="EQP23" s="3"/>
      <c r="EQQ23" s="3"/>
      <c r="EQR23" s="3"/>
      <c r="EQS23" s="3"/>
      <c r="EQT23" s="3"/>
      <c r="EQU23" s="3"/>
      <c r="EQV23" s="3"/>
      <c r="EQW23" s="3"/>
      <c r="EQX23" s="3"/>
      <c r="EQY23" s="3"/>
      <c r="EQZ23" s="3"/>
      <c r="ERA23" s="3"/>
      <c r="ERB23" s="3"/>
      <c r="ERC23" s="3"/>
      <c r="ERD23" s="3"/>
      <c r="ERE23" s="3"/>
      <c r="ERF23" s="3"/>
      <c r="ERG23" s="3"/>
      <c r="ERH23" s="3"/>
      <c r="ERI23" s="3"/>
      <c r="ERJ23" s="3"/>
      <c r="ERK23" s="3"/>
      <c r="ERL23" s="3"/>
      <c r="ERM23" s="3"/>
      <c r="ERN23" s="3"/>
      <c r="ERO23" s="3"/>
      <c r="ERP23" s="3"/>
      <c r="ERQ23" s="3"/>
      <c r="ERR23" s="3"/>
      <c r="ERS23" s="3"/>
      <c r="ERT23" s="3"/>
      <c r="ERU23" s="3"/>
      <c r="ERV23" s="3"/>
      <c r="ERW23" s="3"/>
      <c r="ERX23" s="3"/>
      <c r="ERY23" s="3"/>
      <c r="ERZ23" s="3"/>
      <c r="ESA23" s="3"/>
      <c r="ESB23" s="3"/>
      <c r="ESC23" s="3"/>
      <c r="ESD23" s="3"/>
      <c r="ESE23" s="3"/>
      <c r="ESF23" s="3"/>
      <c r="ESG23" s="3"/>
      <c r="ESH23" s="3"/>
      <c r="ESI23" s="3"/>
      <c r="ESJ23" s="3"/>
      <c r="ESK23" s="3"/>
      <c r="ESL23" s="3"/>
      <c r="ESM23" s="3"/>
      <c r="ESN23" s="3"/>
      <c r="ESO23" s="3"/>
      <c r="ESP23" s="3"/>
      <c r="ESQ23" s="3"/>
      <c r="ESR23" s="3"/>
      <c r="ESS23" s="3"/>
      <c r="EST23" s="3"/>
      <c r="ESU23" s="3"/>
      <c r="ESV23" s="3"/>
      <c r="ESW23" s="3"/>
      <c r="ESX23" s="3"/>
      <c r="ESY23" s="3"/>
      <c r="ESZ23" s="3"/>
      <c r="ETA23" s="3"/>
      <c r="ETB23" s="3"/>
      <c r="ETC23" s="3"/>
      <c r="ETD23" s="3"/>
      <c r="ETE23" s="3"/>
      <c r="ETF23" s="3"/>
      <c r="ETG23" s="3"/>
      <c r="ETH23" s="3"/>
      <c r="ETI23" s="3"/>
      <c r="ETJ23" s="3"/>
      <c r="ETK23" s="3"/>
      <c r="ETL23" s="3"/>
      <c r="ETM23" s="3"/>
      <c r="ETN23" s="3"/>
      <c r="ETO23" s="3"/>
      <c r="ETP23" s="3"/>
      <c r="ETQ23" s="3"/>
      <c r="ETR23" s="3"/>
      <c r="ETS23" s="3"/>
      <c r="ETT23" s="3"/>
      <c r="ETU23" s="3"/>
      <c r="ETV23" s="3"/>
      <c r="ETW23" s="3"/>
      <c r="ETX23" s="3"/>
      <c r="ETY23" s="3"/>
      <c r="ETZ23" s="3"/>
      <c r="EUA23" s="3"/>
      <c r="EUB23" s="3"/>
      <c r="EUC23" s="3"/>
      <c r="EUD23" s="3"/>
      <c r="EUE23" s="3"/>
      <c r="EUF23" s="3"/>
      <c r="EUG23" s="3"/>
      <c r="EUH23" s="3"/>
      <c r="EUI23" s="3"/>
      <c r="EUJ23" s="3"/>
      <c r="EUK23" s="3"/>
      <c r="EUL23" s="3"/>
      <c r="EUM23" s="3"/>
      <c r="EUN23" s="3"/>
      <c r="EUO23" s="3"/>
      <c r="EUP23" s="3"/>
      <c r="EUQ23" s="3"/>
      <c r="EUR23" s="3"/>
      <c r="EUS23" s="3"/>
      <c r="EUT23" s="3"/>
      <c r="EUU23" s="3"/>
      <c r="EUV23" s="3"/>
      <c r="EUW23" s="3"/>
      <c r="EUX23" s="3"/>
      <c r="EUY23" s="3"/>
      <c r="EUZ23" s="3"/>
      <c r="EVA23" s="3"/>
      <c r="EVB23" s="3"/>
      <c r="EVC23" s="3"/>
      <c r="EVD23" s="3"/>
      <c r="EVE23" s="3"/>
      <c r="EVF23" s="3"/>
      <c r="EVG23" s="3"/>
      <c r="EVH23" s="3"/>
      <c r="EVI23" s="3"/>
      <c r="EVJ23" s="3"/>
      <c r="EVK23" s="3"/>
      <c r="EVL23" s="3"/>
      <c r="EVM23" s="3"/>
      <c r="EVN23" s="3"/>
      <c r="EVO23" s="3"/>
      <c r="EVP23" s="3"/>
      <c r="EVQ23" s="3"/>
      <c r="EVR23" s="3"/>
      <c r="EVS23" s="3"/>
      <c r="EVT23" s="3"/>
      <c r="EVU23" s="3"/>
      <c r="EVV23" s="3"/>
      <c r="EVW23" s="3"/>
      <c r="EVX23" s="3"/>
      <c r="EVY23" s="3"/>
      <c r="EVZ23" s="3"/>
      <c r="EWA23" s="3"/>
      <c r="EWB23" s="3"/>
      <c r="EWC23" s="3"/>
      <c r="EWD23" s="3"/>
      <c r="EWE23" s="3"/>
      <c r="EWF23" s="3"/>
      <c r="EWG23" s="3"/>
      <c r="EWH23" s="3"/>
      <c r="EWI23" s="3"/>
      <c r="EWJ23" s="3"/>
      <c r="EWK23" s="3"/>
      <c r="EWL23" s="3"/>
      <c r="EWM23" s="3"/>
      <c r="EWN23" s="3"/>
      <c r="EWO23" s="3"/>
      <c r="EWP23" s="3"/>
      <c r="EWQ23" s="3"/>
      <c r="EWR23" s="3"/>
      <c r="EWS23" s="3"/>
      <c r="EWT23" s="3"/>
      <c r="EWU23" s="3"/>
      <c r="EWV23" s="3"/>
      <c r="EWW23" s="3"/>
      <c r="EWX23" s="3"/>
      <c r="EWY23" s="3"/>
      <c r="EWZ23" s="3"/>
      <c r="EXA23" s="3"/>
      <c r="EXB23" s="3"/>
      <c r="EXC23" s="3"/>
      <c r="EXD23" s="3"/>
      <c r="EXE23" s="3"/>
      <c r="EXF23" s="3"/>
      <c r="EXG23" s="3"/>
      <c r="EXH23" s="3"/>
      <c r="EXI23" s="3"/>
      <c r="EXJ23" s="3"/>
      <c r="EXK23" s="3"/>
      <c r="EXL23" s="3"/>
      <c r="EXM23" s="3"/>
      <c r="EXN23" s="3"/>
      <c r="EXO23" s="3"/>
      <c r="EXP23" s="3"/>
      <c r="EXQ23" s="3"/>
      <c r="EXR23" s="3"/>
      <c r="EXS23" s="3"/>
      <c r="EXT23" s="3"/>
      <c r="EXU23" s="3"/>
      <c r="EXV23" s="3"/>
      <c r="EXW23" s="3"/>
      <c r="EXX23" s="3"/>
      <c r="EXY23" s="3"/>
      <c r="EXZ23" s="3"/>
      <c r="EYA23" s="3"/>
      <c r="EYB23" s="3"/>
      <c r="EYC23" s="3"/>
      <c r="EYD23" s="3"/>
      <c r="EYE23" s="3"/>
      <c r="EYF23" s="3"/>
      <c r="EYG23" s="3"/>
      <c r="EYH23" s="3"/>
      <c r="EYI23" s="3"/>
      <c r="EYJ23" s="3"/>
      <c r="EYK23" s="3"/>
      <c r="EYL23" s="3"/>
      <c r="EYM23" s="3"/>
      <c r="EYN23" s="3"/>
      <c r="EYO23" s="3"/>
      <c r="EYP23" s="3"/>
      <c r="EYQ23" s="3"/>
      <c r="EYR23" s="3"/>
      <c r="EYS23" s="3"/>
      <c r="EYT23" s="3"/>
      <c r="EYU23" s="3"/>
      <c r="EYV23" s="3"/>
      <c r="EYW23" s="3"/>
      <c r="EYX23" s="3"/>
      <c r="EYY23" s="3"/>
      <c r="EYZ23" s="3"/>
      <c r="EZA23" s="3"/>
      <c r="EZB23" s="3"/>
      <c r="EZC23" s="3"/>
      <c r="EZD23" s="3"/>
      <c r="EZE23" s="3"/>
      <c r="EZF23" s="3"/>
      <c r="EZG23" s="3"/>
      <c r="EZH23" s="3"/>
      <c r="EZI23" s="3"/>
      <c r="EZJ23" s="3"/>
      <c r="EZK23" s="3"/>
      <c r="EZL23" s="3"/>
      <c r="EZM23" s="3"/>
      <c r="EZN23" s="3"/>
      <c r="EZO23" s="3"/>
      <c r="EZP23" s="3"/>
      <c r="EZQ23" s="3"/>
      <c r="EZR23" s="3"/>
      <c r="EZS23" s="3"/>
      <c r="EZT23" s="3"/>
      <c r="EZU23" s="3"/>
      <c r="EZV23" s="3"/>
      <c r="EZW23" s="3"/>
      <c r="EZX23" s="3"/>
      <c r="EZY23" s="3"/>
      <c r="EZZ23" s="3"/>
      <c r="FAA23" s="3"/>
      <c r="FAB23" s="3"/>
      <c r="FAC23" s="3"/>
      <c r="FAD23" s="3"/>
      <c r="FAE23" s="3"/>
      <c r="FAF23" s="3"/>
      <c r="FAG23" s="3"/>
      <c r="FAH23" s="3"/>
      <c r="FAI23" s="3"/>
      <c r="FAJ23" s="3"/>
      <c r="FAK23" s="3"/>
      <c r="FAL23" s="3"/>
      <c r="FAM23" s="3"/>
      <c r="FAN23" s="3"/>
      <c r="FAO23" s="3"/>
      <c r="FAP23" s="3"/>
      <c r="FAQ23" s="3"/>
      <c r="FAR23" s="3"/>
      <c r="FAS23" s="3"/>
      <c r="FAT23" s="3"/>
      <c r="FAU23" s="3"/>
      <c r="FAV23" s="3"/>
      <c r="FAW23" s="3"/>
      <c r="FAX23" s="3"/>
      <c r="FAY23" s="3"/>
      <c r="FAZ23" s="3"/>
      <c r="FBA23" s="3"/>
      <c r="FBB23" s="3"/>
      <c r="FBC23" s="3"/>
      <c r="FBD23" s="3"/>
      <c r="FBE23" s="3"/>
      <c r="FBF23" s="3"/>
      <c r="FBG23" s="3"/>
      <c r="FBH23" s="3"/>
      <c r="FBI23" s="3"/>
      <c r="FBJ23" s="3"/>
      <c r="FBK23" s="3"/>
      <c r="FBL23" s="3"/>
      <c r="FBM23" s="3"/>
      <c r="FBN23" s="3"/>
      <c r="FBO23" s="3"/>
      <c r="FBP23" s="3"/>
      <c r="FBQ23" s="3"/>
      <c r="FBR23" s="3"/>
      <c r="FBS23" s="3"/>
      <c r="FBT23" s="3"/>
      <c r="FBU23" s="3"/>
      <c r="FBV23" s="3"/>
      <c r="FBW23" s="3"/>
      <c r="FBX23" s="3"/>
      <c r="FBY23" s="3"/>
      <c r="FBZ23" s="3"/>
      <c r="FCA23" s="3"/>
      <c r="FCB23" s="3"/>
      <c r="FCC23" s="3"/>
      <c r="FCD23" s="3"/>
      <c r="FCE23" s="3"/>
      <c r="FCF23" s="3"/>
      <c r="FCG23" s="3"/>
      <c r="FCH23" s="3"/>
      <c r="FCI23" s="3"/>
      <c r="FCJ23" s="3"/>
      <c r="FCK23" s="3"/>
      <c r="FCL23" s="3"/>
      <c r="FCM23" s="3"/>
      <c r="FCN23" s="3"/>
      <c r="FCO23" s="3"/>
      <c r="FCP23" s="3"/>
      <c r="FCQ23" s="3"/>
      <c r="FCR23" s="3"/>
      <c r="FCS23" s="3"/>
      <c r="FCT23" s="3"/>
      <c r="FCU23" s="3"/>
      <c r="FCV23" s="3"/>
      <c r="FCW23" s="3"/>
      <c r="FCX23" s="3"/>
      <c r="FCY23" s="3"/>
      <c r="FCZ23" s="3"/>
      <c r="FDA23" s="3"/>
      <c r="FDB23" s="3"/>
      <c r="FDC23" s="3"/>
      <c r="FDD23" s="3"/>
      <c r="FDE23" s="3"/>
      <c r="FDF23" s="3"/>
      <c r="FDG23" s="3"/>
      <c r="FDH23" s="3"/>
      <c r="FDI23" s="3"/>
      <c r="FDJ23" s="3"/>
      <c r="FDK23" s="3"/>
      <c r="FDL23" s="3"/>
      <c r="FDM23" s="3"/>
      <c r="FDN23" s="3"/>
      <c r="FDO23" s="3"/>
      <c r="FDP23" s="3"/>
      <c r="FDQ23" s="3"/>
      <c r="FDR23" s="3"/>
      <c r="FDS23" s="3"/>
      <c r="FDT23" s="3"/>
      <c r="FDU23" s="3"/>
      <c r="FDV23" s="3"/>
      <c r="FDW23" s="3"/>
      <c r="FDX23" s="3"/>
      <c r="FDY23" s="3"/>
      <c r="FDZ23" s="3"/>
      <c r="FEA23" s="3"/>
      <c r="FEB23" s="3"/>
      <c r="FEC23" s="3"/>
      <c r="FED23" s="3"/>
      <c r="FEE23" s="3"/>
      <c r="FEF23" s="3"/>
      <c r="FEG23" s="3"/>
      <c r="FEH23" s="3"/>
      <c r="FEI23" s="3"/>
      <c r="FEJ23" s="3"/>
      <c r="FEK23" s="3"/>
      <c r="FEL23" s="3"/>
      <c r="FEM23" s="3"/>
      <c r="FEN23" s="3"/>
      <c r="FEO23" s="3"/>
      <c r="FEP23" s="3"/>
      <c r="FEQ23" s="3"/>
      <c r="FER23" s="3"/>
      <c r="FES23" s="3"/>
      <c r="FET23" s="3"/>
      <c r="FEU23" s="3"/>
      <c r="FEV23" s="3"/>
      <c r="FEW23" s="3"/>
      <c r="FEX23" s="3"/>
      <c r="FEY23" s="3"/>
      <c r="FEZ23" s="3"/>
      <c r="FFA23" s="3"/>
      <c r="FFB23" s="3"/>
      <c r="FFC23" s="3"/>
      <c r="FFD23" s="3"/>
      <c r="FFE23" s="3"/>
      <c r="FFF23" s="3"/>
      <c r="FFG23" s="3"/>
      <c r="FFH23" s="3"/>
      <c r="FFI23" s="3"/>
      <c r="FFJ23" s="3"/>
      <c r="FFK23" s="3"/>
      <c r="FFL23" s="3"/>
      <c r="FFM23" s="3"/>
      <c r="FFN23" s="3"/>
      <c r="FFO23" s="3"/>
      <c r="FFP23" s="3"/>
      <c r="FFQ23" s="3"/>
      <c r="FFR23" s="3"/>
      <c r="FFS23" s="3"/>
      <c r="FFT23" s="3"/>
      <c r="FFU23" s="3"/>
      <c r="FFV23" s="3"/>
      <c r="FFW23" s="3"/>
      <c r="FFX23" s="3"/>
      <c r="FFY23" s="3"/>
      <c r="FFZ23" s="3"/>
      <c r="FGA23" s="3"/>
      <c r="FGB23" s="3"/>
      <c r="FGC23" s="3"/>
      <c r="FGD23" s="3"/>
      <c r="FGE23" s="3"/>
      <c r="FGF23" s="3"/>
      <c r="FGG23" s="3"/>
      <c r="FGH23" s="3"/>
      <c r="FGI23" s="3"/>
      <c r="FGJ23" s="3"/>
      <c r="FGK23" s="3"/>
      <c r="FGL23" s="3"/>
      <c r="FGM23" s="3"/>
      <c r="FGN23" s="3"/>
      <c r="FGO23" s="3"/>
      <c r="FGP23" s="3"/>
      <c r="FGQ23" s="3"/>
      <c r="FGR23" s="3"/>
      <c r="FGS23" s="3"/>
      <c r="FGT23" s="3"/>
      <c r="FGU23" s="3"/>
      <c r="FGV23" s="3"/>
      <c r="FGW23" s="3"/>
      <c r="FGX23" s="3"/>
      <c r="FGY23" s="3"/>
      <c r="FGZ23" s="3"/>
      <c r="FHA23" s="3"/>
      <c r="FHB23" s="3"/>
      <c r="FHC23" s="3"/>
      <c r="FHD23" s="3"/>
      <c r="FHE23" s="3"/>
      <c r="FHF23" s="3"/>
      <c r="FHG23" s="3"/>
      <c r="FHH23" s="3"/>
      <c r="FHI23" s="3"/>
      <c r="FHJ23" s="3"/>
      <c r="FHK23" s="3"/>
      <c r="FHL23" s="3"/>
      <c r="FHM23" s="3"/>
      <c r="FHN23" s="3"/>
      <c r="FHO23" s="3"/>
      <c r="FHP23" s="3"/>
      <c r="FHQ23" s="3"/>
      <c r="FHR23" s="3"/>
      <c r="FHS23" s="3"/>
      <c r="FHT23" s="3"/>
      <c r="FHU23" s="3"/>
      <c r="FHV23" s="3"/>
      <c r="FHW23" s="3"/>
      <c r="FHX23" s="3"/>
      <c r="FHY23" s="3"/>
      <c r="FHZ23" s="3"/>
      <c r="FIA23" s="3"/>
      <c r="FIB23" s="3"/>
      <c r="FIC23" s="3"/>
      <c r="FID23" s="3"/>
      <c r="FIE23" s="3"/>
      <c r="FIF23" s="3"/>
      <c r="FIG23" s="3"/>
      <c r="FIH23" s="3"/>
      <c r="FII23" s="3"/>
      <c r="FIJ23" s="3"/>
      <c r="FIK23" s="3"/>
      <c r="FIL23" s="3"/>
      <c r="FIM23" s="3"/>
      <c r="FIN23" s="3"/>
      <c r="FIO23" s="3"/>
      <c r="FIP23" s="3"/>
      <c r="FIQ23" s="3"/>
      <c r="FIR23" s="3"/>
      <c r="FIS23" s="3"/>
      <c r="FIT23" s="3"/>
      <c r="FIU23" s="3"/>
      <c r="FIV23" s="3"/>
      <c r="FIW23" s="3"/>
      <c r="FIX23" s="3"/>
      <c r="FIY23" s="3"/>
      <c r="FIZ23" s="3"/>
      <c r="FJA23" s="3"/>
      <c r="FJB23" s="3"/>
      <c r="FJC23" s="3"/>
      <c r="FJD23" s="3"/>
      <c r="FJE23" s="3"/>
      <c r="FJF23" s="3"/>
      <c r="FJG23" s="3"/>
      <c r="FJH23" s="3"/>
      <c r="FJI23" s="3"/>
      <c r="FJJ23" s="3"/>
      <c r="FJK23" s="3"/>
      <c r="FJL23" s="3"/>
      <c r="FJM23" s="3"/>
      <c r="FJN23" s="3"/>
      <c r="FJO23" s="3"/>
      <c r="FJP23" s="3"/>
      <c r="FJQ23" s="3"/>
      <c r="FJR23" s="3"/>
      <c r="FJS23" s="3"/>
      <c r="FJT23" s="3"/>
      <c r="FJU23" s="3"/>
      <c r="FJV23" s="3"/>
      <c r="FJW23" s="3"/>
      <c r="FJX23" s="3"/>
      <c r="FJY23" s="3"/>
      <c r="FJZ23" s="3"/>
      <c r="FKA23" s="3"/>
      <c r="FKB23" s="3"/>
      <c r="FKC23" s="3"/>
      <c r="FKD23" s="3"/>
      <c r="FKE23" s="3"/>
      <c r="FKF23" s="3"/>
      <c r="FKG23" s="3"/>
      <c r="FKH23" s="3"/>
      <c r="FKI23" s="3"/>
      <c r="FKJ23" s="3"/>
      <c r="FKK23" s="3"/>
      <c r="FKL23" s="3"/>
      <c r="FKM23" s="3"/>
      <c r="FKN23" s="3"/>
      <c r="FKO23" s="3"/>
      <c r="FKP23" s="3"/>
      <c r="FKQ23" s="3"/>
      <c r="FKR23" s="3"/>
      <c r="FKS23" s="3"/>
      <c r="FKT23" s="3"/>
      <c r="FKU23" s="3"/>
      <c r="FKV23" s="3"/>
      <c r="FKW23" s="3"/>
      <c r="FKX23" s="3"/>
      <c r="FKY23" s="3"/>
      <c r="FKZ23" s="3"/>
      <c r="FLA23" s="3"/>
      <c r="FLB23" s="3"/>
      <c r="FLC23" s="3"/>
      <c r="FLD23" s="3"/>
      <c r="FLE23" s="3"/>
      <c r="FLF23" s="3"/>
      <c r="FLG23" s="3"/>
      <c r="FLH23" s="3"/>
      <c r="FLI23" s="3"/>
      <c r="FLJ23" s="3"/>
      <c r="FLK23" s="3"/>
      <c r="FLL23" s="3"/>
      <c r="FLM23" s="3"/>
      <c r="FLN23" s="3"/>
      <c r="FLO23" s="3"/>
      <c r="FLP23" s="3"/>
      <c r="FLQ23" s="3"/>
      <c r="FLR23" s="3"/>
      <c r="FLS23" s="3"/>
      <c r="FLT23" s="3"/>
      <c r="FLU23" s="3"/>
      <c r="FLV23" s="3"/>
      <c r="FLW23" s="3"/>
      <c r="FLX23" s="3"/>
      <c r="FLY23" s="3"/>
      <c r="FLZ23" s="3"/>
      <c r="FMA23" s="3"/>
      <c r="FMB23" s="3"/>
      <c r="FMC23" s="3"/>
      <c r="FMD23" s="3"/>
      <c r="FME23" s="3"/>
      <c r="FMF23" s="3"/>
      <c r="FMG23" s="3"/>
      <c r="FMH23" s="3"/>
      <c r="FMI23" s="3"/>
      <c r="FMJ23" s="3"/>
      <c r="FMK23" s="3"/>
      <c r="FML23" s="3"/>
      <c r="FMM23" s="3"/>
      <c r="FMN23" s="3"/>
      <c r="FMO23" s="3"/>
      <c r="FMP23" s="3"/>
      <c r="FMQ23" s="3"/>
      <c r="FMR23" s="3"/>
      <c r="FMS23" s="3"/>
      <c r="FMT23" s="3"/>
      <c r="FMU23" s="3"/>
      <c r="FMV23" s="3"/>
      <c r="FMW23" s="3"/>
      <c r="FMX23" s="3"/>
      <c r="FMY23" s="3"/>
      <c r="FMZ23" s="3"/>
      <c r="FNA23" s="3"/>
      <c r="FNB23" s="3"/>
      <c r="FNC23" s="3"/>
      <c r="FND23" s="3"/>
      <c r="FNE23" s="3"/>
      <c r="FNF23" s="3"/>
      <c r="FNG23" s="3"/>
      <c r="FNH23" s="3"/>
      <c r="FNI23" s="3"/>
      <c r="FNJ23" s="3"/>
      <c r="FNK23" s="3"/>
      <c r="FNL23" s="3"/>
      <c r="FNM23" s="3"/>
      <c r="FNN23" s="3"/>
      <c r="FNO23" s="3"/>
      <c r="FNP23" s="3"/>
      <c r="FNQ23" s="3"/>
      <c r="FNR23" s="3"/>
      <c r="FNS23" s="3"/>
      <c r="FNT23" s="3"/>
      <c r="FNU23" s="3"/>
      <c r="FNV23" s="3"/>
      <c r="FNW23" s="3"/>
      <c r="FNX23" s="3"/>
      <c r="FNY23" s="3"/>
      <c r="FNZ23" s="3"/>
      <c r="FOA23" s="3"/>
      <c r="FOB23" s="3"/>
      <c r="FOC23" s="3"/>
      <c r="FOD23" s="3"/>
      <c r="FOE23" s="3"/>
      <c r="FOF23" s="3"/>
      <c r="FOG23" s="3"/>
      <c r="FOH23" s="3"/>
      <c r="FOI23" s="3"/>
      <c r="FOJ23" s="3"/>
      <c r="FOK23" s="3"/>
      <c r="FOL23" s="3"/>
      <c r="FOM23" s="3"/>
      <c r="FON23" s="3"/>
      <c r="FOO23" s="3"/>
      <c r="FOP23" s="3"/>
      <c r="FOQ23" s="3"/>
      <c r="FOR23" s="3"/>
      <c r="FOS23" s="3"/>
      <c r="FOT23" s="3"/>
      <c r="FOU23" s="3"/>
      <c r="FOV23" s="3"/>
      <c r="FOW23" s="3"/>
      <c r="FOX23" s="3"/>
      <c r="FOY23" s="3"/>
      <c r="FOZ23" s="3"/>
      <c r="FPA23" s="3"/>
      <c r="FPB23" s="3"/>
      <c r="FPC23" s="3"/>
      <c r="FPD23" s="3"/>
      <c r="FPE23" s="3"/>
      <c r="FPF23" s="3"/>
      <c r="FPG23" s="3"/>
      <c r="FPH23" s="3"/>
      <c r="FPI23" s="3"/>
      <c r="FPJ23" s="3"/>
      <c r="FPK23" s="3"/>
      <c r="FPL23" s="3"/>
      <c r="FPM23" s="3"/>
      <c r="FPN23" s="3"/>
      <c r="FPO23" s="3"/>
      <c r="FPP23" s="3"/>
      <c r="FPQ23" s="3"/>
      <c r="FPR23" s="3"/>
      <c r="FPS23" s="3"/>
      <c r="FPT23" s="3"/>
      <c r="FPU23" s="3"/>
      <c r="FPV23" s="3"/>
      <c r="FPW23" s="3"/>
      <c r="FPX23" s="3"/>
      <c r="FPY23" s="3"/>
      <c r="FPZ23" s="3"/>
      <c r="FQA23" s="3"/>
      <c r="FQB23" s="3"/>
      <c r="FQC23" s="3"/>
      <c r="FQD23" s="3"/>
      <c r="FQE23" s="3"/>
      <c r="FQF23" s="3"/>
      <c r="FQG23" s="3"/>
      <c r="FQH23" s="3"/>
      <c r="FQI23" s="3"/>
      <c r="FQJ23" s="3"/>
      <c r="FQK23" s="3"/>
      <c r="FQL23" s="3"/>
      <c r="FQM23" s="3"/>
      <c r="FQN23" s="3"/>
      <c r="FQO23" s="3"/>
      <c r="FQP23" s="3"/>
      <c r="FQQ23" s="3"/>
      <c r="FQR23" s="3"/>
      <c r="FQS23" s="3"/>
      <c r="FQT23" s="3"/>
      <c r="FQU23" s="3"/>
      <c r="FQV23" s="3"/>
      <c r="FQW23" s="3"/>
      <c r="FQX23" s="3"/>
      <c r="FQY23" s="3"/>
      <c r="FQZ23" s="3"/>
      <c r="FRA23" s="3"/>
      <c r="FRB23" s="3"/>
      <c r="FRC23" s="3"/>
      <c r="FRD23" s="3"/>
      <c r="FRE23" s="3"/>
      <c r="FRF23" s="3"/>
      <c r="FRG23" s="3"/>
      <c r="FRH23" s="3"/>
      <c r="FRI23" s="3"/>
      <c r="FRJ23" s="3"/>
      <c r="FRK23" s="3"/>
      <c r="FRL23" s="3"/>
      <c r="FRM23" s="3"/>
      <c r="FRN23" s="3"/>
      <c r="FRO23" s="3"/>
      <c r="FRP23" s="3"/>
      <c r="FRQ23" s="3"/>
      <c r="FRR23" s="3"/>
      <c r="FRS23" s="3"/>
      <c r="FRT23" s="3"/>
      <c r="FRU23" s="3"/>
      <c r="FRV23" s="3"/>
      <c r="FRW23" s="3"/>
      <c r="FRX23" s="3"/>
      <c r="FRY23" s="3"/>
      <c r="FRZ23" s="3"/>
      <c r="FSA23" s="3"/>
      <c r="FSB23" s="3"/>
      <c r="FSC23" s="3"/>
      <c r="FSD23" s="3"/>
      <c r="FSE23" s="3"/>
      <c r="FSF23" s="3"/>
      <c r="FSG23" s="3"/>
      <c r="FSH23" s="3"/>
      <c r="FSI23" s="3"/>
      <c r="FSJ23" s="3"/>
      <c r="FSK23" s="3"/>
      <c r="FSL23" s="3"/>
      <c r="FSM23" s="3"/>
      <c r="FSN23" s="3"/>
      <c r="FSO23" s="3"/>
      <c r="FSP23" s="3"/>
      <c r="FSQ23" s="3"/>
      <c r="FSR23" s="3"/>
      <c r="FSS23" s="3"/>
      <c r="FST23" s="3"/>
      <c r="FSU23" s="3"/>
      <c r="FSV23" s="3"/>
      <c r="FSW23" s="3"/>
      <c r="FSX23" s="3"/>
      <c r="FSY23" s="3"/>
      <c r="FSZ23" s="3"/>
      <c r="FTA23" s="3"/>
      <c r="FTB23" s="3"/>
      <c r="FTC23" s="3"/>
      <c r="FTD23" s="3"/>
      <c r="FTE23" s="3"/>
      <c r="FTF23" s="3"/>
      <c r="FTG23" s="3"/>
      <c r="FTH23" s="3"/>
      <c r="FTI23" s="3"/>
      <c r="FTJ23" s="3"/>
      <c r="FTK23" s="3"/>
      <c r="FTL23" s="3"/>
      <c r="FTM23" s="3"/>
      <c r="FTN23" s="3"/>
      <c r="FTO23" s="3"/>
      <c r="FTP23" s="3"/>
      <c r="FTQ23" s="3"/>
      <c r="FTR23" s="3"/>
      <c r="FTS23" s="3"/>
      <c r="FTT23" s="3"/>
      <c r="FTU23" s="3"/>
      <c r="FTV23" s="3"/>
      <c r="FTW23" s="3"/>
      <c r="FTX23" s="3"/>
      <c r="FTY23" s="3"/>
      <c r="FTZ23" s="3"/>
      <c r="FUA23" s="3"/>
      <c r="FUB23" s="3"/>
      <c r="FUC23" s="3"/>
      <c r="FUD23" s="3"/>
      <c r="FUE23" s="3"/>
      <c r="FUF23" s="3"/>
      <c r="FUG23" s="3"/>
      <c r="FUH23" s="3"/>
      <c r="FUI23" s="3"/>
      <c r="FUJ23" s="3"/>
      <c r="FUK23" s="3"/>
      <c r="FUL23" s="3"/>
      <c r="FUM23" s="3"/>
      <c r="FUN23" s="3"/>
      <c r="FUO23" s="3"/>
      <c r="FUP23" s="3"/>
      <c r="FUQ23" s="3"/>
      <c r="FUR23" s="3"/>
      <c r="FUS23" s="3"/>
      <c r="FUT23" s="3"/>
      <c r="FUU23" s="3"/>
      <c r="FUV23" s="3"/>
      <c r="FUW23" s="3"/>
      <c r="FUX23" s="3"/>
      <c r="FUY23" s="3"/>
      <c r="FUZ23" s="3"/>
      <c r="FVA23" s="3"/>
      <c r="FVB23" s="3"/>
      <c r="FVC23" s="3"/>
      <c r="FVD23" s="3"/>
      <c r="FVE23" s="3"/>
      <c r="FVF23" s="3"/>
      <c r="FVG23" s="3"/>
      <c r="FVH23" s="3"/>
      <c r="FVI23" s="3"/>
      <c r="FVJ23" s="3"/>
      <c r="FVK23" s="3"/>
      <c r="FVL23" s="3"/>
      <c r="FVM23" s="3"/>
      <c r="FVN23" s="3"/>
      <c r="FVO23" s="3"/>
      <c r="FVP23" s="3"/>
      <c r="FVQ23" s="3"/>
      <c r="FVR23" s="3"/>
      <c r="FVS23" s="3"/>
      <c r="FVT23" s="3"/>
      <c r="FVU23" s="3"/>
      <c r="FVV23" s="3"/>
      <c r="FVW23" s="3"/>
      <c r="FVX23" s="3"/>
      <c r="FVY23" s="3"/>
      <c r="FVZ23" s="3"/>
      <c r="FWA23" s="3"/>
      <c r="FWB23" s="3"/>
      <c r="FWC23" s="3"/>
      <c r="FWD23" s="3"/>
      <c r="FWE23" s="3"/>
      <c r="FWF23" s="3"/>
      <c r="FWG23" s="3"/>
      <c r="FWH23" s="3"/>
      <c r="FWI23" s="3"/>
      <c r="FWJ23" s="3"/>
      <c r="FWK23" s="3"/>
      <c r="FWL23" s="3"/>
      <c r="FWM23" s="3"/>
      <c r="FWN23" s="3"/>
      <c r="FWO23" s="3"/>
      <c r="FWP23" s="3"/>
      <c r="FWQ23" s="3"/>
      <c r="FWR23" s="3"/>
      <c r="FWS23" s="3"/>
      <c r="FWT23" s="3"/>
      <c r="FWU23" s="3"/>
      <c r="FWV23" s="3"/>
      <c r="FWW23" s="3"/>
      <c r="FWX23" s="3"/>
      <c r="FWY23" s="3"/>
      <c r="FWZ23" s="3"/>
      <c r="FXA23" s="3"/>
      <c r="FXB23" s="3"/>
      <c r="FXC23" s="3"/>
      <c r="FXD23" s="3"/>
      <c r="FXE23" s="3"/>
      <c r="FXF23" s="3"/>
      <c r="FXG23" s="3"/>
      <c r="FXH23" s="3"/>
      <c r="FXI23" s="3"/>
      <c r="FXJ23" s="3"/>
      <c r="FXK23" s="3"/>
      <c r="FXL23" s="3"/>
      <c r="FXM23" s="3"/>
      <c r="FXN23" s="3"/>
      <c r="FXO23" s="3"/>
      <c r="FXP23" s="3"/>
      <c r="FXQ23" s="3"/>
      <c r="FXR23" s="3"/>
      <c r="FXS23" s="3"/>
      <c r="FXT23" s="3"/>
      <c r="FXU23" s="3"/>
      <c r="FXV23" s="3"/>
      <c r="FXW23" s="3"/>
      <c r="FXX23" s="3"/>
      <c r="FXY23" s="3"/>
      <c r="FXZ23" s="3"/>
      <c r="FYA23" s="3"/>
      <c r="FYB23" s="3"/>
      <c r="FYC23" s="3"/>
      <c r="FYD23" s="3"/>
      <c r="FYE23" s="3"/>
      <c r="FYF23" s="3"/>
      <c r="FYG23" s="3"/>
      <c r="FYH23" s="3"/>
      <c r="FYI23" s="3"/>
      <c r="FYJ23" s="3"/>
      <c r="FYK23" s="3"/>
      <c r="FYL23" s="3"/>
      <c r="FYM23" s="3"/>
      <c r="FYN23" s="3"/>
      <c r="FYO23" s="3"/>
      <c r="FYP23" s="3"/>
      <c r="FYQ23" s="3"/>
      <c r="FYR23" s="3"/>
      <c r="FYS23" s="3"/>
      <c r="FYT23" s="3"/>
      <c r="FYU23" s="3"/>
      <c r="FYV23" s="3"/>
      <c r="FYW23" s="3"/>
      <c r="FYX23" s="3"/>
      <c r="FYY23" s="3"/>
      <c r="FYZ23" s="3"/>
      <c r="FZA23" s="3"/>
      <c r="FZB23" s="3"/>
      <c r="FZC23" s="3"/>
      <c r="FZD23" s="3"/>
      <c r="FZE23" s="3"/>
      <c r="FZF23" s="3"/>
      <c r="FZG23" s="3"/>
      <c r="FZH23" s="3"/>
      <c r="FZI23" s="3"/>
      <c r="FZJ23" s="3"/>
      <c r="FZK23" s="3"/>
      <c r="FZL23" s="3"/>
      <c r="FZM23" s="3"/>
      <c r="FZN23" s="3"/>
      <c r="FZO23" s="3"/>
      <c r="FZP23" s="3"/>
      <c r="FZQ23" s="3"/>
      <c r="FZR23" s="3"/>
      <c r="FZS23" s="3"/>
      <c r="FZT23" s="3"/>
      <c r="FZU23" s="3"/>
      <c r="FZV23" s="3"/>
      <c r="FZW23" s="3"/>
      <c r="FZX23" s="3"/>
      <c r="FZY23" s="3"/>
      <c r="FZZ23" s="3"/>
      <c r="GAA23" s="3"/>
      <c r="GAB23" s="3"/>
      <c r="GAC23" s="3"/>
      <c r="GAD23" s="3"/>
      <c r="GAE23" s="3"/>
      <c r="GAF23" s="3"/>
      <c r="GAG23" s="3"/>
      <c r="GAH23" s="3"/>
      <c r="GAI23" s="3"/>
      <c r="GAJ23" s="3"/>
      <c r="GAK23" s="3"/>
      <c r="GAL23" s="3"/>
      <c r="GAM23" s="3"/>
      <c r="GAN23" s="3"/>
      <c r="GAO23" s="3"/>
      <c r="GAP23" s="3"/>
      <c r="GAQ23" s="3"/>
      <c r="GAR23" s="3"/>
      <c r="GAS23" s="3"/>
      <c r="GAT23" s="3"/>
      <c r="GAU23" s="3"/>
      <c r="GAV23" s="3"/>
      <c r="GAW23" s="3"/>
      <c r="GAX23" s="3"/>
      <c r="GAY23" s="3"/>
      <c r="GAZ23" s="3"/>
      <c r="GBA23" s="3"/>
      <c r="GBB23" s="3"/>
      <c r="GBC23" s="3"/>
      <c r="GBD23" s="3"/>
      <c r="GBE23" s="3"/>
      <c r="GBF23" s="3"/>
      <c r="GBG23" s="3"/>
      <c r="GBH23" s="3"/>
      <c r="GBI23" s="3"/>
      <c r="GBJ23" s="3"/>
      <c r="GBK23" s="3"/>
      <c r="GBL23" s="3"/>
      <c r="GBM23" s="3"/>
      <c r="GBN23" s="3"/>
      <c r="GBO23" s="3"/>
      <c r="GBP23" s="3"/>
      <c r="GBQ23" s="3"/>
      <c r="GBR23" s="3"/>
      <c r="GBS23" s="3"/>
      <c r="GBT23" s="3"/>
      <c r="GBU23" s="3"/>
      <c r="GBV23" s="3"/>
      <c r="GBW23" s="3"/>
      <c r="GBX23" s="3"/>
      <c r="GBY23" s="3"/>
      <c r="GBZ23" s="3"/>
      <c r="GCA23" s="3"/>
      <c r="GCB23" s="3"/>
      <c r="GCC23" s="3"/>
      <c r="GCD23" s="3"/>
      <c r="GCE23" s="3"/>
      <c r="GCF23" s="3"/>
      <c r="GCG23" s="3"/>
      <c r="GCH23" s="3"/>
      <c r="GCI23" s="3"/>
      <c r="GCJ23" s="3"/>
      <c r="GCK23" s="3"/>
      <c r="GCL23" s="3"/>
      <c r="GCM23" s="3"/>
      <c r="GCN23" s="3"/>
      <c r="GCO23" s="3"/>
      <c r="GCP23" s="3"/>
      <c r="GCQ23" s="3"/>
      <c r="GCR23" s="3"/>
      <c r="GCS23" s="3"/>
      <c r="GCT23" s="3"/>
      <c r="GCU23" s="3"/>
      <c r="GCV23" s="3"/>
      <c r="GCW23" s="3"/>
      <c r="GCX23" s="3"/>
      <c r="GCY23" s="3"/>
      <c r="GCZ23" s="3"/>
      <c r="GDA23" s="3"/>
      <c r="GDB23" s="3"/>
      <c r="GDC23" s="3"/>
      <c r="GDD23" s="3"/>
      <c r="GDE23" s="3"/>
      <c r="GDF23" s="3"/>
      <c r="GDG23" s="3"/>
      <c r="GDH23" s="3"/>
      <c r="GDI23" s="3"/>
      <c r="GDJ23" s="3"/>
      <c r="GDK23" s="3"/>
      <c r="GDL23" s="3"/>
      <c r="GDM23" s="3"/>
      <c r="GDN23" s="3"/>
      <c r="GDO23" s="3"/>
      <c r="GDP23" s="3"/>
      <c r="GDQ23" s="3"/>
      <c r="GDR23" s="3"/>
      <c r="GDS23" s="3"/>
      <c r="GDT23" s="3"/>
      <c r="GDU23" s="3"/>
      <c r="GDV23" s="3"/>
      <c r="GDW23" s="3"/>
      <c r="GDX23" s="3"/>
      <c r="GDY23" s="3"/>
      <c r="GDZ23" s="3"/>
      <c r="GEA23" s="3"/>
      <c r="GEB23" s="3"/>
      <c r="GEC23" s="3"/>
      <c r="GED23" s="3"/>
      <c r="GEE23" s="3"/>
      <c r="GEF23" s="3"/>
      <c r="GEG23" s="3"/>
      <c r="GEH23" s="3"/>
      <c r="GEI23" s="3"/>
      <c r="GEJ23" s="3"/>
      <c r="GEK23" s="3"/>
      <c r="GEL23" s="3"/>
      <c r="GEM23" s="3"/>
      <c r="GEN23" s="3"/>
      <c r="GEO23" s="3"/>
      <c r="GEP23" s="3"/>
      <c r="GEQ23" s="3"/>
      <c r="GER23" s="3"/>
      <c r="GES23" s="3"/>
      <c r="GET23" s="3"/>
      <c r="GEU23" s="3"/>
      <c r="GEV23" s="3"/>
      <c r="GEW23" s="3"/>
      <c r="GEX23" s="3"/>
      <c r="GEY23" s="3"/>
      <c r="GEZ23" s="3"/>
      <c r="GFA23" s="3"/>
      <c r="GFB23" s="3"/>
      <c r="GFC23" s="3"/>
      <c r="GFD23" s="3"/>
      <c r="GFE23" s="3"/>
      <c r="GFF23" s="3"/>
      <c r="GFG23" s="3"/>
      <c r="GFH23" s="3"/>
      <c r="GFI23" s="3"/>
      <c r="GFJ23" s="3"/>
      <c r="GFK23" s="3"/>
      <c r="GFL23" s="3"/>
      <c r="GFM23" s="3"/>
      <c r="GFN23" s="3"/>
      <c r="GFO23" s="3"/>
      <c r="GFP23" s="3"/>
      <c r="GFQ23" s="3"/>
      <c r="GFR23" s="3"/>
      <c r="GFS23" s="3"/>
      <c r="GFT23" s="3"/>
      <c r="GFU23" s="3"/>
      <c r="GFV23" s="3"/>
      <c r="GFW23" s="3"/>
      <c r="GFX23" s="3"/>
      <c r="GFY23" s="3"/>
      <c r="GFZ23" s="3"/>
      <c r="GGA23" s="3"/>
      <c r="GGB23" s="3"/>
      <c r="GGC23" s="3"/>
      <c r="GGD23" s="3"/>
      <c r="GGE23" s="3"/>
      <c r="GGF23" s="3"/>
      <c r="GGG23" s="3"/>
      <c r="GGH23" s="3"/>
      <c r="GGI23" s="3"/>
      <c r="GGJ23" s="3"/>
      <c r="GGK23" s="3"/>
      <c r="GGL23" s="3"/>
      <c r="GGM23" s="3"/>
      <c r="GGN23" s="3"/>
      <c r="GGO23" s="3"/>
      <c r="GGP23" s="3"/>
      <c r="GGQ23" s="3"/>
      <c r="GGR23" s="3"/>
      <c r="GGS23" s="3"/>
      <c r="GGT23" s="3"/>
      <c r="GGU23" s="3"/>
      <c r="GGV23" s="3"/>
      <c r="GGW23" s="3"/>
      <c r="GGX23" s="3"/>
      <c r="GGY23" s="3"/>
      <c r="GGZ23" s="3"/>
      <c r="GHA23" s="3"/>
      <c r="GHB23" s="3"/>
      <c r="GHC23" s="3"/>
      <c r="GHD23" s="3"/>
      <c r="GHE23" s="3"/>
      <c r="GHF23" s="3"/>
      <c r="GHG23" s="3"/>
      <c r="GHH23" s="3"/>
      <c r="GHI23" s="3"/>
      <c r="GHJ23" s="3"/>
      <c r="GHK23" s="3"/>
      <c r="GHL23" s="3"/>
      <c r="GHM23" s="3"/>
      <c r="GHN23" s="3"/>
      <c r="GHO23" s="3"/>
      <c r="GHP23" s="3"/>
      <c r="GHQ23" s="3"/>
      <c r="GHR23" s="3"/>
      <c r="GHS23" s="3"/>
      <c r="GHT23" s="3"/>
      <c r="GHU23" s="3"/>
      <c r="GHV23" s="3"/>
      <c r="GHW23" s="3"/>
      <c r="GHX23" s="3"/>
      <c r="GHY23" s="3"/>
      <c r="GHZ23" s="3"/>
      <c r="GIA23" s="3"/>
      <c r="GIB23" s="3"/>
      <c r="GIC23" s="3"/>
      <c r="GID23" s="3"/>
      <c r="GIE23" s="3"/>
      <c r="GIF23" s="3"/>
      <c r="GIG23" s="3"/>
      <c r="GIH23" s="3"/>
      <c r="GII23" s="3"/>
      <c r="GIJ23" s="3"/>
      <c r="GIK23" s="3"/>
      <c r="GIL23" s="3"/>
      <c r="GIM23" s="3"/>
      <c r="GIN23" s="3"/>
      <c r="GIO23" s="3"/>
      <c r="GIP23" s="3"/>
      <c r="GIQ23" s="3"/>
      <c r="GIR23" s="3"/>
      <c r="GIS23" s="3"/>
      <c r="GIT23" s="3"/>
      <c r="GIU23" s="3"/>
      <c r="GIV23" s="3"/>
      <c r="GIW23" s="3"/>
      <c r="GIX23" s="3"/>
      <c r="GIY23" s="3"/>
      <c r="GIZ23" s="3"/>
      <c r="GJA23" s="3"/>
      <c r="GJB23" s="3"/>
      <c r="GJC23" s="3"/>
      <c r="GJD23" s="3"/>
      <c r="GJE23" s="3"/>
      <c r="GJF23" s="3"/>
      <c r="GJG23" s="3"/>
      <c r="GJH23" s="3"/>
      <c r="GJI23" s="3"/>
      <c r="GJJ23" s="3"/>
      <c r="GJK23" s="3"/>
      <c r="GJL23" s="3"/>
      <c r="GJM23" s="3"/>
      <c r="GJN23" s="3"/>
      <c r="GJO23" s="3"/>
      <c r="GJP23" s="3"/>
      <c r="GJQ23" s="3"/>
      <c r="GJR23" s="3"/>
      <c r="GJS23" s="3"/>
      <c r="GJT23" s="3"/>
      <c r="GJU23" s="3"/>
      <c r="GJV23" s="3"/>
      <c r="GJW23" s="3"/>
      <c r="GJX23" s="3"/>
      <c r="GJY23" s="3"/>
      <c r="GJZ23" s="3"/>
      <c r="GKA23" s="3"/>
      <c r="GKB23" s="3"/>
      <c r="GKC23" s="3"/>
      <c r="GKD23" s="3"/>
      <c r="GKE23" s="3"/>
      <c r="GKF23" s="3"/>
      <c r="GKG23" s="3"/>
      <c r="GKH23" s="3"/>
      <c r="GKI23" s="3"/>
      <c r="GKJ23" s="3"/>
      <c r="GKK23" s="3"/>
      <c r="GKL23" s="3"/>
      <c r="GKM23" s="3"/>
      <c r="GKN23" s="3"/>
      <c r="GKO23" s="3"/>
      <c r="GKP23" s="3"/>
      <c r="GKQ23" s="3"/>
      <c r="GKR23" s="3"/>
      <c r="GKS23" s="3"/>
      <c r="GKT23" s="3"/>
      <c r="GKU23" s="3"/>
      <c r="GKV23" s="3"/>
      <c r="GKW23" s="3"/>
      <c r="GKX23" s="3"/>
      <c r="GKY23" s="3"/>
      <c r="GKZ23" s="3"/>
      <c r="GLA23" s="3"/>
      <c r="GLB23" s="3"/>
      <c r="GLC23" s="3"/>
      <c r="GLD23" s="3"/>
      <c r="GLE23" s="3"/>
      <c r="GLF23" s="3"/>
      <c r="GLG23" s="3"/>
      <c r="GLH23" s="3"/>
      <c r="GLI23" s="3"/>
      <c r="GLJ23" s="3"/>
      <c r="GLK23" s="3"/>
      <c r="GLL23" s="3"/>
      <c r="GLM23" s="3"/>
      <c r="GLN23" s="3"/>
      <c r="GLO23" s="3"/>
      <c r="GLP23" s="3"/>
      <c r="GLQ23" s="3"/>
      <c r="GLR23" s="3"/>
      <c r="GLS23" s="3"/>
      <c r="GLT23" s="3"/>
      <c r="GLU23" s="3"/>
      <c r="GLV23" s="3"/>
      <c r="GLW23" s="3"/>
      <c r="GLX23" s="3"/>
      <c r="GLY23" s="3"/>
      <c r="GLZ23" s="3"/>
      <c r="GMA23" s="3"/>
      <c r="GMB23" s="3"/>
      <c r="GMC23" s="3"/>
      <c r="GMD23" s="3"/>
      <c r="GME23" s="3"/>
      <c r="GMF23" s="3"/>
      <c r="GMG23" s="3"/>
      <c r="GMH23" s="3"/>
      <c r="GMI23" s="3"/>
      <c r="GMJ23" s="3"/>
      <c r="GMK23" s="3"/>
      <c r="GML23" s="3"/>
      <c r="GMM23" s="3"/>
      <c r="GMN23" s="3"/>
      <c r="GMO23" s="3"/>
      <c r="GMP23" s="3"/>
      <c r="GMQ23" s="3"/>
      <c r="GMR23" s="3"/>
      <c r="GMS23" s="3"/>
      <c r="GMT23" s="3"/>
      <c r="GMU23" s="3"/>
      <c r="GMV23" s="3"/>
      <c r="GMW23" s="3"/>
      <c r="GMX23" s="3"/>
      <c r="GMY23" s="3"/>
      <c r="GMZ23" s="3"/>
      <c r="GNA23" s="3"/>
      <c r="GNB23" s="3"/>
      <c r="GNC23" s="3"/>
      <c r="GND23" s="3"/>
      <c r="GNE23" s="3"/>
      <c r="GNF23" s="3"/>
      <c r="GNG23" s="3"/>
      <c r="GNH23" s="3"/>
      <c r="GNI23" s="3"/>
      <c r="GNJ23" s="3"/>
      <c r="GNK23" s="3"/>
      <c r="GNL23" s="3"/>
      <c r="GNM23" s="3"/>
      <c r="GNN23" s="3"/>
      <c r="GNO23" s="3"/>
      <c r="GNP23" s="3"/>
      <c r="GNQ23" s="3"/>
      <c r="GNR23" s="3"/>
      <c r="GNS23" s="3"/>
      <c r="GNT23" s="3"/>
      <c r="GNU23" s="3"/>
      <c r="GNV23" s="3"/>
      <c r="GNW23" s="3"/>
      <c r="GNX23" s="3"/>
      <c r="GNY23" s="3"/>
      <c r="GNZ23" s="3"/>
      <c r="GOA23" s="3"/>
      <c r="GOB23" s="3"/>
      <c r="GOC23" s="3"/>
      <c r="GOD23" s="3"/>
      <c r="GOE23" s="3"/>
      <c r="GOF23" s="3"/>
      <c r="GOG23" s="3"/>
      <c r="GOH23" s="3"/>
      <c r="GOI23" s="3"/>
      <c r="GOJ23" s="3"/>
      <c r="GOK23" s="3"/>
      <c r="GOL23" s="3"/>
      <c r="GOM23" s="3"/>
      <c r="GON23" s="3"/>
      <c r="GOO23" s="3"/>
      <c r="GOP23" s="3"/>
      <c r="GOQ23" s="3"/>
      <c r="GOR23" s="3"/>
      <c r="GOS23" s="3"/>
      <c r="GOT23" s="3"/>
      <c r="GOU23" s="3"/>
      <c r="GOV23" s="3"/>
      <c r="GOW23" s="3"/>
      <c r="GOX23" s="3"/>
      <c r="GOY23" s="3"/>
      <c r="GOZ23" s="3"/>
      <c r="GPA23" s="3"/>
      <c r="GPB23" s="3"/>
      <c r="GPC23" s="3"/>
      <c r="GPD23" s="3"/>
      <c r="GPE23" s="3"/>
      <c r="GPF23" s="3"/>
      <c r="GPG23" s="3"/>
      <c r="GPH23" s="3"/>
      <c r="GPI23" s="3"/>
      <c r="GPJ23" s="3"/>
      <c r="GPK23" s="3"/>
      <c r="GPL23" s="3"/>
      <c r="GPM23" s="3"/>
      <c r="GPN23" s="3"/>
      <c r="GPO23" s="3"/>
      <c r="GPP23" s="3"/>
      <c r="GPQ23" s="3"/>
      <c r="GPR23" s="3"/>
      <c r="GPS23" s="3"/>
      <c r="GPT23" s="3"/>
      <c r="GPU23" s="3"/>
      <c r="GPV23" s="3"/>
      <c r="GPW23" s="3"/>
      <c r="GPX23" s="3"/>
      <c r="GPY23" s="3"/>
      <c r="GPZ23" s="3"/>
      <c r="GQA23" s="3"/>
      <c r="GQB23" s="3"/>
      <c r="GQC23" s="3"/>
      <c r="GQD23" s="3"/>
      <c r="GQE23" s="3"/>
      <c r="GQF23" s="3"/>
      <c r="GQG23" s="3"/>
      <c r="GQH23" s="3"/>
      <c r="GQI23" s="3"/>
      <c r="GQJ23" s="3"/>
      <c r="GQK23" s="3"/>
      <c r="GQL23" s="3"/>
      <c r="GQM23" s="3"/>
      <c r="GQN23" s="3"/>
      <c r="GQO23" s="3"/>
      <c r="GQP23" s="3"/>
      <c r="GQQ23" s="3"/>
      <c r="GQR23" s="3"/>
      <c r="GQS23" s="3"/>
      <c r="GQT23" s="3"/>
      <c r="GQU23" s="3"/>
      <c r="GQV23" s="3"/>
      <c r="GQW23" s="3"/>
      <c r="GQX23" s="3"/>
      <c r="GQY23" s="3"/>
      <c r="GQZ23" s="3"/>
      <c r="GRA23" s="3"/>
      <c r="GRB23" s="3"/>
      <c r="GRC23" s="3"/>
      <c r="GRD23" s="3"/>
      <c r="GRE23" s="3"/>
      <c r="GRF23" s="3"/>
      <c r="GRG23" s="3"/>
      <c r="GRH23" s="3"/>
      <c r="GRI23" s="3"/>
      <c r="GRJ23" s="3"/>
      <c r="GRK23" s="3"/>
      <c r="GRL23" s="3"/>
      <c r="GRM23" s="3"/>
      <c r="GRN23" s="3"/>
      <c r="GRO23" s="3"/>
      <c r="GRP23" s="3"/>
      <c r="GRQ23" s="3"/>
      <c r="GRR23" s="3"/>
      <c r="GRS23" s="3"/>
      <c r="GRT23" s="3"/>
      <c r="GRU23" s="3"/>
      <c r="GRV23" s="3"/>
      <c r="GRW23" s="3"/>
      <c r="GRX23" s="3"/>
      <c r="GRY23" s="3"/>
      <c r="GRZ23" s="3"/>
      <c r="GSA23" s="3"/>
      <c r="GSB23" s="3"/>
      <c r="GSC23" s="3"/>
      <c r="GSD23" s="3"/>
      <c r="GSE23" s="3"/>
      <c r="GSF23" s="3"/>
      <c r="GSG23" s="3"/>
      <c r="GSH23" s="3"/>
      <c r="GSI23" s="3"/>
      <c r="GSJ23" s="3"/>
      <c r="GSK23" s="3"/>
      <c r="GSL23" s="3"/>
      <c r="GSM23" s="3"/>
      <c r="GSN23" s="3"/>
      <c r="GSO23" s="3"/>
      <c r="GSP23" s="3"/>
      <c r="GSQ23" s="3"/>
      <c r="GSR23" s="3"/>
      <c r="GSS23" s="3"/>
      <c r="GST23" s="3"/>
      <c r="GSU23" s="3"/>
      <c r="GSV23" s="3"/>
      <c r="GSW23" s="3"/>
      <c r="GSX23" s="3"/>
      <c r="GSY23" s="3"/>
      <c r="GSZ23" s="3"/>
      <c r="GTA23" s="3"/>
      <c r="GTB23" s="3"/>
      <c r="GTC23" s="3"/>
      <c r="GTD23" s="3"/>
      <c r="GTE23" s="3"/>
      <c r="GTF23" s="3"/>
      <c r="GTG23" s="3"/>
      <c r="GTH23" s="3"/>
      <c r="GTI23" s="3"/>
      <c r="GTJ23" s="3"/>
      <c r="GTK23" s="3"/>
      <c r="GTL23" s="3"/>
      <c r="GTM23" s="3"/>
      <c r="GTN23" s="3"/>
      <c r="GTO23" s="3"/>
      <c r="GTP23" s="3"/>
      <c r="GTQ23" s="3"/>
      <c r="GTR23" s="3"/>
      <c r="GTS23" s="3"/>
      <c r="GTT23" s="3"/>
      <c r="GTU23" s="3"/>
      <c r="GTV23" s="3"/>
      <c r="GTW23" s="3"/>
      <c r="GTX23" s="3"/>
      <c r="GTY23" s="3"/>
      <c r="GTZ23" s="3"/>
      <c r="GUA23" s="3"/>
      <c r="GUB23" s="3"/>
      <c r="GUC23" s="3"/>
      <c r="GUD23" s="3"/>
      <c r="GUE23" s="3"/>
      <c r="GUF23" s="3"/>
      <c r="GUG23" s="3"/>
      <c r="GUH23" s="3"/>
      <c r="GUI23" s="3"/>
      <c r="GUJ23" s="3"/>
      <c r="GUK23" s="3"/>
      <c r="GUL23" s="3"/>
      <c r="GUM23" s="3"/>
      <c r="GUN23" s="3"/>
      <c r="GUO23" s="3"/>
      <c r="GUP23" s="3"/>
      <c r="GUQ23" s="3"/>
      <c r="GUR23" s="3"/>
      <c r="GUS23" s="3"/>
      <c r="GUT23" s="3"/>
      <c r="GUU23" s="3"/>
      <c r="GUV23" s="3"/>
      <c r="GUW23" s="3"/>
      <c r="GUX23" s="3"/>
      <c r="GUY23" s="3"/>
      <c r="GUZ23" s="3"/>
      <c r="GVA23" s="3"/>
      <c r="GVB23" s="3"/>
      <c r="GVC23" s="3"/>
      <c r="GVD23" s="3"/>
      <c r="GVE23" s="3"/>
      <c r="GVF23" s="3"/>
      <c r="GVG23" s="3"/>
      <c r="GVH23" s="3"/>
      <c r="GVI23" s="3"/>
      <c r="GVJ23" s="3"/>
      <c r="GVK23" s="3"/>
      <c r="GVL23" s="3"/>
      <c r="GVM23" s="3"/>
      <c r="GVN23" s="3"/>
      <c r="GVO23" s="3"/>
      <c r="GVP23" s="3"/>
      <c r="GVQ23" s="3"/>
      <c r="GVR23" s="3"/>
      <c r="GVS23" s="3"/>
      <c r="GVT23" s="3"/>
      <c r="GVU23" s="3"/>
      <c r="GVV23" s="3"/>
      <c r="GVW23" s="3"/>
      <c r="GVX23" s="3"/>
      <c r="GVY23" s="3"/>
      <c r="GVZ23" s="3"/>
      <c r="GWA23" s="3"/>
      <c r="GWB23" s="3"/>
      <c r="GWC23" s="3"/>
      <c r="GWD23" s="3"/>
      <c r="GWE23" s="3"/>
      <c r="GWF23" s="3"/>
      <c r="GWG23" s="3"/>
      <c r="GWH23" s="3"/>
      <c r="GWI23" s="3"/>
      <c r="GWJ23" s="3"/>
      <c r="GWK23" s="3"/>
      <c r="GWL23" s="3"/>
      <c r="GWM23" s="3"/>
      <c r="GWN23" s="3"/>
      <c r="GWO23" s="3"/>
      <c r="GWP23" s="3"/>
      <c r="GWQ23" s="3"/>
      <c r="GWR23" s="3"/>
      <c r="GWS23" s="3"/>
      <c r="GWT23" s="3"/>
      <c r="GWU23" s="3"/>
      <c r="GWV23" s="3"/>
      <c r="GWW23" s="3"/>
      <c r="GWX23" s="3"/>
      <c r="GWY23" s="3"/>
      <c r="GWZ23" s="3"/>
      <c r="GXA23" s="3"/>
      <c r="GXB23" s="3"/>
      <c r="GXC23" s="3"/>
      <c r="GXD23" s="3"/>
      <c r="GXE23" s="3"/>
      <c r="GXF23" s="3"/>
      <c r="GXG23" s="3"/>
      <c r="GXH23" s="3"/>
      <c r="GXI23" s="3"/>
      <c r="GXJ23" s="3"/>
      <c r="GXK23" s="3"/>
      <c r="GXL23" s="3"/>
      <c r="GXM23" s="3"/>
      <c r="GXN23" s="3"/>
      <c r="GXO23" s="3"/>
      <c r="GXP23" s="3"/>
      <c r="GXQ23" s="3"/>
      <c r="GXR23" s="3"/>
      <c r="GXS23" s="3"/>
      <c r="GXT23" s="3"/>
      <c r="GXU23" s="3"/>
      <c r="GXV23" s="3"/>
      <c r="GXW23" s="3"/>
      <c r="GXX23" s="3"/>
      <c r="GXY23" s="3"/>
      <c r="GXZ23" s="3"/>
      <c r="GYA23" s="3"/>
      <c r="GYB23" s="3"/>
      <c r="GYC23" s="3"/>
      <c r="GYD23" s="3"/>
      <c r="GYE23" s="3"/>
      <c r="GYF23" s="3"/>
      <c r="GYG23" s="3"/>
      <c r="GYH23" s="3"/>
      <c r="GYI23" s="3"/>
      <c r="GYJ23" s="3"/>
      <c r="GYK23" s="3"/>
      <c r="GYL23" s="3"/>
      <c r="GYM23" s="3"/>
      <c r="GYN23" s="3"/>
      <c r="GYO23" s="3"/>
      <c r="GYP23" s="3"/>
      <c r="GYQ23" s="3"/>
      <c r="GYR23" s="3"/>
      <c r="GYS23" s="3"/>
      <c r="GYT23" s="3"/>
      <c r="GYU23" s="3"/>
      <c r="GYV23" s="3"/>
      <c r="GYW23" s="3"/>
      <c r="GYX23" s="3"/>
      <c r="GYY23" s="3"/>
      <c r="GYZ23" s="3"/>
      <c r="GZA23" s="3"/>
      <c r="GZB23" s="3"/>
      <c r="GZC23" s="3"/>
      <c r="GZD23" s="3"/>
      <c r="GZE23" s="3"/>
      <c r="GZF23" s="3"/>
      <c r="GZG23" s="3"/>
      <c r="GZH23" s="3"/>
      <c r="GZI23" s="3"/>
      <c r="GZJ23" s="3"/>
      <c r="GZK23" s="3"/>
      <c r="GZL23" s="3"/>
      <c r="GZM23" s="3"/>
      <c r="GZN23" s="3"/>
      <c r="GZO23" s="3"/>
      <c r="GZP23" s="3"/>
      <c r="GZQ23" s="3"/>
      <c r="GZR23" s="3"/>
      <c r="GZS23" s="3"/>
      <c r="GZT23" s="3"/>
      <c r="GZU23" s="3"/>
      <c r="GZV23" s="3"/>
      <c r="GZW23" s="3"/>
      <c r="GZX23" s="3"/>
      <c r="GZY23" s="3"/>
      <c r="GZZ23" s="3"/>
      <c r="HAA23" s="3"/>
      <c r="HAB23" s="3"/>
      <c r="HAC23" s="3"/>
      <c r="HAD23" s="3"/>
      <c r="HAE23" s="3"/>
      <c r="HAF23" s="3"/>
      <c r="HAG23" s="3"/>
      <c r="HAH23" s="3"/>
      <c r="HAI23" s="3"/>
      <c r="HAJ23" s="3"/>
      <c r="HAK23" s="3"/>
      <c r="HAL23" s="3"/>
      <c r="HAM23" s="3"/>
      <c r="HAN23" s="3"/>
      <c r="HAO23" s="3"/>
      <c r="HAP23" s="3"/>
      <c r="HAQ23" s="3"/>
      <c r="HAR23" s="3"/>
      <c r="HAS23" s="3"/>
      <c r="HAT23" s="3"/>
      <c r="HAU23" s="3"/>
      <c r="HAV23" s="3"/>
      <c r="HAW23" s="3"/>
      <c r="HAX23" s="3"/>
      <c r="HAY23" s="3"/>
      <c r="HAZ23" s="3"/>
      <c r="HBA23" s="3"/>
      <c r="HBB23" s="3"/>
      <c r="HBC23" s="3"/>
      <c r="HBD23" s="3"/>
      <c r="HBE23" s="3"/>
      <c r="HBF23" s="3"/>
      <c r="HBG23" s="3"/>
      <c r="HBH23" s="3"/>
      <c r="HBI23" s="3"/>
      <c r="HBJ23" s="3"/>
      <c r="HBK23" s="3"/>
      <c r="HBL23" s="3"/>
      <c r="HBM23" s="3"/>
      <c r="HBN23" s="3"/>
      <c r="HBO23" s="3"/>
      <c r="HBP23" s="3"/>
      <c r="HBQ23" s="3"/>
      <c r="HBR23" s="3"/>
      <c r="HBS23" s="3"/>
      <c r="HBT23" s="3"/>
      <c r="HBU23" s="3"/>
      <c r="HBV23" s="3"/>
      <c r="HBW23" s="3"/>
      <c r="HBX23" s="3"/>
      <c r="HBY23" s="3"/>
      <c r="HBZ23" s="3"/>
      <c r="HCA23" s="3"/>
      <c r="HCB23" s="3"/>
      <c r="HCC23" s="3"/>
      <c r="HCD23" s="3"/>
      <c r="HCE23" s="3"/>
      <c r="HCF23" s="3"/>
      <c r="HCG23" s="3"/>
      <c r="HCH23" s="3"/>
      <c r="HCI23" s="3"/>
      <c r="HCJ23" s="3"/>
      <c r="HCK23" s="3"/>
      <c r="HCL23" s="3"/>
      <c r="HCM23" s="3"/>
      <c r="HCN23" s="3"/>
      <c r="HCO23" s="3"/>
      <c r="HCP23" s="3"/>
      <c r="HCQ23" s="3"/>
      <c r="HCR23" s="3"/>
      <c r="HCS23" s="3"/>
      <c r="HCT23" s="3"/>
      <c r="HCU23" s="3"/>
      <c r="HCV23" s="3"/>
      <c r="HCW23" s="3"/>
      <c r="HCX23" s="3"/>
      <c r="HCY23" s="3"/>
      <c r="HCZ23" s="3"/>
      <c r="HDA23" s="3"/>
      <c r="HDB23" s="3"/>
      <c r="HDC23" s="3"/>
      <c r="HDD23" s="3"/>
      <c r="HDE23" s="3"/>
      <c r="HDF23" s="3"/>
      <c r="HDG23" s="3"/>
      <c r="HDH23" s="3"/>
      <c r="HDI23" s="3"/>
      <c r="HDJ23" s="3"/>
      <c r="HDK23" s="3"/>
      <c r="HDL23" s="3"/>
      <c r="HDM23" s="3"/>
      <c r="HDN23" s="3"/>
      <c r="HDO23" s="3"/>
      <c r="HDP23" s="3"/>
      <c r="HDQ23" s="3"/>
      <c r="HDR23" s="3"/>
      <c r="HDS23" s="3"/>
      <c r="HDT23" s="3"/>
      <c r="HDU23" s="3"/>
      <c r="HDV23" s="3"/>
      <c r="HDW23" s="3"/>
      <c r="HDX23" s="3"/>
      <c r="HDY23" s="3"/>
      <c r="HDZ23" s="3"/>
      <c r="HEA23" s="3"/>
      <c r="HEB23" s="3"/>
      <c r="HEC23" s="3"/>
      <c r="HED23" s="3"/>
      <c r="HEE23" s="3"/>
      <c r="HEF23" s="3"/>
      <c r="HEG23" s="3"/>
      <c r="HEH23" s="3"/>
      <c r="HEI23" s="3"/>
      <c r="HEJ23" s="3"/>
      <c r="HEK23" s="3"/>
      <c r="HEL23" s="3"/>
      <c r="HEM23" s="3"/>
      <c r="HEN23" s="3"/>
      <c r="HEO23" s="3"/>
      <c r="HEP23" s="3"/>
      <c r="HEQ23" s="3"/>
      <c r="HER23" s="3"/>
      <c r="HES23" s="3"/>
      <c r="HET23" s="3"/>
      <c r="HEU23" s="3"/>
      <c r="HEV23" s="3"/>
      <c r="HEW23" s="3"/>
      <c r="HEX23" s="3"/>
      <c r="HEY23" s="3"/>
      <c r="HEZ23" s="3"/>
      <c r="HFA23" s="3"/>
      <c r="HFB23" s="3"/>
      <c r="HFC23" s="3"/>
      <c r="HFD23" s="3"/>
      <c r="HFE23" s="3"/>
      <c r="HFF23" s="3"/>
      <c r="HFG23" s="3"/>
      <c r="HFH23" s="3"/>
      <c r="HFI23" s="3"/>
      <c r="HFJ23" s="3"/>
      <c r="HFK23" s="3"/>
      <c r="HFL23" s="3"/>
      <c r="HFM23" s="3"/>
      <c r="HFN23" s="3"/>
      <c r="HFO23" s="3"/>
      <c r="HFP23" s="3"/>
      <c r="HFQ23" s="3"/>
      <c r="HFR23" s="3"/>
      <c r="HFS23" s="3"/>
      <c r="HFT23" s="3"/>
      <c r="HFU23" s="3"/>
      <c r="HFV23" s="3"/>
      <c r="HFW23" s="3"/>
      <c r="HFX23" s="3"/>
      <c r="HFY23" s="3"/>
      <c r="HFZ23" s="3"/>
      <c r="HGA23" s="3"/>
      <c r="HGB23" s="3"/>
      <c r="HGC23" s="3"/>
      <c r="HGD23" s="3"/>
      <c r="HGE23" s="3"/>
      <c r="HGF23" s="3"/>
      <c r="HGG23" s="3"/>
      <c r="HGH23" s="3"/>
      <c r="HGI23" s="3"/>
      <c r="HGJ23" s="3"/>
      <c r="HGK23" s="3"/>
      <c r="HGL23" s="3"/>
      <c r="HGM23" s="3"/>
      <c r="HGN23" s="3"/>
      <c r="HGO23" s="3"/>
      <c r="HGP23" s="3"/>
      <c r="HGQ23" s="3"/>
      <c r="HGR23" s="3"/>
      <c r="HGS23" s="3"/>
      <c r="HGT23" s="3"/>
      <c r="HGU23" s="3"/>
      <c r="HGV23" s="3"/>
      <c r="HGW23" s="3"/>
      <c r="HGX23" s="3"/>
      <c r="HGY23" s="3"/>
      <c r="HGZ23" s="3"/>
      <c r="HHA23" s="3"/>
      <c r="HHB23" s="3"/>
      <c r="HHC23" s="3"/>
      <c r="HHD23" s="3"/>
      <c r="HHE23" s="3"/>
      <c r="HHF23" s="3"/>
      <c r="HHG23" s="3"/>
      <c r="HHH23" s="3"/>
      <c r="HHI23" s="3"/>
      <c r="HHJ23" s="3"/>
      <c r="HHK23" s="3"/>
      <c r="HHL23" s="3"/>
      <c r="HHM23" s="3"/>
      <c r="HHN23" s="3"/>
      <c r="HHO23" s="3"/>
      <c r="HHP23" s="3"/>
      <c r="HHQ23" s="3"/>
      <c r="HHR23" s="3"/>
      <c r="HHS23" s="3"/>
      <c r="HHT23" s="3"/>
      <c r="HHU23" s="3"/>
      <c r="HHV23" s="3"/>
      <c r="HHW23" s="3"/>
      <c r="HHX23" s="3"/>
      <c r="HHY23" s="3"/>
      <c r="HHZ23" s="3"/>
      <c r="HIA23" s="3"/>
      <c r="HIB23" s="3"/>
      <c r="HIC23" s="3"/>
      <c r="HID23" s="3"/>
      <c r="HIE23" s="3"/>
      <c r="HIF23" s="3"/>
      <c r="HIG23" s="3"/>
      <c r="HIH23" s="3"/>
      <c r="HII23" s="3"/>
      <c r="HIJ23" s="3"/>
      <c r="HIK23" s="3"/>
      <c r="HIL23" s="3"/>
      <c r="HIM23" s="3"/>
      <c r="HIN23" s="3"/>
      <c r="HIO23" s="3"/>
      <c r="HIP23" s="3"/>
      <c r="HIQ23" s="3"/>
      <c r="HIR23" s="3"/>
      <c r="HIS23" s="3"/>
      <c r="HIT23" s="3"/>
      <c r="HIU23" s="3"/>
      <c r="HIV23" s="3"/>
      <c r="HIW23" s="3"/>
      <c r="HIX23" s="3"/>
      <c r="HIY23" s="3"/>
      <c r="HIZ23" s="3"/>
      <c r="HJA23" s="3"/>
      <c r="HJB23" s="3"/>
      <c r="HJC23" s="3"/>
      <c r="HJD23" s="3"/>
      <c r="HJE23" s="3"/>
      <c r="HJF23" s="3"/>
      <c r="HJG23" s="3"/>
      <c r="HJH23" s="3"/>
      <c r="HJI23" s="3"/>
      <c r="HJJ23" s="3"/>
      <c r="HJK23" s="3"/>
      <c r="HJL23" s="3"/>
      <c r="HJM23" s="3"/>
      <c r="HJN23" s="3"/>
      <c r="HJO23" s="3"/>
      <c r="HJP23" s="3"/>
      <c r="HJQ23" s="3"/>
      <c r="HJR23" s="3"/>
      <c r="HJS23" s="3"/>
      <c r="HJT23" s="3"/>
      <c r="HJU23" s="3"/>
      <c r="HJV23" s="3"/>
      <c r="HJW23" s="3"/>
      <c r="HJX23" s="3"/>
      <c r="HJY23" s="3"/>
      <c r="HJZ23" s="3"/>
      <c r="HKA23" s="3"/>
      <c r="HKB23" s="3"/>
      <c r="HKC23" s="3"/>
      <c r="HKD23" s="3"/>
      <c r="HKE23" s="3"/>
      <c r="HKF23" s="3"/>
      <c r="HKG23" s="3"/>
      <c r="HKH23" s="3"/>
      <c r="HKI23" s="3"/>
      <c r="HKJ23" s="3"/>
      <c r="HKK23" s="3"/>
      <c r="HKL23" s="3"/>
      <c r="HKM23" s="3"/>
      <c r="HKN23" s="3"/>
      <c r="HKO23" s="3"/>
      <c r="HKP23" s="3"/>
      <c r="HKQ23" s="3"/>
      <c r="HKR23" s="3"/>
      <c r="HKS23" s="3"/>
      <c r="HKT23" s="3"/>
      <c r="HKU23" s="3"/>
      <c r="HKV23" s="3"/>
      <c r="HKW23" s="3"/>
      <c r="HKX23" s="3"/>
      <c r="HKY23" s="3"/>
      <c r="HKZ23" s="3"/>
      <c r="HLA23" s="3"/>
      <c r="HLB23" s="3"/>
      <c r="HLC23" s="3"/>
      <c r="HLD23" s="3"/>
      <c r="HLE23" s="3"/>
      <c r="HLF23" s="3"/>
      <c r="HLG23" s="3"/>
      <c r="HLH23" s="3"/>
      <c r="HLI23" s="3"/>
      <c r="HLJ23" s="3"/>
      <c r="HLK23" s="3"/>
      <c r="HLL23" s="3"/>
      <c r="HLM23" s="3"/>
      <c r="HLN23" s="3"/>
      <c r="HLO23" s="3"/>
      <c r="HLP23" s="3"/>
      <c r="HLQ23" s="3"/>
      <c r="HLR23" s="3"/>
      <c r="HLS23" s="3"/>
      <c r="HLT23" s="3"/>
      <c r="HLU23" s="3"/>
      <c r="HLV23" s="3"/>
      <c r="HLW23" s="3"/>
      <c r="HLX23" s="3"/>
      <c r="HLY23" s="3"/>
      <c r="HLZ23" s="3"/>
      <c r="HMA23" s="3"/>
      <c r="HMB23" s="3"/>
      <c r="HMC23" s="3"/>
      <c r="HMD23" s="3"/>
      <c r="HME23" s="3"/>
      <c r="HMF23" s="3"/>
      <c r="HMG23" s="3"/>
      <c r="HMH23" s="3"/>
      <c r="HMI23" s="3"/>
      <c r="HMJ23" s="3"/>
      <c r="HMK23" s="3"/>
      <c r="HML23" s="3"/>
      <c r="HMM23" s="3"/>
      <c r="HMN23" s="3"/>
      <c r="HMO23" s="3"/>
      <c r="HMP23" s="3"/>
      <c r="HMQ23" s="3"/>
      <c r="HMR23" s="3"/>
      <c r="HMS23" s="3"/>
      <c r="HMT23" s="3"/>
      <c r="HMU23" s="3"/>
      <c r="HMV23" s="3"/>
      <c r="HMW23" s="3"/>
      <c r="HMX23" s="3"/>
      <c r="HMY23" s="3"/>
      <c r="HMZ23" s="3"/>
      <c r="HNA23" s="3"/>
      <c r="HNB23" s="3"/>
      <c r="HNC23" s="3"/>
      <c r="HND23" s="3"/>
      <c r="HNE23" s="3"/>
      <c r="HNF23" s="3"/>
      <c r="HNG23" s="3"/>
      <c r="HNH23" s="3"/>
      <c r="HNI23" s="3"/>
      <c r="HNJ23" s="3"/>
      <c r="HNK23" s="3"/>
      <c r="HNL23" s="3"/>
      <c r="HNM23" s="3"/>
      <c r="HNN23" s="3"/>
      <c r="HNO23" s="3"/>
      <c r="HNP23" s="3"/>
      <c r="HNQ23" s="3"/>
      <c r="HNR23" s="3"/>
      <c r="HNS23" s="3"/>
      <c r="HNT23" s="3"/>
      <c r="HNU23" s="3"/>
      <c r="HNV23" s="3"/>
      <c r="HNW23" s="3"/>
      <c r="HNX23" s="3"/>
      <c r="HNY23" s="3"/>
      <c r="HNZ23" s="3"/>
      <c r="HOA23" s="3"/>
      <c r="HOB23" s="3"/>
      <c r="HOC23" s="3"/>
      <c r="HOD23" s="3"/>
      <c r="HOE23" s="3"/>
      <c r="HOF23" s="3"/>
      <c r="HOG23" s="3"/>
      <c r="HOH23" s="3"/>
      <c r="HOI23" s="3"/>
      <c r="HOJ23" s="3"/>
      <c r="HOK23" s="3"/>
      <c r="HOL23" s="3"/>
      <c r="HOM23" s="3"/>
      <c r="HON23" s="3"/>
      <c r="HOO23" s="3"/>
      <c r="HOP23" s="3"/>
      <c r="HOQ23" s="3"/>
      <c r="HOR23" s="3"/>
      <c r="HOS23" s="3"/>
      <c r="HOT23" s="3"/>
      <c r="HOU23" s="3"/>
      <c r="HOV23" s="3"/>
      <c r="HOW23" s="3"/>
      <c r="HOX23" s="3"/>
      <c r="HOY23" s="3"/>
      <c r="HOZ23" s="3"/>
      <c r="HPA23" s="3"/>
      <c r="HPB23" s="3"/>
      <c r="HPC23" s="3"/>
      <c r="HPD23" s="3"/>
      <c r="HPE23" s="3"/>
      <c r="HPF23" s="3"/>
      <c r="HPG23" s="3"/>
      <c r="HPH23" s="3"/>
      <c r="HPI23" s="3"/>
      <c r="HPJ23" s="3"/>
      <c r="HPK23" s="3"/>
      <c r="HPL23" s="3"/>
      <c r="HPM23" s="3"/>
      <c r="HPN23" s="3"/>
      <c r="HPO23" s="3"/>
      <c r="HPP23" s="3"/>
      <c r="HPQ23" s="3"/>
      <c r="HPR23" s="3"/>
      <c r="HPS23" s="3"/>
      <c r="HPT23" s="3"/>
      <c r="HPU23" s="3"/>
      <c r="HPV23" s="3"/>
      <c r="HPW23" s="3"/>
      <c r="HPX23" s="3"/>
      <c r="HPY23" s="3"/>
      <c r="HPZ23" s="3"/>
      <c r="HQA23" s="3"/>
      <c r="HQB23" s="3"/>
      <c r="HQC23" s="3"/>
      <c r="HQD23" s="3"/>
      <c r="HQE23" s="3"/>
      <c r="HQF23" s="3"/>
      <c r="HQG23" s="3"/>
      <c r="HQH23" s="3"/>
      <c r="HQI23" s="3"/>
      <c r="HQJ23" s="3"/>
      <c r="HQK23" s="3"/>
      <c r="HQL23" s="3"/>
      <c r="HQM23" s="3"/>
      <c r="HQN23" s="3"/>
      <c r="HQO23" s="3"/>
      <c r="HQP23" s="3"/>
      <c r="HQQ23" s="3"/>
      <c r="HQR23" s="3"/>
      <c r="HQS23" s="3"/>
      <c r="HQT23" s="3"/>
      <c r="HQU23" s="3"/>
      <c r="HQV23" s="3"/>
      <c r="HQW23" s="3"/>
      <c r="HQX23" s="3"/>
      <c r="HQY23" s="3"/>
      <c r="HQZ23" s="3"/>
      <c r="HRA23" s="3"/>
      <c r="HRB23" s="3"/>
      <c r="HRC23" s="3"/>
      <c r="HRD23" s="3"/>
      <c r="HRE23" s="3"/>
      <c r="HRF23" s="3"/>
      <c r="HRG23" s="3"/>
      <c r="HRH23" s="3"/>
      <c r="HRI23" s="3"/>
      <c r="HRJ23" s="3"/>
      <c r="HRK23" s="3"/>
      <c r="HRL23" s="3"/>
      <c r="HRM23" s="3"/>
      <c r="HRN23" s="3"/>
      <c r="HRO23" s="3"/>
      <c r="HRP23" s="3"/>
      <c r="HRQ23" s="3"/>
      <c r="HRR23" s="3"/>
      <c r="HRS23" s="3"/>
      <c r="HRT23" s="3"/>
      <c r="HRU23" s="3"/>
      <c r="HRV23" s="3"/>
      <c r="HRW23" s="3"/>
      <c r="HRX23" s="3"/>
      <c r="HRY23" s="3"/>
      <c r="HRZ23" s="3"/>
      <c r="HSA23" s="3"/>
      <c r="HSB23" s="3"/>
      <c r="HSC23" s="3"/>
      <c r="HSD23" s="3"/>
      <c r="HSE23" s="3"/>
      <c r="HSF23" s="3"/>
      <c r="HSG23" s="3"/>
      <c r="HSH23" s="3"/>
      <c r="HSI23" s="3"/>
      <c r="HSJ23" s="3"/>
      <c r="HSK23" s="3"/>
      <c r="HSL23" s="3"/>
      <c r="HSM23" s="3"/>
      <c r="HSN23" s="3"/>
      <c r="HSO23" s="3"/>
      <c r="HSP23" s="3"/>
      <c r="HSQ23" s="3"/>
      <c r="HSR23" s="3"/>
      <c r="HSS23" s="3"/>
      <c r="HST23" s="3"/>
      <c r="HSU23" s="3"/>
      <c r="HSV23" s="3"/>
      <c r="HSW23" s="3"/>
      <c r="HSX23" s="3"/>
      <c r="HSY23" s="3"/>
      <c r="HSZ23" s="3"/>
      <c r="HTA23" s="3"/>
      <c r="HTB23" s="3"/>
      <c r="HTC23" s="3"/>
      <c r="HTD23" s="3"/>
      <c r="HTE23" s="3"/>
      <c r="HTF23" s="3"/>
      <c r="HTG23" s="3"/>
      <c r="HTH23" s="3"/>
      <c r="HTI23" s="3"/>
      <c r="HTJ23" s="3"/>
      <c r="HTK23" s="3"/>
      <c r="HTL23" s="3"/>
      <c r="HTM23" s="3"/>
      <c r="HTN23" s="3"/>
      <c r="HTO23" s="3"/>
      <c r="HTP23" s="3"/>
      <c r="HTQ23" s="3"/>
      <c r="HTR23" s="3"/>
      <c r="HTS23" s="3"/>
      <c r="HTT23" s="3"/>
      <c r="HTU23" s="3"/>
      <c r="HTV23" s="3"/>
      <c r="HTW23" s="3"/>
      <c r="HTX23" s="3"/>
      <c r="HTY23" s="3"/>
      <c r="HTZ23" s="3"/>
      <c r="HUA23" s="3"/>
      <c r="HUB23" s="3"/>
      <c r="HUC23" s="3"/>
      <c r="HUD23" s="3"/>
      <c r="HUE23" s="3"/>
      <c r="HUF23" s="3"/>
      <c r="HUG23" s="3"/>
      <c r="HUH23" s="3"/>
      <c r="HUI23" s="3"/>
      <c r="HUJ23" s="3"/>
      <c r="HUK23" s="3"/>
      <c r="HUL23" s="3"/>
      <c r="HUM23" s="3"/>
      <c r="HUN23" s="3"/>
      <c r="HUO23" s="3"/>
      <c r="HUP23" s="3"/>
      <c r="HUQ23" s="3"/>
      <c r="HUR23" s="3"/>
      <c r="HUS23" s="3"/>
      <c r="HUT23" s="3"/>
      <c r="HUU23" s="3"/>
      <c r="HUV23" s="3"/>
      <c r="HUW23" s="3"/>
      <c r="HUX23" s="3"/>
      <c r="HUY23" s="3"/>
      <c r="HUZ23" s="3"/>
      <c r="HVA23" s="3"/>
      <c r="HVB23" s="3"/>
      <c r="HVC23" s="3"/>
      <c r="HVD23" s="3"/>
      <c r="HVE23" s="3"/>
      <c r="HVF23" s="3"/>
      <c r="HVG23" s="3"/>
      <c r="HVH23" s="3"/>
      <c r="HVI23" s="3"/>
      <c r="HVJ23" s="3"/>
      <c r="HVK23" s="3"/>
      <c r="HVL23" s="3"/>
      <c r="HVM23" s="3"/>
      <c r="HVN23" s="3"/>
      <c r="HVO23" s="3"/>
      <c r="HVP23" s="3"/>
      <c r="HVQ23" s="3"/>
      <c r="HVR23" s="3"/>
      <c r="HVS23" s="3"/>
      <c r="HVT23" s="3"/>
      <c r="HVU23" s="3"/>
      <c r="HVV23" s="3"/>
      <c r="HVW23" s="3"/>
      <c r="HVX23" s="3"/>
      <c r="HVY23" s="3"/>
      <c r="HVZ23" s="3"/>
      <c r="HWA23" s="3"/>
      <c r="HWB23" s="3"/>
      <c r="HWC23" s="3"/>
      <c r="HWD23" s="3"/>
      <c r="HWE23" s="3"/>
      <c r="HWF23" s="3"/>
      <c r="HWG23" s="3"/>
      <c r="HWH23" s="3"/>
      <c r="HWI23" s="3"/>
      <c r="HWJ23" s="3"/>
      <c r="HWK23" s="3"/>
      <c r="HWL23" s="3"/>
      <c r="HWM23" s="3"/>
      <c r="HWN23" s="3"/>
      <c r="HWO23" s="3"/>
      <c r="HWP23" s="3"/>
      <c r="HWQ23" s="3"/>
      <c r="HWR23" s="3"/>
      <c r="HWS23" s="3"/>
      <c r="HWT23" s="3"/>
      <c r="HWU23" s="3"/>
      <c r="HWV23" s="3"/>
      <c r="HWW23" s="3"/>
      <c r="HWX23" s="3"/>
      <c r="HWY23" s="3"/>
      <c r="HWZ23" s="3"/>
      <c r="HXA23" s="3"/>
      <c r="HXB23" s="3"/>
      <c r="HXC23" s="3"/>
      <c r="HXD23" s="3"/>
      <c r="HXE23" s="3"/>
      <c r="HXF23" s="3"/>
      <c r="HXG23" s="3"/>
      <c r="HXH23" s="3"/>
      <c r="HXI23" s="3"/>
      <c r="HXJ23" s="3"/>
      <c r="HXK23" s="3"/>
      <c r="HXL23" s="3"/>
      <c r="HXM23" s="3"/>
      <c r="HXN23" s="3"/>
      <c r="HXO23" s="3"/>
      <c r="HXP23" s="3"/>
      <c r="HXQ23" s="3"/>
      <c r="HXR23" s="3"/>
      <c r="HXS23" s="3"/>
      <c r="HXT23" s="3"/>
      <c r="HXU23" s="3"/>
      <c r="HXV23" s="3"/>
      <c r="HXW23" s="3"/>
      <c r="HXX23" s="3"/>
      <c r="HXY23" s="3"/>
      <c r="HXZ23" s="3"/>
      <c r="HYA23" s="3"/>
      <c r="HYB23" s="3"/>
      <c r="HYC23" s="3"/>
      <c r="HYD23" s="3"/>
      <c r="HYE23" s="3"/>
      <c r="HYF23" s="3"/>
      <c r="HYG23" s="3"/>
      <c r="HYH23" s="3"/>
      <c r="HYI23" s="3"/>
      <c r="HYJ23" s="3"/>
      <c r="HYK23" s="3"/>
      <c r="HYL23" s="3"/>
      <c r="HYM23" s="3"/>
      <c r="HYN23" s="3"/>
      <c r="HYO23" s="3"/>
      <c r="HYP23" s="3"/>
      <c r="HYQ23" s="3"/>
      <c r="HYR23" s="3"/>
      <c r="HYS23" s="3"/>
      <c r="HYT23" s="3"/>
      <c r="HYU23" s="3"/>
      <c r="HYV23" s="3"/>
      <c r="HYW23" s="3"/>
      <c r="HYX23" s="3"/>
      <c r="HYY23" s="3"/>
      <c r="HYZ23" s="3"/>
      <c r="HZA23" s="3"/>
      <c r="HZB23" s="3"/>
      <c r="HZC23" s="3"/>
      <c r="HZD23" s="3"/>
      <c r="HZE23" s="3"/>
      <c r="HZF23" s="3"/>
      <c r="HZG23" s="3"/>
      <c r="HZH23" s="3"/>
      <c r="HZI23" s="3"/>
      <c r="HZJ23" s="3"/>
      <c r="HZK23" s="3"/>
      <c r="HZL23" s="3"/>
      <c r="HZM23" s="3"/>
      <c r="HZN23" s="3"/>
      <c r="HZO23" s="3"/>
      <c r="HZP23" s="3"/>
      <c r="HZQ23" s="3"/>
      <c r="HZR23" s="3"/>
      <c r="HZS23" s="3"/>
      <c r="HZT23" s="3"/>
      <c r="HZU23" s="3"/>
      <c r="HZV23" s="3"/>
      <c r="HZW23" s="3"/>
      <c r="HZX23" s="3"/>
      <c r="HZY23" s="3"/>
      <c r="HZZ23" s="3"/>
      <c r="IAA23" s="3"/>
      <c r="IAB23" s="3"/>
      <c r="IAC23" s="3"/>
      <c r="IAD23" s="3"/>
      <c r="IAE23" s="3"/>
      <c r="IAF23" s="3"/>
      <c r="IAG23" s="3"/>
      <c r="IAH23" s="3"/>
      <c r="IAI23" s="3"/>
      <c r="IAJ23" s="3"/>
      <c r="IAK23" s="3"/>
      <c r="IAL23" s="3"/>
      <c r="IAM23" s="3"/>
      <c r="IAN23" s="3"/>
      <c r="IAO23" s="3"/>
      <c r="IAP23" s="3"/>
      <c r="IAQ23" s="3"/>
      <c r="IAR23" s="3"/>
      <c r="IAS23" s="3"/>
      <c r="IAT23" s="3"/>
      <c r="IAU23" s="3"/>
      <c r="IAV23" s="3"/>
      <c r="IAW23" s="3"/>
      <c r="IAX23" s="3"/>
      <c r="IAY23" s="3"/>
      <c r="IAZ23" s="3"/>
      <c r="IBA23" s="3"/>
      <c r="IBB23" s="3"/>
      <c r="IBC23" s="3"/>
      <c r="IBD23" s="3"/>
      <c r="IBE23" s="3"/>
      <c r="IBF23" s="3"/>
      <c r="IBG23" s="3"/>
      <c r="IBH23" s="3"/>
      <c r="IBI23" s="3"/>
      <c r="IBJ23" s="3"/>
      <c r="IBK23" s="3"/>
      <c r="IBL23" s="3"/>
      <c r="IBM23" s="3"/>
      <c r="IBN23" s="3"/>
      <c r="IBO23" s="3"/>
      <c r="IBP23" s="3"/>
      <c r="IBQ23" s="3"/>
      <c r="IBR23" s="3"/>
      <c r="IBS23" s="3"/>
      <c r="IBT23" s="3"/>
      <c r="IBU23" s="3"/>
      <c r="IBV23" s="3"/>
      <c r="IBW23" s="3"/>
      <c r="IBX23" s="3"/>
      <c r="IBY23" s="3"/>
      <c r="IBZ23" s="3"/>
      <c r="ICA23" s="3"/>
      <c r="ICB23" s="3"/>
      <c r="ICC23" s="3"/>
      <c r="ICD23" s="3"/>
      <c r="ICE23" s="3"/>
      <c r="ICF23" s="3"/>
      <c r="ICG23" s="3"/>
      <c r="ICH23" s="3"/>
      <c r="ICI23" s="3"/>
      <c r="ICJ23" s="3"/>
      <c r="ICK23" s="3"/>
      <c r="ICL23" s="3"/>
      <c r="ICM23" s="3"/>
      <c r="ICN23" s="3"/>
      <c r="ICO23" s="3"/>
      <c r="ICP23" s="3"/>
      <c r="ICQ23" s="3"/>
      <c r="ICR23" s="3"/>
      <c r="ICS23" s="3"/>
      <c r="ICT23" s="3"/>
      <c r="ICU23" s="3"/>
      <c r="ICV23" s="3"/>
      <c r="ICW23" s="3"/>
      <c r="ICX23" s="3"/>
      <c r="ICY23" s="3"/>
      <c r="ICZ23" s="3"/>
      <c r="IDA23" s="3"/>
      <c r="IDB23" s="3"/>
      <c r="IDC23" s="3"/>
      <c r="IDD23" s="3"/>
      <c r="IDE23" s="3"/>
      <c r="IDF23" s="3"/>
      <c r="IDG23" s="3"/>
      <c r="IDH23" s="3"/>
      <c r="IDI23" s="3"/>
      <c r="IDJ23" s="3"/>
      <c r="IDK23" s="3"/>
      <c r="IDL23" s="3"/>
      <c r="IDM23" s="3"/>
      <c r="IDN23" s="3"/>
      <c r="IDO23" s="3"/>
      <c r="IDP23" s="3"/>
      <c r="IDQ23" s="3"/>
      <c r="IDR23" s="3"/>
      <c r="IDS23" s="3"/>
      <c r="IDT23" s="3"/>
      <c r="IDU23" s="3"/>
      <c r="IDV23" s="3"/>
      <c r="IDW23" s="3"/>
      <c r="IDX23" s="3"/>
      <c r="IDY23" s="3"/>
      <c r="IDZ23" s="3"/>
      <c r="IEA23" s="3"/>
      <c r="IEB23" s="3"/>
      <c r="IEC23" s="3"/>
      <c r="IED23" s="3"/>
      <c r="IEE23" s="3"/>
      <c r="IEF23" s="3"/>
      <c r="IEG23" s="3"/>
      <c r="IEH23" s="3"/>
      <c r="IEI23" s="3"/>
      <c r="IEJ23" s="3"/>
      <c r="IEK23" s="3"/>
      <c r="IEL23" s="3"/>
      <c r="IEM23" s="3"/>
      <c r="IEN23" s="3"/>
      <c r="IEO23" s="3"/>
      <c r="IEP23" s="3"/>
      <c r="IEQ23" s="3"/>
      <c r="IER23" s="3"/>
      <c r="IES23" s="3"/>
      <c r="IET23" s="3"/>
      <c r="IEU23" s="3"/>
      <c r="IEV23" s="3"/>
      <c r="IEW23" s="3"/>
      <c r="IEX23" s="3"/>
      <c r="IEY23" s="3"/>
      <c r="IEZ23" s="3"/>
      <c r="IFA23" s="3"/>
      <c r="IFB23" s="3"/>
      <c r="IFC23" s="3"/>
      <c r="IFD23" s="3"/>
      <c r="IFE23" s="3"/>
      <c r="IFF23" s="3"/>
      <c r="IFG23" s="3"/>
      <c r="IFH23" s="3"/>
      <c r="IFI23" s="3"/>
      <c r="IFJ23" s="3"/>
      <c r="IFK23" s="3"/>
      <c r="IFL23" s="3"/>
      <c r="IFM23" s="3"/>
      <c r="IFN23" s="3"/>
      <c r="IFO23" s="3"/>
      <c r="IFP23" s="3"/>
      <c r="IFQ23" s="3"/>
      <c r="IFR23" s="3"/>
      <c r="IFS23" s="3"/>
      <c r="IFT23" s="3"/>
      <c r="IFU23" s="3"/>
      <c r="IFV23" s="3"/>
      <c r="IFW23" s="3"/>
      <c r="IFX23" s="3"/>
      <c r="IFY23" s="3"/>
      <c r="IFZ23" s="3"/>
      <c r="IGA23" s="3"/>
      <c r="IGB23" s="3"/>
      <c r="IGC23" s="3"/>
      <c r="IGD23" s="3"/>
      <c r="IGE23" s="3"/>
      <c r="IGF23" s="3"/>
      <c r="IGG23" s="3"/>
      <c r="IGH23" s="3"/>
      <c r="IGI23" s="3"/>
      <c r="IGJ23" s="3"/>
      <c r="IGK23" s="3"/>
      <c r="IGL23" s="3"/>
      <c r="IGM23" s="3"/>
      <c r="IGN23" s="3"/>
      <c r="IGO23" s="3"/>
      <c r="IGP23" s="3"/>
      <c r="IGQ23" s="3"/>
      <c r="IGR23" s="3"/>
      <c r="IGS23" s="3"/>
      <c r="IGT23" s="3"/>
      <c r="IGU23" s="3"/>
      <c r="IGV23" s="3"/>
      <c r="IGW23" s="3"/>
      <c r="IGX23" s="3"/>
      <c r="IGY23" s="3"/>
      <c r="IGZ23" s="3"/>
      <c r="IHA23" s="3"/>
      <c r="IHB23" s="3"/>
      <c r="IHC23" s="3"/>
      <c r="IHD23" s="3"/>
      <c r="IHE23" s="3"/>
      <c r="IHF23" s="3"/>
      <c r="IHG23" s="3"/>
      <c r="IHH23" s="3"/>
      <c r="IHI23" s="3"/>
      <c r="IHJ23" s="3"/>
      <c r="IHK23" s="3"/>
      <c r="IHL23" s="3"/>
      <c r="IHM23" s="3"/>
      <c r="IHN23" s="3"/>
      <c r="IHO23" s="3"/>
      <c r="IHP23" s="3"/>
      <c r="IHQ23" s="3"/>
      <c r="IHR23" s="3"/>
      <c r="IHS23" s="3"/>
      <c r="IHT23" s="3"/>
      <c r="IHU23" s="3"/>
      <c r="IHV23" s="3"/>
      <c r="IHW23" s="3"/>
      <c r="IHX23" s="3"/>
      <c r="IHY23" s="3"/>
      <c r="IHZ23" s="3"/>
      <c r="IIA23" s="3"/>
      <c r="IIB23" s="3"/>
      <c r="IIC23" s="3"/>
      <c r="IID23" s="3"/>
      <c r="IIE23" s="3"/>
      <c r="IIF23" s="3"/>
      <c r="IIG23" s="3"/>
      <c r="IIH23" s="3"/>
      <c r="III23" s="3"/>
      <c r="IIJ23" s="3"/>
      <c r="IIK23" s="3"/>
      <c r="IIL23" s="3"/>
      <c r="IIM23" s="3"/>
      <c r="IIN23" s="3"/>
      <c r="IIO23" s="3"/>
      <c r="IIP23" s="3"/>
      <c r="IIQ23" s="3"/>
      <c r="IIR23" s="3"/>
      <c r="IIS23" s="3"/>
      <c r="IIT23" s="3"/>
      <c r="IIU23" s="3"/>
      <c r="IIV23" s="3"/>
      <c r="IIW23" s="3"/>
      <c r="IIX23" s="3"/>
      <c r="IIY23" s="3"/>
      <c r="IIZ23" s="3"/>
      <c r="IJA23" s="3"/>
      <c r="IJB23" s="3"/>
      <c r="IJC23" s="3"/>
      <c r="IJD23" s="3"/>
      <c r="IJE23" s="3"/>
      <c r="IJF23" s="3"/>
      <c r="IJG23" s="3"/>
      <c r="IJH23" s="3"/>
      <c r="IJI23" s="3"/>
      <c r="IJJ23" s="3"/>
      <c r="IJK23" s="3"/>
      <c r="IJL23" s="3"/>
      <c r="IJM23" s="3"/>
      <c r="IJN23" s="3"/>
      <c r="IJO23" s="3"/>
      <c r="IJP23" s="3"/>
      <c r="IJQ23" s="3"/>
      <c r="IJR23" s="3"/>
      <c r="IJS23" s="3"/>
      <c r="IJT23" s="3"/>
      <c r="IJU23" s="3"/>
      <c r="IJV23" s="3"/>
      <c r="IJW23" s="3"/>
      <c r="IJX23" s="3"/>
      <c r="IJY23" s="3"/>
      <c r="IJZ23" s="3"/>
      <c r="IKA23" s="3"/>
      <c r="IKB23" s="3"/>
      <c r="IKC23" s="3"/>
      <c r="IKD23" s="3"/>
      <c r="IKE23" s="3"/>
      <c r="IKF23" s="3"/>
      <c r="IKG23" s="3"/>
      <c r="IKH23" s="3"/>
      <c r="IKI23" s="3"/>
      <c r="IKJ23" s="3"/>
      <c r="IKK23" s="3"/>
      <c r="IKL23" s="3"/>
      <c r="IKM23" s="3"/>
      <c r="IKN23" s="3"/>
      <c r="IKO23" s="3"/>
      <c r="IKP23" s="3"/>
      <c r="IKQ23" s="3"/>
      <c r="IKR23" s="3"/>
      <c r="IKS23" s="3"/>
      <c r="IKT23" s="3"/>
      <c r="IKU23" s="3"/>
      <c r="IKV23" s="3"/>
      <c r="IKW23" s="3"/>
      <c r="IKX23" s="3"/>
      <c r="IKY23" s="3"/>
      <c r="IKZ23" s="3"/>
      <c r="ILA23" s="3"/>
      <c r="ILB23" s="3"/>
      <c r="ILC23" s="3"/>
      <c r="ILD23" s="3"/>
      <c r="ILE23" s="3"/>
      <c r="ILF23" s="3"/>
      <c r="ILG23" s="3"/>
      <c r="ILH23" s="3"/>
      <c r="ILI23" s="3"/>
      <c r="ILJ23" s="3"/>
      <c r="ILK23" s="3"/>
      <c r="ILL23" s="3"/>
      <c r="ILM23" s="3"/>
      <c r="ILN23" s="3"/>
      <c r="ILO23" s="3"/>
      <c r="ILP23" s="3"/>
      <c r="ILQ23" s="3"/>
      <c r="ILR23" s="3"/>
      <c r="ILS23" s="3"/>
      <c r="ILT23" s="3"/>
      <c r="ILU23" s="3"/>
      <c r="ILV23" s="3"/>
      <c r="ILW23" s="3"/>
      <c r="ILX23" s="3"/>
      <c r="ILY23" s="3"/>
      <c r="ILZ23" s="3"/>
      <c r="IMA23" s="3"/>
      <c r="IMB23" s="3"/>
      <c r="IMC23" s="3"/>
      <c r="IMD23" s="3"/>
      <c r="IME23" s="3"/>
      <c r="IMF23" s="3"/>
      <c r="IMG23" s="3"/>
      <c r="IMH23" s="3"/>
      <c r="IMI23" s="3"/>
      <c r="IMJ23" s="3"/>
      <c r="IMK23" s="3"/>
      <c r="IML23" s="3"/>
      <c r="IMM23" s="3"/>
      <c r="IMN23" s="3"/>
      <c r="IMO23" s="3"/>
      <c r="IMP23" s="3"/>
      <c r="IMQ23" s="3"/>
      <c r="IMR23" s="3"/>
      <c r="IMS23" s="3"/>
      <c r="IMT23" s="3"/>
      <c r="IMU23" s="3"/>
      <c r="IMV23" s="3"/>
      <c r="IMW23" s="3"/>
      <c r="IMX23" s="3"/>
      <c r="IMY23" s="3"/>
      <c r="IMZ23" s="3"/>
      <c r="INA23" s="3"/>
      <c r="INB23" s="3"/>
      <c r="INC23" s="3"/>
      <c r="IND23" s="3"/>
      <c r="INE23" s="3"/>
      <c r="INF23" s="3"/>
      <c r="ING23" s="3"/>
      <c r="INH23" s="3"/>
      <c r="INI23" s="3"/>
      <c r="INJ23" s="3"/>
      <c r="INK23" s="3"/>
      <c r="INL23" s="3"/>
      <c r="INM23" s="3"/>
      <c r="INN23" s="3"/>
      <c r="INO23" s="3"/>
      <c r="INP23" s="3"/>
      <c r="INQ23" s="3"/>
      <c r="INR23" s="3"/>
      <c r="INS23" s="3"/>
      <c r="INT23" s="3"/>
      <c r="INU23" s="3"/>
      <c r="INV23" s="3"/>
      <c r="INW23" s="3"/>
      <c r="INX23" s="3"/>
      <c r="INY23" s="3"/>
      <c r="INZ23" s="3"/>
      <c r="IOA23" s="3"/>
      <c r="IOB23" s="3"/>
      <c r="IOC23" s="3"/>
      <c r="IOD23" s="3"/>
      <c r="IOE23" s="3"/>
      <c r="IOF23" s="3"/>
      <c r="IOG23" s="3"/>
      <c r="IOH23" s="3"/>
      <c r="IOI23" s="3"/>
      <c r="IOJ23" s="3"/>
      <c r="IOK23" s="3"/>
      <c r="IOL23" s="3"/>
      <c r="IOM23" s="3"/>
      <c r="ION23" s="3"/>
      <c r="IOO23" s="3"/>
      <c r="IOP23" s="3"/>
      <c r="IOQ23" s="3"/>
      <c r="IOR23" s="3"/>
      <c r="IOS23" s="3"/>
      <c r="IOT23" s="3"/>
      <c r="IOU23" s="3"/>
      <c r="IOV23" s="3"/>
      <c r="IOW23" s="3"/>
      <c r="IOX23" s="3"/>
      <c r="IOY23" s="3"/>
      <c r="IOZ23" s="3"/>
      <c r="IPA23" s="3"/>
      <c r="IPB23" s="3"/>
      <c r="IPC23" s="3"/>
      <c r="IPD23" s="3"/>
      <c r="IPE23" s="3"/>
      <c r="IPF23" s="3"/>
      <c r="IPG23" s="3"/>
      <c r="IPH23" s="3"/>
      <c r="IPI23" s="3"/>
      <c r="IPJ23" s="3"/>
      <c r="IPK23" s="3"/>
      <c r="IPL23" s="3"/>
      <c r="IPM23" s="3"/>
      <c r="IPN23" s="3"/>
      <c r="IPO23" s="3"/>
      <c r="IPP23" s="3"/>
      <c r="IPQ23" s="3"/>
      <c r="IPR23" s="3"/>
      <c r="IPS23" s="3"/>
      <c r="IPT23" s="3"/>
      <c r="IPU23" s="3"/>
      <c r="IPV23" s="3"/>
      <c r="IPW23" s="3"/>
      <c r="IPX23" s="3"/>
      <c r="IPY23" s="3"/>
      <c r="IPZ23" s="3"/>
      <c r="IQA23" s="3"/>
      <c r="IQB23" s="3"/>
      <c r="IQC23" s="3"/>
      <c r="IQD23" s="3"/>
      <c r="IQE23" s="3"/>
      <c r="IQF23" s="3"/>
      <c r="IQG23" s="3"/>
      <c r="IQH23" s="3"/>
      <c r="IQI23" s="3"/>
      <c r="IQJ23" s="3"/>
      <c r="IQK23" s="3"/>
      <c r="IQL23" s="3"/>
      <c r="IQM23" s="3"/>
      <c r="IQN23" s="3"/>
      <c r="IQO23" s="3"/>
      <c r="IQP23" s="3"/>
      <c r="IQQ23" s="3"/>
      <c r="IQR23" s="3"/>
      <c r="IQS23" s="3"/>
      <c r="IQT23" s="3"/>
      <c r="IQU23" s="3"/>
      <c r="IQV23" s="3"/>
      <c r="IQW23" s="3"/>
      <c r="IQX23" s="3"/>
      <c r="IQY23" s="3"/>
      <c r="IQZ23" s="3"/>
      <c r="IRA23" s="3"/>
      <c r="IRB23" s="3"/>
      <c r="IRC23" s="3"/>
      <c r="IRD23" s="3"/>
      <c r="IRE23" s="3"/>
      <c r="IRF23" s="3"/>
      <c r="IRG23" s="3"/>
      <c r="IRH23" s="3"/>
      <c r="IRI23" s="3"/>
      <c r="IRJ23" s="3"/>
      <c r="IRK23" s="3"/>
      <c r="IRL23" s="3"/>
      <c r="IRM23" s="3"/>
      <c r="IRN23" s="3"/>
      <c r="IRO23" s="3"/>
      <c r="IRP23" s="3"/>
      <c r="IRQ23" s="3"/>
      <c r="IRR23" s="3"/>
      <c r="IRS23" s="3"/>
      <c r="IRT23" s="3"/>
      <c r="IRU23" s="3"/>
      <c r="IRV23" s="3"/>
      <c r="IRW23" s="3"/>
      <c r="IRX23" s="3"/>
      <c r="IRY23" s="3"/>
      <c r="IRZ23" s="3"/>
      <c r="ISA23" s="3"/>
      <c r="ISB23" s="3"/>
      <c r="ISC23" s="3"/>
      <c r="ISD23" s="3"/>
      <c r="ISE23" s="3"/>
      <c r="ISF23" s="3"/>
      <c r="ISG23" s="3"/>
      <c r="ISH23" s="3"/>
      <c r="ISI23" s="3"/>
      <c r="ISJ23" s="3"/>
      <c r="ISK23" s="3"/>
      <c r="ISL23" s="3"/>
      <c r="ISM23" s="3"/>
      <c r="ISN23" s="3"/>
      <c r="ISO23" s="3"/>
      <c r="ISP23" s="3"/>
      <c r="ISQ23" s="3"/>
      <c r="ISR23" s="3"/>
      <c r="ISS23" s="3"/>
      <c r="IST23" s="3"/>
      <c r="ISU23" s="3"/>
      <c r="ISV23" s="3"/>
      <c r="ISW23" s="3"/>
      <c r="ISX23" s="3"/>
      <c r="ISY23" s="3"/>
      <c r="ISZ23" s="3"/>
      <c r="ITA23" s="3"/>
      <c r="ITB23" s="3"/>
      <c r="ITC23" s="3"/>
      <c r="ITD23" s="3"/>
      <c r="ITE23" s="3"/>
      <c r="ITF23" s="3"/>
      <c r="ITG23" s="3"/>
      <c r="ITH23" s="3"/>
      <c r="ITI23" s="3"/>
      <c r="ITJ23" s="3"/>
      <c r="ITK23" s="3"/>
      <c r="ITL23" s="3"/>
      <c r="ITM23" s="3"/>
      <c r="ITN23" s="3"/>
      <c r="ITO23" s="3"/>
      <c r="ITP23" s="3"/>
      <c r="ITQ23" s="3"/>
      <c r="ITR23" s="3"/>
      <c r="ITS23" s="3"/>
      <c r="ITT23" s="3"/>
      <c r="ITU23" s="3"/>
      <c r="ITV23" s="3"/>
      <c r="ITW23" s="3"/>
      <c r="ITX23" s="3"/>
      <c r="ITY23" s="3"/>
      <c r="ITZ23" s="3"/>
      <c r="IUA23" s="3"/>
      <c r="IUB23" s="3"/>
      <c r="IUC23" s="3"/>
      <c r="IUD23" s="3"/>
      <c r="IUE23" s="3"/>
      <c r="IUF23" s="3"/>
      <c r="IUG23" s="3"/>
      <c r="IUH23" s="3"/>
      <c r="IUI23" s="3"/>
      <c r="IUJ23" s="3"/>
      <c r="IUK23" s="3"/>
      <c r="IUL23" s="3"/>
      <c r="IUM23" s="3"/>
      <c r="IUN23" s="3"/>
      <c r="IUO23" s="3"/>
      <c r="IUP23" s="3"/>
      <c r="IUQ23" s="3"/>
      <c r="IUR23" s="3"/>
      <c r="IUS23" s="3"/>
      <c r="IUT23" s="3"/>
      <c r="IUU23" s="3"/>
      <c r="IUV23" s="3"/>
      <c r="IUW23" s="3"/>
      <c r="IUX23" s="3"/>
      <c r="IUY23" s="3"/>
      <c r="IUZ23" s="3"/>
      <c r="IVA23" s="3"/>
      <c r="IVB23" s="3"/>
      <c r="IVC23" s="3"/>
      <c r="IVD23" s="3"/>
      <c r="IVE23" s="3"/>
      <c r="IVF23" s="3"/>
      <c r="IVG23" s="3"/>
      <c r="IVH23" s="3"/>
      <c r="IVI23" s="3"/>
      <c r="IVJ23" s="3"/>
      <c r="IVK23" s="3"/>
      <c r="IVL23" s="3"/>
      <c r="IVM23" s="3"/>
      <c r="IVN23" s="3"/>
      <c r="IVO23" s="3"/>
      <c r="IVP23" s="3"/>
      <c r="IVQ23" s="3"/>
      <c r="IVR23" s="3"/>
      <c r="IVS23" s="3"/>
      <c r="IVT23" s="3"/>
      <c r="IVU23" s="3"/>
      <c r="IVV23" s="3"/>
      <c r="IVW23" s="3"/>
      <c r="IVX23" s="3"/>
      <c r="IVY23" s="3"/>
      <c r="IVZ23" s="3"/>
      <c r="IWA23" s="3"/>
      <c r="IWB23" s="3"/>
      <c r="IWC23" s="3"/>
      <c r="IWD23" s="3"/>
      <c r="IWE23" s="3"/>
      <c r="IWF23" s="3"/>
      <c r="IWG23" s="3"/>
      <c r="IWH23" s="3"/>
      <c r="IWI23" s="3"/>
      <c r="IWJ23" s="3"/>
      <c r="IWK23" s="3"/>
      <c r="IWL23" s="3"/>
      <c r="IWM23" s="3"/>
      <c r="IWN23" s="3"/>
      <c r="IWO23" s="3"/>
      <c r="IWP23" s="3"/>
      <c r="IWQ23" s="3"/>
      <c r="IWR23" s="3"/>
      <c r="IWS23" s="3"/>
      <c r="IWT23" s="3"/>
      <c r="IWU23" s="3"/>
      <c r="IWV23" s="3"/>
      <c r="IWW23" s="3"/>
      <c r="IWX23" s="3"/>
      <c r="IWY23" s="3"/>
      <c r="IWZ23" s="3"/>
      <c r="IXA23" s="3"/>
      <c r="IXB23" s="3"/>
      <c r="IXC23" s="3"/>
      <c r="IXD23" s="3"/>
      <c r="IXE23" s="3"/>
      <c r="IXF23" s="3"/>
      <c r="IXG23" s="3"/>
      <c r="IXH23" s="3"/>
      <c r="IXI23" s="3"/>
      <c r="IXJ23" s="3"/>
      <c r="IXK23" s="3"/>
      <c r="IXL23" s="3"/>
      <c r="IXM23" s="3"/>
      <c r="IXN23" s="3"/>
      <c r="IXO23" s="3"/>
      <c r="IXP23" s="3"/>
      <c r="IXQ23" s="3"/>
      <c r="IXR23" s="3"/>
      <c r="IXS23" s="3"/>
      <c r="IXT23" s="3"/>
      <c r="IXU23" s="3"/>
      <c r="IXV23" s="3"/>
      <c r="IXW23" s="3"/>
      <c r="IXX23" s="3"/>
      <c r="IXY23" s="3"/>
      <c r="IXZ23" s="3"/>
      <c r="IYA23" s="3"/>
      <c r="IYB23" s="3"/>
      <c r="IYC23" s="3"/>
      <c r="IYD23" s="3"/>
      <c r="IYE23" s="3"/>
      <c r="IYF23" s="3"/>
      <c r="IYG23" s="3"/>
      <c r="IYH23" s="3"/>
      <c r="IYI23" s="3"/>
      <c r="IYJ23" s="3"/>
      <c r="IYK23" s="3"/>
      <c r="IYL23" s="3"/>
      <c r="IYM23" s="3"/>
      <c r="IYN23" s="3"/>
      <c r="IYO23" s="3"/>
      <c r="IYP23" s="3"/>
      <c r="IYQ23" s="3"/>
      <c r="IYR23" s="3"/>
      <c r="IYS23" s="3"/>
      <c r="IYT23" s="3"/>
      <c r="IYU23" s="3"/>
      <c r="IYV23" s="3"/>
      <c r="IYW23" s="3"/>
      <c r="IYX23" s="3"/>
      <c r="IYY23" s="3"/>
      <c r="IYZ23" s="3"/>
      <c r="IZA23" s="3"/>
      <c r="IZB23" s="3"/>
      <c r="IZC23" s="3"/>
      <c r="IZD23" s="3"/>
      <c r="IZE23" s="3"/>
      <c r="IZF23" s="3"/>
      <c r="IZG23" s="3"/>
      <c r="IZH23" s="3"/>
      <c r="IZI23" s="3"/>
      <c r="IZJ23" s="3"/>
      <c r="IZK23" s="3"/>
      <c r="IZL23" s="3"/>
      <c r="IZM23" s="3"/>
      <c r="IZN23" s="3"/>
      <c r="IZO23" s="3"/>
      <c r="IZP23" s="3"/>
      <c r="IZQ23" s="3"/>
      <c r="IZR23" s="3"/>
      <c r="IZS23" s="3"/>
      <c r="IZT23" s="3"/>
      <c r="IZU23" s="3"/>
      <c r="IZV23" s="3"/>
      <c r="IZW23" s="3"/>
      <c r="IZX23" s="3"/>
      <c r="IZY23" s="3"/>
      <c r="IZZ23" s="3"/>
      <c r="JAA23" s="3"/>
      <c r="JAB23" s="3"/>
      <c r="JAC23" s="3"/>
      <c r="JAD23" s="3"/>
      <c r="JAE23" s="3"/>
      <c r="JAF23" s="3"/>
      <c r="JAG23" s="3"/>
      <c r="JAH23" s="3"/>
      <c r="JAI23" s="3"/>
      <c r="JAJ23" s="3"/>
      <c r="JAK23" s="3"/>
      <c r="JAL23" s="3"/>
      <c r="JAM23" s="3"/>
      <c r="JAN23" s="3"/>
      <c r="JAO23" s="3"/>
      <c r="JAP23" s="3"/>
      <c r="JAQ23" s="3"/>
      <c r="JAR23" s="3"/>
      <c r="JAS23" s="3"/>
      <c r="JAT23" s="3"/>
      <c r="JAU23" s="3"/>
      <c r="JAV23" s="3"/>
      <c r="JAW23" s="3"/>
      <c r="JAX23" s="3"/>
      <c r="JAY23" s="3"/>
      <c r="JAZ23" s="3"/>
      <c r="JBA23" s="3"/>
      <c r="JBB23" s="3"/>
      <c r="JBC23" s="3"/>
      <c r="JBD23" s="3"/>
      <c r="JBE23" s="3"/>
      <c r="JBF23" s="3"/>
      <c r="JBG23" s="3"/>
      <c r="JBH23" s="3"/>
      <c r="JBI23" s="3"/>
      <c r="JBJ23" s="3"/>
      <c r="JBK23" s="3"/>
      <c r="JBL23" s="3"/>
      <c r="JBM23" s="3"/>
      <c r="JBN23" s="3"/>
      <c r="JBO23" s="3"/>
      <c r="JBP23" s="3"/>
      <c r="JBQ23" s="3"/>
      <c r="JBR23" s="3"/>
      <c r="JBS23" s="3"/>
      <c r="JBT23" s="3"/>
      <c r="JBU23" s="3"/>
      <c r="JBV23" s="3"/>
      <c r="JBW23" s="3"/>
      <c r="JBX23" s="3"/>
      <c r="JBY23" s="3"/>
      <c r="JBZ23" s="3"/>
      <c r="JCA23" s="3"/>
      <c r="JCB23" s="3"/>
      <c r="JCC23" s="3"/>
      <c r="JCD23" s="3"/>
      <c r="JCE23" s="3"/>
      <c r="JCF23" s="3"/>
      <c r="JCG23" s="3"/>
      <c r="JCH23" s="3"/>
      <c r="JCI23" s="3"/>
      <c r="JCJ23" s="3"/>
      <c r="JCK23" s="3"/>
      <c r="JCL23" s="3"/>
      <c r="JCM23" s="3"/>
      <c r="JCN23" s="3"/>
      <c r="JCO23" s="3"/>
      <c r="JCP23" s="3"/>
      <c r="JCQ23" s="3"/>
      <c r="JCR23" s="3"/>
      <c r="JCS23" s="3"/>
      <c r="JCT23" s="3"/>
      <c r="JCU23" s="3"/>
      <c r="JCV23" s="3"/>
      <c r="JCW23" s="3"/>
      <c r="JCX23" s="3"/>
      <c r="JCY23" s="3"/>
      <c r="JCZ23" s="3"/>
      <c r="JDA23" s="3"/>
      <c r="JDB23" s="3"/>
      <c r="JDC23" s="3"/>
      <c r="JDD23" s="3"/>
      <c r="JDE23" s="3"/>
      <c r="JDF23" s="3"/>
      <c r="JDG23" s="3"/>
      <c r="JDH23" s="3"/>
      <c r="JDI23" s="3"/>
      <c r="JDJ23" s="3"/>
      <c r="JDK23" s="3"/>
      <c r="JDL23" s="3"/>
      <c r="JDM23" s="3"/>
      <c r="JDN23" s="3"/>
      <c r="JDO23" s="3"/>
      <c r="JDP23" s="3"/>
      <c r="JDQ23" s="3"/>
      <c r="JDR23" s="3"/>
      <c r="JDS23" s="3"/>
      <c r="JDT23" s="3"/>
      <c r="JDU23" s="3"/>
      <c r="JDV23" s="3"/>
      <c r="JDW23" s="3"/>
      <c r="JDX23" s="3"/>
      <c r="JDY23" s="3"/>
      <c r="JDZ23" s="3"/>
      <c r="JEA23" s="3"/>
      <c r="JEB23" s="3"/>
      <c r="JEC23" s="3"/>
      <c r="JED23" s="3"/>
      <c r="JEE23" s="3"/>
      <c r="JEF23" s="3"/>
      <c r="JEG23" s="3"/>
      <c r="JEH23" s="3"/>
      <c r="JEI23" s="3"/>
      <c r="JEJ23" s="3"/>
      <c r="JEK23" s="3"/>
      <c r="JEL23" s="3"/>
      <c r="JEM23" s="3"/>
      <c r="JEN23" s="3"/>
      <c r="JEO23" s="3"/>
      <c r="JEP23" s="3"/>
      <c r="JEQ23" s="3"/>
      <c r="JER23" s="3"/>
      <c r="JES23" s="3"/>
      <c r="JET23" s="3"/>
      <c r="JEU23" s="3"/>
      <c r="JEV23" s="3"/>
      <c r="JEW23" s="3"/>
      <c r="JEX23" s="3"/>
      <c r="JEY23" s="3"/>
      <c r="JEZ23" s="3"/>
      <c r="JFA23" s="3"/>
      <c r="JFB23" s="3"/>
      <c r="JFC23" s="3"/>
      <c r="JFD23" s="3"/>
      <c r="JFE23" s="3"/>
      <c r="JFF23" s="3"/>
      <c r="JFG23" s="3"/>
      <c r="JFH23" s="3"/>
      <c r="JFI23" s="3"/>
      <c r="JFJ23" s="3"/>
      <c r="JFK23" s="3"/>
      <c r="JFL23" s="3"/>
      <c r="JFM23" s="3"/>
      <c r="JFN23" s="3"/>
      <c r="JFO23" s="3"/>
      <c r="JFP23" s="3"/>
      <c r="JFQ23" s="3"/>
      <c r="JFR23" s="3"/>
      <c r="JFS23" s="3"/>
      <c r="JFT23" s="3"/>
      <c r="JFU23" s="3"/>
      <c r="JFV23" s="3"/>
      <c r="JFW23" s="3"/>
      <c r="JFX23" s="3"/>
      <c r="JFY23" s="3"/>
      <c r="JFZ23" s="3"/>
      <c r="JGA23" s="3"/>
      <c r="JGB23" s="3"/>
      <c r="JGC23" s="3"/>
      <c r="JGD23" s="3"/>
      <c r="JGE23" s="3"/>
      <c r="JGF23" s="3"/>
      <c r="JGG23" s="3"/>
      <c r="JGH23" s="3"/>
      <c r="JGI23" s="3"/>
      <c r="JGJ23" s="3"/>
      <c r="JGK23" s="3"/>
      <c r="JGL23" s="3"/>
      <c r="JGM23" s="3"/>
      <c r="JGN23" s="3"/>
      <c r="JGO23" s="3"/>
      <c r="JGP23" s="3"/>
      <c r="JGQ23" s="3"/>
      <c r="JGR23" s="3"/>
      <c r="JGS23" s="3"/>
      <c r="JGT23" s="3"/>
      <c r="JGU23" s="3"/>
      <c r="JGV23" s="3"/>
      <c r="JGW23" s="3"/>
      <c r="JGX23" s="3"/>
      <c r="JGY23" s="3"/>
      <c r="JGZ23" s="3"/>
      <c r="JHA23" s="3"/>
      <c r="JHB23" s="3"/>
      <c r="JHC23" s="3"/>
      <c r="JHD23" s="3"/>
      <c r="JHE23" s="3"/>
      <c r="JHF23" s="3"/>
      <c r="JHG23" s="3"/>
      <c r="JHH23" s="3"/>
      <c r="JHI23" s="3"/>
      <c r="JHJ23" s="3"/>
      <c r="JHK23" s="3"/>
      <c r="JHL23" s="3"/>
      <c r="JHM23" s="3"/>
      <c r="JHN23" s="3"/>
      <c r="JHO23" s="3"/>
      <c r="JHP23" s="3"/>
      <c r="JHQ23" s="3"/>
      <c r="JHR23" s="3"/>
      <c r="JHS23" s="3"/>
      <c r="JHT23" s="3"/>
      <c r="JHU23" s="3"/>
      <c r="JHV23" s="3"/>
      <c r="JHW23" s="3"/>
      <c r="JHX23" s="3"/>
      <c r="JHY23" s="3"/>
      <c r="JHZ23" s="3"/>
      <c r="JIA23" s="3"/>
      <c r="JIB23" s="3"/>
      <c r="JIC23" s="3"/>
      <c r="JID23" s="3"/>
      <c r="JIE23" s="3"/>
      <c r="JIF23" s="3"/>
      <c r="JIG23" s="3"/>
      <c r="JIH23" s="3"/>
      <c r="JII23" s="3"/>
      <c r="JIJ23" s="3"/>
      <c r="JIK23" s="3"/>
      <c r="JIL23" s="3"/>
      <c r="JIM23" s="3"/>
      <c r="JIN23" s="3"/>
      <c r="JIO23" s="3"/>
      <c r="JIP23" s="3"/>
      <c r="JIQ23" s="3"/>
      <c r="JIR23" s="3"/>
      <c r="JIS23" s="3"/>
      <c r="JIT23" s="3"/>
      <c r="JIU23" s="3"/>
      <c r="JIV23" s="3"/>
      <c r="JIW23" s="3"/>
      <c r="JIX23" s="3"/>
      <c r="JIY23" s="3"/>
      <c r="JIZ23" s="3"/>
      <c r="JJA23" s="3"/>
      <c r="JJB23" s="3"/>
      <c r="JJC23" s="3"/>
      <c r="JJD23" s="3"/>
      <c r="JJE23" s="3"/>
      <c r="JJF23" s="3"/>
      <c r="JJG23" s="3"/>
      <c r="JJH23" s="3"/>
      <c r="JJI23" s="3"/>
      <c r="JJJ23" s="3"/>
      <c r="JJK23" s="3"/>
      <c r="JJL23" s="3"/>
      <c r="JJM23" s="3"/>
      <c r="JJN23" s="3"/>
      <c r="JJO23" s="3"/>
      <c r="JJP23" s="3"/>
      <c r="JJQ23" s="3"/>
      <c r="JJR23" s="3"/>
      <c r="JJS23" s="3"/>
      <c r="JJT23" s="3"/>
      <c r="JJU23" s="3"/>
      <c r="JJV23" s="3"/>
      <c r="JJW23" s="3"/>
      <c r="JJX23" s="3"/>
      <c r="JJY23" s="3"/>
      <c r="JJZ23" s="3"/>
      <c r="JKA23" s="3"/>
      <c r="JKB23" s="3"/>
      <c r="JKC23" s="3"/>
      <c r="JKD23" s="3"/>
      <c r="JKE23" s="3"/>
      <c r="JKF23" s="3"/>
      <c r="JKG23" s="3"/>
      <c r="JKH23" s="3"/>
      <c r="JKI23" s="3"/>
      <c r="JKJ23" s="3"/>
      <c r="JKK23" s="3"/>
      <c r="JKL23" s="3"/>
      <c r="JKM23" s="3"/>
      <c r="JKN23" s="3"/>
      <c r="JKO23" s="3"/>
      <c r="JKP23" s="3"/>
      <c r="JKQ23" s="3"/>
      <c r="JKR23" s="3"/>
      <c r="JKS23" s="3"/>
      <c r="JKT23" s="3"/>
      <c r="JKU23" s="3"/>
      <c r="JKV23" s="3"/>
      <c r="JKW23" s="3"/>
      <c r="JKX23" s="3"/>
      <c r="JKY23" s="3"/>
      <c r="JKZ23" s="3"/>
      <c r="JLA23" s="3"/>
      <c r="JLB23" s="3"/>
      <c r="JLC23" s="3"/>
      <c r="JLD23" s="3"/>
      <c r="JLE23" s="3"/>
      <c r="JLF23" s="3"/>
      <c r="JLG23" s="3"/>
      <c r="JLH23" s="3"/>
      <c r="JLI23" s="3"/>
      <c r="JLJ23" s="3"/>
      <c r="JLK23" s="3"/>
      <c r="JLL23" s="3"/>
      <c r="JLM23" s="3"/>
      <c r="JLN23" s="3"/>
      <c r="JLO23" s="3"/>
      <c r="JLP23" s="3"/>
      <c r="JLQ23" s="3"/>
      <c r="JLR23" s="3"/>
      <c r="JLS23" s="3"/>
      <c r="JLT23" s="3"/>
      <c r="JLU23" s="3"/>
      <c r="JLV23" s="3"/>
      <c r="JLW23" s="3"/>
      <c r="JLX23" s="3"/>
      <c r="JLY23" s="3"/>
      <c r="JLZ23" s="3"/>
      <c r="JMA23" s="3"/>
      <c r="JMB23" s="3"/>
      <c r="JMC23" s="3"/>
      <c r="JMD23" s="3"/>
      <c r="JME23" s="3"/>
      <c r="JMF23" s="3"/>
      <c r="JMG23" s="3"/>
      <c r="JMH23" s="3"/>
      <c r="JMI23" s="3"/>
      <c r="JMJ23" s="3"/>
      <c r="JMK23" s="3"/>
      <c r="JML23" s="3"/>
      <c r="JMM23" s="3"/>
      <c r="JMN23" s="3"/>
      <c r="JMO23" s="3"/>
      <c r="JMP23" s="3"/>
      <c r="JMQ23" s="3"/>
      <c r="JMR23" s="3"/>
      <c r="JMS23" s="3"/>
      <c r="JMT23" s="3"/>
      <c r="JMU23" s="3"/>
      <c r="JMV23" s="3"/>
      <c r="JMW23" s="3"/>
      <c r="JMX23" s="3"/>
      <c r="JMY23" s="3"/>
      <c r="JMZ23" s="3"/>
      <c r="JNA23" s="3"/>
      <c r="JNB23" s="3"/>
      <c r="JNC23" s="3"/>
      <c r="JND23" s="3"/>
      <c r="JNE23" s="3"/>
      <c r="JNF23" s="3"/>
      <c r="JNG23" s="3"/>
      <c r="JNH23" s="3"/>
      <c r="JNI23" s="3"/>
      <c r="JNJ23" s="3"/>
      <c r="JNK23" s="3"/>
      <c r="JNL23" s="3"/>
      <c r="JNM23" s="3"/>
      <c r="JNN23" s="3"/>
      <c r="JNO23" s="3"/>
      <c r="JNP23" s="3"/>
      <c r="JNQ23" s="3"/>
      <c r="JNR23" s="3"/>
      <c r="JNS23" s="3"/>
      <c r="JNT23" s="3"/>
      <c r="JNU23" s="3"/>
      <c r="JNV23" s="3"/>
      <c r="JNW23" s="3"/>
      <c r="JNX23" s="3"/>
      <c r="JNY23" s="3"/>
      <c r="JNZ23" s="3"/>
      <c r="JOA23" s="3"/>
      <c r="JOB23" s="3"/>
      <c r="JOC23" s="3"/>
      <c r="JOD23" s="3"/>
      <c r="JOE23" s="3"/>
      <c r="JOF23" s="3"/>
      <c r="JOG23" s="3"/>
      <c r="JOH23" s="3"/>
      <c r="JOI23" s="3"/>
      <c r="JOJ23" s="3"/>
      <c r="JOK23" s="3"/>
      <c r="JOL23" s="3"/>
      <c r="JOM23" s="3"/>
      <c r="JON23" s="3"/>
      <c r="JOO23" s="3"/>
      <c r="JOP23" s="3"/>
      <c r="JOQ23" s="3"/>
      <c r="JOR23" s="3"/>
      <c r="JOS23" s="3"/>
      <c r="JOT23" s="3"/>
      <c r="JOU23" s="3"/>
      <c r="JOV23" s="3"/>
      <c r="JOW23" s="3"/>
      <c r="JOX23" s="3"/>
      <c r="JOY23" s="3"/>
      <c r="JOZ23" s="3"/>
      <c r="JPA23" s="3"/>
      <c r="JPB23" s="3"/>
      <c r="JPC23" s="3"/>
      <c r="JPD23" s="3"/>
      <c r="JPE23" s="3"/>
      <c r="JPF23" s="3"/>
      <c r="JPG23" s="3"/>
      <c r="JPH23" s="3"/>
      <c r="JPI23" s="3"/>
      <c r="JPJ23" s="3"/>
      <c r="JPK23" s="3"/>
      <c r="JPL23" s="3"/>
      <c r="JPM23" s="3"/>
      <c r="JPN23" s="3"/>
      <c r="JPO23" s="3"/>
      <c r="JPP23" s="3"/>
      <c r="JPQ23" s="3"/>
      <c r="JPR23" s="3"/>
      <c r="JPS23" s="3"/>
      <c r="JPT23" s="3"/>
      <c r="JPU23" s="3"/>
      <c r="JPV23" s="3"/>
      <c r="JPW23" s="3"/>
      <c r="JPX23" s="3"/>
      <c r="JPY23" s="3"/>
      <c r="JPZ23" s="3"/>
      <c r="JQA23" s="3"/>
      <c r="JQB23" s="3"/>
      <c r="JQC23" s="3"/>
      <c r="JQD23" s="3"/>
      <c r="JQE23" s="3"/>
      <c r="JQF23" s="3"/>
      <c r="JQG23" s="3"/>
      <c r="JQH23" s="3"/>
      <c r="JQI23" s="3"/>
      <c r="JQJ23" s="3"/>
      <c r="JQK23" s="3"/>
      <c r="JQL23" s="3"/>
      <c r="JQM23" s="3"/>
      <c r="JQN23" s="3"/>
      <c r="JQO23" s="3"/>
      <c r="JQP23" s="3"/>
      <c r="JQQ23" s="3"/>
      <c r="JQR23" s="3"/>
      <c r="JQS23" s="3"/>
      <c r="JQT23" s="3"/>
      <c r="JQU23" s="3"/>
      <c r="JQV23" s="3"/>
      <c r="JQW23" s="3"/>
      <c r="JQX23" s="3"/>
      <c r="JQY23" s="3"/>
      <c r="JQZ23" s="3"/>
      <c r="JRA23" s="3"/>
      <c r="JRB23" s="3"/>
      <c r="JRC23" s="3"/>
      <c r="JRD23" s="3"/>
      <c r="JRE23" s="3"/>
      <c r="JRF23" s="3"/>
      <c r="JRG23" s="3"/>
      <c r="JRH23" s="3"/>
      <c r="JRI23" s="3"/>
      <c r="JRJ23" s="3"/>
      <c r="JRK23" s="3"/>
      <c r="JRL23" s="3"/>
      <c r="JRM23" s="3"/>
      <c r="JRN23" s="3"/>
      <c r="JRO23" s="3"/>
      <c r="JRP23" s="3"/>
      <c r="JRQ23" s="3"/>
      <c r="JRR23" s="3"/>
      <c r="JRS23" s="3"/>
      <c r="JRT23" s="3"/>
      <c r="JRU23" s="3"/>
      <c r="JRV23" s="3"/>
      <c r="JRW23" s="3"/>
      <c r="JRX23" s="3"/>
      <c r="JRY23" s="3"/>
      <c r="JRZ23" s="3"/>
      <c r="JSA23" s="3"/>
      <c r="JSB23" s="3"/>
      <c r="JSC23" s="3"/>
      <c r="JSD23" s="3"/>
      <c r="JSE23" s="3"/>
      <c r="JSF23" s="3"/>
      <c r="JSG23" s="3"/>
      <c r="JSH23" s="3"/>
      <c r="JSI23" s="3"/>
      <c r="JSJ23" s="3"/>
      <c r="JSK23" s="3"/>
      <c r="JSL23" s="3"/>
      <c r="JSM23" s="3"/>
      <c r="JSN23" s="3"/>
      <c r="JSO23" s="3"/>
      <c r="JSP23" s="3"/>
      <c r="JSQ23" s="3"/>
      <c r="JSR23" s="3"/>
      <c r="JSS23" s="3"/>
      <c r="JST23" s="3"/>
      <c r="JSU23" s="3"/>
      <c r="JSV23" s="3"/>
      <c r="JSW23" s="3"/>
      <c r="JSX23" s="3"/>
      <c r="JSY23" s="3"/>
      <c r="JSZ23" s="3"/>
      <c r="JTA23" s="3"/>
      <c r="JTB23" s="3"/>
      <c r="JTC23" s="3"/>
      <c r="JTD23" s="3"/>
      <c r="JTE23" s="3"/>
      <c r="JTF23" s="3"/>
      <c r="JTG23" s="3"/>
      <c r="JTH23" s="3"/>
      <c r="JTI23" s="3"/>
      <c r="JTJ23" s="3"/>
      <c r="JTK23" s="3"/>
      <c r="JTL23" s="3"/>
      <c r="JTM23" s="3"/>
      <c r="JTN23" s="3"/>
      <c r="JTO23" s="3"/>
      <c r="JTP23" s="3"/>
      <c r="JTQ23" s="3"/>
      <c r="JTR23" s="3"/>
      <c r="JTS23" s="3"/>
      <c r="JTT23" s="3"/>
      <c r="JTU23" s="3"/>
      <c r="JTV23" s="3"/>
      <c r="JTW23" s="3"/>
      <c r="JTX23" s="3"/>
      <c r="JTY23" s="3"/>
      <c r="JTZ23" s="3"/>
      <c r="JUA23" s="3"/>
      <c r="JUB23" s="3"/>
      <c r="JUC23" s="3"/>
      <c r="JUD23" s="3"/>
      <c r="JUE23" s="3"/>
      <c r="JUF23" s="3"/>
      <c r="JUG23" s="3"/>
      <c r="JUH23" s="3"/>
      <c r="JUI23" s="3"/>
      <c r="JUJ23" s="3"/>
      <c r="JUK23" s="3"/>
      <c r="JUL23" s="3"/>
      <c r="JUM23" s="3"/>
      <c r="JUN23" s="3"/>
      <c r="JUO23" s="3"/>
      <c r="JUP23" s="3"/>
      <c r="JUQ23" s="3"/>
      <c r="JUR23" s="3"/>
      <c r="JUS23" s="3"/>
      <c r="JUT23" s="3"/>
      <c r="JUU23" s="3"/>
      <c r="JUV23" s="3"/>
      <c r="JUW23" s="3"/>
      <c r="JUX23" s="3"/>
      <c r="JUY23" s="3"/>
      <c r="JUZ23" s="3"/>
      <c r="JVA23" s="3"/>
      <c r="JVB23" s="3"/>
      <c r="JVC23" s="3"/>
      <c r="JVD23" s="3"/>
      <c r="JVE23" s="3"/>
      <c r="JVF23" s="3"/>
      <c r="JVG23" s="3"/>
      <c r="JVH23" s="3"/>
      <c r="JVI23" s="3"/>
      <c r="JVJ23" s="3"/>
      <c r="JVK23" s="3"/>
      <c r="JVL23" s="3"/>
      <c r="JVM23" s="3"/>
      <c r="JVN23" s="3"/>
      <c r="JVO23" s="3"/>
      <c r="JVP23" s="3"/>
      <c r="JVQ23" s="3"/>
      <c r="JVR23" s="3"/>
      <c r="JVS23" s="3"/>
      <c r="JVT23" s="3"/>
      <c r="JVU23" s="3"/>
      <c r="JVV23" s="3"/>
      <c r="JVW23" s="3"/>
      <c r="JVX23" s="3"/>
      <c r="JVY23" s="3"/>
      <c r="JVZ23" s="3"/>
      <c r="JWA23" s="3"/>
      <c r="JWB23" s="3"/>
      <c r="JWC23" s="3"/>
      <c r="JWD23" s="3"/>
      <c r="JWE23" s="3"/>
      <c r="JWF23" s="3"/>
      <c r="JWG23" s="3"/>
      <c r="JWH23" s="3"/>
      <c r="JWI23" s="3"/>
      <c r="JWJ23" s="3"/>
      <c r="JWK23" s="3"/>
      <c r="JWL23" s="3"/>
      <c r="JWM23" s="3"/>
      <c r="JWN23" s="3"/>
      <c r="JWO23" s="3"/>
      <c r="JWP23" s="3"/>
      <c r="JWQ23" s="3"/>
      <c r="JWR23" s="3"/>
      <c r="JWS23" s="3"/>
      <c r="JWT23" s="3"/>
      <c r="JWU23" s="3"/>
      <c r="JWV23" s="3"/>
      <c r="JWW23" s="3"/>
      <c r="JWX23" s="3"/>
      <c r="JWY23" s="3"/>
      <c r="JWZ23" s="3"/>
      <c r="JXA23" s="3"/>
      <c r="JXB23" s="3"/>
      <c r="JXC23" s="3"/>
      <c r="JXD23" s="3"/>
      <c r="JXE23" s="3"/>
      <c r="JXF23" s="3"/>
      <c r="JXG23" s="3"/>
      <c r="JXH23" s="3"/>
      <c r="JXI23" s="3"/>
      <c r="JXJ23" s="3"/>
      <c r="JXK23" s="3"/>
      <c r="JXL23" s="3"/>
      <c r="JXM23" s="3"/>
      <c r="JXN23" s="3"/>
      <c r="JXO23" s="3"/>
      <c r="JXP23" s="3"/>
      <c r="JXQ23" s="3"/>
      <c r="JXR23" s="3"/>
      <c r="JXS23" s="3"/>
      <c r="JXT23" s="3"/>
      <c r="JXU23" s="3"/>
      <c r="JXV23" s="3"/>
      <c r="JXW23" s="3"/>
      <c r="JXX23" s="3"/>
      <c r="JXY23" s="3"/>
      <c r="JXZ23" s="3"/>
      <c r="JYA23" s="3"/>
      <c r="JYB23" s="3"/>
      <c r="JYC23" s="3"/>
      <c r="JYD23" s="3"/>
      <c r="JYE23" s="3"/>
      <c r="JYF23" s="3"/>
      <c r="JYG23" s="3"/>
      <c r="JYH23" s="3"/>
      <c r="JYI23" s="3"/>
      <c r="JYJ23" s="3"/>
      <c r="JYK23" s="3"/>
      <c r="JYL23" s="3"/>
      <c r="JYM23" s="3"/>
      <c r="JYN23" s="3"/>
      <c r="JYO23" s="3"/>
      <c r="JYP23" s="3"/>
      <c r="JYQ23" s="3"/>
      <c r="JYR23" s="3"/>
      <c r="JYS23" s="3"/>
      <c r="JYT23" s="3"/>
      <c r="JYU23" s="3"/>
      <c r="JYV23" s="3"/>
      <c r="JYW23" s="3"/>
      <c r="JYX23" s="3"/>
      <c r="JYY23" s="3"/>
      <c r="JYZ23" s="3"/>
      <c r="JZA23" s="3"/>
      <c r="JZB23" s="3"/>
      <c r="JZC23" s="3"/>
      <c r="JZD23" s="3"/>
      <c r="JZE23" s="3"/>
      <c r="JZF23" s="3"/>
      <c r="JZG23" s="3"/>
      <c r="JZH23" s="3"/>
      <c r="JZI23" s="3"/>
      <c r="JZJ23" s="3"/>
      <c r="JZK23" s="3"/>
      <c r="JZL23" s="3"/>
      <c r="JZM23" s="3"/>
      <c r="JZN23" s="3"/>
      <c r="JZO23" s="3"/>
      <c r="JZP23" s="3"/>
      <c r="JZQ23" s="3"/>
      <c r="JZR23" s="3"/>
      <c r="JZS23" s="3"/>
      <c r="JZT23" s="3"/>
      <c r="JZU23" s="3"/>
      <c r="JZV23" s="3"/>
      <c r="JZW23" s="3"/>
      <c r="JZX23" s="3"/>
      <c r="JZY23" s="3"/>
      <c r="JZZ23" s="3"/>
      <c r="KAA23" s="3"/>
      <c r="KAB23" s="3"/>
      <c r="KAC23" s="3"/>
      <c r="KAD23" s="3"/>
      <c r="KAE23" s="3"/>
      <c r="KAF23" s="3"/>
      <c r="KAG23" s="3"/>
      <c r="KAH23" s="3"/>
      <c r="KAI23" s="3"/>
      <c r="KAJ23" s="3"/>
      <c r="KAK23" s="3"/>
      <c r="KAL23" s="3"/>
      <c r="KAM23" s="3"/>
      <c r="KAN23" s="3"/>
      <c r="KAO23" s="3"/>
      <c r="KAP23" s="3"/>
      <c r="KAQ23" s="3"/>
      <c r="KAR23" s="3"/>
      <c r="KAS23" s="3"/>
      <c r="KAT23" s="3"/>
      <c r="KAU23" s="3"/>
      <c r="KAV23" s="3"/>
      <c r="KAW23" s="3"/>
      <c r="KAX23" s="3"/>
      <c r="KAY23" s="3"/>
      <c r="KAZ23" s="3"/>
      <c r="KBA23" s="3"/>
      <c r="KBB23" s="3"/>
      <c r="KBC23" s="3"/>
      <c r="KBD23" s="3"/>
      <c r="KBE23" s="3"/>
      <c r="KBF23" s="3"/>
      <c r="KBG23" s="3"/>
      <c r="KBH23" s="3"/>
      <c r="KBI23" s="3"/>
      <c r="KBJ23" s="3"/>
      <c r="KBK23" s="3"/>
      <c r="KBL23" s="3"/>
      <c r="KBM23" s="3"/>
      <c r="KBN23" s="3"/>
      <c r="KBO23" s="3"/>
      <c r="KBP23" s="3"/>
      <c r="KBQ23" s="3"/>
      <c r="KBR23" s="3"/>
      <c r="KBS23" s="3"/>
      <c r="KBT23" s="3"/>
      <c r="KBU23" s="3"/>
      <c r="KBV23" s="3"/>
      <c r="KBW23" s="3"/>
      <c r="KBX23" s="3"/>
      <c r="KBY23" s="3"/>
      <c r="KBZ23" s="3"/>
      <c r="KCA23" s="3"/>
      <c r="KCB23" s="3"/>
      <c r="KCC23" s="3"/>
      <c r="KCD23" s="3"/>
      <c r="KCE23" s="3"/>
      <c r="KCF23" s="3"/>
      <c r="KCG23" s="3"/>
      <c r="KCH23" s="3"/>
      <c r="KCI23" s="3"/>
      <c r="KCJ23" s="3"/>
      <c r="KCK23" s="3"/>
      <c r="KCL23" s="3"/>
      <c r="KCM23" s="3"/>
      <c r="KCN23" s="3"/>
      <c r="KCO23" s="3"/>
      <c r="KCP23" s="3"/>
      <c r="KCQ23" s="3"/>
      <c r="KCR23" s="3"/>
      <c r="KCS23" s="3"/>
      <c r="KCT23" s="3"/>
      <c r="KCU23" s="3"/>
      <c r="KCV23" s="3"/>
      <c r="KCW23" s="3"/>
      <c r="KCX23" s="3"/>
      <c r="KCY23" s="3"/>
      <c r="KCZ23" s="3"/>
      <c r="KDA23" s="3"/>
      <c r="KDB23" s="3"/>
      <c r="KDC23" s="3"/>
      <c r="KDD23" s="3"/>
      <c r="KDE23" s="3"/>
      <c r="KDF23" s="3"/>
      <c r="KDG23" s="3"/>
      <c r="KDH23" s="3"/>
      <c r="KDI23" s="3"/>
      <c r="KDJ23" s="3"/>
      <c r="KDK23" s="3"/>
      <c r="KDL23" s="3"/>
      <c r="KDM23" s="3"/>
      <c r="KDN23" s="3"/>
      <c r="KDO23" s="3"/>
      <c r="KDP23" s="3"/>
      <c r="KDQ23" s="3"/>
      <c r="KDR23" s="3"/>
      <c r="KDS23" s="3"/>
      <c r="KDT23" s="3"/>
      <c r="KDU23" s="3"/>
      <c r="KDV23" s="3"/>
      <c r="KDW23" s="3"/>
      <c r="KDX23" s="3"/>
      <c r="KDY23" s="3"/>
      <c r="KDZ23" s="3"/>
      <c r="KEA23" s="3"/>
      <c r="KEB23" s="3"/>
      <c r="KEC23" s="3"/>
      <c r="KED23" s="3"/>
      <c r="KEE23" s="3"/>
      <c r="KEF23" s="3"/>
      <c r="KEG23" s="3"/>
      <c r="KEH23" s="3"/>
      <c r="KEI23" s="3"/>
      <c r="KEJ23" s="3"/>
      <c r="KEK23" s="3"/>
      <c r="KEL23" s="3"/>
      <c r="KEM23" s="3"/>
      <c r="KEN23" s="3"/>
      <c r="KEO23" s="3"/>
      <c r="KEP23" s="3"/>
      <c r="KEQ23" s="3"/>
      <c r="KER23" s="3"/>
      <c r="KES23" s="3"/>
      <c r="KET23" s="3"/>
      <c r="KEU23" s="3"/>
      <c r="KEV23" s="3"/>
      <c r="KEW23" s="3"/>
      <c r="KEX23" s="3"/>
      <c r="KEY23" s="3"/>
      <c r="KEZ23" s="3"/>
      <c r="KFA23" s="3"/>
      <c r="KFB23" s="3"/>
      <c r="KFC23" s="3"/>
      <c r="KFD23" s="3"/>
      <c r="KFE23" s="3"/>
      <c r="KFF23" s="3"/>
      <c r="KFG23" s="3"/>
      <c r="KFH23" s="3"/>
      <c r="KFI23" s="3"/>
      <c r="KFJ23" s="3"/>
      <c r="KFK23" s="3"/>
      <c r="KFL23" s="3"/>
      <c r="KFM23" s="3"/>
      <c r="KFN23" s="3"/>
      <c r="KFO23" s="3"/>
      <c r="KFP23" s="3"/>
      <c r="KFQ23" s="3"/>
      <c r="KFR23" s="3"/>
      <c r="KFS23" s="3"/>
      <c r="KFT23" s="3"/>
      <c r="KFU23" s="3"/>
      <c r="KFV23" s="3"/>
      <c r="KFW23" s="3"/>
      <c r="KFX23" s="3"/>
      <c r="KFY23" s="3"/>
      <c r="KFZ23" s="3"/>
      <c r="KGA23" s="3"/>
      <c r="KGB23" s="3"/>
      <c r="KGC23" s="3"/>
      <c r="KGD23" s="3"/>
      <c r="KGE23" s="3"/>
      <c r="KGF23" s="3"/>
      <c r="KGG23" s="3"/>
      <c r="KGH23" s="3"/>
      <c r="KGI23" s="3"/>
      <c r="KGJ23" s="3"/>
      <c r="KGK23" s="3"/>
      <c r="KGL23" s="3"/>
      <c r="KGM23" s="3"/>
      <c r="KGN23" s="3"/>
      <c r="KGO23" s="3"/>
      <c r="KGP23" s="3"/>
      <c r="KGQ23" s="3"/>
      <c r="KGR23" s="3"/>
      <c r="KGS23" s="3"/>
      <c r="KGT23" s="3"/>
      <c r="KGU23" s="3"/>
      <c r="KGV23" s="3"/>
      <c r="KGW23" s="3"/>
      <c r="KGX23" s="3"/>
      <c r="KGY23" s="3"/>
      <c r="KGZ23" s="3"/>
      <c r="KHA23" s="3"/>
      <c r="KHB23" s="3"/>
      <c r="KHC23" s="3"/>
      <c r="KHD23" s="3"/>
      <c r="KHE23" s="3"/>
      <c r="KHF23" s="3"/>
      <c r="KHG23" s="3"/>
      <c r="KHH23" s="3"/>
      <c r="KHI23" s="3"/>
      <c r="KHJ23" s="3"/>
      <c r="KHK23" s="3"/>
      <c r="KHL23" s="3"/>
      <c r="KHM23" s="3"/>
      <c r="KHN23" s="3"/>
      <c r="KHO23" s="3"/>
      <c r="KHP23" s="3"/>
      <c r="KHQ23" s="3"/>
      <c r="KHR23" s="3"/>
      <c r="KHS23" s="3"/>
      <c r="KHT23" s="3"/>
      <c r="KHU23" s="3"/>
      <c r="KHV23" s="3"/>
      <c r="KHW23" s="3"/>
      <c r="KHX23" s="3"/>
      <c r="KHY23" s="3"/>
      <c r="KHZ23" s="3"/>
      <c r="KIA23" s="3"/>
      <c r="KIB23" s="3"/>
      <c r="KIC23" s="3"/>
      <c r="KID23" s="3"/>
      <c r="KIE23" s="3"/>
      <c r="KIF23" s="3"/>
      <c r="KIG23" s="3"/>
      <c r="KIH23" s="3"/>
      <c r="KII23" s="3"/>
      <c r="KIJ23" s="3"/>
      <c r="KIK23" s="3"/>
      <c r="KIL23" s="3"/>
      <c r="KIM23" s="3"/>
      <c r="KIN23" s="3"/>
      <c r="KIO23" s="3"/>
      <c r="KIP23" s="3"/>
      <c r="KIQ23" s="3"/>
      <c r="KIR23" s="3"/>
      <c r="KIS23" s="3"/>
      <c r="KIT23" s="3"/>
      <c r="KIU23" s="3"/>
      <c r="KIV23" s="3"/>
      <c r="KIW23" s="3"/>
      <c r="KIX23" s="3"/>
      <c r="KIY23" s="3"/>
      <c r="KIZ23" s="3"/>
      <c r="KJA23" s="3"/>
      <c r="KJB23" s="3"/>
      <c r="KJC23" s="3"/>
      <c r="KJD23" s="3"/>
      <c r="KJE23" s="3"/>
      <c r="KJF23" s="3"/>
      <c r="KJG23" s="3"/>
      <c r="KJH23" s="3"/>
      <c r="KJI23" s="3"/>
      <c r="KJJ23" s="3"/>
      <c r="KJK23" s="3"/>
      <c r="KJL23" s="3"/>
      <c r="KJM23" s="3"/>
      <c r="KJN23" s="3"/>
      <c r="KJO23" s="3"/>
      <c r="KJP23" s="3"/>
      <c r="KJQ23" s="3"/>
      <c r="KJR23" s="3"/>
      <c r="KJS23" s="3"/>
      <c r="KJT23" s="3"/>
      <c r="KJU23" s="3"/>
      <c r="KJV23" s="3"/>
      <c r="KJW23" s="3"/>
      <c r="KJX23" s="3"/>
      <c r="KJY23" s="3"/>
      <c r="KJZ23" s="3"/>
      <c r="KKA23" s="3"/>
      <c r="KKB23" s="3"/>
      <c r="KKC23" s="3"/>
      <c r="KKD23" s="3"/>
      <c r="KKE23" s="3"/>
      <c r="KKF23" s="3"/>
      <c r="KKG23" s="3"/>
      <c r="KKH23" s="3"/>
      <c r="KKI23" s="3"/>
      <c r="KKJ23" s="3"/>
      <c r="KKK23" s="3"/>
      <c r="KKL23" s="3"/>
      <c r="KKM23" s="3"/>
      <c r="KKN23" s="3"/>
      <c r="KKO23" s="3"/>
      <c r="KKP23" s="3"/>
      <c r="KKQ23" s="3"/>
      <c r="KKR23" s="3"/>
      <c r="KKS23" s="3"/>
      <c r="KKT23" s="3"/>
      <c r="KKU23" s="3"/>
      <c r="KKV23" s="3"/>
      <c r="KKW23" s="3"/>
      <c r="KKX23" s="3"/>
      <c r="KKY23" s="3"/>
      <c r="KKZ23" s="3"/>
      <c r="KLA23" s="3"/>
      <c r="KLB23" s="3"/>
      <c r="KLC23" s="3"/>
      <c r="KLD23" s="3"/>
      <c r="KLE23" s="3"/>
      <c r="KLF23" s="3"/>
      <c r="KLG23" s="3"/>
      <c r="KLH23" s="3"/>
      <c r="KLI23" s="3"/>
      <c r="KLJ23" s="3"/>
      <c r="KLK23" s="3"/>
      <c r="KLL23" s="3"/>
      <c r="KLM23" s="3"/>
      <c r="KLN23" s="3"/>
      <c r="KLO23" s="3"/>
      <c r="KLP23" s="3"/>
      <c r="KLQ23" s="3"/>
      <c r="KLR23" s="3"/>
      <c r="KLS23" s="3"/>
      <c r="KLT23" s="3"/>
      <c r="KLU23" s="3"/>
      <c r="KLV23" s="3"/>
      <c r="KLW23" s="3"/>
      <c r="KLX23" s="3"/>
      <c r="KLY23" s="3"/>
      <c r="KLZ23" s="3"/>
      <c r="KMA23" s="3"/>
      <c r="KMB23" s="3"/>
      <c r="KMC23" s="3"/>
      <c r="KMD23" s="3"/>
      <c r="KME23" s="3"/>
      <c r="KMF23" s="3"/>
      <c r="KMG23" s="3"/>
      <c r="KMH23" s="3"/>
      <c r="KMI23" s="3"/>
      <c r="KMJ23" s="3"/>
      <c r="KMK23" s="3"/>
      <c r="KML23" s="3"/>
      <c r="KMM23" s="3"/>
      <c r="KMN23" s="3"/>
      <c r="KMO23" s="3"/>
      <c r="KMP23" s="3"/>
      <c r="KMQ23" s="3"/>
      <c r="KMR23" s="3"/>
      <c r="KMS23" s="3"/>
      <c r="KMT23" s="3"/>
      <c r="KMU23" s="3"/>
      <c r="KMV23" s="3"/>
      <c r="KMW23" s="3"/>
      <c r="KMX23" s="3"/>
      <c r="KMY23" s="3"/>
      <c r="KMZ23" s="3"/>
      <c r="KNA23" s="3"/>
      <c r="KNB23" s="3"/>
      <c r="KNC23" s="3"/>
      <c r="KND23" s="3"/>
      <c r="KNE23" s="3"/>
      <c r="KNF23" s="3"/>
      <c r="KNG23" s="3"/>
      <c r="KNH23" s="3"/>
      <c r="KNI23" s="3"/>
      <c r="KNJ23" s="3"/>
      <c r="KNK23" s="3"/>
      <c r="KNL23" s="3"/>
      <c r="KNM23" s="3"/>
      <c r="KNN23" s="3"/>
      <c r="KNO23" s="3"/>
      <c r="KNP23" s="3"/>
      <c r="KNQ23" s="3"/>
      <c r="KNR23" s="3"/>
      <c r="KNS23" s="3"/>
      <c r="KNT23" s="3"/>
      <c r="KNU23" s="3"/>
      <c r="KNV23" s="3"/>
      <c r="KNW23" s="3"/>
      <c r="KNX23" s="3"/>
      <c r="KNY23" s="3"/>
      <c r="KNZ23" s="3"/>
      <c r="KOA23" s="3"/>
      <c r="KOB23" s="3"/>
      <c r="KOC23" s="3"/>
      <c r="KOD23" s="3"/>
      <c r="KOE23" s="3"/>
      <c r="KOF23" s="3"/>
      <c r="KOG23" s="3"/>
      <c r="KOH23" s="3"/>
      <c r="KOI23" s="3"/>
      <c r="KOJ23" s="3"/>
      <c r="KOK23" s="3"/>
      <c r="KOL23" s="3"/>
      <c r="KOM23" s="3"/>
      <c r="KON23" s="3"/>
      <c r="KOO23" s="3"/>
      <c r="KOP23" s="3"/>
      <c r="KOQ23" s="3"/>
      <c r="KOR23" s="3"/>
      <c r="KOS23" s="3"/>
      <c r="KOT23" s="3"/>
      <c r="KOU23" s="3"/>
      <c r="KOV23" s="3"/>
      <c r="KOW23" s="3"/>
      <c r="KOX23" s="3"/>
      <c r="KOY23" s="3"/>
      <c r="KOZ23" s="3"/>
      <c r="KPA23" s="3"/>
      <c r="KPB23" s="3"/>
      <c r="KPC23" s="3"/>
      <c r="KPD23" s="3"/>
      <c r="KPE23" s="3"/>
      <c r="KPF23" s="3"/>
      <c r="KPG23" s="3"/>
      <c r="KPH23" s="3"/>
      <c r="KPI23" s="3"/>
      <c r="KPJ23" s="3"/>
      <c r="KPK23" s="3"/>
      <c r="KPL23" s="3"/>
      <c r="KPM23" s="3"/>
      <c r="KPN23" s="3"/>
      <c r="KPO23" s="3"/>
      <c r="KPP23" s="3"/>
      <c r="KPQ23" s="3"/>
      <c r="KPR23" s="3"/>
      <c r="KPS23" s="3"/>
      <c r="KPT23" s="3"/>
      <c r="KPU23" s="3"/>
      <c r="KPV23" s="3"/>
      <c r="KPW23" s="3"/>
      <c r="KPX23" s="3"/>
      <c r="KPY23" s="3"/>
      <c r="KPZ23" s="3"/>
      <c r="KQA23" s="3"/>
      <c r="KQB23" s="3"/>
      <c r="KQC23" s="3"/>
      <c r="KQD23" s="3"/>
      <c r="KQE23" s="3"/>
      <c r="KQF23" s="3"/>
      <c r="KQG23" s="3"/>
      <c r="KQH23" s="3"/>
      <c r="KQI23" s="3"/>
      <c r="KQJ23" s="3"/>
      <c r="KQK23" s="3"/>
      <c r="KQL23" s="3"/>
      <c r="KQM23" s="3"/>
      <c r="KQN23" s="3"/>
      <c r="KQO23" s="3"/>
      <c r="KQP23" s="3"/>
      <c r="KQQ23" s="3"/>
      <c r="KQR23" s="3"/>
      <c r="KQS23" s="3"/>
      <c r="KQT23" s="3"/>
      <c r="KQU23" s="3"/>
      <c r="KQV23" s="3"/>
      <c r="KQW23" s="3"/>
      <c r="KQX23" s="3"/>
      <c r="KQY23" s="3"/>
      <c r="KQZ23" s="3"/>
      <c r="KRA23" s="3"/>
      <c r="KRB23" s="3"/>
      <c r="KRC23" s="3"/>
      <c r="KRD23" s="3"/>
      <c r="KRE23" s="3"/>
      <c r="KRF23" s="3"/>
      <c r="KRG23" s="3"/>
      <c r="KRH23" s="3"/>
      <c r="KRI23" s="3"/>
      <c r="KRJ23" s="3"/>
      <c r="KRK23" s="3"/>
      <c r="KRL23" s="3"/>
      <c r="KRM23" s="3"/>
      <c r="KRN23" s="3"/>
    </row>
    <row r="24" spans="1:7918">
      <c r="A24" s="26" t="e">
        <f t="shared" si="0"/>
        <v>#REF!</v>
      </c>
      <c r="B24" s="388" t="s">
        <v>557</v>
      </c>
      <c r="C24" s="223">
        <v>2450053224</v>
      </c>
      <c r="D24" s="386" t="s">
        <v>557</v>
      </c>
      <c r="E24" s="149" t="str">
        <f>VLOOKUP($B24,'Nomina Unhesa'!$B$4:$AB$209,2,0)</f>
        <v>Piloto</v>
      </c>
      <c r="F24" s="149">
        <f>VLOOKUP($B24,'Nomina Unhesa'!$B$4:$AB$209,4,0)</f>
        <v>30</v>
      </c>
      <c r="G24" s="230">
        <f>VLOOKUP($B24,'Nomina Unhesa'!$B$4:$AB$209,6,0)</f>
        <v>3166.38</v>
      </c>
      <c r="H24" s="230">
        <f>VLOOKUP($B24,'Nomina Unhesa'!$B$4:$AB$209,7,0)</f>
        <v>250</v>
      </c>
      <c r="I24" s="230">
        <f>VLOOKUP($B24,'Nomina Unhesa'!$B$4:$AB$209,9,0)</f>
        <v>0</v>
      </c>
      <c r="J24" s="232">
        <f>VLOOKUP($B24,'Nomina Unhesa'!$B$4:$AB$209,10,0)</f>
        <v>0</v>
      </c>
      <c r="K24" s="230">
        <f>VLOOKUP($B24,'Nomina Unhesa'!$B$4:$AB$209,11,0)</f>
        <v>0</v>
      </c>
      <c r="L24" s="230">
        <f>VLOOKUP($B24,'Nomina Unhesa'!$B$4:$AB$209,12,0)</f>
        <v>0</v>
      </c>
      <c r="M24" s="230">
        <f>VLOOKUP($B24,'Nomina Unhesa'!$B$4:$AB$209,14,0)</f>
        <v>0</v>
      </c>
      <c r="N24" s="232">
        <f>VLOOKUP($B24,'Nomina Unhesa'!$B$4:$AB$209,15,0)</f>
        <v>3416.38</v>
      </c>
      <c r="O24" s="232">
        <f>VLOOKUP($B24,'Nomina Unhesa'!$B$4:$AB$209,16,0)</f>
        <v>152.94</v>
      </c>
      <c r="P24" s="232">
        <f>VLOOKUP($B24,'Nomina Unhesa'!$B$4:$AB$209,17,0)</f>
        <v>0</v>
      </c>
      <c r="Q24" s="232">
        <f>VLOOKUP($B24,'Nomina Unhesa'!$B$4:$AB$209,18,0)</f>
        <v>0</v>
      </c>
      <c r="R24" s="232">
        <f>VLOOKUP($B24,'Nomina Unhesa'!$B$4:$AB$209,19,0)</f>
        <v>0</v>
      </c>
      <c r="S24" s="232">
        <f>VLOOKUP($B24,'Nomina Unhesa'!$B$4:$AB$209,20,0)</f>
        <v>0</v>
      </c>
      <c r="T24" s="232">
        <f>VLOOKUP($B24,'Nomina Unhesa'!$B$4:$AB$209,21,0)</f>
        <v>0</v>
      </c>
      <c r="U24" s="232">
        <f>VLOOKUP($B24,'Nomina Unhesa'!$B$4:$AB$209,22,0)</f>
        <v>0</v>
      </c>
      <c r="V24" s="232">
        <f>ROUND((VLOOKUP($B24,'Nomina Unhesa'!$B$4:$AB$209,23,0)),2)</f>
        <v>50</v>
      </c>
      <c r="W24" s="232">
        <f>VLOOKUP($B24,'Nomina Unhesa'!$B$4:$AB$209,24,0)</f>
        <v>202.94</v>
      </c>
      <c r="X24" s="232">
        <f>VLOOKUP(B24,'Nomina Unhesa'!$B$9:$Z$163,25,FALSE)</f>
        <v>3213.44</v>
      </c>
      <c r="Y24" s="377">
        <f>ROUND((VLOOKUP(B24,'Nomina Unhesa'!$B$9:$AB$157,26,FALSE)),2)</f>
        <v>1631.72</v>
      </c>
      <c r="Z24" s="376">
        <f>VLOOKUP(B24,'Nomina Unhesa'!$B$9:$AB$158,27,FALSE)</f>
        <v>1581.72</v>
      </c>
      <c r="AA24" s="438">
        <v>189044993</v>
      </c>
      <c r="AB24" s="387">
        <f>+IFERROR(VLOOKUP(B24,'Nomina Unhesa'!B9:D157,3,0),"")</f>
        <v>3166.38</v>
      </c>
    </row>
    <row r="25" spans="1:7918">
      <c r="A25" s="26" t="e">
        <f t="shared" si="0"/>
        <v>#REF!</v>
      </c>
      <c r="B25" s="388" t="s">
        <v>558</v>
      </c>
      <c r="C25" s="181">
        <v>60303740</v>
      </c>
      <c r="D25" s="386" t="s">
        <v>558</v>
      </c>
      <c r="E25" s="149" t="str">
        <f>VLOOKUP($B25,'Nomina Unhesa'!$B$4:$AB$209,2,0)</f>
        <v>Auxiliar Contable</v>
      </c>
      <c r="F25" s="149">
        <f>VLOOKUP($B25,'Nomina Unhesa'!$B$4:$AB$209,4,0)</f>
        <v>30</v>
      </c>
      <c r="G25" s="230">
        <f>VLOOKUP($B25,'Nomina Unhesa'!$B$4:$AB$209,6,0)</f>
        <v>3166.38</v>
      </c>
      <c r="H25" s="230">
        <f>VLOOKUP($B25,'Nomina Unhesa'!$B$4:$AB$209,7,0)</f>
        <v>740.76</v>
      </c>
      <c r="I25" s="230">
        <f>VLOOKUP($B25,'Nomina Unhesa'!$B$4:$AB$209,9,0)</f>
        <v>0</v>
      </c>
      <c r="J25" s="232">
        <f>VLOOKUP($B25,'Nomina Unhesa'!$B$4:$AB$209,10,0)</f>
        <v>0</v>
      </c>
      <c r="K25" s="230">
        <f>VLOOKUP($B25,'Nomina Unhesa'!$B$4:$AB$209,11,0)</f>
        <v>0</v>
      </c>
      <c r="L25" s="230">
        <f>VLOOKUP($B25,'Nomina Unhesa'!$B$4:$AB$209,12,0)</f>
        <v>0</v>
      </c>
      <c r="M25" s="230">
        <f>VLOOKUP($B25,'Nomina Unhesa'!$B$4:$AB$209,14,0)</f>
        <v>0</v>
      </c>
      <c r="N25" s="232">
        <f>VLOOKUP($B25,'Nomina Unhesa'!$B$4:$AB$209,15,0)</f>
        <v>3907.1400000000003</v>
      </c>
      <c r="O25" s="232">
        <f>VLOOKUP($B25,'Nomina Unhesa'!$B$4:$AB$209,16,0)</f>
        <v>152.94</v>
      </c>
      <c r="P25" s="232">
        <f>VLOOKUP($B25,'Nomina Unhesa'!$B$4:$AB$209,17,0)</f>
        <v>0</v>
      </c>
      <c r="Q25" s="232">
        <f>VLOOKUP($B25,'Nomina Unhesa'!$B$4:$AB$209,18,0)</f>
        <v>0</v>
      </c>
      <c r="R25" s="232">
        <f>VLOOKUP($B25,'Nomina Unhesa'!$B$4:$AB$209,19,0)</f>
        <v>0</v>
      </c>
      <c r="S25" s="232">
        <f>VLOOKUP($B25,'Nomina Unhesa'!$B$4:$AB$209,20,0)</f>
        <v>0</v>
      </c>
      <c r="T25" s="232">
        <f>VLOOKUP($B25,'Nomina Unhesa'!$B$4:$AB$209,21,0)</f>
        <v>0</v>
      </c>
      <c r="U25" s="232">
        <f>VLOOKUP($B25,'Nomina Unhesa'!$B$4:$AB$209,22,0)</f>
        <v>438</v>
      </c>
      <c r="V25" s="232">
        <f>ROUND((VLOOKUP($B25,'Nomina Unhesa'!$B$4:$AB$209,23,0)),2)</f>
        <v>125</v>
      </c>
      <c r="W25" s="232">
        <f>VLOOKUP($B25,'Nomina Unhesa'!$B$4:$AB$209,24,0)</f>
        <v>715.94</v>
      </c>
      <c r="X25" s="232">
        <f>VLOOKUP(B25,'Nomina Unhesa'!$B$9:$Z$163,25,FALSE)</f>
        <v>3191.2000000000003</v>
      </c>
      <c r="Y25" s="236">
        <f>ROUND((VLOOKUP(B25,'Nomina Unhesa'!$B$9:$AB$157,26,FALSE)),2)</f>
        <v>1705.1</v>
      </c>
      <c r="Z25" s="211">
        <f>VLOOKUP(B25,'Nomina Unhesa'!$B$9:$AB$158,27,FALSE)</f>
        <v>1486.1000000000001</v>
      </c>
      <c r="AA25" s="438">
        <v>187124375</v>
      </c>
      <c r="AB25" s="387">
        <f>+IFERROR(VLOOKUP(B25,'Nomina Unhesa'!B17:D161,3,0),"")</f>
        <v>3166.38</v>
      </c>
    </row>
    <row r="26" spans="1:7918" s="248" customFormat="1">
      <c r="A26" s="26" t="e">
        <f t="shared" si="0"/>
        <v>#REF!</v>
      </c>
      <c r="B26" s="388" t="s">
        <v>579</v>
      </c>
      <c r="C26" s="223">
        <v>143439222</v>
      </c>
      <c r="D26" s="386" t="s">
        <v>579</v>
      </c>
      <c r="E26" s="149" t="str">
        <f>VLOOKUP($B26,'Nomina Unhesa'!$B$4:$AB$209,2,0)</f>
        <v>Encargado de Bodega PT</v>
      </c>
      <c r="F26" s="221">
        <f>VLOOKUP($B26,'Nomina Unhesa'!$B$4:$AB$209,4,0)</f>
        <v>30</v>
      </c>
      <c r="G26" s="229">
        <f>VLOOKUP($B26,'Nomina Unhesa'!$B$4:$AB$209,6,0)</f>
        <v>3166.38</v>
      </c>
      <c r="H26" s="229">
        <f>VLOOKUP($B26,'Nomina Unhesa'!$B$4:$AB$209,7,0)</f>
        <v>1000</v>
      </c>
      <c r="I26" s="229">
        <f>VLOOKUP($B26,'Nomina Unhesa'!$B$4:$AB$209,9,0)</f>
        <v>20</v>
      </c>
      <c r="J26" s="234">
        <f>VLOOKUP($B26,'Nomina Unhesa'!$B$4:$AB$209,10,0)</f>
        <v>395.8</v>
      </c>
      <c r="K26" s="229">
        <f>VLOOKUP($B26,'Nomina Unhesa'!$B$4:$AB$209,11,0)</f>
        <v>0</v>
      </c>
      <c r="L26" s="229">
        <f>VLOOKUP($B26,'Nomina Unhesa'!$B$4:$AB$209,12,0)</f>
        <v>0</v>
      </c>
      <c r="M26" s="229">
        <f>VLOOKUP($B26,'Nomina Unhesa'!$B$4:$AB$209,14,0)</f>
        <v>0</v>
      </c>
      <c r="N26" s="234">
        <f>VLOOKUP($B26,'Nomina Unhesa'!$B$4:$AB$209,15,0)</f>
        <v>4562.18</v>
      </c>
      <c r="O26" s="234">
        <f>VLOOKUP($B26,'Nomina Unhesa'!$B$4:$AB$209,16,0)</f>
        <v>172.05</v>
      </c>
      <c r="P26" s="234">
        <f>VLOOKUP($B26,'Nomina Unhesa'!$B$4:$AB$209,17,0)</f>
        <v>19.670000000000002</v>
      </c>
      <c r="Q26" s="234">
        <f>VLOOKUP($B26,'Nomina Unhesa'!$B$4:$AB$209,18,0)</f>
        <v>1163.6400000000001</v>
      </c>
      <c r="R26" s="234">
        <f>VLOOKUP($B26,'Nomina Unhesa'!$B$4:$AB$209,19,0)</f>
        <v>58</v>
      </c>
      <c r="S26" s="234">
        <f>VLOOKUP($B26,'Nomina Unhesa'!$B$4:$AB$209,20,0)</f>
        <v>160</v>
      </c>
      <c r="T26" s="234">
        <f>VLOOKUP($B26,'Nomina Unhesa'!$B$4:$AB$209,21,0)</f>
        <v>0</v>
      </c>
      <c r="U26" s="234">
        <f>VLOOKUP($B26,'Nomina Unhesa'!$B$4:$AB$209,22,0)</f>
        <v>0</v>
      </c>
      <c r="V26" s="234">
        <f>ROUND((VLOOKUP($B26,'Nomina Unhesa'!$B$4:$AB$209,23,0)),2)</f>
        <v>50</v>
      </c>
      <c r="W26" s="234">
        <f>VLOOKUP($B26,'Nomina Unhesa'!$B$4:$AB$209,24,0)</f>
        <v>1623.3600000000001</v>
      </c>
      <c r="X26" s="234">
        <f>VLOOKUP(B26,'Nomina Unhesa'!$B$9:$Z$163,25,FALSE)</f>
        <v>2938.82</v>
      </c>
      <c r="Y26" s="255">
        <f>ROUND((VLOOKUP(B26,'Nomina Unhesa'!$B$9:$AB$157,26,FALSE)),2)</f>
        <v>1344.9</v>
      </c>
      <c r="Z26" s="219">
        <f>VLOOKUP(B26,'Nomina Unhesa'!$B$9:$AB$158,27,FALSE)</f>
        <v>1593.92</v>
      </c>
      <c r="AA26" s="441"/>
      <c r="AB26" s="389">
        <f>+IFERROR(VLOOKUP(B26,'Nomina Unhesa'!B27:D171,3,0),"")</f>
        <v>3562.1800000000003</v>
      </c>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c r="JH26" s="3"/>
      <c r="JI26" s="3"/>
      <c r="JJ26" s="3"/>
      <c r="JK26" s="3"/>
      <c r="JL26" s="3"/>
      <c r="JM26" s="3"/>
      <c r="JN26" s="3"/>
      <c r="JO26" s="3"/>
      <c r="JP26" s="3"/>
      <c r="JQ26" s="3"/>
      <c r="JR26" s="3"/>
      <c r="JS26" s="3"/>
      <c r="JT26" s="3"/>
      <c r="JU26" s="3"/>
      <c r="JV26" s="3"/>
      <c r="JW26" s="3"/>
      <c r="JX26" s="3"/>
      <c r="JY26" s="3"/>
      <c r="JZ26" s="3"/>
      <c r="KA26" s="3"/>
      <c r="KB26" s="3"/>
      <c r="KC26" s="3"/>
      <c r="KD26" s="3"/>
      <c r="KE26" s="3"/>
      <c r="KF26" s="3"/>
      <c r="KG26" s="3"/>
      <c r="KH26" s="3"/>
      <c r="KI26" s="3"/>
      <c r="KJ26" s="3"/>
      <c r="KK26" s="3"/>
      <c r="KL26" s="3"/>
      <c r="KM26" s="3"/>
      <c r="KN26" s="3"/>
      <c r="KO26" s="3"/>
      <c r="KP26" s="3"/>
      <c r="KQ26" s="3"/>
      <c r="KR26" s="3"/>
      <c r="KS26" s="3"/>
      <c r="KT26" s="3"/>
      <c r="KU26" s="3"/>
      <c r="KV26" s="3"/>
      <c r="KW26" s="3"/>
      <c r="KX26" s="3"/>
      <c r="KY26" s="3"/>
      <c r="KZ26" s="3"/>
      <c r="LA26" s="3"/>
      <c r="LB26" s="3"/>
      <c r="LC26" s="3"/>
      <c r="LD26" s="3"/>
      <c r="LE26" s="3"/>
      <c r="LF26" s="3"/>
      <c r="LG26" s="3"/>
      <c r="LH26" s="3"/>
      <c r="LI26" s="3"/>
      <c r="LJ26" s="3"/>
      <c r="LK26" s="3"/>
      <c r="LL26" s="3"/>
      <c r="LM26" s="3"/>
      <c r="LN26" s="3"/>
      <c r="LO26" s="3"/>
      <c r="LP26" s="3"/>
      <c r="LQ26" s="3"/>
      <c r="LR26" s="3"/>
      <c r="LS26" s="3"/>
      <c r="LT26" s="3"/>
      <c r="LU26" s="3"/>
      <c r="LV26" s="3"/>
      <c r="LW26" s="3"/>
      <c r="LX26" s="3"/>
      <c r="LY26" s="3"/>
      <c r="LZ26" s="3"/>
      <c r="MA26" s="3"/>
      <c r="MB26" s="3"/>
      <c r="MC26" s="3"/>
      <c r="MD26" s="3"/>
      <c r="ME26" s="3"/>
      <c r="MF26" s="3"/>
      <c r="MG26" s="3"/>
      <c r="MH26" s="3"/>
      <c r="MI26" s="3"/>
      <c r="MJ26" s="3"/>
      <c r="MK26" s="3"/>
      <c r="ML26" s="3"/>
      <c r="MM26" s="3"/>
      <c r="MN26" s="3"/>
      <c r="MO26" s="3"/>
      <c r="MP26" s="3"/>
      <c r="MQ26" s="3"/>
      <c r="MR26" s="3"/>
      <c r="MS26" s="3"/>
      <c r="MT26" s="3"/>
      <c r="MU26" s="3"/>
      <c r="MV26" s="3"/>
      <c r="MW26" s="3"/>
      <c r="MX26" s="3"/>
      <c r="MY26" s="3"/>
      <c r="MZ26" s="3"/>
      <c r="NA26" s="3"/>
      <c r="NB26" s="3"/>
      <c r="NC26" s="3"/>
      <c r="ND26" s="3"/>
      <c r="NE26" s="3"/>
      <c r="NF26" s="3"/>
      <c r="NG26" s="3"/>
      <c r="NH26" s="3"/>
      <c r="NI26" s="3"/>
      <c r="NJ26" s="3"/>
      <c r="NK26" s="3"/>
      <c r="NL26" s="3"/>
      <c r="NM26" s="3"/>
      <c r="NN26" s="3"/>
      <c r="NO26" s="3"/>
      <c r="NP26" s="3"/>
      <c r="NQ26" s="3"/>
      <c r="NR26" s="3"/>
      <c r="NS26" s="3"/>
      <c r="NT26" s="3"/>
      <c r="NU26" s="3"/>
      <c r="NV26" s="3"/>
      <c r="NW26" s="3"/>
      <c r="NX26" s="3"/>
      <c r="NY26" s="3"/>
      <c r="NZ26" s="3"/>
      <c r="OA26" s="3"/>
      <c r="OB26" s="3"/>
      <c r="OC26" s="3"/>
      <c r="OD26" s="3"/>
      <c r="OE26" s="3"/>
      <c r="OF26" s="3"/>
      <c r="OG26" s="3"/>
      <c r="OH26" s="3"/>
      <c r="OI26" s="3"/>
      <c r="OJ26" s="3"/>
      <c r="OK26" s="3"/>
      <c r="OL26" s="3"/>
      <c r="OM26" s="3"/>
      <c r="ON26" s="3"/>
      <c r="OO26" s="3"/>
      <c r="OP26" s="3"/>
      <c r="OQ26" s="3"/>
      <c r="OR26" s="3"/>
      <c r="OS26" s="3"/>
      <c r="OT26" s="3"/>
      <c r="OU26" s="3"/>
      <c r="OV26" s="3"/>
      <c r="OW26" s="3"/>
      <c r="OX26" s="3"/>
      <c r="OY26" s="3"/>
      <c r="OZ26" s="3"/>
      <c r="PA26" s="3"/>
      <c r="PB26" s="3"/>
      <c r="PC26" s="3"/>
      <c r="PD26" s="3"/>
      <c r="PE26" s="3"/>
      <c r="PF26" s="3"/>
      <c r="PG26" s="3"/>
      <c r="PH26" s="3"/>
      <c r="PI26" s="3"/>
      <c r="PJ26" s="3"/>
      <c r="PK26" s="3"/>
      <c r="PL26" s="3"/>
      <c r="PM26" s="3"/>
      <c r="PN26" s="3"/>
      <c r="PO26" s="3"/>
      <c r="PP26" s="3"/>
      <c r="PQ26" s="3"/>
      <c r="PR26" s="3"/>
      <c r="PS26" s="3"/>
      <c r="PT26" s="3"/>
      <c r="PU26" s="3"/>
      <c r="PV26" s="3"/>
      <c r="PW26" s="3"/>
      <c r="PX26" s="3"/>
      <c r="PY26" s="3"/>
      <c r="PZ26" s="3"/>
      <c r="QA26" s="3"/>
      <c r="QB26" s="3"/>
      <c r="QC26" s="3"/>
      <c r="QD26" s="3"/>
      <c r="QE26" s="3"/>
      <c r="QF26" s="3"/>
      <c r="QG26" s="3"/>
      <c r="QH26" s="3"/>
      <c r="QI26" s="3"/>
      <c r="QJ26" s="3"/>
      <c r="QK26" s="3"/>
      <c r="QL26" s="3"/>
      <c r="QM26" s="3"/>
      <c r="QN26" s="3"/>
      <c r="QO26" s="3"/>
      <c r="QP26" s="3"/>
      <c r="QQ26" s="3"/>
      <c r="QR26" s="3"/>
      <c r="QS26" s="3"/>
      <c r="QT26" s="3"/>
      <c r="QU26" s="3"/>
      <c r="QV26" s="3"/>
      <c r="QW26" s="3"/>
      <c r="QX26" s="3"/>
      <c r="QY26" s="3"/>
      <c r="QZ26" s="3"/>
      <c r="RA26" s="3"/>
      <c r="RB26" s="3"/>
      <c r="RC26" s="3"/>
      <c r="RD26" s="3"/>
      <c r="RE26" s="3"/>
      <c r="RF26" s="3"/>
      <c r="RG26" s="3"/>
      <c r="RH26" s="3"/>
      <c r="RI26" s="3"/>
      <c r="RJ26" s="3"/>
      <c r="RK26" s="3"/>
      <c r="RL26" s="3"/>
      <c r="RM26" s="3"/>
      <c r="RN26" s="3"/>
      <c r="RO26" s="3"/>
      <c r="RP26" s="3"/>
      <c r="RQ26" s="3"/>
      <c r="RR26" s="3"/>
      <c r="RS26" s="3"/>
      <c r="RT26" s="3"/>
      <c r="RU26" s="3"/>
      <c r="RV26" s="3"/>
      <c r="RW26" s="3"/>
      <c r="RX26" s="3"/>
      <c r="RY26" s="3"/>
      <c r="RZ26" s="3"/>
      <c r="SA26" s="3"/>
      <c r="SB26" s="3"/>
      <c r="SC26" s="3"/>
      <c r="SD26" s="3"/>
      <c r="SE26" s="3"/>
      <c r="SF26" s="3"/>
      <c r="SG26" s="3"/>
      <c r="SH26" s="3"/>
      <c r="SI26" s="3"/>
      <c r="SJ26" s="3"/>
      <c r="SK26" s="3"/>
      <c r="SL26" s="3"/>
      <c r="SM26" s="3"/>
      <c r="SN26" s="3"/>
      <c r="SO26" s="3"/>
      <c r="SP26" s="3"/>
      <c r="SQ26" s="3"/>
      <c r="SR26" s="3"/>
      <c r="SS26" s="3"/>
      <c r="ST26" s="3"/>
      <c r="SU26" s="3"/>
      <c r="SV26" s="3"/>
      <c r="SW26" s="3"/>
      <c r="SX26" s="3"/>
      <c r="SY26" s="3"/>
      <c r="SZ26" s="3"/>
      <c r="TA26" s="3"/>
      <c r="TB26" s="3"/>
      <c r="TC26" s="3"/>
      <c r="TD26" s="3"/>
      <c r="TE26" s="3"/>
      <c r="TF26" s="3"/>
      <c r="TG26" s="3"/>
      <c r="TH26" s="3"/>
      <c r="TI26" s="3"/>
      <c r="TJ26" s="3"/>
      <c r="TK26" s="3"/>
      <c r="TL26" s="3"/>
      <c r="TM26" s="3"/>
      <c r="TN26" s="3"/>
      <c r="TO26" s="3"/>
      <c r="TP26" s="3"/>
      <c r="TQ26" s="3"/>
      <c r="TR26" s="3"/>
      <c r="TS26" s="3"/>
      <c r="TT26" s="3"/>
      <c r="TU26" s="3"/>
      <c r="TV26" s="3"/>
      <c r="TW26" s="3"/>
      <c r="TX26" s="3"/>
      <c r="TY26" s="3"/>
      <c r="TZ26" s="3"/>
      <c r="UA26" s="3"/>
      <c r="UB26" s="3"/>
      <c r="UC26" s="3"/>
      <c r="UD26" s="3"/>
      <c r="UE26" s="3"/>
      <c r="UF26" s="3"/>
      <c r="UG26" s="3"/>
      <c r="UH26" s="3"/>
      <c r="UI26" s="3"/>
      <c r="UJ26" s="3"/>
      <c r="UK26" s="3"/>
      <c r="UL26" s="3"/>
      <c r="UM26" s="3"/>
      <c r="UN26" s="3"/>
      <c r="UO26" s="3"/>
      <c r="UP26" s="3"/>
      <c r="UQ26" s="3"/>
      <c r="UR26" s="3"/>
      <c r="US26" s="3"/>
      <c r="UT26" s="3"/>
      <c r="UU26" s="3"/>
      <c r="UV26" s="3"/>
      <c r="UW26" s="3"/>
      <c r="UX26" s="3"/>
      <c r="UY26" s="3"/>
      <c r="UZ26" s="3"/>
      <c r="VA26" s="3"/>
      <c r="VB26" s="3"/>
      <c r="VC26" s="3"/>
      <c r="VD26" s="3"/>
      <c r="VE26" s="3"/>
      <c r="VF26" s="3"/>
      <c r="VG26" s="3"/>
      <c r="VH26" s="3"/>
      <c r="VI26" s="3"/>
      <c r="VJ26" s="3"/>
      <c r="VK26" s="3"/>
      <c r="VL26" s="3"/>
      <c r="VM26" s="3"/>
      <c r="VN26" s="3"/>
      <c r="VO26" s="3"/>
      <c r="VP26" s="3"/>
      <c r="VQ26" s="3"/>
      <c r="VR26" s="3"/>
      <c r="VS26" s="3"/>
      <c r="VT26" s="3"/>
      <c r="VU26" s="3"/>
      <c r="VV26" s="3"/>
      <c r="VW26" s="3"/>
      <c r="VX26" s="3"/>
      <c r="VY26" s="3"/>
      <c r="VZ26" s="3"/>
      <c r="WA26" s="3"/>
      <c r="WB26" s="3"/>
      <c r="WC26" s="3"/>
      <c r="WD26" s="3"/>
      <c r="WE26" s="3"/>
      <c r="WF26" s="3"/>
      <c r="WG26" s="3"/>
      <c r="WH26" s="3"/>
      <c r="WI26" s="3"/>
      <c r="WJ26" s="3"/>
      <c r="WK26" s="3"/>
      <c r="WL26" s="3"/>
      <c r="WM26" s="3"/>
      <c r="WN26" s="3"/>
      <c r="WO26" s="3"/>
      <c r="WP26" s="3"/>
      <c r="WQ26" s="3"/>
      <c r="WR26" s="3"/>
      <c r="WS26" s="3"/>
      <c r="WT26" s="3"/>
      <c r="WU26" s="3"/>
      <c r="WV26" s="3"/>
      <c r="WW26" s="3"/>
      <c r="WX26" s="3"/>
      <c r="WY26" s="3"/>
      <c r="WZ26" s="3"/>
      <c r="XA26" s="3"/>
      <c r="XB26" s="3"/>
      <c r="XC26" s="3"/>
      <c r="XD26" s="3"/>
      <c r="XE26" s="3"/>
      <c r="XF26" s="3"/>
      <c r="XG26" s="3"/>
      <c r="XH26" s="3"/>
      <c r="XI26" s="3"/>
      <c r="XJ26" s="3"/>
      <c r="XK26" s="3"/>
      <c r="XL26" s="3"/>
      <c r="XM26" s="3"/>
      <c r="XN26" s="3"/>
      <c r="XO26" s="3"/>
      <c r="XP26" s="3"/>
      <c r="XQ26" s="3"/>
      <c r="XR26" s="3"/>
      <c r="XS26" s="3"/>
      <c r="XT26" s="3"/>
      <c r="XU26" s="3"/>
      <c r="XV26" s="3"/>
      <c r="XW26" s="3"/>
      <c r="XX26" s="3"/>
      <c r="XY26" s="3"/>
      <c r="XZ26" s="3"/>
      <c r="YA26" s="3"/>
      <c r="YB26" s="3"/>
      <c r="YC26" s="3"/>
      <c r="YD26" s="3"/>
      <c r="YE26" s="3"/>
      <c r="YF26" s="3"/>
      <c r="YG26" s="3"/>
      <c r="YH26" s="3"/>
      <c r="YI26" s="3"/>
      <c r="YJ26" s="3"/>
      <c r="YK26" s="3"/>
      <c r="YL26" s="3"/>
      <c r="YM26" s="3"/>
      <c r="YN26" s="3"/>
      <c r="YO26" s="3"/>
      <c r="YP26" s="3"/>
      <c r="YQ26" s="3"/>
      <c r="YR26" s="3"/>
      <c r="YS26" s="3"/>
      <c r="YT26" s="3"/>
      <c r="YU26" s="3"/>
      <c r="YV26" s="3"/>
      <c r="YW26" s="3"/>
      <c r="YX26" s="3"/>
      <c r="YY26" s="3"/>
      <c r="YZ26" s="3"/>
      <c r="ZA26" s="3"/>
      <c r="ZB26" s="3"/>
      <c r="ZC26" s="3"/>
      <c r="ZD26" s="3"/>
      <c r="ZE26" s="3"/>
      <c r="ZF26" s="3"/>
      <c r="ZG26" s="3"/>
      <c r="ZH26" s="3"/>
      <c r="ZI26" s="3"/>
      <c r="ZJ26" s="3"/>
      <c r="ZK26" s="3"/>
      <c r="ZL26" s="3"/>
      <c r="ZM26" s="3"/>
      <c r="ZN26" s="3"/>
      <c r="ZO26" s="3"/>
      <c r="ZP26" s="3"/>
      <c r="ZQ26" s="3"/>
      <c r="ZR26" s="3"/>
      <c r="ZS26" s="3"/>
      <c r="ZT26" s="3"/>
      <c r="ZU26" s="3"/>
      <c r="ZV26" s="3"/>
      <c r="ZW26" s="3"/>
      <c r="ZX26" s="3"/>
      <c r="ZY26" s="3"/>
      <c r="ZZ26" s="3"/>
      <c r="AAA26" s="3"/>
      <c r="AAB26" s="3"/>
      <c r="AAC26" s="3"/>
      <c r="AAD26" s="3"/>
      <c r="AAE26" s="3"/>
      <c r="AAF26" s="3"/>
      <c r="AAG26" s="3"/>
      <c r="AAH26" s="3"/>
      <c r="AAI26" s="3"/>
      <c r="AAJ26" s="3"/>
      <c r="AAK26" s="3"/>
      <c r="AAL26" s="3"/>
      <c r="AAM26" s="3"/>
      <c r="AAN26" s="3"/>
      <c r="AAO26" s="3"/>
      <c r="AAP26" s="3"/>
      <c r="AAQ26" s="3"/>
      <c r="AAR26" s="3"/>
      <c r="AAS26" s="3"/>
      <c r="AAT26" s="3"/>
      <c r="AAU26" s="3"/>
      <c r="AAV26" s="3"/>
      <c r="AAW26" s="3"/>
      <c r="AAX26" s="3"/>
      <c r="AAY26" s="3"/>
      <c r="AAZ26" s="3"/>
      <c r="ABA26" s="3"/>
      <c r="ABB26" s="3"/>
      <c r="ABC26" s="3"/>
      <c r="ABD26" s="3"/>
      <c r="ABE26" s="3"/>
      <c r="ABF26" s="3"/>
      <c r="ABG26" s="3"/>
      <c r="ABH26" s="3"/>
      <c r="ABI26" s="3"/>
      <c r="ABJ26" s="3"/>
      <c r="ABK26" s="3"/>
      <c r="ABL26" s="3"/>
      <c r="ABM26" s="3"/>
      <c r="ABN26" s="3"/>
      <c r="ABO26" s="3"/>
      <c r="ABP26" s="3"/>
      <c r="ABQ26" s="3"/>
      <c r="ABR26" s="3"/>
      <c r="ABS26" s="3"/>
      <c r="ABT26" s="3"/>
      <c r="ABU26" s="3"/>
      <c r="ABV26" s="3"/>
      <c r="ABW26" s="3"/>
      <c r="ABX26" s="3"/>
      <c r="ABY26" s="3"/>
      <c r="ABZ26" s="3"/>
      <c r="ACA26" s="3"/>
      <c r="ACB26" s="3"/>
      <c r="ACC26" s="3"/>
      <c r="ACD26" s="3"/>
      <c r="ACE26" s="3"/>
      <c r="ACF26" s="3"/>
      <c r="ACG26" s="3"/>
      <c r="ACH26" s="3"/>
      <c r="ACI26" s="3"/>
      <c r="ACJ26" s="3"/>
      <c r="ACK26" s="3"/>
      <c r="ACL26" s="3"/>
      <c r="ACM26" s="3"/>
      <c r="ACN26" s="3"/>
      <c r="ACO26" s="3"/>
      <c r="ACP26" s="3"/>
      <c r="ACQ26" s="3"/>
      <c r="ACR26" s="3"/>
      <c r="ACS26" s="3"/>
      <c r="ACT26" s="3"/>
      <c r="ACU26" s="3"/>
      <c r="ACV26" s="3"/>
      <c r="ACW26" s="3"/>
      <c r="ACX26" s="3"/>
      <c r="ACY26" s="3"/>
      <c r="ACZ26" s="3"/>
      <c r="ADA26" s="3"/>
      <c r="ADB26" s="3"/>
      <c r="ADC26" s="3"/>
      <c r="ADD26" s="3"/>
      <c r="ADE26" s="3"/>
      <c r="ADF26" s="3"/>
      <c r="ADG26" s="3"/>
      <c r="ADH26" s="3"/>
      <c r="ADI26" s="3"/>
      <c r="ADJ26" s="3"/>
      <c r="ADK26" s="3"/>
      <c r="ADL26" s="3"/>
      <c r="ADM26" s="3"/>
      <c r="ADN26" s="3"/>
      <c r="ADO26" s="3"/>
      <c r="ADP26" s="3"/>
      <c r="ADQ26" s="3"/>
      <c r="ADR26" s="3"/>
      <c r="ADS26" s="3"/>
      <c r="ADT26" s="3"/>
      <c r="ADU26" s="3"/>
      <c r="ADV26" s="3"/>
      <c r="ADW26" s="3"/>
      <c r="ADX26" s="3"/>
      <c r="ADY26" s="3"/>
      <c r="ADZ26" s="3"/>
      <c r="AEA26" s="3"/>
      <c r="AEB26" s="3"/>
      <c r="AEC26" s="3"/>
      <c r="AED26" s="3"/>
      <c r="AEE26" s="3"/>
      <c r="AEF26" s="3"/>
      <c r="AEG26" s="3"/>
      <c r="AEH26" s="3"/>
      <c r="AEI26" s="3"/>
      <c r="AEJ26" s="3"/>
      <c r="AEK26" s="3"/>
      <c r="AEL26" s="3"/>
      <c r="AEM26" s="3"/>
      <c r="AEN26" s="3"/>
      <c r="AEO26" s="3"/>
      <c r="AEP26" s="3"/>
      <c r="AEQ26" s="3"/>
      <c r="AER26" s="3"/>
      <c r="AES26" s="3"/>
      <c r="AET26" s="3"/>
      <c r="AEU26" s="3"/>
      <c r="AEV26" s="3"/>
      <c r="AEW26" s="3"/>
      <c r="AEX26" s="3"/>
      <c r="AEY26" s="3"/>
      <c r="AEZ26" s="3"/>
      <c r="AFA26" s="3"/>
      <c r="AFB26" s="3"/>
      <c r="AFC26" s="3"/>
      <c r="AFD26" s="3"/>
      <c r="AFE26" s="3"/>
      <c r="AFF26" s="3"/>
      <c r="AFG26" s="3"/>
      <c r="AFH26" s="3"/>
      <c r="AFI26" s="3"/>
      <c r="AFJ26" s="3"/>
      <c r="AFK26" s="3"/>
      <c r="AFL26" s="3"/>
      <c r="AFM26" s="3"/>
      <c r="AFN26" s="3"/>
      <c r="AFO26" s="3"/>
      <c r="AFP26" s="3"/>
      <c r="AFQ26" s="3"/>
      <c r="AFR26" s="3"/>
      <c r="AFS26" s="3"/>
      <c r="AFT26" s="3"/>
      <c r="AFU26" s="3"/>
      <c r="AFV26" s="3"/>
      <c r="AFW26" s="3"/>
      <c r="AFX26" s="3"/>
      <c r="AFY26" s="3"/>
      <c r="AFZ26" s="3"/>
      <c r="AGA26" s="3"/>
      <c r="AGB26" s="3"/>
      <c r="AGC26" s="3"/>
      <c r="AGD26" s="3"/>
      <c r="AGE26" s="3"/>
      <c r="AGF26" s="3"/>
      <c r="AGG26" s="3"/>
      <c r="AGH26" s="3"/>
      <c r="AGI26" s="3"/>
      <c r="AGJ26" s="3"/>
      <c r="AGK26" s="3"/>
      <c r="AGL26" s="3"/>
      <c r="AGM26" s="3"/>
      <c r="AGN26" s="3"/>
      <c r="AGO26" s="3"/>
      <c r="AGP26" s="3"/>
      <c r="AGQ26" s="3"/>
      <c r="AGR26" s="3"/>
      <c r="AGS26" s="3"/>
      <c r="AGT26" s="3"/>
      <c r="AGU26" s="3"/>
      <c r="AGV26" s="3"/>
      <c r="AGW26" s="3"/>
      <c r="AGX26" s="3"/>
      <c r="AGY26" s="3"/>
      <c r="AGZ26" s="3"/>
      <c r="AHA26" s="3"/>
      <c r="AHB26" s="3"/>
      <c r="AHC26" s="3"/>
      <c r="AHD26" s="3"/>
      <c r="AHE26" s="3"/>
      <c r="AHF26" s="3"/>
      <c r="AHG26" s="3"/>
      <c r="AHH26" s="3"/>
      <c r="AHI26" s="3"/>
      <c r="AHJ26" s="3"/>
      <c r="AHK26" s="3"/>
      <c r="AHL26" s="3"/>
      <c r="AHM26" s="3"/>
      <c r="AHN26" s="3"/>
      <c r="AHO26" s="3"/>
      <c r="AHP26" s="3"/>
      <c r="AHQ26" s="3"/>
      <c r="AHR26" s="3"/>
      <c r="AHS26" s="3"/>
      <c r="AHT26" s="3"/>
      <c r="AHU26" s="3"/>
      <c r="AHV26" s="3"/>
      <c r="AHW26" s="3"/>
      <c r="AHX26" s="3"/>
      <c r="AHY26" s="3"/>
      <c r="AHZ26" s="3"/>
      <c r="AIA26" s="3"/>
      <c r="AIB26" s="3"/>
      <c r="AIC26" s="3"/>
      <c r="AID26" s="3"/>
      <c r="AIE26" s="3"/>
      <c r="AIF26" s="3"/>
      <c r="AIG26" s="3"/>
      <c r="AIH26" s="3"/>
      <c r="AII26" s="3"/>
      <c r="AIJ26" s="3"/>
      <c r="AIK26" s="3"/>
      <c r="AIL26" s="3"/>
      <c r="AIM26" s="3"/>
      <c r="AIN26" s="3"/>
      <c r="AIO26" s="3"/>
      <c r="AIP26" s="3"/>
      <c r="AIQ26" s="3"/>
      <c r="AIR26" s="3"/>
      <c r="AIS26" s="3"/>
      <c r="AIT26" s="3"/>
      <c r="AIU26" s="3"/>
      <c r="AIV26" s="3"/>
      <c r="AIW26" s="3"/>
      <c r="AIX26" s="3"/>
      <c r="AIY26" s="3"/>
      <c r="AIZ26" s="3"/>
      <c r="AJA26" s="3"/>
      <c r="AJB26" s="3"/>
      <c r="AJC26" s="3"/>
      <c r="AJD26" s="3"/>
      <c r="AJE26" s="3"/>
      <c r="AJF26" s="3"/>
      <c r="AJG26" s="3"/>
      <c r="AJH26" s="3"/>
      <c r="AJI26" s="3"/>
      <c r="AJJ26" s="3"/>
      <c r="AJK26" s="3"/>
      <c r="AJL26" s="3"/>
      <c r="AJM26" s="3"/>
      <c r="AJN26" s="3"/>
      <c r="AJO26" s="3"/>
      <c r="AJP26" s="3"/>
      <c r="AJQ26" s="3"/>
      <c r="AJR26" s="3"/>
      <c r="AJS26" s="3"/>
      <c r="AJT26" s="3"/>
      <c r="AJU26" s="3"/>
      <c r="AJV26" s="3"/>
      <c r="AJW26" s="3"/>
      <c r="AJX26" s="3"/>
      <c r="AJY26" s="3"/>
      <c r="AJZ26" s="3"/>
      <c r="AKA26" s="3"/>
      <c r="AKB26" s="3"/>
      <c r="AKC26" s="3"/>
      <c r="AKD26" s="3"/>
      <c r="AKE26" s="3"/>
      <c r="AKF26" s="3"/>
      <c r="AKG26" s="3"/>
      <c r="AKH26" s="3"/>
      <c r="AKI26" s="3"/>
      <c r="AKJ26" s="3"/>
      <c r="AKK26" s="3"/>
      <c r="AKL26" s="3"/>
      <c r="AKM26" s="3"/>
      <c r="AKN26" s="3"/>
      <c r="AKO26" s="3"/>
      <c r="AKP26" s="3"/>
      <c r="AKQ26" s="3"/>
      <c r="AKR26" s="3"/>
      <c r="AKS26" s="3"/>
      <c r="AKT26" s="3"/>
      <c r="AKU26" s="3"/>
      <c r="AKV26" s="3"/>
      <c r="AKW26" s="3"/>
      <c r="AKX26" s="3"/>
      <c r="AKY26" s="3"/>
      <c r="AKZ26" s="3"/>
      <c r="ALA26" s="3"/>
      <c r="ALB26" s="3"/>
      <c r="ALC26" s="3"/>
      <c r="ALD26" s="3"/>
      <c r="ALE26" s="3"/>
      <c r="ALF26" s="3"/>
      <c r="ALG26" s="3"/>
      <c r="ALH26" s="3"/>
      <c r="ALI26" s="3"/>
      <c r="ALJ26" s="3"/>
      <c r="ALK26" s="3"/>
      <c r="ALL26" s="3"/>
      <c r="ALM26" s="3"/>
      <c r="ALN26" s="3"/>
      <c r="ALO26" s="3"/>
      <c r="ALP26" s="3"/>
      <c r="ALQ26" s="3"/>
      <c r="ALR26" s="3"/>
      <c r="ALS26" s="3"/>
      <c r="ALT26" s="3"/>
      <c r="ALU26" s="3"/>
      <c r="ALV26" s="3"/>
      <c r="ALW26" s="3"/>
      <c r="ALX26" s="3"/>
      <c r="ALY26" s="3"/>
      <c r="ALZ26" s="3"/>
      <c r="AMA26" s="3"/>
      <c r="AMB26" s="3"/>
      <c r="AMC26" s="3"/>
      <c r="AMD26" s="3"/>
      <c r="AME26" s="3"/>
      <c r="AMF26" s="3"/>
      <c r="AMG26" s="3"/>
      <c r="AMH26" s="3"/>
      <c r="AMI26" s="3"/>
      <c r="AMJ26" s="3"/>
      <c r="AMK26" s="3"/>
      <c r="AML26" s="3"/>
      <c r="AMM26" s="3"/>
      <c r="AMN26" s="3"/>
      <c r="AMO26" s="3"/>
      <c r="AMP26" s="3"/>
      <c r="AMQ26" s="3"/>
      <c r="AMR26" s="3"/>
      <c r="AMS26" s="3"/>
      <c r="AMT26" s="3"/>
      <c r="AMU26" s="3"/>
      <c r="AMV26" s="3"/>
      <c r="AMW26" s="3"/>
      <c r="AMX26" s="3"/>
      <c r="AMY26" s="3"/>
      <c r="AMZ26" s="3"/>
      <c r="ANA26" s="3"/>
      <c r="ANB26" s="3"/>
      <c r="ANC26" s="3"/>
      <c r="AND26" s="3"/>
      <c r="ANE26" s="3"/>
      <c r="ANF26" s="3"/>
      <c r="ANG26" s="3"/>
      <c r="ANH26" s="3"/>
      <c r="ANI26" s="3"/>
      <c r="ANJ26" s="3"/>
      <c r="ANK26" s="3"/>
      <c r="ANL26" s="3"/>
      <c r="ANM26" s="3"/>
      <c r="ANN26" s="3"/>
      <c r="ANO26" s="3"/>
      <c r="ANP26" s="3"/>
      <c r="ANQ26" s="3"/>
      <c r="ANR26" s="3"/>
      <c r="ANS26" s="3"/>
      <c r="ANT26" s="3"/>
      <c r="ANU26" s="3"/>
      <c r="ANV26" s="3"/>
      <c r="ANW26" s="3"/>
      <c r="ANX26" s="3"/>
      <c r="ANY26" s="3"/>
      <c r="ANZ26" s="3"/>
      <c r="AOA26" s="3"/>
      <c r="AOB26" s="3"/>
      <c r="AOC26" s="3"/>
      <c r="AOD26" s="3"/>
      <c r="AOE26" s="3"/>
      <c r="AOF26" s="3"/>
      <c r="AOG26" s="3"/>
      <c r="AOH26" s="3"/>
      <c r="AOI26" s="3"/>
      <c r="AOJ26" s="3"/>
      <c r="AOK26" s="3"/>
      <c r="AOL26" s="3"/>
      <c r="AOM26" s="3"/>
      <c r="AON26" s="3"/>
      <c r="AOO26" s="3"/>
      <c r="AOP26" s="3"/>
      <c r="AOQ26" s="3"/>
      <c r="AOR26" s="3"/>
      <c r="AOS26" s="3"/>
      <c r="AOT26" s="3"/>
      <c r="AOU26" s="3"/>
      <c r="AOV26" s="3"/>
      <c r="AOW26" s="3"/>
      <c r="AOX26" s="3"/>
      <c r="AOY26" s="3"/>
      <c r="AOZ26" s="3"/>
      <c r="APA26" s="3"/>
      <c r="APB26" s="3"/>
      <c r="APC26" s="3"/>
      <c r="APD26" s="3"/>
      <c r="APE26" s="3"/>
      <c r="APF26" s="3"/>
      <c r="APG26" s="3"/>
      <c r="APH26" s="3"/>
      <c r="API26" s="3"/>
      <c r="APJ26" s="3"/>
      <c r="APK26" s="3"/>
      <c r="APL26" s="3"/>
      <c r="APM26" s="3"/>
      <c r="APN26" s="3"/>
      <c r="APO26" s="3"/>
      <c r="APP26" s="3"/>
      <c r="APQ26" s="3"/>
      <c r="APR26" s="3"/>
      <c r="APS26" s="3"/>
      <c r="APT26" s="3"/>
      <c r="APU26" s="3"/>
      <c r="APV26" s="3"/>
      <c r="APW26" s="3"/>
      <c r="APX26" s="3"/>
      <c r="APY26" s="3"/>
      <c r="APZ26" s="3"/>
      <c r="AQA26" s="3"/>
      <c r="AQB26" s="3"/>
      <c r="AQC26" s="3"/>
      <c r="AQD26" s="3"/>
      <c r="AQE26" s="3"/>
      <c r="AQF26" s="3"/>
      <c r="AQG26" s="3"/>
      <c r="AQH26" s="3"/>
      <c r="AQI26" s="3"/>
      <c r="AQJ26" s="3"/>
      <c r="AQK26" s="3"/>
      <c r="AQL26" s="3"/>
      <c r="AQM26" s="3"/>
      <c r="AQN26" s="3"/>
      <c r="AQO26" s="3"/>
      <c r="AQP26" s="3"/>
      <c r="AQQ26" s="3"/>
      <c r="AQR26" s="3"/>
      <c r="AQS26" s="3"/>
      <c r="AQT26" s="3"/>
      <c r="AQU26" s="3"/>
      <c r="AQV26" s="3"/>
      <c r="AQW26" s="3"/>
      <c r="AQX26" s="3"/>
      <c r="AQY26" s="3"/>
      <c r="AQZ26" s="3"/>
      <c r="ARA26" s="3"/>
      <c r="ARB26" s="3"/>
      <c r="ARC26" s="3"/>
      <c r="ARD26" s="3"/>
      <c r="ARE26" s="3"/>
      <c r="ARF26" s="3"/>
      <c r="ARG26" s="3"/>
      <c r="ARH26" s="3"/>
      <c r="ARI26" s="3"/>
      <c r="ARJ26" s="3"/>
      <c r="ARK26" s="3"/>
      <c r="ARL26" s="3"/>
      <c r="ARM26" s="3"/>
      <c r="ARN26" s="3"/>
      <c r="ARO26" s="3"/>
      <c r="ARP26" s="3"/>
      <c r="ARQ26" s="3"/>
      <c r="ARR26" s="3"/>
      <c r="ARS26" s="3"/>
      <c r="ART26" s="3"/>
      <c r="ARU26" s="3"/>
      <c r="ARV26" s="3"/>
      <c r="ARW26" s="3"/>
      <c r="ARX26" s="3"/>
      <c r="ARY26" s="3"/>
      <c r="ARZ26" s="3"/>
      <c r="ASA26" s="3"/>
      <c r="ASB26" s="3"/>
      <c r="ASC26" s="3"/>
      <c r="ASD26" s="3"/>
      <c r="ASE26" s="3"/>
      <c r="ASF26" s="3"/>
      <c r="ASG26" s="3"/>
      <c r="ASH26" s="3"/>
      <c r="ASI26" s="3"/>
      <c r="ASJ26" s="3"/>
      <c r="ASK26" s="3"/>
      <c r="ASL26" s="3"/>
      <c r="ASM26" s="3"/>
      <c r="ASN26" s="3"/>
      <c r="ASO26" s="3"/>
      <c r="ASP26" s="3"/>
      <c r="ASQ26" s="3"/>
      <c r="ASR26" s="3"/>
      <c r="ASS26" s="3"/>
      <c r="AST26" s="3"/>
      <c r="ASU26" s="3"/>
      <c r="ASV26" s="3"/>
      <c r="ASW26" s="3"/>
      <c r="ASX26" s="3"/>
      <c r="ASY26" s="3"/>
      <c r="ASZ26" s="3"/>
      <c r="ATA26" s="3"/>
      <c r="ATB26" s="3"/>
      <c r="ATC26" s="3"/>
      <c r="ATD26" s="3"/>
      <c r="ATE26" s="3"/>
      <c r="ATF26" s="3"/>
      <c r="ATG26" s="3"/>
      <c r="ATH26" s="3"/>
      <c r="ATI26" s="3"/>
      <c r="ATJ26" s="3"/>
      <c r="ATK26" s="3"/>
      <c r="ATL26" s="3"/>
      <c r="ATM26" s="3"/>
      <c r="ATN26" s="3"/>
      <c r="ATO26" s="3"/>
      <c r="ATP26" s="3"/>
      <c r="ATQ26" s="3"/>
      <c r="ATR26" s="3"/>
      <c r="ATS26" s="3"/>
      <c r="ATT26" s="3"/>
      <c r="ATU26" s="3"/>
      <c r="ATV26" s="3"/>
      <c r="ATW26" s="3"/>
      <c r="ATX26" s="3"/>
      <c r="ATY26" s="3"/>
      <c r="ATZ26" s="3"/>
      <c r="AUA26" s="3"/>
      <c r="AUB26" s="3"/>
      <c r="AUC26" s="3"/>
      <c r="AUD26" s="3"/>
      <c r="AUE26" s="3"/>
      <c r="AUF26" s="3"/>
      <c r="AUG26" s="3"/>
      <c r="AUH26" s="3"/>
      <c r="AUI26" s="3"/>
      <c r="AUJ26" s="3"/>
      <c r="AUK26" s="3"/>
      <c r="AUL26" s="3"/>
      <c r="AUM26" s="3"/>
      <c r="AUN26" s="3"/>
      <c r="AUO26" s="3"/>
      <c r="AUP26" s="3"/>
      <c r="AUQ26" s="3"/>
      <c r="AUR26" s="3"/>
      <c r="AUS26" s="3"/>
      <c r="AUT26" s="3"/>
      <c r="AUU26" s="3"/>
      <c r="AUV26" s="3"/>
      <c r="AUW26" s="3"/>
      <c r="AUX26" s="3"/>
      <c r="AUY26" s="3"/>
      <c r="AUZ26" s="3"/>
      <c r="AVA26" s="3"/>
      <c r="AVB26" s="3"/>
      <c r="AVC26" s="3"/>
      <c r="AVD26" s="3"/>
      <c r="AVE26" s="3"/>
      <c r="AVF26" s="3"/>
      <c r="AVG26" s="3"/>
      <c r="AVH26" s="3"/>
      <c r="AVI26" s="3"/>
      <c r="AVJ26" s="3"/>
      <c r="AVK26" s="3"/>
      <c r="AVL26" s="3"/>
      <c r="AVM26" s="3"/>
      <c r="AVN26" s="3"/>
      <c r="AVO26" s="3"/>
      <c r="AVP26" s="3"/>
      <c r="AVQ26" s="3"/>
      <c r="AVR26" s="3"/>
      <c r="AVS26" s="3"/>
      <c r="AVT26" s="3"/>
      <c r="AVU26" s="3"/>
      <c r="AVV26" s="3"/>
      <c r="AVW26" s="3"/>
      <c r="AVX26" s="3"/>
      <c r="AVY26" s="3"/>
      <c r="AVZ26" s="3"/>
      <c r="AWA26" s="3"/>
      <c r="AWB26" s="3"/>
      <c r="AWC26" s="3"/>
      <c r="AWD26" s="3"/>
      <c r="AWE26" s="3"/>
      <c r="AWF26" s="3"/>
      <c r="AWG26" s="3"/>
      <c r="AWH26" s="3"/>
      <c r="AWI26" s="3"/>
      <c r="AWJ26" s="3"/>
      <c r="AWK26" s="3"/>
      <c r="AWL26" s="3"/>
      <c r="AWM26" s="3"/>
      <c r="AWN26" s="3"/>
      <c r="AWO26" s="3"/>
      <c r="AWP26" s="3"/>
      <c r="AWQ26" s="3"/>
      <c r="AWR26" s="3"/>
      <c r="AWS26" s="3"/>
      <c r="AWT26" s="3"/>
      <c r="AWU26" s="3"/>
      <c r="AWV26" s="3"/>
      <c r="AWW26" s="3"/>
      <c r="AWX26" s="3"/>
      <c r="AWY26" s="3"/>
      <c r="AWZ26" s="3"/>
      <c r="AXA26" s="3"/>
      <c r="AXB26" s="3"/>
      <c r="AXC26" s="3"/>
      <c r="AXD26" s="3"/>
      <c r="AXE26" s="3"/>
      <c r="AXF26" s="3"/>
      <c r="AXG26" s="3"/>
      <c r="AXH26" s="3"/>
      <c r="AXI26" s="3"/>
      <c r="AXJ26" s="3"/>
      <c r="AXK26" s="3"/>
      <c r="AXL26" s="3"/>
      <c r="AXM26" s="3"/>
      <c r="AXN26" s="3"/>
      <c r="AXO26" s="3"/>
      <c r="AXP26" s="3"/>
      <c r="AXQ26" s="3"/>
      <c r="AXR26" s="3"/>
      <c r="AXS26" s="3"/>
      <c r="AXT26" s="3"/>
      <c r="AXU26" s="3"/>
      <c r="AXV26" s="3"/>
      <c r="AXW26" s="3"/>
      <c r="AXX26" s="3"/>
      <c r="AXY26" s="3"/>
      <c r="AXZ26" s="3"/>
      <c r="AYA26" s="3"/>
      <c r="AYB26" s="3"/>
      <c r="AYC26" s="3"/>
      <c r="AYD26" s="3"/>
      <c r="AYE26" s="3"/>
      <c r="AYF26" s="3"/>
      <c r="AYG26" s="3"/>
      <c r="AYH26" s="3"/>
      <c r="AYI26" s="3"/>
      <c r="AYJ26" s="3"/>
      <c r="AYK26" s="3"/>
      <c r="AYL26" s="3"/>
      <c r="AYM26" s="3"/>
      <c r="AYN26" s="3"/>
      <c r="AYO26" s="3"/>
      <c r="AYP26" s="3"/>
      <c r="AYQ26" s="3"/>
      <c r="AYR26" s="3"/>
      <c r="AYS26" s="3"/>
      <c r="AYT26" s="3"/>
      <c r="AYU26" s="3"/>
      <c r="AYV26" s="3"/>
      <c r="AYW26" s="3"/>
      <c r="AYX26" s="3"/>
      <c r="AYY26" s="3"/>
      <c r="AYZ26" s="3"/>
      <c r="AZA26" s="3"/>
      <c r="AZB26" s="3"/>
      <c r="AZC26" s="3"/>
      <c r="AZD26" s="3"/>
      <c r="AZE26" s="3"/>
      <c r="AZF26" s="3"/>
      <c r="AZG26" s="3"/>
      <c r="AZH26" s="3"/>
      <c r="AZI26" s="3"/>
      <c r="AZJ26" s="3"/>
      <c r="AZK26" s="3"/>
      <c r="AZL26" s="3"/>
      <c r="AZM26" s="3"/>
      <c r="AZN26" s="3"/>
      <c r="AZO26" s="3"/>
      <c r="AZP26" s="3"/>
      <c r="AZQ26" s="3"/>
      <c r="AZR26" s="3"/>
      <c r="AZS26" s="3"/>
      <c r="AZT26" s="3"/>
      <c r="AZU26" s="3"/>
      <c r="AZV26" s="3"/>
      <c r="AZW26" s="3"/>
      <c r="AZX26" s="3"/>
      <c r="AZY26" s="3"/>
      <c r="AZZ26" s="3"/>
      <c r="BAA26" s="3"/>
      <c r="BAB26" s="3"/>
      <c r="BAC26" s="3"/>
      <c r="BAD26" s="3"/>
      <c r="BAE26" s="3"/>
      <c r="BAF26" s="3"/>
      <c r="BAG26" s="3"/>
      <c r="BAH26" s="3"/>
      <c r="BAI26" s="3"/>
      <c r="BAJ26" s="3"/>
      <c r="BAK26" s="3"/>
      <c r="BAL26" s="3"/>
      <c r="BAM26" s="3"/>
      <c r="BAN26" s="3"/>
      <c r="BAO26" s="3"/>
      <c r="BAP26" s="3"/>
      <c r="BAQ26" s="3"/>
      <c r="BAR26" s="3"/>
      <c r="BAS26" s="3"/>
      <c r="BAT26" s="3"/>
      <c r="BAU26" s="3"/>
      <c r="BAV26" s="3"/>
      <c r="BAW26" s="3"/>
      <c r="BAX26" s="3"/>
      <c r="BAY26" s="3"/>
      <c r="BAZ26" s="3"/>
      <c r="BBA26" s="3"/>
      <c r="BBB26" s="3"/>
      <c r="BBC26" s="3"/>
      <c r="BBD26" s="3"/>
      <c r="BBE26" s="3"/>
      <c r="BBF26" s="3"/>
      <c r="BBG26" s="3"/>
      <c r="BBH26" s="3"/>
      <c r="BBI26" s="3"/>
      <c r="BBJ26" s="3"/>
      <c r="BBK26" s="3"/>
      <c r="BBL26" s="3"/>
      <c r="BBM26" s="3"/>
      <c r="BBN26" s="3"/>
      <c r="BBO26" s="3"/>
      <c r="BBP26" s="3"/>
      <c r="BBQ26" s="3"/>
      <c r="BBR26" s="3"/>
      <c r="BBS26" s="3"/>
      <c r="BBT26" s="3"/>
      <c r="BBU26" s="3"/>
      <c r="BBV26" s="3"/>
      <c r="BBW26" s="3"/>
      <c r="BBX26" s="3"/>
      <c r="BBY26" s="3"/>
      <c r="BBZ26" s="3"/>
      <c r="BCA26" s="3"/>
      <c r="BCB26" s="3"/>
      <c r="BCC26" s="3"/>
      <c r="BCD26" s="3"/>
      <c r="BCE26" s="3"/>
      <c r="BCF26" s="3"/>
      <c r="BCG26" s="3"/>
      <c r="BCH26" s="3"/>
      <c r="BCI26" s="3"/>
      <c r="BCJ26" s="3"/>
      <c r="BCK26" s="3"/>
      <c r="BCL26" s="3"/>
      <c r="BCM26" s="3"/>
      <c r="BCN26" s="3"/>
      <c r="BCO26" s="3"/>
      <c r="BCP26" s="3"/>
      <c r="BCQ26" s="3"/>
      <c r="BCR26" s="3"/>
      <c r="BCS26" s="3"/>
      <c r="BCT26" s="3"/>
      <c r="BCU26" s="3"/>
      <c r="BCV26" s="3"/>
      <c r="BCW26" s="3"/>
      <c r="BCX26" s="3"/>
      <c r="BCY26" s="3"/>
      <c r="BCZ26" s="3"/>
      <c r="BDA26" s="3"/>
      <c r="BDB26" s="3"/>
      <c r="BDC26" s="3"/>
      <c r="BDD26" s="3"/>
      <c r="BDE26" s="3"/>
      <c r="BDF26" s="3"/>
      <c r="BDG26" s="3"/>
      <c r="BDH26" s="3"/>
      <c r="BDI26" s="3"/>
      <c r="BDJ26" s="3"/>
      <c r="BDK26" s="3"/>
      <c r="BDL26" s="3"/>
      <c r="BDM26" s="3"/>
      <c r="BDN26" s="3"/>
      <c r="BDO26" s="3"/>
      <c r="BDP26" s="3"/>
      <c r="BDQ26" s="3"/>
      <c r="BDR26" s="3"/>
      <c r="BDS26" s="3"/>
      <c r="BDT26" s="3"/>
      <c r="BDU26" s="3"/>
      <c r="BDV26" s="3"/>
      <c r="BDW26" s="3"/>
      <c r="BDX26" s="3"/>
      <c r="BDY26" s="3"/>
      <c r="BDZ26" s="3"/>
      <c r="BEA26" s="3"/>
      <c r="BEB26" s="3"/>
      <c r="BEC26" s="3"/>
      <c r="BED26" s="3"/>
      <c r="BEE26" s="3"/>
      <c r="BEF26" s="3"/>
      <c r="BEG26" s="3"/>
      <c r="BEH26" s="3"/>
      <c r="BEI26" s="3"/>
      <c r="BEJ26" s="3"/>
      <c r="BEK26" s="3"/>
      <c r="BEL26" s="3"/>
      <c r="BEM26" s="3"/>
      <c r="BEN26" s="3"/>
      <c r="BEO26" s="3"/>
      <c r="BEP26" s="3"/>
      <c r="BEQ26" s="3"/>
      <c r="BER26" s="3"/>
      <c r="BES26" s="3"/>
      <c r="BET26" s="3"/>
      <c r="BEU26" s="3"/>
      <c r="BEV26" s="3"/>
      <c r="BEW26" s="3"/>
      <c r="BEX26" s="3"/>
      <c r="BEY26" s="3"/>
      <c r="BEZ26" s="3"/>
      <c r="BFA26" s="3"/>
      <c r="BFB26" s="3"/>
      <c r="BFC26" s="3"/>
      <c r="BFD26" s="3"/>
      <c r="BFE26" s="3"/>
      <c r="BFF26" s="3"/>
      <c r="BFG26" s="3"/>
      <c r="BFH26" s="3"/>
      <c r="BFI26" s="3"/>
      <c r="BFJ26" s="3"/>
      <c r="BFK26" s="3"/>
      <c r="BFL26" s="3"/>
      <c r="BFM26" s="3"/>
      <c r="BFN26" s="3"/>
      <c r="BFO26" s="3"/>
      <c r="BFP26" s="3"/>
      <c r="BFQ26" s="3"/>
      <c r="BFR26" s="3"/>
      <c r="BFS26" s="3"/>
      <c r="BFT26" s="3"/>
      <c r="BFU26" s="3"/>
      <c r="BFV26" s="3"/>
      <c r="BFW26" s="3"/>
      <c r="BFX26" s="3"/>
      <c r="BFY26" s="3"/>
      <c r="BFZ26" s="3"/>
      <c r="BGA26" s="3"/>
      <c r="BGB26" s="3"/>
      <c r="BGC26" s="3"/>
      <c r="BGD26" s="3"/>
      <c r="BGE26" s="3"/>
      <c r="BGF26" s="3"/>
      <c r="BGG26" s="3"/>
      <c r="BGH26" s="3"/>
      <c r="BGI26" s="3"/>
      <c r="BGJ26" s="3"/>
      <c r="BGK26" s="3"/>
      <c r="BGL26" s="3"/>
      <c r="BGM26" s="3"/>
      <c r="BGN26" s="3"/>
      <c r="BGO26" s="3"/>
      <c r="BGP26" s="3"/>
      <c r="BGQ26" s="3"/>
      <c r="BGR26" s="3"/>
      <c r="BGS26" s="3"/>
      <c r="BGT26" s="3"/>
      <c r="BGU26" s="3"/>
      <c r="BGV26" s="3"/>
      <c r="BGW26" s="3"/>
      <c r="BGX26" s="3"/>
      <c r="BGY26" s="3"/>
      <c r="BGZ26" s="3"/>
      <c r="BHA26" s="3"/>
      <c r="BHB26" s="3"/>
      <c r="BHC26" s="3"/>
      <c r="BHD26" s="3"/>
      <c r="BHE26" s="3"/>
      <c r="BHF26" s="3"/>
      <c r="BHG26" s="3"/>
      <c r="BHH26" s="3"/>
      <c r="BHI26" s="3"/>
      <c r="BHJ26" s="3"/>
      <c r="BHK26" s="3"/>
      <c r="BHL26" s="3"/>
      <c r="BHM26" s="3"/>
      <c r="BHN26" s="3"/>
      <c r="BHO26" s="3"/>
      <c r="BHP26" s="3"/>
      <c r="BHQ26" s="3"/>
      <c r="BHR26" s="3"/>
      <c r="BHS26" s="3"/>
      <c r="BHT26" s="3"/>
      <c r="BHU26" s="3"/>
      <c r="BHV26" s="3"/>
      <c r="BHW26" s="3"/>
      <c r="BHX26" s="3"/>
      <c r="BHY26" s="3"/>
      <c r="BHZ26" s="3"/>
      <c r="BIA26" s="3"/>
      <c r="BIB26" s="3"/>
      <c r="BIC26" s="3"/>
      <c r="BID26" s="3"/>
      <c r="BIE26" s="3"/>
      <c r="BIF26" s="3"/>
      <c r="BIG26" s="3"/>
      <c r="BIH26" s="3"/>
      <c r="BII26" s="3"/>
      <c r="BIJ26" s="3"/>
      <c r="BIK26" s="3"/>
      <c r="BIL26" s="3"/>
      <c r="BIM26" s="3"/>
      <c r="BIN26" s="3"/>
      <c r="BIO26" s="3"/>
      <c r="BIP26" s="3"/>
      <c r="BIQ26" s="3"/>
      <c r="BIR26" s="3"/>
      <c r="BIS26" s="3"/>
      <c r="BIT26" s="3"/>
      <c r="BIU26" s="3"/>
      <c r="BIV26" s="3"/>
      <c r="BIW26" s="3"/>
      <c r="BIX26" s="3"/>
      <c r="BIY26" s="3"/>
      <c r="BIZ26" s="3"/>
      <c r="BJA26" s="3"/>
      <c r="BJB26" s="3"/>
      <c r="BJC26" s="3"/>
      <c r="BJD26" s="3"/>
      <c r="BJE26" s="3"/>
      <c r="BJF26" s="3"/>
      <c r="BJG26" s="3"/>
      <c r="BJH26" s="3"/>
      <c r="BJI26" s="3"/>
      <c r="BJJ26" s="3"/>
      <c r="BJK26" s="3"/>
      <c r="BJL26" s="3"/>
      <c r="BJM26" s="3"/>
      <c r="BJN26" s="3"/>
      <c r="BJO26" s="3"/>
      <c r="BJP26" s="3"/>
      <c r="BJQ26" s="3"/>
      <c r="BJR26" s="3"/>
      <c r="BJS26" s="3"/>
      <c r="BJT26" s="3"/>
      <c r="BJU26" s="3"/>
      <c r="BJV26" s="3"/>
      <c r="BJW26" s="3"/>
      <c r="BJX26" s="3"/>
      <c r="BJY26" s="3"/>
      <c r="BJZ26" s="3"/>
      <c r="BKA26" s="3"/>
      <c r="BKB26" s="3"/>
      <c r="BKC26" s="3"/>
      <c r="BKD26" s="3"/>
      <c r="BKE26" s="3"/>
      <c r="BKF26" s="3"/>
      <c r="BKG26" s="3"/>
      <c r="BKH26" s="3"/>
      <c r="BKI26" s="3"/>
      <c r="BKJ26" s="3"/>
      <c r="BKK26" s="3"/>
      <c r="BKL26" s="3"/>
      <c r="BKM26" s="3"/>
      <c r="BKN26" s="3"/>
      <c r="BKO26" s="3"/>
      <c r="BKP26" s="3"/>
      <c r="BKQ26" s="3"/>
      <c r="BKR26" s="3"/>
      <c r="BKS26" s="3"/>
      <c r="BKT26" s="3"/>
      <c r="BKU26" s="3"/>
      <c r="BKV26" s="3"/>
      <c r="BKW26" s="3"/>
      <c r="BKX26" s="3"/>
      <c r="BKY26" s="3"/>
      <c r="BKZ26" s="3"/>
      <c r="BLA26" s="3"/>
      <c r="BLB26" s="3"/>
      <c r="BLC26" s="3"/>
      <c r="BLD26" s="3"/>
      <c r="BLE26" s="3"/>
      <c r="BLF26" s="3"/>
      <c r="BLG26" s="3"/>
      <c r="BLH26" s="3"/>
      <c r="BLI26" s="3"/>
      <c r="BLJ26" s="3"/>
      <c r="BLK26" s="3"/>
      <c r="BLL26" s="3"/>
      <c r="BLM26" s="3"/>
      <c r="BLN26" s="3"/>
      <c r="BLO26" s="3"/>
      <c r="BLP26" s="3"/>
      <c r="BLQ26" s="3"/>
      <c r="BLR26" s="3"/>
      <c r="BLS26" s="3"/>
      <c r="BLT26" s="3"/>
      <c r="BLU26" s="3"/>
      <c r="BLV26" s="3"/>
      <c r="BLW26" s="3"/>
      <c r="BLX26" s="3"/>
      <c r="BLY26" s="3"/>
      <c r="BLZ26" s="3"/>
      <c r="BMA26" s="3"/>
      <c r="BMB26" s="3"/>
      <c r="BMC26" s="3"/>
      <c r="BMD26" s="3"/>
      <c r="BME26" s="3"/>
      <c r="BMF26" s="3"/>
      <c r="BMG26" s="3"/>
      <c r="BMH26" s="3"/>
      <c r="BMI26" s="3"/>
      <c r="BMJ26" s="3"/>
      <c r="BMK26" s="3"/>
      <c r="BML26" s="3"/>
      <c r="BMM26" s="3"/>
      <c r="BMN26" s="3"/>
      <c r="BMO26" s="3"/>
      <c r="BMP26" s="3"/>
      <c r="BMQ26" s="3"/>
      <c r="BMR26" s="3"/>
      <c r="BMS26" s="3"/>
      <c r="BMT26" s="3"/>
      <c r="BMU26" s="3"/>
      <c r="BMV26" s="3"/>
      <c r="BMW26" s="3"/>
      <c r="BMX26" s="3"/>
      <c r="BMY26" s="3"/>
      <c r="BMZ26" s="3"/>
      <c r="BNA26" s="3"/>
      <c r="BNB26" s="3"/>
      <c r="BNC26" s="3"/>
      <c r="BND26" s="3"/>
      <c r="BNE26" s="3"/>
      <c r="BNF26" s="3"/>
      <c r="BNG26" s="3"/>
      <c r="BNH26" s="3"/>
      <c r="BNI26" s="3"/>
      <c r="BNJ26" s="3"/>
      <c r="BNK26" s="3"/>
      <c r="BNL26" s="3"/>
      <c r="BNM26" s="3"/>
      <c r="BNN26" s="3"/>
      <c r="BNO26" s="3"/>
      <c r="BNP26" s="3"/>
      <c r="BNQ26" s="3"/>
      <c r="BNR26" s="3"/>
      <c r="BNS26" s="3"/>
      <c r="BNT26" s="3"/>
      <c r="BNU26" s="3"/>
      <c r="BNV26" s="3"/>
      <c r="BNW26" s="3"/>
      <c r="BNX26" s="3"/>
      <c r="BNY26" s="3"/>
      <c r="BNZ26" s="3"/>
      <c r="BOA26" s="3"/>
      <c r="BOB26" s="3"/>
      <c r="BOC26" s="3"/>
      <c r="BOD26" s="3"/>
      <c r="BOE26" s="3"/>
      <c r="BOF26" s="3"/>
      <c r="BOG26" s="3"/>
      <c r="BOH26" s="3"/>
      <c r="BOI26" s="3"/>
      <c r="BOJ26" s="3"/>
      <c r="BOK26" s="3"/>
      <c r="BOL26" s="3"/>
      <c r="BOM26" s="3"/>
      <c r="BON26" s="3"/>
      <c r="BOO26" s="3"/>
      <c r="BOP26" s="3"/>
      <c r="BOQ26" s="3"/>
      <c r="BOR26" s="3"/>
      <c r="BOS26" s="3"/>
      <c r="BOT26" s="3"/>
      <c r="BOU26" s="3"/>
      <c r="BOV26" s="3"/>
      <c r="BOW26" s="3"/>
      <c r="BOX26" s="3"/>
      <c r="BOY26" s="3"/>
      <c r="BOZ26" s="3"/>
      <c r="BPA26" s="3"/>
      <c r="BPB26" s="3"/>
      <c r="BPC26" s="3"/>
      <c r="BPD26" s="3"/>
      <c r="BPE26" s="3"/>
      <c r="BPF26" s="3"/>
      <c r="BPG26" s="3"/>
      <c r="BPH26" s="3"/>
      <c r="BPI26" s="3"/>
      <c r="BPJ26" s="3"/>
      <c r="BPK26" s="3"/>
      <c r="BPL26" s="3"/>
      <c r="BPM26" s="3"/>
      <c r="BPN26" s="3"/>
      <c r="BPO26" s="3"/>
      <c r="BPP26" s="3"/>
      <c r="BPQ26" s="3"/>
      <c r="BPR26" s="3"/>
      <c r="BPS26" s="3"/>
      <c r="BPT26" s="3"/>
      <c r="BPU26" s="3"/>
      <c r="BPV26" s="3"/>
      <c r="BPW26" s="3"/>
      <c r="BPX26" s="3"/>
      <c r="BPY26" s="3"/>
      <c r="BPZ26" s="3"/>
      <c r="BQA26" s="3"/>
      <c r="BQB26" s="3"/>
      <c r="BQC26" s="3"/>
      <c r="BQD26" s="3"/>
      <c r="BQE26" s="3"/>
      <c r="BQF26" s="3"/>
      <c r="BQG26" s="3"/>
      <c r="BQH26" s="3"/>
      <c r="BQI26" s="3"/>
      <c r="BQJ26" s="3"/>
      <c r="BQK26" s="3"/>
      <c r="BQL26" s="3"/>
      <c r="BQM26" s="3"/>
      <c r="BQN26" s="3"/>
      <c r="BQO26" s="3"/>
      <c r="BQP26" s="3"/>
      <c r="BQQ26" s="3"/>
      <c r="BQR26" s="3"/>
      <c r="BQS26" s="3"/>
      <c r="BQT26" s="3"/>
      <c r="BQU26" s="3"/>
      <c r="BQV26" s="3"/>
      <c r="BQW26" s="3"/>
      <c r="BQX26" s="3"/>
      <c r="BQY26" s="3"/>
      <c r="BQZ26" s="3"/>
      <c r="BRA26" s="3"/>
      <c r="BRB26" s="3"/>
      <c r="BRC26" s="3"/>
      <c r="BRD26" s="3"/>
      <c r="BRE26" s="3"/>
      <c r="BRF26" s="3"/>
      <c r="BRG26" s="3"/>
      <c r="BRH26" s="3"/>
      <c r="BRI26" s="3"/>
      <c r="BRJ26" s="3"/>
      <c r="BRK26" s="3"/>
      <c r="BRL26" s="3"/>
      <c r="BRM26" s="3"/>
      <c r="BRN26" s="3"/>
      <c r="BRO26" s="3"/>
      <c r="BRP26" s="3"/>
      <c r="BRQ26" s="3"/>
      <c r="BRR26" s="3"/>
      <c r="BRS26" s="3"/>
      <c r="BRT26" s="3"/>
      <c r="BRU26" s="3"/>
      <c r="BRV26" s="3"/>
      <c r="BRW26" s="3"/>
      <c r="BRX26" s="3"/>
      <c r="BRY26" s="3"/>
      <c r="BRZ26" s="3"/>
      <c r="BSA26" s="3"/>
      <c r="BSB26" s="3"/>
      <c r="BSC26" s="3"/>
      <c r="BSD26" s="3"/>
      <c r="BSE26" s="3"/>
      <c r="BSF26" s="3"/>
      <c r="BSG26" s="3"/>
      <c r="BSH26" s="3"/>
      <c r="BSI26" s="3"/>
      <c r="BSJ26" s="3"/>
      <c r="BSK26" s="3"/>
      <c r="BSL26" s="3"/>
      <c r="BSM26" s="3"/>
      <c r="BSN26" s="3"/>
      <c r="BSO26" s="3"/>
      <c r="BSP26" s="3"/>
      <c r="BSQ26" s="3"/>
      <c r="BSR26" s="3"/>
      <c r="BSS26" s="3"/>
      <c r="BST26" s="3"/>
      <c r="BSU26" s="3"/>
      <c r="BSV26" s="3"/>
      <c r="BSW26" s="3"/>
      <c r="BSX26" s="3"/>
      <c r="BSY26" s="3"/>
      <c r="BSZ26" s="3"/>
      <c r="BTA26" s="3"/>
      <c r="BTB26" s="3"/>
      <c r="BTC26" s="3"/>
      <c r="BTD26" s="3"/>
      <c r="BTE26" s="3"/>
      <c r="BTF26" s="3"/>
      <c r="BTG26" s="3"/>
      <c r="BTH26" s="3"/>
      <c r="BTI26" s="3"/>
      <c r="BTJ26" s="3"/>
      <c r="BTK26" s="3"/>
      <c r="BTL26" s="3"/>
      <c r="BTM26" s="3"/>
      <c r="BTN26" s="3"/>
      <c r="BTO26" s="3"/>
      <c r="BTP26" s="3"/>
      <c r="BTQ26" s="3"/>
      <c r="BTR26" s="3"/>
      <c r="BTS26" s="3"/>
      <c r="BTT26" s="3"/>
      <c r="BTU26" s="3"/>
      <c r="BTV26" s="3"/>
      <c r="BTW26" s="3"/>
      <c r="BTX26" s="3"/>
      <c r="BTY26" s="3"/>
      <c r="BTZ26" s="3"/>
      <c r="BUA26" s="3"/>
      <c r="BUB26" s="3"/>
      <c r="BUC26" s="3"/>
      <c r="BUD26" s="3"/>
      <c r="BUE26" s="3"/>
      <c r="BUF26" s="3"/>
      <c r="BUG26" s="3"/>
      <c r="BUH26" s="3"/>
      <c r="BUI26" s="3"/>
      <c r="BUJ26" s="3"/>
      <c r="BUK26" s="3"/>
      <c r="BUL26" s="3"/>
      <c r="BUM26" s="3"/>
      <c r="BUN26" s="3"/>
      <c r="BUO26" s="3"/>
      <c r="BUP26" s="3"/>
      <c r="BUQ26" s="3"/>
      <c r="BUR26" s="3"/>
      <c r="BUS26" s="3"/>
      <c r="BUT26" s="3"/>
      <c r="BUU26" s="3"/>
      <c r="BUV26" s="3"/>
      <c r="BUW26" s="3"/>
      <c r="BUX26" s="3"/>
      <c r="BUY26" s="3"/>
      <c r="BUZ26" s="3"/>
      <c r="BVA26" s="3"/>
      <c r="BVB26" s="3"/>
      <c r="BVC26" s="3"/>
      <c r="BVD26" s="3"/>
      <c r="BVE26" s="3"/>
      <c r="BVF26" s="3"/>
      <c r="BVG26" s="3"/>
      <c r="BVH26" s="3"/>
      <c r="BVI26" s="3"/>
      <c r="BVJ26" s="3"/>
      <c r="BVK26" s="3"/>
      <c r="BVL26" s="3"/>
      <c r="BVM26" s="3"/>
      <c r="BVN26" s="3"/>
      <c r="BVO26" s="3"/>
      <c r="BVP26" s="3"/>
      <c r="BVQ26" s="3"/>
      <c r="BVR26" s="3"/>
      <c r="BVS26" s="3"/>
      <c r="BVT26" s="3"/>
      <c r="BVU26" s="3"/>
      <c r="BVV26" s="3"/>
      <c r="BVW26" s="3"/>
      <c r="BVX26" s="3"/>
      <c r="BVY26" s="3"/>
      <c r="BVZ26" s="3"/>
      <c r="BWA26" s="3"/>
      <c r="BWB26" s="3"/>
      <c r="BWC26" s="3"/>
      <c r="BWD26" s="3"/>
      <c r="BWE26" s="3"/>
      <c r="BWF26" s="3"/>
      <c r="BWG26" s="3"/>
      <c r="BWH26" s="3"/>
      <c r="BWI26" s="3"/>
      <c r="BWJ26" s="3"/>
      <c r="BWK26" s="3"/>
      <c r="BWL26" s="3"/>
      <c r="BWM26" s="3"/>
      <c r="BWN26" s="3"/>
      <c r="BWO26" s="3"/>
      <c r="BWP26" s="3"/>
      <c r="BWQ26" s="3"/>
      <c r="BWR26" s="3"/>
      <c r="BWS26" s="3"/>
      <c r="BWT26" s="3"/>
      <c r="BWU26" s="3"/>
      <c r="BWV26" s="3"/>
      <c r="BWW26" s="3"/>
      <c r="BWX26" s="3"/>
      <c r="BWY26" s="3"/>
      <c r="BWZ26" s="3"/>
      <c r="BXA26" s="3"/>
      <c r="BXB26" s="3"/>
      <c r="BXC26" s="3"/>
      <c r="BXD26" s="3"/>
      <c r="BXE26" s="3"/>
      <c r="BXF26" s="3"/>
      <c r="BXG26" s="3"/>
      <c r="BXH26" s="3"/>
      <c r="BXI26" s="3"/>
      <c r="BXJ26" s="3"/>
      <c r="BXK26" s="3"/>
      <c r="BXL26" s="3"/>
      <c r="BXM26" s="3"/>
      <c r="BXN26" s="3"/>
      <c r="BXO26" s="3"/>
      <c r="BXP26" s="3"/>
      <c r="BXQ26" s="3"/>
      <c r="BXR26" s="3"/>
      <c r="BXS26" s="3"/>
      <c r="BXT26" s="3"/>
      <c r="BXU26" s="3"/>
      <c r="BXV26" s="3"/>
      <c r="BXW26" s="3"/>
      <c r="BXX26" s="3"/>
      <c r="BXY26" s="3"/>
      <c r="BXZ26" s="3"/>
      <c r="BYA26" s="3"/>
      <c r="BYB26" s="3"/>
      <c r="BYC26" s="3"/>
      <c r="BYD26" s="3"/>
      <c r="BYE26" s="3"/>
      <c r="BYF26" s="3"/>
      <c r="BYG26" s="3"/>
      <c r="BYH26" s="3"/>
      <c r="BYI26" s="3"/>
      <c r="BYJ26" s="3"/>
      <c r="BYK26" s="3"/>
      <c r="BYL26" s="3"/>
      <c r="BYM26" s="3"/>
      <c r="BYN26" s="3"/>
      <c r="BYO26" s="3"/>
      <c r="BYP26" s="3"/>
      <c r="BYQ26" s="3"/>
      <c r="BYR26" s="3"/>
      <c r="BYS26" s="3"/>
      <c r="BYT26" s="3"/>
      <c r="BYU26" s="3"/>
      <c r="BYV26" s="3"/>
      <c r="BYW26" s="3"/>
      <c r="BYX26" s="3"/>
      <c r="BYY26" s="3"/>
      <c r="BYZ26" s="3"/>
      <c r="BZA26" s="3"/>
      <c r="BZB26" s="3"/>
      <c r="BZC26" s="3"/>
      <c r="BZD26" s="3"/>
      <c r="BZE26" s="3"/>
      <c r="BZF26" s="3"/>
      <c r="BZG26" s="3"/>
      <c r="BZH26" s="3"/>
      <c r="BZI26" s="3"/>
      <c r="BZJ26" s="3"/>
      <c r="BZK26" s="3"/>
      <c r="BZL26" s="3"/>
      <c r="BZM26" s="3"/>
      <c r="BZN26" s="3"/>
      <c r="BZO26" s="3"/>
      <c r="BZP26" s="3"/>
      <c r="BZQ26" s="3"/>
      <c r="BZR26" s="3"/>
      <c r="BZS26" s="3"/>
      <c r="BZT26" s="3"/>
      <c r="BZU26" s="3"/>
      <c r="BZV26" s="3"/>
      <c r="BZW26" s="3"/>
      <c r="BZX26" s="3"/>
      <c r="BZY26" s="3"/>
      <c r="BZZ26" s="3"/>
      <c r="CAA26" s="3"/>
      <c r="CAB26" s="3"/>
      <c r="CAC26" s="3"/>
      <c r="CAD26" s="3"/>
      <c r="CAE26" s="3"/>
      <c r="CAF26" s="3"/>
      <c r="CAG26" s="3"/>
      <c r="CAH26" s="3"/>
      <c r="CAI26" s="3"/>
      <c r="CAJ26" s="3"/>
      <c r="CAK26" s="3"/>
      <c r="CAL26" s="3"/>
      <c r="CAM26" s="3"/>
      <c r="CAN26" s="3"/>
      <c r="CAO26" s="3"/>
      <c r="CAP26" s="3"/>
      <c r="CAQ26" s="3"/>
      <c r="CAR26" s="3"/>
      <c r="CAS26" s="3"/>
      <c r="CAT26" s="3"/>
      <c r="CAU26" s="3"/>
      <c r="CAV26" s="3"/>
      <c r="CAW26" s="3"/>
      <c r="CAX26" s="3"/>
      <c r="CAY26" s="3"/>
      <c r="CAZ26" s="3"/>
      <c r="CBA26" s="3"/>
      <c r="CBB26" s="3"/>
      <c r="CBC26" s="3"/>
      <c r="CBD26" s="3"/>
      <c r="CBE26" s="3"/>
      <c r="CBF26" s="3"/>
      <c r="CBG26" s="3"/>
      <c r="CBH26" s="3"/>
      <c r="CBI26" s="3"/>
      <c r="CBJ26" s="3"/>
      <c r="CBK26" s="3"/>
      <c r="CBL26" s="3"/>
      <c r="CBM26" s="3"/>
      <c r="CBN26" s="3"/>
      <c r="CBO26" s="3"/>
      <c r="CBP26" s="3"/>
      <c r="CBQ26" s="3"/>
      <c r="CBR26" s="3"/>
      <c r="CBS26" s="3"/>
      <c r="CBT26" s="3"/>
      <c r="CBU26" s="3"/>
      <c r="CBV26" s="3"/>
      <c r="CBW26" s="3"/>
      <c r="CBX26" s="3"/>
      <c r="CBY26" s="3"/>
      <c r="CBZ26" s="3"/>
      <c r="CCA26" s="3"/>
      <c r="CCB26" s="3"/>
      <c r="CCC26" s="3"/>
      <c r="CCD26" s="3"/>
      <c r="CCE26" s="3"/>
      <c r="CCF26" s="3"/>
      <c r="CCG26" s="3"/>
      <c r="CCH26" s="3"/>
      <c r="CCI26" s="3"/>
      <c r="CCJ26" s="3"/>
      <c r="CCK26" s="3"/>
      <c r="CCL26" s="3"/>
      <c r="CCM26" s="3"/>
      <c r="CCN26" s="3"/>
      <c r="CCO26" s="3"/>
      <c r="CCP26" s="3"/>
      <c r="CCQ26" s="3"/>
      <c r="CCR26" s="3"/>
      <c r="CCS26" s="3"/>
      <c r="CCT26" s="3"/>
      <c r="CCU26" s="3"/>
      <c r="CCV26" s="3"/>
      <c r="CCW26" s="3"/>
      <c r="CCX26" s="3"/>
      <c r="CCY26" s="3"/>
      <c r="CCZ26" s="3"/>
      <c r="CDA26" s="3"/>
      <c r="CDB26" s="3"/>
      <c r="CDC26" s="3"/>
      <c r="CDD26" s="3"/>
      <c r="CDE26" s="3"/>
      <c r="CDF26" s="3"/>
      <c r="CDG26" s="3"/>
      <c r="CDH26" s="3"/>
      <c r="CDI26" s="3"/>
      <c r="CDJ26" s="3"/>
      <c r="CDK26" s="3"/>
      <c r="CDL26" s="3"/>
      <c r="CDM26" s="3"/>
      <c r="CDN26" s="3"/>
      <c r="CDO26" s="3"/>
      <c r="CDP26" s="3"/>
      <c r="CDQ26" s="3"/>
      <c r="CDR26" s="3"/>
      <c r="CDS26" s="3"/>
      <c r="CDT26" s="3"/>
      <c r="CDU26" s="3"/>
      <c r="CDV26" s="3"/>
      <c r="CDW26" s="3"/>
      <c r="CDX26" s="3"/>
      <c r="CDY26" s="3"/>
      <c r="CDZ26" s="3"/>
      <c r="CEA26" s="3"/>
      <c r="CEB26" s="3"/>
      <c r="CEC26" s="3"/>
      <c r="CED26" s="3"/>
      <c r="CEE26" s="3"/>
      <c r="CEF26" s="3"/>
      <c r="CEG26" s="3"/>
      <c r="CEH26" s="3"/>
      <c r="CEI26" s="3"/>
      <c r="CEJ26" s="3"/>
      <c r="CEK26" s="3"/>
      <c r="CEL26" s="3"/>
      <c r="CEM26" s="3"/>
      <c r="CEN26" s="3"/>
      <c r="CEO26" s="3"/>
      <c r="CEP26" s="3"/>
      <c r="CEQ26" s="3"/>
      <c r="CER26" s="3"/>
      <c r="CES26" s="3"/>
      <c r="CET26" s="3"/>
      <c r="CEU26" s="3"/>
      <c r="CEV26" s="3"/>
      <c r="CEW26" s="3"/>
      <c r="CEX26" s="3"/>
      <c r="CEY26" s="3"/>
      <c r="CEZ26" s="3"/>
      <c r="CFA26" s="3"/>
      <c r="CFB26" s="3"/>
      <c r="CFC26" s="3"/>
      <c r="CFD26" s="3"/>
      <c r="CFE26" s="3"/>
      <c r="CFF26" s="3"/>
      <c r="CFG26" s="3"/>
      <c r="CFH26" s="3"/>
      <c r="CFI26" s="3"/>
      <c r="CFJ26" s="3"/>
      <c r="CFK26" s="3"/>
      <c r="CFL26" s="3"/>
      <c r="CFM26" s="3"/>
      <c r="CFN26" s="3"/>
      <c r="CFO26" s="3"/>
      <c r="CFP26" s="3"/>
      <c r="CFQ26" s="3"/>
      <c r="CFR26" s="3"/>
      <c r="CFS26" s="3"/>
      <c r="CFT26" s="3"/>
      <c r="CFU26" s="3"/>
      <c r="CFV26" s="3"/>
      <c r="CFW26" s="3"/>
      <c r="CFX26" s="3"/>
      <c r="CFY26" s="3"/>
      <c r="CFZ26" s="3"/>
      <c r="CGA26" s="3"/>
      <c r="CGB26" s="3"/>
      <c r="CGC26" s="3"/>
      <c r="CGD26" s="3"/>
      <c r="CGE26" s="3"/>
      <c r="CGF26" s="3"/>
      <c r="CGG26" s="3"/>
      <c r="CGH26" s="3"/>
      <c r="CGI26" s="3"/>
      <c r="CGJ26" s="3"/>
      <c r="CGK26" s="3"/>
      <c r="CGL26" s="3"/>
      <c r="CGM26" s="3"/>
      <c r="CGN26" s="3"/>
      <c r="CGO26" s="3"/>
      <c r="CGP26" s="3"/>
      <c r="CGQ26" s="3"/>
      <c r="CGR26" s="3"/>
      <c r="CGS26" s="3"/>
      <c r="CGT26" s="3"/>
      <c r="CGU26" s="3"/>
      <c r="CGV26" s="3"/>
      <c r="CGW26" s="3"/>
      <c r="CGX26" s="3"/>
      <c r="CGY26" s="3"/>
      <c r="CGZ26" s="3"/>
      <c r="CHA26" s="3"/>
      <c r="CHB26" s="3"/>
      <c r="CHC26" s="3"/>
      <c r="CHD26" s="3"/>
      <c r="CHE26" s="3"/>
      <c r="CHF26" s="3"/>
      <c r="CHG26" s="3"/>
      <c r="CHH26" s="3"/>
      <c r="CHI26" s="3"/>
      <c r="CHJ26" s="3"/>
      <c r="CHK26" s="3"/>
      <c r="CHL26" s="3"/>
      <c r="CHM26" s="3"/>
      <c r="CHN26" s="3"/>
      <c r="CHO26" s="3"/>
      <c r="CHP26" s="3"/>
      <c r="CHQ26" s="3"/>
      <c r="CHR26" s="3"/>
      <c r="CHS26" s="3"/>
      <c r="CHT26" s="3"/>
      <c r="CHU26" s="3"/>
      <c r="CHV26" s="3"/>
      <c r="CHW26" s="3"/>
      <c r="CHX26" s="3"/>
      <c r="CHY26" s="3"/>
      <c r="CHZ26" s="3"/>
      <c r="CIA26" s="3"/>
      <c r="CIB26" s="3"/>
      <c r="CIC26" s="3"/>
      <c r="CID26" s="3"/>
      <c r="CIE26" s="3"/>
      <c r="CIF26" s="3"/>
      <c r="CIG26" s="3"/>
      <c r="CIH26" s="3"/>
      <c r="CII26" s="3"/>
      <c r="CIJ26" s="3"/>
      <c r="CIK26" s="3"/>
      <c r="CIL26" s="3"/>
      <c r="CIM26" s="3"/>
      <c r="CIN26" s="3"/>
      <c r="CIO26" s="3"/>
      <c r="CIP26" s="3"/>
      <c r="CIQ26" s="3"/>
      <c r="CIR26" s="3"/>
      <c r="CIS26" s="3"/>
      <c r="CIT26" s="3"/>
      <c r="CIU26" s="3"/>
      <c r="CIV26" s="3"/>
      <c r="CIW26" s="3"/>
      <c r="CIX26" s="3"/>
      <c r="CIY26" s="3"/>
      <c r="CIZ26" s="3"/>
      <c r="CJA26" s="3"/>
      <c r="CJB26" s="3"/>
      <c r="CJC26" s="3"/>
      <c r="CJD26" s="3"/>
      <c r="CJE26" s="3"/>
      <c r="CJF26" s="3"/>
      <c r="CJG26" s="3"/>
      <c r="CJH26" s="3"/>
      <c r="CJI26" s="3"/>
      <c r="CJJ26" s="3"/>
      <c r="CJK26" s="3"/>
      <c r="CJL26" s="3"/>
      <c r="CJM26" s="3"/>
      <c r="CJN26" s="3"/>
      <c r="CJO26" s="3"/>
      <c r="CJP26" s="3"/>
      <c r="CJQ26" s="3"/>
      <c r="CJR26" s="3"/>
      <c r="CJS26" s="3"/>
      <c r="CJT26" s="3"/>
      <c r="CJU26" s="3"/>
      <c r="CJV26" s="3"/>
      <c r="CJW26" s="3"/>
      <c r="CJX26" s="3"/>
      <c r="CJY26" s="3"/>
      <c r="CJZ26" s="3"/>
      <c r="CKA26" s="3"/>
      <c r="CKB26" s="3"/>
      <c r="CKC26" s="3"/>
      <c r="CKD26" s="3"/>
      <c r="CKE26" s="3"/>
      <c r="CKF26" s="3"/>
      <c r="CKG26" s="3"/>
      <c r="CKH26" s="3"/>
      <c r="CKI26" s="3"/>
      <c r="CKJ26" s="3"/>
      <c r="CKK26" s="3"/>
      <c r="CKL26" s="3"/>
      <c r="CKM26" s="3"/>
      <c r="CKN26" s="3"/>
      <c r="CKO26" s="3"/>
      <c r="CKP26" s="3"/>
      <c r="CKQ26" s="3"/>
      <c r="CKR26" s="3"/>
      <c r="CKS26" s="3"/>
      <c r="CKT26" s="3"/>
      <c r="CKU26" s="3"/>
      <c r="CKV26" s="3"/>
      <c r="CKW26" s="3"/>
      <c r="CKX26" s="3"/>
      <c r="CKY26" s="3"/>
      <c r="CKZ26" s="3"/>
      <c r="CLA26" s="3"/>
      <c r="CLB26" s="3"/>
      <c r="CLC26" s="3"/>
      <c r="CLD26" s="3"/>
      <c r="CLE26" s="3"/>
      <c r="CLF26" s="3"/>
      <c r="CLG26" s="3"/>
      <c r="CLH26" s="3"/>
      <c r="CLI26" s="3"/>
      <c r="CLJ26" s="3"/>
      <c r="CLK26" s="3"/>
      <c r="CLL26" s="3"/>
      <c r="CLM26" s="3"/>
      <c r="CLN26" s="3"/>
      <c r="CLO26" s="3"/>
      <c r="CLP26" s="3"/>
      <c r="CLQ26" s="3"/>
      <c r="CLR26" s="3"/>
      <c r="CLS26" s="3"/>
      <c r="CLT26" s="3"/>
      <c r="CLU26" s="3"/>
      <c r="CLV26" s="3"/>
      <c r="CLW26" s="3"/>
      <c r="CLX26" s="3"/>
      <c r="CLY26" s="3"/>
      <c r="CLZ26" s="3"/>
      <c r="CMA26" s="3"/>
      <c r="CMB26" s="3"/>
      <c r="CMC26" s="3"/>
      <c r="CMD26" s="3"/>
      <c r="CME26" s="3"/>
      <c r="CMF26" s="3"/>
      <c r="CMG26" s="3"/>
      <c r="CMH26" s="3"/>
      <c r="CMI26" s="3"/>
      <c r="CMJ26" s="3"/>
      <c r="CMK26" s="3"/>
      <c r="CML26" s="3"/>
      <c r="CMM26" s="3"/>
      <c r="CMN26" s="3"/>
      <c r="CMO26" s="3"/>
      <c r="CMP26" s="3"/>
      <c r="CMQ26" s="3"/>
      <c r="CMR26" s="3"/>
      <c r="CMS26" s="3"/>
      <c r="CMT26" s="3"/>
      <c r="CMU26" s="3"/>
      <c r="CMV26" s="3"/>
      <c r="CMW26" s="3"/>
      <c r="CMX26" s="3"/>
      <c r="CMY26" s="3"/>
      <c r="CMZ26" s="3"/>
      <c r="CNA26" s="3"/>
      <c r="CNB26" s="3"/>
      <c r="CNC26" s="3"/>
      <c r="CND26" s="3"/>
      <c r="CNE26" s="3"/>
      <c r="CNF26" s="3"/>
      <c r="CNG26" s="3"/>
      <c r="CNH26" s="3"/>
      <c r="CNI26" s="3"/>
      <c r="CNJ26" s="3"/>
      <c r="CNK26" s="3"/>
      <c r="CNL26" s="3"/>
      <c r="CNM26" s="3"/>
      <c r="CNN26" s="3"/>
      <c r="CNO26" s="3"/>
      <c r="CNP26" s="3"/>
      <c r="CNQ26" s="3"/>
      <c r="CNR26" s="3"/>
      <c r="CNS26" s="3"/>
      <c r="CNT26" s="3"/>
      <c r="CNU26" s="3"/>
      <c r="CNV26" s="3"/>
      <c r="CNW26" s="3"/>
      <c r="CNX26" s="3"/>
      <c r="CNY26" s="3"/>
      <c r="CNZ26" s="3"/>
      <c r="COA26" s="3"/>
      <c r="COB26" s="3"/>
      <c r="COC26" s="3"/>
      <c r="COD26" s="3"/>
      <c r="COE26" s="3"/>
      <c r="COF26" s="3"/>
      <c r="COG26" s="3"/>
      <c r="COH26" s="3"/>
      <c r="COI26" s="3"/>
      <c r="COJ26" s="3"/>
      <c r="COK26" s="3"/>
      <c r="COL26" s="3"/>
      <c r="COM26" s="3"/>
      <c r="CON26" s="3"/>
      <c r="COO26" s="3"/>
      <c r="COP26" s="3"/>
      <c r="COQ26" s="3"/>
      <c r="COR26" s="3"/>
      <c r="COS26" s="3"/>
      <c r="COT26" s="3"/>
      <c r="COU26" s="3"/>
      <c r="COV26" s="3"/>
      <c r="COW26" s="3"/>
      <c r="COX26" s="3"/>
      <c r="COY26" s="3"/>
      <c r="COZ26" s="3"/>
      <c r="CPA26" s="3"/>
      <c r="CPB26" s="3"/>
      <c r="CPC26" s="3"/>
      <c r="CPD26" s="3"/>
      <c r="CPE26" s="3"/>
      <c r="CPF26" s="3"/>
      <c r="CPG26" s="3"/>
      <c r="CPH26" s="3"/>
      <c r="CPI26" s="3"/>
      <c r="CPJ26" s="3"/>
      <c r="CPK26" s="3"/>
      <c r="CPL26" s="3"/>
      <c r="CPM26" s="3"/>
      <c r="CPN26" s="3"/>
      <c r="CPO26" s="3"/>
      <c r="CPP26" s="3"/>
      <c r="CPQ26" s="3"/>
      <c r="CPR26" s="3"/>
      <c r="CPS26" s="3"/>
      <c r="CPT26" s="3"/>
      <c r="CPU26" s="3"/>
      <c r="CPV26" s="3"/>
      <c r="CPW26" s="3"/>
      <c r="CPX26" s="3"/>
      <c r="CPY26" s="3"/>
      <c r="CPZ26" s="3"/>
      <c r="CQA26" s="3"/>
      <c r="CQB26" s="3"/>
      <c r="CQC26" s="3"/>
      <c r="CQD26" s="3"/>
      <c r="CQE26" s="3"/>
      <c r="CQF26" s="3"/>
      <c r="CQG26" s="3"/>
      <c r="CQH26" s="3"/>
      <c r="CQI26" s="3"/>
      <c r="CQJ26" s="3"/>
      <c r="CQK26" s="3"/>
      <c r="CQL26" s="3"/>
      <c r="CQM26" s="3"/>
      <c r="CQN26" s="3"/>
      <c r="CQO26" s="3"/>
      <c r="CQP26" s="3"/>
      <c r="CQQ26" s="3"/>
      <c r="CQR26" s="3"/>
      <c r="CQS26" s="3"/>
      <c r="CQT26" s="3"/>
      <c r="CQU26" s="3"/>
      <c r="CQV26" s="3"/>
      <c r="CQW26" s="3"/>
      <c r="CQX26" s="3"/>
      <c r="CQY26" s="3"/>
      <c r="CQZ26" s="3"/>
      <c r="CRA26" s="3"/>
      <c r="CRB26" s="3"/>
      <c r="CRC26" s="3"/>
      <c r="CRD26" s="3"/>
      <c r="CRE26" s="3"/>
      <c r="CRF26" s="3"/>
      <c r="CRG26" s="3"/>
      <c r="CRH26" s="3"/>
      <c r="CRI26" s="3"/>
      <c r="CRJ26" s="3"/>
      <c r="CRK26" s="3"/>
      <c r="CRL26" s="3"/>
      <c r="CRM26" s="3"/>
      <c r="CRN26" s="3"/>
      <c r="CRO26" s="3"/>
      <c r="CRP26" s="3"/>
      <c r="CRQ26" s="3"/>
      <c r="CRR26" s="3"/>
      <c r="CRS26" s="3"/>
      <c r="CRT26" s="3"/>
      <c r="CRU26" s="3"/>
      <c r="CRV26" s="3"/>
      <c r="CRW26" s="3"/>
      <c r="CRX26" s="3"/>
      <c r="CRY26" s="3"/>
      <c r="CRZ26" s="3"/>
      <c r="CSA26" s="3"/>
      <c r="CSB26" s="3"/>
      <c r="CSC26" s="3"/>
      <c r="CSD26" s="3"/>
      <c r="CSE26" s="3"/>
      <c r="CSF26" s="3"/>
      <c r="CSG26" s="3"/>
      <c r="CSH26" s="3"/>
      <c r="CSI26" s="3"/>
      <c r="CSJ26" s="3"/>
      <c r="CSK26" s="3"/>
      <c r="CSL26" s="3"/>
      <c r="CSM26" s="3"/>
      <c r="CSN26" s="3"/>
      <c r="CSO26" s="3"/>
      <c r="CSP26" s="3"/>
      <c r="CSQ26" s="3"/>
      <c r="CSR26" s="3"/>
      <c r="CSS26" s="3"/>
      <c r="CST26" s="3"/>
      <c r="CSU26" s="3"/>
      <c r="CSV26" s="3"/>
      <c r="CSW26" s="3"/>
      <c r="CSX26" s="3"/>
      <c r="CSY26" s="3"/>
      <c r="CSZ26" s="3"/>
      <c r="CTA26" s="3"/>
      <c r="CTB26" s="3"/>
      <c r="CTC26" s="3"/>
      <c r="CTD26" s="3"/>
      <c r="CTE26" s="3"/>
      <c r="CTF26" s="3"/>
      <c r="CTG26" s="3"/>
      <c r="CTH26" s="3"/>
      <c r="CTI26" s="3"/>
      <c r="CTJ26" s="3"/>
      <c r="CTK26" s="3"/>
      <c r="CTL26" s="3"/>
      <c r="CTM26" s="3"/>
      <c r="CTN26" s="3"/>
      <c r="CTO26" s="3"/>
      <c r="CTP26" s="3"/>
      <c r="CTQ26" s="3"/>
      <c r="CTR26" s="3"/>
      <c r="CTS26" s="3"/>
      <c r="CTT26" s="3"/>
      <c r="CTU26" s="3"/>
      <c r="CTV26" s="3"/>
      <c r="CTW26" s="3"/>
      <c r="CTX26" s="3"/>
      <c r="CTY26" s="3"/>
      <c r="CTZ26" s="3"/>
      <c r="CUA26" s="3"/>
      <c r="CUB26" s="3"/>
      <c r="CUC26" s="3"/>
      <c r="CUD26" s="3"/>
      <c r="CUE26" s="3"/>
      <c r="CUF26" s="3"/>
      <c r="CUG26" s="3"/>
      <c r="CUH26" s="3"/>
      <c r="CUI26" s="3"/>
      <c r="CUJ26" s="3"/>
      <c r="CUK26" s="3"/>
      <c r="CUL26" s="3"/>
      <c r="CUM26" s="3"/>
      <c r="CUN26" s="3"/>
      <c r="CUO26" s="3"/>
      <c r="CUP26" s="3"/>
      <c r="CUQ26" s="3"/>
      <c r="CUR26" s="3"/>
      <c r="CUS26" s="3"/>
      <c r="CUT26" s="3"/>
      <c r="CUU26" s="3"/>
      <c r="CUV26" s="3"/>
      <c r="CUW26" s="3"/>
      <c r="CUX26" s="3"/>
      <c r="CUY26" s="3"/>
      <c r="CUZ26" s="3"/>
      <c r="CVA26" s="3"/>
      <c r="CVB26" s="3"/>
      <c r="CVC26" s="3"/>
      <c r="CVD26" s="3"/>
      <c r="CVE26" s="3"/>
      <c r="CVF26" s="3"/>
      <c r="CVG26" s="3"/>
      <c r="CVH26" s="3"/>
      <c r="CVI26" s="3"/>
      <c r="CVJ26" s="3"/>
      <c r="CVK26" s="3"/>
      <c r="CVL26" s="3"/>
      <c r="CVM26" s="3"/>
      <c r="CVN26" s="3"/>
      <c r="CVO26" s="3"/>
      <c r="CVP26" s="3"/>
      <c r="CVQ26" s="3"/>
      <c r="CVR26" s="3"/>
      <c r="CVS26" s="3"/>
      <c r="CVT26" s="3"/>
      <c r="CVU26" s="3"/>
      <c r="CVV26" s="3"/>
      <c r="CVW26" s="3"/>
      <c r="CVX26" s="3"/>
      <c r="CVY26" s="3"/>
      <c r="CVZ26" s="3"/>
      <c r="CWA26" s="3"/>
      <c r="CWB26" s="3"/>
      <c r="CWC26" s="3"/>
      <c r="CWD26" s="3"/>
      <c r="CWE26" s="3"/>
      <c r="CWF26" s="3"/>
      <c r="CWG26" s="3"/>
      <c r="CWH26" s="3"/>
      <c r="CWI26" s="3"/>
      <c r="CWJ26" s="3"/>
      <c r="CWK26" s="3"/>
      <c r="CWL26" s="3"/>
      <c r="CWM26" s="3"/>
      <c r="CWN26" s="3"/>
      <c r="CWO26" s="3"/>
      <c r="CWP26" s="3"/>
      <c r="CWQ26" s="3"/>
      <c r="CWR26" s="3"/>
      <c r="CWS26" s="3"/>
      <c r="CWT26" s="3"/>
      <c r="CWU26" s="3"/>
      <c r="CWV26" s="3"/>
      <c r="CWW26" s="3"/>
      <c r="CWX26" s="3"/>
      <c r="CWY26" s="3"/>
      <c r="CWZ26" s="3"/>
      <c r="CXA26" s="3"/>
      <c r="CXB26" s="3"/>
      <c r="CXC26" s="3"/>
      <c r="CXD26" s="3"/>
      <c r="CXE26" s="3"/>
      <c r="CXF26" s="3"/>
      <c r="CXG26" s="3"/>
      <c r="CXH26" s="3"/>
      <c r="CXI26" s="3"/>
      <c r="CXJ26" s="3"/>
      <c r="CXK26" s="3"/>
      <c r="CXL26" s="3"/>
      <c r="CXM26" s="3"/>
      <c r="CXN26" s="3"/>
      <c r="CXO26" s="3"/>
      <c r="CXP26" s="3"/>
      <c r="CXQ26" s="3"/>
      <c r="CXR26" s="3"/>
      <c r="CXS26" s="3"/>
      <c r="CXT26" s="3"/>
      <c r="CXU26" s="3"/>
      <c r="CXV26" s="3"/>
      <c r="CXW26" s="3"/>
      <c r="CXX26" s="3"/>
      <c r="CXY26" s="3"/>
      <c r="CXZ26" s="3"/>
      <c r="CYA26" s="3"/>
      <c r="CYB26" s="3"/>
      <c r="CYC26" s="3"/>
      <c r="CYD26" s="3"/>
      <c r="CYE26" s="3"/>
      <c r="CYF26" s="3"/>
      <c r="CYG26" s="3"/>
      <c r="CYH26" s="3"/>
      <c r="CYI26" s="3"/>
      <c r="CYJ26" s="3"/>
      <c r="CYK26" s="3"/>
      <c r="CYL26" s="3"/>
      <c r="CYM26" s="3"/>
      <c r="CYN26" s="3"/>
      <c r="CYO26" s="3"/>
      <c r="CYP26" s="3"/>
      <c r="CYQ26" s="3"/>
      <c r="CYR26" s="3"/>
      <c r="CYS26" s="3"/>
      <c r="CYT26" s="3"/>
      <c r="CYU26" s="3"/>
      <c r="CYV26" s="3"/>
      <c r="CYW26" s="3"/>
      <c r="CYX26" s="3"/>
      <c r="CYY26" s="3"/>
      <c r="CYZ26" s="3"/>
      <c r="CZA26" s="3"/>
      <c r="CZB26" s="3"/>
      <c r="CZC26" s="3"/>
      <c r="CZD26" s="3"/>
      <c r="CZE26" s="3"/>
      <c r="CZF26" s="3"/>
      <c r="CZG26" s="3"/>
      <c r="CZH26" s="3"/>
      <c r="CZI26" s="3"/>
      <c r="CZJ26" s="3"/>
      <c r="CZK26" s="3"/>
      <c r="CZL26" s="3"/>
      <c r="CZM26" s="3"/>
      <c r="CZN26" s="3"/>
      <c r="CZO26" s="3"/>
      <c r="CZP26" s="3"/>
      <c r="CZQ26" s="3"/>
      <c r="CZR26" s="3"/>
      <c r="CZS26" s="3"/>
      <c r="CZT26" s="3"/>
      <c r="CZU26" s="3"/>
      <c r="CZV26" s="3"/>
      <c r="CZW26" s="3"/>
      <c r="CZX26" s="3"/>
      <c r="CZY26" s="3"/>
      <c r="CZZ26" s="3"/>
      <c r="DAA26" s="3"/>
      <c r="DAB26" s="3"/>
      <c r="DAC26" s="3"/>
      <c r="DAD26" s="3"/>
      <c r="DAE26" s="3"/>
      <c r="DAF26" s="3"/>
      <c r="DAG26" s="3"/>
      <c r="DAH26" s="3"/>
      <c r="DAI26" s="3"/>
      <c r="DAJ26" s="3"/>
      <c r="DAK26" s="3"/>
      <c r="DAL26" s="3"/>
      <c r="DAM26" s="3"/>
      <c r="DAN26" s="3"/>
      <c r="DAO26" s="3"/>
      <c r="DAP26" s="3"/>
      <c r="DAQ26" s="3"/>
      <c r="DAR26" s="3"/>
      <c r="DAS26" s="3"/>
      <c r="DAT26" s="3"/>
      <c r="DAU26" s="3"/>
      <c r="DAV26" s="3"/>
      <c r="DAW26" s="3"/>
      <c r="DAX26" s="3"/>
      <c r="DAY26" s="3"/>
      <c r="DAZ26" s="3"/>
      <c r="DBA26" s="3"/>
      <c r="DBB26" s="3"/>
      <c r="DBC26" s="3"/>
      <c r="DBD26" s="3"/>
      <c r="DBE26" s="3"/>
      <c r="DBF26" s="3"/>
      <c r="DBG26" s="3"/>
      <c r="DBH26" s="3"/>
      <c r="DBI26" s="3"/>
      <c r="DBJ26" s="3"/>
      <c r="DBK26" s="3"/>
      <c r="DBL26" s="3"/>
      <c r="DBM26" s="3"/>
      <c r="DBN26" s="3"/>
      <c r="DBO26" s="3"/>
      <c r="DBP26" s="3"/>
      <c r="DBQ26" s="3"/>
      <c r="DBR26" s="3"/>
      <c r="DBS26" s="3"/>
      <c r="DBT26" s="3"/>
      <c r="DBU26" s="3"/>
      <c r="DBV26" s="3"/>
      <c r="DBW26" s="3"/>
      <c r="DBX26" s="3"/>
      <c r="DBY26" s="3"/>
      <c r="DBZ26" s="3"/>
      <c r="DCA26" s="3"/>
      <c r="DCB26" s="3"/>
      <c r="DCC26" s="3"/>
      <c r="DCD26" s="3"/>
      <c r="DCE26" s="3"/>
      <c r="DCF26" s="3"/>
      <c r="DCG26" s="3"/>
      <c r="DCH26" s="3"/>
      <c r="DCI26" s="3"/>
      <c r="DCJ26" s="3"/>
      <c r="DCK26" s="3"/>
      <c r="DCL26" s="3"/>
      <c r="DCM26" s="3"/>
      <c r="DCN26" s="3"/>
      <c r="DCO26" s="3"/>
      <c r="DCP26" s="3"/>
      <c r="DCQ26" s="3"/>
      <c r="DCR26" s="3"/>
      <c r="DCS26" s="3"/>
      <c r="DCT26" s="3"/>
      <c r="DCU26" s="3"/>
      <c r="DCV26" s="3"/>
      <c r="DCW26" s="3"/>
      <c r="DCX26" s="3"/>
      <c r="DCY26" s="3"/>
      <c r="DCZ26" s="3"/>
      <c r="DDA26" s="3"/>
      <c r="DDB26" s="3"/>
      <c r="DDC26" s="3"/>
      <c r="DDD26" s="3"/>
      <c r="DDE26" s="3"/>
      <c r="DDF26" s="3"/>
      <c r="DDG26" s="3"/>
      <c r="DDH26" s="3"/>
      <c r="DDI26" s="3"/>
      <c r="DDJ26" s="3"/>
      <c r="DDK26" s="3"/>
      <c r="DDL26" s="3"/>
      <c r="DDM26" s="3"/>
      <c r="DDN26" s="3"/>
      <c r="DDO26" s="3"/>
      <c r="DDP26" s="3"/>
      <c r="DDQ26" s="3"/>
      <c r="DDR26" s="3"/>
      <c r="DDS26" s="3"/>
      <c r="DDT26" s="3"/>
      <c r="DDU26" s="3"/>
      <c r="DDV26" s="3"/>
      <c r="DDW26" s="3"/>
      <c r="DDX26" s="3"/>
      <c r="DDY26" s="3"/>
      <c r="DDZ26" s="3"/>
      <c r="DEA26" s="3"/>
      <c r="DEB26" s="3"/>
      <c r="DEC26" s="3"/>
      <c r="DED26" s="3"/>
      <c r="DEE26" s="3"/>
      <c r="DEF26" s="3"/>
      <c r="DEG26" s="3"/>
      <c r="DEH26" s="3"/>
      <c r="DEI26" s="3"/>
      <c r="DEJ26" s="3"/>
      <c r="DEK26" s="3"/>
      <c r="DEL26" s="3"/>
      <c r="DEM26" s="3"/>
      <c r="DEN26" s="3"/>
      <c r="DEO26" s="3"/>
      <c r="DEP26" s="3"/>
      <c r="DEQ26" s="3"/>
      <c r="DER26" s="3"/>
      <c r="DES26" s="3"/>
      <c r="DET26" s="3"/>
      <c r="DEU26" s="3"/>
      <c r="DEV26" s="3"/>
      <c r="DEW26" s="3"/>
      <c r="DEX26" s="3"/>
      <c r="DEY26" s="3"/>
      <c r="DEZ26" s="3"/>
      <c r="DFA26" s="3"/>
      <c r="DFB26" s="3"/>
      <c r="DFC26" s="3"/>
      <c r="DFD26" s="3"/>
      <c r="DFE26" s="3"/>
      <c r="DFF26" s="3"/>
      <c r="DFG26" s="3"/>
      <c r="DFH26" s="3"/>
      <c r="DFI26" s="3"/>
      <c r="DFJ26" s="3"/>
      <c r="DFK26" s="3"/>
      <c r="DFL26" s="3"/>
      <c r="DFM26" s="3"/>
      <c r="DFN26" s="3"/>
      <c r="DFO26" s="3"/>
      <c r="DFP26" s="3"/>
      <c r="DFQ26" s="3"/>
      <c r="DFR26" s="3"/>
      <c r="DFS26" s="3"/>
      <c r="DFT26" s="3"/>
      <c r="DFU26" s="3"/>
      <c r="DFV26" s="3"/>
      <c r="DFW26" s="3"/>
      <c r="DFX26" s="3"/>
      <c r="DFY26" s="3"/>
      <c r="DFZ26" s="3"/>
      <c r="DGA26" s="3"/>
      <c r="DGB26" s="3"/>
      <c r="DGC26" s="3"/>
      <c r="DGD26" s="3"/>
      <c r="DGE26" s="3"/>
      <c r="DGF26" s="3"/>
      <c r="DGG26" s="3"/>
      <c r="DGH26" s="3"/>
      <c r="DGI26" s="3"/>
      <c r="DGJ26" s="3"/>
      <c r="DGK26" s="3"/>
      <c r="DGL26" s="3"/>
      <c r="DGM26" s="3"/>
      <c r="DGN26" s="3"/>
      <c r="DGO26" s="3"/>
      <c r="DGP26" s="3"/>
      <c r="DGQ26" s="3"/>
      <c r="DGR26" s="3"/>
      <c r="DGS26" s="3"/>
      <c r="DGT26" s="3"/>
      <c r="DGU26" s="3"/>
      <c r="DGV26" s="3"/>
      <c r="DGW26" s="3"/>
      <c r="DGX26" s="3"/>
      <c r="DGY26" s="3"/>
      <c r="DGZ26" s="3"/>
      <c r="DHA26" s="3"/>
      <c r="DHB26" s="3"/>
      <c r="DHC26" s="3"/>
      <c r="DHD26" s="3"/>
      <c r="DHE26" s="3"/>
      <c r="DHF26" s="3"/>
      <c r="DHG26" s="3"/>
      <c r="DHH26" s="3"/>
      <c r="DHI26" s="3"/>
      <c r="DHJ26" s="3"/>
      <c r="DHK26" s="3"/>
      <c r="DHL26" s="3"/>
      <c r="DHM26" s="3"/>
      <c r="DHN26" s="3"/>
      <c r="DHO26" s="3"/>
      <c r="DHP26" s="3"/>
      <c r="DHQ26" s="3"/>
      <c r="DHR26" s="3"/>
      <c r="DHS26" s="3"/>
      <c r="DHT26" s="3"/>
      <c r="DHU26" s="3"/>
      <c r="DHV26" s="3"/>
      <c r="DHW26" s="3"/>
      <c r="DHX26" s="3"/>
      <c r="DHY26" s="3"/>
      <c r="DHZ26" s="3"/>
      <c r="DIA26" s="3"/>
      <c r="DIB26" s="3"/>
      <c r="DIC26" s="3"/>
      <c r="DID26" s="3"/>
      <c r="DIE26" s="3"/>
      <c r="DIF26" s="3"/>
      <c r="DIG26" s="3"/>
      <c r="DIH26" s="3"/>
      <c r="DII26" s="3"/>
      <c r="DIJ26" s="3"/>
      <c r="DIK26" s="3"/>
      <c r="DIL26" s="3"/>
      <c r="DIM26" s="3"/>
      <c r="DIN26" s="3"/>
      <c r="DIO26" s="3"/>
      <c r="DIP26" s="3"/>
      <c r="DIQ26" s="3"/>
      <c r="DIR26" s="3"/>
      <c r="DIS26" s="3"/>
      <c r="DIT26" s="3"/>
      <c r="DIU26" s="3"/>
      <c r="DIV26" s="3"/>
      <c r="DIW26" s="3"/>
      <c r="DIX26" s="3"/>
      <c r="DIY26" s="3"/>
      <c r="DIZ26" s="3"/>
      <c r="DJA26" s="3"/>
      <c r="DJB26" s="3"/>
      <c r="DJC26" s="3"/>
      <c r="DJD26" s="3"/>
      <c r="DJE26" s="3"/>
      <c r="DJF26" s="3"/>
      <c r="DJG26" s="3"/>
      <c r="DJH26" s="3"/>
      <c r="DJI26" s="3"/>
      <c r="DJJ26" s="3"/>
      <c r="DJK26" s="3"/>
      <c r="DJL26" s="3"/>
      <c r="DJM26" s="3"/>
      <c r="DJN26" s="3"/>
      <c r="DJO26" s="3"/>
      <c r="DJP26" s="3"/>
      <c r="DJQ26" s="3"/>
      <c r="DJR26" s="3"/>
      <c r="DJS26" s="3"/>
      <c r="DJT26" s="3"/>
      <c r="DJU26" s="3"/>
      <c r="DJV26" s="3"/>
      <c r="DJW26" s="3"/>
      <c r="DJX26" s="3"/>
      <c r="DJY26" s="3"/>
      <c r="DJZ26" s="3"/>
      <c r="DKA26" s="3"/>
      <c r="DKB26" s="3"/>
      <c r="DKC26" s="3"/>
      <c r="DKD26" s="3"/>
      <c r="DKE26" s="3"/>
      <c r="DKF26" s="3"/>
      <c r="DKG26" s="3"/>
      <c r="DKH26" s="3"/>
      <c r="DKI26" s="3"/>
      <c r="DKJ26" s="3"/>
      <c r="DKK26" s="3"/>
      <c r="DKL26" s="3"/>
      <c r="DKM26" s="3"/>
      <c r="DKN26" s="3"/>
      <c r="DKO26" s="3"/>
      <c r="DKP26" s="3"/>
      <c r="DKQ26" s="3"/>
      <c r="DKR26" s="3"/>
      <c r="DKS26" s="3"/>
      <c r="DKT26" s="3"/>
      <c r="DKU26" s="3"/>
      <c r="DKV26" s="3"/>
      <c r="DKW26" s="3"/>
      <c r="DKX26" s="3"/>
      <c r="DKY26" s="3"/>
      <c r="DKZ26" s="3"/>
      <c r="DLA26" s="3"/>
      <c r="DLB26" s="3"/>
      <c r="DLC26" s="3"/>
      <c r="DLD26" s="3"/>
      <c r="DLE26" s="3"/>
      <c r="DLF26" s="3"/>
      <c r="DLG26" s="3"/>
      <c r="DLH26" s="3"/>
      <c r="DLI26" s="3"/>
      <c r="DLJ26" s="3"/>
      <c r="DLK26" s="3"/>
      <c r="DLL26" s="3"/>
      <c r="DLM26" s="3"/>
      <c r="DLN26" s="3"/>
      <c r="DLO26" s="3"/>
      <c r="DLP26" s="3"/>
      <c r="DLQ26" s="3"/>
      <c r="DLR26" s="3"/>
      <c r="DLS26" s="3"/>
      <c r="DLT26" s="3"/>
      <c r="DLU26" s="3"/>
      <c r="DLV26" s="3"/>
      <c r="DLW26" s="3"/>
      <c r="DLX26" s="3"/>
      <c r="DLY26" s="3"/>
      <c r="DLZ26" s="3"/>
      <c r="DMA26" s="3"/>
      <c r="DMB26" s="3"/>
      <c r="DMC26" s="3"/>
      <c r="DMD26" s="3"/>
      <c r="DME26" s="3"/>
      <c r="DMF26" s="3"/>
      <c r="DMG26" s="3"/>
      <c r="DMH26" s="3"/>
      <c r="DMI26" s="3"/>
      <c r="DMJ26" s="3"/>
      <c r="DMK26" s="3"/>
      <c r="DML26" s="3"/>
      <c r="DMM26" s="3"/>
      <c r="DMN26" s="3"/>
      <c r="DMO26" s="3"/>
      <c r="DMP26" s="3"/>
      <c r="DMQ26" s="3"/>
      <c r="DMR26" s="3"/>
      <c r="DMS26" s="3"/>
      <c r="DMT26" s="3"/>
      <c r="DMU26" s="3"/>
      <c r="DMV26" s="3"/>
      <c r="DMW26" s="3"/>
      <c r="DMX26" s="3"/>
      <c r="DMY26" s="3"/>
      <c r="DMZ26" s="3"/>
      <c r="DNA26" s="3"/>
      <c r="DNB26" s="3"/>
      <c r="DNC26" s="3"/>
      <c r="DND26" s="3"/>
      <c r="DNE26" s="3"/>
      <c r="DNF26" s="3"/>
      <c r="DNG26" s="3"/>
      <c r="DNH26" s="3"/>
      <c r="DNI26" s="3"/>
      <c r="DNJ26" s="3"/>
      <c r="DNK26" s="3"/>
      <c r="DNL26" s="3"/>
      <c r="DNM26" s="3"/>
      <c r="DNN26" s="3"/>
      <c r="DNO26" s="3"/>
      <c r="DNP26" s="3"/>
      <c r="DNQ26" s="3"/>
      <c r="DNR26" s="3"/>
      <c r="DNS26" s="3"/>
      <c r="DNT26" s="3"/>
      <c r="DNU26" s="3"/>
      <c r="DNV26" s="3"/>
      <c r="DNW26" s="3"/>
      <c r="DNX26" s="3"/>
      <c r="DNY26" s="3"/>
      <c r="DNZ26" s="3"/>
      <c r="DOA26" s="3"/>
      <c r="DOB26" s="3"/>
      <c r="DOC26" s="3"/>
      <c r="DOD26" s="3"/>
      <c r="DOE26" s="3"/>
      <c r="DOF26" s="3"/>
      <c r="DOG26" s="3"/>
      <c r="DOH26" s="3"/>
      <c r="DOI26" s="3"/>
      <c r="DOJ26" s="3"/>
      <c r="DOK26" s="3"/>
      <c r="DOL26" s="3"/>
      <c r="DOM26" s="3"/>
      <c r="DON26" s="3"/>
      <c r="DOO26" s="3"/>
      <c r="DOP26" s="3"/>
      <c r="DOQ26" s="3"/>
      <c r="DOR26" s="3"/>
      <c r="DOS26" s="3"/>
      <c r="DOT26" s="3"/>
      <c r="DOU26" s="3"/>
      <c r="DOV26" s="3"/>
      <c r="DOW26" s="3"/>
      <c r="DOX26" s="3"/>
      <c r="DOY26" s="3"/>
      <c r="DOZ26" s="3"/>
      <c r="DPA26" s="3"/>
      <c r="DPB26" s="3"/>
      <c r="DPC26" s="3"/>
      <c r="DPD26" s="3"/>
      <c r="DPE26" s="3"/>
      <c r="DPF26" s="3"/>
      <c r="DPG26" s="3"/>
      <c r="DPH26" s="3"/>
      <c r="DPI26" s="3"/>
      <c r="DPJ26" s="3"/>
      <c r="DPK26" s="3"/>
      <c r="DPL26" s="3"/>
      <c r="DPM26" s="3"/>
      <c r="DPN26" s="3"/>
      <c r="DPO26" s="3"/>
      <c r="DPP26" s="3"/>
      <c r="DPQ26" s="3"/>
      <c r="DPR26" s="3"/>
      <c r="DPS26" s="3"/>
      <c r="DPT26" s="3"/>
      <c r="DPU26" s="3"/>
      <c r="DPV26" s="3"/>
      <c r="DPW26" s="3"/>
      <c r="DPX26" s="3"/>
      <c r="DPY26" s="3"/>
      <c r="DPZ26" s="3"/>
      <c r="DQA26" s="3"/>
      <c r="DQB26" s="3"/>
      <c r="DQC26" s="3"/>
      <c r="DQD26" s="3"/>
      <c r="DQE26" s="3"/>
      <c r="DQF26" s="3"/>
      <c r="DQG26" s="3"/>
      <c r="DQH26" s="3"/>
      <c r="DQI26" s="3"/>
      <c r="DQJ26" s="3"/>
      <c r="DQK26" s="3"/>
      <c r="DQL26" s="3"/>
      <c r="DQM26" s="3"/>
      <c r="DQN26" s="3"/>
      <c r="DQO26" s="3"/>
      <c r="DQP26" s="3"/>
      <c r="DQQ26" s="3"/>
      <c r="DQR26" s="3"/>
      <c r="DQS26" s="3"/>
      <c r="DQT26" s="3"/>
      <c r="DQU26" s="3"/>
      <c r="DQV26" s="3"/>
      <c r="DQW26" s="3"/>
      <c r="DQX26" s="3"/>
      <c r="DQY26" s="3"/>
      <c r="DQZ26" s="3"/>
      <c r="DRA26" s="3"/>
      <c r="DRB26" s="3"/>
      <c r="DRC26" s="3"/>
      <c r="DRD26" s="3"/>
      <c r="DRE26" s="3"/>
      <c r="DRF26" s="3"/>
      <c r="DRG26" s="3"/>
      <c r="DRH26" s="3"/>
      <c r="DRI26" s="3"/>
      <c r="DRJ26" s="3"/>
      <c r="DRK26" s="3"/>
      <c r="DRL26" s="3"/>
      <c r="DRM26" s="3"/>
      <c r="DRN26" s="3"/>
      <c r="DRO26" s="3"/>
      <c r="DRP26" s="3"/>
      <c r="DRQ26" s="3"/>
      <c r="DRR26" s="3"/>
      <c r="DRS26" s="3"/>
      <c r="DRT26" s="3"/>
      <c r="DRU26" s="3"/>
      <c r="DRV26" s="3"/>
      <c r="DRW26" s="3"/>
      <c r="DRX26" s="3"/>
      <c r="DRY26" s="3"/>
      <c r="DRZ26" s="3"/>
      <c r="DSA26" s="3"/>
      <c r="DSB26" s="3"/>
      <c r="DSC26" s="3"/>
      <c r="DSD26" s="3"/>
      <c r="DSE26" s="3"/>
      <c r="DSF26" s="3"/>
      <c r="DSG26" s="3"/>
      <c r="DSH26" s="3"/>
      <c r="DSI26" s="3"/>
      <c r="DSJ26" s="3"/>
      <c r="DSK26" s="3"/>
      <c r="DSL26" s="3"/>
      <c r="DSM26" s="3"/>
      <c r="DSN26" s="3"/>
      <c r="DSO26" s="3"/>
      <c r="DSP26" s="3"/>
      <c r="DSQ26" s="3"/>
      <c r="DSR26" s="3"/>
      <c r="DSS26" s="3"/>
      <c r="DST26" s="3"/>
      <c r="DSU26" s="3"/>
      <c r="DSV26" s="3"/>
      <c r="DSW26" s="3"/>
      <c r="DSX26" s="3"/>
      <c r="DSY26" s="3"/>
      <c r="DSZ26" s="3"/>
      <c r="DTA26" s="3"/>
      <c r="DTB26" s="3"/>
      <c r="DTC26" s="3"/>
      <c r="DTD26" s="3"/>
      <c r="DTE26" s="3"/>
      <c r="DTF26" s="3"/>
      <c r="DTG26" s="3"/>
      <c r="DTH26" s="3"/>
      <c r="DTI26" s="3"/>
      <c r="DTJ26" s="3"/>
      <c r="DTK26" s="3"/>
      <c r="DTL26" s="3"/>
      <c r="DTM26" s="3"/>
      <c r="DTN26" s="3"/>
      <c r="DTO26" s="3"/>
      <c r="DTP26" s="3"/>
      <c r="DTQ26" s="3"/>
      <c r="DTR26" s="3"/>
      <c r="DTS26" s="3"/>
      <c r="DTT26" s="3"/>
      <c r="DTU26" s="3"/>
      <c r="DTV26" s="3"/>
      <c r="DTW26" s="3"/>
      <c r="DTX26" s="3"/>
      <c r="DTY26" s="3"/>
      <c r="DTZ26" s="3"/>
      <c r="DUA26" s="3"/>
      <c r="DUB26" s="3"/>
      <c r="DUC26" s="3"/>
      <c r="DUD26" s="3"/>
      <c r="DUE26" s="3"/>
      <c r="DUF26" s="3"/>
      <c r="DUG26" s="3"/>
      <c r="DUH26" s="3"/>
      <c r="DUI26" s="3"/>
      <c r="DUJ26" s="3"/>
      <c r="DUK26" s="3"/>
      <c r="DUL26" s="3"/>
      <c r="DUM26" s="3"/>
      <c r="DUN26" s="3"/>
      <c r="DUO26" s="3"/>
      <c r="DUP26" s="3"/>
      <c r="DUQ26" s="3"/>
      <c r="DUR26" s="3"/>
      <c r="DUS26" s="3"/>
      <c r="DUT26" s="3"/>
      <c r="DUU26" s="3"/>
      <c r="DUV26" s="3"/>
      <c r="DUW26" s="3"/>
      <c r="DUX26" s="3"/>
      <c r="DUY26" s="3"/>
      <c r="DUZ26" s="3"/>
      <c r="DVA26" s="3"/>
      <c r="DVB26" s="3"/>
      <c r="DVC26" s="3"/>
      <c r="DVD26" s="3"/>
      <c r="DVE26" s="3"/>
      <c r="DVF26" s="3"/>
      <c r="DVG26" s="3"/>
      <c r="DVH26" s="3"/>
      <c r="DVI26" s="3"/>
      <c r="DVJ26" s="3"/>
      <c r="DVK26" s="3"/>
      <c r="DVL26" s="3"/>
      <c r="DVM26" s="3"/>
      <c r="DVN26" s="3"/>
      <c r="DVO26" s="3"/>
      <c r="DVP26" s="3"/>
      <c r="DVQ26" s="3"/>
      <c r="DVR26" s="3"/>
      <c r="DVS26" s="3"/>
      <c r="DVT26" s="3"/>
      <c r="DVU26" s="3"/>
      <c r="DVV26" s="3"/>
      <c r="DVW26" s="3"/>
      <c r="DVX26" s="3"/>
      <c r="DVY26" s="3"/>
      <c r="DVZ26" s="3"/>
      <c r="DWA26" s="3"/>
      <c r="DWB26" s="3"/>
      <c r="DWC26" s="3"/>
      <c r="DWD26" s="3"/>
      <c r="DWE26" s="3"/>
      <c r="DWF26" s="3"/>
      <c r="DWG26" s="3"/>
      <c r="DWH26" s="3"/>
      <c r="DWI26" s="3"/>
      <c r="DWJ26" s="3"/>
      <c r="DWK26" s="3"/>
      <c r="DWL26" s="3"/>
      <c r="DWM26" s="3"/>
      <c r="DWN26" s="3"/>
      <c r="DWO26" s="3"/>
      <c r="DWP26" s="3"/>
      <c r="DWQ26" s="3"/>
      <c r="DWR26" s="3"/>
      <c r="DWS26" s="3"/>
      <c r="DWT26" s="3"/>
      <c r="DWU26" s="3"/>
      <c r="DWV26" s="3"/>
      <c r="DWW26" s="3"/>
      <c r="DWX26" s="3"/>
      <c r="DWY26" s="3"/>
      <c r="DWZ26" s="3"/>
      <c r="DXA26" s="3"/>
      <c r="DXB26" s="3"/>
      <c r="DXC26" s="3"/>
      <c r="DXD26" s="3"/>
      <c r="DXE26" s="3"/>
      <c r="DXF26" s="3"/>
      <c r="DXG26" s="3"/>
      <c r="DXH26" s="3"/>
      <c r="DXI26" s="3"/>
      <c r="DXJ26" s="3"/>
      <c r="DXK26" s="3"/>
      <c r="DXL26" s="3"/>
      <c r="DXM26" s="3"/>
      <c r="DXN26" s="3"/>
      <c r="DXO26" s="3"/>
      <c r="DXP26" s="3"/>
      <c r="DXQ26" s="3"/>
      <c r="DXR26" s="3"/>
      <c r="DXS26" s="3"/>
      <c r="DXT26" s="3"/>
      <c r="DXU26" s="3"/>
      <c r="DXV26" s="3"/>
      <c r="DXW26" s="3"/>
      <c r="DXX26" s="3"/>
      <c r="DXY26" s="3"/>
      <c r="DXZ26" s="3"/>
      <c r="DYA26" s="3"/>
      <c r="DYB26" s="3"/>
      <c r="DYC26" s="3"/>
      <c r="DYD26" s="3"/>
      <c r="DYE26" s="3"/>
      <c r="DYF26" s="3"/>
      <c r="DYG26" s="3"/>
      <c r="DYH26" s="3"/>
      <c r="DYI26" s="3"/>
      <c r="DYJ26" s="3"/>
      <c r="DYK26" s="3"/>
      <c r="DYL26" s="3"/>
      <c r="DYM26" s="3"/>
      <c r="DYN26" s="3"/>
      <c r="DYO26" s="3"/>
      <c r="DYP26" s="3"/>
      <c r="DYQ26" s="3"/>
      <c r="DYR26" s="3"/>
      <c r="DYS26" s="3"/>
      <c r="DYT26" s="3"/>
      <c r="DYU26" s="3"/>
      <c r="DYV26" s="3"/>
      <c r="DYW26" s="3"/>
      <c r="DYX26" s="3"/>
      <c r="DYY26" s="3"/>
      <c r="DYZ26" s="3"/>
      <c r="DZA26" s="3"/>
      <c r="DZB26" s="3"/>
      <c r="DZC26" s="3"/>
      <c r="DZD26" s="3"/>
      <c r="DZE26" s="3"/>
      <c r="DZF26" s="3"/>
      <c r="DZG26" s="3"/>
      <c r="DZH26" s="3"/>
      <c r="DZI26" s="3"/>
      <c r="DZJ26" s="3"/>
      <c r="DZK26" s="3"/>
      <c r="DZL26" s="3"/>
      <c r="DZM26" s="3"/>
      <c r="DZN26" s="3"/>
      <c r="DZO26" s="3"/>
      <c r="DZP26" s="3"/>
      <c r="DZQ26" s="3"/>
      <c r="DZR26" s="3"/>
      <c r="DZS26" s="3"/>
      <c r="DZT26" s="3"/>
      <c r="DZU26" s="3"/>
      <c r="DZV26" s="3"/>
      <c r="DZW26" s="3"/>
      <c r="DZX26" s="3"/>
      <c r="DZY26" s="3"/>
      <c r="DZZ26" s="3"/>
      <c r="EAA26" s="3"/>
      <c r="EAB26" s="3"/>
      <c r="EAC26" s="3"/>
      <c r="EAD26" s="3"/>
      <c r="EAE26" s="3"/>
      <c r="EAF26" s="3"/>
      <c r="EAG26" s="3"/>
      <c r="EAH26" s="3"/>
      <c r="EAI26" s="3"/>
      <c r="EAJ26" s="3"/>
      <c r="EAK26" s="3"/>
      <c r="EAL26" s="3"/>
      <c r="EAM26" s="3"/>
      <c r="EAN26" s="3"/>
      <c r="EAO26" s="3"/>
      <c r="EAP26" s="3"/>
      <c r="EAQ26" s="3"/>
      <c r="EAR26" s="3"/>
      <c r="EAS26" s="3"/>
      <c r="EAT26" s="3"/>
      <c r="EAU26" s="3"/>
      <c r="EAV26" s="3"/>
      <c r="EAW26" s="3"/>
      <c r="EAX26" s="3"/>
      <c r="EAY26" s="3"/>
      <c r="EAZ26" s="3"/>
      <c r="EBA26" s="3"/>
      <c r="EBB26" s="3"/>
      <c r="EBC26" s="3"/>
      <c r="EBD26" s="3"/>
      <c r="EBE26" s="3"/>
      <c r="EBF26" s="3"/>
      <c r="EBG26" s="3"/>
      <c r="EBH26" s="3"/>
      <c r="EBI26" s="3"/>
      <c r="EBJ26" s="3"/>
      <c r="EBK26" s="3"/>
      <c r="EBL26" s="3"/>
      <c r="EBM26" s="3"/>
      <c r="EBN26" s="3"/>
      <c r="EBO26" s="3"/>
      <c r="EBP26" s="3"/>
      <c r="EBQ26" s="3"/>
      <c r="EBR26" s="3"/>
      <c r="EBS26" s="3"/>
      <c r="EBT26" s="3"/>
      <c r="EBU26" s="3"/>
      <c r="EBV26" s="3"/>
      <c r="EBW26" s="3"/>
      <c r="EBX26" s="3"/>
      <c r="EBY26" s="3"/>
      <c r="EBZ26" s="3"/>
      <c r="ECA26" s="3"/>
      <c r="ECB26" s="3"/>
      <c r="ECC26" s="3"/>
      <c r="ECD26" s="3"/>
      <c r="ECE26" s="3"/>
      <c r="ECF26" s="3"/>
      <c r="ECG26" s="3"/>
      <c r="ECH26" s="3"/>
      <c r="ECI26" s="3"/>
      <c r="ECJ26" s="3"/>
      <c r="ECK26" s="3"/>
      <c r="ECL26" s="3"/>
      <c r="ECM26" s="3"/>
      <c r="ECN26" s="3"/>
      <c r="ECO26" s="3"/>
      <c r="ECP26" s="3"/>
      <c r="ECQ26" s="3"/>
      <c r="ECR26" s="3"/>
      <c r="ECS26" s="3"/>
      <c r="ECT26" s="3"/>
      <c r="ECU26" s="3"/>
      <c r="ECV26" s="3"/>
      <c r="ECW26" s="3"/>
      <c r="ECX26" s="3"/>
      <c r="ECY26" s="3"/>
      <c r="ECZ26" s="3"/>
      <c r="EDA26" s="3"/>
      <c r="EDB26" s="3"/>
      <c r="EDC26" s="3"/>
      <c r="EDD26" s="3"/>
      <c r="EDE26" s="3"/>
      <c r="EDF26" s="3"/>
      <c r="EDG26" s="3"/>
      <c r="EDH26" s="3"/>
      <c r="EDI26" s="3"/>
      <c r="EDJ26" s="3"/>
      <c r="EDK26" s="3"/>
      <c r="EDL26" s="3"/>
      <c r="EDM26" s="3"/>
      <c r="EDN26" s="3"/>
      <c r="EDO26" s="3"/>
      <c r="EDP26" s="3"/>
      <c r="EDQ26" s="3"/>
      <c r="EDR26" s="3"/>
      <c r="EDS26" s="3"/>
      <c r="EDT26" s="3"/>
      <c r="EDU26" s="3"/>
      <c r="EDV26" s="3"/>
      <c r="EDW26" s="3"/>
      <c r="EDX26" s="3"/>
      <c r="EDY26" s="3"/>
      <c r="EDZ26" s="3"/>
      <c r="EEA26" s="3"/>
      <c r="EEB26" s="3"/>
      <c r="EEC26" s="3"/>
      <c r="EED26" s="3"/>
      <c r="EEE26" s="3"/>
      <c r="EEF26" s="3"/>
      <c r="EEG26" s="3"/>
      <c r="EEH26" s="3"/>
      <c r="EEI26" s="3"/>
      <c r="EEJ26" s="3"/>
      <c r="EEK26" s="3"/>
      <c r="EEL26" s="3"/>
      <c r="EEM26" s="3"/>
      <c r="EEN26" s="3"/>
      <c r="EEO26" s="3"/>
      <c r="EEP26" s="3"/>
      <c r="EEQ26" s="3"/>
      <c r="EER26" s="3"/>
      <c r="EES26" s="3"/>
      <c r="EET26" s="3"/>
      <c r="EEU26" s="3"/>
      <c r="EEV26" s="3"/>
      <c r="EEW26" s="3"/>
      <c r="EEX26" s="3"/>
      <c r="EEY26" s="3"/>
      <c r="EEZ26" s="3"/>
      <c r="EFA26" s="3"/>
      <c r="EFB26" s="3"/>
      <c r="EFC26" s="3"/>
      <c r="EFD26" s="3"/>
      <c r="EFE26" s="3"/>
      <c r="EFF26" s="3"/>
      <c r="EFG26" s="3"/>
      <c r="EFH26" s="3"/>
      <c r="EFI26" s="3"/>
      <c r="EFJ26" s="3"/>
      <c r="EFK26" s="3"/>
      <c r="EFL26" s="3"/>
      <c r="EFM26" s="3"/>
      <c r="EFN26" s="3"/>
      <c r="EFO26" s="3"/>
      <c r="EFP26" s="3"/>
      <c r="EFQ26" s="3"/>
      <c r="EFR26" s="3"/>
      <c r="EFS26" s="3"/>
      <c r="EFT26" s="3"/>
      <c r="EFU26" s="3"/>
      <c r="EFV26" s="3"/>
      <c r="EFW26" s="3"/>
      <c r="EFX26" s="3"/>
      <c r="EFY26" s="3"/>
      <c r="EFZ26" s="3"/>
      <c r="EGA26" s="3"/>
      <c r="EGB26" s="3"/>
      <c r="EGC26" s="3"/>
      <c r="EGD26" s="3"/>
      <c r="EGE26" s="3"/>
      <c r="EGF26" s="3"/>
      <c r="EGG26" s="3"/>
      <c r="EGH26" s="3"/>
      <c r="EGI26" s="3"/>
      <c r="EGJ26" s="3"/>
      <c r="EGK26" s="3"/>
      <c r="EGL26" s="3"/>
      <c r="EGM26" s="3"/>
      <c r="EGN26" s="3"/>
      <c r="EGO26" s="3"/>
      <c r="EGP26" s="3"/>
      <c r="EGQ26" s="3"/>
      <c r="EGR26" s="3"/>
      <c r="EGS26" s="3"/>
      <c r="EGT26" s="3"/>
      <c r="EGU26" s="3"/>
      <c r="EGV26" s="3"/>
      <c r="EGW26" s="3"/>
      <c r="EGX26" s="3"/>
      <c r="EGY26" s="3"/>
      <c r="EGZ26" s="3"/>
      <c r="EHA26" s="3"/>
      <c r="EHB26" s="3"/>
      <c r="EHC26" s="3"/>
      <c r="EHD26" s="3"/>
      <c r="EHE26" s="3"/>
      <c r="EHF26" s="3"/>
      <c r="EHG26" s="3"/>
      <c r="EHH26" s="3"/>
      <c r="EHI26" s="3"/>
      <c r="EHJ26" s="3"/>
      <c r="EHK26" s="3"/>
      <c r="EHL26" s="3"/>
      <c r="EHM26" s="3"/>
      <c r="EHN26" s="3"/>
      <c r="EHO26" s="3"/>
      <c r="EHP26" s="3"/>
      <c r="EHQ26" s="3"/>
      <c r="EHR26" s="3"/>
      <c r="EHS26" s="3"/>
      <c r="EHT26" s="3"/>
      <c r="EHU26" s="3"/>
      <c r="EHV26" s="3"/>
      <c r="EHW26" s="3"/>
      <c r="EHX26" s="3"/>
      <c r="EHY26" s="3"/>
      <c r="EHZ26" s="3"/>
      <c r="EIA26" s="3"/>
      <c r="EIB26" s="3"/>
      <c r="EIC26" s="3"/>
      <c r="EID26" s="3"/>
      <c r="EIE26" s="3"/>
      <c r="EIF26" s="3"/>
      <c r="EIG26" s="3"/>
      <c r="EIH26" s="3"/>
      <c r="EII26" s="3"/>
      <c r="EIJ26" s="3"/>
      <c r="EIK26" s="3"/>
      <c r="EIL26" s="3"/>
      <c r="EIM26" s="3"/>
      <c r="EIN26" s="3"/>
      <c r="EIO26" s="3"/>
      <c r="EIP26" s="3"/>
      <c r="EIQ26" s="3"/>
      <c r="EIR26" s="3"/>
      <c r="EIS26" s="3"/>
      <c r="EIT26" s="3"/>
      <c r="EIU26" s="3"/>
      <c r="EIV26" s="3"/>
      <c r="EIW26" s="3"/>
      <c r="EIX26" s="3"/>
      <c r="EIY26" s="3"/>
      <c r="EIZ26" s="3"/>
      <c r="EJA26" s="3"/>
      <c r="EJB26" s="3"/>
      <c r="EJC26" s="3"/>
      <c r="EJD26" s="3"/>
      <c r="EJE26" s="3"/>
      <c r="EJF26" s="3"/>
      <c r="EJG26" s="3"/>
      <c r="EJH26" s="3"/>
      <c r="EJI26" s="3"/>
      <c r="EJJ26" s="3"/>
      <c r="EJK26" s="3"/>
      <c r="EJL26" s="3"/>
      <c r="EJM26" s="3"/>
      <c r="EJN26" s="3"/>
      <c r="EJO26" s="3"/>
      <c r="EJP26" s="3"/>
      <c r="EJQ26" s="3"/>
      <c r="EJR26" s="3"/>
      <c r="EJS26" s="3"/>
      <c r="EJT26" s="3"/>
      <c r="EJU26" s="3"/>
      <c r="EJV26" s="3"/>
      <c r="EJW26" s="3"/>
      <c r="EJX26" s="3"/>
      <c r="EJY26" s="3"/>
      <c r="EJZ26" s="3"/>
      <c r="EKA26" s="3"/>
      <c r="EKB26" s="3"/>
      <c r="EKC26" s="3"/>
      <c r="EKD26" s="3"/>
      <c r="EKE26" s="3"/>
      <c r="EKF26" s="3"/>
      <c r="EKG26" s="3"/>
      <c r="EKH26" s="3"/>
      <c r="EKI26" s="3"/>
      <c r="EKJ26" s="3"/>
      <c r="EKK26" s="3"/>
      <c r="EKL26" s="3"/>
      <c r="EKM26" s="3"/>
      <c r="EKN26" s="3"/>
      <c r="EKO26" s="3"/>
      <c r="EKP26" s="3"/>
      <c r="EKQ26" s="3"/>
      <c r="EKR26" s="3"/>
      <c r="EKS26" s="3"/>
      <c r="EKT26" s="3"/>
      <c r="EKU26" s="3"/>
      <c r="EKV26" s="3"/>
      <c r="EKW26" s="3"/>
      <c r="EKX26" s="3"/>
      <c r="EKY26" s="3"/>
      <c r="EKZ26" s="3"/>
      <c r="ELA26" s="3"/>
      <c r="ELB26" s="3"/>
      <c r="ELC26" s="3"/>
      <c r="ELD26" s="3"/>
      <c r="ELE26" s="3"/>
      <c r="ELF26" s="3"/>
      <c r="ELG26" s="3"/>
      <c r="ELH26" s="3"/>
      <c r="ELI26" s="3"/>
      <c r="ELJ26" s="3"/>
      <c r="ELK26" s="3"/>
      <c r="ELL26" s="3"/>
      <c r="ELM26" s="3"/>
      <c r="ELN26" s="3"/>
      <c r="ELO26" s="3"/>
      <c r="ELP26" s="3"/>
      <c r="ELQ26" s="3"/>
      <c r="ELR26" s="3"/>
      <c r="ELS26" s="3"/>
      <c r="ELT26" s="3"/>
      <c r="ELU26" s="3"/>
      <c r="ELV26" s="3"/>
      <c r="ELW26" s="3"/>
      <c r="ELX26" s="3"/>
      <c r="ELY26" s="3"/>
      <c r="ELZ26" s="3"/>
      <c r="EMA26" s="3"/>
      <c r="EMB26" s="3"/>
      <c r="EMC26" s="3"/>
      <c r="EMD26" s="3"/>
      <c r="EME26" s="3"/>
      <c r="EMF26" s="3"/>
      <c r="EMG26" s="3"/>
      <c r="EMH26" s="3"/>
      <c r="EMI26" s="3"/>
      <c r="EMJ26" s="3"/>
      <c r="EMK26" s="3"/>
      <c r="EML26" s="3"/>
      <c r="EMM26" s="3"/>
      <c r="EMN26" s="3"/>
      <c r="EMO26" s="3"/>
      <c r="EMP26" s="3"/>
      <c r="EMQ26" s="3"/>
      <c r="EMR26" s="3"/>
      <c r="EMS26" s="3"/>
      <c r="EMT26" s="3"/>
      <c r="EMU26" s="3"/>
      <c r="EMV26" s="3"/>
      <c r="EMW26" s="3"/>
      <c r="EMX26" s="3"/>
      <c r="EMY26" s="3"/>
      <c r="EMZ26" s="3"/>
      <c r="ENA26" s="3"/>
      <c r="ENB26" s="3"/>
      <c r="ENC26" s="3"/>
      <c r="END26" s="3"/>
      <c r="ENE26" s="3"/>
      <c r="ENF26" s="3"/>
      <c r="ENG26" s="3"/>
      <c r="ENH26" s="3"/>
      <c r="ENI26" s="3"/>
      <c r="ENJ26" s="3"/>
      <c r="ENK26" s="3"/>
      <c r="ENL26" s="3"/>
      <c r="ENM26" s="3"/>
      <c r="ENN26" s="3"/>
      <c r="ENO26" s="3"/>
      <c r="ENP26" s="3"/>
      <c r="ENQ26" s="3"/>
      <c r="ENR26" s="3"/>
      <c r="ENS26" s="3"/>
      <c r="ENT26" s="3"/>
      <c r="ENU26" s="3"/>
      <c r="ENV26" s="3"/>
      <c r="ENW26" s="3"/>
      <c r="ENX26" s="3"/>
      <c r="ENY26" s="3"/>
      <c r="ENZ26" s="3"/>
      <c r="EOA26" s="3"/>
      <c r="EOB26" s="3"/>
      <c r="EOC26" s="3"/>
      <c r="EOD26" s="3"/>
      <c r="EOE26" s="3"/>
      <c r="EOF26" s="3"/>
      <c r="EOG26" s="3"/>
      <c r="EOH26" s="3"/>
      <c r="EOI26" s="3"/>
      <c r="EOJ26" s="3"/>
      <c r="EOK26" s="3"/>
      <c r="EOL26" s="3"/>
      <c r="EOM26" s="3"/>
      <c r="EON26" s="3"/>
      <c r="EOO26" s="3"/>
      <c r="EOP26" s="3"/>
      <c r="EOQ26" s="3"/>
      <c r="EOR26" s="3"/>
      <c r="EOS26" s="3"/>
      <c r="EOT26" s="3"/>
      <c r="EOU26" s="3"/>
      <c r="EOV26" s="3"/>
      <c r="EOW26" s="3"/>
      <c r="EOX26" s="3"/>
      <c r="EOY26" s="3"/>
      <c r="EOZ26" s="3"/>
      <c r="EPA26" s="3"/>
      <c r="EPB26" s="3"/>
      <c r="EPC26" s="3"/>
      <c r="EPD26" s="3"/>
      <c r="EPE26" s="3"/>
      <c r="EPF26" s="3"/>
      <c r="EPG26" s="3"/>
      <c r="EPH26" s="3"/>
      <c r="EPI26" s="3"/>
      <c r="EPJ26" s="3"/>
      <c r="EPK26" s="3"/>
      <c r="EPL26" s="3"/>
      <c r="EPM26" s="3"/>
      <c r="EPN26" s="3"/>
      <c r="EPO26" s="3"/>
      <c r="EPP26" s="3"/>
      <c r="EPQ26" s="3"/>
      <c r="EPR26" s="3"/>
      <c r="EPS26" s="3"/>
      <c r="EPT26" s="3"/>
      <c r="EPU26" s="3"/>
      <c r="EPV26" s="3"/>
      <c r="EPW26" s="3"/>
      <c r="EPX26" s="3"/>
      <c r="EPY26" s="3"/>
      <c r="EPZ26" s="3"/>
      <c r="EQA26" s="3"/>
      <c r="EQB26" s="3"/>
      <c r="EQC26" s="3"/>
      <c r="EQD26" s="3"/>
      <c r="EQE26" s="3"/>
      <c r="EQF26" s="3"/>
      <c r="EQG26" s="3"/>
      <c r="EQH26" s="3"/>
      <c r="EQI26" s="3"/>
      <c r="EQJ26" s="3"/>
      <c r="EQK26" s="3"/>
      <c r="EQL26" s="3"/>
      <c r="EQM26" s="3"/>
      <c r="EQN26" s="3"/>
      <c r="EQO26" s="3"/>
      <c r="EQP26" s="3"/>
      <c r="EQQ26" s="3"/>
      <c r="EQR26" s="3"/>
      <c r="EQS26" s="3"/>
      <c r="EQT26" s="3"/>
      <c r="EQU26" s="3"/>
      <c r="EQV26" s="3"/>
      <c r="EQW26" s="3"/>
      <c r="EQX26" s="3"/>
      <c r="EQY26" s="3"/>
      <c r="EQZ26" s="3"/>
      <c r="ERA26" s="3"/>
      <c r="ERB26" s="3"/>
      <c r="ERC26" s="3"/>
      <c r="ERD26" s="3"/>
      <c r="ERE26" s="3"/>
      <c r="ERF26" s="3"/>
      <c r="ERG26" s="3"/>
      <c r="ERH26" s="3"/>
      <c r="ERI26" s="3"/>
      <c r="ERJ26" s="3"/>
      <c r="ERK26" s="3"/>
      <c r="ERL26" s="3"/>
      <c r="ERM26" s="3"/>
      <c r="ERN26" s="3"/>
      <c r="ERO26" s="3"/>
      <c r="ERP26" s="3"/>
      <c r="ERQ26" s="3"/>
      <c r="ERR26" s="3"/>
      <c r="ERS26" s="3"/>
      <c r="ERT26" s="3"/>
      <c r="ERU26" s="3"/>
      <c r="ERV26" s="3"/>
      <c r="ERW26" s="3"/>
      <c r="ERX26" s="3"/>
      <c r="ERY26" s="3"/>
      <c r="ERZ26" s="3"/>
      <c r="ESA26" s="3"/>
      <c r="ESB26" s="3"/>
      <c r="ESC26" s="3"/>
      <c r="ESD26" s="3"/>
      <c r="ESE26" s="3"/>
      <c r="ESF26" s="3"/>
      <c r="ESG26" s="3"/>
      <c r="ESH26" s="3"/>
      <c r="ESI26" s="3"/>
      <c r="ESJ26" s="3"/>
      <c r="ESK26" s="3"/>
      <c r="ESL26" s="3"/>
      <c r="ESM26" s="3"/>
      <c r="ESN26" s="3"/>
      <c r="ESO26" s="3"/>
      <c r="ESP26" s="3"/>
      <c r="ESQ26" s="3"/>
      <c r="ESR26" s="3"/>
      <c r="ESS26" s="3"/>
      <c r="EST26" s="3"/>
      <c r="ESU26" s="3"/>
      <c r="ESV26" s="3"/>
      <c r="ESW26" s="3"/>
      <c r="ESX26" s="3"/>
      <c r="ESY26" s="3"/>
      <c r="ESZ26" s="3"/>
      <c r="ETA26" s="3"/>
      <c r="ETB26" s="3"/>
      <c r="ETC26" s="3"/>
      <c r="ETD26" s="3"/>
      <c r="ETE26" s="3"/>
      <c r="ETF26" s="3"/>
      <c r="ETG26" s="3"/>
      <c r="ETH26" s="3"/>
      <c r="ETI26" s="3"/>
      <c r="ETJ26" s="3"/>
      <c r="ETK26" s="3"/>
      <c r="ETL26" s="3"/>
      <c r="ETM26" s="3"/>
      <c r="ETN26" s="3"/>
      <c r="ETO26" s="3"/>
      <c r="ETP26" s="3"/>
      <c r="ETQ26" s="3"/>
      <c r="ETR26" s="3"/>
      <c r="ETS26" s="3"/>
      <c r="ETT26" s="3"/>
      <c r="ETU26" s="3"/>
      <c r="ETV26" s="3"/>
      <c r="ETW26" s="3"/>
      <c r="ETX26" s="3"/>
      <c r="ETY26" s="3"/>
      <c r="ETZ26" s="3"/>
      <c r="EUA26" s="3"/>
      <c r="EUB26" s="3"/>
      <c r="EUC26" s="3"/>
      <c r="EUD26" s="3"/>
      <c r="EUE26" s="3"/>
      <c r="EUF26" s="3"/>
      <c r="EUG26" s="3"/>
      <c r="EUH26" s="3"/>
      <c r="EUI26" s="3"/>
      <c r="EUJ26" s="3"/>
      <c r="EUK26" s="3"/>
      <c r="EUL26" s="3"/>
      <c r="EUM26" s="3"/>
      <c r="EUN26" s="3"/>
      <c r="EUO26" s="3"/>
      <c r="EUP26" s="3"/>
      <c r="EUQ26" s="3"/>
      <c r="EUR26" s="3"/>
      <c r="EUS26" s="3"/>
      <c r="EUT26" s="3"/>
      <c r="EUU26" s="3"/>
      <c r="EUV26" s="3"/>
      <c r="EUW26" s="3"/>
      <c r="EUX26" s="3"/>
      <c r="EUY26" s="3"/>
      <c r="EUZ26" s="3"/>
      <c r="EVA26" s="3"/>
      <c r="EVB26" s="3"/>
      <c r="EVC26" s="3"/>
      <c r="EVD26" s="3"/>
      <c r="EVE26" s="3"/>
      <c r="EVF26" s="3"/>
      <c r="EVG26" s="3"/>
      <c r="EVH26" s="3"/>
      <c r="EVI26" s="3"/>
      <c r="EVJ26" s="3"/>
      <c r="EVK26" s="3"/>
      <c r="EVL26" s="3"/>
      <c r="EVM26" s="3"/>
      <c r="EVN26" s="3"/>
      <c r="EVO26" s="3"/>
      <c r="EVP26" s="3"/>
      <c r="EVQ26" s="3"/>
      <c r="EVR26" s="3"/>
      <c r="EVS26" s="3"/>
      <c r="EVT26" s="3"/>
      <c r="EVU26" s="3"/>
      <c r="EVV26" s="3"/>
      <c r="EVW26" s="3"/>
      <c r="EVX26" s="3"/>
      <c r="EVY26" s="3"/>
      <c r="EVZ26" s="3"/>
      <c r="EWA26" s="3"/>
      <c r="EWB26" s="3"/>
      <c r="EWC26" s="3"/>
      <c r="EWD26" s="3"/>
      <c r="EWE26" s="3"/>
      <c r="EWF26" s="3"/>
      <c r="EWG26" s="3"/>
      <c r="EWH26" s="3"/>
      <c r="EWI26" s="3"/>
      <c r="EWJ26" s="3"/>
      <c r="EWK26" s="3"/>
      <c r="EWL26" s="3"/>
      <c r="EWM26" s="3"/>
      <c r="EWN26" s="3"/>
      <c r="EWO26" s="3"/>
      <c r="EWP26" s="3"/>
      <c r="EWQ26" s="3"/>
      <c r="EWR26" s="3"/>
      <c r="EWS26" s="3"/>
      <c r="EWT26" s="3"/>
      <c r="EWU26" s="3"/>
      <c r="EWV26" s="3"/>
      <c r="EWW26" s="3"/>
      <c r="EWX26" s="3"/>
      <c r="EWY26" s="3"/>
      <c r="EWZ26" s="3"/>
      <c r="EXA26" s="3"/>
      <c r="EXB26" s="3"/>
      <c r="EXC26" s="3"/>
      <c r="EXD26" s="3"/>
      <c r="EXE26" s="3"/>
      <c r="EXF26" s="3"/>
      <c r="EXG26" s="3"/>
      <c r="EXH26" s="3"/>
      <c r="EXI26" s="3"/>
      <c r="EXJ26" s="3"/>
      <c r="EXK26" s="3"/>
      <c r="EXL26" s="3"/>
      <c r="EXM26" s="3"/>
      <c r="EXN26" s="3"/>
      <c r="EXO26" s="3"/>
      <c r="EXP26" s="3"/>
      <c r="EXQ26" s="3"/>
      <c r="EXR26" s="3"/>
      <c r="EXS26" s="3"/>
      <c r="EXT26" s="3"/>
      <c r="EXU26" s="3"/>
      <c r="EXV26" s="3"/>
      <c r="EXW26" s="3"/>
      <c r="EXX26" s="3"/>
      <c r="EXY26" s="3"/>
      <c r="EXZ26" s="3"/>
      <c r="EYA26" s="3"/>
      <c r="EYB26" s="3"/>
      <c r="EYC26" s="3"/>
      <c r="EYD26" s="3"/>
      <c r="EYE26" s="3"/>
      <c r="EYF26" s="3"/>
      <c r="EYG26" s="3"/>
      <c r="EYH26" s="3"/>
      <c r="EYI26" s="3"/>
      <c r="EYJ26" s="3"/>
      <c r="EYK26" s="3"/>
      <c r="EYL26" s="3"/>
      <c r="EYM26" s="3"/>
      <c r="EYN26" s="3"/>
      <c r="EYO26" s="3"/>
      <c r="EYP26" s="3"/>
      <c r="EYQ26" s="3"/>
      <c r="EYR26" s="3"/>
      <c r="EYS26" s="3"/>
      <c r="EYT26" s="3"/>
      <c r="EYU26" s="3"/>
      <c r="EYV26" s="3"/>
      <c r="EYW26" s="3"/>
      <c r="EYX26" s="3"/>
      <c r="EYY26" s="3"/>
      <c r="EYZ26" s="3"/>
      <c r="EZA26" s="3"/>
      <c r="EZB26" s="3"/>
      <c r="EZC26" s="3"/>
      <c r="EZD26" s="3"/>
      <c r="EZE26" s="3"/>
      <c r="EZF26" s="3"/>
      <c r="EZG26" s="3"/>
      <c r="EZH26" s="3"/>
      <c r="EZI26" s="3"/>
      <c r="EZJ26" s="3"/>
      <c r="EZK26" s="3"/>
      <c r="EZL26" s="3"/>
      <c r="EZM26" s="3"/>
      <c r="EZN26" s="3"/>
      <c r="EZO26" s="3"/>
      <c r="EZP26" s="3"/>
      <c r="EZQ26" s="3"/>
      <c r="EZR26" s="3"/>
      <c r="EZS26" s="3"/>
      <c r="EZT26" s="3"/>
      <c r="EZU26" s="3"/>
      <c r="EZV26" s="3"/>
      <c r="EZW26" s="3"/>
      <c r="EZX26" s="3"/>
      <c r="EZY26" s="3"/>
      <c r="EZZ26" s="3"/>
      <c r="FAA26" s="3"/>
      <c r="FAB26" s="3"/>
      <c r="FAC26" s="3"/>
      <c r="FAD26" s="3"/>
      <c r="FAE26" s="3"/>
      <c r="FAF26" s="3"/>
      <c r="FAG26" s="3"/>
      <c r="FAH26" s="3"/>
      <c r="FAI26" s="3"/>
      <c r="FAJ26" s="3"/>
      <c r="FAK26" s="3"/>
      <c r="FAL26" s="3"/>
      <c r="FAM26" s="3"/>
      <c r="FAN26" s="3"/>
      <c r="FAO26" s="3"/>
      <c r="FAP26" s="3"/>
      <c r="FAQ26" s="3"/>
      <c r="FAR26" s="3"/>
      <c r="FAS26" s="3"/>
      <c r="FAT26" s="3"/>
      <c r="FAU26" s="3"/>
      <c r="FAV26" s="3"/>
      <c r="FAW26" s="3"/>
      <c r="FAX26" s="3"/>
      <c r="FAY26" s="3"/>
      <c r="FAZ26" s="3"/>
      <c r="FBA26" s="3"/>
      <c r="FBB26" s="3"/>
      <c r="FBC26" s="3"/>
      <c r="FBD26" s="3"/>
      <c r="FBE26" s="3"/>
      <c r="FBF26" s="3"/>
      <c r="FBG26" s="3"/>
      <c r="FBH26" s="3"/>
      <c r="FBI26" s="3"/>
      <c r="FBJ26" s="3"/>
      <c r="FBK26" s="3"/>
      <c r="FBL26" s="3"/>
      <c r="FBM26" s="3"/>
      <c r="FBN26" s="3"/>
      <c r="FBO26" s="3"/>
      <c r="FBP26" s="3"/>
      <c r="FBQ26" s="3"/>
      <c r="FBR26" s="3"/>
      <c r="FBS26" s="3"/>
      <c r="FBT26" s="3"/>
      <c r="FBU26" s="3"/>
      <c r="FBV26" s="3"/>
      <c r="FBW26" s="3"/>
      <c r="FBX26" s="3"/>
      <c r="FBY26" s="3"/>
      <c r="FBZ26" s="3"/>
      <c r="FCA26" s="3"/>
      <c r="FCB26" s="3"/>
      <c r="FCC26" s="3"/>
      <c r="FCD26" s="3"/>
      <c r="FCE26" s="3"/>
      <c r="FCF26" s="3"/>
      <c r="FCG26" s="3"/>
      <c r="FCH26" s="3"/>
      <c r="FCI26" s="3"/>
      <c r="FCJ26" s="3"/>
      <c r="FCK26" s="3"/>
      <c r="FCL26" s="3"/>
      <c r="FCM26" s="3"/>
      <c r="FCN26" s="3"/>
      <c r="FCO26" s="3"/>
      <c r="FCP26" s="3"/>
      <c r="FCQ26" s="3"/>
      <c r="FCR26" s="3"/>
      <c r="FCS26" s="3"/>
      <c r="FCT26" s="3"/>
      <c r="FCU26" s="3"/>
      <c r="FCV26" s="3"/>
      <c r="FCW26" s="3"/>
      <c r="FCX26" s="3"/>
      <c r="FCY26" s="3"/>
      <c r="FCZ26" s="3"/>
      <c r="FDA26" s="3"/>
      <c r="FDB26" s="3"/>
      <c r="FDC26" s="3"/>
      <c r="FDD26" s="3"/>
      <c r="FDE26" s="3"/>
      <c r="FDF26" s="3"/>
      <c r="FDG26" s="3"/>
      <c r="FDH26" s="3"/>
      <c r="FDI26" s="3"/>
      <c r="FDJ26" s="3"/>
      <c r="FDK26" s="3"/>
      <c r="FDL26" s="3"/>
      <c r="FDM26" s="3"/>
      <c r="FDN26" s="3"/>
      <c r="FDO26" s="3"/>
      <c r="FDP26" s="3"/>
      <c r="FDQ26" s="3"/>
      <c r="FDR26" s="3"/>
      <c r="FDS26" s="3"/>
      <c r="FDT26" s="3"/>
      <c r="FDU26" s="3"/>
      <c r="FDV26" s="3"/>
      <c r="FDW26" s="3"/>
      <c r="FDX26" s="3"/>
      <c r="FDY26" s="3"/>
      <c r="FDZ26" s="3"/>
      <c r="FEA26" s="3"/>
      <c r="FEB26" s="3"/>
      <c r="FEC26" s="3"/>
      <c r="FED26" s="3"/>
      <c r="FEE26" s="3"/>
      <c r="FEF26" s="3"/>
      <c r="FEG26" s="3"/>
      <c r="FEH26" s="3"/>
      <c r="FEI26" s="3"/>
      <c r="FEJ26" s="3"/>
      <c r="FEK26" s="3"/>
      <c r="FEL26" s="3"/>
      <c r="FEM26" s="3"/>
      <c r="FEN26" s="3"/>
      <c r="FEO26" s="3"/>
      <c r="FEP26" s="3"/>
      <c r="FEQ26" s="3"/>
      <c r="FER26" s="3"/>
      <c r="FES26" s="3"/>
      <c r="FET26" s="3"/>
      <c r="FEU26" s="3"/>
      <c r="FEV26" s="3"/>
      <c r="FEW26" s="3"/>
      <c r="FEX26" s="3"/>
      <c r="FEY26" s="3"/>
      <c r="FEZ26" s="3"/>
      <c r="FFA26" s="3"/>
      <c r="FFB26" s="3"/>
      <c r="FFC26" s="3"/>
      <c r="FFD26" s="3"/>
      <c r="FFE26" s="3"/>
      <c r="FFF26" s="3"/>
      <c r="FFG26" s="3"/>
      <c r="FFH26" s="3"/>
      <c r="FFI26" s="3"/>
      <c r="FFJ26" s="3"/>
      <c r="FFK26" s="3"/>
      <c r="FFL26" s="3"/>
      <c r="FFM26" s="3"/>
      <c r="FFN26" s="3"/>
      <c r="FFO26" s="3"/>
      <c r="FFP26" s="3"/>
      <c r="FFQ26" s="3"/>
      <c r="FFR26" s="3"/>
      <c r="FFS26" s="3"/>
      <c r="FFT26" s="3"/>
      <c r="FFU26" s="3"/>
      <c r="FFV26" s="3"/>
      <c r="FFW26" s="3"/>
      <c r="FFX26" s="3"/>
      <c r="FFY26" s="3"/>
      <c r="FFZ26" s="3"/>
      <c r="FGA26" s="3"/>
      <c r="FGB26" s="3"/>
      <c r="FGC26" s="3"/>
      <c r="FGD26" s="3"/>
      <c r="FGE26" s="3"/>
      <c r="FGF26" s="3"/>
      <c r="FGG26" s="3"/>
      <c r="FGH26" s="3"/>
      <c r="FGI26" s="3"/>
      <c r="FGJ26" s="3"/>
      <c r="FGK26" s="3"/>
      <c r="FGL26" s="3"/>
      <c r="FGM26" s="3"/>
      <c r="FGN26" s="3"/>
      <c r="FGO26" s="3"/>
      <c r="FGP26" s="3"/>
      <c r="FGQ26" s="3"/>
      <c r="FGR26" s="3"/>
      <c r="FGS26" s="3"/>
      <c r="FGT26" s="3"/>
      <c r="FGU26" s="3"/>
      <c r="FGV26" s="3"/>
      <c r="FGW26" s="3"/>
      <c r="FGX26" s="3"/>
      <c r="FGY26" s="3"/>
      <c r="FGZ26" s="3"/>
      <c r="FHA26" s="3"/>
      <c r="FHB26" s="3"/>
      <c r="FHC26" s="3"/>
      <c r="FHD26" s="3"/>
      <c r="FHE26" s="3"/>
      <c r="FHF26" s="3"/>
      <c r="FHG26" s="3"/>
      <c r="FHH26" s="3"/>
      <c r="FHI26" s="3"/>
      <c r="FHJ26" s="3"/>
      <c r="FHK26" s="3"/>
      <c r="FHL26" s="3"/>
      <c r="FHM26" s="3"/>
      <c r="FHN26" s="3"/>
      <c r="FHO26" s="3"/>
      <c r="FHP26" s="3"/>
      <c r="FHQ26" s="3"/>
      <c r="FHR26" s="3"/>
      <c r="FHS26" s="3"/>
      <c r="FHT26" s="3"/>
      <c r="FHU26" s="3"/>
      <c r="FHV26" s="3"/>
      <c r="FHW26" s="3"/>
      <c r="FHX26" s="3"/>
      <c r="FHY26" s="3"/>
      <c r="FHZ26" s="3"/>
      <c r="FIA26" s="3"/>
      <c r="FIB26" s="3"/>
      <c r="FIC26" s="3"/>
      <c r="FID26" s="3"/>
      <c r="FIE26" s="3"/>
      <c r="FIF26" s="3"/>
      <c r="FIG26" s="3"/>
      <c r="FIH26" s="3"/>
      <c r="FII26" s="3"/>
      <c r="FIJ26" s="3"/>
      <c r="FIK26" s="3"/>
      <c r="FIL26" s="3"/>
      <c r="FIM26" s="3"/>
      <c r="FIN26" s="3"/>
      <c r="FIO26" s="3"/>
      <c r="FIP26" s="3"/>
      <c r="FIQ26" s="3"/>
      <c r="FIR26" s="3"/>
      <c r="FIS26" s="3"/>
      <c r="FIT26" s="3"/>
      <c r="FIU26" s="3"/>
      <c r="FIV26" s="3"/>
      <c r="FIW26" s="3"/>
      <c r="FIX26" s="3"/>
      <c r="FIY26" s="3"/>
      <c r="FIZ26" s="3"/>
      <c r="FJA26" s="3"/>
      <c r="FJB26" s="3"/>
      <c r="FJC26" s="3"/>
      <c r="FJD26" s="3"/>
      <c r="FJE26" s="3"/>
      <c r="FJF26" s="3"/>
      <c r="FJG26" s="3"/>
      <c r="FJH26" s="3"/>
      <c r="FJI26" s="3"/>
      <c r="FJJ26" s="3"/>
      <c r="FJK26" s="3"/>
      <c r="FJL26" s="3"/>
      <c r="FJM26" s="3"/>
      <c r="FJN26" s="3"/>
      <c r="FJO26" s="3"/>
      <c r="FJP26" s="3"/>
      <c r="FJQ26" s="3"/>
      <c r="FJR26" s="3"/>
      <c r="FJS26" s="3"/>
      <c r="FJT26" s="3"/>
      <c r="FJU26" s="3"/>
      <c r="FJV26" s="3"/>
      <c r="FJW26" s="3"/>
      <c r="FJX26" s="3"/>
      <c r="FJY26" s="3"/>
      <c r="FJZ26" s="3"/>
      <c r="FKA26" s="3"/>
      <c r="FKB26" s="3"/>
      <c r="FKC26" s="3"/>
      <c r="FKD26" s="3"/>
      <c r="FKE26" s="3"/>
      <c r="FKF26" s="3"/>
      <c r="FKG26" s="3"/>
      <c r="FKH26" s="3"/>
      <c r="FKI26" s="3"/>
      <c r="FKJ26" s="3"/>
      <c r="FKK26" s="3"/>
      <c r="FKL26" s="3"/>
      <c r="FKM26" s="3"/>
      <c r="FKN26" s="3"/>
      <c r="FKO26" s="3"/>
      <c r="FKP26" s="3"/>
      <c r="FKQ26" s="3"/>
      <c r="FKR26" s="3"/>
      <c r="FKS26" s="3"/>
      <c r="FKT26" s="3"/>
      <c r="FKU26" s="3"/>
      <c r="FKV26" s="3"/>
      <c r="FKW26" s="3"/>
      <c r="FKX26" s="3"/>
      <c r="FKY26" s="3"/>
      <c r="FKZ26" s="3"/>
      <c r="FLA26" s="3"/>
      <c r="FLB26" s="3"/>
      <c r="FLC26" s="3"/>
      <c r="FLD26" s="3"/>
      <c r="FLE26" s="3"/>
      <c r="FLF26" s="3"/>
      <c r="FLG26" s="3"/>
      <c r="FLH26" s="3"/>
      <c r="FLI26" s="3"/>
      <c r="FLJ26" s="3"/>
      <c r="FLK26" s="3"/>
      <c r="FLL26" s="3"/>
      <c r="FLM26" s="3"/>
      <c r="FLN26" s="3"/>
      <c r="FLO26" s="3"/>
      <c r="FLP26" s="3"/>
      <c r="FLQ26" s="3"/>
      <c r="FLR26" s="3"/>
      <c r="FLS26" s="3"/>
      <c r="FLT26" s="3"/>
      <c r="FLU26" s="3"/>
      <c r="FLV26" s="3"/>
      <c r="FLW26" s="3"/>
      <c r="FLX26" s="3"/>
      <c r="FLY26" s="3"/>
      <c r="FLZ26" s="3"/>
      <c r="FMA26" s="3"/>
      <c r="FMB26" s="3"/>
      <c r="FMC26" s="3"/>
      <c r="FMD26" s="3"/>
      <c r="FME26" s="3"/>
      <c r="FMF26" s="3"/>
      <c r="FMG26" s="3"/>
      <c r="FMH26" s="3"/>
      <c r="FMI26" s="3"/>
      <c r="FMJ26" s="3"/>
      <c r="FMK26" s="3"/>
      <c r="FML26" s="3"/>
      <c r="FMM26" s="3"/>
      <c r="FMN26" s="3"/>
      <c r="FMO26" s="3"/>
      <c r="FMP26" s="3"/>
      <c r="FMQ26" s="3"/>
      <c r="FMR26" s="3"/>
      <c r="FMS26" s="3"/>
      <c r="FMT26" s="3"/>
      <c r="FMU26" s="3"/>
      <c r="FMV26" s="3"/>
      <c r="FMW26" s="3"/>
      <c r="FMX26" s="3"/>
      <c r="FMY26" s="3"/>
      <c r="FMZ26" s="3"/>
      <c r="FNA26" s="3"/>
      <c r="FNB26" s="3"/>
      <c r="FNC26" s="3"/>
      <c r="FND26" s="3"/>
      <c r="FNE26" s="3"/>
      <c r="FNF26" s="3"/>
      <c r="FNG26" s="3"/>
      <c r="FNH26" s="3"/>
      <c r="FNI26" s="3"/>
      <c r="FNJ26" s="3"/>
      <c r="FNK26" s="3"/>
      <c r="FNL26" s="3"/>
      <c r="FNM26" s="3"/>
      <c r="FNN26" s="3"/>
      <c r="FNO26" s="3"/>
      <c r="FNP26" s="3"/>
      <c r="FNQ26" s="3"/>
      <c r="FNR26" s="3"/>
      <c r="FNS26" s="3"/>
      <c r="FNT26" s="3"/>
      <c r="FNU26" s="3"/>
      <c r="FNV26" s="3"/>
      <c r="FNW26" s="3"/>
      <c r="FNX26" s="3"/>
      <c r="FNY26" s="3"/>
      <c r="FNZ26" s="3"/>
      <c r="FOA26" s="3"/>
      <c r="FOB26" s="3"/>
      <c r="FOC26" s="3"/>
      <c r="FOD26" s="3"/>
      <c r="FOE26" s="3"/>
      <c r="FOF26" s="3"/>
      <c r="FOG26" s="3"/>
      <c r="FOH26" s="3"/>
      <c r="FOI26" s="3"/>
      <c r="FOJ26" s="3"/>
      <c r="FOK26" s="3"/>
      <c r="FOL26" s="3"/>
      <c r="FOM26" s="3"/>
      <c r="FON26" s="3"/>
      <c r="FOO26" s="3"/>
      <c r="FOP26" s="3"/>
      <c r="FOQ26" s="3"/>
      <c r="FOR26" s="3"/>
      <c r="FOS26" s="3"/>
      <c r="FOT26" s="3"/>
      <c r="FOU26" s="3"/>
      <c r="FOV26" s="3"/>
      <c r="FOW26" s="3"/>
      <c r="FOX26" s="3"/>
      <c r="FOY26" s="3"/>
      <c r="FOZ26" s="3"/>
      <c r="FPA26" s="3"/>
      <c r="FPB26" s="3"/>
      <c r="FPC26" s="3"/>
      <c r="FPD26" s="3"/>
      <c r="FPE26" s="3"/>
      <c r="FPF26" s="3"/>
      <c r="FPG26" s="3"/>
      <c r="FPH26" s="3"/>
      <c r="FPI26" s="3"/>
      <c r="FPJ26" s="3"/>
      <c r="FPK26" s="3"/>
      <c r="FPL26" s="3"/>
      <c r="FPM26" s="3"/>
      <c r="FPN26" s="3"/>
      <c r="FPO26" s="3"/>
      <c r="FPP26" s="3"/>
      <c r="FPQ26" s="3"/>
      <c r="FPR26" s="3"/>
      <c r="FPS26" s="3"/>
      <c r="FPT26" s="3"/>
      <c r="FPU26" s="3"/>
      <c r="FPV26" s="3"/>
      <c r="FPW26" s="3"/>
      <c r="FPX26" s="3"/>
      <c r="FPY26" s="3"/>
      <c r="FPZ26" s="3"/>
      <c r="FQA26" s="3"/>
      <c r="FQB26" s="3"/>
      <c r="FQC26" s="3"/>
      <c r="FQD26" s="3"/>
      <c r="FQE26" s="3"/>
      <c r="FQF26" s="3"/>
      <c r="FQG26" s="3"/>
      <c r="FQH26" s="3"/>
      <c r="FQI26" s="3"/>
      <c r="FQJ26" s="3"/>
      <c r="FQK26" s="3"/>
      <c r="FQL26" s="3"/>
      <c r="FQM26" s="3"/>
      <c r="FQN26" s="3"/>
      <c r="FQO26" s="3"/>
      <c r="FQP26" s="3"/>
      <c r="FQQ26" s="3"/>
      <c r="FQR26" s="3"/>
      <c r="FQS26" s="3"/>
      <c r="FQT26" s="3"/>
      <c r="FQU26" s="3"/>
      <c r="FQV26" s="3"/>
      <c r="FQW26" s="3"/>
      <c r="FQX26" s="3"/>
      <c r="FQY26" s="3"/>
      <c r="FQZ26" s="3"/>
      <c r="FRA26" s="3"/>
      <c r="FRB26" s="3"/>
      <c r="FRC26" s="3"/>
      <c r="FRD26" s="3"/>
      <c r="FRE26" s="3"/>
      <c r="FRF26" s="3"/>
      <c r="FRG26" s="3"/>
      <c r="FRH26" s="3"/>
      <c r="FRI26" s="3"/>
      <c r="FRJ26" s="3"/>
      <c r="FRK26" s="3"/>
      <c r="FRL26" s="3"/>
      <c r="FRM26" s="3"/>
      <c r="FRN26" s="3"/>
      <c r="FRO26" s="3"/>
      <c r="FRP26" s="3"/>
      <c r="FRQ26" s="3"/>
      <c r="FRR26" s="3"/>
      <c r="FRS26" s="3"/>
      <c r="FRT26" s="3"/>
      <c r="FRU26" s="3"/>
      <c r="FRV26" s="3"/>
      <c r="FRW26" s="3"/>
      <c r="FRX26" s="3"/>
      <c r="FRY26" s="3"/>
      <c r="FRZ26" s="3"/>
      <c r="FSA26" s="3"/>
      <c r="FSB26" s="3"/>
      <c r="FSC26" s="3"/>
      <c r="FSD26" s="3"/>
      <c r="FSE26" s="3"/>
      <c r="FSF26" s="3"/>
      <c r="FSG26" s="3"/>
      <c r="FSH26" s="3"/>
      <c r="FSI26" s="3"/>
      <c r="FSJ26" s="3"/>
      <c r="FSK26" s="3"/>
      <c r="FSL26" s="3"/>
      <c r="FSM26" s="3"/>
      <c r="FSN26" s="3"/>
      <c r="FSO26" s="3"/>
      <c r="FSP26" s="3"/>
      <c r="FSQ26" s="3"/>
      <c r="FSR26" s="3"/>
      <c r="FSS26" s="3"/>
      <c r="FST26" s="3"/>
      <c r="FSU26" s="3"/>
      <c r="FSV26" s="3"/>
      <c r="FSW26" s="3"/>
      <c r="FSX26" s="3"/>
      <c r="FSY26" s="3"/>
      <c r="FSZ26" s="3"/>
      <c r="FTA26" s="3"/>
      <c r="FTB26" s="3"/>
      <c r="FTC26" s="3"/>
      <c r="FTD26" s="3"/>
      <c r="FTE26" s="3"/>
      <c r="FTF26" s="3"/>
      <c r="FTG26" s="3"/>
      <c r="FTH26" s="3"/>
      <c r="FTI26" s="3"/>
      <c r="FTJ26" s="3"/>
      <c r="FTK26" s="3"/>
      <c r="FTL26" s="3"/>
      <c r="FTM26" s="3"/>
      <c r="FTN26" s="3"/>
      <c r="FTO26" s="3"/>
      <c r="FTP26" s="3"/>
      <c r="FTQ26" s="3"/>
      <c r="FTR26" s="3"/>
      <c r="FTS26" s="3"/>
      <c r="FTT26" s="3"/>
      <c r="FTU26" s="3"/>
      <c r="FTV26" s="3"/>
      <c r="FTW26" s="3"/>
      <c r="FTX26" s="3"/>
      <c r="FTY26" s="3"/>
      <c r="FTZ26" s="3"/>
      <c r="FUA26" s="3"/>
      <c r="FUB26" s="3"/>
      <c r="FUC26" s="3"/>
      <c r="FUD26" s="3"/>
      <c r="FUE26" s="3"/>
      <c r="FUF26" s="3"/>
      <c r="FUG26" s="3"/>
      <c r="FUH26" s="3"/>
      <c r="FUI26" s="3"/>
      <c r="FUJ26" s="3"/>
      <c r="FUK26" s="3"/>
      <c r="FUL26" s="3"/>
      <c r="FUM26" s="3"/>
      <c r="FUN26" s="3"/>
      <c r="FUO26" s="3"/>
      <c r="FUP26" s="3"/>
      <c r="FUQ26" s="3"/>
      <c r="FUR26" s="3"/>
      <c r="FUS26" s="3"/>
      <c r="FUT26" s="3"/>
      <c r="FUU26" s="3"/>
      <c r="FUV26" s="3"/>
      <c r="FUW26" s="3"/>
      <c r="FUX26" s="3"/>
      <c r="FUY26" s="3"/>
      <c r="FUZ26" s="3"/>
      <c r="FVA26" s="3"/>
      <c r="FVB26" s="3"/>
      <c r="FVC26" s="3"/>
      <c r="FVD26" s="3"/>
      <c r="FVE26" s="3"/>
      <c r="FVF26" s="3"/>
      <c r="FVG26" s="3"/>
      <c r="FVH26" s="3"/>
      <c r="FVI26" s="3"/>
      <c r="FVJ26" s="3"/>
      <c r="FVK26" s="3"/>
      <c r="FVL26" s="3"/>
      <c r="FVM26" s="3"/>
      <c r="FVN26" s="3"/>
      <c r="FVO26" s="3"/>
      <c r="FVP26" s="3"/>
      <c r="FVQ26" s="3"/>
      <c r="FVR26" s="3"/>
      <c r="FVS26" s="3"/>
      <c r="FVT26" s="3"/>
      <c r="FVU26" s="3"/>
      <c r="FVV26" s="3"/>
      <c r="FVW26" s="3"/>
      <c r="FVX26" s="3"/>
      <c r="FVY26" s="3"/>
      <c r="FVZ26" s="3"/>
      <c r="FWA26" s="3"/>
      <c r="FWB26" s="3"/>
      <c r="FWC26" s="3"/>
      <c r="FWD26" s="3"/>
      <c r="FWE26" s="3"/>
      <c r="FWF26" s="3"/>
      <c r="FWG26" s="3"/>
      <c r="FWH26" s="3"/>
      <c r="FWI26" s="3"/>
      <c r="FWJ26" s="3"/>
      <c r="FWK26" s="3"/>
      <c r="FWL26" s="3"/>
      <c r="FWM26" s="3"/>
      <c r="FWN26" s="3"/>
      <c r="FWO26" s="3"/>
      <c r="FWP26" s="3"/>
      <c r="FWQ26" s="3"/>
      <c r="FWR26" s="3"/>
      <c r="FWS26" s="3"/>
      <c r="FWT26" s="3"/>
      <c r="FWU26" s="3"/>
      <c r="FWV26" s="3"/>
      <c r="FWW26" s="3"/>
      <c r="FWX26" s="3"/>
      <c r="FWY26" s="3"/>
      <c r="FWZ26" s="3"/>
      <c r="FXA26" s="3"/>
      <c r="FXB26" s="3"/>
      <c r="FXC26" s="3"/>
      <c r="FXD26" s="3"/>
      <c r="FXE26" s="3"/>
      <c r="FXF26" s="3"/>
      <c r="FXG26" s="3"/>
      <c r="FXH26" s="3"/>
      <c r="FXI26" s="3"/>
      <c r="FXJ26" s="3"/>
      <c r="FXK26" s="3"/>
      <c r="FXL26" s="3"/>
      <c r="FXM26" s="3"/>
      <c r="FXN26" s="3"/>
      <c r="FXO26" s="3"/>
      <c r="FXP26" s="3"/>
      <c r="FXQ26" s="3"/>
      <c r="FXR26" s="3"/>
      <c r="FXS26" s="3"/>
      <c r="FXT26" s="3"/>
      <c r="FXU26" s="3"/>
      <c r="FXV26" s="3"/>
      <c r="FXW26" s="3"/>
      <c r="FXX26" s="3"/>
      <c r="FXY26" s="3"/>
      <c r="FXZ26" s="3"/>
      <c r="FYA26" s="3"/>
      <c r="FYB26" s="3"/>
      <c r="FYC26" s="3"/>
      <c r="FYD26" s="3"/>
      <c r="FYE26" s="3"/>
      <c r="FYF26" s="3"/>
      <c r="FYG26" s="3"/>
      <c r="FYH26" s="3"/>
      <c r="FYI26" s="3"/>
      <c r="FYJ26" s="3"/>
      <c r="FYK26" s="3"/>
      <c r="FYL26" s="3"/>
      <c r="FYM26" s="3"/>
      <c r="FYN26" s="3"/>
      <c r="FYO26" s="3"/>
      <c r="FYP26" s="3"/>
      <c r="FYQ26" s="3"/>
      <c r="FYR26" s="3"/>
      <c r="FYS26" s="3"/>
      <c r="FYT26" s="3"/>
      <c r="FYU26" s="3"/>
      <c r="FYV26" s="3"/>
      <c r="FYW26" s="3"/>
      <c r="FYX26" s="3"/>
      <c r="FYY26" s="3"/>
      <c r="FYZ26" s="3"/>
      <c r="FZA26" s="3"/>
      <c r="FZB26" s="3"/>
      <c r="FZC26" s="3"/>
      <c r="FZD26" s="3"/>
      <c r="FZE26" s="3"/>
      <c r="FZF26" s="3"/>
      <c r="FZG26" s="3"/>
      <c r="FZH26" s="3"/>
      <c r="FZI26" s="3"/>
      <c r="FZJ26" s="3"/>
      <c r="FZK26" s="3"/>
      <c r="FZL26" s="3"/>
      <c r="FZM26" s="3"/>
      <c r="FZN26" s="3"/>
      <c r="FZO26" s="3"/>
      <c r="FZP26" s="3"/>
      <c r="FZQ26" s="3"/>
      <c r="FZR26" s="3"/>
      <c r="FZS26" s="3"/>
      <c r="FZT26" s="3"/>
      <c r="FZU26" s="3"/>
      <c r="FZV26" s="3"/>
      <c r="FZW26" s="3"/>
      <c r="FZX26" s="3"/>
      <c r="FZY26" s="3"/>
      <c r="FZZ26" s="3"/>
      <c r="GAA26" s="3"/>
      <c r="GAB26" s="3"/>
      <c r="GAC26" s="3"/>
      <c r="GAD26" s="3"/>
      <c r="GAE26" s="3"/>
      <c r="GAF26" s="3"/>
      <c r="GAG26" s="3"/>
      <c r="GAH26" s="3"/>
      <c r="GAI26" s="3"/>
      <c r="GAJ26" s="3"/>
      <c r="GAK26" s="3"/>
      <c r="GAL26" s="3"/>
      <c r="GAM26" s="3"/>
      <c r="GAN26" s="3"/>
      <c r="GAO26" s="3"/>
      <c r="GAP26" s="3"/>
      <c r="GAQ26" s="3"/>
      <c r="GAR26" s="3"/>
      <c r="GAS26" s="3"/>
      <c r="GAT26" s="3"/>
      <c r="GAU26" s="3"/>
      <c r="GAV26" s="3"/>
      <c r="GAW26" s="3"/>
      <c r="GAX26" s="3"/>
      <c r="GAY26" s="3"/>
      <c r="GAZ26" s="3"/>
      <c r="GBA26" s="3"/>
      <c r="GBB26" s="3"/>
      <c r="GBC26" s="3"/>
      <c r="GBD26" s="3"/>
      <c r="GBE26" s="3"/>
      <c r="GBF26" s="3"/>
      <c r="GBG26" s="3"/>
      <c r="GBH26" s="3"/>
      <c r="GBI26" s="3"/>
      <c r="GBJ26" s="3"/>
      <c r="GBK26" s="3"/>
      <c r="GBL26" s="3"/>
      <c r="GBM26" s="3"/>
      <c r="GBN26" s="3"/>
      <c r="GBO26" s="3"/>
      <c r="GBP26" s="3"/>
      <c r="GBQ26" s="3"/>
      <c r="GBR26" s="3"/>
      <c r="GBS26" s="3"/>
      <c r="GBT26" s="3"/>
      <c r="GBU26" s="3"/>
      <c r="GBV26" s="3"/>
      <c r="GBW26" s="3"/>
      <c r="GBX26" s="3"/>
      <c r="GBY26" s="3"/>
      <c r="GBZ26" s="3"/>
      <c r="GCA26" s="3"/>
      <c r="GCB26" s="3"/>
      <c r="GCC26" s="3"/>
      <c r="GCD26" s="3"/>
      <c r="GCE26" s="3"/>
      <c r="GCF26" s="3"/>
      <c r="GCG26" s="3"/>
      <c r="GCH26" s="3"/>
      <c r="GCI26" s="3"/>
      <c r="GCJ26" s="3"/>
      <c r="GCK26" s="3"/>
      <c r="GCL26" s="3"/>
      <c r="GCM26" s="3"/>
      <c r="GCN26" s="3"/>
      <c r="GCO26" s="3"/>
      <c r="GCP26" s="3"/>
      <c r="GCQ26" s="3"/>
      <c r="GCR26" s="3"/>
      <c r="GCS26" s="3"/>
      <c r="GCT26" s="3"/>
      <c r="GCU26" s="3"/>
      <c r="GCV26" s="3"/>
      <c r="GCW26" s="3"/>
      <c r="GCX26" s="3"/>
      <c r="GCY26" s="3"/>
      <c r="GCZ26" s="3"/>
      <c r="GDA26" s="3"/>
      <c r="GDB26" s="3"/>
      <c r="GDC26" s="3"/>
      <c r="GDD26" s="3"/>
      <c r="GDE26" s="3"/>
      <c r="GDF26" s="3"/>
      <c r="GDG26" s="3"/>
      <c r="GDH26" s="3"/>
      <c r="GDI26" s="3"/>
      <c r="GDJ26" s="3"/>
      <c r="GDK26" s="3"/>
      <c r="GDL26" s="3"/>
      <c r="GDM26" s="3"/>
      <c r="GDN26" s="3"/>
      <c r="GDO26" s="3"/>
      <c r="GDP26" s="3"/>
      <c r="GDQ26" s="3"/>
      <c r="GDR26" s="3"/>
      <c r="GDS26" s="3"/>
      <c r="GDT26" s="3"/>
      <c r="GDU26" s="3"/>
      <c r="GDV26" s="3"/>
      <c r="GDW26" s="3"/>
      <c r="GDX26" s="3"/>
      <c r="GDY26" s="3"/>
      <c r="GDZ26" s="3"/>
      <c r="GEA26" s="3"/>
      <c r="GEB26" s="3"/>
      <c r="GEC26" s="3"/>
      <c r="GED26" s="3"/>
      <c r="GEE26" s="3"/>
      <c r="GEF26" s="3"/>
      <c r="GEG26" s="3"/>
      <c r="GEH26" s="3"/>
      <c r="GEI26" s="3"/>
      <c r="GEJ26" s="3"/>
      <c r="GEK26" s="3"/>
      <c r="GEL26" s="3"/>
      <c r="GEM26" s="3"/>
      <c r="GEN26" s="3"/>
      <c r="GEO26" s="3"/>
      <c r="GEP26" s="3"/>
      <c r="GEQ26" s="3"/>
      <c r="GER26" s="3"/>
      <c r="GES26" s="3"/>
      <c r="GET26" s="3"/>
      <c r="GEU26" s="3"/>
      <c r="GEV26" s="3"/>
      <c r="GEW26" s="3"/>
      <c r="GEX26" s="3"/>
      <c r="GEY26" s="3"/>
      <c r="GEZ26" s="3"/>
      <c r="GFA26" s="3"/>
      <c r="GFB26" s="3"/>
      <c r="GFC26" s="3"/>
      <c r="GFD26" s="3"/>
      <c r="GFE26" s="3"/>
      <c r="GFF26" s="3"/>
      <c r="GFG26" s="3"/>
      <c r="GFH26" s="3"/>
      <c r="GFI26" s="3"/>
      <c r="GFJ26" s="3"/>
      <c r="GFK26" s="3"/>
      <c r="GFL26" s="3"/>
      <c r="GFM26" s="3"/>
      <c r="GFN26" s="3"/>
      <c r="GFO26" s="3"/>
      <c r="GFP26" s="3"/>
      <c r="GFQ26" s="3"/>
      <c r="GFR26" s="3"/>
      <c r="GFS26" s="3"/>
      <c r="GFT26" s="3"/>
      <c r="GFU26" s="3"/>
      <c r="GFV26" s="3"/>
      <c r="GFW26" s="3"/>
      <c r="GFX26" s="3"/>
      <c r="GFY26" s="3"/>
      <c r="GFZ26" s="3"/>
      <c r="GGA26" s="3"/>
      <c r="GGB26" s="3"/>
      <c r="GGC26" s="3"/>
      <c r="GGD26" s="3"/>
      <c r="GGE26" s="3"/>
      <c r="GGF26" s="3"/>
      <c r="GGG26" s="3"/>
      <c r="GGH26" s="3"/>
      <c r="GGI26" s="3"/>
      <c r="GGJ26" s="3"/>
      <c r="GGK26" s="3"/>
      <c r="GGL26" s="3"/>
      <c r="GGM26" s="3"/>
      <c r="GGN26" s="3"/>
      <c r="GGO26" s="3"/>
      <c r="GGP26" s="3"/>
      <c r="GGQ26" s="3"/>
      <c r="GGR26" s="3"/>
      <c r="GGS26" s="3"/>
      <c r="GGT26" s="3"/>
      <c r="GGU26" s="3"/>
      <c r="GGV26" s="3"/>
      <c r="GGW26" s="3"/>
      <c r="GGX26" s="3"/>
      <c r="GGY26" s="3"/>
      <c r="GGZ26" s="3"/>
      <c r="GHA26" s="3"/>
      <c r="GHB26" s="3"/>
      <c r="GHC26" s="3"/>
      <c r="GHD26" s="3"/>
      <c r="GHE26" s="3"/>
      <c r="GHF26" s="3"/>
      <c r="GHG26" s="3"/>
      <c r="GHH26" s="3"/>
      <c r="GHI26" s="3"/>
      <c r="GHJ26" s="3"/>
      <c r="GHK26" s="3"/>
      <c r="GHL26" s="3"/>
      <c r="GHM26" s="3"/>
      <c r="GHN26" s="3"/>
      <c r="GHO26" s="3"/>
      <c r="GHP26" s="3"/>
      <c r="GHQ26" s="3"/>
      <c r="GHR26" s="3"/>
      <c r="GHS26" s="3"/>
      <c r="GHT26" s="3"/>
      <c r="GHU26" s="3"/>
      <c r="GHV26" s="3"/>
      <c r="GHW26" s="3"/>
      <c r="GHX26" s="3"/>
      <c r="GHY26" s="3"/>
      <c r="GHZ26" s="3"/>
      <c r="GIA26" s="3"/>
      <c r="GIB26" s="3"/>
      <c r="GIC26" s="3"/>
      <c r="GID26" s="3"/>
      <c r="GIE26" s="3"/>
      <c r="GIF26" s="3"/>
      <c r="GIG26" s="3"/>
      <c r="GIH26" s="3"/>
      <c r="GII26" s="3"/>
      <c r="GIJ26" s="3"/>
      <c r="GIK26" s="3"/>
      <c r="GIL26" s="3"/>
      <c r="GIM26" s="3"/>
      <c r="GIN26" s="3"/>
      <c r="GIO26" s="3"/>
      <c r="GIP26" s="3"/>
      <c r="GIQ26" s="3"/>
      <c r="GIR26" s="3"/>
      <c r="GIS26" s="3"/>
      <c r="GIT26" s="3"/>
      <c r="GIU26" s="3"/>
      <c r="GIV26" s="3"/>
      <c r="GIW26" s="3"/>
      <c r="GIX26" s="3"/>
      <c r="GIY26" s="3"/>
      <c r="GIZ26" s="3"/>
      <c r="GJA26" s="3"/>
      <c r="GJB26" s="3"/>
      <c r="GJC26" s="3"/>
      <c r="GJD26" s="3"/>
      <c r="GJE26" s="3"/>
      <c r="GJF26" s="3"/>
      <c r="GJG26" s="3"/>
      <c r="GJH26" s="3"/>
      <c r="GJI26" s="3"/>
      <c r="GJJ26" s="3"/>
      <c r="GJK26" s="3"/>
      <c r="GJL26" s="3"/>
      <c r="GJM26" s="3"/>
      <c r="GJN26" s="3"/>
      <c r="GJO26" s="3"/>
      <c r="GJP26" s="3"/>
      <c r="GJQ26" s="3"/>
      <c r="GJR26" s="3"/>
      <c r="GJS26" s="3"/>
      <c r="GJT26" s="3"/>
      <c r="GJU26" s="3"/>
      <c r="GJV26" s="3"/>
      <c r="GJW26" s="3"/>
      <c r="GJX26" s="3"/>
      <c r="GJY26" s="3"/>
      <c r="GJZ26" s="3"/>
      <c r="GKA26" s="3"/>
      <c r="GKB26" s="3"/>
      <c r="GKC26" s="3"/>
      <c r="GKD26" s="3"/>
      <c r="GKE26" s="3"/>
      <c r="GKF26" s="3"/>
      <c r="GKG26" s="3"/>
      <c r="GKH26" s="3"/>
      <c r="GKI26" s="3"/>
      <c r="GKJ26" s="3"/>
      <c r="GKK26" s="3"/>
      <c r="GKL26" s="3"/>
      <c r="GKM26" s="3"/>
      <c r="GKN26" s="3"/>
      <c r="GKO26" s="3"/>
      <c r="GKP26" s="3"/>
      <c r="GKQ26" s="3"/>
      <c r="GKR26" s="3"/>
      <c r="GKS26" s="3"/>
      <c r="GKT26" s="3"/>
      <c r="GKU26" s="3"/>
      <c r="GKV26" s="3"/>
      <c r="GKW26" s="3"/>
      <c r="GKX26" s="3"/>
      <c r="GKY26" s="3"/>
      <c r="GKZ26" s="3"/>
      <c r="GLA26" s="3"/>
      <c r="GLB26" s="3"/>
      <c r="GLC26" s="3"/>
      <c r="GLD26" s="3"/>
      <c r="GLE26" s="3"/>
      <c r="GLF26" s="3"/>
      <c r="GLG26" s="3"/>
      <c r="GLH26" s="3"/>
      <c r="GLI26" s="3"/>
      <c r="GLJ26" s="3"/>
      <c r="GLK26" s="3"/>
      <c r="GLL26" s="3"/>
      <c r="GLM26" s="3"/>
      <c r="GLN26" s="3"/>
      <c r="GLO26" s="3"/>
      <c r="GLP26" s="3"/>
      <c r="GLQ26" s="3"/>
      <c r="GLR26" s="3"/>
      <c r="GLS26" s="3"/>
      <c r="GLT26" s="3"/>
      <c r="GLU26" s="3"/>
      <c r="GLV26" s="3"/>
      <c r="GLW26" s="3"/>
      <c r="GLX26" s="3"/>
      <c r="GLY26" s="3"/>
      <c r="GLZ26" s="3"/>
      <c r="GMA26" s="3"/>
      <c r="GMB26" s="3"/>
      <c r="GMC26" s="3"/>
      <c r="GMD26" s="3"/>
      <c r="GME26" s="3"/>
      <c r="GMF26" s="3"/>
      <c r="GMG26" s="3"/>
      <c r="GMH26" s="3"/>
      <c r="GMI26" s="3"/>
      <c r="GMJ26" s="3"/>
      <c r="GMK26" s="3"/>
      <c r="GML26" s="3"/>
      <c r="GMM26" s="3"/>
      <c r="GMN26" s="3"/>
      <c r="GMO26" s="3"/>
      <c r="GMP26" s="3"/>
      <c r="GMQ26" s="3"/>
      <c r="GMR26" s="3"/>
      <c r="GMS26" s="3"/>
      <c r="GMT26" s="3"/>
      <c r="GMU26" s="3"/>
      <c r="GMV26" s="3"/>
      <c r="GMW26" s="3"/>
      <c r="GMX26" s="3"/>
      <c r="GMY26" s="3"/>
      <c r="GMZ26" s="3"/>
      <c r="GNA26" s="3"/>
      <c r="GNB26" s="3"/>
      <c r="GNC26" s="3"/>
      <c r="GND26" s="3"/>
      <c r="GNE26" s="3"/>
      <c r="GNF26" s="3"/>
      <c r="GNG26" s="3"/>
      <c r="GNH26" s="3"/>
      <c r="GNI26" s="3"/>
      <c r="GNJ26" s="3"/>
      <c r="GNK26" s="3"/>
      <c r="GNL26" s="3"/>
      <c r="GNM26" s="3"/>
      <c r="GNN26" s="3"/>
      <c r="GNO26" s="3"/>
      <c r="GNP26" s="3"/>
      <c r="GNQ26" s="3"/>
      <c r="GNR26" s="3"/>
      <c r="GNS26" s="3"/>
      <c r="GNT26" s="3"/>
      <c r="GNU26" s="3"/>
      <c r="GNV26" s="3"/>
      <c r="GNW26" s="3"/>
      <c r="GNX26" s="3"/>
      <c r="GNY26" s="3"/>
      <c r="GNZ26" s="3"/>
      <c r="GOA26" s="3"/>
      <c r="GOB26" s="3"/>
      <c r="GOC26" s="3"/>
      <c r="GOD26" s="3"/>
      <c r="GOE26" s="3"/>
      <c r="GOF26" s="3"/>
      <c r="GOG26" s="3"/>
      <c r="GOH26" s="3"/>
      <c r="GOI26" s="3"/>
      <c r="GOJ26" s="3"/>
      <c r="GOK26" s="3"/>
      <c r="GOL26" s="3"/>
      <c r="GOM26" s="3"/>
      <c r="GON26" s="3"/>
      <c r="GOO26" s="3"/>
      <c r="GOP26" s="3"/>
      <c r="GOQ26" s="3"/>
      <c r="GOR26" s="3"/>
      <c r="GOS26" s="3"/>
      <c r="GOT26" s="3"/>
      <c r="GOU26" s="3"/>
      <c r="GOV26" s="3"/>
      <c r="GOW26" s="3"/>
      <c r="GOX26" s="3"/>
      <c r="GOY26" s="3"/>
      <c r="GOZ26" s="3"/>
      <c r="GPA26" s="3"/>
      <c r="GPB26" s="3"/>
      <c r="GPC26" s="3"/>
      <c r="GPD26" s="3"/>
      <c r="GPE26" s="3"/>
      <c r="GPF26" s="3"/>
      <c r="GPG26" s="3"/>
      <c r="GPH26" s="3"/>
      <c r="GPI26" s="3"/>
      <c r="GPJ26" s="3"/>
      <c r="GPK26" s="3"/>
      <c r="GPL26" s="3"/>
      <c r="GPM26" s="3"/>
      <c r="GPN26" s="3"/>
      <c r="GPO26" s="3"/>
      <c r="GPP26" s="3"/>
      <c r="GPQ26" s="3"/>
      <c r="GPR26" s="3"/>
      <c r="GPS26" s="3"/>
      <c r="GPT26" s="3"/>
      <c r="GPU26" s="3"/>
      <c r="GPV26" s="3"/>
      <c r="GPW26" s="3"/>
      <c r="GPX26" s="3"/>
      <c r="GPY26" s="3"/>
      <c r="GPZ26" s="3"/>
      <c r="GQA26" s="3"/>
      <c r="GQB26" s="3"/>
      <c r="GQC26" s="3"/>
      <c r="GQD26" s="3"/>
      <c r="GQE26" s="3"/>
      <c r="GQF26" s="3"/>
      <c r="GQG26" s="3"/>
      <c r="GQH26" s="3"/>
      <c r="GQI26" s="3"/>
      <c r="GQJ26" s="3"/>
      <c r="GQK26" s="3"/>
      <c r="GQL26" s="3"/>
      <c r="GQM26" s="3"/>
      <c r="GQN26" s="3"/>
      <c r="GQO26" s="3"/>
      <c r="GQP26" s="3"/>
      <c r="GQQ26" s="3"/>
      <c r="GQR26" s="3"/>
      <c r="GQS26" s="3"/>
      <c r="GQT26" s="3"/>
      <c r="GQU26" s="3"/>
      <c r="GQV26" s="3"/>
      <c r="GQW26" s="3"/>
      <c r="GQX26" s="3"/>
      <c r="GQY26" s="3"/>
      <c r="GQZ26" s="3"/>
      <c r="GRA26" s="3"/>
      <c r="GRB26" s="3"/>
      <c r="GRC26" s="3"/>
      <c r="GRD26" s="3"/>
      <c r="GRE26" s="3"/>
      <c r="GRF26" s="3"/>
      <c r="GRG26" s="3"/>
      <c r="GRH26" s="3"/>
      <c r="GRI26" s="3"/>
      <c r="GRJ26" s="3"/>
      <c r="GRK26" s="3"/>
      <c r="GRL26" s="3"/>
      <c r="GRM26" s="3"/>
      <c r="GRN26" s="3"/>
      <c r="GRO26" s="3"/>
      <c r="GRP26" s="3"/>
      <c r="GRQ26" s="3"/>
      <c r="GRR26" s="3"/>
      <c r="GRS26" s="3"/>
      <c r="GRT26" s="3"/>
      <c r="GRU26" s="3"/>
      <c r="GRV26" s="3"/>
      <c r="GRW26" s="3"/>
      <c r="GRX26" s="3"/>
      <c r="GRY26" s="3"/>
      <c r="GRZ26" s="3"/>
      <c r="GSA26" s="3"/>
      <c r="GSB26" s="3"/>
      <c r="GSC26" s="3"/>
      <c r="GSD26" s="3"/>
      <c r="GSE26" s="3"/>
      <c r="GSF26" s="3"/>
      <c r="GSG26" s="3"/>
      <c r="GSH26" s="3"/>
      <c r="GSI26" s="3"/>
      <c r="GSJ26" s="3"/>
      <c r="GSK26" s="3"/>
      <c r="GSL26" s="3"/>
      <c r="GSM26" s="3"/>
      <c r="GSN26" s="3"/>
      <c r="GSO26" s="3"/>
      <c r="GSP26" s="3"/>
      <c r="GSQ26" s="3"/>
      <c r="GSR26" s="3"/>
      <c r="GSS26" s="3"/>
      <c r="GST26" s="3"/>
      <c r="GSU26" s="3"/>
      <c r="GSV26" s="3"/>
      <c r="GSW26" s="3"/>
      <c r="GSX26" s="3"/>
      <c r="GSY26" s="3"/>
      <c r="GSZ26" s="3"/>
      <c r="GTA26" s="3"/>
      <c r="GTB26" s="3"/>
      <c r="GTC26" s="3"/>
      <c r="GTD26" s="3"/>
      <c r="GTE26" s="3"/>
      <c r="GTF26" s="3"/>
      <c r="GTG26" s="3"/>
      <c r="GTH26" s="3"/>
      <c r="GTI26" s="3"/>
      <c r="GTJ26" s="3"/>
      <c r="GTK26" s="3"/>
      <c r="GTL26" s="3"/>
      <c r="GTM26" s="3"/>
      <c r="GTN26" s="3"/>
      <c r="GTO26" s="3"/>
      <c r="GTP26" s="3"/>
      <c r="GTQ26" s="3"/>
      <c r="GTR26" s="3"/>
      <c r="GTS26" s="3"/>
      <c r="GTT26" s="3"/>
      <c r="GTU26" s="3"/>
      <c r="GTV26" s="3"/>
      <c r="GTW26" s="3"/>
      <c r="GTX26" s="3"/>
      <c r="GTY26" s="3"/>
      <c r="GTZ26" s="3"/>
      <c r="GUA26" s="3"/>
      <c r="GUB26" s="3"/>
      <c r="GUC26" s="3"/>
      <c r="GUD26" s="3"/>
      <c r="GUE26" s="3"/>
      <c r="GUF26" s="3"/>
      <c r="GUG26" s="3"/>
      <c r="GUH26" s="3"/>
      <c r="GUI26" s="3"/>
      <c r="GUJ26" s="3"/>
      <c r="GUK26" s="3"/>
      <c r="GUL26" s="3"/>
      <c r="GUM26" s="3"/>
      <c r="GUN26" s="3"/>
      <c r="GUO26" s="3"/>
      <c r="GUP26" s="3"/>
      <c r="GUQ26" s="3"/>
      <c r="GUR26" s="3"/>
      <c r="GUS26" s="3"/>
      <c r="GUT26" s="3"/>
      <c r="GUU26" s="3"/>
      <c r="GUV26" s="3"/>
      <c r="GUW26" s="3"/>
      <c r="GUX26" s="3"/>
      <c r="GUY26" s="3"/>
      <c r="GUZ26" s="3"/>
      <c r="GVA26" s="3"/>
      <c r="GVB26" s="3"/>
      <c r="GVC26" s="3"/>
      <c r="GVD26" s="3"/>
      <c r="GVE26" s="3"/>
      <c r="GVF26" s="3"/>
      <c r="GVG26" s="3"/>
      <c r="GVH26" s="3"/>
      <c r="GVI26" s="3"/>
      <c r="GVJ26" s="3"/>
      <c r="GVK26" s="3"/>
      <c r="GVL26" s="3"/>
      <c r="GVM26" s="3"/>
      <c r="GVN26" s="3"/>
      <c r="GVO26" s="3"/>
      <c r="GVP26" s="3"/>
      <c r="GVQ26" s="3"/>
      <c r="GVR26" s="3"/>
      <c r="GVS26" s="3"/>
      <c r="GVT26" s="3"/>
      <c r="GVU26" s="3"/>
      <c r="GVV26" s="3"/>
      <c r="GVW26" s="3"/>
      <c r="GVX26" s="3"/>
      <c r="GVY26" s="3"/>
      <c r="GVZ26" s="3"/>
      <c r="GWA26" s="3"/>
      <c r="GWB26" s="3"/>
      <c r="GWC26" s="3"/>
      <c r="GWD26" s="3"/>
      <c r="GWE26" s="3"/>
      <c r="GWF26" s="3"/>
      <c r="GWG26" s="3"/>
      <c r="GWH26" s="3"/>
      <c r="GWI26" s="3"/>
      <c r="GWJ26" s="3"/>
      <c r="GWK26" s="3"/>
      <c r="GWL26" s="3"/>
      <c r="GWM26" s="3"/>
      <c r="GWN26" s="3"/>
      <c r="GWO26" s="3"/>
      <c r="GWP26" s="3"/>
      <c r="GWQ26" s="3"/>
      <c r="GWR26" s="3"/>
      <c r="GWS26" s="3"/>
      <c r="GWT26" s="3"/>
      <c r="GWU26" s="3"/>
      <c r="GWV26" s="3"/>
      <c r="GWW26" s="3"/>
      <c r="GWX26" s="3"/>
      <c r="GWY26" s="3"/>
      <c r="GWZ26" s="3"/>
      <c r="GXA26" s="3"/>
      <c r="GXB26" s="3"/>
      <c r="GXC26" s="3"/>
      <c r="GXD26" s="3"/>
      <c r="GXE26" s="3"/>
      <c r="GXF26" s="3"/>
      <c r="GXG26" s="3"/>
      <c r="GXH26" s="3"/>
      <c r="GXI26" s="3"/>
      <c r="GXJ26" s="3"/>
      <c r="GXK26" s="3"/>
      <c r="GXL26" s="3"/>
      <c r="GXM26" s="3"/>
      <c r="GXN26" s="3"/>
      <c r="GXO26" s="3"/>
      <c r="GXP26" s="3"/>
      <c r="GXQ26" s="3"/>
      <c r="GXR26" s="3"/>
      <c r="GXS26" s="3"/>
      <c r="GXT26" s="3"/>
      <c r="GXU26" s="3"/>
      <c r="GXV26" s="3"/>
      <c r="GXW26" s="3"/>
      <c r="GXX26" s="3"/>
      <c r="GXY26" s="3"/>
      <c r="GXZ26" s="3"/>
      <c r="GYA26" s="3"/>
      <c r="GYB26" s="3"/>
      <c r="GYC26" s="3"/>
      <c r="GYD26" s="3"/>
      <c r="GYE26" s="3"/>
      <c r="GYF26" s="3"/>
      <c r="GYG26" s="3"/>
      <c r="GYH26" s="3"/>
      <c r="GYI26" s="3"/>
      <c r="GYJ26" s="3"/>
      <c r="GYK26" s="3"/>
      <c r="GYL26" s="3"/>
      <c r="GYM26" s="3"/>
      <c r="GYN26" s="3"/>
      <c r="GYO26" s="3"/>
      <c r="GYP26" s="3"/>
      <c r="GYQ26" s="3"/>
      <c r="GYR26" s="3"/>
      <c r="GYS26" s="3"/>
      <c r="GYT26" s="3"/>
      <c r="GYU26" s="3"/>
      <c r="GYV26" s="3"/>
      <c r="GYW26" s="3"/>
      <c r="GYX26" s="3"/>
      <c r="GYY26" s="3"/>
      <c r="GYZ26" s="3"/>
      <c r="GZA26" s="3"/>
      <c r="GZB26" s="3"/>
      <c r="GZC26" s="3"/>
      <c r="GZD26" s="3"/>
      <c r="GZE26" s="3"/>
      <c r="GZF26" s="3"/>
      <c r="GZG26" s="3"/>
      <c r="GZH26" s="3"/>
      <c r="GZI26" s="3"/>
      <c r="GZJ26" s="3"/>
      <c r="GZK26" s="3"/>
      <c r="GZL26" s="3"/>
      <c r="GZM26" s="3"/>
      <c r="GZN26" s="3"/>
      <c r="GZO26" s="3"/>
      <c r="GZP26" s="3"/>
      <c r="GZQ26" s="3"/>
      <c r="GZR26" s="3"/>
      <c r="GZS26" s="3"/>
      <c r="GZT26" s="3"/>
      <c r="GZU26" s="3"/>
      <c r="GZV26" s="3"/>
      <c r="GZW26" s="3"/>
      <c r="GZX26" s="3"/>
      <c r="GZY26" s="3"/>
      <c r="GZZ26" s="3"/>
      <c r="HAA26" s="3"/>
      <c r="HAB26" s="3"/>
      <c r="HAC26" s="3"/>
      <c r="HAD26" s="3"/>
      <c r="HAE26" s="3"/>
      <c r="HAF26" s="3"/>
      <c r="HAG26" s="3"/>
      <c r="HAH26" s="3"/>
      <c r="HAI26" s="3"/>
      <c r="HAJ26" s="3"/>
      <c r="HAK26" s="3"/>
      <c r="HAL26" s="3"/>
      <c r="HAM26" s="3"/>
      <c r="HAN26" s="3"/>
      <c r="HAO26" s="3"/>
      <c r="HAP26" s="3"/>
      <c r="HAQ26" s="3"/>
      <c r="HAR26" s="3"/>
      <c r="HAS26" s="3"/>
      <c r="HAT26" s="3"/>
      <c r="HAU26" s="3"/>
      <c r="HAV26" s="3"/>
      <c r="HAW26" s="3"/>
      <c r="HAX26" s="3"/>
      <c r="HAY26" s="3"/>
      <c r="HAZ26" s="3"/>
      <c r="HBA26" s="3"/>
      <c r="HBB26" s="3"/>
      <c r="HBC26" s="3"/>
      <c r="HBD26" s="3"/>
      <c r="HBE26" s="3"/>
      <c r="HBF26" s="3"/>
      <c r="HBG26" s="3"/>
      <c r="HBH26" s="3"/>
      <c r="HBI26" s="3"/>
      <c r="HBJ26" s="3"/>
      <c r="HBK26" s="3"/>
      <c r="HBL26" s="3"/>
      <c r="HBM26" s="3"/>
      <c r="HBN26" s="3"/>
      <c r="HBO26" s="3"/>
      <c r="HBP26" s="3"/>
      <c r="HBQ26" s="3"/>
      <c r="HBR26" s="3"/>
      <c r="HBS26" s="3"/>
      <c r="HBT26" s="3"/>
      <c r="HBU26" s="3"/>
      <c r="HBV26" s="3"/>
      <c r="HBW26" s="3"/>
      <c r="HBX26" s="3"/>
      <c r="HBY26" s="3"/>
      <c r="HBZ26" s="3"/>
      <c r="HCA26" s="3"/>
      <c r="HCB26" s="3"/>
      <c r="HCC26" s="3"/>
      <c r="HCD26" s="3"/>
      <c r="HCE26" s="3"/>
      <c r="HCF26" s="3"/>
      <c r="HCG26" s="3"/>
      <c r="HCH26" s="3"/>
      <c r="HCI26" s="3"/>
      <c r="HCJ26" s="3"/>
      <c r="HCK26" s="3"/>
      <c r="HCL26" s="3"/>
      <c r="HCM26" s="3"/>
      <c r="HCN26" s="3"/>
      <c r="HCO26" s="3"/>
      <c r="HCP26" s="3"/>
      <c r="HCQ26" s="3"/>
      <c r="HCR26" s="3"/>
      <c r="HCS26" s="3"/>
      <c r="HCT26" s="3"/>
      <c r="HCU26" s="3"/>
      <c r="HCV26" s="3"/>
      <c r="HCW26" s="3"/>
      <c r="HCX26" s="3"/>
      <c r="HCY26" s="3"/>
      <c r="HCZ26" s="3"/>
      <c r="HDA26" s="3"/>
      <c r="HDB26" s="3"/>
      <c r="HDC26" s="3"/>
      <c r="HDD26" s="3"/>
      <c r="HDE26" s="3"/>
      <c r="HDF26" s="3"/>
      <c r="HDG26" s="3"/>
      <c r="HDH26" s="3"/>
      <c r="HDI26" s="3"/>
      <c r="HDJ26" s="3"/>
      <c r="HDK26" s="3"/>
      <c r="HDL26" s="3"/>
      <c r="HDM26" s="3"/>
      <c r="HDN26" s="3"/>
      <c r="HDO26" s="3"/>
      <c r="HDP26" s="3"/>
      <c r="HDQ26" s="3"/>
      <c r="HDR26" s="3"/>
      <c r="HDS26" s="3"/>
      <c r="HDT26" s="3"/>
      <c r="HDU26" s="3"/>
      <c r="HDV26" s="3"/>
      <c r="HDW26" s="3"/>
      <c r="HDX26" s="3"/>
      <c r="HDY26" s="3"/>
      <c r="HDZ26" s="3"/>
      <c r="HEA26" s="3"/>
      <c r="HEB26" s="3"/>
      <c r="HEC26" s="3"/>
      <c r="HED26" s="3"/>
      <c r="HEE26" s="3"/>
      <c r="HEF26" s="3"/>
      <c r="HEG26" s="3"/>
      <c r="HEH26" s="3"/>
      <c r="HEI26" s="3"/>
      <c r="HEJ26" s="3"/>
      <c r="HEK26" s="3"/>
      <c r="HEL26" s="3"/>
      <c r="HEM26" s="3"/>
      <c r="HEN26" s="3"/>
      <c r="HEO26" s="3"/>
      <c r="HEP26" s="3"/>
      <c r="HEQ26" s="3"/>
      <c r="HER26" s="3"/>
      <c r="HES26" s="3"/>
      <c r="HET26" s="3"/>
      <c r="HEU26" s="3"/>
      <c r="HEV26" s="3"/>
      <c r="HEW26" s="3"/>
      <c r="HEX26" s="3"/>
      <c r="HEY26" s="3"/>
      <c r="HEZ26" s="3"/>
      <c r="HFA26" s="3"/>
      <c r="HFB26" s="3"/>
      <c r="HFC26" s="3"/>
      <c r="HFD26" s="3"/>
      <c r="HFE26" s="3"/>
      <c r="HFF26" s="3"/>
      <c r="HFG26" s="3"/>
      <c r="HFH26" s="3"/>
      <c r="HFI26" s="3"/>
      <c r="HFJ26" s="3"/>
      <c r="HFK26" s="3"/>
      <c r="HFL26" s="3"/>
      <c r="HFM26" s="3"/>
      <c r="HFN26" s="3"/>
      <c r="HFO26" s="3"/>
      <c r="HFP26" s="3"/>
      <c r="HFQ26" s="3"/>
      <c r="HFR26" s="3"/>
      <c r="HFS26" s="3"/>
      <c r="HFT26" s="3"/>
      <c r="HFU26" s="3"/>
      <c r="HFV26" s="3"/>
      <c r="HFW26" s="3"/>
      <c r="HFX26" s="3"/>
      <c r="HFY26" s="3"/>
      <c r="HFZ26" s="3"/>
      <c r="HGA26" s="3"/>
      <c r="HGB26" s="3"/>
      <c r="HGC26" s="3"/>
      <c r="HGD26" s="3"/>
      <c r="HGE26" s="3"/>
      <c r="HGF26" s="3"/>
      <c r="HGG26" s="3"/>
      <c r="HGH26" s="3"/>
      <c r="HGI26" s="3"/>
      <c r="HGJ26" s="3"/>
      <c r="HGK26" s="3"/>
      <c r="HGL26" s="3"/>
      <c r="HGM26" s="3"/>
      <c r="HGN26" s="3"/>
      <c r="HGO26" s="3"/>
      <c r="HGP26" s="3"/>
      <c r="HGQ26" s="3"/>
      <c r="HGR26" s="3"/>
      <c r="HGS26" s="3"/>
      <c r="HGT26" s="3"/>
      <c r="HGU26" s="3"/>
      <c r="HGV26" s="3"/>
      <c r="HGW26" s="3"/>
      <c r="HGX26" s="3"/>
      <c r="HGY26" s="3"/>
      <c r="HGZ26" s="3"/>
      <c r="HHA26" s="3"/>
      <c r="HHB26" s="3"/>
      <c r="HHC26" s="3"/>
      <c r="HHD26" s="3"/>
      <c r="HHE26" s="3"/>
      <c r="HHF26" s="3"/>
      <c r="HHG26" s="3"/>
      <c r="HHH26" s="3"/>
      <c r="HHI26" s="3"/>
      <c r="HHJ26" s="3"/>
      <c r="HHK26" s="3"/>
      <c r="HHL26" s="3"/>
      <c r="HHM26" s="3"/>
      <c r="HHN26" s="3"/>
      <c r="HHO26" s="3"/>
      <c r="HHP26" s="3"/>
      <c r="HHQ26" s="3"/>
      <c r="HHR26" s="3"/>
      <c r="HHS26" s="3"/>
      <c r="HHT26" s="3"/>
      <c r="HHU26" s="3"/>
      <c r="HHV26" s="3"/>
      <c r="HHW26" s="3"/>
      <c r="HHX26" s="3"/>
      <c r="HHY26" s="3"/>
      <c r="HHZ26" s="3"/>
      <c r="HIA26" s="3"/>
      <c r="HIB26" s="3"/>
      <c r="HIC26" s="3"/>
      <c r="HID26" s="3"/>
      <c r="HIE26" s="3"/>
      <c r="HIF26" s="3"/>
      <c r="HIG26" s="3"/>
      <c r="HIH26" s="3"/>
      <c r="HII26" s="3"/>
      <c r="HIJ26" s="3"/>
      <c r="HIK26" s="3"/>
      <c r="HIL26" s="3"/>
      <c r="HIM26" s="3"/>
      <c r="HIN26" s="3"/>
      <c r="HIO26" s="3"/>
      <c r="HIP26" s="3"/>
      <c r="HIQ26" s="3"/>
      <c r="HIR26" s="3"/>
      <c r="HIS26" s="3"/>
      <c r="HIT26" s="3"/>
      <c r="HIU26" s="3"/>
      <c r="HIV26" s="3"/>
      <c r="HIW26" s="3"/>
      <c r="HIX26" s="3"/>
      <c r="HIY26" s="3"/>
      <c r="HIZ26" s="3"/>
      <c r="HJA26" s="3"/>
      <c r="HJB26" s="3"/>
      <c r="HJC26" s="3"/>
      <c r="HJD26" s="3"/>
      <c r="HJE26" s="3"/>
      <c r="HJF26" s="3"/>
      <c r="HJG26" s="3"/>
      <c r="HJH26" s="3"/>
      <c r="HJI26" s="3"/>
      <c r="HJJ26" s="3"/>
      <c r="HJK26" s="3"/>
      <c r="HJL26" s="3"/>
      <c r="HJM26" s="3"/>
      <c r="HJN26" s="3"/>
      <c r="HJO26" s="3"/>
      <c r="HJP26" s="3"/>
      <c r="HJQ26" s="3"/>
      <c r="HJR26" s="3"/>
      <c r="HJS26" s="3"/>
      <c r="HJT26" s="3"/>
      <c r="HJU26" s="3"/>
      <c r="HJV26" s="3"/>
      <c r="HJW26" s="3"/>
      <c r="HJX26" s="3"/>
      <c r="HJY26" s="3"/>
      <c r="HJZ26" s="3"/>
      <c r="HKA26" s="3"/>
      <c r="HKB26" s="3"/>
      <c r="HKC26" s="3"/>
      <c r="HKD26" s="3"/>
      <c r="HKE26" s="3"/>
      <c r="HKF26" s="3"/>
      <c r="HKG26" s="3"/>
      <c r="HKH26" s="3"/>
      <c r="HKI26" s="3"/>
      <c r="HKJ26" s="3"/>
      <c r="HKK26" s="3"/>
      <c r="HKL26" s="3"/>
      <c r="HKM26" s="3"/>
      <c r="HKN26" s="3"/>
      <c r="HKO26" s="3"/>
      <c r="HKP26" s="3"/>
      <c r="HKQ26" s="3"/>
      <c r="HKR26" s="3"/>
      <c r="HKS26" s="3"/>
      <c r="HKT26" s="3"/>
      <c r="HKU26" s="3"/>
      <c r="HKV26" s="3"/>
      <c r="HKW26" s="3"/>
      <c r="HKX26" s="3"/>
      <c r="HKY26" s="3"/>
      <c r="HKZ26" s="3"/>
      <c r="HLA26" s="3"/>
      <c r="HLB26" s="3"/>
      <c r="HLC26" s="3"/>
      <c r="HLD26" s="3"/>
      <c r="HLE26" s="3"/>
      <c r="HLF26" s="3"/>
      <c r="HLG26" s="3"/>
      <c r="HLH26" s="3"/>
      <c r="HLI26" s="3"/>
      <c r="HLJ26" s="3"/>
      <c r="HLK26" s="3"/>
      <c r="HLL26" s="3"/>
      <c r="HLM26" s="3"/>
      <c r="HLN26" s="3"/>
      <c r="HLO26" s="3"/>
      <c r="HLP26" s="3"/>
      <c r="HLQ26" s="3"/>
      <c r="HLR26" s="3"/>
      <c r="HLS26" s="3"/>
      <c r="HLT26" s="3"/>
      <c r="HLU26" s="3"/>
      <c r="HLV26" s="3"/>
      <c r="HLW26" s="3"/>
      <c r="HLX26" s="3"/>
      <c r="HLY26" s="3"/>
      <c r="HLZ26" s="3"/>
      <c r="HMA26" s="3"/>
      <c r="HMB26" s="3"/>
      <c r="HMC26" s="3"/>
      <c r="HMD26" s="3"/>
      <c r="HME26" s="3"/>
      <c r="HMF26" s="3"/>
      <c r="HMG26" s="3"/>
      <c r="HMH26" s="3"/>
      <c r="HMI26" s="3"/>
      <c r="HMJ26" s="3"/>
      <c r="HMK26" s="3"/>
      <c r="HML26" s="3"/>
      <c r="HMM26" s="3"/>
      <c r="HMN26" s="3"/>
      <c r="HMO26" s="3"/>
      <c r="HMP26" s="3"/>
      <c r="HMQ26" s="3"/>
      <c r="HMR26" s="3"/>
      <c r="HMS26" s="3"/>
      <c r="HMT26" s="3"/>
      <c r="HMU26" s="3"/>
      <c r="HMV26" s="3"/>
      <c r="HMW26" s="3"/>
      <c r="HMX26" s="3"/>
      <c r="HMY26" s="3"/>
      <c r="HMZ26" s="3"/>
      <c r="HNA26" s="3"/>
      <c r="HNB26" s="3"/>
      <c r="HNC26" s="3"/>
      <c r="HND26" s="3"/>
      <c r="HNE26" s="3"/>
      <c r="HNF26" s="3"/>
      <c r="HNG26" s="3"/>
      <c r="HNH26" s="3"/>
      <c r="HNI26" s="3"/>
      <c r="HNJ26" s="3"/>
      <c r="HNK26" s="3"/>
      <c r="HNL26" s="3"/>
      <c r="HNM26" s="3"/>
      <c r="HNN26" s="3"/>
      <c r="HNO26" s="3"/>
      <c r="HNP26" s="3"/>
      <c r="HNQ26" s="3"/>
      <c r="HNR26" s="3"/>
      <c r="HNS26" s="3"/>
      <c r="HNT26" s="3"/>
      <c r="HNU26" s="3"/>
      <c r="HNV26" s="3"/>
      <c r="HNW26" s="3"/>
      <c r="HNX26" s="3"/>
      <c r="HNY26" s="3"/>
      <c r="HNZ26" s="3"/>
      <c r="HOA26" s="3"/>
      <c r="HOB26" s="3"/>
      <c r="HOC26" s="3"/>
      <c r="HOD26" s="3"/>
      <c r="HOE26" s="3"/>
      <c r="HOF26" s="3"/>
      <c r="HOG26" s="3"/>
      <c r="HOH26" s="3"/>
      <c r="HOI26" s="3"/>
      <c r="HOJ26" s="3"/>
      <c r="HOK26" s="3"/>
      <c r="HOL26" s="3"/>
      <c r="HOM26" s="3"/>
      <c r="HON26" s="3"/>
      <c r="HOO26" s="3"/>
      <c r="HOP26" s="3"/>
      <c r="HOQ26" s="3"/>
      <c r="HOR26" s="3"/>
      <c r="HOS26" s="3"/>
      <c r="HOT26" s="3"/>
      <c r="HOU26" s="3"/>
      <c r="HOV26" s="3"/>
      <c r="HOW26" s="3"/>
      <c r="HOX26" s="3"/>
      <c r="HOY26" s="3"/>
      <c r="HOZ26" s="3"/>
      <c r="HPA26" s="3"/>
      <c r="HPB26" s="3"/>
      <c r="HPC26" s="3"/>
      <c r="HPD26" s="3"/>
      <c r="HPE26" s="3"/>
      <c r="HPF26" s="3"/>
      <c r="HPG26" s="3"/>
      <c r="HPH26" s="3"/>
      <c r="HPI26" s="3"/>
      <c r="HPJ26" s="3"/>
      <c r="HPK26" s="3"/>
      <c r="HPL26" s="3"/>
      <c r="HPM26" s="3"/>
      <c r="HPN26" s="3"/>
      <c r="HPO26" s="3"/>
      <c r="HPP26" s="3"/>
      <c r="HPQ26" s="3"/>
      <c r="HPR26" s="3"/>
      <c r="HPS26" s="3"/>
      <c r="HPT26" s="3"/>
      <c r="HPU26" s="3"/>
      <c r="HPV26" s="3"/>
      <c r="HPW26" s="3"/>
      <c r="HPX26" s="3"/>
      <c r="HPY26" s="3"/>
      <c r="HPZ26" s="3"/>
      <c r="HQA26" s="3"/>
      <c r="HQB26" s="3"/>
      <c r="HQC26" s="3"/>
      <c r="HQD26" s="3"/>
      <c r="HQE26" s="3"/>
      <c r="HQF26" s="3"/>
      <c r="HQG26" s="3"/>
      <c r="HQH26" s="3"/>
      <c r="HQI26" s="3"/>
      <c r="HQJ26" s="3"/>
      <c r="HQK26" s="3"/>
      <c r="HQL26" s="3"/>
      <c r="HQM26" s="3"/>
      <c r="HQN26" s="3"/>
      <c r="HQO26" s="3"/>
      <c r="HQP26" s="3"/>
      <c r="HQQ26" s="3"/>
      <c r="HQR26" s="3"/>
      <c r="HQS26" s="3"/>
      <c r="HQT26" s="3"/>
      <c r="HQU26" s="3"/>
      <c r="HQV26" s="3"/>
      <c r="HQW26" s="3"/>
      <c r="HQX26" s="3"/>
      <c r="HQY26" s="3"/>
      <c r="HQZ26" s="3"/>
      <c r="HRA26" s="3"/>
      <c r="HRB26" s="3"/>
      <c r="HRC26" s="3"/>
      <c r="HRD26" s="3"/>
      <c r="HRE26" s="3"/>
      <c r="HRF26" s="3"/>
      <c r="HRG26" s="3"/>
      <c r="HRH26" s="3"/>
      <c r="HRI26" s="3"/>
      <c r="HRJ26" s="3"/>
      <c r="HRK26" s="3"/>
      <c r="HRL26" s="3"/>
      <c r="HRM26" s="3"/>
      <c r="HRN26" s="3"/>
      <c r="HRO26" s="3"/>
      <c r="HRP26" s="3"/>
      <c r="HRQ26" s="3"/>
      <c r="HRR26" s="3"/>
      <c r="HRS26" s="3"/>
      <c r="HRT26" s="3"/>
      <c r="HRU26" s="3"/>
      <c r="HRV26" s="3"/>
      <c r="HRW26" s="3"/>
      <c r="HRX26" s="3"/>
      <c r="HRY26" s="3"/>
      <c r="HRZ26" s="3"/>
      <c r="HSA26" s="3"/>
      <c r="HSB26" s="3"/>
      <c r="HSC26" s="3"/>
      <c r="HSD26" s="3"/>
      <c r="HSE26" s="3"/>
      <c r="HSF26" s="3"/>
      <c r="HSG26" s="3"/>
      <c r="HSH26" s="3"/>
      <c r="HSI26" s="3"/>
      <c r="HSJ26" s="3"/>
      <c r="HSK26" s="3"/>
      <c r="HSL26" s="3"/>
      <c r="HSM26" s="3"/>
      <c r="HSN26" s="3"/>
      <c r="HSO26" s="3"/>
      <c r="HSP26" s="3"/>
      <c r="HSQ26" s="3"/>
      <c r="HSR26" s="3"/>
      <c r="HSS26" s="3"/>
      <c r="HST26" s="3"/>
      <c r="HSU26" s="3"/>
      <c r="HSV26" s="3"/>
      <c r="HSW26" s="3"/>
      <c r="HSX26" s="3"/>
      <c r="HSY26" s="3"/>
      <c r="HSZ26" s="3"/>
      <c r="HTA26" s="3"/>
      <c r="HTB26" s="3"/>
      <c r="HTC26" s="3"/>
      <c r="HTD26" s="3"/>
      <c r="HTE26" s="3"/>
      <c r="HTF26" s="3"/>
      <c r="HTG26" s="3"/>
      <c r="HTH26" s="3"/>
      <c r="HTI26" s="3"/>
      <c r="HTJ26" s="3"/>
      <c r="HTK26" s="3"/>
      <c r="HTL26" s="3"/>
      <c r="HTM26" s="3"/>
      <c r="HTN26" s="3"/>
      <c r="HTO26" s="3"/>
      <c r="HTP26" s="3"/>
      <c r="HTQ26" s="3"/>
      <c r="HTR26" s="3"/>
      <c r="HTS26" s="3"/>
      <c r="HTT26" s="3"/>
      <c r="HTU26" s="3"/>
      <c r="HTV26" s="3"/>
      <c r="HTW26" s="3"/>
      <c r="HTX26" s="3"/>
      <c r="HTY26" s="3"/>
      <c r="HTZ26" s="3"/>
      <c r="HUA26" s="3"/>
      <c r="HUB26" s="3"/>
      <c r="HUC26" s="3"/>
      <c r="HUD26" s="3"/>
      <c r="HUE26" s="3"/>
      <c r="HUF26" s="3"/>
      <c r="HUG26" s="3"/>
      <c r="HUH26" s="3"/>
      <c r="HUI26" s="3"/>
      <c r="HUJ26" s="3"/>
      <c r="HUK26" s="3"/>
      <c r="HUL26" s="3"/>
      <c r="HUM26" s="3"/>
      <c r="HUN26" s="3"/>
      <c r="HUO26" s="3"/>
      <c r="HUP26" s="3"/>
      <c r="HUQ26" s="3"/>
      <c r="HUR26" s="3"/>
      <c r="HUS26" s="3"/>
      <c r="HUT26" s="3"/>
      <c r="HUU26" s="3"/>
      <c r="HUV26" s="3"/>
      <c r="HUW26" s="3"/>
      <c r="HUX26" s="3"/>
      <c r="HUY26" s="3"/>
      <c r="HUZ26" s="3"/>
      <c r="HVA26" s="3"/>
      <c r="HVB26" s="3"/>
      <c r="HVC26" s="3"/>
      <c r="HVD26" s="3"/>
      <c r="HVE26" s="3"/>
      <c r="HVF26" s="3"/>
      <c r="HVG26" s="3"/>
      <c r="HVH26" s="3"/>
      <c r="HVI26" s="3"/>
      <c r="HVJ26" s="3"/>
      <c r="HVK26" s="3"/>
      <c r="HVL26" s="3"/>
      <c r="HVM26" s="3"/>
      <c r="HVN26" s="3"/>
      <c r="HVO26" s="3"/>
      <c r="HVP26" s="3"/>
      <c r="HVQ26" s="3"/>
      <c r="HVR26" s="3"/>
      <c r="HVS26" s="3"/>
      <c r="HVT26" s="3"/>
      <c r="HVU26" s="3"/>
      <c r="HVV26" s="3"/>
      <c r="HVW26" s="3"/>
      <c r="HVX26" s="3"/>
      <c r="HVY26" s="3"/>
      <c r="HVZ26" s="3"/>
      <c r="HWA26" s="3"/>
      <c r="HWB26" s="3"/>
      <c r="HWC26" s="3"/>
      <c r="HWD26" s="3"/>
      <c r="HWE26" s="3"/>
      <c r="HWF26" s="3"/>
      <c r="HWG26" s="3"/>
      <c r="HWH26" s="3"/>
      <c r="HWI26" s="3"/>
      <c r="HWJ26" s="3"/>
      <c r="HWK26" s="3"/>
      <c r="HWL26" s="3"/>
      <c r="HWM26" s="3"/>
      <c r="HWN26" s="3"/>
      <c r="HWO26" s="3"/>
      <c r="HWP26" s="3"/>
      <c r="HWQ26" s="3"/>
      <c r="HWR26" s="3"/>
      <c r="HWS26" s="3"/>
      <c r="HWT26" s="3"/>
      <c r="HWU26" s="3"/>
      <c r="HWV26" s="3"/>
      <c r="HWW26" s="3"/>
      <c r="HWX26" s="3"/>
      <c r="HWY26" s="3"/>
      <c r="HWZ26" s="3"/>
      <c r="HXA26" s="3"/>
      <c r="HXB26" s="3"/>
      <c r="HXC26" s="3"/>
      <c r="HXD26" s="3"/>
      <c r="HXE26" s="3"/>
      <c r="HXF26" s="3"/>
      <c r="HXG26" s="3"/>
      <c r="HXH26" s="3"/>
      <c r="HXI26" s="3"/>
      <c r="HXJ26" s="3"/>
      <c r="HXK26" s="3"/>
      <c r="HXL26" s="3"/>
      <c r="HXM26" s="3"/>
      <c r="HXN26" s="3"/>
      <c r="HXO26" s="3"/>
      <c r="HXP26" s="3"/>
      <c r="HXQ26" s="3"/>
      <c r="HXR26" s="3"/>
      <c r="HXS26" s="3"/>
      <c r="HXT26" s="3"/>
      <c r="HXU26" s="3"/>
      <c r="HXV26" s="3"/>
      <c r="HXW26" s="3"/>
      <c r="HXX26" s="3"/>
      <c r="HXY26" s="3"/>
      <c r="HXZ26" s="3"/>
      <c r="HYA26" s="3"/>
      <c r="HYB26" s="3"/>
      <c r="HYC26" s="3"/>
      <c r="HYD26" s="3"/>
      <c r="HYE26" s="3"/>
      <c r="HYF26" s="3"/>
      <c r="HYG26" s="3"/>
      <c r="HYH26" s="3"/>
      <c r="HYI26" s="3"/>
      <c r="HYJ26" s="3"/>
      <c r="HYK26" s="3"/>
      <c r="HYL26" s="3"/>
      <c r="HYM26" s="3"/>
      <c r="HYN26" s="3"/>
      <c r="HYO26" s="3"/>
      <c r="HYP26" s="3"/>
      <c r="HYQ26" s="3"/>
      <c r="HYR26" s="3"/>
      <c r="HYS26" s="3"/>
      <c r="HYT26" s="3"/>
      <c r="HYU26" s="3"/>
      <c r="HYV26" s="3"/>
      <c r="HYW26" s="3"/>
      <c r="HYX26" s="3"/>
      <c r="HYY26" s="3"/>
      <c r="HYZ26" s="3"/>
      <c r="HZA26" s="3"/>
      <c r="HZB26" s="3"/>
      <c r="HZC26" s="3"/>
      <c r="HZD26" s="3"/>
      <c r="HZE26" s="3"/>
      <c r="HZF26" s="3"/>
      <c r="HZG26" s="3"/>
      <c r="HZH26" s="3"/>
      <c r="HZI26" s="3"/>
      <c r="HZJ26" s="3"/>
      <c r="HZK26" s="3"/>
      <c r="HZL26" s="3"/>
      <c r="HZM26" s="3"/>
      <c r="HZN26" s="3"/>
      <c r="HZO26" s="3"/>
      <c r="HZP26" s="3"/>
      <c r="HZQ26" s="3"/>
      <c r="HZR26" s="3"/>
      <c r="HZS26" s="3"/>
      <c r="HZT26" s="3"/>
      <c r="HZU26" s="3"/>
      <c r="HZV26" s="3"/>
      <c r="HZW26" s="3"/>
      <c r="HZX26" s="3"/>
      <c r="HZY26" s="3"/>
      <c r="HZZ26" s="3"/>
      <c r="IAA26" s="3"/>
      <c r="IAB26" s="3"/>
      <c r="IAC26" s="3"/>
      <c r="IAD26" s="3"/>
      <c r="IAE26" s="3"/>
      <c r="IAF26" s="3"/>
      <c r="IAG26" s="3"/>
      <c r="IAH26" s="3"/>
      <c r="IAI26" s="3"/>
      <c r="IAJ26" s="3"/>
      <c r="IAK26" s="3"/>
      <c r="IAL26" s="3"/>
      <c r="IAM26" s="3"/>
      <c r="IAN26" s="3"/>
      <c r="IAO26" s="3"/>
      <c r="IAP26" s="3"/>
      <c r="IAQ26" s="3"/>
      <c r="IAR26" s="3"/>
      <c r="IAS26" s="3"/>
      <c r="IAT26" s="3"/>
      <c r="IAU26" s="3"/>
      <c r="IAV26" s="3"/>
      <c r="IAW26" s="3"/>
      <c r="IAX26" s="3"/>
      <c r="IAY26" s="3"/>
      <c r="IAZ26" s="3"/>
      <c r="IBA26" s="3"/>
      <c r="IBB26" s="3"/>
      <c r="IBC26" s="3"/>
      <c r="IBD26" s="3"/>
      <c r="IBE26" s="3"/>
      <c r="IBF26" s="3"/>
      <c r="IBG26" s="3"/>
      <c r="IBH26" s="3"/>
      <c r="IBI26" s="3"/>
      <c r="IBJ26" s="3"/>
      <c r="IBK26" s="3"/>
      <c r="IBL26" s="3"/>
      <c r="IBM26" s="3"/>
      <c r="IBN26" s="3"/>
      <c r="IBO26" s="3"/>
      <c r="IBP26" s="3"/>
      <c r="IBQ26" s="3"/>
      <c r="IBR26" s="3"/>
      <c r="IBS26" s="3"/>
      <c r="IBT26" s="3"/>
      <c r="IBU26" s="3"/>
      <c r="IBV26" s="3"/>
      <c r="IBW26" s="3"/>
      <c r="IBX26" s="3"/>
      <c r="IBY26" s="3"/>
      <c r="IBZ26" s="3"/>
      <c r="ICA26" s="3"/>
      <c r="ICB26" s="3"/>
      <c r="ICC26" s="3"/>
      <c r="ICD26" s="3"/>
      <c r="ICE26" s="3"/>
      <c r="ICF26" s="3"/>
      <c r="ICG26" s="3"/>
      <c r="ICH26" s="3"/>
      <c r="ICI26" s="3"/>
      <c r="ICJ26" s="3"/>
      <c r="ICK26" s="3"/>
      <c r="ICL26" s="3"/>
      <c r="ICM26" s="3"/>
      <c r="ICN26" s="3"/>
      <c r="ICO26" s="3"/>
      <c r="ICP26" s="3"/>
      <c r="ICQ26" s="3"/>
      <c r="ICR26" s="3"/>
      <c r="ICS26" s="3"/>
      <c r="ICT26" s="3"/>
      <c r="ICU26" s="3"/>
      <c r="ICV26" s="3"/>
      <c r="ICW26" s="3"/>
      <c r="ICX26" s="3"/>
      <c r="ICY26" s="3"/>
      <c r="ICZ26" s="3"/>
      <c r="IDA26" s="3"/>
      <c r="IDB26" s="3"/>
      <c r="IDC26" s="3"/>
      <c r="IDD26" s="3"/>
      <c r="IDE26" s="3"/>
      <c r="IDF26" s="3"/>
      <c r="IDG26" s="3"/>
      <c r="IDH26" s="3"/>
      <c r="IDI26" s="3"/>
      <c r="IDJ26" s="3"/>
      <c r="IDK26" s="3"/>
      <c r="IDL26" s="3"/>
      <c r="IDM26" s="3"/>
      <c r="IDN26" s="3"/>
      <c r="IDO26" s="3"/>
      <c r="IDP26" s="3"/>
      <c r="IDQ26" s="3"/>
      <c r="IDR26" s="3"/>
      <c r="IDS26" s="3"/>
      <c r="IDT26" s="3"/>
      <c r="IDU26" s="3"/>
      <c r="IDV26" s="3"/>
      <c r="IDW26" s="3"/>
      <c r="IDX26" s="3"/>
      <c r="IDY26" s="3"/>
      <c r="IDZ26" s="3"/>
      <c r="IEA26" s="3"/>
      <c r="IEB26" s="3"/>
      <c r="IEC26" s="3"/>
      <c r="IED26" s="3"/>
      <c r="IEE26" s="3"/>
      <c r="IEF26" s="3"/>
      <c r="IEG26" s="3"/>
      <c r="IEH26" s="3"/>
      <c r="IEI26" s="3"/>
      <c r="IEJ26" s="3"/>
      <c r="IEK26" s="3"/>
      <c r="IEL26" s="3"/>
      <c r="IEM26" s="3"/>
      <c r="IEN26" s="3"/>
      <c r="IEO26" s="3"/>
      <c r="IEP26" s="3"/>
      <c r="IEQ26" s="3"/>
      <c r="IER26" s="3"/>
      <c r="IES26" s="3"/>
      <c r="IET26" s="3"/>
      <c r="IEU26" s="3"/>
      <c r="IEV26" s="3"/>
      <c r="IEW26" s="3"/>
      <c r="IEX26" s="3"/>
      <c r="IEY26" s="3"/>
      <c r="IEZ26" s="3"/>
      <c r="IFA26" s="3"/>
      <c r="IFB26" s="3"/>
      <c r="IFC26" s="3"/>
      <c r="IFD26" s="3"/>
      <c r="IFE26" s="3"/>
      <c r="IFF26" s="3"/>
      <c r="IFG26" s="3"/>
      <c r="IFH26" s="3"/>
      <c r="IFI26" s="3"/>
      <c r="IFJ26" s="3"/>
      <c r="IFK26" s="3"/>
      <c r="IFL26" s="3"/>
      <c r="IFM26" s="3"/>
      <c r="IFN26" s="3"/>
      <c r="IFO26" s="3"/>
      <c r="IFP26" s="3"/>
      <c r="IFQ26" s="3"/>
      <c r="IFR26" s="3"/>
      <c r="IFS26" s="3"/>
      <c r="IFT26" s="3"/>
      <c r="IFU26" s="3"/>
      <c r="IFV26" s="3"/>
      <c r="IFW26" s="3"/>
      <c r="IFX26" s="3"/>
      <c r="IFY26" s="3"/>
      <c r="IFZ26" s="3"/>
      <c r="IGA26" s="3"/>
      <c r="IGB26" s="3"/>
      <c r="IGC26" s="3"/>
      <c r="IGD26" s="3"/>
      <c r="IGE26" s="3"/>
      <c r="IGF26" s="3"/>
      <c r="IGG26" s="3"/>
      <c r="IGH26" s="3"/>
      <c r="IGI26" s="3"/>
      <c r="IGJ26" s="3"/>
      <c r="IGK26" s="3"/>
      <c r="IGL26" s="3"/>
      <c r="IGM26" s="3"/>
      <c r="IGN26" s="3"/>
      <c r="IGO26" s="3"/>
      <c r="IGP26" s="3"/>
      <c r="IGQ26" s="3"/>
      <c r="IGR26" s="3"/>
      <c r="IGS26" s="3"/>
      <c r="IGT26" s="3"/>
      <c r="IGU26" s="3"/>
      <c r="IGV26" s="3"/>
      <c r="IGW26" s="3"/>
      <c r="IGX26" s="3"/>
      <c r="IGY26" s="3"/>
      <c r="IGZ26" s="3"/>
      <c r="IHA26" s="3"/>
      <c r="IHB26" s="3"/>
      <c r="IHC26" s="3"/>
      <c r="IHD26" s="3"/>
      <c r="IHE26" s="3"/>
      <c r="IHF26" s="3"/>
      <c r="IHG26" s="3"/>
      <c r="IHH26" s="3"/>
      <c r="IHI26" s="3"/>
      <c r="IHJ26" s="3"/>
      <c r="IHK26" s="3"/>
      <c r="IHL26" s="3"/>
      <c r="IHM26" s="3"/>
      <c r="IHN26" s="3"/>
      <c r="IHO26" s="3"/>
      <c r="IHP26" s="3"/>
      <c r="IHQ26" s="3"/>
      <c r="IHR26" s="3"/>
      <c r="IHS26" s="3"/>
      <c r="IHT26" s="3"/>
      <c r="IHU26" s="3"/>
      <c r="IHV26" s="3"/>
      <c r="IHW26" s="3"/>
      <c r="IHX26" s="3"/>
      <c r="IHY26" s="3"/>
      <c r="IHZ26" s="3"/>
      <c r="IIA26" s="3"/>
      <c r="IIB26" s="3"/>
      <c r="IIC26" s="3"/>
      <c r="IID26" s="3"/>
      <c r="IIE26" s="3"/>
      <c r="IIF26" s="3"/>
      <c r="IIG26" s="3"/>
      <c r="IIH26" s="3"/>
      <c r="III26" s="3"/>
      <c r="IIJ26" s="3"/>
      <c r="IIK26" s="3"/>
      <c r="IIL26" s="3"/>
      <c r="IIM26" s="3"/>
      <c r="IIN26" s="3"/>
      <c r="IIO26" s="3"/>
      <c r="IIP26" s="3"/>
      <c r="IIQ26" s="3"/>
      <c r="IIR26" s="3"/>
      <c r="IIS26" s="3"/>
      <c r="IIT26" s="3"/>
      <c r="IIU26" s="3"/>
      <c r="IIV26" s="3"/>
      <c r="IIW26" s="3"/>
      <c r="IIX26" s="3"/>
      <c r="IIY26" s="3"/>
      <c r="IIZ26" s="3"/>
      <c r="IJA26" s="3"/>
      <c r="IJB26" s="3"/>
      <c r="IJC26" s="3"/>
      <c r="IJD26" s="3"/>
      <c r="IJE26" s="3"/>
      <c r="IJF26" s="3"/>
      <c r="IJG26" s="3"/>
      <c r="IJH26" s="3"/>
      <c r="IJI26" s="3"/>
      <c r="IJJ26" s="3"/>
      <c r="IJK26" s="3"/>
      <c r="IJL26" s="3"/>
      <c r="IJM26" s="3"/>
      <c r="IJN26" s="3"/>
      <c r="IJO26" s="3"/>
      <c r="IJP26" s="3"/>
      <c r="IJQ26" s="3"/>
      <c r="IJR26" s="3"/>
      <c r="IJS26" s="3"/>
      <c r="IJT26" s="3"/>
      <c r="IJU26" s="3"/>
      <c r="IJV26" s="3"/>
      <c r="IJW26" s="3"/>
      <c r="IJX26" s="3"/>
      <c r="IJY26" s="3"/>
      <c r="IJZ26" s="3"/>
      <c r="IKA26" s="3"/>
      <c r="IKB26" s="3"/>
      <c r="IKC26" s="3"/>
      <c r="IKD26" s="3"/>
      <c r="IKE26" s="3"/>
      <c r="IKF26" s="3"/>
      <c r="IKG26" s="3"/>
      <c r="IKH26" s="3"/>
      <c r="IKI26" s="3"/>
      <c r="IKJ26" s="3"/>
      <c r="IKK26" s="3"/>
      <c r="IKL26" s="3"/>
      <c r="IKM26" s="3"/>
      <c r="IKN26" s="3"/>
      <c r="IKO26" s="3"/>
      <c r="IKP26" s="3"/>
      <c r="IKQ26" s="3"/>
      <c r="IKR26" s="3"/>
      <c r="IKS26" s="3"/>
      <c r="IKT26" s="3"/>
      <c r="IKU26" s="3"/>
      <c r="IKV26" s="3"/>
      <c r="IKW26" s="3"/>
      <c r="IKX26" s="3"/>
      <c r="IKY26" s="3"/>
      <c r="IKZ26" s="3"/>
      <c r="ILA26" s="3"/>
      <c r="ILB26" s="3"/>
      <c r="ILC26" s="3"/>
      <c r="ILD26" s="3"/>
      <c r="ILE26" s="3"/>
      <c r="ILF26" s="3"/>
      <c r="ILG26" s="3"/>
      <c r="ILH26" s="3"/>
      <c r="ILI26" s="3"/>
      <c r="ILJ26" s="3"/>
      <c r="ILK26" s="3"/>
      <c r="ILL26" s="3"/>
      <c r="ILM26" s="3"/>
      <c r="ILN26" s="3"/>
      <c r="ILO26" s="3"/>
      <c r="ILP26" s="3"/>
      <c r="ILQ26" s="3"/>
      <c r="ILR26" s="3"/>
      <c r="ILS26" s="3"/>
      <c r="ILT26" s="3"/>
      <c r="ILU26" s="3"/>
      <c r="ILV26" s="3"/>
      <c r="ILW26" s="3"/>
      <c r="ILX26" s="3"/>
      <c r="ILY26" s="3"/>
      <c r="ILZ26" s="3"/>
      <c r="IMA26" s="3"/>
      <c r="IMB26" s="3"/>
      <c r="IMC26" s="3"/>
      <c r="IMD26" s="3"/>
      <c r="IME26" s="3"/>
      <c r="IMF26" s="3"/>
      <c r="IMG26" s="3"/>
      <c r="IMH26" s="3"/>
      <c r="IMI26" s="3"/>
      <c r="IMJ26" s="3"/>
      <c r="IMK26" s="3"/>
      <c r="IML26" s="3"/>
      <c r="IMM26" s="3"/>
      <c r="IMN26" s="3"/>
      <c r="IMO26" s="3"/>
      <c r="IMP26" s="3"/>
      <c r="IMQ26" s="3"/>
      <c r="IMR26" s="3"/>
      <c r="IMS26" s="3"/>
      <c r="IMT26" s="3"/>
      <c r="IMU26" s="3"/>
      <c r="IMV26" s="3"/>
      <c r="IMW26" s="3"/>
      <c r="IMX26" s="3"/>
      <c r="IMY26" s="3"/>
      <c r="IMZ26" s="3"/>
      <c r="INA26" s="3"/>
      <c r="INB26" s="3"/>
      <c r="INC26" s="3"/>
      <c r="IND26" s="3"/>
      <c r="INE26" s="3"/>
      <c r="INF26" s="3"/>
      <c r="ING26" s="3"/>
      <c r="INH26" s="3"/>
      <c r="INI26" s="3"/>
      <c r="INJ26" s="3"/>
      <c r="INK26" s="3"/>
      <c r="INL26" s="3"/>
      <c r="INM26" s="3"/>
      <c r="INN26" s="3"/>
      <c r="INO26" s="3"/>
      <c r="INP26" s="3"/>
      <c r="INQ26" s="3"/>
      <c r="INR26" s="3"/>
      <c r="INS26" s="3"/>
      <c r="INT26" s="3"/>
      <c r="INU26" s="3"/>
      <c r="INV26" s="3"/>
      <c r="INW26" s="3"/>
      <c r="INX26" s="3"/>
      <c r="INY26" s="3"/>
      <c r="INZ26" s="3"/>
      <c r="IOA26" s="3"/>
      <c r="IOB26" s="3"/>
      <c r="IOC26" s="3"/>
      <c r="IOD26" s="3"/>
      <c r="IOE26" s="3"/>
      <c r="IOF26" s="3"/>
      <c r="IOG26" s="3"/>
      <c r="IOH26" s="3"/>
      <c r="IOI26" s="3"/>
      <c r="IOJ26" s="3"/>
      <c r="IOK26" s="3"/>
      <c r="IOL26" s="3"/>
      <c r="IOM26" s="3"/>
      <c r="ION26" s="3"/>
      <c r="IOO26" s="3"/>
      <c r="IOP26" s="3"/>
      <c r="IOQ26" s="3"/>
      <c r="IOR26" s="3"/>
      <c r="IOS26" s="3"/>
      <c r="IOT26" s="3"/>
      <c r="IOU26" s="3"/>
      <c r="IOV26" s="3"/>
      <c r="IOW26" s="3"/>
      <c r="IOX26" s="3"/>
      <c r="IOY26" s="3"/>
      <c r="IOZ26" s="3"/>
      <c r="IPA26" s="3"/>
      <c r="IPB26" s="3"/>
      <c r="IPC26" s="3"/>
      <c r="IPD26" s="3"/>
      <c r="IPE26" s="3"/>
      <c r="IPF26" s="3"/>
      <c r="IPG26" s="3"/>
      <c r="IPH26" s="3"/>
      <c r="IPI26" s="3"/>
      <c r="IPJ26" s="3"/>
      <c r="IPK26" s="3"/>
      <c r="IPL26" s="3"/>
      <c r="IPM26" s="3"/>
      <c r="IPN26" s="3"/>
      <c r="IPO26" s="3"/>
      <c r="IPP26" s="3"/>
      <c r="IPQ26" s="3"/>
      <c r="IPR26" s="3"/>
      <c r="IPS26" s="3"/>
      <c r="IPT26" s="3"/>
      <c r="IPU26" s="3"/>
      <c r="IPV26" s="3"/>
      <c r="IPW26" s="3"/>
      <c r="IPX26" s="3"/>
      <c r="IPY26" s="3"/>
      <c r="IPZ26" s="3"/>
      <c r="IQA26" s="3"/>
      <c r="IQB26" s="3"/>
      <c r="IQC26" s="3"/>
      <c r="IQD26" s="3"/>
      <c r="IQE26" s="3"/>
      <c r="IQF26" s="3"/>
      <c r="IQG26" s="3"/>
      <c r="IQH26" s="3"/>
      <c r="IQI26" s="3"/>
      <c r="IQJ26" s="3"/>
      <c r="IQK26" s="3"/>
      <c r="IQL26" s="3"/>
      <c r="IQM26" s="3"/>
      <c r="IQN26" s="3"/>
      <c r="IQO26" s="3"/>
      <c r="IQP26" s="3"/>
      <c r="IQQ26" s="3"/>
      <c r="IQR26" s="3"/>
      <c r="IQS26" s="3"/>
      <c r="IQT26" s="3"/>
      <c r="IQU26" s="3"/>
      <c r="IQV26" s="3"/>
      <c r="IQW26" s="3"/>
      <c r="IQX26" s="3"/>
      <c r="IQY26" s="3"/>
      <c r="IQZ26" s="3"/>
      <c r="IRA26" s="3"/>
      <c r="IRB26" s="3"/>
      <c r="IRC26" s="3"/>
      <c r="IRD26" s="3"/>
      <c r="IRE26" s="3"/>
      <c r="IRF26" s="3"/>
      <c r="IRG26" s="3"/>
      <c r="IRH26" s="3"/>
      <c r="IRI26" s="3"/>
      <c r="IRJ26" s="3"/>
      <c r="IRK26" s="3"/>
      <c r="IRL26" s="3"/>
      <c r="IRM26" s="3"/>
      <c r="IRN26" s="3"/>
      <c r="IRO26" s="3"/>
      <c r="IRP26" s="3"/>
      <c r="IRQ26" s="3"/>
      <c r="IRR26" s="3"/>
      <c r="IRS26" s="3"/>
      <c r="IRT26" s="3"/>
      <c r="IRU26" s="3"/>
      <c r="IRV26" s="3"/>
      <c r="IRW26" s="3"/>
      <c r="IRX26" s="3"/>
      <c r="IRY26" s="3"/>
      <c r="IRZ26" s="3"/>
      <c r="ISA26" s="3"/>
      <c r="ISB26" s="3"/>
      <c r="ISC26" s="3"/>
      <c r="ISD26" s="3"/>
      <c r="ISE26" s="3"/>
      <c r="ISF26" s="3"/>
      <c r="ISG26" s="3"/>
      <c r="ISH26" s="3"/>
      <c r="ISI26" s="3"/>
      <c r="ISJ26" s="3"/>
      <c r="ISK26" s="3"/>
      <c r="ISL26" s="3"/>
      <c r="ISM26" s="3"/>
      <c r="ISN26" s="3"/>
      <c r="ISO26" s="3"/>
      <c r="ISP26" s="3"/>
      <c r="ISQ26" s="3"/>
      <c r="ISR26" s="3"/>
      <c r="ISS26" s="3"/>
      <c r="IST26" s="3"/>
      <c r="ISU26" s="3"/>
      <c r="ISV26" s="3"/>
      <c r="ISW26" s="3"/>
      <c r="ISX26" s="3"/>
      <c r="ISY26" s="3"/>
      <c r="ISZ26" s="3"/>
      <c r="ITA26" s="3"/>
      <c r="ITB26" s="3"/>
      <c r="ITC26" s="3"/>
      <c r="ITD26" s="3"/>
      <c r="ITE26" s="3"/>
      <c r="ITF26" s="3"/>
      <c r="ITG26" s="3"/>
      <c r="ITH26" s="3"/>
      <c r="ITI26" s="3"/>
      <c r="ITJ26" s="3"/>
      <c r="ITK26" s="3"/>
      <c r="ITL26" s="3"/>
      <c r="ITM26" s="3"/>
      <c r="ITN26" s="3"/>
      <c r="ITO26" s="3"/>
      <c r="ITP26" s="3"/>
      <c r="ITQ26" s="3"/>
      <c r="ITR26" s="3"/>
      <c r="ITS26" s="3"/>
      <c r="ITT26" s="3"/>
      <c r="ITU26" s="3"/>
      <c r="ITV26" s="3"/>
      <c r="ITW26" s="3"/>
      <c r="ITX26" s="3"/>
      <c r="ITY26" s="3"/>
      <c r="ITZ26" s="3"/>
      <c r="IUA26" s="3"/>
      <c r="IUB26" s="3"/>
      <c r="IUC26" s="3"/>
      <c r="IUD26" s="3"/>
      <c r="IUE26" s="3"/>
      <c r="IUF26" s="3"/>
      <c r="IUG26" s="3"/>
      <c r="IUH26" s="3"/>
      <c r="IUI26" s="3"/>
      <c r="IUJ26" s="3"/>
      <c r="IUK26" s="3"/>
      <c r="IUL26" s="3"/>
      <c r="IUM26" s="3"/>
      <c r="IUN26" s="3"/>
      <c r="IUO26" s="3"/>
      <c r="IUP26" s="3"/>
      <c r="IUQ26" s="3"/>
      <c r="IUR26" s="3"/>
      <c r="IUS26" s="3"/>
      <c r="IUT26" s="3"/>
      <c r="IUU26" s="3"/>
      <c r="IUV26" s="3"/>
      <c r="IUW26" s="3"/>
      <c r="IUX26" s="3"/>
      <c r="IUY26" s="3"/>
      <c r="IUZ26" s="3"/>
      <c r="IVA26" s="3"/>
      <c r="IVB26" s="3"/>
      <c r="IVC26" s="3"/>
      <c r="IVD26" s="3"/>
      <c r="IVE26" s="3"/>
      <c r="IVF26" s="3"/>
      <c r="IVG26" s="3"/>
      <c r="IVH26" s="3"/>
      <c r="IVI26" s="3"/>
      <c r="IVJ26" s="3"/>
      <c r="IVK26" s="3"/>
      <c r="IVL26" s="3"/>
      <c r="IVM26" s="3"/>
      <c r="IVN26" s="3"/>
      <c r="IVO26" s="3"/>
      <c r="IVP26" s="3"/>
      <c r="IVQ26" s="3"/>
      <c r="IVR26" s="3"/>
      <c r="IVS26" s="3"/>
      <c r="IVT26" s="3"/>
      <c r="IVU26" s="3"/>
      <c r="IVV26" s="3"/>
      <c r="IVW26" s="3"/>
      <c r="IVX26" s="3"/>
      <c r="IVY26" s="3"/>
      <c r="IVZ26" s="3"/>
      <c r="IWA26" s="3"/>
      <c r="IWB26" s="3"/>
      <c r="IWC26" s="3"/>
      <c r="IWD26" s="3"/>
      <c r="IWE26" s="3"/>
      <c r="IWF26" s="3"/>
      <c r="IWG26" s="3"/>
      <c r="IWH26" s="3"/>
      <c r="IWI26" s="3"/>
      <c r="IWJ26" s="3"/>
      <c r="IWK26" s="3"/>
      <c r="IWL26" s="3"/>
      <c r="IWM26" s="3"/>
      <c r="IWN26" s="3"/>
      <c r="IWO26" s="3"/>
      <c r="IWP26" s="3"/>
      <c r="IWQ26" s="3"/>
      <c r="IWR26" s="3"/>
      <c r="IWS26" s="3"/>
      <c r="IWT26" s="3"/>
      <c r="IWU26" s="3"/>
      <c r="IWV26" s="3"/>
      <c r="IWW26" s="3"/>
      <c r="IWX26" s="3"/>
      <c r="IWY26" s="3"/>
      <c r="IWZ26" s="3"/>
      <c r="IXA26" s="3"/>
      <c r="IXB26" s="3"/>
      <c r="IXC26" s="3"/>
      <c r="IXD26" s="3"/>
      <c r="IXE26" s="3"/>
      <c r="IXF26" s="3"/>
      <c r="IXG26" s="3"/>
      <c r="IXH26" s="3"/>
      <c r="IXI26" s="3"/>
      <c r="IXJ26" s="3"/>
      <c r="IXK26" s="3"/>
      <c r="IXL26" s="3"/>
      <c r="IXM26" s="3"/>
      <c r="IXN26" s="3"/>
      <c r="IXO26" s="3"/>
      <c r="IXP26" s="3"/>
      <c r="IXQ26" s="3"/>
      <c r="IXR26" s="3"/>
      <c r="IXS26" s="3"/>
      <c r="IXT26" s="3"/>
      <c r="IXU26" s="3"/>
      <c r="IXV26" s="3"/>
      <c r="IXW26" s="3"/>
      <c r="IXX26" s="3"/>
      <c r="IXY26" s="3"/>
      <c r="IXZ26" s="3"/>
      <c r="IYA26" s="3"/>
      <c r="IYB26" s="3"/>
      <c r="IYC26" s="3"/>
      <c r="IYD26" s="3"/>
      <c r="IYE26" s="3"/>
      <c r="IYF26" s="3"/>
      <c r="IYG26" s="3"/>
      <c r="IYH26" s="3"/>
      <c r="IYI26" s="3"/>
      <c r="IYJ26" s="3"/>
      <c r="IYK26" s="3"/>
      <c r="IYL26" s="3"/>
      <c r="IYM26" s="3"/>
      <c r="IYN26" s="3"/>
      <c r="IYO26" s="3"/>
      <c r="IYP26" s="3"/>
      <c r="IYQ26" s="3"/>
      <c r="IYR26" s="3"/>
      <c r="IYS26" s="3"/>
      <c r="IYT26" s="3"/>
      <c r="IYU26" s="3"/>
      <c r="IYV26" s="3"/>
      <c r="IYW26" s="3"/>
      <c r="IYX26" s="3"/>
      <c r="IYY26" s="3"/>
      <c r="IYZ26" s="3"/>
      <c r="IZA26" s="3"/>
      <c r="IZB26" s="3"/>
      <c r="IZC26" s="3"/>
      <c r="IZD26" s="3"/>
      <c r="IZE26" s="3"/>
      <c r="IZF26" s="3"/>
      <c r="IZG26" s="3"/>
      <c r="IZH26" s="3"/>
      <c r="IZI26" s="3"/>
      <c r="IZJ26" s="3"/>
      <c r="IZK26" s="3"/>
      <c r="IZL26" s="3"/>
      <c r="IZM26" s="3"/>
      <c r="IZN26" s="3"/>
      <c r="IZO26" s="3"/>
      <c r="IZP26" s="3"/>
      <c r="IZQ26" s="3"/>
      <c r="IZR26" s="3"/>
      <c r="IZS26" s="3"/>
      <c r="IZT26" s="3"/>
      <c r="IZU26" s="3"/>
      <c r="IZV26" s="3"/>
      <c r="IZW26" s="3"/>
      <c r="IZX26" s="3"/>
      <c r="IZY26" s="3"/>
      <c r="IZZ26" s="3"/>
      <c r="JAA26" s="3"/>
      <c r="JAB26" s="3"/>
      <c r="JAC26" s="3"/>
      <c r="JAD26" s="3"/>
      <c r="JAE26" s="3"/>
      <c r="JAF26" s="3"/>
      <c r="JAG26" s="3"/>
      <c r="JAH26" s="3"/>
      <c r="JAI26" s="3"/>
      <c r="JAJ26" s="3"/>
      <c r="JAK26" s="3"/>
      <c r="JAL26" s="3"/>
      <c r="JAM26" s="3"/>
      <c r="JAN26" s="3"/>
      <c r="JAO26" s="3"/>
      <c r="JAP26" s="3"/>
      <c r="JAQ26" s="3"/>
      <c r="JAR26" s="3"/>
      <c r="JAS26" s="3"/>
      <c r="JAT26" s="3"/>
      <c r="JAU26" s="3"/>
      <c r="JAV26" s="3"/>
      <c r="JAW26" s="3"/>
      <c r="JAX26" s="3"/>
      <c r="JAY26" s="3"/>
      <c r="JAZ26" s="3"/>
      <c r="JBA26" s="3"/>
      <c r="JBB26" s="3"/>
      <c r="JBC26" s="3"/>
      <c r="JBD26" s="3"/>
      <c r="JBE26" s="3"/>
      <c r="JBF26" s="3"/>
      <c r="JBG26" s="3"/>
      <c r="JBH26" s="3"/>
      <c r="JBI26" s="3"/>
      <c r="JBJ26" s="3"/>
      <c r="JBK26" s="3"/>
      <c r="JBL26" s="3"/>
      <c r="JBM26" s="3"/>
      <c r="JBN26" s="3"/>
      <c r="JBO26" s="3"/>
      <c r="JBP26" s="3"/>
      <c r="JBQ26" s="3"/>
      <c r="JBR26" s="3"/>
      <c r="JBS26" s="3"/>
      <c r="JBT26" s="3"/>
      <c r="JBU26" s="3"/>
      <c r="JBV26" s="3"/>
      <c r="JBW26" s="3"/>
      <c r="JBX26" s="3"/>
      <c r="JBY26" s="3"/>
      <c r="JBZ26" s="3"/>
      <c r="JCA26" s="3"/>
      <c r="JCB26" s="3"/>
      <c r="JCC26" s="3"/>
      <c r="JCD26" s="3"/>
      <c r="JCE26" s="3"/>
      <c r="JCF26" s="3"/>
      <c r="JCG26" s="3"/>
      <c r="JCH26" s="3"/>
      <c r="JCI26" s="3"/>
      <c r="JCJ26" s="3"/>
      <c r="JCK26" s="3"/>
      <c r="JCL26" s="3"/>
      <c r="JCM26" s="3"/>
      <c r="JCN26" s="3"/>
      <c r="JCO26" s="3"/>
      <c r="JCP26" s="3"/>
      <c r="JCQ26" s="3"/>
      <c r="JCR26" s="3"/>
      <c r="JCS26" s="3"/>
      <c r="JCT26" s="3"/>
      <c r="JCU26" s="3"/>
      <c r="JCV26" s="3"/>
      <c r="JCW26" s="3"/>
      <c r="JCX26" s="3"/>
      <c r="JCY26" s="3"/>
      <c r="JCZ26" s="3"/>
      <c r="JDA26" s="3"/>
      <c r="JDB26" s="3"/>
      <c r="JDC26" s="3"/>
      <c r="JDD26" s="3"/>
      <c r="JDE26" s="3"/>
      <c r="JDF26" s="3"/>
      <c r="JDG26" s="3"/>
      <c r="JDH26" s="3"/>
      <c r="JDI26" s="3"/>
      <c r="JDJ26" s="3"/>
      <c r="JDK26" s="3"/>
      <c r="JDL26" s="3"/>
      <c r="JDM26" s="3"/>
      <c r="JDN26" s="3"/>
      <c r="JDO26" s="3"/>
      <c r="JDP26" s="3"/>
      <c r="JDQ26" s="3"/>
      <c r="JDR26" s="3"/>
      <c r="JDS26" s="3"/>
      <c r="JDT26" s="3"/>
      <c r="JDU26" s="3"/>
      <c r="JDV26" s="3"/>
      <c r="JDW26" s="3"/>
      <c r="JDX26" s="3"/>
      <c r="JDY26" s="3"/>
      <c r="JDZ26" s="3"/>
      <c r="JEA26" s="3"/>
      <c r="JEB26" s="3"/>
      <c r="JEC26" s="3"/>
      <c r="JED26" s="3"/>
      <c r="JEE26" s="3"/>
      <c r="JEF26" s="3"/>
      <c r="JEG26" s="3"/>
      <c r="JEH26" s="3"/>
      <c r="JEI26" s="3"/>
      <c r="JEJ26" s="3"/>
      <c r="JEK26" s="3"/>
      <c r="JEL26" s="3"/>
      <c r="JEM26" s="3"/>
      <c r="JEN26" s="3"/>
      <c r="JEO26" s="3"/>
      <c r="JEP26" s="3"/>
      <c r="JEQ26" s="3"/>
      <c r="JER26" s="3"/>
      <c r="JES26" s="3"/>
      <c r="JET26" s="3"/>
      <c r="JEU26" s="3"/>
      <c r="JEV26" s="3"/>
      <c r="JEW26" s="3"/>
      <c r="JEX26" s="3"/>
      <c r="JEY26" s="3"/>
      <c r="JEZ26" s="3"/>
      <c r="JFA26" s="3"/>
      <c r="JFB26" s="3"/>
      <c r="JFC26" s="3"/>
      <c r="JFD26" s="3"/>
      <c r="JFE26" s="3"/>
      <c r="JFF26" s="3"/>
      <c r="JFG26" s="3"/>
      <c r="JFH26" s="3"/>
      <c r="JFI26" s="3"/>
      <c r="JFJ26" s="3"/>
      <c r="JFK26" s="3"/>
      <c r="JFL26" s="3"/>
      <c r="JFM26" s="3"/>
      <c r="JFN26" s="3"/>
      <c r="JFO26" s="3"/>
      <c r="JFP26" s="3"/>
      <c r="JFQ26" s="3"/>
      <c r="JFR26" s="3"/>
      <c r="JFS26" s="3"/>
      <c r="JFT26" s="3"/>
      <c r="JFU26" s="3"/>
      <c r="JFV26" s="3"/>
      <c r="JFW26" s="3"/>
      <c r="JFX26" s="3"/>
      <c r="JFY26" s="3"/>
      <c r="JFZ26" s="3"/>
      <c r="JGA26" s="3"/>
      <c r="JGB26" s="3"/>
      <c r="JGC26" s="3"/>
      <c r="JGD26" s="3"/>
      <c r="JGE26" s="3"/>
      <c r="JGF26" s="3"/>
      <c r="JGG26" s="3"/>
      <c r="JGH26" s="3"/>
      <c r="JGI26" s="3"/>
      <c r="JGJ26" s="3"/>
      <c r="JGK26" s="3"/>
      <c r="JGL26" s="3"/>
      <c r="JGM26" s="3"/>
      <c r="JGN26" s="3"/>
      <c r="JGO26" s="3"/>
      <c r="JGP26" s="3"/>
      <c r="JGQ26" s="3"/>
      <c r="JGR26" s="3"/>
      <c r="JGS26" s="3"/>
      <c r="JGT26" s="3"/>
      <c r="JGU26" s="3"/>
      <c r="JGV26" s="3"/>
      <c r="JGW26" s="3"/>
      <c r="JGX26" s="3"/>
      <c r="JGY26" s="3"/>
      <c r="JGZ26" s="3"/>
      <c r="JHA26" s="3"/>
      <c r="JHB26" s="3"/>
      <c r="JHC26" s="3"/>
      <c r="JHD26" s="3"/>
      <c r="JHE26" s="3"/>
      <c r="JHF26" s="3"/>
      <c r="JHG26" s="3"/>
      <c r="JHH26" s="3"/>
      <c r="JHI26" s="3"/>
      <c r="JHJ26" s="3"/>
      <c r="JHK26" s="3"/>
      <c r="JHL26" s="3"/>
      <c r="JHM26" s="3"/>
      <c r="JHN26" s="3"/>
      <c r="JHO26" s="3"/>
      <c r="JHP26" s="3"/>
      <c r="JHQ26" s="3"/>
      <c r="JHR26" s="3"/>
      <c r="JHS26" s="3"/>
      <c r="JHT26" s="3"/>
      <c r="JHU26" s="3"/>
      <c r="JHV26" s="3"/>
      <c r="JHW26" s="3"/>
      <c r="JHX26" s="3"/>
      <c r="JHY26" s="3"/>
      <c r="JHZ26" s="3"/>
      <c r="JIA26" s="3"/>
      <c r="JIB26" s="3"/>
      <c r="JIC26" s="3"/>
      <c r="JID26" s="3"/>
      <c r="JIE26" s="3"/>
      <c r="JIF26" s="3"/>
      <c r="JIG26" s="3"/>
      <c r="JIH26" s="3"/>
      <c r="JII26" s="3"/>
      <c r="JIJ26" s="3"/>
      <c r="JIK26" s="3"/>
      <c r="JIL26" s="3"/>
      <c r="JIM26" s="3"/>
      <c r="JIN26" s="3"/>
      <c r="JIO26" s="3"/>
      <c r="JIP26" s="3"/>
      <c r="JIQ26" s="3"/>
      <c r="JIR26" s="3"/>
      <c r="JIS26" s="3"/>
      <c r="JIT26" s="3"/>
      <c r="JIU26" s="3"/>
      <c r="JIV26" s="3"/>
      <c r="JIW26" s="3"/>
      <c r="JIX26" s="3"/>
      <c r="JIY26" s="3"/>
      <c r="JIZ26" s="3"/>
      <c r="JJA26" s="3"/>
      <c r="JJB26" s="3"/>
      <c r="JJC26" s="3"/>
      <c r="JJD26" s="3"/>
      <c r="JJE26" s="3"/>
      <c r="JJF26" s="3"/>
      <c r="JJG26" s="3"/>
      <c r="JJH26" s="3"/>
      <c r="JJI26" s="3"/>
      <c r="JJJ26" s="3"/>
      <c r="JJK26" s="3"/>
      <c r="JJL26" s="3"/>
      <c r="JJM26" s="3"/>
      <c r="JJN26" s="3"/>
      <c r="JJO26" s="3"/>
      <c r="JJP26" s="3"/>
      <c r="JJQ26" s="3"/>
      <c r="JJR26" s="3"/>
      <c r="JJS26" s="3"/>
      <c r="JJT26" s="3"/>
      <c r="JJU26" s="3"/>
      <c r="JJV26" s="3"/>
      <c r="JJW26" s="3"/>
      <c r="JJX26" s="3"/>
      <c r="JJY26" s="3"/>
      <c r="JJZ26" s="3"/>
      <c r="JKA26" s="3"/>
      <c r="JKB26" s="3"/>
      <c r="JKC26" s="3"/>
      <c r="JKD26" s="3"/>
      <c r="JKE26" s="3"/>
      <c r="JKF26" s="3"/>
      <c r="JKG26" s="3"/>
      <c r="JKH26" s="3"/>
      <c r="JKI26" s="3"/>
      <c r="JKJ26" s="3"/>
      <c r="JKK26" s="3"/>
      <c r="JKL26" s="3"/>
      <c r="JKM26" s="3"/>
      <c r="JKN26" s="3"/>
      <c r="JKO26" s="3"/>
      <c r="JKP26" s="3"/>
      <c r="JKQ26" s="3"/>
      <c r="JKR26" s="3"/>
      <c r="JKS26" s="3"/>
      <c r="JKT26" s="3"/>
      <c r="JKU26" s="3"/>
      <c r="JKV26" s="3"/>
      <c r="JKW26" s="3"/>
      <c r="JKX26" s="3"/>
      <c r="JKY26" s="3"/>
      <c r="JKZ26" s="3"/>
      <c r="JLA26" s="3"/>
      <c r="JLB26" s="3"/>
      <c r="JLC26" s="3"/>
      <c r="JLD26" s="3"/>
      <c r="JLE26" s="3"/>
      <c r="JLF26" s="3"/>
      <c r="JLG26" s="3"/>
      <c r="JLH26" s="3"/>
      <c r="JLI26" s="3"/>
      <c r="JLJ26" s="3"/>
      <c r="JLK26" s="3"/>
      <c r="JLL26" s="3"/>
      <c r="JLM26" s="3"/>
      <c r="JLN26" s="3"/>
      <c r="JLO26" s="3"/>
      <c r="JLP26" s="3"/>
      <c r="JLQ26" s="3"/>
      <c r="JLR26" s="3"/>
      <c r="JLS26" s="3"/>
      <c r="JLT26" s="3"/>
      <c r="JLU26" s="3"/>
      <c r="JLV26" s="3"/>
      <c r="JLW26" s="3"/>
      <c r="JLX26" s="3"/>
      <c r="JLY26" s="3"/>
      <c r="JLZ26" s="3"/>
      <c r="JMA26" s="3"/>
      <c r="JMB26" s="3"/>
      <c r="JMC26" s="3"/>
      <c r="JMD26" s="3"/>
      <c r="JME26" s="3"/>
      <c r="JMF26" s="3"/>
      <c r="JMG26" s="3"/>
      <c r="JMH26" s="3"/>
      <c r="JMI26" s="3"/>
      <c r="JMJ26" s="3"/>
      <c r="JMK26" s="3"/>
      <c r="JML26" s="3"/>
      <c r="JMM26" s="3"/>
      <c r="JMN26" s="3"/>
      <c r="JMO26" s="3"/>
      <c r="JMP26" s="3"/>
      <c r="JMQ26" s="3"/>
      <c r="JMR26" s="3"/>
      <c r="JMS26" s="3"/>
      <c r="JMT26" s="3"/>
      <c r="JMU26" s="3"/>
      <c r="JMV26" s="3"/>
      <c r="JMW26" s="3"/>
      <c r="JMX26" s="3"/>
      <c r="JMY26" s="3"/>
      <c r="JMZ26" s="3"/>
      <c r="JNA26" s="3"/>
      <c r="JNB26" s="3"/>
      <c r="JNC26" s="3"/>
      <c r="JND26" s="3"/>
      <c r="JNE26" s="3"/>
      <c r="JNF26" s="3"/>
      <c r="JNG26" s="3"/>
      <c r="JNH26" s="3"/>
      <c r="JNI26" s="3"/>
      <c r="JNJ26" s="3"/>
      <c r="JNK26" s="3"/>
      <c r="JNL26" s="3"/>
      <c r="JNM26" s="3"/>
      <c r="JNN26" s="3"/>
      <c r="JNO26" s="3"/>
      <c r="JNP26" s="3"/>
      <c r="JNQ26" s="3"/>
      <c r="JNR26" s="3"/>
      <c r="JNS26" s="3"/>
      <c r="JNT26" s="3"/>
      <c r="JNU26" s="3"/>
      <c r="JNV26" s="3"/>
      <c r="JNW26" s="3"/>
      <c r="JNX26" s="3"/>
      <c r="JNY26" s="3"/>
      <c r="JNZ26" s="3"/>
      <c r="JOA26" s="3"/>
      <c r="JOB26" s="3"/>
      <c r="JOC26" s="3"/>
      <c r="JOD26" s="3"/>
      <c r="JOE26" s="3"/>
      <c r="JOF26" s="3"/>
      <c r="JOG26" s="3"/>
      <c r="JOH26" s="3"/>
      <c r="JOI26" s="3"/>
      <c r="JOJ26" s="3"/>
      <c r="JOK26" s="3"/>
      <c r="JOL26" s="3"/>
      <c r="JOM26" s="3"/>
      <c r="JON26" s="3"/>
      <c r="JOO26" s="3"/>
      <c r="JOP26" s="3"/>
      <c r="JOQ26" s="3"/>
      <c r="JOR26" s="3"/>
      <c r="JOS26" s="3"/>
      <c r="JOT26" s="3"/>
      <c r="JOU26" s="3"/>
      <c r="JOV26" s="3"/>
      <c r="JOW26" s="3"/>
      <c r="JOX26" s="3"/>
      <c r="JOY26" s="3"/>
      <c r="JOZ26" s="3"/>
      <c r="JPA26" s="3"/>
      <c r="JPB26" s="3"/>
      <c r="JPC26" s="3"/>
      <c r="JPD26" s="3"/>
      <c r="JPE26" s="3"/>
      <c r="JPF26" s="3"/>
      <c r="JPG26" s="3"/>
      <c r="JPH26" s="3"/>
      <c r="JPI26" s="3"/>
      <c r="JPJ26" s="3"/>
      <c r="JPK26" s="3"/>
      <c r="JPL26" s="3"/>
      <c r="JPM26" s="3"/>
      <c r="JPN26" s="3"/>
      <c r="JPO26" s="3"/>
      <c r="JPP26" s="3"/>
      <c r="JPQ26" s="3"/>
      <c r="JPR26" s="3"/>
      <c r="JPS26" s="3"/>
      <c r="JPT26" s="3"/>
      <c r="JPU26" s="3"/>
      <c r="JPV26" s="3"/>
      <c r="JPW26" s="3"/>
      <c r="JPX26" s="3"/>
      <c r="JPY26" s="3"/>
      <c r="JPZ26" s="3"/>
      <c r="JQA26" s="3"/>
      <c r="JQB26" s="3"/>
      <c r="JQC26" s="3"/>
      <c r="JQD26" s="3"/>
      <c r="JQE26" s="3"/>
      <c r="JQF26" s="3"/>
      <c r="JQG26" s="3"/>
      <c r="JQH26" s="3"/>
      <c r="JQI26" s="3"/>
      <c r="JQJ26" s="3"/>
      <c r="JQK26" s="3"/>
      <c r="JQL26" s="3"/>
      <c r="JQM26" s="3"/>
      <c r="JQN26" s="3"/>
      <c r="JQO26" s="3"/>
      <c r="JQP26" s="3"/>
      <c r="JQQ26" s="3"/>
      <c r="JQR26" s="3"/>
      <c r="JQS26" s="3"/>
      <c r="JQT26" s="3"/>
      <c r="JQU26" s="3"/>
      <c r="JQV26" s="3"/>
      <c r="JQW26" s="3"/>
      <c r="JQX26" s="3"/>
      <c r="JQY26" s="3"/>
      <c r="JQZ26" s="3"/>
      <c r="JRA26" s="3"/>
      <c r="JRB26" s="3"/>
      <c r="JRC26" s="3"/>
      <c r="JRD26" s="3"/>
      <c r="JRE26" s="3"/>
      <c r="JRF26" s="3"/>
      <c r="JRG26" s="3"/>
      <c r="JRH26" s="3"/>
      <c r="JRI26" s="3"/>
      <c r="JRJ26" s="3"/>
      <c r="JRK26" s="3"/>
      <c r="JRL26" s="3"/>
      <c r="JRM26" s="3"/>
      <c r="JRN26" s="3"/>
      <c r="JRO26" s="3"/>
      <c r="JRP26" s="3"/>
      <c r="JRQ26" s="3"/>
      <c r="JRR26" s="3"/>
      <c r="JRS26" s="3"/>
      <c r="JRT26" s="3"/>
      <c r="JRU26" s="3"/>
      <c r="JRV26" s="3"/>
      <c r="JRW26" s="3"/>
      <c r="JRX26" s="3"/>
      <c r="JRY26" s="3"/>
      <c r="JRZ26" s="3"/>
      <c r="JSA26" s="3"/>
      <c r="JSB26" s="3"/>
      <c r="JSC26" s="3"/>
      <c r="JSD26" s="3"/>
      <c r="JSE26" s="3"/>
      <c r="JSF26" s="3"/>
      <c r="JSG26" s="3"/>
      <c r="JSH26" s="3"/>
      <c r="JSI26" s="3"/>
      <c r="JSJ26" s="3"/>
      <c r="JSK26" s="3"/>
      <c r="JSL26" s="3"/>
      <c r="JSM26" s="3"/>
      <c r="JSN26" s="3"/>
      <c r="JSO26" s="3"/>
      <c r="JSP26" s="3"/>
      <c r="JSQ26" s="3"/>
      <c r="JSR26" s="3"/>
      <c r="JSS26" s="3"/>
      <c r="JST26" s="3"/>
      <c r="JSU26" s="3"/>
      <c r="JSV26" s="3"/>
      <c r="JSW26" s="3"/>
      <c r="JSX26" s="3"/>
      <c r="JSY26" s="3"/>
      <c r="JSZ26" s="3"/>
      <c r="JTA26" s="3"/>
      <c r="JTB26" s="3"/>
      <c r="JTC26" s="3"/>
      <c r="JTD26" s="3"/>
      <c r="JTE26" s="3"/>
      <c r="JTF26" s="3"/>
      <c r="JTG26" s="3"/>
      <c r="JTH26" s="3"/>
      <c r="JTI26" s="3"/>
      <c r="JTJ26" s="3"/>
      <c r="JTK26" s="3"/>
      <c r="JTL26" s="3"/>
      <c r="JTM26" s="3"/>
      <c r="JTN26" s="3"/>
      <c r="JTO26" s="3"/>
      <c r="JTP26" s="3"/>
      <c r="JTQ26" s="3"/>
      <c r="JTR26" s="3"/>
      <c r="JTS26" s="3"/>
      <c r="JTT26" s="3"/>
      <c r="JTU26" s="3"/>
      <c r="JTV26" s="3"/>
      <c r="JTW26" s="3"/>
      <c r="JTX26" s="3"/>
      <c r="JTY26" s="3"/>
      <c r="JTZ26" s="3"/>
      <c r="JUA26" s="3"/>
      <c r="JUB26" s="3"/>
      <c r="JUC26" s="3"/>
      <c r="JUD26" s="3"/>
      <c r="JUE26" s="3"/>
      <c r="JUF26" s="3"/>
      <c r="JUG26" s="3"/>
      <c r="JUH26" s="3"/>
      <c r="JUI26" s="3"/>
      <c r="JUJ26" s="3"/>
      <c r="JUK26" s="3"/>
      <c r="JUL26" s="3"/>
      <c r="JUM26" s="3"/>
      <c r="JUN26" s="3"/>
      <c r="JUO26" s="3"/>
      <c r="JUP26" s="3"/>
      <c r="JUQ26" s="3"/>
      <c r="JUR26" s="3"/>
      <c r="JUS26" s="3"/>
      <c r="JUT26" s="3"/>
      <c r="JUU26" s="3"/>
      <c r="JUV26" s="3"/>
      <c r="JUW26" s="3"/>
      <c r="JUX26" s="3"/>
      <c r="JUY26" s="3"/>
      <c r="JUZ26" s="3"/>
      <c r="JVA26" s="3"/>
      <c r="JVB26" s="3"/>
      <c r="JVC26" s="3"/>
      <c r="JVD26" s="3"/>
      <c r="JVE26" s="3"/>
      <c r="JVF26" s="3"/>
      <c r="JVG26" s="3"/>
      <c r="JVH26" s="3"/>
      <c r="JVI26" s="3"/>
      <c r="JVJ26" s="3"/>
      <c r="JVK26" s="3"/>
      <c r="JVL26" s="3"/>
      <c r="JVM26" s="3"/>
      <c r="JVN26" s="3"/>
      <c r="JVO26" s="3"/>
      <c r="JVP26" s="3"/>
      <c r="JVQ26" s="3"/>
      <c r="JVR26" s="3"/>
      <c r="JVS26" s="3"/>
      <c r="JVT26" s="3"/>
      <c r="JVU26" s="3"/>
      <c r="JVV26" s="3"/>
      <c r="JVW26" s="3"/>
      <c r="JVX26" s="3"/>
      <c r="JVY26" s="3"/>
      <c r="JVZ26" s="3"/>
      <c r="JWA26" s="3"/>
      <c r="JWB26" s="3"/>
      <c r="JWC26" s="3"/>
      <c r="JWD26" s="3"/>
      <c r="JWE26" s="3"/>
      <c r="JWF26" s="3"/>
      <c r="JWG26" s="3"/>
      <c r="JWH26" s="3"/>
      <c r="JWI26" s="3"/>
      <c r="JWJ26" s="3"/>
      <c r="JWK26" s="3"/>
      <c r="JWL26" s="3"/>
      <c r="JWM26" s="3"/>
      <c r="JWN26" s="3"/>
      <c r="JWO26" s="3"/>
      <c r="JWP26" s="3"/>
      <c r="JWQ26" s="3"/>
      <c r="JWR26" s="3"/>
      <c r="JWS26" s="3"/>
      <c r="JWT26" s="3"/>
      <c r="JWU26" s="3"/>
      <c r="JWV26" s="3"/>
      <c r="JWW26" s="3"/>
      <c r="JWX26" s="3"/>
      <c r="JWY26" s="3"/>
      <c r="JWZ26" s="3"/>
      <c r="JXA26" s="3"/>
      <c r="JXB26" s="3"/>
      <c r="JXC26" s="3"/>
      <c r="JXD26" s="3"/>
      <c r="JXE26" s="3"/>
      <c r="JXF26" s="3"/>
      <c r="JXG26" s="3"/>
      <c r="JXH26" s="3"/>
      <c r="JXI26" s="3"/>
      <c r="JXJ26" s="3"/>
      <c r="JXK26" s="3"/>
      <c r="JXL26" s="3"/>
      <c r="JXM26" s="3"/>
      <c r="JXN26" s="3"/>
      <c r="JXO26" s="3"/>
      <c r="JXP26" s="3"/>
      <c r="JXQ26" s="3"/>
      <c r="JXR26" s="3"/>
      <c r="JXS26" s="3"/>
      <c r="JXT26" s="3"/>
      <c r="JXU26" s="3"/>
      <c r="JXV26" s="3"/>
      <c r="JXW26" s="3"/>
      <c r="JXX26" s="3"/>
      <c r="JXY26" s="3"/>
      <c r="JXZ26" s="3"/>
      <c r="JYA26" s="3"/>
      <c r="JYB26" s="3"/>
      <c r="JYC26" s="3"/>
      <c r="JYD26" s="3"/>
      <c r="JYE26" s="3"/>
      <c r="JYF26" s="3"/>
      <c r="JYG26" s="3"/>
      <c r="JYH26" s="3"/>
      <c r="JYI26" s="3"/>
      <c r="JYJ26" s="3"/>
      <c r="JYK26" s="3"/>
      <c r="JYL26" s="3"/>
      <c r="JYM26" s="3"/>
      <c r="JYN26" s="3"/>
      <c r="JYO26" s="3"/>
      <c r="JYP26" s="3"/>
      <c r="JYQ26" s="3"/>
      <c r="JYR26" s="3"/>
      <c r="JYS26" s="3"/>
      <c r="JYT26" s="3"/>
      <c r="JYU26" s="3"/>
      <c r="JYV26" s="3"/>
      <c r="JYW26" s="3"/>
      <c r="JYX26" s="3"/>
      <c r="JYY26" s="3"/>
      <c r="JYZ26" s="3"/>
      <c r="JZA26" s="3"/>
      <c r="JZB26" s="3"/>
      <c r="JZC26" s="3"/>
      <c r="JZD26" s="3"/>
      <c r="JZE26" s="3"/>
      <c r="JZF26" s="3"/>
      <c r="JZG26" s="3"/>
      <c r="JZH26" s="3"/>
      <c r="JZI26" s="3"/>
      <c r="JZJ26" s="3"/>
      <c r="JZK26" s="3"/>
      <c r="JZL26" s="3"/>
      <c r="JZM26" s="3"/>
      <c r="JZN26" s="3"/>
      <c r="JZO26" s="3"/>
      <c r="JZP26" s="3"/>
      <c r="JZQ26" s="3"/>
      <c r="JZR26" s="3"/>
      <c r="JZS26" s="3"/>
      <c r="JZT26" s="3"/>
      <c r="JZU26" s="3"/>
      <c r="JZV26" s="3"/>
      <c r="JZW26" s="3"/>
      <c r="JZX26" s="3"/>
      <c r="JZY26" s="3"/>
      <c r="JZZ26" s="3"/>
      <c r="KAA26" s="3"/>
      <c r="KAB26" s="3"/>
      <c r="KAC26" s="3"/>
      <c r="KAD26" s="3"/>
      <c r="KAE26" s="3"/>
      <c r="KAF26" s="3"/>
      <c r="KAG26" s="3"/>
      <c r="KAH26" s="3"/>
      <c r="KAI26" s="3"/>
      <c r="KAJ26" s="3"/>
      <c r="KAK26" s="3"/>
      <c r="KAL26" s="3"/>
      <c r="KAM26" s="3"/>
      <c r="KAN26" s="3"/>
      <c r="KAO26" s="3"/>
      <c r="KAP26" s="3"/>
      <c r="KAQ26" s="3"/>
      <c r="KAR26" s="3"/>
      <c r="KAS26" s="3"/>
      <c r="KAT26" s="3"/>
      <c r="KAU26" s="3"/>
      <c r="KAV26" s="3"/>
      <c r="KAW26" s="3"/>
      <c r="KAX26" s="3"/>
      <c r="KAY26" s="3"/>
      <c r="KAZ26" s="3"/>
      <c r="KBA26" s="3"/>
      <c r="KBB26" s="3"/>
      <c r="KBC26" s="3"/>
      <c r="KBD26" s="3"/>
      <c r="KBE26" s="3"/>
      <c r="KBF26" s="3"/>
      <c r="KBG26" s="3"/>
      <c r="KBH26" s="3"/>
      <c r="KBI26" s="3"/>
      <c r="KBJ26" s="3"/>
      <c r="KBK26" s="3"/>
      <c r="KBL26" s="3"/>
      <c r="KBM26" s="3"/>
      <c r="KBN26" s="3"/>
      <c r="KBO26" s="3"/>
      <c r="KBP26" s="3"/>
      <c r="KBQ26" s="3"/>
      <c r="KBR26" s="3"/>
      <c r="KBS26" s="3"/>
      <c r="KBT26" s="3"/>
      <c r="KBU26" s="3"/>
      <c r="KBV26" s="3"/>
      <c r="KBW26" s="3"/>
      <c r="KBX26" s="3"/>
      <c r="KBY26" s="3"/>
      <c r="KBZ26" s="3"/>
      <c r="KCA26" s="3"/>
      <c r="KCB26" s="3"/>
      <c r="KCC26" s="3"/>
      <c r="KCD26" s="3"/>
      <c r="KCE26" s="3"/>
      <c r="KCF26" s="3"/>
      <c r="KCG26" s="3"/>
      <c r="KCH26" s="3"/>
      <c r="KCI26" s="3"/>
      <c r="KCJ26" s="3"/>
      <c r="KCK26" s="3"/>
      <c r="KCL26" s="3"/>
      <c r="KCM26" s="3"/>
      <c r="KCN26" s="3"/>
      <c r="KCO26" s="3"/>
      <c r="KCP26" s="3"/>
      <c r="KCQ26" s="3"/>
      <c r="KCR26" s="3"/>
      <c r="KCS26" s="3"/>
      <c r="KCT26" s="3"/>
      <c r="KCU26" s="3"/>
      <c r="KCV26" s="3"/>
      <c r="KCW26" s="3"/>
      <c r="KCX26" s="3"/>
      <c r="KCY26" s="3"/>
      <c r="KCZ26" s="3"/>
      <c r="KDA26" s="3"/>
      <c r="KDB26" s="3"/>
      <c r="KDC26" s="3"/>
      <c r="KDD26" s="3"/>
      <c r="KDE26" s="3"/>
      <c r="KDF26" s="3"/>
      <c r="KDG26" s="3"/>
      <c r="KDH26" s="3"/>
      <c r="KDI26" s="3"/>
      <c r="KDJ26" s="3"/>
      <c r="KDK26" s="3"/>
      <c r="KDL26" s="3"/>
      <c r="KDM26" s="3"/>
      <c r="KDN26" s="3"/>
      <c r="KDO26" s="3"/>
      <c r="KDP26" s="3"/>
      <c r="KDQ26" s="3"/>
      <c r="KDR26" s="3"/>
      <c r="KDS26" s="3"/>
      <c r="KDT26" s="3"/>
      <c r="KDU26" s="3"/>
      <c r="KDV26" s="3"/>
      <c r="KDW26" s="3"/>
      <c r="KDX26" s="3"/>
      <c r="KDY26" s="3"/>
      <c r="KDZ26" s="3"/>
      <c r="KEA26" s="3"/>
      <c r="KEB26" s="3"/>
      <c r="KEC26" s="3"/>
      <c r="KED26" s="3"/>
      <c r="KEE26" s="3"/>
      <c r="KEF26" s="3"/>
      <c r="KEG26" s="3"/>
      <c r="KEH26" s="3"/>
      <c r="KEI26" s="3"/>
      <c r="KEJ26" s="3"/>
      <c r="KEK26" s="3"/>
      <c r="KEL26" s="3"/>
      <c r="KEM26" s="3"/>
      <c r="KEN26" s="3"/>
      <c r="KEO26" s="3"/>
      <c r="KEP26" s="3"/>
      <c r="KEQ26" s="3"/>
      <c r="KER26" s="3"/>
      <c r="KES26" s="3"/>
      <c r="KET26" s="3"/>
      <c r="KEU26" s="3"/>
      <c r="KEV26" s="3"/>
      <c r="KEW26" s="3"/>
      <c r="KEX26" s="3"/>
      <c r="KEY26" s="3"/>
      <c r="KEZ26" s="3"/>
      <c r="KFA26" s="3"/>
      <c r="KFB26" s="3"/>
      <c r="KFC26" s="3"/>
      <c r="KFD26" s="3"/>
      <c r="KFE26" s="3"/>
      <c r="KFF26" s="3"/>
      <c r="KFG26" s="3"/>
      <c r="KFH26" s="3"/>
      <c r="KFI26" s="3"/>
      <c r="KFJ26" s="3"/>
      <c r="KFK26" s="3"/>
      <c r="KFL26" s="3"/>
      <c r="KFM26" s="3"/>
      <c r="KFN26" s="3"/>
      <c r="KFO26" s="3"/>
      <c r="KFP26" s="3"/>
      <c r="KFQ26" s="3"/>
      <c r="KFR26" s="3"/>
      <c r="KFS26" s="3"/>
      <c r="KFT26" s="3"/>
      <c r="KFU26" s="3"/>
      <c r="KFV26" s="3"/>
      <c r="KFW26" s="3"/>
      <c r="KFX26" s="3"/>
      <c r="KFY26" s="3"/>
      <c r="KFZ26" s="3"/>
      <c r="KGA26" s="3"/>
      <c r="KGB26" s="3"/>
      <c r="KGC26" s="3"/>
      <c r="KGD26" s="3"/>
      <c r="KGE26" s="3"/>
      <c r="KGF26" s="3"/>
      <c r="KGG26" s="3"/>
      <c r="KGH26" s="3"/>
      <c r="KGI26" s="3"/>
      <c r="KGJ26" s="3"/>
      <c r="KGK26" s="3"/>
      <c r="KGL26" s="3"/>
      <c r="KGM26" s="3"/>
      <c r="KGN26" s="3"/>
      <c r="KGO26" s="3"/>
      <c r="KGP26" s="3"/>
      <c r="KGQ26" s="3"/>
      <c r="KGR26" s="3"/>
      <c r="KGS26" s="3"/>
      <c r="KGT26" s="3"/>
      <c r="KGU26" s="3"/>
      <c r="KGV26" s="3"/>
      <c r="KGW26" s="3"/>
      <c r="KGX26" s="3"/>
      <c r="KGY26" s="3"/>
      <c r="KGZ26" s="3"/>
      <c r="KHA26" s="3"/>
      <c r="KHB26" s="3"/>
      <c r="KHC26" s="3"/>
      <c r="KHD26" s="3"/>
      <c r="KHE26" s="3"/>
      <c r="KHF26" s="3"/>
      <c r="KHG26" s="3"/>
      <c r="KHH26" s="3"/>
      <c r="KHI26" s="3"/>
      <c r="KHJ26" s="3"/>
      <c r="KHK26" s="3"/>
      <c r="KHL26" s="3"/>
      <c r="KHM26" s="3"/>
      <c r="KHN26" s="3"/>
      <c r="KHO26" s="3"/>
      <c r="KHP26" s="3"/>
      <c r="KHQ26" s="3"/>
      <c r="KHR26" s="3"/>
      <c r="KHS26" s="3"/>
      <c r="KHT26" s="3"/>
      <c r="KHU26" s="3"/>
      <c r="KHV26" s="3"/>
      <c r="KHW26" s="3"/>
      <c r="KHX26" s="3"/>
      <c r="KHY26" s="3"/>
      <c r="KHZ26" s="3"/>
      <c r="KIA26" s="3"/>
      <c r="KIB26" s="3"/>
      <c r="KIC26" s="3"/>
      <c r="KID26" s="3"/>
      <c r="KIE26" s="3"/>
      <c r="KIF26" s="3"/>
      <c r="KIG26" s="3"/>
      <c r="KIH26" s="3"/>
      <c r="KII26" s="3"/>
      <c r="KIJ26" s="3"/>
      <c r="KIK26" s="3"/>
      <c r="KIL26" s="3"/>
      <c r="KIM26" s="3"/>
      <c r="KIN26" s="3"/>
      <c r="KIO26" s="3"/>
      <c r="KIP26" s="3"/>
      <c r="KIQ26" s="3"/>
      <c r="KIR26" s="3"/>
      <c r="KIS26" s="3"/>
      <c r="KIT26" s="3"/>
      <c r="KIU26" s="3"/>
      <c r="KIV26" s="3"/>
      <c r="KIW26" s="3"/>
      <c r="KIX26" s="3"/>
      <c r="KIY26" s="3"/>
      <c r="KIZ26" s="3"/>
      <c r="KJA26" s="3"/>
      <c r="KJB26" s="3"/>
      <c r="KJC26" s="3"/>
      <c r="KJD26" s="3"/>
      <c r="KJE26" s="3"/>
      <c r="KJF26" s="3"/>
      <c r="KJG26" s="3"/>
      <c r="KJH26" s="3"/>
      <c r="KJI26" s="3"/>
      <c r="KJJ26" s="3"/>
      <c r="KJK26" s="3"/>
      <c r="KJL26" s="3"/>
      <c r="KJM26" s="3"/>
      <c r="KJN26" s="3"/>
      <c r="KJO26" s="3"/>
      <c r="KJP26" s="3"/>
      <c r="KJQ26" s="3"/>
      <c r="KJR26" s="3"/>
      <c r="KJS26" s="3"/>
      <c r="KJT26" s="3"/>
      <c r="KJU26" s="3"/>
      <c r="KJV26" s="3"/>
      <c r="KJW26" s="3"/>
      <c r="KJX26" s="3"/>
      <c r="KJY26" s="3"/>
      <c r="KJZ26" s="3"/>
      <c r="KKA26" s="3"/>
      <c r="KKB26" s="3"/>
      <c r="KKC26" s="3"/>
      <c r="KKD26" s="3"/>
      <c r="KKE26" s="3"/>
      <c r="KKF26" s="3"/>
      <c r="KKG26" s="3"/>
      <c r="KKH26" s="3"/>
      <c r="KKI26" s="3"/>
      <c r="KKJ26" s="3"/>
      <c r="KKK26" s="3"/>
      <c r="KKL26" s="3"/>
      <c r="KKM26" s="3"/>
      <c r="KKN26" s="3"/>
      <c r="KKO26" s="3"/>
      <c r="KKP26" s="3"/>
      <c r="KKQ26" s="3"/>
      <c r="KKR26" s="3"/>
      <c r="KKS26" s="3"/>
      <c r="KKT26" s="3"/>
      <c r="KKU26" s="3"/>
      <c r="KKV26" s="3"/>
      <c r="KKW26" s="3"/>
      <c r="KKX26" s="3"/>
      <c r="KKY26" s="3"/>
      <c r="KKZ26" s="3"/>
      <c r="KLA26" s="3"/>
      <c r="KLB26" s="3"/>
      <c r="KLC26" s="3"/>
      <c r="KLD26" s="3"/>
      <c r="KLE26" s="3"/>
      <c r="KLF26" s="3"/>
      <c r="KLG26" s="3"/>
      <c r="KLH26" s="3"/>
      <c r="KLI26" s="3"/>
      <c r="KLJ26" s="3"/>
      <c r="KLK26" s="3"/>
      <c r="KLL26" s="3"/>
      <c r="KLM26" s="3"/>
      <c r="KLN26" s="3"/>
      <c r="KLO26" s="3"/>
      <c r="KLP26" s="3"/>
      <c r="KLQ26" s="3"/>
      <c r="KLR26" s="3"/>
      <c r="KLS26" s="3"/>
      <c r="KLT26" s="3"/>
      <c r="KLU26" s="3"/>
      <c r="KLV26" s="3"/>
      <c r="KLW26" s="3"/>
      <c r="KLX26" s="3"/>
      <c r="KLY26" s="3"/>
      <c r="KLZ26" s="3"/>
      <c r="KMA26" s="3"/>
      <c r="KMB26" s="3"/>
      <c r="KMC26" s="3"/>
      <c r="KMD26" s="3"/>
      <c r="KME26" s="3"/>
      <c r="KMF26" s="3"/>
      <c r="KMG26" s="3"/>
      <c r="KMH26" s="3"/>
      <c r="KMI26" s="3"/>
      <c r="KMJ26" s="3"/>
      <c r="KMK26" s="3"/>
      <c r="KML26" s="3"/>
      <c r="KMM26" s="3"/>
      <c r="KMN26" s="3"/>
      <c r="KMO26" s="3"/>
      <c r="KMP26" s="3"/>
      <c r="KMQ26" s="3"/>
      <c r="KMR26" s="3"/>
      <c r="KMS26" s="3"/>
      <c r="KMT26" s="3"/>
      <c r="KMU26" s="3"/>
      <c r="KMV26" s="3"/>
      <c r="KMW26" s="3"/>
      <c r="KMX26" s="3"/>
      <c r="KMY26" s="3"/>
      <c r="KMZ26" s="3"/>
      <c r="KNA26" s="3"/>
      <c r="KNB26" s="3"/>
      <c r="KNC26" s="3"/>
      <c r="KND26" s="3"/>
      <c r="KNE26" s="3"/>
      <c r="KNF26" s="3"/>
      <c r="KNG26" s="3"/>
      <c r="KNH26" s="3"/>
      <c r="KNI26" s="3"/>
      <c r="KNJ26" s="3"/>
      <c r="KNK26" s="3"/>
      <c r="KNL26" s="3"/>
      <c r="KNM26" s="3"/>
      <c r="KNN26" s="3"/>
      <c r="KNO26" s="3"/>
      <c r="KNP26" s="3"/>
      <c r="KNQ26" s="3"/>
      <c r="KNR26" s="3"/>
      <c r="KNS26" s="3"/>
      <c r="KNT26" s="3"/>
      <c r="KNU26" s="3"/>
      <c r="KNV26" s="3"/>
      <c r="KNW26" s="3"/>
      <c r="KNX26" s="3"/>
      <c r="KNY26" s="3"/>
      <c r="KNZ26" s="3"/>
      <c r="KOA26" s="3"/>
      <c r="KOB26" s="3"/>
      <c r="KOC26" s="3"/>
      <c r="KOD26" s="3"/>
      <c r="KOE26" s="3"/>
      <c r="KOF26" s="3"/>
      <c r="KOG26" s="3"/>
      <c r="KOH26" s="3"/>
      <c r="KOI26" s="3"/>
      <c r="KOJ26" s="3"/>
      <c r="KOK26" s="3"/>
      <c r="KOL26" s="3"/>
      <c r="KOM26" s="3"/>
      <c r="KON26" s="3"/>
      <c r="KOO26" s="3"/>
      <c r="KOP26" s="3"/>
      <c r="KOQ26" s="3"/>
      <c r="KOR26" s="3"/>
      <c r="KOS26" s="3"/>
      <c r="KOT26" s="3"/>
      <c r="KOU26" s="3"/>
      <c r="KOV26" s="3"/>
      <c r="KOW26" s="3"/>
      <c r="KOX26" s="3"/>
      <c r="KOY26" s="3"/>
      <c r="KOZ26" s="3"/>
      <c r="KPA26" s="3"/>
      <c r="KPB26" s="3"/>
      <c r="KPC26" s="3"/>
      <c r="KPD26" s="3"/>
      <c r="KPE26" s="3"/>
      <c r="KPF26" s="3"/>
      <c r="KPG26" s="3"/>
      <c r="KPH26" s="3"/>
      <c r="KPI26" s="3"/>
      <c r="KPJ26" s="3"/>
      <c r="KPK26" s="3"/>
      <c r="KPL26" s="3"/>
      <c r="KPM26" s="3"/>
      <c r="KPN26" s="3"/>
      <c r="KPO26" s="3"/>
      <c r="KPP26" s="3"/>
      <c r="KPQ26" s="3"/>
      <c r="KPR26" s="3"/>
      <c r="KPS26" s="3"/>
      <c r="KPT26" s="3"/>
      <c r="KPU26" s="3"/>
      <c r="KPV26" s="3"/>
      <c r="KPW26" s="3"/>
      <c r="KPX26" s="3"/>
      <c r="KPY26" s="3"/>
      <c r="KPZ26" s="3"/>
      <c r="KQA26" s="3"/>
      <c r="KQB26" s="3"/>
      <c r="KQC26" s="3"/>
      <c r="KQD26" s="3"/>
      <c r="KQE26" s="3"/>
      <c r="KQF26" s="3"/>
      <c r="KQG26" s="3"/>
      <c r="KQH26" s="3"/>
      <c r="KQI26" s="3"/>
      <c r="KQJ26" s="3"/>
      <c r="KQK26" s="3"/>
      <c r="KQL26" s="3"/>
      <c r="KQM26" s="3"/>
      <c r="KQN26" s="3"/>
      <c r="KQO26" s="3"/>
      <c r="KQP26" s="3"/>
      <c r="KQQ26" s="3"/>
      <c r="KQR26" s="3"/>
      <c r="KQS26" s="3"/>
      <c r="KQT26" s="3"/>
      <c r="KQU26" s="3"/>
      <c r="KQV26" s="3"/>
      <c r="KQW26" s="3"/>
      <c r="KQX26" s="3"/>
      <c r="KQY26" s="3"/>
      <c r="KQZ26" s="3"/>
      <c r="KRA26" s="3"/>
      <c r="KRB26" s="3"/>
      <c r="KRC26" s="3"/>
      <c r="KRD26" s="3"/>
      <c r="KRE26" s="3"/>
      <c r="KRF26" s="3"/>
      <c r="KRG26" s="3"/>
      <c r="KRH26" s="3"/>
      <c r="KRI26" s="3"/>
      <c r="KRJ26" s="3"/>
      <c r="KRK26" s="3"/>
      <c r="KRL26" s="3"/>
      <c r="KRM26" s="3"/>
      <c r="KRN26" s="3"/>
    </row>
    <row r="27" spans="1:7918" s="248" customFormat="1">
      <c r="A27" s="26" t="e">
        <f t="shared" si="0"/>
        <v>#REF!</v>
      </c>
      <c r="B27" s="388" t="s">
        <v>584</v>
      </c>
      <c r="C27" s="223">
        <v>6550076670</v>
      </c>
      <c r="D27" s="386" t="s">
        <v>584</v>
      </c>
      <c r="E27" s="149" t="str">
        <f>VLOOKUP($B27,'Nomina Unhesa'!$B$4:$AB$209,2,0)</f>
        <v>Communitry Manager</v>
      </c>
      <c r="F27" s="221">
        <f>VLOOKUP($B27,'Nomina Unhesa'!$B$4:$AB$209,4,0)</f>
        <v>30</v>
      </c>
      <c r="G27" s="229">
        <f>VLOOKUP($B27,'Nomina Unhesa'!$B$4:$AB$209,6,0)</f>
        <v>4750</v>
      </c>
      <c r="H27" s="229">
        <f>VLOOKUP($B27,'Nomina Unhesa'!$B$4:$AB$209,7,0)</f>
        <v>2097.41</v>
      </c>
      <c r="I27" s="229">
        <f>VLOOKUP($B27,'Nomina Unhesa'!$B$4:$AB$209,9,0)</f>
        <v>0</v>
      </c>
      <c r="J27" s="234">
        <f>VLOOKUP($B27,'Nomina Unhesa'!$B$4:$AB$209,10,0)</f>
        <v>0</v>
      </c>
      <c r="K27" s="229">
        <f>VLOOKUP($B27,'Nomina Unhesa'!$B$4:$AB$209,11,0)</f>
        <v>0</v>
      </c>
      <c r="L27" s="229">
        <f>VLOOKUP($B27,'Nomina Unhesa'!$B$4:$AB$209,12,0)</f>
        <v>0</v>
      </c>
      <c r="M27" s="229">
        <f>VLOOKUP($B27,'Nomina Unhesa'!$B$4:$AB$209,14,0)</f>
        <v>0</v>
      </c>
      <c r="N27" s="234">
        <f>VLOOKUP($B27,'Nomina Unhesa'!$B$4:$AB$209,15,0)</f>
        <v>6847.41</v>
      </c>
      <c r="O27" s="234">
        <f>VLOOKUP($B27,'Nomina Unhesa'!$B$4:$AB$209,16,0)</f>
        <v>229.43</v>
      </c>
      <c r="P27" s="234">
        <f>VLOOKUP($B27,'Nomina Unhesa'!$B$4:$AB$209,17,0)</f>
        <v>141.03</v>
      </c>
      <c r="Q27" s="234">
        <f>VLOOKUP($B27,'Nomina Unhesa'!$B$4:$AB$209,18,0)</f>
        <v>0</v>
      </c>
      <c r="R27" s="234">
        <f>VLOOKUP($B27,'Nomina Unhesa'!$B$4:$AB$209,19,0)</f>
        <v>0</v>
      </c>
      <c r="S27" s="234">
        <f>VLOOKUP($B27,'Nomina Unhesa'!$B$4:$AB$209,20,0)</f>
        <v>0</v>
      </c>
      <c r="T27" s="234">
        <f>VLOOKUP($B27,'Nomina Unhesa'!$B$4:$AB$209,21,0)</f>
        <v>0</v>
      </c>
      <c r="U27" s="234">
        <f>VLOOKUP($B27,'Nomina Unhesa'!$B$4:$AB$209,22,0)</f>
        <v>0</v>
      </c>
      <c r="V27" s="234">
        <f>ROUND((VLOOKUP($B27,'Nomina Unhesa'!$B$4:$AB$209,23,0)),2)</f>
        <v>50</v>
      </c>
      <c r="W27" s="234">
        <f>VLOOKUP($B27,'Nomina Unhesa'!$B$4:$AB$209,24,0)</f>
        <v>420.46000000000004</v>
      </c>
      <c r="X27" s="234">
        <f>VLOOKUP(B27,'Nomina Unhesa'!$B$9:$Z$163,25,FALSE)</f>
        <v>6426.95</v>
      </c>
      <c r="Y27" s="255">
        <f>ROUND((VLOOKUP(B27,'Nomina Unhesa'!$B$9:$AB$157,26,FALSE)),2)</f>
        <v>3732.7</v>
      </c>
      <c r="Z27" s="219">
        <f>VLOOKUP(B27,'Nomina Unhesa'!$B$9:$AB$158,27,FALSE)</f>
        <v>2694.25</v>
      </c>
      <c r="AA27" s="441"/>
      <c r="AB27" s="389">
        <f>+IFERROR(VLOOKUP(B27,'Nomina Unhesa'!B36:D184,3,0),"")</f>
        <v>4750</v>
      </c>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c r="KS27" s="3"/>
      <c r="KT27" s="3"/>
      <c r="KU27" s="3"/>
      <c r="KV27" s="3"/>
      <c r="KW27" s="3"/>
      <c r="KX27" s="3"/>
      <c r="KY27" s="3"/>
      <c r="KZ27" s="3"/>
      <c r="LA27" s="3"/>
      <c r="LB27" s="3"/>
      <c r="LC27" s="3"/>
      <c r="LD27" s="3"/>
      <c r="LE27" s="3"/>
      <c r="LF27" s="3"/>
      <c r="LG27" s="3"/>
      <c r="LH27" s="3"/>
      <c r="LI27" s="3"/>
      <c r="LJ27" s="3"/>
      <c r="LK27" s="3"/>
      <c r="LL27" s="3"/>
      <c r="LM27" s="3"/>
      <c r="LN27" s="3"/>
      <c r="LO27" s="3"/>
      <c r="LP27" s="3"/>
      <c r="LQ27" s="3"/>
      <c r="LR27" s="3"/>
      <c r="LS27" s="3"/>
      <c r="LT27" s="3"/>
      <c r="LU27" s="3"/>
      <c r="LV27" s="3"/>
      <c r="LW27" s="3"/>
      <c r="LX27" s="3"/>
      <c r="LY27" s="3"/>
      <c r="LZ27" s="3"/>
      <c r="MA27" s="3"/>
      <c r="MB27" s="3"/>
      <c r="MC27" s="3"/>
      <c r="MD27" s="3"/>
      <c r="ME27" s="3"/>
      <c r="MF27" s="3"/>
      <c r="MG27" s="3"/>
      <c r="MH27" s="3"/>
      <c r="MI27" s="3"/>
      <c r="MJ27" s="3"/>
      <c r="MK27" s="3"/>
      <c r="ML27" s="3"/>
      <c r="MM27" s="3"/>
      <c r="MN27" s="3"/>
      <c r="MO27" s="3"/>
      <c r="MP27" s="3"/>
      <c r="MQ27" s="3"/>
      <c r="MR27" s="3"/>
      <c r="MS27" s="3"/>
      <c r="MT27" s="3"/>
      <c r="MU27" s="3"/>
      <c r="MV27" s="3"/>
      <c r="MW27" s="3"/>
      <c r="MX27" s="3"/>
      <c r="MY27" s="3"/>
      <c r="MZ27" s="3"/>
      <c r="NA27" s="3"/>
      <c r="NB27" s="3"/>
      <c r="NC27" s="3"/>
      <c r="ND27" s="3"/>
      <c r="NE27" s="3"/>
      <c r="NF27" s="3"/>
      <c r="NG27" s="3"/>
      <c r="NH27" s="3"/>
      <c r="NI27" s="3"/>
      <c r="NJ27" s="3"/>
      <c r="NK27" s="3"/>
      <c r="NL27" s="3"/>
      <c r="NM27" s="3"/>
      <c r="NN27" s="3"/>
      <c r="NO27" s="3"/>
      <c r="NP27" s="3"/>
      <c r="NQ27" s="3"/>
      <c r="NR27" s="3"/>
      <c r="NS27" s="3"/>
      <c r="NT27" s="3"/>
      <c r="NU27" s="3"/>
      <c r="NV27" s="3"/>
      <c r="NW27" s="3"/>
      <c r="NX27" s="3"/>
      <c r="NY27" s="3"/>
      <c r="NZ27" s="3"/>
      <c r="OA27" s="3"/>
      <c r="OB27" s="3"/>
      <c r="OC27" s="3"/>
      <c r="OD27" s="3"/>
      <c r="OE27" s="3"/>
      <c r="OF27" s="3"/>
      <c r="OG27" s="3"/>
      <c r="OH27" s="3"/>
      <c r="OI27" s="3"/>
      <c r="OJ27" s="3"/>
      <c r="OK27" s="3"/>
      <c r="OL27" s="3"/>
      <c r="OM27" s="3"/>
      <c r="ON27" s="3"/>
      <c r="OO27" s="3"/>
      <c r="OP27" s="3"/>
      <c r="OQ27" s="3"/>
      <c r="OR27" s="3"/>
      <c r="OS27" s="3"/>
      <c r="OT27" s="3"/>
      <c r="OU27" s="3"/>
      <c r="OV27" s="3"/>
      <c r="OW27" s="3"/>
      <c r="OX27" s="3"/>
      <c r="OY27" s="3"/>
      <c r="OZ27" s="3"/>
      <c r="PA27" s="3"/>
      <c r="PB27" s="3"/>
      <c r="PC27" s="3"/>
      <c r="PD27" s="3"/>
      <c r="PE27" s="3"/>
      <c r="PF27" s="3"/>
      <c r="PG27" s="3"/>
      <c r="PH27" s="3"/>
      <c r="PI27" s="3"/>
      <c r="PJ27" s="3"/>
      <c r="PK27" s="3"/>
      <c r="PL27" s="3"/>
      <c r="PM27" s="3"/>
      <c r="PN27" s="3"/>
      <c r="PO27" s="3"/>
      <c r="PP27" s="3"/>
      <c r="PQ27" s="3"/>
      <c r="PR27" s="3"/>
      <c r="PS27" s="3"/>
      <c r="PT27" s="3"/>
      <c r="PU27" s="3"/>
      <c r="PV27" s="3"/>
      <c r="PW27" s="3"/>
      <c r="PX27" s="3"/>
      <c r="PY27" s="3"/>
      <c r="PZ27" s="3"/>
      <c r="QA27" s="3"/>
      <c r="QB27" s="3"/>
      <c r="QC27" s="3"/>
      <c r="QD27" s="3"/>
      <c r="QE27" s="3"/>
      <c r="QF27" s="3"/>
      <c r="QG27" s="3"/>
      <c r="QH27" s="3"/>
      <c r="QI27" s="3"/>
      <c r="QJ27" s="3"/>
      <c r="QK27" s="3"/>
      <c r="QL27" s="3"/>
      <c r="QM27" s="3"/>
      <c r="QN27" s="3"/>
      <c r="QO27" s="3"/>
      <c r="QP27" s="3"/>
      <c r="QQ27" s="3"/>
      <c r="QR27" s="3"/>
      <c r="QS27" s="3"/>
      <c r="QT27" s="3"/>
      <c r="QU27" s="3"/>
      <c r="QV27" s="3"/>
      <c r="QW27" s="3"/>
      <c r="QX27" s="3"/>
      <c r="QY27" s="3"/>
      <c r="QZ27" s="3"/>
      <c r="RA27" s="3"/>
      <c r="RB27" s="3"/>
      <c r="RC27" s="3"/>
      <c r="RD27" s="3"/>
      <c r="RE27" s="3"/>
      <c r="RF27" s="3"/>
      <c r="RG27" s="3"/>
      <c r="RH27" s="3"/>
      <c r="RI27" s="3"/>
      <c r="RJ27" s="3"/>
      <c r="RK27" s="3"/>
      <c r="RL27" s="3"/>
      <c r="RM27" s="3"/>
      <c r="RN27" s="3"/>
      <c r="RO27" s="3"/>
      <c r="RP27" s="3"/>
      <c r="RQ27" s="3"/>
      <c r="RR27" s="3"/>
      <c r="RS27" s="3"/>
      <c r="RT27" s="3"/>
      <c r="RU27" s="3"/>
      <c r="RV27" s="3"/>
      <c r="RW27" s="3"/>
      <c r="RX27" s="3"/>
      <c r="RY27" s="3"/>
      <c r="RZ27" s="3"/>
      <c r="SA27" s="3"/>
      <c r="SB27" s="3"/>
      <c r="SC27" s="3"/>
      <c r="SD27" s="3"/>
      <c r="SE27" s="3"/>
      <c r="SF27" s="3"/>
      <c r="SG27" s="3"/>
      <c r="SH27" s="3"/>
      <c r="SI27" s="3"/>
      <c r="SJ27" s="3"/>
      <c r="SK27" s="3"/>
      <c r="SL27" s="3"/>
      <c r="SM27" s="3"/>
      <c r="SN27" s="3"/>
      <c r="SO27" s="3"/>
      <c r="SP27" s="3"/>
      <c r="SQ27" s="3"/>
      <c r="SR27" s="3"/>
      <c r="SS27" s="3"/>
      <c r="ST27" s="3"/>
      <c r="SU27" s="3"/>
      <c r="SV27" s="3"/>
      <c r="SW27" s="3"/>
      <c r="SX27" s="3"/>
      <c r="SY27" s="3"/>
      <c r="SZ27" s="3"/>
      <c r="TA27" s="3"/>
      <c r="TB27" s="3"/>
      <c r="TC27" s="3"/>
      <c r="TD27" s="3"/>
      <c r="TE27" s="3"/>
      <c r="TF27" s="3"/>
      <c r="TG27" s="3"/>
      <c r="TH27" s="3"/>
      <c r="TI27" s="3"/>
      <c r="TJ27" s="3"/>
      <c r="TK27" s="3"/>
      <c r="TL27" s="3"/>
      <c r="TM27" s="3"/>
      <c r="TN27" s="3"/>
      <c r="TO27" s="3"/>
      <c r="TP27" s="3"/>
      <c r="TQ27" s="3"/>
      <c r="TR27" s="3"/>
      <c r="TS27" s="3"/>
      <c r="TT27" s="3"/>
      <c r="TU27" s="3"/>
      <c r="TV27" s="3"/>
      <c r="TW27" s="3"/>
      <c r="TX27" s="3"/>
      <c r="TY27" s="3"/>
      <c r="TZ27" s="3"/>
      <c r="UA27" s="3"/>
      <c r="UB27" s="3"/>
      <c r="UC27" s="3"/>
      <c r="UD27" s="3"/>
      <c r="UE27" s="3"/>
      <c r="UF27" s="3"/>
      <c r="UG27" s="3"/>
      <c r="UH27" s="3"/>
      <c r="UI27" s="3"/>
      <c r="UJ27" s="3"/>
      <c r="UK27" s="3"/>
      <c r="UL27" s="3"/>
      <c r="UM27" s="3"/>
      <c r="UN27" s="3"/>
      <c r="UO27" s="3"/>
      <c r="UP27" s="3"/>
      <c r="UQ27" s="3"/>
      <c r="UR27" s="3"/>
      <c r="US27" s="3"/>
      <c r="UT27" s="3"/>
      <c r="UU27" s="3"/>
      <c r="UV27" s="3"/>
      <c r="UW27" s="3"/>
      <c r="UX27" s="3"/>
      <c r="UY27" s="3"/>
      <c r="UZ27" s="3"/>
      <c r="VA27" s="3"/>
      <c r="VB27" s="3"/>
      <c r="VC27" s="3"/>
      <c r="VD27" s="3"/>
      <c r="VE27" s="3"/>
      <c r="VF27" s="3"/>
      <c r="VG27" s="3"/>
      <c r="VH27" s="3"/>
      <c r="VI27" s="3"/>
      <c r="VJ27" s="3"/>
      <c r="VK27" s="3"/>
      <c r="VL27" s="3"/>
      <c r="VM27" s="3"/>
      <c r="VN27" s="3"/>
      <c r="VO27" s="3"/>
      <c r="VP27" s="3"/>
      <c r="VQ27" s="3"/>
      <c r="VR27" s="3"/>
      <c r="VS27" s="3"/>
      <c r="VT27" s="3"/>
      <c r="VU27" s="3"/>
      <c r="VV27" s="3"/>
      <c r="VW27" s="3"/>
      <c r="VX27" s="3"/>
      <c r="VY27" s="3"/>
      <c r="VZ27" s="3"/>
      <c r="WA27" s="3"/>
      <c r="WB27" s="3"/>
      <c r="WC27" s="3"/>
      <c r="WD27" s="3"/>
      <c r="WE27" s="3"/>
      <c r="WF27" s="3"/>
      <c r="WG27" s="3"/>
      <c r="WH27" s="3"/>
      <c r="WI27" s="3"/>
      <c r="WJ27" s="3"/>
      <c r="WK27" s="3"/>
      <c r="WL27" s="3"/>
      <c r="WM27" s="3"/>
      <c r="WN27" s="3"/>
      <c r="WO27" s="3"/>
      <c r="WP27" s="3"/>
      <c r="WQ27" s="3"/>
      <c r="WR27" s="3"/>
      <c r="WS27" s="3"/>
      <c r="WT27" s="3"/>
      <c r="WU27" s="3"/>
      <c r="WV27" s="3"/>
      <c r="WW27" s="3"/>
      <c r="WX27" s="3"/>
      <c r="WY27" s="3"/>
      <c r="WZ27" s="3"/>
      <c r="XA27" s="3"/>
      <c r="XB27" s="3"/>
      <c r="XC27" s="3"/>
      <c r="XD27" s="3"/>
      <c r="XE27" s="3"/>
      <c r="XF27" s="3"/>
      <c r="XG27" s="3"/>
      <c r="XH27" s="3"/>
      <c r="XI27" s="3"/>
      <c r="XJ27" s="3"/>
      <c r="XK27" s="3"/>
      <c r="XL27" s="3"/>
      <c r="XM27" s="3"/>
      <c r="XN27" s="3"/>
      <c r="XO27" s="3"/>
      <c r="XP27" s="3"/>
      <c r="XQ27" s="3"/>
      <c r="XR27" s="3"/>
      <c r="XS27" s="3"/>
      <c r="XT27" s="3"/>
      <c r="XU27" s="3"/>
      <c r="XV27" s="3"/>
      <c r="XW27" s="3"/>
      <c r="XX27" s="3"/>
      <c r="XY27" s="3"/>
      <c r="XZ27" s="3"/>
      <c r="YA27" s="3"/>
      <c r="YB27" s="3"/>
      <c r="YC27" s="3"/>
      <c r="YD27" s="3"/>
      <c r="YE27" s="3"/>
      <c r="YF27" s="3"/>
      <c r="YG27" s="3"/>
      <c r="YH27" s="3"/>
      <c r="YI27" s="3"/>
      <c r="YJ27" s="3"/>
      <c r="YK27" s="3"/>
      <c r="YL27" s="3"/>
      <c r="YM27" s="3"/>
      <c r="YN27" s="3"/>
      <c r="YO27" s="3"/>
      <c r="YP27" s="3"/>
      <c r="YQ27" s="3"/>
      <c r="YR27" s="3"/>
      <c r="YS27" s="3"/>
      <c r="YT27" s="3"/>
      <c r="YU27" s="3"/>
      <c r="YV27" s="3"/>
      <c r="YW27" s="3"/>
      <c r="YX27" s="3"/>
      <c r="YY27" s="3"/>
      <c r="YZ27" s="3"/>
      <c r="ZA27" s="3"/>
      <c r="ZB27" s="3"/>
      <c r="ZC27" s="3"/>
      <c r="ZD27" s="3"/>
      <c r="ZE27" s="3"/>
      <c r="ZF27" s="3"/>
      <c r="ZG27" s="3"/>
      <c r="ZH27" s="3"/>
      <c r="ZI27" s="3"/>
      <c r="ZJ27" s="3"/>
      <c r="ZK27" s="3"/>
      <c r="ZL27" s="3"/>
      <c r="ZM27" s="3"/>
      <c r="ZN27" s="3"/>
      <c r="ZO27" s="3"/>
      <c r="ZP27" s="3"/>
      <c r="ZQ27" s="3"/>
      <c r="ZR27" s="3"/>
      <c r="ZS27" s="3"/>
      <c r="ZT27" s="3"/>
      <c r="ZU27" s="3"/>
      <c r="ZV27" s="3"/>
      <c r="ZW27" s="3"/>
      <c r="ZX27" s="3"/>
      <c r="ZY27" s="3"/>
      <c r="ZZ27" s="3"/>
      <c r="AAA27" s="3"/>
      <c r="AAB27" s="3"/>
      <c r="AAC27" s="3"/>
      <c r="AAD27" s="3"/>
      <c r="AAE27" s="3"/>
      <c r="AAF27" s="3"/>
      <c r="AAG27" s="3"/>
      <c r="AAH27" s="3"/>
      <c r="AAI27" s="3"/>
      <c r="AAJ27" s="3"/>
      <c r="AAK27" s="3"/>
      <c r="AAL27" s="3"/>
      <c r="AAM27" s="3"/>
      <c r="AAN27" s="3"/>
      <c r="AAO27" s="3"/>
      <c r="AAP27" s="3"/>
      <c r="AAQ27" s="3"/>
      <c r="AAR27" s="3"/>
      <c r="AAS27" s="3"/>
      <c r="AAT27" s="3"/>
      <c r="AAU27" s="3"/>
      <c r="AAV27" s="3"/>
      <c r="AAW27" s="3"/>
      <c r="AAX27" s="3"/>
      <c r="AAY27" s="3"/>
      <c r="AAZ27" s="3"/>
      <c r="ABA27" s="3"/>
      <c r="ABB27" s="3"/>
      <c r="ABC27" s="3"/>
      <c r="ABD27" s="3"/>
      <c r="ABE27" s="3"/>
      <c r="ABF27" s="3"/>
      <c r="ABG27" s="3"/>
      <c r="ABH27" s="3"/>
      <c r="ABI27" s="3"/>
      <c r="ABJ27" s="3"/>
      <c r="ABK27" s="3"/>
      <c r="ABL27" s="3"/>
      <c r="ABM27" s="3"/>
      <c r="ABN27" s="3"/>
      <c r="ABO27" s="3"/>
      <c r="ABP27" s="3"/>
      <c r="ABQ27" s="3"/>
      <c r="ABR27" s="3"/>
      <c r="ABS27" s="3"/>
      <c r="ABT27" s="3"/>
      <c r="ABU27" s="3"/>
      <c r="ABV27" s="3"/>
      <c r="ABW27" s="3"/>
      <c r="ABX27" s="3"/>
      <c r="ABY27" s="3"/>
      <c r="ABZ27" s="3"/>
      <c r="ACA27" s="3"/>
      <c r="ACB27" s="3"/>
      <c r="ACC27" s="3"/>
      <c r="ACD27" s="3"/>
      <c r="ACE27" s="3"/>
      <c r="ACF27" s="3"/>
      <c r="ACG27" s="3"/>
      <c r="ACH27" s="3"/>
      <c r="ACI27" s="3"/>
      <c r="ACJ27" s="3"/>
      <c r="ACK27" s="3"/>
      <c r="ACL27" s="3"/>
      <c r="ACM27" s="3"/>
      <c r="ACN27" s="3"/>
      <c r="ACO27" s="3"/>
      <c r="ACP27" s="3"/>
      <c r="ACQ27" s="3"/>
      <c r="ACR27" s="3"/>
      <c r="ACS27" s="3"/>
      <c r="ACT27" s="3"/>
      <c r="ACU27" s="3"/>
      <c r="ACV27" s="3"/>
      <c r="ACW27" s="3"/>
      <c r="ACX27" s="3"/>
      <c r="ACY27" s="3"/>
      <c r="ACZ27" s="3"/>
      <c r="ADA27" s="3"/>
      <c r="ADB27" s="3"/>
      <c r="ADC27" s="3"/>
      <c r="ADD27" s="3"/>
      <c r="ADE27" s="3"/>
      <c r="ADF27" s="3"/>
      <c r="ADG27" s="3"/>
      <c r="ADH27" s="3"/>
      <c r="ADI27" s="3"/>
      <c r="ADJ27" s="3"/>
      <c r="ADK27" s="3"/>
      <c r="ADL27" s="3"/>
      <c r="ADM27" s="3"/>
      <c r="ADN27" s="3"/>
      <c r="ADO27" s="3"/>
      <c r="ADP27" s="3"/>
      <c r="ADQ27" s="3"/>
      <c r="ADR27" s="3"/>
      <c r="ADS27" s="3"/>
      <c r="ADT27" s="3"/>
      <c r="ADU27" s="3"/>
      <c r="ADV27" s="3"/>
      <c r="ADW27" s="3"/>
      <c r="ADX27" s="3"/>
      <c r="ADY27" s="3"/>
      <c r="ADZ27" s="3"/>
      <c r="AEA27" s="3"/>
      <c r="AEB27" s="3"/>
      <c r="AEC27" s="3"/>
      <c r="AED27" s="3"/>
      <c r="AEE27" s="3"/>
      <c r="AEF27" s="3"/>
      <c r="AEG27" s="3"/>
      <c r="AEH27" s="3"/>
      <c r="AEI27" s="3"/>
      <c r="AEJ27" s="3"/>
      <c r="AEK27" s="3"/>
      <c r="AEL27" s="3"/>
      <c r="AEM27" s="3"/>
      <c r="AEN27" s="3"/>
      <c r="AEO27" s="3"/>
      <c r="AEP27" s="3"/>
      <c r="AEQ27" s="3"/>
      <c r="AER27" s="3"/>
      <c r="AES27" s="3"/>
      <c r="AET27" s="3"/>
      <c r="AEU27" s="3"/>
      <c r="AEV27" s="3"/>
      <c r="AEW27" s="3"/>
      <c r="AEX27" s="3"/>
      <c r="AEY27" s="3"/>
      <c r="AEZ27" s="3"/>
      <c r="AFA27" s="3"/>
      <c r="AFB27" s="3"/>
      <c r="AFC27" s="3"/>
      <c r="AFD27" s="3"/>
      <c r="AFE27" s="3"/>
      <c r="AFF27" s="3"/>
      <c r="AFG27" s="3"/>
      <c r="AFH27" s="3"/>
      <c r="AFI27" s="3"/>
      <c r="AFJ27" s="3"/>
      <c r="AFK27" s="3"/>
      <c r="AFL27" s="3"/>
      <c r="AFM27" s="3"/>
      <c r="AFN27" s="3"/>
      <c r="AFO27" s="3"/>
      <c r="AFP27" s="3"/>
      <c r="AFQ27" s="3"/>
      <c r="AFR27" s="3"/>
      <c r="AFS27" s="3"/>
      <c r="AFT27" s="3"/>
      <c r="AFU27" s="3"/>
      <c r="AFV27" s="3"/>
      <c r="AFW27" s="3"/>
      <c r="AFX27" s="3"/>
      <c r="AFY27" s="3"/>
      <c r="AFZ27" s="3"/>
      <c r="AGA27" s="3"/>
      <c r="AGB27" s="3"/>
      <c r="AGC27" s="3"/>
      <c r="AGD27" s="3"/>
      <c r="AGE27" s="3"/>
      <c r="AGF27" s="3"/>
      <c r="AGG27" s="3"/>
      <c r="AGH27" s="3"/>
      <c r="AGI27" s="3"/>
      <c r="AGJ27" s="3"/>
      <c r="AGK27" s="3"/>
      <c r="AGL27" s="3"/>
      <c r="AGM27" s="3"/>
      <c r="AGN27" s="3"/>
      <c r="AGO27" s="3"/>
      <c r="AGP27" s="3"/>
      <c r="AGQ27" s="3"/>
      <c r="AGR27" s="3"/>
      <c r="AGS27" s="3"/>
      <c r="AGT27" s="3"/>
      <c r="AGU27" s="3"/>
      <c r="AGV27" s="3"/>
      <c r="AGW27" s="3"/>
      <c r="AGX27" s="3"/>
      <c r="AGY27" s="3"/>
      <c r="AGZ27" s="3"/>
      <c r="AHA27" s="3"/>
      <c r="AHB27" s="3"/>
      <c r="AHC27" s="3"/>
      <c r="AHD27" s="3"/>
      <c r="AHE27" s="3"/>
      <c r="AHF27" s="3"/>
      <c r="AHG27" s="3"/>
      <c r="AHH27" s="3"/>
      <c r="AHI27" s="3"/>
      <c r="AHJ27" s="3"/>
      <c r="AHK27" s="3"/>
      <c r="AHL27" s="3"/>
      <c r="AHM27" s="3"/>
      <c r="AHN27" s="3"/>
      <c r="AHO27" s="3"/>
      <c r="AHP27" s="3"/>
      <c r="AHQ27" s="3"/>
      <c r="AHR27" s="3"/>
      <c r="AHS27" s="3"/>
      <c r="AHT27" s="3"/>
      <c r="AHU27" s="3"/>
      <c r="AHV27" s="3"/>
      <c r="AHW27" s="3"/>
      <c r="AHX27" s="3"/>
      <c r="AHY27" s="3"/>
      <c r="AHZ27" s="3"/>
      <c r="AIA27" s="3"/>
      <c r="AIB27" s="3"/>
      <c r="AIC27" s="3"/>
      <c r="AID27" s="3"/>
      <c r="AIE27" s="3"/>
      <c r="AIF27" s="3"/>
      <c r="AIG27" s="3"/>
      <c r="AIH27" s="3"/>
      <c r="AII27" s="3"/>
      <c r="AIJ27" s="3"/>
      <c r="AIK27" s="3"/>
      <c r="AIL27" s="3"/>
      <c r="AIM27" s="3"/>
      <c r="AIN27" s="3"/>
      <c r="AIO27" s="3"/>
      <c r="AIP27" s="3"/>
      <c r="AIQ27" s="3"/>
      <c r="AIR27" s="3"/>
      <c r="AIS27" s="3"/>
      <c r="AIT27" s="3"/>
      <c r="AIU27" s="3"/>
      <c r="AIV27" s="3"/>
      <c r="AIW27" s="3"/>
      <c r="AIX27" s="3"/>
      <c r="AIY27" s="3"/>
      <c r="AIZ27" s="3"/>
      <c r="AJA27" s="3"/>
      <c r="AJB27" s="3"/>
      <c r="AJC27" s="3"/>
      <c r="AJD27" s="3"/>
      <c r="AJE27" s="3"/>
      <c r="AJF27" s="3"/>
      <c r="AJG27" s="3"/>
      <c r="AJH27" s="3"/>
      <c r="AJI27" s="3"/>
      <c r="AJJ27" s="3"/>
      <c r="AJK27" s="3"/>
      <c r="AJL27" s="3"/>
      <c r="AJM27" s="3"/>
      <c r="AJN27" s="3"/>
      <c r="AJO27" s="3"/>
      <c r="AJP27" s="3"/>
      <c r="AJQ27" s="3"/>
      <c r="AJR27" s="3"/>
      <c r="AJS27" s="3"/>
      <c r="AJT27" s="3"/>
      <c r="AJU27" s="3"/>
      <c r="AJV27" s="3"/>
      <c r="AJW27" s="3"/>
      <c r="AJX27" s="3"/>
      <c r="AJY27" s="3"/>
      <c r="AJZ27" s="3"/>
      <c r="AKA27" s="3"/>
      <c r="AKB27" s="3"/>
      <c r="AKC27" s="3"/>
      <c r="AKD27" s="3"/>
      <c r="AKE27" s="3"/>
      <c r="AKF27" s="3"/>
      <c r="AKG27" s="3"/>
      <c r="AKH27" s="3"/>
      <c r="AKI27" s="3"/>
      <c r="AKJ27" s="3"/>
      <c r="AKK27" s="3"/>
      <c r="AKL27" s="3"/>
      <c r="AKM27" s="3"/>
      <c r="AKN27" s="3"/>
      <c r="AKO27" s="3"/>
      <c r="AKP27" s="3"/>
      <c r="AKQ27" s="3"/>
      <c r="AKR27" s="3"/>
      <c r="AKS27" s="3"/>
      <c r="AKT27" s="3"/>
      <c r="AKU27" s="3"/>
      <c r="AKV27" s="3"/>
      <c r="AKW27" s="3"/>
      <c r="AKX27" s="3"/>
      <c r="AKY27" s="3"/>
      <c r="AKZ27" s="3"/>
      <c r="ALA27" s="3"/>
      <c r="ALB27" s="3"/>
      <c r="ALC27" s="3"/>
      <c r="ALD27" s="3"/>
      <c r="ALE27" s="3"/>
      <c r="ALF27" s="3"/>
      <c r="ALG27" s="3"/>
      <c r="ALH27" s="3"/>
      <c r="ALI27" s="3"/>
      <c r="ALJ27" s="3"/>
      <c r="ALK27" s="3"/>
      <c r="ALL27" s="3"/>
      <c r="ALM27" s="3"/>
      <c r="ALN27" s="3"/>
      <c r="ALO27" s="3"/>
      <c r="ALP27" s="3"/>
      <c r="ALQ27" s="3"/>
      <c r="ALR27" s="3"/>
      <c r="ALS27" s="3"/>
      <c r="ALT27" s="3"/>
      <c r="ALU27" s="3"/>
      <c r="ALV27" s="3"/>
      <c r="ALW27" s="3"/>
      <c r="ALX27" s="3"/>
      <c r="ALY27" s="3"/>
      <c r="ALZ27" s="3"/>
      <c r="AMA27" s="3"/>
      <c r="AMB27" s="3"/>
      <c r="AMC27" s="3"/>
      <c r="AMD27" s="3"/>
      <c r="AME27" s="3"/>
      <c r="AMF27" s="3"/>
      <c r="AMG27" s="3"/>
      <c r="AMH27" s="3"/>
      <c r="AMI27" s="3"/>
      <c r="AMJ27" s="3"/>
      <c r="AMK27" s="3"/>
      <c r="AML27" s="3"/>
      <c r="AMM27" s="3"/>
      <c r="AMN27" s="3"/>
      <c r="AMO27" s="3"/>
      <c r="AMP27" s="3"/>
      <c r="AMQ27" s="3"/>
      <c r="AMR27" s="3"/>
      <c r="AMS27" s="3"/>
      <c r="AMT27" s="3"/>
      <c r="AMU27" s="3"/>
      <c r="AMV27" s="3"/>
      <c r="AMW27" s="3"/>
      <c r="AMX27" s="3"/>
      <c r="AMY27" s="3"/>
      <c r="AMZ27" s="3"/>
      <c r="ANA27" s="3"/>
      <c r="ANB27" s="3"/>
      <c r="ANC27" s="3"/>
      <c r="AND27" s="3"/>
      <c r="ANE27" s="3"/>
      <c r="ANF27" s="3"/>
      <c r="ANG27" s="3"/>
      <c r="ANH27" s="3"/>
      <c r="ANI27" s="3"/>
      <c r="ANJ27" s="3"/>
      <c r="ANK27" s="3"/>
      <c r="ANL27" s="3"/>
      <c r="ANM27" s="3"/>
      <c r="ANN27" s="3"/>
      <c r="ANO27" s="3"/>
      <c r="ANP27" s="3"/>
      <c r="ANQ27" s="3"/>
      <c r="ANR27" s="3"/>
      <c r="ANS27" s="3"/>
      <c r="ANT27" s="3"/>
      <c r="ANU27" s="3"/>
      <c r="ANV27" s="3"/>
      <c r="ANW27" s="3"/>
      <c r="ANX27" s="3"/>
      <c r="ANY27" s="3"/>
      <c r="ANZ27" s="3"/>
      <c r="AOA27" s="3"/>
      <c r="AOB27" s="3"/>
      <c r="AOC27" s="3"/>
      <c r="AOD27" s="3"/>
      <c r="AOE27" s="3"/>
      <c r="AOF27" s="3"/>
      <c r="AOG27" s="3"/>
      <c r="AOH27" s="3"/>
      <c r="AOI27" s="3"/>
      <c r="AOJ27" s="3"/>
      <c r="AOK27" s="3"/>
      <c r="AOL27" s="3"/>
      <c r="AOM27" s="3"/>
      <c r="AON27" s="3"/>
      <c r="AOO27" s="3"/>
      <c r="AOP27" s="3"/>
      <c r="AOQ27" s="3"/>
      <c r="AOR27" s="3"/>
      <c r="AOS27" s="3"/>
      <c r="AOT27" s="3"/>
      <c r="AOU27" s="3"/>
      <c r="AOV27" s="3"/>
      <c r="AOW27" s="3"/>
      <c r="AOX27" s="3"/>
      <c r="AOY27" s="3"/>
      <c r="AOZ27" s="3"/>
      <c r="APA27" s="3"/>
      <c r="APB27" s="3"/>
      <c r="APC27" s="3"/>
      <c r="APD27" s="3"/>
      <c r="APE27" s="3"/>
      <c r="APF27" s="3"/>
      <c r="APG27" s="3"/>
      <c r="APH27" s="3"/>
      <c r="API27" s="3"/>
      <c r="APJ27" s="3"/>
      <c r="APK27" s="3"/>
      <c r="APL27" s="3"/>
      <c r="APM27" s="3"/>
      <c r="APN27" s="3"/>
      <c r="APO27" s="3"/>
      <c r="APP27" s="3"/>
      <c r="APQ27" s="3"/>
      <c r="APR27" s="3"/>
      <c r="APS27" s="3"/>
      <c r="APT27" s="3"/>
      <c r="APU27" s="3"/>
      <c r="APV27" s="3"/>
      <c r="APW27" s="3"/>
      <c r="APX27" s="3"/>
      <c r="APY27" s="3"/>
      <c r="APZ27" s="3"/>
      <c r="AQA27" s="3"/>
      <c r="AQB27" s="3"/>
      <c r="AQC27" s="3"/>
      <c r="AQD27" s="3"/>
      <c r="AQE27" s="3"/>
      <c r="AQF27" s="3"/>
      <c r="AQG27" s="3"/>
      <c r="AQH27" s="3"/>
      <c r="AQI27" s="3"/>
      <c r="AQJ27" s="3"/>
      <c r="AQK27" s="3"/>
      <c r="AQL27" s="3"/>
      <c r="AQM27" s="3"/>
      <c r="AQN27" s="3"/>
      <c r="AQO27" s="3"/>
      <c r="AQP27" s="3"/>
      <c r="AQQ27" s="3"/>
      <c r="AQR27" s="3"/>
      <c r="AQS27" s="3"/>
      <c r="AQT27" s="3"/>
      <c r="AQU27" s="3"/>
      <c r="AQV27" s="3"/>
      <c r="AQW27" s="3"/>
      <c r="AQX27" s="3"/>
      <c r="AQY27" s="3"/>
      <c r="AQZ27" s="3"/>
      <c r="ARA27" s="3"/>
      <c r="ARB27" s="3"/>
      <c r="ARC27" s="3"/>
      <c r="ARD27" s="3"/>
      <c r="ARE27" s="3"/>
      <c r="ARF27" s="3"/>
      <c r="ARG27" s="3"/>
      <c r="ARH27" s="3"/>
      <c r="ARI27" s="3"/>
      <c r="ARJ27" s="3"/>
      <c r="ARK27" s="3"/>
      <c r="ARL27" s="3"/>
      <c r="ARM27" s="3"/>
      <c r="ARN27" s="3"/>
      <c r="ARO27" s="3"/>
      <c r="ARP27" s="3"/>
      <c r="ARQ27" s="3"/>
      <c r="ARR27" s="3"/>
      <c r="ARS27" s="3"/>
      <c r="ART27" s="3"/>
      <c r="ARU27" s="3"/>
      <c r="ARV27" s="3"/>
      <c r="ARW27" s="3"/>
      <c r="ARX27" s="3"/>
      <c r="ARY27" s="3"/>
      <c r="ARZ27" s="3"/>
      <c r="ASA27" s="3"/>
      <c r="ASB27" s="3"/>
      <c r="ASC27" s="3"/>
      <c r="ASD27" s="3"/>
      <c r="ASE27" s="3"/>
      <c r="ASF27" s="3"/>
      <c r="ASG27" s="3"/>
      <c r="ASH27" s="3"/>
      <c r="ASI27" s="3"/>
      <c r="ASJ27" s="3"/>
      <c r="ASK27" s="3"/>
      <c r="ASL27" s="3"/>
      <c r="ASM27" s="3"/>
      <c r="ASN27" s="3"/>
      <c r="ASO27" s="3"/>
      <c r="ASP27" s="3"/>
      <c r="ASQ27" s="3"/>
      <c r="ASR27" s="3"/>
      <c r="ASS27" s="3"/>
      <c r="AST27" s="3"/>
      <c r="ASU27" s="3"/>
      <c r="ASV27" s="3"/>
      <c r="ASW27" s="3"/>
      <c r="ASX27" s="3"/>
      <c r="ASY27" s="3"/>
      <c r="ASZ27" s="3"/>
      <c r="ATA27" s="3"/>
      <c r="ATB27" s="3"/>
      <c r="ATC27" s="3"/>
      <c r="ATD27" s="3"/>
      <c r="ATE27" s="3"/>
      <c r="ATF27" s="3"/>
      <c r="ATG27" s="3"/>
      <c r="ATH27" s="3"/>
      <c r="ATI27" s="3"/>
      <c r="ATJ27" s="3"/>
      <c r="ATK27" s="3"/>
      <c r="ATL27" s="3"/>
      <c r="ATM27" s="3"/>
      <c r="ATN27" s="3"/>
      <c r="ATO27" s="3"/>
      <c r="ATP27" s="3"/>
      <c r="ATQ27" s="3"/>
      <c r="ATR27" s="3"/>
      <c r="ATS27" s="3"/>
      <c r="ATT27" s="3"/>
      <c r="ATU27" s="3"/>
      <c r="ATV27" s="3"/>
      <c r="ATW27" s="3"/>
      <c r="ATX27" s="3"/>
      <c r="ATY27" s="3"/>
      <c r="ATZ27" s="3"/>
      <c r="AUA27" s="3"/>
      <c r="AUB27" s="3"/>
      <c r="AUC27" s="3"/>
      <c r="AUD27" s="3"/>
      <c r="AUE27" s="3"/>
      <c r="AUF27" s="3"/>
      <c r="AUG27" s="3"/>
      <c r="AUH27" s="3"/>
      <c r="AUI27" s="3"/>
      <c r="AUJ27" s="3"/>
      <c r="AUK27" s="3"/>
      <c r="AUL27" s="3"/>
      <c r="AUM27" s="3"/>
      <c r="AUN27" s="3"/>
      <c r="AUO27" s="3"/>
      <c r="AUP27" s="3"/>
      <c r="AUQ27" s="3"/>
      <c r="AUR27" s="3"/>
      <c r="AUS27" s="3"/>
      <c r="AUT27" s="3"/>
      <c r="AUU27" s="3"/>
      <c r="AUV27" s="3"/>
      <c r="AUW27" s="3"/>
      <c r="AUX27" s="3"/>
      <c r="AUY27" s="3"/>
      <c r="AUZ27" s="3"/>
      <c r="AVA27" s="3"/>
      <c r="AVB27" s="3"/>
      <c r="AVC27" s="3"/>
      <c r="AVD27" s="3"/>
      <c r="AVE27" s="3"/>
      <c r="AVF27" s="3"/>
      <c r="AVG27" s="3"/>
      <c r="AVH27" s="3"/>
      <c r="AVI27" s="3"/>
      <c r="AVJ27" s="3"/>
      <c r="AVK27" s="3"/>
      <c r="AVL27" s="3"/>
      <c r="AVM27" s="3"/>
      <c r="AVN27" s="3"/>
      <c r="AVO27" s="3"/>
      <c r="AVP27" s="3"/>
      <c r="AVQ27" s="3"/>
      <c r="AVR27" s="3"/>
      <c r="AVS27" s="3"/>
      <c r="AVT27" s="3"/>
      <c r="AVU27" s="3"/>
      <c r="AVV27" s="3"/>
      <c r="AVW27" s="3"/>
      <c r="AVX27" s="3"/>
      <c r="AVY27" s="3"/>
      <c r="AVZ27" s="3"/>
      <c r="AWA27" s="3"/>
      <c r="AWB27" s="3"/>
      <c r="AWC27" s="3"/>
      <c r="AWD27" s="3"/>
      <c r="AWE27" s="3"/>
      <c r="AWF27" s="3"/>
      <c r="AWG27" s="3"/>
      <c r="AWH27" s="3"/>
      <c r="AWI27" s="3"/>
      <c r="AWJ27" s="3"/>
      <c r="AWK27" s="3"/>
      <c r="AWL27" s="3"/>
      <c r="AWM27" s="3"/>
      <c r="AWN27" s="3"/>
      <c r="AWO27" s="3"/>
      <c r="AWP27" s="3"/>
      <c r="AWQ27" s="3"/>
      <c r="AWR27" s="3"/>
      <c r="AWS27" s="3"/>
      <c r="AWT27" s="3"/>
      <c r="AWU27" s="3"/>
      <c r="AWV27" s="3"/>
      <c r="AWW27" s="3"/>
      <c r="AWX27" s="3"/>
      <c r="AWY27" s="3"/>
      <c r="AWZ27" s="3"/>
      <c r="AXA27" s="3"/>
      <c r="AXB27" s="3"/>
      <c r="AXC27" s="3"/>
      <c r="AXD27" s="3"/>
      <c r="AXE27" s="3"/>
      <c r="AXF27" s="3"/>
      <c r="AXG27" s="3"/>
      <c r="AXH27" s="3"/>
      <c r="AXI27" s="3"/>
      <c r="AXJ27" s="3"/>
      <c r="AXK27" s="3"/>
      <c r="AXL27" s="3"/>
      <c r="AXM27" s="3"/>
      <c r="AXN27" s="3"/>
      <c r="AXO27" s="3"/>
      <c r="AXP27" s="3"/>
      <c r="AXQ27" s="3"/>
      <c r="AXR27" s="3"/>
      <c r="AXS27" s="3"/>
      <c r="AXT27" s="3"/>
      <c r="AXU27" s="3"/>
      <c r="AXV27" s="3"/>
      <c r="AXW27" s="3"/>
      <c r="AXX27" s="3"/>
      <c r="AXY27" s="3"/>
      <c r="AXZ27" s="3"/>
      <c r="AYA27" s="3"/>
      <c r="AYB27" s="3"/>
      <c r="AYC27" s="3"/>
      <c r="AYD27" s="3"/>
      <c r="AYE27" s="3"/>
      <c r="AYF27" s="3"/>
      <c r="AYG27" s="3"/>
      <c r="AYH27" s="3"/>
      <c r="AYI27" s="3"/>
      <c r="AYJ27" s="3"/>
      <c r="AYK27" s="3"/>
      <c r="AYL27" s="3"/>
      <c r="AYM27" s="3"/>
      <c r="AYN27" s="3"/>
      <c r="AYO27" s="3"/>
      <c r="AYP27" s="3"/>
      <c r="AYQ27" s="3"/>
      <c r="AYR27" s="3"/>
      <c r="AYS27" s="3"/>
      <c r="AYT27" s="3"/>
      <c r="AYU27" s="3"/>
      <c r="AYV27" s="3"/>
      <c r="AYW27" s="3"/>
      <c r="AYX27" s="3"/>
      <c r="AYY27" s="3"/>
      <c r="AYZ27" s="3"/>
      <c r="AZA27" s="3"/>
      <c r="AZB27" s="3"/>
      <c r="AZC27" s="3"/>
      <c r="AZD27" s="3"/>
      <c r="AZE27" s="3"/>
      <c r="AZF27" s="3"/>
      <c r="AZG27" s="3"/>
      <c r="AZH27" s="3"/>
      <c r="AZI27" s="3"/>
      <c r="AZJ27" s="3"/>
      <c r="AZK27" s="3"/>
      <c r="AZL27" s="3"/>
      <c r="AZM27" s="3"/>
      <c r="AZN27" s="3"/>
      <c r="AZO27" s="3"/>
      <c r="AZP27" s="3"/>
      <c r="AZQ27" s="3"/>
      <c r="AZR27" s="3"/>
      <c r="AZS27" s="3"/>
      <c r="AZT27" s="3"/>
      <c r="AZU27" s="3"/>
      <c r="AZV27" s="3"/>
      <c r="AZW27" s="3"/>
      <c r="AZX27" s="3"/>
      <c r="AZY27" s="3"/>
      <c r="AZZ27" s="3"/>
      <c r="BAA27" s="3"/>
      <c r="BAB27" s="3"/>
      <c r="BAC27" s="3"/>
      <c r="BAD27" s="3"/>
      <c r="BAE27" s="3"/>
      <c r="BAF27" s="3"/>
      <c r="BAG27" s="3"/>
      <c r="BAH27" s="3"/>
      <c r="BAI27" s="3"/>
      <c r="BAJ27" s="3"/>
      <c r="BAK27" s="3"/>
      <c r="BAL27" s="3"/>
      <c r="BAM27" s="3"/>
      <c r="BAN27" s="3"/>
      <c r="BAO27" s="3"/>
      <c r="BAP27" s="3"/>
      <c r="BAQ27" s="3"/>
      <c r="BAR27" s="3"/>
      <c r="BAS27" s="3"/>
      <c r="BAT27" s="3"/>
      <c r="BAU27" s="3"/>
      <c r="BAV27" s="3"/>
      <c r="BAW27" s="3"/>
      <c r="BAX27" s="3"/>
      <c r="BAY27" s="3"/>
      <c r="BAZ27" s="3"/>
      <c r="BBA27" s="3"/>
      <c r="BBB27" s="3"/>
      <c r="BBC27" s="3"/>
      <c r="BBD27" s="3"/>
      <c r="BBE27" s="3"/>
      <c r="BBF27" s="3"/>
      <c r="BBG27" s="3"/>
      <c r="BBH27" s="3"/>
      <c r="BBI27" s="3"/>
      <c r="BBJ27" s="3"/>
      <c r="BBK27" s="3"/>
      <c r="BBL27" s="3"/>
      <c r="BBM27" s="3"/>
      <c r="BBN27" s="3"/>
      <c r="BBO27" s="3"/>
      <c r="BBP27" s="3"/>
      <c r="BBQ27" s="3"/>
      <c r="BBR27" s="3"/>
      <c r="BBS27" s="3"/>
      <c r="BBT27" s="3"/>
      <c r="BBU27" s="3"/>
      <c r="BBV27" s="3"/>
      <c r="BBW27" s="3"/>
      <c r="BBX27" s="3"/>
      <c r="BBY27" s="3"/>
      <c r="BBZ27" s="3"/>
      <c r="BCA27" s="3"/>
      <c r="BCB27" s="3"/>
      <c r="BCC27" s="3"/>
      <c r="BCD27" s="3"/>
      <c r="BCE27" s="3"/>
      <c r="BCF27" s="3"/>
      <c r="BCG27" s="3"/>
      <c r="BCH27" s="3"/>
      <c r="BCI27" s="3"/>
      <c r="BCJ27" s="3"/>
      <c r="BCK27" s="3"/>
      <c r="BCL27" s="3"/>
      <c r="BCM27" s="3"/>
      <c r="BCN27" s="3"/>
      <c r="BCO27" s="3"/>
      <c r="BCP27" s="3"/>
      <c r="BCQ27" s="3"/>
      <c r="BCR27" s="3"/>
      <c r="BCS27" s="3"/>
      <c r="BCT27" s="3"/>
      <c r="BCU27" s="3"/>
      <c r="BCV27" s="3"/>
      <c r="BCW27" s="3"/>
      <c r="BCX27" s="3"/>
      <c r="BCY27" s="3"/>
      <c r="BCZ27" s="3"/>
      <c r="BDA27" s="3"/>
      <c r="BDB27" s="3"/>
      <c r="BDC27" s="3"/>
      <c r="BDD27" s="3"/>
      <c r="BDE27" s="3"/>
      <c r="BDF27" s="3"/>
      <c r="BDG27" s="3"/>
      <c r="BDH27" s="3"/>
      <c r="BDI27" s="3"/>
      <c r="BDJ27" s="3"/>
      <c r="BDK27" s="3"/>
      <c r="BDL27" s="3"/>
      <c r="BDM27" s="3"/>
      <c r="BDN27" s="3"/>
      <c r="BDO27" s="3"/>
      <c r="BDP27" s="3"/>
      <c r="BDQ27" s="3"/>
      <c r="BDR27" s="3"/>
      <c r="BDS27" s="3"/>
      <c r="BDT27" s="3"/>
      <c r="BDU27" s="3"/>
      <c r="BDV27" s="3"/>
      <c r="BDW27" s="3"/>
      <c r="BDX27" s="3"/>
      <c r="BDY27" s="3"/>
      <c r="BDZ27" s="3"/>
      <c r="BEA27" s="3"/>
      <c r="BEB27" s="3"/>
      <c r="BEC27" s="3"/>
      <c r="BED27" s="3"/>
      <c r="BEE27" s="3"/>
      <c r="BEF27" s="3"/>
      <c r="BEG27" s="3"/>
      <c r="BEH27" s="3"/>
      <c r="BEI27" s="3"/>
      <c r="BEJ27" s="3"/>
      <c r="BEK27" s="3"/>
      <c r="BEL27" s="3"/>
      <c r="BEM27" s="3"/>
      <c r="BEN27" s="3"/>
      <c r="BEO27" s="3"/>
      <c r="BEP27" s="3"/>
      <c r="BEQ27" s="3"/>
      <c r="BER27" s="3"/>
      <c r="BES27" s="3"/>
      <c r="BET27" s="3"/>
      <c r="BEU27" s="3"/>
      <c r="BEV27" s="3"/>
      <c r="BEW27" s="3"/>
      <c r="BEX27" s="3"/>
      <c r="BEY27" s="3"/>
      <c r="BEZ27" s="3"/>
      <c r="BFA27" s="3"/>
      <c r="BFB27" s="3"/>
      <c r="BFC27" s="3"/>
      <c r="BFD27" s="3"/>
      <c r="BFE27" s="3"/>
      <c r="BFF27" s="3"/>
      <c r="BFG27" s="3"/>
      <c r="BFH27" s="3"/>
      <c r="BFI27" s="3"/>
      <c r="BFJ27" s="3"/>
      <c r="BFK27" s="3"/>
      <c r="BFL27" s="3"/>
      <c r="BFM27" s="3"/>
      <c r="BFN27" s="3"/>
      <c r="BFO27" s="3"/>
      <c r="BFP27" s="3"/>
      <c r="BFQ27" s="3"/>
      <c r="BFR27" s="3"/>
      <c r="BFS27" s="3"/>
      <c r="BFT27" s="3"/>
      <c r="BFU27" s="3"/>
      <c r="BFV27" s="3"/>
      <c r="BFW27" s="3"/>
      <c r="BFX27" s="3"/>
      <c r="BFY27" s="3"/>
      <c r="BFZ27" s="3"/>
      <c r="BGA27" s="3"/>
      <c r="BGB27" s="3"/>
      <c r="BGC27" s="3"/>
      <c r="BGD27" s="3"/>
      <c r="BGE27" s="3"/>
      <c r="BGF27" s="3"/>
      <c r="BGG27" s="3"/>
      <c r="BGH27" s="3"/>
      <c r="BGI27" s="3"/>
      <c r="BGJ27" s="3"/>
      <c r="BGK27" s="3"/>
      <c r="BGL27" s="3"/>
      <c r="BGM27" s="3"/>
      <c r="BGN27" s="3"/>
      <c r="BGO27" s="3"/>
      <c r="BGP27" s="3"/>
      <c r="BGQ27" s="3"/>
      <c r="BGR27" s="3"/>
      <c r="BGS27" s="3"/>
      <c r="BGT27" s="3"/>
      <c r="BGU27" s="3"/>
      <c r="BGV27" s="3"/>
      <c r="BGW27" s="3"/>
      <c r="BGX27" s="3"/>
      <c r="BGY27" s="3"/>
      <c r="BGZ27" s="3"/>
      <c r="BHA27" s="3"/>
      <c r="BHB27" s="3"/>
      <c r="BHC27" s="3"/>
      <c r="BHD27" s="3"/>
      <c r="BHE27" s="3"/>
      <c r="BHF27" s="3"/>
      <c r="BHG27" s="3"/>
      <c r="BHH27" s="3"/>
      <c r="BHI27" s="3"/>
      <c r="BHJ27" s="3"/>
      <c r="BHK27" s="3"/>
      <c r="BHL27" s="3"/>
      <c r="BHM27" s="3"/>
      <c r="BHN27" s="3"/>
      <c r="BHO27" s="3"/>
      <c r="BHP27" s="3"/>
      <c r="BHQ27" s="3"/>
      <c r="BHR27" s="3"/>
      <c r="BHS27" s="3"/>
      <c r="BHT27" s="3"/>
      <c r="BHU27" s="3"/>
      <c r="BHV27" s="3"/>
      <c r="BHW27" s="3"/>
      <c r="BHX27" s="3"/>
      <c r="BHY27" s="3"/>
      <c r="BHZ27" s="3"/>
      <c r="BIA27" s="3"/>
      <c r="BIB27" s="3"/>
      <c r="BIC27" s="3"/>
      <c r="BID27" s="3"/>
      <c r="BIE27" s="3"/>
      <c r="BIF27" s="3"/>
      <c r="BIG27" s="3"/>
      <c r="BIH27" s="3"/>
      <c r="BII27" s="3"/>
      <c r="BIJ27" s="3"/>
      <c r="BIK27" s="3"/>
      <c r="BIL27" s="3"/>
      <c r="BIM27" s="3"/>
      <c r="BIN27" s="3"/>
      <c r="BIO27" s="3"/>
      <c r="BIP27" s="3"/>
      <c r="BIQ27" s="3"/>
      <c r="BIR27" s="3"/>
      <c r="BIS27" s="3"/>
      <c r="BIT27" s="3"/>
      <c r="BIU27" s="3"/>
      <c r="BIV27" s="3"/>
      <c r="BIW27" s="3"/>
      <c r="BIX27" s="3"/>
      <c r="BIY27" s="3"/>
      <c r="BIZ27" s="3"/>
      <c r="BJA27" s="3"/>
      <c r="BJB27" s="3"/>
      <c r="BJC27" s="3"/>
      <c r="BJD27" s="3"/>
      <c r="BJE27" s="3"/>
      <c r="BJF27" s="3"/>
      <c r="BJG27" s="3"/>
      <c r="BJH27" s="3"/>
      <c r="BJI27" s="3"/>
      <c r="BJJ27" s="3"/>
      <c r="BJK27" s="3"/>
      <c r="BJL27" s="3"/>
      <c r="BJM27" s="3"/>
      <c r="BJN27" s="3"/>
      <c r="BJO27" s="3"/>
      <c r="BJP27" s="3"/>
      <c r="BJQ27" s="3"/>
      <c r="BJR27" s="3"/>
      <c r="BJS27" s="3"/>
      <c r="BJT27" s="3"/>
      <c r="BJU27" s="3"/>
      <c r="BJV27" s="3"/>
      <c r="BJW27" s="3"/>
      <c r="BJX27" s="3"/>
      <c r="BJY27" s="3"/>
      <c r="BJZ27" s="3"/>
      <c r="BKA27" s="3"/>
      <c r="BKB27" s="3"/>
      <c r="BKC27" s="3"/>
      <c r="BKD27" s="3"/>
      <c r="BKE27" s="3"/>
      <c r="BKF27" s="3"/>
      <c r="BKG27" s="3"/>
      <c r="BKH27" s="3"/>
      <c r="BKI27" s="3"/>
      <c r="BKJ27" s="3"/>
      <c r="BKK27" s="3"/>
      <c r="BKL27" s="3"/>
      <c r="BKM27" s="3"/>
      <c r="BKN27" s="3"/>
      <c r="BKO27" s="3"/>
      <c r="BKP27" s="3"/>
      <c r="BKQ27" s="3"/>
      <c r="BKR27" s="3"/>
      <c r="BKS27" s="3"/>
      <c r="BKT27" s="3"/>
      <c r="BKU27" s="3"/>
      <c r="BKV27" s="3"/>
      <c r="BKW27" s="3"/>
      <c r="BKX27" s="3"/>
      <c r="BKY27" s="3"/>
      <c r="BKZ27" s="3"/>
      <c r="BLA27" s="3"/>
      <c r="BLB27" s="3"/>
      <c r="BLC27" s="3"/>
      <c r="BLD27" s="3"/>
      <c r="BLE27" s="3"/>
      <c r="BLF27" s="3"/>
      <c r="BLG27" s="3"/>
      <c r="BLH27" s="3"/>
      <c r="BLI27" s="3"/>
      <c r="BLJ27" s="3"/>
      <c r="BLK27" s="3"/>
      <c r="BLL27" s="3"/>
      <c r="BLM27" s="3"/>
      <c r="BLN27" s="3"/>
      <c r="BLO27" s="3"/>
      <c r="BLP27" s="3"/>
      <c r="BLQ27" s="3"/>
      <c r="BLR27" s="3"/>
      <c r="BLS27" s="3"/>
      <c r="BLT27" s="3"/>
      <c r="BLU27" s="3"/>
      <c r="BLV27" s="3"/>
      <c r="BLW27" s="3"/>
      <c r="BLX27" s="3"/>
      <c r="BLY27" s="3"/>
      <c r="BLZ27" s="3"/>
      <c r="BMA27" s="3"/>
      <c r="BMB27" s="3"/>
      <c r="BMC27" s="3"/>
      <c r="BMD27" s="3"/>
      <c r="BME27" s="3"/>
      <c r="BMF27" s="3"/>
      <c r="BMG27" s="3"/>
      <c r="BMH27" s="3"/>
      <c r="BMI27" s="3"/>
      <c r="BMJ27" s="3"/>
      <c r="BMK27" s="3"/>
      <c r="BML27" s="3"/>
      <c r="BMM27" s="3"/>
      <c r="BMN27" s="3"/>
      <c r="BMO27" s="3"/>
      <c r="BMP27" s="3"/>
      <c r="BMQ27" s="3"/>
      <c r="BMR27" s="3"/>
      <c r="BMS27" s="3"/>
      <c r="BMT27" s="3"/>
      <c r="BMU27" s="3"/>
      <c r="BMV27" s="3"/>
      <c r="BMW27" s="3"/>
      <c r="BMX27" s="3"/>
      <c r="BMY27" s="3"/>
      <c r="BMZ27" s="3"/>
      <c r="BNA27" s="3"/>
      <c r="BNB27" s="3"/>
      <c r="BNC27" s="3"/>
      <c r="BND27" s="3"/>
      <c r="BNE27" s="3"/>
      <c r="BNF27" s="3"/>
      <c r="BNG27" s="3"/>
      <c r="BNH27" s="3"/>
      <c r="BNI27" s="3"/>
      <c r="BNJ27" s="3"/>
      <c r="BNK27" s="3"/>
      <c r="BNL27" s="3"/>
      <c r="BNM27" s="3"/>
      <c r="BNN27" s="3"/>
      <c r="BNO27" s="3"/>
      <c r="BNP27" s="3"/>
      <c r="BNQ27" s="3"/>
      <c r="BNR27" s="3"/>
      <c r="BNS27" s="3"/>
      <c r="BNT27" s="3"/>
      <c r="BNU27" s="3"/>
      <c r="BNV27" s="3"/>
      <c r="BNW27" s="3"/>
      <c r="BNX27" s="3"/>
      <c r="BNY27" s="3"/>
      <c r="BNZ27" s="3"/>
      <c r="BOA27" s="3"/>
      <c r="BOB27" s="3"/>
      <c r="BOC27" s="3"/>
      <c r="BOD27" s="3"/>
      <c r="BOE27" s="3"/>
      <c r="BOF27" s="3"/>
      <c r="BOG27" s="3"/>
      <c r="BOH27" s="3"/>
      <c r="BOI27" s="3"/>
      <c r="BOJ27" s="3"/>
      <c r="BOK27" s="3"/>
      <c r="BOL27" s="3"/>
      <c r="BOM27" s="3"/>
      <c r="BON27" s="3"/>
      <c r="BOO27" s="3"/>
      <c r="BOP27" s="3"/>
      <c r="BOQ27" s="3"/>
      <c r="BOR27" s="3"/>
      <c r="BOS27" s="3"/>
      <c r="BOT27" s="3"/>
      <c r="BOU27" s="3"/>
      <c r="BOV27" s="3"/>
      <c r="BOW27" s="3"/>
      <c r="BOX27" s="3"/>
      <c r="BOY27" s="3"/>
      <c r="BOZ27" s="3"/>
      <c r="BPA27" s="3"/>
      <c r="BPB27" s="3"/>
      <c r="BPC27" s="3"/>
      <c r="BPD27" s="3"/>
      <c r="BPE27" s="3"/>
      <c r="BPF27" s="3"/>
      <c r="BPG27" s="3"/>
      <c r="BPH27" s="3"/>
      <c r="BPI27" s="3"/>
      <c r="BPJ27" s="3"/>
      <c r="BPK27" s="3"/>
      <c r="BPL27" s="3"/>
      <c r="BPM27" s="3"/>
      <c r="BPN27" s="3"/>
      <c r="BPO27" s="3"/>
      <c r="BPP27" s="3"/>
      <c r="BPQ27" s="3"/>
      <c r="BPR27" s="3"/>
      <c r="BPS27" s="3"/>
      <c r="BPT27" s="3"/>
      <c r="BPU27" s="3"/>
      <c r="BPV27" s="3"/>
      <c r="BPW27" s="3"/>
      <c r="BPX27" s="3"/>
      <c r="BPY27" s="3"/>
      <c r="BPZ27" s="3"/>
      <c r="BQA27" s="3"/>
      <c r="BQB27" s="3"/>
      <c r="BQC27" s="3"/>
      <c r="BQD27" s="3"/>
      <c r="BQE27" s="3"/>
      <c r="BQF27" s="3"/>
      <c r="BQG27" s="3"/>
      <c r="BQH27" s="3"/>
      <c r="BQI27" s="3"/>
      <c r="BQJ27" s="3"/>
      <c r="BQK27" s="3"/>
      <c r="BQL27" s="3"/>
      <c r="BQM27" s="3"/>
      <c r="BQN27" s="3"/>
      <c r="BQO27" s="3"/>
      <c r="BQP27" s="3"/>
      <c r="BQQ27" s="3"/>
      <c r="BQR27" s="3"/>
      <c r="BQS27" s="3"/>
      <c r="BQT27" s="3"/>
      <c r="BQU27" s="3"/>
      <c r="BQV27" s="3"/>
      <c r="BQW27" s="3"/>
      <c r="BQX27" s="3"/>
      <c r="BQY27" s="3"/>
      <c r="BQZ27" s="3"/>
      <c r="BRA27" s="3"/>
      <c r="BRB27" s="3"/>
      <c r="BRC27" s="3"/>
      <c r="BRD27" s="3"/>
      <c r="BRE27" s="3"/>
      <c r="BRF27" s="3"/>
      <c r="BRG27" s="3"/>
      <c r="BRH27" s="3"/>
      <c r="BRI27" s="3"/>
      <c r="BRJ27" s="3"/>
      <c r="BRK27" s="3"/>
      <c r="BRL27" s="3"/>
      <c r="BRM27" s="3"/>
      <c r="BRN27" s="3"/>
      <c r="BRO27" s="3"/>
      <c r="BRP27" s="3"/>
      <c r="BRQ27" s="3"/>
      <c r="BRR27" s="3"/>
      <c r="BRS27" s="3"/>
      <c r="BRT27" s="3"/>
      <c r="BRU27" s="3"/>
      <c r="BRV27" s="3"/>
      <c r="BRW27" s="3"/>
      <c r="BRX27" s="3"/>
      <c r="BRY27" s="3"/>
      <c r="BRZ27" s="3"/>
      <c r="BSA27" s="3"/>
      <c r="BSB27" s="3"/>
      <c r="BSC27" s="3"/>
      <c r="BSD27" s="3"/>
      <c r="BSE27" s="3"/>
      <c r="BSF27" s="3"/>
      <c r="BSG27" s="3"/>
      <c r="BSH27" s="3"/>
      <c r="BSI27" s="3"/>
      <c r="BSJ27" s="3"/>
      <c r="BSK27" s="3"/>
      <c r="BSL27" s="3"/>
      <c r="BSM27" s="3"/>
      <c r="BSN27" s="3"/>
      <c r="BSO27" s="3"/>
      <c r="BSP27" s="3"/>
      <c r="BSQ27" s="3"/>
      <c r="BSR27" s="3"/>
      <c r="BSS27" s="3"/>
      <c r="BST27" s="3"/>
      <c r="BSU27" s="3"/>
      <c r="BSV27" s="3"/>
      <c r="BSW27" s="3"/>
      <c r="BSX27" s="3"/>
      <c r="BSY27" s="3"/>
      <c r="BSZ27" s="3"/>
      <c r="BTA27" s="3"/>
      <c r="BTB27" s="3"/>
      <c r="BTC27" s="3"/>
      <c r="BTD27" s="3"/>
      <c r="BTE27" s="3"/>
      <c r="BTF27" s="3"/>
      <c r="BTG27" s="3"/>
      <c r="BTH27" s="3"/>
      <c r="BTI27" s="3"/>
      <c r="BTJ27" s="3"/>
      <c r="BTK27" s="3"/>
      <c r="BTL27" s="3"/>
      <c r="BTM27" s="3"/>
      <c r="BTN27" s="3"/>
      <c r="BTO27" s="3"/>
      <c r="BTP27" s="3"/>
      <c r="BTQ27" s="3"/>
      <c r="BTR27" s="3"/>
      <c r="BTS27" s="3"/>
      <c r="BTT27" s="3"/>
      <c r="BTU27" s="3"/>
      <c r="BTV27" s="3"/>
      <c r="BTW27" s="3"/>
      <c r="BTX27" s="3"/>
      <c r="BTY27" s="3"/>
      <c r="BTZ27" s="3"/>
      <c r="BUA27" s="3"/>
      <c r="BUB27" s="3"/>
      <c r="BUC27" s="3"/>
      <c r="BUD27" s="3"/>
      <c r="BUE27" s="3"/>
      <c r="BUF27" s="3"/>
      <c r="BUG27" s="3"/>
      <c r="BUH27" s="3"/>
      <c r="BUI27" s="3"/>
      <c r="BUJ27" s="3"/>
      <c r="BUK27" s="3"/>
      <c r="BUL27" s="3"/>
      <c r="BUM27" s="3"/>
      <c r="BUN27" s="3"/>
      <c r="BUO27" s="3"/>
      <c r="BUP27" s="3"/>
      <c r="BUQ27" s="3"/>
      <c r="BUR27" s="3"/>
      <c r="BUS27" s="3"/>
      <c r="BUT27" s="3"/>
      <c r="BUU27" s="3"/>
      <c r="BUV27" s="3"/>
      <c r="BUW27" s="3"/>
      <c r="BUX27" s="3"/>
      <c r="BUY27" s="3"/>
      <c r="BUZ27" s="3"/>
      <c r="BVA27" s="3"/>
      <c r="BVB27" s="3"/>
      <c r="BVC27" s="3"/>
      <c r="BVD27" s="3"/>
      <c r="BVE27" s="3"/>
      <c r="BVF27" s="3"/>
      <c r="BVG27" s="3"/>
      <c r="BVH27" s="3"/>
      <c r="BVI27" s="3"/>
      <c r="BVJ27" s="3"/>
      <c r="BVK27" s="3"/>
      <c r="BVL27" s="3"/>
      <c r="BVM27" s="3"/>
      <c r="BVN27" s="3"/>
      <c r="BVO27" s="3"/>
      <c r="BVP27" s="3"/>
      <c r="BVQ27" s="3"/>
      <c r="BVR27" s="3"/>
      <c r="BVS27" s="3"/>
      <c r="BVT27" s="3"/>
      <c r="BVU27" s="3"/>
      <c r="BVV27" s="3"/>
      <c r="BVW27" s="3"/>
      <c r="BVX27" s="3"/>
      <c r="BVY27" s="3"/>
      <c r="BVZ27" s="3"/>
      <c r="BWA27" s="3"/>
      <c r="BWB27" s="3"/>
      <c r="BWC27" s="3"/>
      <c r="BWD27" s="3"/>
      <c r="BWE27" s="3"/>
      <c r="BWF27" s="3"/>
      <c r="BWG27" s="3"/>
      <c r="BWH27" s="3"/>
      <c r="BWI27" s="3"/>
      <c r="BWJ27" s="3"/>
      <c r="BWK27" s="3"/>
      <c r="BWL27" s="3"/>
      <c r="BWM27" s="3"/>
      <c r="BWN27" s="3"/>
      <c r="BWO27" s="3"/>
      <c r="BWP27" s="3"/>
      <c r="BWQ27" s="3"/>
      <c r="BWR27" s="3"/>
      <c r="BWS27" s="3"/>
      <c r="BWT27" s="3"/>
      <c r="BWU27" s="3"/>
      <c r="BWV27" s="3"/>
      <c r="BWW27" s="3"/>
      <c r="BWX27" s="3"/>
      <c r="BWY27" s="3"/>
      <c r="BWZ27" s="3"/>
      <c r="BXA27" s="3"/>
      <c r="BXB27" s="3"/>
      <c r="BXC27" s="3"/>
      <c r="BXD27" s="3"/>
      <c r="BXE27" s="3"/>
      <c r="BXF27" s="3"/>
      <c r="BXG27" s="3"/>
      <c r="BXH27" s="3"/>
      <c r="BXI27" s="3"/>
      <c r="BXJ27" s="3"/>
      <c r="BXK27" s="3"/>
      <c r="BXL27" s="3"/>
      <c r="BXM27" s="3"/>
      <c r="BXN27" s="3"/>
      <c r="BXO27" s="3"/>
      <c r="BXP27" s="3"/>
      <c r="BXQ27" s="3"/>
      <c r="BXR27" s="3"/>
      <c r="BXS27" s="3"/>
      <c r="BXT27" s="3"/>
      <c r="BXU27" s="3"/>
      <c r="BXV27" s="3"/>
      <c r="BXW27" s="3"/>
      <c r="BXX27" s="3"/>
      <c r="BXY27" s="3"/>
      <c r="BXZ27" s="3"/>
      <c r="BYA27" s="3"/>
      <c r="BYB27" s="3"/>
      <c r="BYC27" s="3"/>
      <c r="BYD27" s="3"/>
      <c r="BYE27" s="3"/>
      <c r="BYF27" s="3"/>
      <c r="BYG27" s="3"/>
      <c r="BYH27" s="3"/>
      <c r="BYI27" s="3"/>
      <c r="BYJ27" s="3"/>
      <c r="BYK27" s="3"/>
      <c r="BYL27" s="3"/>
      <c r="BYM27" s="3"/>
      <c r="BYN27" s="3"/>
      <c r="BYO27" s="3"/>
      <c r="BYP27" s="3"/>
      <c r="BYQ27" s="3"/>
      <c r="BYR27" s="3"/>
      <c r="BYS27" s="3"/>
      <c r="BYT27" s="3"/>
      <c r="BYU27" s="3"/>
      <c r="BYV27" s="3"/>
      <c r="BYW27" s="3"/>
      <c r="BYX27" s="3"/>
      <c r="BYY27" s="3"/>
      <c r="BYZ27" s="3"/>
      <c r="BZA27" s="3"/>
      <c r="BZB27" s="3"/>
      <c r="BZC27" s="3"/>
      <c r="BZD27" s="3"/>
      <c r="BZE27" s="3"/>
      <c r="BZF27" s="3"/>
      <c r="BZG27" s="3"/>
      <c r="BZH27" s="3"/>
      <c r="BZI27" s="3"/>
      <c r="BZJ27" s="3"/>
      <c r="BZK27" s="3"/>
      <c r="BZL27" s="3"/>
      <c r="BZM27" s="3"/>
      <c r="BZN27" s="3"/>
      <c r="BZO27" s="3"/>
      <c r="BZP27" s="3"/>
      <c r="BZQ27" s="3"/>
      <c r="BZR27" s="3"/>
      <c r="BZS27" s="3"/>
      <c r="BZT27" s="3"/>
      <c r="BZU27" s="3"/>
      <c r="BZV27" s="3"/>
      <c r="BZW27" s="3"/>
      <c r="BZX27" s="3"/>
      <c r="BZY27" s="3"/>
      <c r="BZZ27" s="3"/>
      <c r="CAA27" s="3"/>
      <c r="CAB27" s="3"/>
      <c r="CAC27" s="3"/>
      <c r="CAD27" s="3"/>
      <c r="CAE27" s="3"/>
      <c r="CAF27" s="3"/>
      <c r="CAG27" s="3"/>
      <c r="CAH27" s="3"/>
      <c r="CAI27" s="3"/>
      <c r="CAJ27" s="3"/>
      <c r="CAK27" s="3"/>
      <c r="CAL27" s="3"/>
      <c r="CAM27" s="3"/>
      <c r="CAN27" s="3"/>
      <c r="CAO27" s="3"/>
      <c r="CAP27" s="3"/>
      <c r="CAQ27" s="3"/>
      <c r="CAR27" s="3"/>
      <c r="CAS27" s="3"/>
      <c r="CAT27" s="3"/>
      <c r="CAU27" s="3"/>
      <c r="CAV27" s="3"/>
      <c r="CAW27" s="3"/>
      <c r="CAX27" s="3"/>
      <c r="CAY27" s="3"/>
      <c r="CAZ27" s="3"/>
      <c r="CBA27" s="3"/>
      <c r="CBB27" s="3"/>
      <c r="CBC27" s="3"/>
      <c r="CBD27" s="3"/>
      <c r="CBE27" s="3"/>
      <c r="CBF27" s="3"/>
      <c r="CBG27" s="3"/>
      <c r="CBH27" s="3"/>
      <c r="CBI27" s="3"/>
      <c r="CBJ27" s="3"/>
      <c r="CBK27" s="3"/>
      <c r="CBL27" s="3"/>
      <c r="CBM27" s="3"/>
      <c r="CBN27" s="3"/>
      <c r="CBO27" s="3"/>
      <c r="CBP27" s="3"/>
      <c r="CBQ27" s="3"/>
      <c r="CBR27" s="3"/>
      <c r="CBS27" s="3"/>
      <c r="CBT27" s="3"/>
      <c r="CBU27" s="3"/>
      <c r="CBV27" s="3"/>
      <c r="CBW27" s="3"/>
      <c r="CBX27" s="3"/>
      <c r="CBY27" s="3"/>
      <c r="CBZ27" s="3"/>
      <c r="CCA27" s="3"/>
      <c r="CCB27" s="3"/>
      <c r="CCC27" s="3"/>
      <c r="CCD27" s="3"/>
      <c r="CCE27" s="3"/>
      <c r="CCF27" s="3"/>
      <c r="CCG27" s="3"/>
      <c r="CCH27" s="3"/>
      <c r="CCI27" s="3"/>
      <c r="CCJ27" s="3"/>
      <c r="CCK27" s="3"/>
      <c r="CCL27" s="3"/>
      <c r="CCM27" s="3"/>
      <c r="CCN27" s="3"/>
      <c r="CCO27" s="3"/>
      <c r="CCP27" s="3"/>
      <c r="CCQ27" s="3"/>
      <c r="CCR27" s="3"/>
      <c r="CCS27" s="3"/>
      <c r="CCT27" s="3"/>
      <c r="CCU27" s="3"/>
      <c r="CCV27" s="3"/>
      <c r="CCW27" s="3"/>
      <c r="CCX27" s="3"/>
      <c r="CCY27" s="3"/>
      <c r="CCZ27" s="3"/>
      <c r="CDA27" s="3"/>
      <c r="CDB27" s="3"/>
      <c r="CDC27" s="3"/>
      <c r="CDD27" s="3"/>
      <c r="CDE27" s="3"/>
      <c r="CDF27" s="3"/>
      <c r="CDG27" s="3"/>
      <c r="CDH27" s="3"/>
      <c r="CDI27" s="3"/>
      <c r="CDJ27" s="3"/>
      <c r="CDK27" s="3"/>
      <c r="CDL27" s="3"/>
      <c r="CDM27" s="3"/>
      <c r="CDN27" s="3"/>
      <c r="CDO27" s="3"/>
      <c r="CDP27" s="3"/>
      <c r="CDQ27" s="3"/>
      <c r="CDR27" s="3"/>
      <c r="CDS27" s="3"/>
      <c r="CDT27" s="3"/>
      <c r="CDU27" s="3"/>
      <c r="CDV27" s="3"/>
      <c r="CDW27" s="3"/>
      <c r="CDX27" s="3"/>
      <c r="CDY27" s="3"/>
      <c r="CDZ27" s="3"/>
      <c r="CEA27" s="3"/>
      <c r="CEB27" s="3"/>
      <c r="CEC27" s="3"/>
      <c r="CED27" s="3"/>
      <c r="CEE27" s="3"/>
      <c r="CEF27" s="3"/>
      <c r="CEG27" s="3"/>
      <c r="CEH27" s="3"/>
      <c r="CEI27" s="3"/>
      <c r="CEJ27" s="3"/>
      <c r="CEK27" s="3"/>
      <c r="CEL27" s="3"/>
      <c r="CEM27" s="3"/>
      <c r="CEN27" s="3"/>
      <c r="CEO27" s="3"/>
      <c r="CEP27" s="3"/>
      <c r="CEQ27" s="3"/>
      <c r="CER27" s="3"/>
      <c r="CES27" s="3"/>
      <c r="CET27" s="3"/>
      <c r="CEU27" s="3"/>
      <c r="CEV27" s="3"/>
      <c r="CEW27" s="3"/>
      <c r="CEX27" s="3"/>
      <c r="CEY27" s="3"/>
      <c r="CEZ27" s="3"/>
      <c r="CFA27" s="3"/>
      <c r="CFB27" s="3"/>
      <c r="CFC27" s="3"/>
      <c r="CFD27" s="3"/>
      <c r="CFE27" s="3"/>
      <c r="CFF27" s="3"/>
      <c r="CFG27" s="3"/>
      <c r="CFH27" s="3"/>
      <c r="CFI27" s="3"/>
      <c r="CFJ27" s="3"/>
      <c r="CFK27" s="3"/>
      <c r="CFL27" s="3"/>
      <c r="CFM27" s="3"/>
      <c r="CFN27" s="3"/>
      <c r="CFO27" s="3"/>
      <c r="CFP27" s="3"/>
      <c r="CFQ27" s="3"/>
      <c r="CFR27" s="3"/>
      <c r="CFS27" s="3"/>
      <c r="CFT27" s="3"/>
      <c r="CFU27" s="3"/>
      <c r="CFV27" s="3"/>
      <c r="CFW27" s="3"/>
      <c r="CFX27" s="3"/>
      <c r="CFY27" s="3"/>
      <c r="CFZ27" s="3"/>
      <c r="CGA27" s="3"/>
      <c r="CGB27" s="3"/>
      <c r="CGC27" s="3"/>
      <c r="CGD27" s="3"/>
      <c r="CGE27" s="3"/>
      <c r="CGF27" s="3"/>
      <c r="CGG27" s="3"/>
      <c r="CGH27" s="3"/>
      <c r="CGI27" s="3"/>
      <c r="CGJ27" s="3"/>
      <c r="CGK27" s="3"/>
      <c r="CGL27" s="3"/>
      <c r="CGM27" s="3"/>
      <c r="CGN27" s="3"/>
      <c r="CGO27" s="3"/>
      <c r="CGP27" s="3"/>
      <c r="CGQ27" s="3"/>
      <c r="CGR27" s="3"/>
      <c r="CGS27" s="3"/>
      <c r="CGT27" s="3"/>
      <c r="CGU27" s="3"/>
      <c r="CGV27" s="3"/>
      <c r="CGW27" s="3"/>
      <c r="CGX27" s="3"/>
      <c r="CGY27" s="3"/>
      <c r="CGZ27" s="3"/>
      <c r="CHA27" s="3"/>
      <c r="CHB27" s="3"/>
      <c r="CHC27" s="3"/>
      <c r="CHD27" s="3"/>
      <c r="CHE27" s="3"/>
      <c r="CHF27" s="3"/>
      <c r="CHG27" s="3"/>
      <c r="CHH27" s="3"/>
      <c r="CHI27" s="3"/>
      <c r="CHJ27" s="3"/>
      <c r="CHK27" s="3"/>
      <c r="CHL27" s="3"/>
      <c r="CHM27" s="3"/>
      <c r="CHN27" s="3"/>
      <c r="CHO27" s="3"/>
      <c r="CHP27" s="3"/>
      <c r="CHQ27" s="3"/>
      <c r="CHR27" s="3"/>
      <c r="CHS27" s="3"/>
      <c r="CHT27" s="3"/>
      <c r="CHU27" s="3"/>
      <c r="CHV27" s="3"/>
      <c r="CHW27" s="3"/>
      <c r="CHX27" s="3"/>
      <c r="CHY27" s="3"/>
      <c r="CHZ27" s="3"/>
      <c r="CIA27" s="3"/>
      <c r="CIB27" s="3"/>
      <c r="CIC27" s="3"/>
      <c r="CID27" s="3"/>
      <c r="CIE27" s="3"/>
      <c r="CIF27" s="3"/>
      <c r="CIG27" s="3"/>
      <c r="CIH27" s="3"/>
      <c r="CII27" s="3"/>
      <c r="CIJ27" s="3"/>
      <c r="CIK27" s="3"/>
      <c r="CIL27" s="3"/>
      <c r="CIM27" s="3"/>
      <c r="CIN27" s="3"/>
      <c r="CIO27" s="3"/>
      <c r="CIP27" s="3"/>
      <c r="CIQ27" s="3"/>
      <c r="CIR27" s="3"/>
      <c r="CIS27" s="3"/>
      <c r="CIT27" s="3"/>
      <c r="CIU27" s="3"/>
      <c r="CIV27" s="3"/>
      <c r="CIW27" s="3"/>
      <c r="CIX27" s="3"/>
      <c r="CIY27" s="3"/>
      <c r="CIZ27" s="3"/>
      <c r="CJA27" s="3"/>
      <c r="CJB27" s="3"/>
      <c r="CJC27" s="3"/>
      <c r="CJD27" s="3"/>
      <c r="CJE27" s="3"/>
      <c r="CJF27" s="3"/>
      <c r="CJG27" s="3"/>
      <c r="CJH27" s="3"/>
      <c r="CJI27" s="3"/>
      <c r="CJJ27" s="3"/>
      <c r="CJK27" s="3"/>
      <c r="CJL27" s="3"/>
      <c r="CJM27" s="3"/>
      <c r="CJN27" s="3"/>
      <c r="CJO27" s="3"/>
      <c r="CJP27" s="3"/>
      <c r="CJQ27" s="3"/>
      <c r="CJR27" s="3"/>
      <c r="CJS27" s="3"/>
      <c r="CJT27" s="3"/>
      <c r="CJU27" s="3"/>
      <c r="CJV27" s="3"/>
      <c r="CJW27" s="3"/>
      <c r="CJX27" s="3"/>
      <c r="CJY27" s="3"/>
      <c r="CJZ27" s="3"/>
      <c r="CKA27" s="3"/>
      <c r="CKB27" s="3"/>
      <c r="CKC27" s="3"/>
      <c r="CKD27" s="3"/>
      <c r="CKE27" s="3"/>
      <c r="CKF27" s="3"/>
      <c r="CKG27" s="3"/>
      <c r="CKH27" s="3"/>
      <c r="CKI27" s="3"/>
      <c r="CKJ27" s="3"/>
      <c r="CKK27" s="3"/>
      <c r="CKL27" s="3"/>
      <c r="CKM27" s="3"/>
      <c r="CKN27" s="3"/>
      <c r="CKO27" s="3"/>
      <c r="CKP27" s="3"/>
      <c r="CKQ27" s="3"/>
      <c r="CKR27" s="3"/>
      <c r="CKS27" s="3"/>
      <c r="CKT27" s="3"/>
      <c r="CKU27" s="3"/>
      <c r="CKV27" s="3"/>
      <c r="CKW27" s="3"/>
      <c r="CKX27" s="3"/>
      <c r="CKY27" s="3"/>
      <c r="CKZ27" s="3"/>
      <c r="CLA27" s="3"/>
      <c r="CLB27" s="3"/>
      <c r="CLC27" s="3"/>
      <c r="CLD27" s="3"/>
      <c r="CLE27" s="3"/>
      <c r="CLF27" s="3"/>
      <c r="CLG27" s="3"/>
      <c r="CLH27" s="3"/>
      <c r="CLI27" s="3"/>
      <c r="CLJ27" s="3"/>
      <c r="CLK27" s="3"/>
      <c r="CLL27" s="3"/>
      <c r="CLM27" s="3"/>
      <c r="CLN27" s="3"/>
      <c r="CLO27" s="3"/>
      <c r="CLP27" s="3"/>
      <c r="CLQ27" s="3"/>
      <c r="CLR27" s="3"/>
      <c r="CLS27" s="3"/>
      <c r="CLT27" s="3"/>
      <c r="CLU27" s="3"/>
      <c r="CLV27" s="3"/>
      <c r="CLW27" s="3"/>
      <c r="CLX27" s="3"/>
      <c r="CLY27" s="3"/>
      <c r="CLZ27" s="3"/>
      <c r="CMA27" s="3"/>
      <c r="CMB27" s="3"/>
      <c r="CMC27" s="3"/>
      <c r="CMD27" s="3"/>
      <c r="CME27" s="3"/>
      <c r="CMF27" s="3"/>
      <c r="CMG27" s="3"/>
      <c r="CMH27" s="3"/>
      <c r="CMI27" s="3"/>
      <c r="CMJ27" s="3"/>
      <c r="CMK27" s="3"/>
      <c r="CML27" s="3"/>
      <c r="CMM27" s="3"/>
      <c r="CMN27" s="3"/>
      <c r="CMO27" s="3"/>
      <c r="CMP27" s="3"/>
      <c r="CMQ27" s="3"/>
      <c r="CMR27" s="3"/>
      <c r="CMS27" s="3"/>
      <c r="CMT27" s="3"/>
      <c r="CMU27" s="3"/>
      <c r="CMV27" s="3"/>
      <c r="CMW27" s="3"/>
      <c r="CMX27" s="3"/>
      <c r="CMY27" s="3"/>
      <c r="CMZ27" s="3"/>
      <c r="CNA27" s="3"/>
      <c r="CNB27" s="3"/>
      <c r="CNC27" s="3"/>
      <c r="CND27" s="3"/>
      <c r="CNE27" s="3"/>
      <c r="CNF27" s="3"/>
      <c r="CNG27" s="3"/>
      <c r="CNH27" s="3"/>
      <c r="CNI27" s="3"/>
      <c r="CNJ27" s="3"/>
      <c r="CNK27" s="3"/>
      <c r="CNL27" s="3"/>
      <c r="CNM27" s="3"/>
      <c r="CNN27" s="3"/>
      <c r="CNO27" s="3"/>
      <c r="CNP27" s="3"/>
      <c r="CNQ27" s="3"/>
      <c r="CNR27" s="3"/>
      <c r="CNS27" s="3"/>
      <c r="CNT27" s="3"/>
      <c r="CNU27" s="3"/>
      <c r="CNV27" s="3"/>
      <c r="CNW27" s="3"/>
      <c r="CNX27" s="3"/>
      <c r="CNY27" s="3"/>
      <c r="CNZ27" s="3"/>
      <c r="COA27" s="3"/>
      <c r="COB27" s="3"/>
      <c r="COC27" s="3"/>
      <c r="COD27" s="3"/>
      <c r="COE27" s="3"/>
      <c r="COF27" s="3"/>
      <c r="COG27" s="3"/>
      <c r="COH27" s="3"/>
      <c r="COI27" s="3"/>
      <c r="COJ27" s="3"/>
      <c r="COK27" s="3"/>
      <c r="COL27" s="3"/>
      <c r="COM27" s="3"/>
      <c r="CON27" s="3"/>
      <c r="COO27" s="3"/>
      <c r="COP27" s="3"/>
      <c r="COQ27" s="3"/>
      <c r="COR27" s="3"/>
      <c r="COS27" s="3"/>
      <c r="COT27" s="3"/>
      <c r="COU27" s="3"/>
      <c r="COV27" s="3"/>
      <c r="COW27" s="3"/>
      <c r="COX27" s="3"/>
      <c r="COY27" s="3"/>
      <c r="COZ27" s="3"/>
      <c r="CPA27" s="3"/>
      <c r="CPB27" s="3"/>
      <c r="CPC27" s="3"/>
      <c r="CPD27" s="3"/>
      <c r="CPE27" s="3"/>
      <c r="CPF27" s="3"/>
      <c r="CPG27" s="3"/>
      <c r="CPH27" s="3"/>
      <c r="CPI27" s="3"/>
      <c r="CPJ27" s="3"/>
      <c r="CPK27" s="3"/>
      <c r="CPL27" s="3"/>
      <c r="CPM27" s="3"/>
      <c r="CPN27" s="3"/>
      <c r="CPO27" s="3"/>
      <c r="CPP27" s="3"/>
      <c r="CPQ27" s="3"/>
      <c r="CPR27" s="3"/>
      <c r="CPS27" s="3"/>
      <c r="CPT27" s="3"/>
      <c r="CPU27" s="3"/>
      <c r="CPV27" s="3"/>
      <c r="CPW27" s="3"/>
      <c r="CPX27" s="3"/>
      <c r="CPY27" s="3"/>
      <c r="CPZ27" s="3"/>
      <c r="CQA27" s="3"/>
      <c r="CQB27" s="3"/>
      <c r="CQC27" s="3"/>
      <c r="CQD27" s="3"/>
      <c r="CQE27" s="3"/>
      <c r="CQF27" s="3"/>
      <c r="CQG27" s="3"/>
      <c r="CQH27" s="3"/>
      <c r="CQI27" s="3"/>
      <c r="CQJ27" s="3"/>
      <c r="CQK27" s="3"/>
      <c r="CQL27" s="3"/>
      <c r="CQM27" s="3"/>
      <c r="CQN27" s="3"/>
      <c r="CQO27" s="3"/>
      <c r="CQP27" s="3"/>
      <c r="CQQ27" s="3"/>
      <c r="CQR27" s="3"/>
      <c r="CQS27" s="3"/>
      <c r="CQT27" s="3"/>
      <c r="CQU27" s="3"/>
      <c r="CQV27" s="3"/>
      <c r="CQW27" s="3"/>
      <c r="CQX27" s="3"/>
      <c r="CQY27" s="3"/>
      <c r="CQZ27" s="3"/>
      <c r="CRA27" s="3"/>
      <c r="CRB27" s="3"/>
      <c r="CRC27" s="3"/>
      <c r="CRD27" s="3"/>
      <c r="CRE27" s="3"/>
      <c r="CRF27" s="3"/>
      <c r="CRG27" s="3"/>
      <c r="CRH27" s="3"/>
      <c r="CRI27" s="3"/>
      <c r="CRJ27" s="3"/>
      <c r="CRK27" s="3"/>
      <c r="CRL27" s="3"/>
      <c r="CRM27" s="3"/>
      <c r="CRN27" s="3"/>
      <c r="CRO27" s="3"/>
      <c r="CRP27" s="3"/>
      <c r="CRQ27" s="3"/>
      <c r="CRR27" s="3"/>
      <c r="CRS27" s="3"/>
      <c r="CRT27" s="3"/>
      <c r="CRU27" s="3"/>
      <c r="CRV27" s="3"/>
      <c r="CRW27" s="3"/>
      <c r="CRX27" s="3"/>
      <c r="CRY27" s="3"/>
      <c r="CRZ27" s="3"/>
      <c r="CSA27" s="3"/>
      <c r="CSB27" s="3"/>
      <c r="CSC27" s="3"/>
      <c r="CSD27" s="3"/>
      <c r="CSE27" s="3"/>
      <c r="CSF27" s="3"/>
      <c r="CSG27" s="3"/>
      <c r="CSH27" s="3"/>
      <c r="CSI27" s="3"/>
      <c r="CSJ27" s="3"/>
      <c r="CSK27" s="3"/>
      <c r="CSL27" s="3"/>
      <c r="CSM27" s="3"/>
      <c r="CSN27" s="3"/>
      <c r="CSO27" s="3"/>
      <c r="CSP27" s="3"/>
      <c r="CSQ27" s="3"/>
      <c r="CSR27" s="3"/>
      <c r="CSS27" s="3"/>
      <c r="CST27" s="3"/>
      <c r="CSU27" s="3"/>
      <c r="CSV27" s="3"/>
      <c r="CSW27" s="3"/>
      <c r="CSX27" s="3"/>
      <c r="CSY27" s="3"/>
      <c r="CSZ27" s="3"/>
      <c r="CTA27" s="3"/>
      <c r="CTB27" s="3"/>
      <c r="CTC27" s="3"/>
      <c r="CTD27" s="3"/>
      <c r="CTE27" s="3"/>
      <c r="CTF27" s="3"/>
      <c r="CTG27" s="3"/>
      <c r="CTH27" s="3"/>
      <c r="CTI27" s="3"/>
      <c r="CTJ27" s="3"/>
      <c r="CTK27" s="3"/>
      <c r="CTL27" s="3"/>
      <c r="CTM27" s="3"/>
      <c r="CTN27" s="3"/>
      <c r="CTO27" s="3"/>
      <c r="CTP27" s="3"/>
      <c r="CTQ27" s="3"/>
      <c r="CTR27" s="3"/>
      <c r="CTS27" s="3"/>
      <c r="CTT27" s="3"/>
      <c r="CTU27" s="3"/>
      <c r="CTV27" s="3"/>
      <c r="CTW27" s="3"/>
      <c r="CTX27" s="3"/>
      <c r="CTY27" s="3"/>
      <c r="CTZ27" s="3"/>
      <c r="CUA27" s="3"/>
      <c r="CUB27" s="3"/>
      <c r="CUC27" s="3"/>
      <c r="CUD27" s="3"/>
      <c r="CUE27" s="3"/>
      <c r="CUF27" s="3"/>
      <c r="CUG27" s="3"/>
      <c r="CUH27" s="3"/>
      <c r="CUI27" s="3"/>
      <c r="CUJ27" s="3"/>
      <c r="CUK27" s="3"/>
      <c r="CUL27" s="3"/>
      <c r="CUM27" s="3"/>
      <c r="CUN27" s="3"/>
      <c r="CUO27" s="3"/>
      <c r="CUP27" s="3"/>
      <c r="CUQ27" s="3"/>
      <c r="CUR27" s="3"/>
      <c r="CUS27" s="3"/>
      <c r="CUT27" s="3"/>
      <c r="CUU27" s="3"/>
      <c r="CUV27" s="3"/>
      <c r="CUW27" s="3"/>
      <c r="CUX27" s="3"/>
      <c r="CUY27" s="3"/>
      <c r="CUZ27" s="3"/>
      <c r="CVA27" s="3"/>
      <c r="CVB27" s="3"/>
      <c r="CVC27" s="3"/>
      <c r="CVD27" s="3"/>
      <c r="CVE27" s="3"/>
      <c r="CVF27" s="3"/>
      <c r="CVG27" s="3"/>
      <c r="CVH27" s="3"/>
      <c r="CVI27" s="3"/>
      <c r="CVJ27" s="3"/>
      <c r="CVK27" s="3"/>
      <c r="CVL27" s="3"/>
      <c r="CVM27" s="3"/>
      <c r="CVN27" s="3"/>
      <c r="CVO27" s="3"/>
      <c r="CVP27" s="3"/>
      <c r="CVQ27" s="3"/>
      <c r="CVR27" s="3"/>
      <c r="CVS27" s="3"/>
      <c r="CVT27" s="3"/>
      <c r="CVU27" s="3"/>
      <c r="CVV27" s="3"/>
      <c r="CVW27" s="3"/>
      <c r="CVX27" s="3"/>
      <c r="CVY27" s="3"/>
      <c r="CVZ27" s="3"/>
      <c r="CWA27" s="3"/>
      <c r="CWB27" s="3"/>
      <c r="CWC27" s="3"/>
      <c r="CWD27" s="3"/>
      <c r="CWE27" s="3"/>
      <c r="CWF27" s="3"/>
      <c r="CWG27" s="3"/>
      <c r="CWH27" s="3"/>
      <c r="CWI27" s="3"/>
      <c r="CWJ27" s="3"/>
      <c r="CWK27" s="3"/>
      <c r="CWL27" s="3"/>
      <c r="CWM27" s="3"/>
      <c r="CWN27" s="3"/>
      <c r="CWO27" s="3"/>
      <c r="CWP27" s="3"/>
      <c r="CWQ27" s="3"/>
      <c r="CWR27" s="3"/>
      <c r="CWS27" s="3"/>
      <c r="CWT27" s="3"/>
      <c r="CWU27" s="3"/>
      <c r="CWV27" s="3"/>
      <c r="CWW27" s="3"/>
      <c r="CWX27" s="3"/>
      <c r="CWY27" s="3"/>
      <c r="CWZ27" s="3"/>
      <c r="CXA27" s="3"/>
      <c r="CXB27" s="3"/>
      <c r="CXC27" s="3"/>
      <c r="CXD27" s="3"/>
      <c r="CXE27" s="3"/>
      <c r="CXF27" s="3"/>
      <c r="CXG27" s="3"/>
      <c r="CXH27" s="3"/>
      <c r="CXI27" s="3"/>
      <c r="CXJ27" s="3"/>
      <c r="CXK27" s="3"/>
      <c r="CXL27" s="3"/>
      <c r="CXM27" s="3"/>
      <c r="CXN27" s="3"/>
      <c r="CXO27" s="3"/>
      <c r="CXP27" s="3"/>
      <c r="CXQ27" s="3"/>
      <c r="CXR27" s="3"/>
      <c r="CXS27" s="3"/>
      <c r="CXT27" s="3"/>
      <c r="CXU27" s="3"/>
      <c r="CXV27" s="3"/>
      <c r="CXW27" s="3"/>
      <c r="CXX27" s="3"/>
      <c r="CXY27" s="3"/>
      <c r="CXZ27" s="3"/>
      <c r="CYA27" s="3"/>
      <c r="CYB27" s="3"/>
      <c r="CYC27" s="3"/>
      <c r="CYD27" s="3"/>
      <c r="CYE27" s="3"/>
      <c r="CYF27" s="3"/>
      <c r="CYG27" s="3"/>
      <c r="CYH27" s="3"/>
      <c r="CYI27" s="3"/>
      <c r="CYJ27" s="3"/>
      <c r="CYK27" s="3"/>
      <c r="CYL27" s="3"/>
      <c r="CYM27" s="3"/>
      <c r="CYN27" s="3"/>
      <c r="CYO27" s="3"/>
      <c r="CYP27" s="3"/>
      <c r="CYQ27" s="3"/>
      <c r="CYR27" s="3"/>
      <c r="CYS27" s="3"/>
      <c r="CYT27" s="3"/>
      <c r="CYU27" s="3"/>
      <c r="CYV27" s="3"/>
      <c r="CYW27" s="3"/>
      <c r="CYX27" s="3"/>
      <c r="CYY27" s="3"/>
      <c r="CYZ27" s="3"/>
      <c r="CZA27" s="3"/>
      <c r="CZB27" s="3"/>
      <c r="CZC27" s="3"/>
      <c r="CZD27" s="3"/>
      <c r="CZE27" s="3"/>
      <c r="CZF27" s="3"/>
      <c r="CZG27" s="3"/>
      <c r="CZH27" s="3"/>
      <c r="CZI27" s="3"/>
      <c r="CZJ27" s="3"/>
      <c r="CZK27" s="3"/>
      <c r="CZL27" s="3"/>
      <c r="CZM27" s="3"/>
      <c r="CZN27" s="3"/>
      <c r="CZO27" s="3"/>
      <c r="CZP27" s="3"/>
      <c r="CZQ27" s="3"/>
      <c r="CZR27" s="3"/>
      <c r="CZS27" s="3"/>
      <c r="CZT27" s="3"/>
      <c r="CZU27" s="3"/>
      <c r="CZV27" s="3"/>
      <c r="CZW27" s="3"/>
      <c r="CZX27" s="3"/>
      <c r="CZY27" s="3"/>
      <c r="CZZ27" s="3"/>
      <c r="DAA27" s="3"/>
      <c r="DAB27" s="3"/>
      <c r="DAC27" s="3"/>
      <c r="DAD27" s="3"/>
      <c r="DAE27" s="3"/>
      <c r="DAF27" s="3"/>
      <c r="DAG27" s="3"/>
      <c r="DAH27" s="3"/>
      <c r="DAI27" s="3"/>
      <c r="DAJ27" s="3"/>
      <c r="DAK27" s="3"/>
      <c r="DAL27" s="3"/>
      <c r="DAM27" s="3"/>
      <c r="DAN27" s="3"/>
      <c r="DAO27" s="3"/>
      <c r="DAP27" s="3"/>
      <c r="DAQ27" s="3"/>
      <c r="DAR27" s="3"/>
      <c r="DAS27" s="3"/>
      <c r="DAT27" s="3"/>
      <c r="DAU27" s="3"/>
      <c r="DAV27" s="3"/>
      <c r="DAW27" s="3"/>
      <c r="DAX27" s="3"/>
      <c r="DAY27" s="3"/>
      <c r="DAZ27" s="3"/>
      <c r="DBA27" s="3"/>
      <c r="DBB27" s="3"/>
      <c r="DBC27" s="3"/>
      <c r="DBD27" s="3"/>
      <c r="DBE27" s="3"/>
      <c r="DBF27" s="3"/>
      <c r="DBG27" s="3"/>
      <c r="DBH27" s="3"/>
      <c r="DBI27" s="3"/>
      <c r="DBJ27" s="3"/>
      <c r="DBK27" s="3"/>
      <c r="DBL27" s="3"/>
      <c r="DBM27" s="3"/>
      <c r="DBN27" s="3"/>
      <c r="DBO27" s="3"/>
      <c r="DBP27" s="3"/>
      <c r="DBQ27" s="3"/>
      <c r="DBR27" s="3"/>
      <c r="DBS27" s="3"/>
      <c r="DBT27" s="3"/>
      <c r="DBU27" s="3"/>
      <c r="DBV27" s="3"/>
      <c r="DBW27" s="3"/>
      <c r="DBX27" s="3"/>
      <c r="DBY27" s="3"/>
      <c r="DBZ27" s="3"/>
      <c r="DCA27" s="3"/>
      <c r="DCB27" s="3"/>
      <c r="DCC27" s="3"/>
      <c r="DCD27" s="3"/>
      <c r="DCE27" s="3"/>
      <c r="DCF27" s="3"/>
      <c r="DCG27" s="3"/>
      <c r="DCH27" s="3"/>
      <c r="DCI27" s="3"/>
      <c r="DCJ27" s="3"/>
      <c r="DCK27" s="3"/>
      <c r="DCL27" s="3"/>
      <c r="DCM27" s="3"/>
      <c r="DCN27" s="3"/>
      <c r="DCO27" s="3"/>
      <c r="DCP27" s="3"/>
      <c r="DCQ27" s="3"/>
      <c r="DCR27" s="3"/>
      <c r="DCS27" s="3"/>
      <c r="DCT27" s="3"/>
      <c r="DCU27" s="3"/>
      <c r="DCV27" s="3"/>
      <c r="DCW27" s="3"/>
      <c r="DCX27" s="3"/>
      <c r="DCY27" s="3"/>
      <c r="DCZ27" s="3"/>
      <c r="DDA27" s="3"/>
      <c r="DDB27" s="3"/>
      <c r="DDC27" s="3"/>
      <c r="DDD27" s="3"/>
      <c r="DDE27" s="3"/>
      <c r="DDF27" s="3"/>
      <c r="DDG27" s="3"/>
      <c r="DDH27" s="3"/>
      <c r="DDI27" s="3"/>
      <c r="DDJ27" s="3"/>
      <c r="DDK27" s="3"/>
      <c r="DDL27" s="3"/>
      <c r="DDM27" s="3"/>
      <c r="DDN27" s="3"/>
      <c r="DDO27" s="3"/>
      <c r="DDP27" s="3"/>
      <c r="DDQ27" s="3"/>
      <c r="DDR27" s="3"/>
      <c r="DDS27" s="3"/>
      <c r="DDT27" s="3"/>
      <c r="DDU27" s="3"/>
      <c r="DDV27" s="3"/>
      <c r="DDW27" s="3"/>
      <c r="DDX27" s="3"/>
      <c r="DDY27" s="3"/>
      <c r="DDZ27" s="3"/>
      <c r="DEA27" s="3"/>
      <c r="DEB27" s="3"/>
      <c r="DEC27" s="3"/>
      <c r="DED27" s="3"/>
      <c r="DEE27" s="3"/>
      <c r="DEF27" s="3"/>
      <c r="DEG27" s="3"/>
      <c r="DEH27" s="3"/>
      <c r="DEI27" s="3"/>
      <c r="DEJ27" s="3"/>
      <c r="DEK27" s="3"/>
      <c r="DEL27" s="3"/>
      <c r="DEM27" s="3"/>
      <c r="DEN27" s="3"/>
      <c r="DEO27" s="3"/>
      <c r="DEP27" s="3"/>
      <c r="DEQ27" s="3"/>
      <c r="DER27" s="3"/>
      <c r="DES27" s="3"/>
      <c r="DET27" s="3"/>
      <c r="DEU27" s="3"/>
      <c r="DEV27" s="3"/>
      <c r="DEW27" s="3"/>
      <c r="DEX27" s="3"/>
      <c r="DEY27" s="3"/>
      <c r="DEZ27" s="3"/>
      <c r="DFA27" s="3"/>
      <c r="DFB27" s="3"/>
      <c r="DFC27" s="3"/>
      <c r="DFD27" s="3"/>
      <c r="DFE27" s="3"/>
      <c r="DFF27" s="3"/>
      <c r="DFG27" s="3"/>
      <c r="DFH27" s="3"/>
      <c r="DFI27" s="3"/>
      <c r="DFJ27" s="3"/>
      <c r="DFK27" s="3"/>
      <c r="DFL27" s="3"/>
      <c r="DFM27" s="3"/>
      <c r="DFN27" s="3"/>
      <c r="DFO27" s="3"/>
      <c r="DFP27" s="3"/>
      <c r="DFQ27" s="3"/>
      <c r="DFR27" s="3"/>
      <c r="DFS27" s="3"/>
      <c r="DFT27" s="3"/>
      <c r="DFU27" s="3"/>
      <c r="DFV27" s="3"/>
      <c r="DFW27" s="3"/>
      <c r="DFX27" s="3"/>
      <c r="DFY27" s="3"/>
      <c r="DFZ27" s="3"/>
      <c r="DGA27" s="3"/>
      <c r="DGB27" s="3"/>
      <c r="DGC27" s="3"/>
      <c r="DGD27" s="3"/>
      <c r="DGE27" s="3"/>
      <c r="DGF27" s="3"/>
      <c r="DGG27" s="3"/>
      <c r="DGH27" s="3"/>
      <c r="DGI27" s="3"/>
      <c r="DGJ27" s="3"/>
      <c r="DGK27" s="3"/>
      <c r="DGL27" s="3"/>
      <c r="DGM27" s="3"/>
      <c r="DGN27" s="3"/>
      <c r="DGO27" s="3"/>
      <c r="DGP27" s="3"/>
      <c r="DGQ27" s="3"/>
      <c r="DGR27" s="3"/>
      <c r="DGS27" s="3"/>
      <c r="DGT27" s="3"/>
      <c r="DGU27" s="3"/>
      <c r="DGV27" s="3"/>
      <c r="DGW27" s="3"/>
      <c r="DGX27" s="3"/>
      <c r="DGY27" s="3"/>
      <c r="DGZ27" s="3"/>
      <c r="DHA27" s="3"/>
      <c r="DHB27" s="3"/>
      <c r="DHC27" s="3"/>
      <c r="DHD27" s="3"/>
      <c r="DHE27" s="3"/>
      <c r="DHF27" s="3"/>
      <c r="DHG27" s="3"/>
      <c r="DHH27" s="3"/>
      <c r="DHI27" s="3"/>
      <c r="DHJ27" s="3"/>
      <c r="DHK27" s="3"/>
      <c r="DHL27" s="3"/>
      <c r="DHM27" s="3"/>
      <c r="DHN27" s="3"/>
      <c r="DHO27" s="3"/>
      <c r="DHP27" s="3"/>
      <c r="DHQ27" s="3"/>
      <c r="DHR27" s="3"/>
      <c r="DHS27" s="3"/>
      <c r="DHT27" s="3"/>
      <c r="DHU27" s="3"/>
      <c r="DHV27" s="3"/>
      <c r="DHW27" s="3"/>
      <c r="DHX27" s="3"/>
      <c r="DHY27" s="3"/>
      <c r="DHZ27" s="3"/>
      <c r="DIA27" s="3"/>
      <c r="DIB27" s="3"/>
      <c r="DIC27" s="3"/>
      <c r="DID27" s="3"/>
      <c r="DIE27" s="3"/>
      <c r="DIF27" s="3"/>
      <c r="DIG27" s="3"/>
      <c r="DIH27" s="3"/>
      <c r="DII27" s="3"/>
      <c r="DIJ27" s="3"/>
      <c r="DIK27" s="3"/>
      <c r="DIL27" s="3"/>
      <c r="DIM27" s="3"/>
      <c r="DIN27" s="3"/>
      <c r="DIO27" s="3"/>
      <c r="DIP27" s="3"/>
      <c r="DIQ27" s="3"/>
      <c r="DIR27" s="3"/>
      <c r="DIS27" s="3"/>
      <c r="DIT27" s="3"/>
      <c r="DIU27" s="3"/>
      <c r="DIV27" s="3"/>
      <c r="DIW27" s="3"/>
      <c r="DIX27" s="3"/>
      <c r="DIY27" s="3"/>
      <c r="DIZ27" s="3"/>
      <c r="DJA27" s="3"/>
      <c r="DJB27" s="3"/>
      <c r="DJC27" s="3"/>
      <c r="DJD27" s="3"/>
      <c r="DJE27" s="3"/>
      <c r="DJF27" s="3"/>
      <c r="DJG27" s="3"/>
      <c r="DJH27" s="3"/>
      <c r="DJI27" s="3"/>
      <c r="DJJ27" s="3"/>
      <c r="DJK27" s="3"/>
      <c r="DJL27" s="3"/>
      <c r="DJM27" s="3"/>
      <c r="DJN27" s="3"/>
      <c r="DJO27" s="3"/>
      <c r="DJP27" s="3"/>
      <c r="DJQ27" s="3"/>
      <c r="DJR27" s="3"/>
      <c r="DJS27" s="3"/>
      <c r="DJT27" s="3"/>
      <c r="DJU27" s="3"/>
      <c r="DJV27" s="3"/>
      <c r="DJW27" s="3"/>
      <c r="DJX27" s="3"/>
      <c r="DJY27" s="3"/>
      <c r="DJZ27" s="3"/>
      <c r="DKA27" s="3"/>
      <c r="DKB27" s="3"/>
      <c r="DKC27" s="3"/>
      <c r="DKD27" s="3"/>
      <c r="DKE27" s="3"/>
      <c r="DKF27" s="3"/>
      <c r="DKG27" s="3"/>
      <c r="DKH27" s="3"/>
      <c r="DKI27" s="3"/>
      <c r="DKJ27" s="3"/>
      <c r="DKK27" s="3"/>
      <c r="DKL27" s="3"/>
      <c r="DKM27" s="3"/>
      <c r="DKN27" s="3"/>
      <c r="DKO27" s="3"/>
      <c r="DKP27" s="3"/>
      <c r="DKQ27" s="3"/>
      <c r="DKR27" s="3"/>
      <c r="DKS27" s="3"/>
      <c r="DKT27" s="3"/>
      <c r="DKU27" s="3"/>
      <c r="DKV27" s="3"/>
      <c r="DKW27" s="3"/>
      <c r="DKX27" s="3"/>
      <c r="DKY27" s="3"/>
      <c r="DKZ27" s="3"/>
      <c r="DLA27" s="3"/>
      <c r="DLB27" s="3"/>
      <c r="DLC27" s="3"/>
      <c r="DLD27" s="3"/>
      <c r="DLE27" s="3"/>
      <c r="DLF27" s="3"/>
      <c r="DLG27" s="3"/>
      <c r="DLH27" s="3"/>
      <c r="DLI27" s="3"/>
      <c r="DLJ27" s="3"/>
      <c r="DLK27" s="3"/>
      <c r="DLL27" s="3"/>
      <c r="DLM27" s="3"/>
      <c r="DLN27" s="3"/>
      <c r="DLO27" s="3"/>
      <c r="DLP27" s="3"/>
      <c r="DLQ27" s="3"/>
      <c r="DLR27" s="3"/>
      <c r="DLS27" s="3"/>
      <c r="DLT27" s="3"/>
      <c r="DLU27" s="3"/>
      <c r="DLV27" s="3"/>
      <c r="DLW27" s="3"/>
      <c r="DLX27" s="3"/>
      <c r="DLY27" s="3"/>
      <c r="DLZ27" s="3"/>
      <c r="DMA27" s="3"/>
      <c r="DMB27" s="3"/>
      <c r="DMC27" s="3"/>
      <c r="DMD27" s="3"/>
      <c r="DME27" s="3"/>
      <c r="DMF27" s="3"/>
      <c r="DMG27" s="3"/>
      <c r="DMH27" s="3"/>
      <c r="DMI27" s="3"/>
      <c r="DMJ27" s="3"/>
      <c r="DMK27" s="3"/>
      <c r="DML27" s="3"/>
      <c r="DMM27" s="3"/>
      <c r="DMN27" s="3"/>
      <c r="DMO27" s="3"/>
      <c r="DMP27" s="3"/>
      <c r="DMQ27" s="3"/>
      <c r="DMR27" s="3"/>
      <c r="DMS27" s="3"/>
      <c r="DMT27" s="3"/>
      <c r="DMU27" s="3"/>
      <c r="DMV27" s="3"/>
      <c r="DMW27" s="3"/>
      <c r="DMX27" s="3"/>
      <c r="DMY27" s="3"/>
      <c r="DMZ27" s="3"/>
      <c r="DNA27" s="3"/>
      <c r="DNB27" s="3"/>
      <c r="DNC27" s="3"/>
      <c r="DND27" s="3"/>
      <c r="DNE27" s="3"/>
      <c r="DNF27" s="3"/>
      <c r="DNG27" s="3"/>
      <c r="DNH27" s="3"/>
      <c r="DNI27" s="3"/>
      <c r="DNJ27" s="3"/>
      <c r="DNK27" s="3"/>
      <c r="DNL27" s="3"/>
      <c r="DNM27" s="3"/>
      <c r="DNN27" s="3"/>
      <c r="DNO27" s="3"/>
      <c r="DNP27" s="3"/>
      <c r="DNQ27" s="3"/>
      <c r="DNR27" s="3"/>
      <c r="DNS27" s="3"/>
      <c r="DNT27" s="3"/>
      <c r="DNU27" s="3"/>
      <c r="DNV27" s="3"/>
      <c r="DNW27" s="3"/>
      <c r="DNX27" s="3"/>
      <c r="DNY27" s="3"/>
      <c r="DNZ27" s="3"/>
      <c r="DOA27" s="3"/>
      <c r="DOB27" s="3"/>
      <c r="DOC27" s="3"/>
      <c r="DOD27" s="3"/>
      <c r="DOE27" s="3"/>
      <c r="DOF27" s="3"/>
      <c r="DOG27" s="3"/>
      <c r="DOH27" s="3"/>
      <c r="DOI27" s="3"/>
      <c r="DOJ27" s="3"/>
      <c r="DOK27" s="3"/>
      <c r="DOL27" s="3"/>
      <c r="DOM27" s="3"/>
      <c r="DON27" s="3"/>
      <c r="DOO27" s="3"/>
      <c r="DOP27" s="3"/>
      <c r="DOQ27" s="3"/>
      <c r="DOR27" s="3"/>
      <c r="DOS27" s="3"/>
      <c r="DOT27" s="3"/>
      <c r="DOU27" s="3"/>
      <c r="DOV27" s="3"/>
      <c r="DOW27" s="3"/>
      <c r="DOX27" s="3"/>
      <c r="DOY27" s="3"/>
      <c r="DOZ27" s="3"/>
      <c r="DPA27" s="3"/>
      <c r="DPB27" s="3"/>
      <c r="DPC27" s="3"/>
      <c r="DPD27" s="3"/>
      <c r="DPE27" s="3"/>
      <c r="DPF27" s="3"/>
      <c r="DPG27" s="3"/>
      <c r="DPH27" s="3"/>
      <c r="DPI27" s="3"/>
      <c r="DPJ27" s="3"/>
      <c r="DPK27" s="3"/>
      <c r="DPL27" s="3"/>
      <c r="DPM27" s="3"/>
      <c r="DPN27" s="3"/>
      <c r="DPO27" s="3"/>
      <c r="DPP27" s="3"/>
      <c r="DPQ27" s="3"/>
      <c r="DPR27" s="3"/>
      <c r="DPS27" s="3"/>
      <c r="DPT27" s="3"/>
      <c r="DPU27" s="3"/>
      <c r="DPV27" s="3"/>
      <c r="DPW27" s="3"/>
      <c r="DPX27" s="3"/>
      <c r="DPY27" s="3"/>
      <c r="DPZ27" s="3"/>
      <c r="DQA27" s="3"/>
      <c r="DQB27" s="3"/>
      <c r="DQC27" s="3"/>
      <c r="DQD27" s="3"/>
      <c r="DQE27" s="3"/>
      <c r="DQF27" s="3"/>
      <c r="DQG27" s="3"/>
      <c r="DQH27" s="3"/>
      <c r="DQI27" s="3"/>
      <c r="DQJ27" s="3"/>
      <c r="DQK27" s="3"/>
      <c r="DQL27" s="3"/>
      <c r="DQM27" s="3"/>
      <c r="DQN27" s="3"/>
      <c r="DQO27" s="3"/>
      <c r="DQP27" s="3"/>
      <c r="DQQ27" s="3"/>
      <c r="DQR27" s="3"/>
      <c r="DQS27" s="3"/>
      <c r="DQT27" s="3"/>
      <c r="DQU27" s="3"/>
      <c r="DQV27" s="3"/>
      <c r="DQW27" s="3"/>
      <c r="DQX27" s="3"/>
      <c r="DQY27" s="3"/>
      <c r="DQZ27" s="3"/>
      <c r="DRA27" s="3"/>
      <c r="DRB27" s="3"/>
      <c r="DRC27" s="3"/>
      <c r="DRD27" s="3"/>
      <c r="DRE27" s="3"/>
      <c r="DRF27" s="3"/>
      <c r="DRG27" s="3"/>
      <c r="DRH27" s="3"/>
      <c r="DRI27" s="3"/>
      <c r="DRJ27" s="3"/>
      <c r="DRK27" s="3"/>
      <c r="DRL27" s="3"/>
      <c r="DRM27" s="3"/>
      <c r="DRN27" s="3"/>
      <c r="DRO27" s="3"/>
      <c r="DRP27" s="3"/>
      <c r="DRQ27" s="3"/>
      <c r="DRR27" s="3"/>
      <c r="DRS27" s="3"/>
      <c r="DRT27" s="3"/>
      <c r="DRU27" s="3"/>
      <c r="DRV27" s="3"/>
      <c r="DRW27" s="3"/>
      <c r="DRX27" s="3"/>
      <c r="DRY27" s="3"/>
      <c r="DRZ27" s="3"/>
      <c r="DSA27" s="3"/>
      <c r="DSB27" s="3"/>
      <c r="DSC27" s="3"/>
      <c r="DSD27" s="3"/>
      <c r="DSE27" s="3"/>
      <c r="DSF27" s="3"/>
      <c r="DSG27" s="3"/>
      <c r="DSH27" s="3"/>
      <c r="DSI27" s="3"/>
      <c r="DSJ27" s="3"/>
      <c r="DSK27" s="3"/>
      <c r="DSL27" s="3"/>
      <c r="DSM27" s="3"/>
      <c r="DSN27" s="3"/>
      <c r="DSO27" s="3"/>
      <c r="DSP27" s="3"/>
      <c r="DSQ27" s="3"/>
      <c r="DSR27" s="3"/>
      <c r="DSS27" s="3"/>
      <c r="DST27" s="3"/>
      <c r="DSU27" s="3"/>
      <c r="DSV27" s="3"/>
      <c r="DSW27" s="3"/>
      <c r="DSX27" s="3"/>
      <c r="DSY27" s="3"/>
      <c r="DSZ27" s="3"/>
      <c r="DTA27" s="3"/>
      <c r="DTB27" s="3"/>
      <c r="DTC27" s="3"/>
      <c r="DTD27" s="3"/>
      <c r="DTE27" s="3"/>
      <c r="DTF27" s="3"/>
      <c r="DTG27" s="3"/>
      <c r="DTH27" s="3"/>
      <c r="DTI27" s="3"/>
      <c r="DTJ27" s="3"/>
      <c r="DTK27" s="3"/>
      <c r="DTL27" s="3"/>
      <c r="DTM27" s="3"/>
      <c r="DTN27" s="3"/>
      <c r="DTO27" s="3"/>
      <c r="DTP27" s="3"/>
      <c r="DTQ27" s="3"/>
      <c r="DTR27" s="3"/>
      <c r="DTS27" s="3"/>
      <c r="DTT27" s="3"/>
      <c r="DTU27" s="3"/>
      <c r="DTV27" s="3"/>
      <c r="DTW27" s="3"/>
      <c r="DTX27" s="3"/>
      <c r="DTY27" s="3"/>
      <c r="DTZ27" s="3"/>
      <c r="DUA27" s="3"/>
      <c r="DUB27" s="3"/>
      <c r="DUC27" s="3"/>
      <c r="DUD27" s="3"/>
      <c r="DUE27" s="3"/>
      <c r="DUF27" s="3"/>
      <c r="DUG27" s="3"/>
      <c r="DUH27" s="3"/>
      <c r="DUI27" s="3"/>
      <c r="DUJ27" s="3"/>
      <c r="DUK27" s="3"/>
      <c r="DUL27" s="3"/>
      <c r="DUM27" s="3"/>
      <c r="DUN27" s="3"/>
      <c r="DUO27" s="3"/>
      <c r="DUP27" s="3"/>
      <c r="DUQ27" s="3"/>
      <c r="DUR27" s="3"/>
      <c r="DUS27" s="3"/>
      <c r="DUT27" s="3"/>
      <c r="DUU27" s="3"/>
      <c r="DUV27" s="3"/>
      <c r="DUW27" s="3"/>
      <c r="DUX27" s="3"/>
      <c r="DUY27" s="3"/>
      <c r="DUZ27" s="3"/>
      <c r="DVA27" s="3"/>
      <c r="DVB27" s="3"/>
      <c r="DVC27" s="3"/>
      <c r="DVD27" s="3"/>
      <c r="DVE27" s="3"/>
      <c r="DVF27" s="3"/>
      <c r="DVG27" s="3"/>
      <c r="DVH27" s="3"/>
      <c r="DVI27" s="3"/>
      <c r="DVJ27" s="3"/>
      <c r="DVK27" s="3"/>
      <c r="DVL27" s="3"/>
      <c r="DVM27" s="3"/>
      <c r="DVN27" s="3"/>
      <c r="DVO27" s="3"/>
      <c r="DVP27" s="3"/>
      <c r="DVQ27" s="3"/>
      <c r="DVR27" s="3"/>
      <c r="DVS27" s="3"/>
      <c r="DVT27" s="3"/>
      <c r="DVU27" s="3"/>
      <c r="DVV27" s="3"/>
      <c r="DVW27" s="3"/>
      <c r="DVX27" s="3"/>
      <c r="DVY27" s="3"/>
      <c r="DVZ27" s="3"/>
      <c r="DWA27" s="3"/>
      <c r="DWB27" s="3"/>
      <c r="DWC27" s="3"/>
      <c r="DWD27" s="3"/>
      <c r="DWE27" s="3"/>
      <c r="DWF27" s="3"/>
      <c r="DWG27" s="3"/>
      <c r="DWH27" s="3"/>
      <c r="DWI27" s="3"/>
      <c r="DWJ27" s="3"/>
      <c r="DWK27" s="3"/>
      <c r="DWL27" s="3"/>
      <c r="DWM27" s="3"/>
      <c r="DWN27" s="3"/>
      <c r="DWO27" s="3"/>
      <c r="DWP27" s="3"/>
      <c r="DWQ27" s="3"/>
      <c r="DWR27" s="3"/>
      <c r="DWS27" s="3"/>
      <c r="DWT27" s="3"/>
      <c r="DWU27" s="3"/>
      <c r="DWV27" s="3"/>
      <c r="DWW27" s="3"/>
      <c r="DWX27" s="3"/>
      <c r="DWY27" s="3"/>
      <c r="DWZ27" s="3"/>
      <c r="DXA27" s="3"/>
      <c r="DXB27" s="3"/>
      <c r="DXC27" s="3"/>
      <c r="DXD27" s="3"/>
      <c r="DXE27" s="3"/>
      <c r="DXF27" s="3"/>
      <c r="DXG27" s="3"/>
      <c r="DXH27" s="3"/>
      <c r="DXI27" s="3"/>
      <c r="DXJ27" s="3"/>
      <c r="DXK27" s="3"/>
      <c r="DXL27" s="3"/>
      <c r="DXM27" s="3"/>
      <c r="DXN27" s="3"/>
      <c r="DXO27" s="3"/>
      <c r="DXP27" s="3"/>
      <c r="DXQ27" s="3"/>
      <c r="DXR27" s="3"/>
      <c r="DXS27" s="3"/>
      <c r="DXT27" s="3"/>
      <c r="DXU27" s="3"/>
      <c r="DXV27" s="3"/>
      <c r="DXW27" s="3"/>
      <c r="DXX27" s="3"/>
      <c r="DXY27" s="3"/>
      <c r="DXZ27" s="3"/>
      <c r="DYA27" s="3"/>
      <c r="DYB27" s="3"/>
      <c r="DYC27" s="3"/>
      <c r="DYD27" s="3"/>
      <c r="DYE27" s="3"/>
      <c r="DYF27" s="3"/>
      <c r="DYG27" s="3"/>
      <c r="DYH27" s="3"/>
      <c r="DYI27" s="3"/>
      <c r="DYJ27" s="3"/>
      <c r="DYK27" s="3"/>
      <c r="DYL27" s="3"/>
      <c r="DYM27" s="3"/>
      <c r="DYN27" s="3"/>
      <c r="DYO27" s="3"/>
      <c r="DYP27" s="3"/>
      <c r="DYQ27" s="3"/>
      <c r="DYR27" s="3"/>
      <c r="DYS27" s="3"/>
      <c r="DYT27" s="3"/>
      <c r="DYU27" s="3"/>
      <c r="DYV27" s="3"/>
      <c r="DYW27" s="3"/>
      <c r="DYX27" s="3"/>
      <c r="DYY27" s="3"/>
      <c r="DYZ27" s="3"/>
      <c r="DZA27" s="3"/>
      <c r="DZB27" s="3"/>
      <c r="DZC27" s="3"/>
      <c r="DZD27" s="3"/>
      <c r="DZE27" s="3"/>
      <c r="DZF27" s="3"/>
      <c r="DZG27" s="3"/>
      <c r="DZH27" s="3"/>
      <c r="DZI27" s="3"/>
      <c r="DZJ27" s="3"/>
      <c r="DZK27" s="3"/>
      <c r="DZL27" s="3"/>
      <c r="DZM27" s="3"/>
      <c r="DZN27" s="3"/>
      <c r="DZO27" s="3"/>
      <c r="DZP27" s="3"/>
      <c r="DZQ27" s="3"/>
      <c r="DZR27" s="3"/>
      <c r="DZS27" s="3"/>
      <c r="DZT27" s="3"/>
      <c r="DZU27" s="3"/>
      <c r="DZV27" s="3"/>
      <c r="DZW27" s="3"/>
      <c r="DZX27" s="3"/>
      <c r="DZY27" s="3"/>
      <c r="DZZ27" s="3"/>
      <c r="EAA27" s="3"/>
      <c r="EAB27" s="3"/>
      <c r="EAC27" s="3"/>
      <c r="EAD27" s="3"/>
      <c r="EAE27" s="3"/>
      <c r="EAF27" s="3"/>
      <c r="EAG27" s="3"/>
      <c r="EAH27" s="3"/>
      <c r="EAI27" s="3"/>
      <c r="EAJ27" s="3"/>
      <c r="EAK27" s="3"/>
      <c r="EAL27" s="3"/>
      <c r="EAM27" s="3"/>
      <c r="EAN27" s="3"/>
      <c r="EAO27" s="3"/>
      <c r="EAP27" s="3"/>
      <c r="EAQ27" s="3"/>
      <c r="EAR27" s="3"/>
      <c r="EAS27" s="3"/>
      <c r="EAT27" s="3"/>
      <c r="EAU27" s="3"/>
      <c r="EAV27" s="3"/>
      <c r="EAW27" s="3"/>
      <c r="EAX27" s="3"/>
      <c r="EAY27" s="3"/>
      <c r="EAZ27" s="3"/>
      <c r="EBA27" s="3"/>
      <c r="EBB27" s="3"/>
      <c r="EBC27" s="3"/>
      <c r="EBD27" s="3"/>
      <c r="EBE27" s="3"/>
      <c r="EBF27" s="3"/>
      <c r="EBG27" s="3"/>
      <c r="EBH27" s="3"/>
      <c r="EBI27" s="3"/>
      <c r="EBJ27" s="3"/>
      <c r="EBK27" s="3"/>
      <c r="EBL27" s="3"/>
      <c r="EBM27" s="3"/>
      <c r="EBN27" s="3"/>
      <c r="EBO27" s="3"/>
      <c r="EBP27" s="3"/>
      <c r="EBQ27" s="3"/>
      <c r="EBR27" s="3"/>
      <c r="EBS27" s="3"/>
      <c r="EBT27" s="3"/>
      <c r="EBU27" s="3"/>
      <c r="EBV27" s="3"/>
      <c r="EBW27" s="3"/>
      <c r="EBX27" s="3"/>
      <c r="EBY27" s="3"/>
      <c r="EBZ27" s="3"/>
      <c r="ECA27" s="3"/>
      <c r="ECB27" s="3"/>
      <c r="ECC27" s="3"/>
      <c r="ECD27" s="3"/>
      <c r="ECE27" s="3"/>
      <c r="ECF27" s="3"/>
      <c r="ECG27" s="3"/>
      <c r="ECH27" s="3"/>
      <c r="ECI27" s="3"/>
      <c r="ECJ27" s="3"/>
      <c r="ECK27" s="3"/>
      <c r="ECL27" s="3"/>
      <c r="ECM27" s="3"/>
      <c r="ECN27" s="3"/>
      <c r="ECO27" s="3"/>
      <c r="ECP27" s="3"/>
      <c r="ECQ27" s="3"/>
      <c r="ECR27" s="3"/>
      <c r="ECS27" s="3"/>
      <c r="ECT27" s="3"/>
      <c r="ECU27" s="3"/>
      <c r="ECV27" s="3"/>
      <c r="ECW27" s="3"/>
      <c r="ECX27" s="3"/>
      <c r="ECY27" s="3"/>
      <c r="ECZ27" s="3"/>
      <c r="EDA27" s="3"/>
      <c r="EDB27" s="3"/>
      <c r="EDC27" s="3"/>
      <c r="EDD27" s="3"/>
      <c r="EDE27" s="3"/>
      <c r="EDF27" s="3"/>
      <c r="EDG27" s="3"/>
      <c r="EDH27" s="3"/>
      <c r="EDI27" s="3"/>
      <c r="EDJ27" s="3"/>
      <c r="EDK27" s="3"/>
      <c r="EDL27" s="3"/>
      <c r="EDM27" s="3"/>
      <c r="EDN27" s="3"/>
      <c r="EDO27" s="3"/>
      <c r="EDP27" s="3"/>
      <c r="EDQ27" s="3"/>
      <c r="EDR27" s="3"/>
      <c r="EDS27" s="3"/>
      <c r="EDT27" s="3"/>
      <c r="EDU27" s="3"/>
      <c r="EDV27" s="3"/>
      <c r="EDW27" s="3"/>
      <c r="EDX27" s="3"/>
      <c r="EDY27" s="3"/>
      <c r="EDZ27" s="3"/>
      <c r="EEA27" s="3"/>
      <c r="EEB27" s="3"/>
      <c r="EEC27" s="3"/>
      <c r="EED27" s="3"/>
      <c r="EEE27" s="3"/>
      <c r="EEF27" s="3"/>
      <c r="EEG27" s="3"/>
      <c r="EEH27" s="3"/>
      <c r="EEI27" s="3"/>
      <c r="EEJ27" s="3"/>
      <c r="EEK27" s="3"/>
      <c r="EEL27" s="3"/>
      <c r="EEM27" s="3"/>
      <c r="EEN27" s="3"/>
      <c r="EEO27" s="3"/>
      <c r="EEP27" s="3"/>
      <c r="EEQ27" s="3"/>
      <c r="EER27" s="3"/>
      <c r="EES27" s="3"/>
      <c r="EET27" s="3"/>
      <c r="EEU27" s="3"/>
      <c r="EEV27" s="3"/>
      <c r="EEW27" s="3"/>
      <c r="EEX27" s="3"/>
      <c r="EEY27" s="3"/>
      <c r="EEZ27" s="3"/>
      <c r="EFA27" s="3"/>
      <c r="EFB27" s="3"/>
      <c r="EFC27" s="3"/>
      <c r="EFD27" s="3"/>
      <c r="EFE27" s="3"/>
      <c r="EFF27" s="3"/>
      <c r="EFG27" s="3"/>
      <c r="EFH27" s="3"/>
      <c r="EFI27" s="3"/>
      <c r="EFJ27" s="3"/>
      <c r="EFK27" s="3"/>
      <c r="EFL27" s="3"/>
      <c r="EFM27" s="3"/>
      <c r="EFN27" s="3"/>
      <c r="EFO27" s="3"/>
      <c r="EFP27" s="3"/>
      <c r="EFQ27" s="3"/>
      <c r="EFR27" s="3"/>
      <c r="EFS27" s="3"/>
      <c r="EFT27" s="3"/>
      <c r="EFU27" s="3"/>
      <c r="EFV27" s="3"/>
      <c r="EFW27" s="3"/>
      <c r="EFX27" s="3"/>
      <c r="EFY27" s="3"/>
      <c r="EFZ27" s="3"/>
      <c r="EGA27" s="3"/>
      <c r="EGB27" s="3"/>
      <c r="EGC27" s="3"/>
      <c r="EGD27" s="3"/>
      <c r="EGE27" s="3"/>
      <c r="EGF27" s="3"/>
      <c r="EGG27" s="3"/>
      <c r="EGH27" s="3"/>
      <c r="EGI27" s="3"/>
      <c r="EGJ27" s="3"/>
      <c r="EGK27" s="3"/>
      <c r="EGL27" s="3"/>
      <c r="EGM27" s="3"/>
      <c r="EGN27" s="3"/>
      <c r="EGO27" s="3"/>
      <c r="EGP27" s="3"/>
      <c r="EGQ27" s="3"/>
      <c r="EGR27" s="3"/>
      <c r="EGS27" s="3"/>
      <c r="EGT27" s="3"/>
      <c r="EGU27" s="3"/>
      <c r="EGV27" s="3"/>
      <c r="EGW27" s="3"/>
      <c r="EGX27" s="3"/>
      <c r="EGY27" s="3"/>
      <c r="EGZ27" s="3"/>
      <c r="EHA27" s="3"/>
      <c r="EHB27" s="3"/>
      <c r="EHC27" s="3"/>
      <c r="EHD27" s="3"/>
      <c r="EHE27" s="3"/>
      <c r="EHF27" s="3"/>
      <c r="EHG27" s="3"/>
      <c r="EHH27" s="3"/>
      <c r="EHI27" s="3"/>
      <c r="EHJ27" s="3"/>
      <c r="EHK27" s="3"/>
      <c r="EHL27" s="3"/>
      <c r="EHM27" s="3"/>
      <c r="EHN27" s="3"/>
      <c r="EHO27" s="3"/>
      <c r="EHP27" s="3"/>
      <c r="EHQ27" s="3"/>
      <c r="EHR27" s="3"/>
      <c r="EHS27" s="3"/>
      <c r="EHT27" s="3"/>
      <c r="EHU27" s="3"/>
      <c r="EHV27" s="3"/>
      <c r="EHW27" s="3"/>
      <c r="EHX27" s="3"/>
      <c r="EHY27" s="3"/>
      <c r="EHZ27" s="3"/>
      <c r="EIA27" s="3"/>
      <c r="EIB27" s="3"/>
      <c r="EIC27" s="3"/>
      <c r="EID27" s="3"/>
      <c r="EIE27" s="3"/>
      <c r="EIF27" s="3"/>
      <c r="EIG27" s="3"/>
      <c r="EIH27" s="3"/>
      <c r="EII27" s="3"/>
      <c r="EIJ27" s="3"/>
      <c r="EIK27" s="3"/>
      <c r="EIL27" s="3"/>
      <c r="EIM27" s="3"/>
      <c r="EIN27" s="3"/>
      <c r="EIO27" s="3"/>
      <c r="EIP27" s="3"/>
      <c r="EIQ27" s="3"/>
      <c r="EIR27" s="3"/>
      <c r="EIS27" s="3"/>
      <c r="EIT27" s="3"/>
      <c r="EIU27" s="3"/>
      <c r="EIV27" s="3"/>
      <c r="EIW27" s="3"/>
      <c r="EIX27" s="3"/>
      <c r="EIY27" s="3"/>
      <c r="EIZ27" s="3"/>
      <c r="EJA27" s="3"/>
      <c r="EJB27" s="3"/>
      <c r="EJC27" s="3"/>
      <c r="EJD27" s="3"/>
      <c r="EJE27" s="3"/>
      <c r="EJF27" s="3"/>
      <c r="EJG27" s="3"/>
      <c r="EJH27" s="3"/>
      <c r="EJI27" s="3"/>
      <c r="EJJ27" s="3"/>
      <c r="EJK27" s="3"/>
      <c r="EJL27" s="3"/>
      <c r="EJM27" s="3"/>
      <c r="EJN27" s="3"/>
      <c r="EJO27" s="3"/>
      <c r="EJP27" s="3"/>
      <c r="EJQ27" s="3"/>
      <c r="EJR27" s="3"/>
      <c r="EJS27" s="3"/>
      <c r="EJT27" s="3"/>
      <c r="EJU27" s="3"/>
      <c r="EJV27" s="3"/>
      <c r="EJW27" s="3"/>
      <c r="EJX27" s="3"/>
      <c r="EJY27" s="3"/>
      <c r="EJZ27" s="3"/>
      <c r="EKA27" s="3"/>
      <c r="EKB27" s="3"/>
      <c r="EKC27" s="3"/>
      <c r="EKD27" s="3"/>
      <c r="EKE27" s="3"/>
      <c r="EKF27" s="3"/>
      <c r="EKG27" s="3"/>
      <c r="EKH27" s="3"/>
      <c r="EKI27" s="3"/>
      <c r="EKJ27" s="3"/>
      <c r="EKK27" s="3"/>
      <c r="EKL27" s="3"/>
      <c r="EKM27" s="3"/>
      <c r="EKN27" s="3"/>
      <c r="EKO27" s="3"/>
      <c r="EKP27" s="3"/>
      <c r="EKQ27" s="3"/>
      <c r="EKR27" s="3"/>
      <c r="EKS27" s="3"/>
      <c r="EKT27" s="3"/>
      <c r="EKU27" s="3"/>
      <c r="EKV27" s="3"/>
      <c r="EKW27" s="3"/>
      <c r="EKX27" s="3"/>
      <c r="EKY27" s="3"/>
      <c r="EKZ27" s="3"/>
      <c r="ELA27" s="3"/>
      <c r="ELB27" s="3"/>
      <c r="ELC27" s="3"/>
      <c r="ELD27" s="3"/>
      <c r="ELE27" s="3"/>
      <c r="ELF27" s="3"/>
      <c r="ELG27" s="3"/>
      <c r="ELH27" s="3"/>
      <c r="ELI27" s="3"/>
      <c r="ELJ27" s="3"/>
      <c r="ELK27" s="3"/>
      <c r="ELL27" s="3"/>
      <c r="ELM27" s="3"/>
      <c r="ELN27" s="3"/>
      <c r="ELO27" s="3"/>
      <c r="ELP27" s="3"/>
      <c r="ELQ27" s="3"/>
      <c r="ELR27" s="3"/>
      <c r="ELS27" s="3"/>
      <c r="ELT27" s="3"/>
      <c r="ELU27" s="3"/>
      <c r="ELV27" s="3"/>
      <c r="ELW27" s="3"/>
      <c r="ELX27" s="3"/>
      <c r="ELY27" s="3"/>
      <c r="ELZ27" s="3"/>
      <c r="EMA27" s="3"/>
      <c r="EMB27" s="3"/>
      <c r="EMC27" s="3"/>
      <c r="EMD27" s="3"/>
      <c r="EME27" s="3"/>
      <c r="EMF27" s="3"/>
      <c r="EMG27" s="3"/>
      <c r="EMH27" s="3"/>
      <c r="EMI27" s="3"/>
      <c r="EMJ27" s="3"/>
      <c r="EMK27" s="3"/>
      <c r="EML27" s="3"/>
      <c r="EMM27" s="3"/>
      <c r="EMN27" s="3"/>
      <c r="EMO27" s="3"/>
      <c r="EMP27" s="3"/>
      <c r="EMQ27" s="3"/>
      <c r="EMR27" s="3"/>
      <c r="EMS27" s="3"/>
      <c r="EMT27" s="3"/>
      <c r="EMU27" s="3"/>
      <c r="EMV27" s="3"/>
      <c r="EMW27" s="3"/>
      <c r="EMX27" s="3"/>
      <c r="EMY27" s="3"/>
      <c r="EMZ27" s="3"/>
      <c r="ENA27" s="3"/>
      <c r="ENB27" s="3"/>
      <c r="ENC27" s="3"/>
      <c r="END27" s="3"/>
      <c r="ENE27" s="3"/>
      <c r="ENF27" s="3"/>
      <c r="ENG27" s="3"/>
      <c r="ENH27" s="3"/>
      <c r="ENI27" s="3"/>
      <c r="ENJ27" s="3"/>
      <c r="ENK27" s="3"/>
      <c r="ENL27" s="3"/>
      <c r="ENM27" s="3"/>
      <c r="ENN27" s="3"/>
      <c r="ENO27" s="3"/>
      <c r="ENP27" s="3"/>
      <c r="ENQ27" s="3"/>
      <c r="ENR27" s="3"/>
      <c r="ENS27" s="3"/>
      <c r="ENT27" s="3"/>
      <c r="ENU27" s="3"/>
      <c r="ENV27" s="3"/>
      <c r="ENW27" s="3"/>
      <c r="ENX27" s="3"/>
      <c r="ENY27" s="3"/>
      <c r="ENZ27" s="3"/>
      <c r="EOA27" s="3"/>
      <c r="EOB27" s="3"/>
      <c r="EOC27" s="3"/>
      <c r="EOD27" s="3"/>
      <c r="EOE27" s="3"/>
      <c r="EOF27" s="3"/>
      <c r="EOG27" s="3"/>
      <c r="EOH27" s="3"/>
      <c r="EOI27" s="3"/>
      <c r="EOJ27" s="3"/>
      <c r="EOK27" s="3"/>
      <c r="EOL27" s="3"/>
      <c r="EOM27" s="3"/>
      <c r="EON27" s="3"/>
      <c r="EOO27" s="3"/>
      <c r="EOP27" s="3"/>
      <c r="EOQ27" s="3"/>
      <c r="EOR27" s="3"/>
      <c r="EOS27" s="3"/>
      <c r="EOT27" s="3"/>
      <c r="EOU27" s="3"/>
      <c r="EOV27" s="3"/>
      <c r="EOW27" s="3"/>
      <c r="EOX27" s="3"/>
      <c r="EOY27" s="3"/>
      <c r="EOZ27" s="3"/>
      <c r="EPA27" s="3"/>
      <c r="EPB27" s="3"/>
      <c r="EPC27" s="3"/>
      <c r="EPD27" s="3"/>
      <c r="EPE27" s="3"/>
      <c r="EPF27" s="3"/>
      <c r="EPG27" s="3"/>
      <c r="EPH27" s="3"/>
      <c r="EPI27" s="3"/>
      <c r="EPJ27" s="3"/>
      <c r="EPK27" s="3"/>
      <c r="EPL27" s="3"/>
      <c r="EPM27" s="3"/>
      <c r="EPN27" s="3"/>
      <c r="EPO27" s="3"/>
      <c r="EPP27" s="3"/>
      <c r="EPQ27" s="3"/>
      <c r="EPR27" s="3"/>
      <c r="EPS27" s="3"/>
      <c r="EPT27" s="3"/>
      <c r="EPU27" s="3"/>
      <c r="EPV27" s="3"/>
      <c r="EPW27" s="3"/>
      <c r="EPX27" s="3"/>
      <c r="EPY27" s="3"/>
      <c r="EPZ27" s="3"/>
      <c r="EQA27" s="3"/>
      <c r="EQB27" s="3"/>
      <c r="EQC27" s="3"/>
      <c r="EQD27" s="3"/>
      <c r="EQE27" s="3"/>
      <c r="EQF27" s="3"/>
      <c r="EQG27" s="3"/>
      <c r="EQH27" s="3"/>
      <c r="EQI27" s="3"/>
      <c r="EQJ27" s="3"/>
      <c r="EQK27" s="3"/>
      <c r="EQL27" s="3"/>
      <c r="EQM27" s="3"/>
      <c r="EQN27" s="3"/>
      <c r="EQO27" s="3"/>
      <c r="EQP27" s="3"/>
      <c r="EQQ27" s="3"/>
      <c r="EQR27" s="3"/>
      <c r="EQS27" s="3"/>
      <c r="EQT27" s="3"/>
      <c r="EQU27" s="3"/>
      <c r="EQV27" s="3"/>
      <c r="EQW27" s="3"/>
      <c r="EQX27" s="3"/>
      <c r="EQY27" s="3"/>
      <c r="EQZ27" s="3"/>
      <c r="ERA27" s="3"/>
      <c r="ERB27" s="3"/>
      <c r="ERC27" s="3"/>
      <c r="ERD27" s="3"/>
      <c r="ERE27" s="3"/>
      <c r="ERF27" s="3"/>
      <c r="ERG27" s="3"/>
      <c r="ERH27" s="3"/>
      <c r="ERI27" s="3"/>
      <c r="ERJ27" s="3"/>
      <c r="ERK27" s="3"/>
      <c r="ERL27" s="3"/>
      <c r="ERM27" s="3"/>
      <c r="ERN27" s="3"/>
      <c r="ERO27" s="3"/>
      <c r="ERP27" s="3"/>
      <c r="ERQ27" s="3"/>
      <c r="ERR27" s="3"/>
      <c r="ERS27" s="3"/>
      <c r="ERT27" s="3"/>
      <c r="ERU27" s="3"/>
      <c r="ERV27" s="3"/>
      <c r="ERW27" s="3"/>
      <c r="ERX27" s="3"/>
      <c r="ERY27" s="3"/>
      <c r="ERZ27" s="3"/>
      <c r="ESA27" s="3"/>
      <c r="ESB27" s="3"/>
      <c r="ESC27" s="3"/>
      <c r="ESD27" s="3"/>
      <c r="ESE27" s="3"/>
      <c r="ESF27" s="3"/>
      <c r="ESG27" s="3"/>
      <c r="ESH27" s="3"/>
      <c r="ESI27" s="3"/>
      <c r="ESJ27" s="3"/>
      <c r="ESK27" s="3"/>
      <c r="ESL27" s="3"/>
      <c r="ESM27" s="3"/>
      <c r="ESN27" s="3"/>
      <c r="ESO27" s="3"/>
      <c r="ESP27" s="3"/>
      <c r="ESQ27" s="3"/>
      <c r="ESR27" s="3"/>
      <c r="ESS27" s="3"/>
      <c r="EST27" s="3"/>
      <c r="ESU27" s="3"/>
      <c r="ESV27" s="3"/>
      <c r="ESW27" s="3"/>
      <c r="ESX27" s="3"/>
      <c r="ESY27" s="3"/>
      <c r="ESZ27" s="3"/>
      <c r="ETA27" s="3"/>
      <c r="ETB27" s="3"/>
      <c r="ETC27" s="3"/>
      <c r="ETD27" s="3"/>
      <c r="ETE27" s="3"/>
      <c r="ETF27" s="3"/>
      <c r="ETG27" s="3"/>
      <c r="ETH27" s="3"/>
      <c r="ETI27" s="3"/>
      <c r="ETJ27" s="3"/>
      <c r="ETK27" s="3"/>
      <c r="ETL27" s="3"/>
      <c r="ETM27" s="3"/>
      <c r="ETN27" s="3"/>
      <c r="ETO27" s="3"/>
      <c r="ETP27" s="3"/>
      <c r="ETQ27" s="3"/>
      <c r="ETR27" s="3"/>
      <c r="ETS27" s="3"/>
      <c r="ETT27" s="3"/>
      <c r="ETU27" s="3"/>
      <c r="ETV27" s="3"/>
      <c r="ETW27" s="3"/>
      <c r="ETX27" s="3"/>
      <c r="ETY27" s="3"/>
      <c r="ETZ27" s="3"/>
      <c r="EUA27" s="3"/>
      <c r="EUB27" s="3"/>
      <c r="EUC27" s="3"/>
      <c r="EUD27" s="3"/>
      <c r="EUE27" s="3"/>
      <c r="EUF27" s="3"/>
      <c r="EUG27" s="3"/>
      <c r="EUH27" s="3"/>
      <c r="EUI27" s="3"/>
      <c r="EUJ27" s="3"/>
      <c r="EUK27" s="3"/>
      <c r="EUL27" s="3"/>
      <c r="EUM27" s="3"/>
      <c r="EUN27" s="3"/>
      <c r="EUO27" s="3"/>
      <c r="EUP27" s="3"/>
      <c r="EUQ27" s="3"/>
      <c r="EUR27" s="3"/>
      <c r="EUS27" s="3"/>
      <c r="EUT27" s="3"/>
      <c r="EUU27" s="3"/>
      <c r="EUV27" s="3"/>
      <c r="EUW27" s="3"/>
      <c r="EUX27" s="3"/>
      <c r="EUY27" s="3"/>
      <c r="EUZ27" s="3"/>
      <c r="EVA27" s="3"/>
      <c r="EVB27" s="3"/>
      <c r="EVC27" s="3"/>
      <c r="EVD27" s="3"/>
      <c r="EVE27" s="3"/>
      <c r="EVF27" s="3"/>
      <c r="EVG27" s="3"/>
      <c r="EVH27" s="3"/>
      <c r="EVI27" s="3"/>
      <c r="EVJ27" s="3"/>
      <c r="EVK27" s="3"/>
      <c r="EVL27" s="3"/>
      <c r="EVM27" s="3"/>
      <c r="EVN27" s="3"/>
      <c r="EVO27" s="3"/>
      <c r="EVP27" s="3"/>
      <c r="EVQ27" s="3"/>
      <c r="EVR27" s="3"/>
      <c r="EVS27" s="3"/>
      <c r="EVT27" s="3"/>
      <c r="EVU27" s="3"/>
      <c r="EVV27" s="3"/>
      <c r="EVW27" s="3"/>
      <c r="EVX27" s="3"/>
      <c r="EVY27" s="3"/>
      <c r="EVZ27" s="3"/>
      <c r="EWA27" s="3"/>
      <c r="EWB27" s="3"/>
      <c r="EWC27" s="3"/>
      <c r="EWD27" s="3"/>
      <c r="EWE27" s="3"/>
      <c r="EWF27" s="3"/>
      <c r="EWG27" s="3"/>
      <c r="EWH27" s="3"/>
      <c r="EWI27" s="3"/>
      <c r="EWJ27" s="3"/>
      <c r="EWK27" s="3"/>
      <c r="EWL27" s="3"/>
      <c r="EWM27" s="3"/>
      <c r="EWN27" s="3"/>
      <c r="EWO27" s="3"/>
      <c r="EWP27" s="3"/>
      <c r="EWQ27" s="3"/>
      <c r="EWR27" s="3"/>
      <c r="EWS27" s="3"/>
      <c r="EWT27" s="3"/>
      <c r="EWU27" s="3"/>
      <c r="EWV27" s="3"/>
      <c r="EWW27" s="3"/>
      <c r="EWX27" s="3"/>
      <c r="EWY27" s="3"/>
      <c r="EWZ27" s="3"/>
      <c r="EXA27" s="3"/>
      <c r="EXB27" s="3"/>
      <c r="EXC27" s="3"/>
      <c r="EXD27" s="3"/>
      <c r="EXE27" s="3"/>
      <c r="EXF27" s="3"/>
      <c r="EXG27" s="3"/>
      <c r="EXH27" s="3"/>
      <c r="EXI27" s="3"/>
      <c r="EXJ27" s="3"/>
      <c r="EXK27" s="3"/>
      <c r="EXL27" s="3"/>
      <c r="EXM27" s="3"/>
      <c r="EXN27" s="3"/>
      <c r="EXO27" s="3"/>
      <c r="EXP27" s="3"/>
      <c r="EXQ27" s="3"/>
      <c r="EXR27" s="3"/>
      <c r="EXS27" s="3"/>
      <c r="EXT27" s="3"/>
      <c r="EXU27" s="3"/>
      <c r="EXV27" s="3"/>
      <c r="EXW27" s="3"/>
      <c r="EXX27" s="3"/>
      <c r="EXY27" s="3"/>
      <c r="EXZ27" s="3"/>
      <c r="EYA27" s="3"/>
      <c r="EYB27" s="3"/>
      <c r="EYC27" s="3"/>
      <c r="EYD27" s="3"/>
      <c r="EYE27" s="3"/>
      <c r="EYF27" s="3"/>
      <c r="EYG27" s="3"/>
      <c r="EYH27" s="3"/>
      <c r="EYI27" s="3"/>
      <c r="EYJ27" s="3"/>
      <c r="EYK27" s="3"/>
      <c r="EYL27" s="3"/>
      <c r="EYM27" s="3"/>
      <c r="EYN27" s="3"/>
      <c r="EYO27" s="3"/>
      <c r="EYP27" s="3"/>
      <c r="EYQ27" s="3"/>
      <c r="EYR27" s="3"/>
      <c r="EYS27" s="3"/>
      <c r="EYT27" s="3"/>
      <c r="EYU27" s="3"/>
      <c r="EYV27" s="3"/>
      <c r="EYW27" s="3"/>
      <c r="EYX27" s="3"/>
      <c r="EYY27" s="3"/>
      <c r="EYZ27" s="3"/>
      <c r="EZA27" s="3"/>
      <c r="EZB27" s="3"/>
      <c r="EZC27" s="3"/>
      <c r="EZD27" s="3"/>
      <c r="EZE27" s="3"/>
      <c r="EZF27" s="3"/>
      <c r="EZG27" s="3"/>
      <c r="EZH27" s="3"/>
      <c r="EZI27" s="3"/>
      <c r="EZJ27" s="3"/>
      <c r="EZK27" s="3"/>
      <c r="EZL27" s="3"/>
      <c r="EZM27" s="3"/>
      <c r="EZN27" s="3"/>
      <c r="EZO27" s="3"/>
      <c r="EZP27" s="3"/>
      <c r="EZQ27" s="3"/>
      <c r="EZR27" s="3"/>
      <c r="EZS27" s="3"/>
      <c r="EZT27" s="3"/>
      <c r="EZU27" s="3"/>
      <c r="EZV27" s="3"/>
      <c r="EZW27" s="3"/>
      <c r="EZX27" s="3"/>
      <c r="EZY27" s="3"/>
      <c r="EZZ27" s="3"/>
      <c r="FAA27" s="3"/>
      <c r="FAB27" s="3"/>
      <c r="FAC27" s="3"/>
      <c r="FAD27" s="3"/>
      <c r="FAE27" s="3"/>
      <c r="FAF27" s="3"/>
      <c r="FAG27" s="3"/>
      <c r="FAH27" s="3"/>
      <c r="FAI27" s="3"/>
      <c r="FAJ27" s="3"/>
      <c r="FAK27" s="3"/>
      <c r="FAL27" s="3"/>
      <c r="FAM27" s="3"/>
      <c r="FAN27" s="3"/>
      <c r="FAO27" s="3"/>
      <c r="FAP27" s="3"/>
      <c r="FAQ27" s="3"/>
      <c r="FAR27" s="3"/>
      <c r="FAS27" s="3"/>
      <c r="FAT27" s="3"/>
      <c r="FAU27" s="3"/>
      <c r="FAV27" s="3"/>
      <c r="FAW27" s="3"/>
      <c r="FAX27" s="3"/>
      <c r="FAY27" s="3"/>
      <c r="FAZ27" s="3"/>
      <c r="FBA27" s="3"/>
      <c r="FBB27" s="3"/>
      <c r="FBC27" s="3"/>
      <c r="FBD27" s="3"/>
      <c r="FBE27" s="3"/>
      <c r="FBF27" s="3"/>
      <c r="FBG27" s="3"/>
      <c r="FBH27" s="3"/>
      <c r="FBI27" s="3"/>
      <c r="FBJ27" s="3"/>
      <c r="FBK27" s="3"/>
      <c r="FBL27" s="3"/>
      <c r="FBM27" s="3"/>
      <c r="FBN27" s="3"/>
      <c r="FBO27" s="3"/>
      <c r="FBP27" s="3"/>
      <c r="FBQ27" s="3"/>
      <c r="FBR27" s="3"/>
      <c r="FBS27" s="3"/>
      <c r="FBT27" s="3"/>
      <c r="FBU27" s="3"/>
      <c r="FBV27" s="3"/>
      <c r="FBW27" s="3"/>
      <c r="FBX27" s="3"/>
      <c r="FBY27" s="3"/>
      <c r="FBZ27" s="3"/>
      <c r="FCA27" s="3"/>
      <c r="FCB27" s="3"/>
      <c r="FCC27" s="3"/>
      <c r="FCD27" s="3"/>
      <c r="FCE27" s="3"/>
      <c r="FCF27" s="3"/>
      <c r="FCG27" s="3"/>
      <c r="FCH27" s="3"/>
      <c r="FCI27" s="3"/>
      <c r="FCJ27" s="3"/>
      <c r="FCK27" s="3"/>
      <c r="FCL27" s="3"/>
      <c r="FCM27" s="3"/>
      <c r="FCN27" s="3"/>
      <c r="FCO27" s="3"/>
      <c r="FCP27" s="3"/>
      <c r="FCQ27" s="3"/>
      <c r="FCR27" s="3"/>
      <c r="FCS27" s="3"/>
      <c r="FCT27" s="3"/>
      <c r="FCU27" s="3"/>
      <c r="FCV27" s="3"/>
      <c r="FCW27" s="3"/>
      <c r="FCX27" s="3"/>
      <c r="FCY27" s="3"/>
      <c r="FCZ27" s="3"/>
      <c r="FDA27" s="3"/>
      <c r="FDB27" s="3"/>
      <c r="FDC27" s="3"/>
      <c r="FDD27" s="3"/>
      <c r="FDE27" s="3"/>
      <c r="FDF27" s="3"/>
      <c r="FDG27" s="3"/>
      <c r="FDH27" s="3"/>
      <c r="FDI27" s="3"/>
      <c r="FDJ27" s="3"/>
      <c r="FDK27" s="3"/>
      <c r="FDL27" s="3"/>
      <c r="FDM27" s="3"/>
      <c r="FDN27" s="3"/>
      <c r="FDO27" s="3"/>
      <c r="FDP27" s="3"/>
      <c r="FDQ27" s="3"/>
      <c r="FDR27" s="3"/>
      <c r="FDS27" s="3"/>
      <c r="FDT27" s="3"/>
      <c r="FDU27" s="3"/>
      <c r="FDV27" s="3"/>
      <c r="FDW27" s="3"/>
      <c r="FDX27" s="3"/>
      <c r="FDY27" s="3"/>
      <c r="FDZ27" s="3"/>
      <c r="FEA27" s="3"/>
      <c r="FEB27" s="3"/>
      <c r="FEC27" s="3"/>
      <c r="FED27" s="3"/>
      <c r="FEE27" s="3"/>
      <c r="FEF27" s="3"/>
      <c r="FEG27" s="3"/>
      <c r="FEH27" s="3"/>
      <c r="FEI27" s="3"/>
      <c r="FEJ27" s="3"/>
      <c r="FEK27" s="3"/>
      <c r="FEL27" s="3"/>
      <c r="FEM27" s="3"/>
      <c r="FEN27" s="3"/>
      <c r="FEO27" s="3"/>
      <c r="FEP27" s="3"/>
      <c r="FEQ27" s="3"/>
      <c r="FER27" s="3"/>
      <c r="FES27" s="3"/>
      <c r="FET27" s="3"/>
      <c r="FEU27" s="3"/>
      <c r="FEV27" s="3"/>
      <c r="FEW27" s="3"/>
      <c r="FEX27" s="3"/>
      <c r="FEY27" s="3"/>
      <c r="FEZ27" s="3"/>
      <c r="FFA27" s="3"/>
      <c r="FFB27" s="3"/>
      <c r="FFC27" s="3"/>
      <c r="FFD27" s="3"/>
      <c r="FFE27" s="3"/>
      <c r="FFF27" s="3"/>
      <c r="FFG27" s="3"/>
      <c r="FFH27" s="3"/>
      <c r="FFI27" s="3"/>
      <c r="FFJ27" s="3"/>
      <c r="FFK27" s="3"/>
      <c r="FFL27" s="3"/>
      <c r="FFM27" s="3"/>
      <c r="FFN27" s="3"/>
      <c r="FFO27" s="3"/>
      <c r="FFP27" s="3"/>
      <c r="FFQ27" s="3"/>
      <c r="FFR27" s="3"/>
      <c r="FFS27" s="3"/>
      <c r="FFT27" s="3"/>
      <c r="FFU27" s="3"/>
      <c r="FFV27" s="3"/>
      <c r="FFW27" s="3"/>
      <c r="FFX27" s="3"/>
      <c r="FFY27" s="3"/>
      <c r="FFZ27" s="3"/>
      <c r="FGA27" s="3"/>
      <c r="FGB27" s="3"/>
      <c r="FGC27" s="3"/>
      <c r="FGD27" s="3"/>
      <c r="FGE27" s="3"/>
      <c r="FGF27" s="3"/>
      <c r="FGG27" s="3"/>
      <c r="FGH27" s="3"/>
      <c r="FGI27" s="3"/>
      <c r="FGJ27" s="3"/>
      <c r="FGK27" s="3"/>
      <c r="FGL27" s="3"/>
      <c r="FGM27" s="3"/>
      <c r="FGN27" s="3"/>
      <c r="FGO27" s="3"/>
      <c r="FGP27" s="3"/>
      <c r="FGQ27" s="3"/>
      <c r="FGR27" s="3"/>
      <c r="FGS27" s="3"/>
      <c r="FGT27" s="3"/>
      <c r="FGU27" s="3"/>
      <c r="FGV27" s="3"/>
      <c r="FGW27" s="3"/>
      <c r="FGX27" s="3"/>
      <c r="FGY27" s="3"/>
      <c r="FGZ27" s="3"/>
      <c r="FHA27" s="3"/>
      <c r="FHB27" s="3"/>
      <c r="FHC27" s="3"/>
      <c r="FHD27" s="3"/>
      <c r="FHE27" s="3"/>
      <c r="FHF27" s="3"/>
      <c r="FHG27" s="3"/>
      <c r="FHH27" s="3"/>
      <c r="FHI27" s="3"/>
      <c r="FHJ27" s="3"/>
      <c r="FHK27" s="3"/>
      <c r="FHL27" s="3"/>
      <c r="FHM27" s="3"/>
      <c r="FHN27" s="3"/>
      <c r="FHO27" s="3"/>
      <c r="FHP27" s="3"/>
      <c r="FHQ27" s="3"/>
      <c r="FHR27" s="3"/>
      <c r="FHS27" s="3"/>
      <c r="FHT27" s="3"/>
      <c r="FHU27" s="3"/>
      <c r="FHV27" s="3"/>
      <c r="FHW27" s="3"/>
      <c r="FHX27" s="3"/>
      <c r="FHY27" s="3"/>
      <c r="FHZ27" s="3"/>
      <c r="FIA27" s="3"/>
      <c r="FIB27" s="3"/>
      <c r="FIC27" s="3"/>
      <c r="FID27" s="3"/>
      <c r="FIE27" s="3"/>
      <c r="FIF27" s="3"/>
      <c r="FIG27" s="3"/>
      <c r="FIH27" s="3"/>
      <c r="FII27" s="3"/>
      <c r="FIJ27" s="3"/>
      <c r="FIK27" s="3"/>
      <c r="FIL27" s="3"/>
      <c r="FIM27" s="3"/>
      <c r="FIN27" s="3"/>
      <c r="FIO27" s="3"/>
      <c r="FIP27" s="3"/>
      <c r="FIQ27" s="3"/>
      <c r="FIR27" s="3"/>
      <c r="FIS27" s="3"/>
      <c r="FIT27" s="3"/>
      <c r="FIU27" s="3"/>
      <c r="FIV27" s="3"/>
      <c r="FIW27" s="3"/>
      <c r="FIX27" s="3"/>
      <c r="FIY27" s="3"/>
      <c r="FIZ27" s="3"/>
      <c r="FJA27" s="3"/>
      <c r="FJB27" s="3"/>
      <c r="FJC27" s="3"/>
      <c r="FJD27" s="3"/>
      <c r="FJE27" s="3"/>
      <c r="FJF27" s="3"/>
      <c r="FJG27" s="3"/>
      <c r="FJH27" s="3"/>
      <c r="FJI27" s="3"/>
      <c r="FJJ27" s="3"/>
      <c r="FJK27" s="3"/>
      <c r="FJL27" s="3"/>
      <c r="FJM27" s="3"/>
      <c r="FJN27" s="3"/>
      <c r="FJO27" s="3"/>
      <c r="FJP27" s="3"/>
      <c r="FJQ27" s="3"/>
      <c r="FJR27" s="3"/>
      <c r="FJS27" s="3"/>
      <c r="FJT27" s="3"/>
      <c r="FJU27" s="3"/>
      <c r="FJV27" s="3"/>
      <c r="FJW27" s="3"/>
      <c r="FJX27" s="3"/>
      <c r="FJY27" s="3"/>
      <c r="FJZ27" s="3"/>
      <c r="FKA27" s="3"/>
      <c r="FKB27" s="3"/>
      <c r="FKC27" s="3"/>
      <c r="FKD27" s="3"/>
      <c r="FKE27" s="3"/>
      <c r="FKF27" s="3"/>
      <c r="FKG27" s="3"/>
      <c r="FKH27" s="3"/>
      <c r="FKI27" s="3"/>
      <c r="FKJ27" s="3"/>
      <c r="FKK27" s="3"/>
      <c r="FKL27" s="3"/>
      <c r="FKM27" s="3"/>
      <c r="FKN27" s="3"/>
      <c r="FKO27" s="3"/>
      <c r="FKP27" s="3"/>
      <c r="FKQ27" s="3"/>
      <c r="FKR27" s="3"/>
      <c r="FKS27" s="3"/>
      <c r="FKT27" s="3"/>
      <c r="FKU27" s="3"/>
      <c r="FKV27" s="3"/>
      <c r="FKW27" s="3"/>
      <c r="FKX27" s="3"/>
      <c r="FKY27" s="3"/>
      <c r="FKZ27" s="3"/>
      <c r="FLA27" s="3"/>
      <c r="FLB27" s="3"/>
      <c r="FLC27" s="3"/>
      <c r="FLD27" s="3"/>
      <c r="FLE27" s="3"/>
      <c r="FLF27" s="3"/>
      <c r="FLG27" s="3"/>
      <c r="FLH27" s="3"/>
      <c r="FLI27" s="3"/>
      <c r="FLJ27" s="3"/>
      <c r="FLK27" s="3"/>
      <c r="FLL27" s="3"/>
      <c r="FLM27" s="3"/>
      <c r="FLN27" s="3"/>
      <c r="FLO27" s="3"/>
      <c r="FLP27" s="3"/>
      <c r="FLQ27" s="3"/>
      <c r="FLR27" s="3"/>
      <c r="FLS27" s="3"/>
      <c r="FLT27" s="3"/>
      <c r="FLU27" s="3"/>
      <c r="FLV27" s="3"/>
      <c r="FLW27" s="3"/>
      <c r="FLX27" s="3"/>
      <c r="FLY27" s="3"/>
      <c r="FLZ27" s="3"/>
      <c r="FMA27" s="3"/>
      <c r="FMB27" s="3"/>
      <c r="FMC27" s="3"/>
      <c r="FMD27" s="3"/>
      <c r="FME27" s="3"/>
      <c r="FMF27" s="3"/>
      <c r="FMG27" s="3"/>
      <c r="FMH27" s="3"/>
      <c r="FMI27" s="3"/>
      <c r="FMJ27" s="3"/>
      <c r="FMK27" s="3"/>
      <c r="FML27" s="3"/>
      <c r="FMM27" s="3"/>
      <c r="FMN27" s="3"/>
      <c r="FMO27" s="3"/>
      <c r="FMP27" s="3"/>
      <c r="FMQ27" s="3"/>
      <c r="FMR27" s="3"/>
      <c r="FMS27" s="3"/>
      <c r="FMT27" s="3"/>
      <c r="FMU27" s="3"/>
      <c r="FMV27" s="3"/>
      <c r="FMW27" s="3"/>
      <c r="FMX27" s="3"/>
      <c r="FMY27" s="3"/>
      <c r="FMZ27" s="3"/>
      <c r="FNA27" s="3"/>
      <c r="FNB27" s="3"/>
      <c r="FNC27" s="3"/>
      <c r="FND27" s="3"/>
      <c r="FNE27" s="3"/>
      <c r="FNF27" s="3"/>
      <c r="FNG27" s="3"/>
      <c r="FNH27" s="3"/>
      <c r="FNI27" s="3"/>
      <c r="FNJ27" s="3"/>
      <c r="FNK27" s="3"/>
      <c r="FNL27" s="3"/>
      <c r="FNM27" s="3"/>
      <c r="FNN27" s="3"/>
      <c r="FNO27" s="3"/>
      <c r="FNP27" s="3"/>
      <c r="FNQ27" s="3"/>
      <c r="FNR27" s="3"/>
      <c r="FNS27" s="3"/>
      <c r="FNT27" s="3"/>
      <c r="FNU27" s="3"/>
      <c r="FNV27" s="3"/>
      <c r="FNW27" s="3"/>
      <c r="FNX27" s="3"/>
      <c r="FNY27" s="3"/>
      <c r="FNZ27" s="3"/>
      <c r="FOA27" s="3"/>
      <c r="FOB27" s="3"/>
      <c r="FOC27" s="3"/>
      <c r="FOD27" s="3"/>
      <c r="FOE27" s="3"/>
      <c r="FOF27" s="3"/>
      <c r="FOG27" s="3"/>
      <c r="FOH27" s="3"/>
      <c r="FOI27" s="3"/>
      <c r="FOJ27" s="3"/>
      <c r="FOK27" s="3"/>
      <c r="FOL27" s="3"/>
      <c r="FOM27" s="3"/>
      <c r="FON27" s="3"/>
      <c r="FOO27" s="3"/>
      <c r="FOP27" s="3"/>
      <c r="FOQ27" s="3"/>
      <c r="FOR27" s="3"/>
      <c r="FOS27" s="3"/>
      <c r="FOT27" s="3"/>
      <c r="FOU27" s="3"/>
      <c r="FOV27" s="3"/>
      <c r="FOW27" s="3"/>
      <c r="FOX27" s="3"/>
      <c r="FOY27" s="3"/>
      <c r="FOZ27" s="3"/>
      <c r="FPA27" s="3"/>
      <c r="FPB27" s="3"/>
      <c r="FPC27" s="3"/>
      <c r="FPD27" s="3"/>
      <c r="FPE27" s="3"/>
      <c r="FPF27" s="3"/>
      <c r="FPG27" s="3"/>
      <c r="FPH27" s="3"/>
      <c r="FPI27" s="3"/>
      <c r="FPJ27" s="3"/>
      <c r="FPK27" s="3"/>
      <c r="FPL27" s="3"/>
      <c r="FPM27" s="3"/>
      <c r="FPN27" s="3"/>
      <c r="FPO27" s="3"/>
      <c r="FPP27" s="3"/>
      <c r="FPQ27" s="3"/>
      <c r="FPR27" s="3"/>
      <c r="FPS27" s="3"/>
      <c r="FPT27" s="3"/>
      <c r="FPU27" s="3"/>
      <c r="FPV27" s="3"/>
      <c r="FPW27" s="3"/>
      <c r="FPX27" s="3"/>
      <c r="FPY27" s="3"/>
      <c r="FPZ27" s="3"/>
      <c r="FQA27" s="3"/>
      <c r="FQB27" s="3"/>
      <c r="FQC27" s="3"/>
      <c r="FQD27" s="3"/>
      <c r="FQE27" s="3"/>
      <c r="FQF27" s="3"/>
      <c r="FQG27" s="3"/>
      <c r="FQH27" s="3"/>
      <c r="FQI27" s="3"/>
      <c r="FQJ27" s="3"/>
      <c r="FQK27" s="3"/>
      <c r="FQL27" s="3"/>
      <c r="FQM27" s="3"/>
      <c r="FQN27" s="3"/>
      <c r="FQO27" s="3"/>
      <c r="FQP27" s="3"/>
      <c r="FQQ27" s="3"/>
      <c r="FQR27" s="3"/>
      <c r="FQS27" s="3"/>
      <c r="FQT27" s="3"/>
      <c r="FQU27" s="3"/>
      <c r="FQV27" s="3"/>
      <c r="FQW27" s="3"/>
      <c r="FQX27" s="3"/>
      <c r="FQY27" s="3"/>
      <c r="FQZ27" s="3"/>
      <c r="FRA27" s="3"/>
      <c r="FRB27" s="3"/>
      <c r="FRC27" s="3"/>
      <c r="FRD27" s="3"/>
      <c r="FRE27" s="3"/>
      <c r="FRF27" s="3"/>
      <c r="FRG27" s="3"/>
      <c r="FRH27" s="3"/>
      <c r="FRI27" s="3"/>
      <c r="FRJ27" s="3"/>
      <c r="FRK27" s="3"/>
      <c r="FRL27" s="3"/>
      <c r="FRM27" s="3"/>
      <c r="FRN27" s="3"/>
      <c r="FRO27" s="3"/>
      <c r="FRP27" s="3"/>
      <c r="FRQ27" s="3"/>
      <c r="FRR27" s="3"/>
      <c r="FRS27" s="3"/>
      <c r="FRT27" s="3"/>
      <c r="FRU27" s="3"/>
      <c r="FRV27" s="3"/>
      <c r="FRW27" s="3"/>
      <c r="FRX27" s="3"/>
      <c r="FRY27" s="3"/>
      <c r="FRZ27" s="3"/>
      <c r="FSA27" s="3"/>
      <c r="FSB27" s="3"/>
      <c r="FSC27" s="3"/>
      <c r="FSD27" s="3"/>
      <c r="FSE27" s="3"/>
      <c r="FSF27" s="3"/>
      <c r="FSG27" s="3"/>
      <c r="FSH27" s="3"/>
      <c r="FSI27" s="3"/>
      <c r="FSJ27" s="3"/>
      <c r="FSK27" s="3"/>
      <c r="FSL27" s="3"/>
      <c r="FSM27" s="3"/>
      <c r="FSN27" s="3"/>
      <c r="FSO27" s="3"/>
      <c r="FSP27" s="3"/>
      <c r="FSQ27" s="3"/>
      <c r="FSR27" s="3"/>
      <c r="FSS27" s="3"/>
      <c r="FST27" s="3"/>
      <c r="FSU27" s="3"/>
      <c r="FSV27" s="3"/>
      <c r="FSW27" s="3"/>
      <c r="FSX27" s="3"/>
      <c r="FSY27" s="3"/>
      <c r="FSZ27" s="3"/>
      <c r="FTA27" s="3"/>
      <c r="FTB27" s="3"/>
      <c r="FTC27" s="3"/>
      <c r="FTD27" s="3"/>
      <c r="FTE27" s="3"/>
      <c r="FTF27" s="3"/>
      <c r="FTG27" s="3"/>
      <c r="FTH27" s="3"/>
      <c r="FTI27" s="3"/>
      <c r="FTJ27" s="3"/>
      <c r="FTK27" s="3"/>
      <c r="FTL27" s="3"/>
      <c r="FTM27" s="3"/>
      <c r="FTN27" s="3"/>
      <c r="FTO27" s="3"/>
      <c r="FTP27" s="3"/>
      <c r="FTQ27" s="3"/>
      <c r="FTR27" s="3"/>
      <c r="FTS27" s="3"/>
      <c r="FTT27" s="3"/>
      <c r="FTU27" s="3"/>
      <c r="FTV27" s="3"/>
      <c r="FTW27" s="3"/>
      <c r="FTX27" s="3"/>
      <c r="FTY27" s="3"/>
      <c r="FTZ27" s="3"/>
      <c r="FUA27" s="3"/>
      <c r="FUB27" s="3"/>
      <c r="FUC27" s="3"/>
      <c r="FUD27" s="3"/>
      <c r="FUE27" s="3"/>
      <c r="FUF27" s="3"/>
      <c r="FUG27" s="3"/>
      <c r="FUH27" s="3"/>
      <c r="FUI27" s="3"/>
      <c r="FUJ27" s="3"/>
      <c r="FUK27" s="3"/>
      <c r="FUL27" s="3"/>
      <c r="FUM27" s="3"/>
      <c r="FUN27" s="3"/>
      <c r="FUO27" s="3"/>
      <c r="FUP27" s="3"/>
      <c r="FUQ27" s="3"/>
      <c r="FUR27" s="3"/>
      <c r="FUS27" s="3"/>
      <c r="FUT27" s="3"/>
      <c r="FUU27" s="3"/>
      <c r="FUV27" s="3"/>
      <c r="FUW27" s="3"/>
      <c r="FUX27" s="3"/>
      <c r="FUY27" s="3"/>
      <c r="FUZ27" s="3"/>
      <c r="FVA27" s="3"/>
      <c r="FVB27" s="3"/>
      <c r="FVC27" s="3"/>
      <c r="FVD27" s="3"/>
      <c r="FVE27" s="3"/>
      <c r="FVF27" s="3"/>
      <c r="FVG27" s="3"/>
      <c r="FVH27" s="3"/>
      <c r="FVI27" s="3"/>
      <c r="FVJ27" s="3"/>
      <c r="FVK27" s="3"/>
      <c r="FVL27" s="3"/>
      <c r="FVM27" s="3"/>
      <c r="FVN27" s="3"/>
      <c r="FVO27" s="3"/>
      <c r="FVP27" s="3"/>
      <c r="FVQ27" s="3"/>
      <c r="FVR27" s="3"/>
      <c r="FVS27" s="3"/>
      <c r="FVT27" s="3"/>
      <c r="FVU27" s="3"/>
      <c r="FVV27" s="3"/>
      <c r="FVW27" s="3"/>
      <c r="FVX27" s="3"/>
      <c r="FVY27" s="3"/>
      <c r="FVZ27" s="3"/>
      <c r="FWA27" s="3"/>
      <c r="FWB27" s="3"/>
      <c r="FWC27" s="3"/>
      <c r="FWD27" s="3"/>
      <c r="FWE27" s="3"/>
      <c r="FWF27" s="3"/>
      <c r="FWG27" s="3"/>
      <c r="FWH27" s="3"/>
      <c r="FWI27" s="3"/>
      <c r="FWJ27" s="3"/>
      <c r="FWK27" s="3"/>
      <c r="FWL27" s="3"/>
      <c r="FWM27" s="3"/>
      <c r="FWN27" s="3"/>
      <c r="FWO27" s="3"/>
      <c r="FWP27" s="3"/>
      <c r="FWQ27" s="3"/>
      <c r="FWR27" s="3"/>
      <c r="FWS27" s="3"/>
      <c r="FWT27" s="3"/>
      <c r="FWU27" s="3"/>
      <c r="FWV27" s="3"/>
      <c r="FWW27" s="3"/>
      <c r="FWX27" s="3"/>
      <c r="FWY27" s="3"/>
      <c r="FWZ27" s="3"/>
      <c r="FXA27" s="3"/>
      <c r="FXB27" s="3"/>
      <c r="FXC27" s="3"/>
      <c r="FXD27" s="3"/>
      <c r="FXE27" s="3"/>
      <c r="FXF27" s="3"/>
      <c r="FXG27" s="3"/>
      <c r="FXH27" s="3"/>
      <c r="FXI27" s="3"/>
      <c r="FXJ27" s="3"/>
      <c r="FXK27" s="3"/>
      <c r="FXL27" s="3"/>
      <c r="FXM27" s="3"/>
      <c r="FXN27" s="3"/>
      <c r="FXO27" s="3"/>
      <c r="FXP27" s="3"/>
      <c r="FXQ27" s="3"/>
      <c r="FXR27" s="3"/>
      <c r="FXS27" s="3"/>
      <c r="FXT27" s="3"/>
      <c r="FXU27" s="3"/>
      <c r="FXV27" s="3"/>
      <c r="FXW27" s="3"/>
      <c r="FXX27" s="3"/>
      <c r="FXY27" s="3"/>
      <c r="FXZ27" s="3"/>
      <c r="FYA27" s="3"/>
      <c r="FYB27" s="3"/>
      <c r="FYC27" s="3"/>
      <c r="FYD27" s="3"/>
      <c r="FYE27" s="3"/>
      <c r="FYF27" s="3"/>
      <c r="FYG27" s="3"/>
      <c r="FYH27" s="3"/>
      <c r="FYI27" s="3"/>
      <c r="FYJ27" s="3"/>
      <c r="FYK27" s="3"/>
      <c r="FYL27" s="3"/>
      <c r="FYM27" s="3"/>
      <c r="FYN27" s="3"/>
      <c r="FYO27" s="3"/>
      <c r="FYP27" s="3"/>
      <c r="FYQ27" s="3"/>
      <c r="FYR27" s="3"/>
      <c r="FYS27" s="3"/>
      <c r="FYT27" s="3"/>
      <c r="FYU27" s="3"/>
      <c r="FYV27" s="3"/>
      <c r="FYW27" s="3"/>
      <c r="FYX27" s="3"/>
      <c r="FYY27" s="3"/>
      <c r="FYZ27" s="3"/>
      <c r="FZA27" s="3"/>
      <c r="FZB27" s="3"/>
      <c r="FZC27" s="3"/>
      <c r="FZD27" s="3"/>
      <c r="FZE27" s="3"/>
      <c r="FZF27" s="3"/>
      <c r="FZG27" s="3"/>
      <c r="FZH27" s="3"/>
      <c r="FZI27" s="3"/>
      <c r="FZJ27" s="3"/>
      <c r="FZK27" s="3"/>
      <c r="FZL27" s="3"/>
      <c r="FZM27" s="3"/>
      <c r="FZN27" s="3"/>
      <c r="FZO27" s="3"/>
      <c r="FZP27" s="3"/>
      <c r="FZQ27" s="3"/>
      <c r="FZR27" s="3"/>
      <c r="FZS27" s="3"/>
      <c r="FZT27" s="3"/>
      <c r="FZU27" s="3"/>
      <c r="FZV27" s="3"/>
      <c r="FZW27" s="3"/>
      <c r="FZX27" s="3"/>
      <c r="FZY27" s="3"/>
      <c r="FZZ27" s="3"/>
      <c r="GAA27" s="3"/>
      <c r="GAB27" s="3"/>
      <c r="GAC27" s="3"/>
      <c r="GAD27" s="3"/>
      <c r="GAE27" s="3"/>
      <c r="GAF27" s="3"/>
      <c r="GAG27" s="3"/>
      <c r="GAH27" s="3"/>
      <c r="GAI27" s="3"/>
      <c r="GAJ27" s="3"/>
      <c r="GAK27" s="3"/>
      <c r="GAL27" s="3"/>
      <c r="GAM27" s="3"/>
      <c r="GAN27" s="3"/>
      <c r="GAO27" s="3"/>
      <c r="GAP27" s="3"/>
      <c r="GAQ27" s="3"/>
      <c r="GAR27" s="3"/>
      <c r="GAS27" s="3"/>
      <c r="GAT27" s="3"/>
      <c r="GAU27" s="3"/>
      <c r="GAV27" s="3"/>
      <c r="GAW27" s="3"/>
      <c r="GAX27" s="3"/>
      <c r="GAY27" s="3"/>
      <c r="GAZ27" s="3"/>
      <c r="GBA27" s="3"/>
      <c r="GBB27" s="3"/>
      <c r="GBC27" s="3"/>
      <c r="GBD27" s="3"/>
      <c r="GBE27" s="3"/>
      <c r="GBF27" s="3"/>
      <c r="GBG27" s="3"/>
      <c r="GBH27" s="3"/>
      <c r="GBI27" s="3"/>
      <c r="GBJ27" s="3"/>
      <c r="GBK27" s="3"/>
      <c r="GBL27" s="3"/>
      <c r="GBM27" s="3"/>
      <c r="GBN27" s="3"/>
      <c r="GBO27" s="3"/>
      <c r="GBP27" s="3"/>
      <c r="GBQ27" s="3"/>
      <c r="GBR27" s="3"/>
      <c r="GBS27" s="3"/>
      <c r="GBT27" s="3"/>
      <c r="GBU27" s="3"/>
      <c r="GBV27" s="3"/>
      <c r="GBW27" s="3"/>
      <c r="GBX27" s="3"/>
      <c r="GBY27" s="3"/>
      <c r="GBZ27" s="3"/>
      <c r="GCA27" s="3"/>
      <c r="GCB27" s="3"/>
      <c r="GCC27" s="3"/>
      <c r="GCD27" s="3"/>
      <c r="GCE27" s="3"/>
      <c r="GCF27" s="3"/>
      <c r="GCG27" s="3"/>
      <c r="GCH27" s="3"/>
      <c r="GCI27" s="3"/>
      <c r="GCJ27" s="3"/>
      <c r="GCK27" s="3"/>
      <c r="GCL27" s="3"/>
      <c r="GCM27" s="3"/>
      <c r="GCN27" s="3"/>
      <c r="GCO27" s="3"/>
      <c r="GCP27" s="3"/>
      <c r="GCQ27" s="3"/>
      <c r="GCR27" s="3"/>
      <c r="GCS27" s="3"/>
      <c r="GCT27" s="3"/>
      <c r="GCU27" s="3"/>
      <c r="GCV27" s="3"/>
      <c r="GCW27" s="3"/>
      <c r="GCX27" s="3"/>
      <c r="GCY27" s="3"/>
      <c r="GCZ27" s="3"/>
      <c r="GDA27" s="3"/>
      <c r="GDB27" s="3"/>
      <c r="GDC27" s="3"/>
      <c r="GDD27" s="3"/>
      <c r="GDE27" s="3"/>
      <c r="GDF27" s="3"/>
      <c r="GDG27" s="3"/>
      <c r="GDH27" s="3"/>
      <c r="GDI27" s="3"/>
      <c r="GDJ27" s="3"/>
      <c r="GDK27" s="3"/>
      <c r="GDL27" s="3"/>
      <c r="GDM27" s="3"/>
      <c r="GDN27" s="3"/>
      <c r="GDO27" s="3"/>
      <c r="GDP27" s="3"/>
      <c r="GDQ27" s="3"/>
      <c r="GDR27" s="3"/>
      <c r="GDS27" s="3"/>
      <c r="GDT27" s="3"/>
      <c r="GDU27" s="3"/>
      <c r="GDV27" s="3"/>
      <c r="GDW27" s="3"/>
      <c r="GDX27" s="3"/>
      <c r="GDY27" s="3"/>
      <c r="GDZ27" s="3"/>
      <c r="GEA27" s="3"/>
      <c r="GEB27" s="3"/>
      <c r="GEC27" s="3"/>
      <c r="GED27" s="3"/>
      <c r="GEE27" s="3"/>
      <c r="GEF27" s="3"/>
      <c r="GEG27" s="3"/>
      <c r="GEH27" s="3"/>
      <c r="GEI27" s="3"/>
      <c r="GEJ27" s="3"/>
      <c r="GEK27" s="3"/>
      <c r="GEL27" s="3"/>
      <c r="GEM27" s="3"/>
      <c r="GEN27" s="3"/>
      <c r="GEO27" s="3"/>
      <c r="GEP27" s="3"/>
      <c r="GEQ27" s="3"/>
      <c r="GER27" s="3"/>
      <c r="GES27" s="3"/>
      <c r="GET27" s="3"/>
      <c r="GEU27" s="3"/>
      <c r="GEV27" s="3"/>
      <c r="GEW27" s="3"/>
      <c r="GEX27" s="3"/>
      <c r="GEY27" s="3"/>
      <c r="GEZ27" s="3"/>
      <c r="GFA27" s="3"/>
      <c r="GFB27" s="3"/>
      <c r="GFC27" s="3"/>
      <c r="GFD27" s="3"/>
      <c r="GFE27" s="3"/>
      <c r="GFF27" s="3"/>
      <c r="GFG27" s="3"/>
      <c r="GFH27" s="3"/>
      <c r="GFI27" s="3"/>
      <c r="GFJ27" s="3"/>
      <c r="GFK27" s="3"/>
      <c r="GFL27" s="3"/>
      <c r="GFM27" s="3"/>
      <c r="GFN27" s="3"/>
      <c r="GFO27" s="3"/>
      <c r="GFP27" s="3"/>
      <c r="GFQ27" s="3"/>
      <c r="GFR27" s="3"/>
      <c r="GFS27" s="3"/>
      <c r="GFT27" s="3"/>
      <c r="GFU27" s="3"/>
      <c r="GFV27" s="3"/>
      <c r="GFW27" s="3"/>
      <c r="GFX27" s="3"/>
      <c r="GFY27" s="3"/>
      <c r="GFZ27" s="3"/>
      <c r="GGA27" s="3"/>
      <c r="GGB27" s="3"/>
      <c r="GGC27" s="3"/>
      <c r="GGD27" s="3"/>
      <c r="GGE27" s="3"/>
      <c r="GGF27" s="3"/>
      <c r="GGG27" s="3"/>
      <c r="GGH27" s="3"/>
      <c r="GGI27" s="3"/>
      <c r="GGJ27" s="3"/>
      <c r="GGK27" s="3"/>
      <c r="GGL27" s="3"/>
      <c r="GGM27" s="3"/>
      <c r="GGN27" s="3"/>
      <c r="GGO27" s="3"/>
      <c r="GGP27" s="3"/>
      <c r="GGQ27" s="3"/>
      <c r="GGR27" s="3"/>
      <c r="GGS27" s="3"/>
      <c r="GGT27" s="3"/>
      <c r="GGU27" s="3"/>
      <c r="GGV27" s="3"/>
      <c r="GGW27" s="3"/>
      <c r="GGX27" s="3"/>
      <c r="GGY27" s="3"/>
      <c r="GGZ27" s="3"/>
      <c r="GHA27" s="3"/>
      <c r="GHB27" s="3"/>
      <c r="GHC27" s="3"/>
      <c r="GHD27" s="3"/>
      <c r="GHE27" s="3"/>
      <c r="GHF27" s="3"/>
      <c r="GHG27" s="3"/>
      <c r="GHH27" s="3"/>
      <c r="GHI27" s="3"/>
      <c r="GHJ27" s="3"/>
      <c r="GHK27" s="3"/>
      <c r="GHL27" s="3"/>
      <c r="GHM27" s="3"/>
      <c r="GHN27" s="3"/>
      <c r="GHO27" s="3"/>
      <c r="GHP27" s="3"/>
      <c r="GHQ27" s="3"/>
      <c r="GHR27" s="3"/>
      <c r="GHS27" s="3"/>
      <c r="GHT27" s="3"/>
      <c r="GHU27" s="3"/>
      <c r="GHV27" s="3"/>
      <c r="GHW27" s="3"/>
      <c r="GHX27" s="3"/>
      <c r="GHY27" s="3"/>
      <c r="GHZ27" s="3"/>
      <c r="GIA27" s="3"/>
      <c r="GIB27" s="3"/>
      <c r="GIC27" s="3"/>
      <c r="GID27" s="3"/>
      <c r="GIE27" s="3"/>
      <c r="GIF27" s="3"/>
      <c r="GIG27" s="3"/>
      <c r="GIH27" s="3"/>
      <c r="GII27" s="3"/>
      <c r="GIJ27" s="3"/>
      <c r="GIK27" s="3"/>
      <c r="GIL27" s="3"/>
      <c r="GIM27" s="3"/>
      <c r="GIN27" s="3"/>
      <c r="GIO27" s="3"/>
      <c r="GIP27" s="3"/>
      <c r="GIQ27" s="3"/>
      <c r="GIR27" s="3"/>
      <c r="GIS27" s="3"/>
      <c r="GIT27" s="3"/>
      <c r="GIU27" s="3"/>
      <c r="GIV27" s="3"/>
      <c r="GIW27" s="3"/>
      <c r="GIX27" s="3"/>
      <c r="GIY27" s="3"/>
      <c r="GIZ27" s="3"/>
      <c r="GJA27" s="3"/>
      <c r="GJB27" s="3"/>
      <c r="GJC27" s="3"/>
      <c r="GJD27" s="3"/>
      <c r="GJE27" s="3"/>
      <c r="GJF27" s="3"/>
      <c r="GJG27" s="3"/>
      <c r="GJH27" s="3"/>
      <c r="GJI27" s="3"/>
      <c r="GJJ27" s="3"/>
      <c r="GJK27" s="3"/>
      <c r="GJL27" s="3"/>
      <c r="GJM27" s="3"/>
      <c r="GJN27" s="3"/>
      <c r="GJO27" s="3"/>
      <c r="GJP27" s="3"/>
      <c r="GJQ27" s="3"/>
      <c r="GJR27" s="3"/>
      <c r="GJS27" s="3"/>
      <c r="GJT27" s="3"/>
      <c r="GJU27" s="3"/>
      <c r="GJV27" s="3"/>
      <c r="GJW27" s="3"/>
      <c r="GJX27" s="3"/>
      <c r="GJY27" s="3"/>
      <c r="GJZ27" s="3"/>
      <c r="GKA27" s="3"/>
      <c r="GKB27" s="3"/>
      <c r="GKC27" s="3"/>
      <c r="GKD27" s="3"/>
      <c r="GKE27" s="3"/>
      <c r="GKF27" s="3"/>
      <c r="GKG27" s="3"/>
      <c r="GKH27" s="3"/>
      <c r="GKI27" s="3"/>
      <c r="GKJ27" s="3"/>
      <c r="GKK27" s="3"/>
      <c r="GKL27" s="3"/>
      <c r="GKM27" s="3"/>
      <c r="GKN27" s="3"/>
      <c r="GKO27" s="3"/>
      <c r="GKP27" s="3"/>
      <c r="GKQ27" s="3"/>
      <c r="GKR27" s="3"/>
      <c r="GKS27" s="3"/>
      <c r="GKT27" s="3"/>
      <c r="GKU27" s="3"/>
      <c r="GKV27" s="3"/>
      <c r="GKW27" s="3"/>
      <c r="GKX27" s="3"/>
      <c r="GKY27" s="3"/>
      <c r="GKZ27" s="3"/>
      <c r="GLA27" s="3"/>
      <c r="GLB27" s="3"/>
      <c r="GLC27" s="3"/>
      <c r="GLD27" s="3"/>
      <c r="GLE27" s="3"/>
      <c r="GLF27" s="3"/>
      <c r="GLG27" s="3"/>
      <c r="GLH27" s="3"/>
      <c r="GLI27" s="3"/>
      <c r="GLJ27" s="3"/>
      <c r="GLK27" s="3"/>
      <c r="GLL27" s="3"/>
      <c r="GLM27" s="3"/>
      <c r="GLN27" s="3"/>
      <c r="GLO27" s="3"/>
      <c r="GLP27" s="3"/>
      <c r="GLQ27" s="3"/>
      <c r="GLR27" s="3"/>
      <c r="GLS27" s="3"/>
      <c r="GLT27" s="3"/>
      <c r="GLU27" s="3"/>
      <c r="GLV27" s="3"/>
      <c r="GLW27" s="3"/>
      <c r="GLX27" s="3"/>
      <c r="GLY27" s="3"/>
      <c r="GLZ27" s="3"/>
      <c r="GMA27" s="3"/>
      <c r="GMB27" s="3"/>
      <c r="GMC27" s="3"/>
      <c r="GMD27" s="3"/>
      <c r="GME27" s="3"/>
      <c r="GMF27" s="3"/>
      <c r="GMG27" s="3"/>
      <c r="GMH27" s="3"/>
      <c r="GMI27" s="3"/>
      <c r="GMJ27" s="3"/>
      <c r="GMK27" s="3"/>
      <c r="GML27" s="3"/>
      <c r="GMM27" s="3"/>
      <c r="GMN27" s="3"/>
      <c r="GMO27" s="3"/>
      <c r="GMP27" s="3"/>
      <c r="GMQ27" s="3"/>
      <c r="GMR27" s="3"/>
      <c r="GMS27" s="3"/>
      <c r="GMT27" s="3"/>
      <c r="GMU27" s="3"/>
      <c r="GMV27" s="3"/>
      <c r="GMW27" s="3"/>
      <c r="GMX27" s="3"/>
      <c r="GMY27" s="3"/>
      <c r="GMZ27" s="3"/>
      <c r="GNA27" s="3"/>
      <c r="GNB27" s="3"/>
      <c r="GNC27" s="3"/>
      <c r="GND27" s="3"/>
      <c r="GNE27" s="3"/>
      <c r="GNF27" s="3"/>
      <c r="GNG27" s="3"/>
      <c r="GNH27" s="3"/>
      <c r="GNI27" s="3"/>
      <c r="GNJ27" s="3"/>
      <c r="GNK27" s="3"/>
      <c r="GNL27" s="3"/>
      <c r="GNM27" s="3"/>
      <c r="GNN27" s="3"/>
      <c r="GNO27" s="3"/>
      <c r="GNP27" s="3"/>
      <c r="GNQ27" s="3"/>
      <c r="GNR27" s="3"/>
      <c r="GNS27" s="3"/>
      <c r="GNT27" s="3"/>
      <c r="GNU27" s="3"/>
      <c r="GNV27" s="3"/>
      <c r="GNW27" s="3"/>
      <c r="GNX27" s="3"/>
      <c r="GNY27" s="3"/>
      <c r="GNZ27" s="3"/>
      <c r="GOA27" s="3"/>
      <c r="GOB27" s="3"/>
      <c r="GOC27" s="3"/>
      <c r="GOD27" s="3"/>
      <c r="GOE27" s="3"/>
      <c r="GOF27" s="3"/>
      <c r="GOG27" s="3"/>
      <c r="GOH27" s="3"/>
      <c r="GOI27" s="3"/>
      <c r="GOJ27" s="3"/>
      <c r="GOK27" s="3"/>
      <c r="GOL27" s="3"/>
      <c r="GOM27" s="3"/>
      <c r="GON27" s="3"/>
      <c r="GOO27" s="3"/>
      <c r="GOP27" s="3"/>
      <c r="GOQ27" s="3"/>
      <c r="GOR27" s="3"/>
      <c r="GOS27" s="3"/>
      <c r="GOT27" s="3"/>
      <c r="GOU27" s="3"/>
      <c r="GOV27" s="3"/>
      <c r="GOW27" s="3"/>
      <c r="GOX27" s="3"/>
      <c r="GOY27" s="3"/>
      <c r="GOZ27" s="3"/>
      <c r="GPA27" s="3"/>
      <c r="GPB27" s="3"/>
      <c r="GPC27" s="3"/>
      <c r="GPD27" s="3"/>
      <c r="GPE27" s="3"/>
      <c r="GPF27" s="3"/>
      <c r="GPG27" s="3"/>
      <c r="GPH27" s="3"/>
      <c r="GPI27" s="3"/>
      <c r="GPJ27" s="3"/>
      <c r="GPK27" s="3"/>
      <c r="GPL27" s="3"/>
      <c r="GPM27" s="3"/>
      <c r="GPN27" s="3"/>
      <c r="GPO27" s="3"/>
      <c r="GPP27" s="3"/>
      <c r="GPQ27" s="3"/>
      <c r="GPR27" s="3"/>
      <c r="GPS27" s="3"/>
      <c r="GPT27" s="3"/>
      <c r="GPU27" s="3"/>
      <c r="GPV27" s="3"/>
      <c r="GPW27" s="3"/>
      <c r="GPX27" s="3"/>
      <c r="GPY27" s="3"/>
      <c r="GPZ27" s="3"/>
      <c r="GQA27" s="3"/>
      <c r="GQB27" s="3"/>
      <c r="GQC27" s="3"/>
      <c r="GQD27" s="3"/>
      <c r="GQE27" s="3"/>
      <c r="GQF27" s="3"/>
      <c r="GQG27" s="3"/>
      <c r="GQH27" s="3"/>
      <c r="GQI27" s="3"/>
      <c r="GQJ27" s="3"/>
      <c r="GQK27" s="3"/>
      <c r="GQL27" s="3"/>
      <c r="GQM27" s="3"/>
      <c r="GQN27" s="3"/>
      <c r="GQO27" s="3"/>
      <c r="GQP27" s="3"/>
      <c r="GQQ27" s="3"/>
      <c r="GQR27" s="3"/>
      <c r="GQS27" s="3"/>
      <c r="GQT27" s="3"/>
      <c r="GQU27" s="3"/>
      <c r="GQV27" s="3"/>
      <c r="GQW27" s="3"/>
      <c r="GQX27" s="3"/>
      <c r="GQY27" s="3"/>
      <c r="GQZ27" s="3"/>
      <c r="GRA27" s="3"/>
      <c r="GRB27" s="3"/>
      <c r="GRC27" s="3"/>
      <c r="GRD27" s="3"/>
      <c r="GRE27" s="3"/>
      <c r="GRF27" s="3"/>
      <c r="GRG27" s="3"/>
      <c r="GRH27" s="3"/>
      <c r="GRI27" s="3"/>
      <c r="GRJ27" s="3"/>
      <c r="GRK27" s="3"/>
      <c r="GRL27" s="3"/>
      <c r="GRM27" s="3"/>
      <c r="GRN27" s="3"/>
      <c r="GRO27" s="3"/>
      <c r="GRP27" s="3"/>
      <c r="GRQ27" s="3"/>
      <c r="GRR27" s="3"/>
      <c r="GRS27" s="3"/>
      <c r="GRT27" s="3"/>
      <c r="GRU27" s="3"/>
      <c r="GRV27" s="3"/>
      <c r="GRW27" s="3"/>
      <c r="GRX27" s="3"/>
      <c r="GRY27" s="3"/>
      <c r="GRZ27" s="3"/>
      <c r="GSA27" s="3"/>
      <c r="GSB27" s="3"/>
      <c r="GSC27" s="3"/>
      <c r="GSD27" s="3"/>
      <c r="GSE27" s="3"/>
      <c r="GSF27" s="3"/>
      <c r="GSG27" s="3"/>
      <c r="GSH27" s="3"/>
      <c r="GSI27" s="3"/>
      <c r="GSJ27" s="3"/>
      <c r="GSK27" s="3"/>
      <c r="GSL27" s="3"/>
      <c r="GSM27" s="3"/>
      <c r="GSN27" s="3"/>
      <c r="GSO27" s="3"/>
      <c r="GSP27" s="3"/>
      <c r="GSQ27" s="3"/>
      <c r="GSR27" s="3"/>
      <c r="GSS27" s="3"/>
      <c r="GST27" s="3"/>
      <c r="GSU27" s="3"/>
      <c r="GSV27" s="3"/>
      <c r="GSW27" s="3"/>
      <c r="GSX27" s="3"/>
      <c r="GSY27" s="3"/>
      <c r="GSZ27" s="3"/>
      <c r="GTA27" s="3"/>
      <c r="GTB27" s="3"/>
      <c r="GTC27" s="3"/>
      <c r="GTD27" s="3"/>
      <c r="GTE27" s="3"/>
      <c r="GTF27" s="3"/>
      <c r="GTG27" s="3"/>
      <c r="GTH27" s="3"/>
      <c r="GTI27" s="3"/>
      <c r="GTJ27" s="3"/>
      <c r="GTK27" s="3"/>
      <c r="GTL27" s="3"/>
      <c r="GTM27" s="3"/>
      <c r="GTN27" s="3"/>
      <c r="GTO27" s="3"/>
      <c r="GTP27" s="3"/>
      <c r="GTQ27" s="3"/>
      <c r="GTR27" s="3"/>
      <c r="GTS27" s="3"/>
      <c r="GTT27" s="3"/>
      <c r="GTU27" s="3"/>
      <c r="GTV27" s="3"/>
      <c r="GTW27" s="3"/>
      <c r="GTX27" s="3"/>
      <c r="GTY27" s="3"/>
      <c r="GTZ27" s="3"/>
      <c r="GUA27" s="3"/>
      <c r="GUB27" s="3"/>
      <c r="GUC27" s="3"/>
      <c r="GUD27" s="3"/>
      <c r="GUE27" s="3"/>
      <c r="GUF27" s="3"/>
      <c r="GUG27" s="3"/>
      <c r="GUH27" s="3"/>
      <c r="GUI27" s="3"/>
      <c r="GUJ27" s="3"/>
      <c r="GUK27" s="3"/>
      <c r="GUL27" s="3"/>
      <c r="GUM27" s="3"/>
      <c r="GUN27" s="3"/>
      <c r="GUO27" s="3"/>
      <c r="GUP27" s="3"/>
      <c r="GUQ27" s="3"/>
      <c r="GUR27" s="3"/>
      <c r="GUS27" s="3"/>
      <c r="GUT27" s="3"/>
      <c r="GUU27" s="3"/>
      <c r="GUV27" s="3"/>
      <c r="GUW27" s="3"/>
      <c r="GUX27" s="3"/>
      <c r="GUY27" s="3"/>
      <c r="GUZ27" s="3"/>
      <c r="GVA27" s="3"/>
      <c r="GVB27" s="3"/>
      <c r="GVC27" s="3"/>
      <c r="GVD27" s="3"/>
      <c r="GVE27" s="3"/>
      <c r="GVF27" s="3"/>
      <c r="GVG27" s="3"/>
      <c r="GVH27" s="3"/>
      <c r="GVI27" s="3"/>
      <c r="GVJ27" s="3"/>
      <c r="GVK27" s="3"/>
      <c r="GVL27" s="3"/>
      <c r="GVM27" s="3"/>
      <c r="GVN27" s="3"/>
      <c r="GVO27" s="3"/>
      <c r="GVP27" s="3"/>
      <c r="GVQ27" s="3"/>
      <c r="GVR27" s="3"/>
      <c r="GVS27" s="3"/>
      <c r="GVT27" s="3"/>
      <c r="GVU27" s="3"/>
      <c r="GVV27" s="3"/>
      <c r="GVW27" s="3"/>
      <c r="GVX27" s="3"/>
      <c r="GVY27" s="3"/>
      <c r="GVZ27" s="3"/>
      <c r="GWA27" s="3"/>
      <c r="GWB27" s="3"/>
      <c r="GWC27" s="3"/>
      <c r="GWD27" s="3"/>
      <c r="GWE27" s="3"/>
      <c r="GWF27" s="3"/>
      <c r="GWG27" s="3"/>
      <c r="GWH27" s="3"/>
      <c r="GWI27" s="3"/>
      <c r="GWJ27" s="3"/>
      <c r="GWK27" s="3"/>
      <c r="GWL27" s="3"/>
      <c r="GWM27" s="3"/>
      <c r="GWN27" s="3"/>
      <c r="GWO27" s="3"/>
      <c r="GWP27" s="3"/>
      <c r="GWQ27" s="3"/>
      <c r="GWR27" s="3"/>
      <c r="GWS27" s="3"/>
      <c r="GWT27" s="3"/>
      <c r="GWU27" s="3"/>
      <c r="GWV27" s="3"/>
      <c r="GWW27" s="3"/>
      <c r="GWX27" s="3"/>
      <c r="GWY27" s="3"/>
      <c r="GWZ27" s="3"/>
      <c r="GXA27" s="3"/>
      <c r="GXB27" s="3"/>
      <c r="GXC27" s="3"/>
      <c r="GXD27" s="3"/>
      <c r="GXE27" s="3"/>
      <c r="GXF27" s="3"/>
      <c r="GXG27" s="3"/>
      <c r="GXH27" s="3"/>
      <c r="GXI27" s="3"/>
      <c r="GXJ27" s="3"/>
      <c r="GXK27" s="3"/>
      <c r="GXL27" s="3"/>
      <c r="GXM27" s="3"/>
      <c r="GXN27" s="3"/>
      <c r="GXO27" s="3"/>
      <c r="GXP27" s="3"/>
      <c r="GXQ27" s="3"/>
      <c r="GXR27" s="3"/>
      <c r="GXS27" s="3"/>
      <c r="GXT27" s="3"/>
      <c r="GXU27" s="3"/>
      <c r="GXV27" s="3"/>
      <c r="GXW27" s="3"/>
      <c r="GXX27" s="3"/>
      <c r="GXY27" s="3"/>
      <c r="GXZ27" s="3"/>
      <c r="GYA27" s="3"/>
      <c r="GYB27" s="3"/>
      <c r="GYC27" s="3"/>
      <c r="GYD27" s="3"/>
      <c r="GYE27" s="3"/>
      <c r="GYF27" s="3"/>
      <c r="GYG27" s="3"/>
      <c r="GYH27" s="3"/>
      <c r="GYI27" s="3"/>
      <c r="GYJ27" s="3"/>
      <c r="GYK27" s="3"/>
      <c r="GYL27" s="3"/>
      <c r="GYM27" s="3"/>
      <c r="GYN27" s="3"/>
      <c r="GYO27" s="3"/>
      <c r="GYP27" s="3"/>
      <c r="GYQ27" s="3"/>
      <c r="GYR27" s="3"/>
      <c r="GYS27" s="3"/>
      <c r="GYT27" s="3"/>
      <c r="GYU27" s="3"/>
      <c r="GYV27" s="3"/>
      <c r="GYW27" s="3"/>
      <c r="GYX27" s="3"/>
      <c r="GYY27" s="3"/>
      <c r="GYZ27" s="3"/>
      <c r="GZA27" s="3"/>
      <c r="GZB27" s="3"/>
      <c r="GZC27" s="3"/>
      <c r="GZD27" s="3"/>
      <c r="GZE27" s="3"/>
      <c r="GZF27" s="3"/>
      <c r="GZG27" s="3"/>
      <c r="GZH27" s="3"/>
      <c r="GZI27" s="3"/>
      <c r="GZJ27" s="3"/>
      <c r="GZK27" s="3"/>
      <c r="GZL27" s="3"/>
      <c r="GZM27" s="3"/>
      <c r="GZN27" s="3"/>
      <c r="GZO27" s="3"/>
      <c r="GZP27" s="3"/>
      <c r="GZQ27" s="3"/>
      <c r="GZR27" s="3"/>
      <c r="GZS27" s="3"/>
      <c r="GZT27" s="3"/>
      <c r="GZU27" s="3"/>
      <c r="GZV27" s="3"/>
      <c r="GZW27" s="3"/>
      <c r="GZX27" s="3"/>
      <c r="GZY27" s="3"/>
      <c r="GZZ27" s="3"/>
      <c r="HAA27" s="3"/>
      <c r="HAB27" s="3"/>
      <c r="HAC27" s="3"/>
      <c r="HAD27" s="3"/>
      <c r="HAE27" s="3"/>
      <c r="HAF27" s="3"/>
      <c r="HAG27" s="3"/>
      <c r="HAH27" s="3"/>
      <c r="HAI27" s="3"/>
      <c r="HAJ27" s="3"/>
      <c r="HAK27" s="3"/>
      <c r="HAL27" s="3"/>
      <c r="HAM27" s="3"/>
      <c r="HAN27" s="3"/>
      <c r="HAO27" s="3"/>
      <c r="HAP27" s="3"/>
      <c r="HAQ27" s="3"/>
      <c r="HAR27" s="3"/>
      <c r="HAS27" s="3"/>
      <c r="HAT27" s="3"/>
      <c r="HAU27" s="3"/>
      <c r="HAV27" s="3"/>
      <c r="HAW27" s="3"/>
      <c r="HAX27" s="3"/>
      <c r="HAY27" s="3"/>
      <c r="HAZ27" s="3"/>
      <c r="HBA27" s="3"/>
      <c r="HBB27" s="3"/>
      <c r="HBC27" s="3"/>
      <c r="HBD27" s="3"/>
      <c r="HBE27" s="3"/>
      <c r="HBF27" s="3"/>
      <c r="HBG27" s="3"/>
      <c r="HBH27" s="3"/>
      <c r="HBI27" s="3"/>
      <c r="HBJ27" s="3"/>
      <c r="HBK27" s="3"/>
      <c r="HBL27" s="3"/>
      <c r="HBM27" s="3"/>
      <c r="HBN27" s="3"/>
      <c r="HBO27" s="3"/>
      <c r="HBP27" s="3"/>
      <c r="HBQ27" s="3"/>
      <c r="HBR27" s="3"/>
      <c r="HBS27" s="3"/>
      <c r="HBT27" s="3"/>
      <c r="HBU27" s="3"/>
      <c r="HBV27" s="3"/>
      <c r="HBW27" s="3"/>
      <c r="HBX27" s="3"/>
      <c r="HBY27" s="3"/>
      <c r="HBZ27" s="3"/>
      <c r="HCA27" s="3"/>
      <c r="HCB27" s="3"/>
      <c r="HCC27" s="3"/>
      <c r="HCD27" s="3"/>
      <c r="HCE27" s="3"/>
      <c r="HCF27" s="3"/>
      <c r="HCG27" s="3"/>
      <c r="HCH27" s="3"/>
      <c r="HCI27" s="3"/>
      <c r="HCJ27" s="3"/>
      <c r="HCK27" s="3"/>
      <c r="HCL27" s="3"/>
      <c r="HCM27" s="3"/>
      <c r="HCN27" s="3"/>
      <c r="HCO27" s="3"/>
      <c r="HCP27" s="3"/>
      <c r="HCQ27" s="3"/>
      <c r="HCR27" s="3"/>
      <c r="HCS27" s="3"/>
      <c r="HCT27" s="3"/>
      <c r="HCU27" s="3"/>
      <c r="HCV27" s="3"/>
      <c r="HCW27" s="3"/>
      <c r="HCX27" s="3"/>
      <c r="HCY27" s="3"/>
      <c r="HCZ27" s="3"/>
      <c r="HDA27" s="3"/>
      <c r="HDB27" s="3"/>
      <c r="HDC27" s="3"/>
      <c r="HDD27" s="3"/>
      <c r="HDE27" s="3"/>
      <c r="HDF27" s="3"/>
      <c r="HDG27" s="3"/>
      <c r="HDH27" s="3"/>
      <c r="HDI27" s="3"/>
      <c r="HDJ27" s="3"/>
      <c r="HDK27" s="3"/>
      <c r="HDL27" s="3"/>
      <c r="HDM27" s="3"/>
      <c r="HDN27" s="3"/>
      <c r="HDO27" s="3"/>
      <c r="HDP27" s="3"/>
      <c r="HDQ27" s="3"/>
      <c r="HDR27" s="3"/>
      <c r="HDS27" s="3"/>
      <c r="HDT27" s="3"/>
      <c r="HDU27" s="3"/>
      <c r="HDV27" s="3"/>
      <c r="HDW27" s="3"/>
      <c r="HDX27" s="3"/>
      <c r="HDY27" s="3"/>
      <c r="HDZ27" s="3"/>
      <c r="HEA27" s="3"/>
      <c r="HEB27" s="3"/>
      <c r="HEC27" s="3"/>
      <c r="HED27" s="3"/>
      <c r="HEE27" s="3"/>
      <c r="HEF27" s="3"/>
      <c r="HEG27" s="3"/>
      <c r="HEH27" s="3"/>
      <c r="HEI27" s="3"/>
      <c r="HEJ27" s="3"/>
      <c r="HEK27" s="3"/>
      <c r="HEL27" s="3"/>
      <c r="HEM27" s="3"/>
      <c r="HEN27" s="3"/>
      <c r="HEO27" s="3"/>
      <c r="HEP27" s="3"/>
      <c r="HEQ27" s="3"/>
      <c r="HER27" s="3"/>
      <c r="HES27" s="3"/>
      <c r="HET27" s="3"/>
      <c r="HEU27" s="3"/>
      <c r="HEV27" s="3"/>
      <c r="HEW27" s="3"/>
      <c r="HEX27" s="3"/>
      <c r="HEY27" s="3"/>
      <c r="HEZ27" s="3"/>
      <c r="HFA27" s="3"/>
      <c r="HFB27" s="3"/>
      <c r="HFC27" s="3"/>
      <c r="HFD27" s="3"/>
      <c r="HFE27" s="3"/>
      <c r="HFF27" s="3"/>
      <c r="HFG27" s="3"/>
      <c r="HFH27" s="3"/>
      <c r="HFI27" s="3"/>
      <c r="HFJ27" s="3"/>
      <c r="HFK27" s="3"/>
      <c r="HFL27" s="3"/>
      <c r="HFM27" s="3"/>
      <c r="HFN27" s="3"/>
      <c r="HFO27" s="3"/>
      <c r="HFP27" s="3"/>
      <c r="HFQ27" s="3"/>
      <c r="HFR27" s="3"/>
      <c r="HFS27" s="3"/>
      <c r="HFT27" s="3"/>
      <c r="HFU27" s="3"/>
      <c r="HFV27" s="3"/>
      <c r="HFW27" s="3"/>
      <c r="HFX27" s="3"/>
      <c r="HFY27" s="3"/>
      <c r="HFZ27" s="3"/>
      <c r="HGA27" s="3"/>
      <c r="HGB27" s="3"/>
      <c r="HGC27" s="3"/>
      <c r="HGD27" s="3"/>
      <c r="HGE27" s="3"/>
      <c r="HGF27" s="3"/>
      <c r="HGG27" s="3"/>
      <c r="HGH27" s="3"/>
      <c r="HGI27" s="3"/>
      <c r="HGJ27" s="3"/>
      <c r="HGK27" s="3"/>
      <c r="HGL27" s="3"/>
      <c r="HGM27" s="3"/>
      <c r="HGN27" s="3"/>
      <c r="HGO27" s="3"/>
      <c r="HGP27" s="3"/>
      <c r="HGQ27" s="3"/>
      <c r="HGR27" s="3"/>
      <c r="HGS27" s="3"/>
      <c r="HGT27" s="3"/>
      <c r="HGU27" s="3"/>
      <c r="HGV27" s="3"/>
      <c r="HGW27" s="3"/>
      <c r="HGX27" s="3"/>
      <c r="HGY27" s="3"/>
      <c r="HGZ27" s="3"/>
      <c r="HHA27" s="3"/>
      <c r="HHB27" s="3"/>
      <c r="HHC27" s="3"/>
      <c r="HHD27" s="3"/>
      <c r="HHE27" s="3"/>
      <c r="HHF27" s="3"/>
      <c r="HHG27" s="3"/>
      <c r="HHH27" s="3"/>
      <c r="HHI27" s="3"/>
      <c r="HHJ27" s="3"/>
      <c r="HHK27" s="3"/>
      <c r="HHL27" s="3"/>
      <c r="HHM27" s="3"/>
      <c r="HHN27" s="3"/>
      <c r="HHO27" s="3"/>
      <c r="HHP27" s="3"/>
      <c r="HHQ27" s="3"/>
      <c r="HHR27" s="3"/>
      <c r="HHS27" s="3"/>
      <c r="HHT27" s="3"/>
      <c r="HHU27" s="3"/>
      <c r="HHV27" s="3"/>
      <c r="HHW27" s="3"/>
      <c r="HHX27" s="3"/>
      <c r="HHY27" s="3"/>
      <c r="HHZ27" s="3"/>
      <c r="HIA27" s="3"/>
      <c r="HIB27" s="3"/>
      <c r="HIC27" s="3"/>
      <c r="HID27" s="3"/>
      <c r="HIE27" s="3"/>
      <c r="HIF27" s="3"/>
      <c r="HIG27" s="3"/>
      <c r="HIH27" s="3"/>
      <c r="HII27" s="3"/>
      <c r="HIJ27" s="3"/>
      <c r="HIK27" s="3"/>
      <c r="HIL27" s="3"/>
      <c r="HIM27" s="3"/>
      <c r="HIN27" s="3"/>
      <c r="HIO27" s="3"/>
      <c r="HIP27" s="3"/>
      <c r="HIQ27" s="3"/>
      <c r="HIR27" s="3"/>
      <c r="HIS27" s="3"/>
      <c r="HIT27" s="3"/>
      <c r="HIU27" s="3"/>
      <c r="HIV27" s="3"/>
      <c r="HIW27" s="3"/>
      <c r="HIX27" s="3"/>
      <c r="HIY27" s="3"/>
      <c r="HIZ27" s="3"/>
      <c r="HJA27" s="3"/>
      <c r="HJB27" s="3"/>
      <c r="HJC27" s="3"/>
      <c r="HJD27" s="3"/>
      <c r="HJE27" s="3"/>
      <c r="HJF27" s="3"/>
      <c r="HJG27" s="3"/>
      <c r="HJH27" s="3"/>
      <c r="HJI27" s="3"/>
      <c r="HJJ27" s="3"/>
      <c r="HJK27" s="3"/>
      <c r="HJL27" s="3"/>
      <c r="HJM27" s="3"/>
      <c r="HJN27" s="3"/>
      <c r="HJO27" s="3"/>
      <c r="HJP27" s="3"/>
      <c r="HJQ27" s="3"/>
      <c r="HJR27" s="3"/>
      <c r="HJS27" s="3"/>
      <c r="HJT27" s="3"/>
      <c r="HJU27" s="3"/>
      <c r="HJV27" s="3"/>
      <c r="HJW27" s="3"/>
      <c r="HJX27" s="3"/>
      <c r="HJY27" s="3"/>
      <c r="HJZ27" s="3"/>
      <c r="HKA27" s="3"/>
      <c r="HKB27" s="3"/>
      <c r="HKC27" s="3"/>
      <c r="HKD27" s="3"/>
      <c r="HKE27" s="3"/>
      <c r="HKF27" s="3"/>
      <c r="HKG27" s="3"/>
      <c r="HKH27" s="3"/>
      <c r="HKI27" s="3"/>
      <c r="HKJ27" s="3"/>
      <c r="HKK27" s="3"/>
      <c r="HKL27" s="3"/>
      <c r="HKM27" s="3"/>
      <c r="HKN27" s="3"/>
      <c r="HKO27" s="3"/>
      <c r="HKP27" s="3"/>
      <c r="HKQ27" s="3"/>
      <c r="HKR27" s="3"/>
      <c r="HKS27" s="3"/>
      <c r="HKT27" s="3"/>
      <c r="HKU27" s="3"/>
      <c r="HKV27" s="3"/>
      <c r="HKW27" s="3"/>
      <c r="HKX27" s="3"/>
      <c r="HKY27" s="3"/>
      <c r="HKZ27" s="3"/>
      <c r="HLA27" s="3"/>
      <c r="HLB27" s="3"/>
      <c r="HLC27" s="3"/>
      <c r="HLD27" s="3"/>
      <c r="HLE27" s="3"/>
      <c r="HLF27" s="3"/>
      <c r="HLG27" s="3"/>
      <c r="HLH27" s="3"/>
      <c r="HLI27" s="3"/>
      <c r="HLJ27" s="3"/>
      <c r="HLK27" s="3"/>
      <c r="HLL27" s="3"/>
      <c r="HLM27" s="3"/>
      <c r="HLN27" s="3"/>
      <c r="HLO27" s="3"/>
      <c r="HLP27" s="3"/>
      <c r="HLQ27" s="3"/>
      <c r="HLR27" s="3"/>
      <c r="HLS27" s="3"/>
      <c r="HLT27" s="3"/>
      <c r="HLU27" s="3"/>
      <c r="HLV27" s="3"/>
      <c r="HLW27" s="3"/>
      <c r="HLX27" s="3"/>
      <c r="HLY27" s="3"/>
      <c r="HLZ27" s="3"/>
      <c r="HMA27" s="3"/>
      <c r="HMB27" s="3"/>
      <c r="HMC27" s="3"/>
      <c r="HMD27" s="3"/>
      <c r="HME27" s="3"/>
      <c r="HMF27" s="3"/>
      <c r="HMG27" s="3"/>
      <c r="HMH27" s="3"/>
      <c r="HMI27" s="3"/>
      <c r="HMJ27" s="3"/>
      <c r="HMK27" s="3"/>
      <c r="HML27" s="3"/>
      <c r="HMM27" s="3"/>
      <c r="HMN27" s="3"/>
      <c r="HMO27" s="3"/>
      <c r="HMP27" s="3"/>
      <c r="HMQ27" s="3"/>
      <c r="HMR27" s="3"/>
      <c r="HMS27" s="3"/>
      <c r="HMT27" s="3"/>
      <c r="HMU27" s="3"/>
      <c r="HMV27" s="3"/>
      <c r="HMW27" s="3"/>
      <c r="HMX27" s="3"/>
      <c r="HMY27" s="3"/>
      <c r="HMZ27" s="3"/>
      <c r="HNA27" s="3"/>
      <c r="HNB27" s="3"/>
      <c r="HNC27" s="3"/>
      <c r="HND27" s="3"/>
      <c r="HNE27" s="3"/>
      <c r="HNF27" s="3"/>
      <c r="HNG27" s="3"/>
      <c r="HNH27" s="3"/>
      <c r="HNI27" s="3"/>
      <c r="HNJ27" s="3"/>
      <c r="HNK27" s="3"/>
      <c r="HNL27" s="3"/>
      <c r="HNM27" s="3"/>
      <c r="HNN27" s="3"/>
      <c r="HNO27" s="3"/>
      <c r="HNP27" s="3"/>
      <c r="HNQ27" s="3"/>
      <c r="HNR27" s="3"/>
      <c r="HNS27" s="3"/>
      <c r="HNT27" s="3"/>
      <c r="HNU27" s="3"/>
      <c r="HNV27" s="3"/>
      <c r="HNW27" s="3"/>
      <c r="HNX27" s="3"/>
      <c r="HNY27" s="3"/>
      <c r="HNZ27" s="3"/>
      <c r="HOA27" s="3"/>
      <c r="HOB27" s="3"/>
      <c r="HOC27" s="3"/>
      <c r="HOD27" s="3"/>
      <c r="HOE27" s="3"/>
      <c r="HOF27" s="3"/>
      <c r="HOG27" s="3"/>
      <c r="HOH27" s="3"/>
      <c r="HOI27" s="3"/>
      <c r="HOJ27" s="3"/>
      <c r="HOK27" s="3"/>
      <c r="HOL27" s="3"/>
      <c r="HOM27" s="3"/>
      <c r="HON27" s="3"/>
      <c r="HOO27" s="3"/>
      <c r="HOP27" s="3"/>
      <c r="HOQ27" s="3"/>
      <c r="HOR27" s="3"/>
      <c r="HOS27" s="3"/>
      <c r="HOT27" s="3"/>
      <c r="HOU27" s="3"/>
      <c r="HOV27" s="3"/>
      <c r="HOW27" s="3"/>
      <c r="HOX27" s="3"/>
      <c r="HOY27" s="3"/>
      <c r="HOZ27" s="3"/>
      <c r="HPA27" s="3"/>
      <c r="HPB27" s="3"/>
      <c r="HPC27" s="3"/>
      <c r="HPD27" s="3"/>
      <c r="HPE27" s="3"/>
      <c r="HPF27" s="3"/>
      <c r="HPG27" s="3"/>
      <c r="HPH27" s="3"/>
      <c r="HPI27" s="3"/>
      <c r="HPJ27" s="3"/>
      <c r="HPK27" s="3"/>
      <c r="HPL27" s="3"/>
      <c r="HPM27" s="3"/>
      <c r="HPN27" s="3"/>
      <c r="HPO27" s="3"/>
      <c r="HPP27" s="3"/>
      <c r="HPQ27" s="3"/>
      <c r="HPR27" s="3"/>
      <c r="HPS27" s="3"/>
      <c r="HPT27" s="3"/>
      <c r="HPU27" s="3"/>
      <c r="HPV27" s="3"/>
      <c r="HPW27" s="3"/>
      <c r="HPX27" s="3"/>
      <c r="HPY27" s="3"/>
      <c r="HPZ27" s="3"/>
      <c r="HQA27" s="3"/>
      <c r="HQB27" s="3"/>
      <c r="HQC27" s="3"/>
      <c r="HQD27" s="3"/>
      <c r="HQE27" s="3"/>
      <c r="HQF27" s="3"/>
      <c r="HQG27" s="3"/>
      <c r="HQH27" s="3"/>
      <c r="HQI27" s="3"/>
      <c r="HQJ27" s="3"/>
      <c r="HQK27" s="3"/>
      <c r="HQL27" s="3"/>
      <c r="HQM27" s="3"/>
      <c r="HQN27" s="3"/>
      <c r="HQO27" s="3"/>
      <c r="HQP27" s="3"/>
      <c r="HQQ27" s="3"/>
      <c r="HQR27" s="3"/>
      <c r="HQS27" s="3"/>
      <c r="HQT27" s="3"/>
      <c r="HQU27" s="3"/>
      <c r="HQV27" s="3"/>
      <c r="HQW27" s="3"/>
      <c r="HQX27" s="3"/>
      <c r="HQY27" s="3"/>
      <c r="HQZ27" s="3"/>
      <c r="HRA27" s="3"/>
      <c r="HRB27" s="3"/>
      <c r="HRC27" s="3"/>
      <c r="HRD27" s="3"/>
      <c r="HRE27" s="3"/>
      <c r="HRF27" s="3"/>
      <c r="HRG27" s="3"/>
      <c r="HRH27" s="3"/>
      <c r="HRI27" s="3"/>
      <c r="HRJ27" s="3"/>
      <c r="HRK27" s="3"/>
      <c r="HRL27" s="3"/>
      <c r="HRM27" s="3"/>
      <c r="HRN27" s="3"/>
      <c r="HRO27" s="3"/>
      <c r="HRP27" s="3"/>
      <c r="HRQ27" s="3"/>
      <c r="HRR27" s="3"/>
      <c r="HRS27" s="3"/>
      <c r="HRT27" s="3"/>
      <c r="HRU27" s="3"/>
      <c r="HRV27" s="3"/>
      <c r="HRW27" s="3"/>
      <c r="HRX27" s="3"/>
      <c r="HRY27" s="3"/>
      <c r="HRZ27" s="3"/>
      <c r="HSA27" s="3"/>
      <c r="HSB27" s="3"/>
      <c r="HSC27" s="3"/>
      <c r="HSD27" s="3"/>
      <c r="HSE27" s="3"/>
      <c r="HSF27" s="3"/>
      <c r="HSG27" s="3"/>
      <c r="HSH27" s="3"/>
      <c r="HSI27" s="3"/>
      <c r="HSJ27" s="3"/>
      <c r="HSK27" s="3"/>
      <c r="HSL27" s="3"/>
      <c r="HSM27" s="3"/>
      <c r="HSN27" s="3"/>
      <c r="HSO27" s="3"/>
      <c r="HSP27" s="3"/>
      <c r="HSQ27" s="3"/>
      <c r="HSR27" s="3"/>
      <c r="HSS27" s="3"/>
      <c r="HST27" s="3"/>
      <c r="HSU27" s="3"/>
      <c r="HSV27" s="3"/>
      <c r="HSW27" s="3"/>
      <c r="HSX27" s="3"/>
      <c r="HSY27" s="3"/>
      <c r="HSZ27" s="3"/>
      <c r="HTA27" s="3"/>
      <c r="HTB27" s="3"/>
      <c r="HTC27" s="3"/>
      <c r="HTD27" s="3"/>
      <c r="HTE27" s="3"/>
      <c r="HTF27" s="3"/>
      <c r="HTG27" s="3"/>
      <c r="HTH27" s="3"/>
      <c r="HTI27" s="3"/>
      <c r="HTJ27" s="3"/>
      <c r="HTK27" s="3"/>
      <c r="HTL27" s="3"/>
      <c r="HTM27" s="3"/>
      <c r="HTN27" s="3"/>
      <c r="HTO27" s="3"/>
      <c r="HTP27" s="3"/>
      <c r="HTQ27" s="3"/>
      <c r="HTR27" s="3"/>
      <c r="HTS27" s="3"/>
      <c r="HTT27" s="3"/>
      <c r="HTU27" s="3"/>
      <c r="HTV27" s="3"/>
      <c r="HTW27" s="3"/>
      <c r="HTX27" s="3"/>
      <c r="HTY27" s="3"/>
      <c r="HTZ27" s="3"/>
      <c r="HUA27" s="3"/>
      <c r="HUB27" s="3"/>
      <c r="HUC27" s="3"/>
      <c r="HUD27" s="3"/>
      <c r="HUE27" s="3"/>
      <c r="HUF27" s="3"/>
      <c r="HUG27" s="3"/>
      <c r="HUH27" s="3"/>
      <c r="HUI27" s="3"/>
      <c r="HUJ27" s="3"/>
      <c r="HUK27" s="3"/>
      <c r="HUL27" s="3"/>
      <c r="HUM27" s="3"/>
      <c r="HUN27" s="3"/>
      <c r="HUO27" s="3"/>
      <c r="HUP27" s="3"/>
      <c r="HUQ27" s="3"/>
      <c r="HUR27" s="3"/>
      <c r="HUS27" s="3"/>
      <c r="HUT27" s="3"/>
      <c r="HUU27" s="3"/>
      <c r="HUV27" s="3"/>
      <c r="HUW27" s="3"/>
      <c r="HUX27" s="3"/>
      <c r="HUY27" s="3"/>
      <c r="HUZ27" s="3"/>
      <c r="HVA27" s="3"/>
      <c r="HVB27" s="3"/>
      <c r="HVC27" s="3"/>
      <c r="HVD27" s="3"/>
      <c r="HVE27" s="3"/>
      <c r="HVF27" s="3"/>
      <c r="HVG27" s="3"/>
      <c r="HVH27" s="3"/>
      <c r="HVI27" s="3"/>
      <c r="HVJ27" s="3"/>
      <c r="HVK27" s="3"/>
      <c r="HVL27" s="3"/>
      <c r="HVM27" s="3"/>
      <c r="HVN27" s="3"/>
      <c r="HVO27" s="3"/>
      <c r="HVP27" s="3"/>
      <c r="HVQ27" s="3"/>
      <c r="HVR27" s="3"/>
      <c r="HVS27" s="3"/>
      <c r="HVT27" s="3"/>
      <c r="HVU27" s="3"/>
      <c r="HVV27" s="3"/>
      <c r="HVW27" s="3"/>
      <c r="HVX27" s="3"/>
      <c r="HVY27" s="3"/>
      <c r="HVZ27" s="3"/>
      <c r="HWA27" s="3"/>
      <c r="HWB27" s="3"/>
      <c r="HWC27" s="3"/>
      <c r="HWD27" s="3"/>
      <c r="HWE27" s="3"/>
      <c r="HWF27" s="3"/>
      <c r="HWG27" s="3"/>
      <c r="HWH27" s="3"/>
      <c r="HWI27" s="3"/>
      <c r="HWJ27" s="3"/>
      <c r="HWK27" s="3"/>
      <c r="HWL27" s="3"/>
      <c r="HWM27" s="3"/>
      <c r="HWN27" s="3"/>
      <c r="HWO27" s="3"/>
      <c r="HWP27" s="3"/>
      <c r="HWQ27" s="3"/>
      <c r="HWR27" s="3"/>
      <c r="HWS27" s="3"/>
      <c r="HWT27" s="3"/>
      <c r="HWU27" s="3"/>
      <c r="HWV27" s="3"/>
      <c r="HWW27" s="3"/>
      <c r="HWX27" s="3"/>
      <c r="HWY27" s="3"/>
      <c r="HWZ27" s="3"/>
      <c r="HXA27" s="3"/>
      <c r="HXB27" s="3"/>
      <c r="HXC27" s="3"/>
      <c r="HXD27" s="3"/>
      <c r="HXE27" s="3"/>
      <c r="HXF27" s="3"/>
      <c r="HXG27" s="3"/>
      <c r="HXH27" s="3"/>
      <c r="HXI27" s="3"/>
      <c r="HXJ27" s="3"/>
      <c r="HXK27" s="3"/>
      <c r="HXL27" s="3"/>
      <c r="HXM27" s="3"/>
      <c r="HXN27" s="3"/>
      <c r="HXO27" s="3"/>
      <c r="HXP27" s="3"/>
      <c r="HXQ27" s="3"/>
      <c r="HXR27" s="3"/>
      <c r="HXS27" s="3"/>
      <c r="HXT27" s="3"/>
      <c r="HXU27" s="3"/>
      <c r="HXV27" s="3"/>
      <c r="HXW27" s="3"/>
      <c r="HXX27" s="3"/>
      <c r="HXY27" s="3"/>
      <c r="HXZ27" s="3"/>
      <c r="HYA27" s="3"/>
      <c r="HYB27" s="3"/>
      <c r="HYC27" s="3"/>
      <c r="HYD27" s="3"/>
      <c r="HYE27" s="3"/>
      <c r="HYF27" s="3"/>
      <c r="HYG27" s="3"/>
      <c r="HYH27" s="3"/>
      <c r="HYI27" s="3"/>
      <c r="HYJ27" s="3"/>
      <c r="HYK27" s="3"/>
      <c r="HYL27" s="3"/>
      <c r="HYM27" s="3"/>
      <c r="HYN27" s="3"/>
      <c r="HYO27" s="3"/>
      <c r="HYP27" s="3"/>
      <c r="HYQ27" s="3"/>
      <c r="HYR27" s="3"/>
      <c r="HYS27" s="3"/>
      <c r="HYT27" s="3"/>
      <c r="HYU27" s="3"/>
      <c r="HYV27" s="3"/>
      <c r="HYW27" s="3"/>
      <c r="HYX27" s="3"/>
      <c r="HYY27" s="3"/>
      <c r="HYZ27" s="3"/>
      <c r="HZA27" s="3"/>
      <c r="HZB27" s="3"/>
      <c r="HZC27" s="3"/>
      <c r="HZD27" s="3"/>
      <c r="HZE27" s="3"/>
      <c r="HZF27" s="3"/>
      <c r="HZG27" s="3"/>
      <c r="HZH27" s="3"/>
      <c r="HZI27" s="3"/>
      <c r="HZJ27" s="3"/>
      <c r="HZK27" s="3"/>
      <c r="HZL27" s="3"/>
      <c r="HZM27" s="3"/>
      <c r="HZN27" s="3"/>
      <c r="HZO27" s="3"/>
      <c r="HZP27" s="3"/>
      <c r="HZQ27" s="3"/>
      <c r="HZR27" s="3"/>
      <c r="HZS27" s="3"/>
      <c r="HZT27" s="3"/>
      <c r="HZU27" s="3"/>
      <c r="HZV27" s="3"/>
      <c r="HZW27" s="3"/>
      <c r="HZX27" s="3"/>
      <c r="HZY27" s="3"/>
      <c r="HZZ27" s="3"/>
      <c r="IAA27" s="3"/>
      <c r="IAB27" s="3"/>
      <c r="IAC27" s="3"/>
      <c r="IAD27" s="3"/>
      <c r="IAE27" s="3"/>
      <c r="IAF27" s="3"/>
      <c r="IAG27" s="3"/>
      <c r="IAH27" s="3"/>
      <c r="IAI27" s="3"/>
      <c r="IAJ27" s="3"/>
      <c r="IAK27" s="3"/>
      <c r="IAL27" s="3"/>
      <c r="IAM27" s="3"/>
      <c r="IAN27" s="3"/>
      <c r="IAO27" s="3"/>
      <c r="IAP27" s="3"/>
      <c r="IAQ27" s="3"/>
      <c r="IAR27" s="3"/>
      <c r="IAS27" s="3"/>
      <c r="IAT27" s="3"/>
      <c r="IAU27" s="3"/>
      <c r="IAV27" s="3"/>
      <c r="IAW27" s="3"/>
      <c r="IAX27" s="3"/>
      <c r="IAY27" s="3"/>
      <c r="IAZ27" s="3"/>
      <c r="IBA27" s="3"/>
      <c r="IBB27" s="3"/>
      <c r="IBC27" s="3"/>
      <c r="IBD27" s="3"/>
      <c r="IBE27" s="3"/>
      <c r="IBF27" s="3"/>
      <c r="IBG27" s="3"/>
      <c r="IBH27" s="3"/>
      <c r="IBI27" s="3"/>
      <c r="IBJ27" s="3"/>
      <c r="IBK27" s="3"/>
      <c r="IBL27" s="3"/>
      <c r="IBM27" s="3"/>
      <c r="IBN27" s="3"/>
      <c r="IBO27" s="3"/>
      <c r="IBP27" s="3"/>
      <c r="IBQ27" s="3"/>
      <c r="IBR27" s="3"/>
      <c r="IBS27" s="3"/>
      <c r="IBT27" s="3"/>
      <c r="IBU27" s="3"/>
      <c r="IBV27" s="3"/>
      <c r="IBW27" s="3"/>
      <c r="IBX27" s="3"/>
      <c r="IBY27" s="3"/>
      <c r="IBZ27" s="3"/>
      <c r="ICA27" s="3"/>
      <c r="ICB27" s="3"/>
      <c r="ICC27" s="3"/>
      <c r="ICD27" s="3"/>
      <c r="ICE27" s="3"/>
      <c r="ICF27" s="3"/>
      <c r="ICG27" s="3"/>
      <c r="ICH27" s="3"/>
      <c r="ICI27" s="3"/>
      <c r="ICJ27" s="3"/>
      <c r="ICK27" s="3"/>
      <c r="ICL27" s="3"/>
      <c r="ICM27" s="3"/>
      <c r="ICN27" s="3"/>
      <c r="ICO27" s="3"/>
      <c r="ICP27" s="3"/>
      <c r="ICQ27" s="3"/>
      <c r="ICR27" s="3"/>
      <c r="ICS27" s="3"/>
      <c r="ICT27" s="3"/>
      <c r="ICU27" s="3"/>
      <c r="ICV27" s="3"/>
      <c r="ICW27" s="3"/>
      <c r="ICX27" s="3"/>
      <c r="ICY27" s="3"/>
      <c r="ICZ27" s="3"/>
      <c r="IDA27" s="3"/>
      <c r="IDB27" s="3"/>
      <c r="IDC27" s="3"/>
      <c r="IDD27" s="3"/>
      <c r="IDE27" s="3"/>
      <c r="IDF27" s="3"/>
      <c r="IDG27" s="3"/>
      <c r="IDH27" s="3"/>
      <c r="IDI27" s="3"/>
      <c r="IDJ27" s="3"/>
      <c r="IDK27" s="3"/>
      <c r="IDL27" s="3"/>
      <c r="IDM27" s="3"/>
      <c r="IDN27" s="3"/>
      <c r="IDO27" s="3"/>
      <c r="IDP27" s="3"/>
      <c r="IDQ27" s="3"/>
      <c r="IDR27" s="3"/>
      <c r="IDS27" s="3"/>
      <c r="IDT27" s="3"/>
      <c r="IDU27" s="3"/>
      <c r="IDV27" s="3"/>
      <c r="IDW27" s="3"/>
      <c r="IDX27" s="3"/>
      <c r="IDY27" s="3"/>
      <c r="IDZ27" s="3"/>
      <c r="IEA27" s="3"/>
      <c r="IEB27" s="3"/>
      <c r="IEC27" s="3"/>
      <c r="IED27" s="3"/>
      <c r="IEE27" s="3"/>
      <c r="IEF27" s="3"/>
      <c r="IEG27" s="3"/>
      <c r="IEH27" s="3"/>
      <c r="IEI27" s="3"/>
      <c r="IEJ27" s="3"/>
      <c r="IEK27" s="3"/>
      <c r="IEL27" s="3"/>
      <c r="IEM27" s="3"/>
      <c r="IEN27" s="3"/>
      <c r="IEO27" s="3"/>
      <c r="IEP27" s="3"/>
      <c r="IEQ27" s="3"/>
      <c r="IER27" s="3"/>
      <c r="IES27" s="3"/>
      <c r="IET27" s="3"/>
      <c r="IEU27" s="3"/>
      <c r="IEV27" s="3"/>
      <c r="IEW27" s="3"/>
      <c r="IEX27" s="3"/>
      <c r="IEY27" s="3"/>
      <c r="IEZ27" s="3"/>
      <c r="IFA27" s="3"/>
      <c r="IFB27" s="3"/>
      <c r="IFC27" s="3"/>
      <c r="IFD27" s="3"/>
      <c r="IFE27" s="3"/>
      <c r="IFF27" s="3"/>
      <c r="IFG27" s="3"/>
      <c r="IFH27" s="3"/>
      <c r="IFI27" s="3"/>
      <c r="IFJ27" s="3"/>
      <c r="IFK27" s="3"/>
      <c r="IFL27" s="3"/>
      <c r="IFM27" s="3"/>
      <c r="IFN27" s="3"/>
      <c r="IFO27" s="3"/>
      <c r="IFP27" s="3"/>
      <c r="IFQ27" s="3"/>
      <c r="IFR27" s="3"/>
      <c r="IFS27" s="3"/>
      <c r="IFT27" s="3"/>
      <c r="IFU27" s="3"/>
      <c r="IFV27" s="3"/>
      <c r="IFW27" s="3"/>
      <c r="IFX27" s="3"/>
      <c r="IFY27" s="3"/>
      <c r="IFZ27" s="3"/>
      <c r="IGA27" s="3"/>
      <c r="IGB27" s="3"/>
      <c r="IGC27" s="3"/>
      <c r="IGD27" s="3"/>
      <c r="IGE27" s="3"/>
      <c r="IGF27" s="3"/>
      <c r="IGG27" s="3"/>
      <c r="IGH27" s="3"/>
      <c r="IGI27" s="3"/>
      <c r="IGJ27" s="3"/>
      <c r="IGK27" s="3"/>
      <c r="IGL27" s="3"/>
      <c r="IGM27" s="3"/>
      <c r="IGN27" s="3"/>
      <c r="IGO27" s="3"/>
      <c r="IGP27" s="3"/>
      <c r="IGQ27" s="3"/>
      <c r="IGR27" s="3"/>
      <c r="IGS27" s="3"/>
      <c r="IGT27" s="3"/>
      <c r="IGU27" s="3"/>
      <c r="IGV27" s="3"/>
      <c r="IGW27" s="3"/>
      <c r="IGX27" s="3"/>
      <c r="IGY27" s="3"/>
      <c r="IGZ27" s="3"/>
      <c r="IHA27" s="3"/>
      <c r="IHB27" s="3"/>
      <c r="IHC27" s="3"/>
      <c r="IHD27" s="3"/>
      <c r="IHE27" s="3"/>
      <c r="IHF27" s="3"/>
      <c r="IHG27" s="3"/>
      <c r="IHH27" s="3"/>
      <c r="IHI27" s="3"/>
      <c r="IHJ27" s="3"/>
      <c r="IHK27" s="3"/>
      <c r="IHL27" s="3"/>
      <c r="IHM27" s="3"/>
      <c r="IHN27" s="3"/>
      <c r="IHO27" s="3"/>
      <c r="IHP27" s="3"/>
      <c r="IHQ27" s="3"/>
      <c r="IHR27" s="3"/>
      <c r="IHS27" s="3"/>
      <c r="IHT27" s="3"/>
      <c r="IHU27" s="3"/>
      <c r="IHV27" s="3"/>
      <c r="IHW27" s="3"/>
      <c r="IHX27" s="3"/>
      <c r="IHY27" s="3"/>
      <c r="IHZ27" s="3"/>
      <c r="IIA27" s="3"/>
      <c r="IIB27" s="3"/>
      <c r="IIC27" s="3"/>
      <c r="IID27" s="3"/>
      <c r="IIE27" s="3"/>
      <c r="IIF27" s="3"/>
      <c r="IIG27" s="3"/>
      <c r="IIH27" s="3"/>
      <c r="III27" s="3"/>
      <c r="IIJ27" s="3"/>
      <c r="IIK27" s="3"/>
      <c r="IIL27" s="3"/>
      <c r="IIM27" s="3"/>
      <c r="IIN27" s="3"/>
      <c r="IIO27" s="3"/>
      <c r="IIP27" s="3"/>
      <c r="IIQ27" s="3"/>
      <c r="IIR27" s="3"/>
      <c r="IIS27" s="3"/>
      <c r="IIT27" s="3"/>
      <c r="IIU27" s="3"/>
      <c r="IIV27" s="3"/>
      <c r="IIW27" s="3"/>
      <c r="IIX27" s="3"/>
      <c r="IIY27" s="3"/>
      <c r="IIZ27" s="3"/>
      <c r="IJA27" s="3"/>
      <c r="IJB27" s="3"/>
      <c r="IJC27" s="3"/>
      <c r="IJD27" s="3"/>
      <c r="IJE27" s="3"/>
      <c r="IJF27" s="3"/>
      <c r="IJG27" s="3"/>
      <c r="IJH27" s="3"/>
      <c r="IJI27" s="3"/>
      <c r="IJJ27" s="3"/>
      <c r="IJK27" s="3"/>
      <c r="IJL27" s="3"/>
      <c r="IJM27" s="3"/>
      <c r="IJN27" s="3"/>
      <c r="IJO27" s="3"/>
      <c r="IJP27" s="3"/>
      <c r="IJQ27" s="3"/>
      <c r="IJR27" s="3"/>
      <c r="IJS27" s="3"/>
      <c r="IJT27" s="3"/>
      <c r="IJU27" s="3"/>
      <c r="IJV27" s="3"/>
      <c r="IJW27" s="3"/>
      <c r="IJX27" s="3"/>
      <c r="IJY27" s="3"/>
      <c r="IJZ27" s="3"/>
      <c r="IKA27" s="3"/>
      <c r="IKB27" s="3"/>
      <c r="IKC27" s="3"/>
      <c r="IKD27" s="3"/>
      <c r="IKE27" s="3"/>
      <c r="IKF27" s="3"/>
      <c r="IKG27" s="3"/>
      <c r="IKH27" s="3"/>
      <c r="IKI27" s="3"/>
      <c r="IKJ27" s="3"/>
      <c r="IKK27" s="3"/>
      <c r="IKL27" s="3"/>
      <c r="IKM27" s="3"/>
      <c r="IKN27" s="3"/>
      <c r="IKO27" s="3"/>
      <c r="IKP27" s="3"/>
      <c r="IKQ27" s="3"/>
      <c r="IKR27" s="3"/>
      <c r="IKS27" s="3"/>
      <c r="IKT27" s="3"/>
      <c r="IKU27" s="3"/>
      <c r="IKV27" s="3"/>
      <c r="IKW27" s="3"/>
      <c r="IKX27" s="3"/>
      <c r="IKY27" s="3"/>
      <c r="IKZ27" s="3"/>
      <c r="ILA27" s="3"/>
      <c r="ILB27" s="3"/>
      <c r="ILC27" s="3"/>
      <c r="ILD27" s="3"/>
      <c r="ILE27" s="3"/>
      <c r="ILF27" s="3"/>
      <c r="ILG27" s="3"/>
      <c r="ILH27" s="3"/>
      <c r="ILI27" s="3"/>
      <c r="ILJ27" s="3"/>
      <c r="ILK27" s="3"/>
      <c r="ILL27" s="3"/>
      <c r="ILM27" s="3"/>
      <c r="ILN27" s="3"/>
      <c r="ILO27" s="3"/>
      <c r="ILP27" s="3"/>
      <c r="ILQ27" s="3"/>
      <c r="ILR27" s="3"/>
      <c r="ILS27" s="3"/>
      <c r="ILT27" s="3"/>
      <c r="ILU27" s="3"/>
      <c r="ILV27" s="3"/>
      <c r="ILW27" s="3"/>
      <c r="ILX27" s="3"/>
      <c r="ILY27" s="3"/>
      <c r="ILZ27" s="3"/>
      <c r="IMA27" s="3"/>
      <c r="IMB27" s="3"/>
      <c r="IMC27" s="3"/>
      <c r="IMD27" s="3"/>
      <c r="IME27" s="3"/>
      <c r="IMF27" s="3"/>
      <c r="IMG27" s="3"/>
      <c r="IMH27" s="3"/>
      <c r="IMI27" s="3"/>
      <c r="IMJ27" s="3"/>
      <c r="IMK27" s="3"/>
      <c r="IML27" s="3"/>
      <c r="IMM27" s="3"/>
      <c r="IMN27" s="3"/>
      <c r="IMO27" s="3"/>
      <c r="IMP27" s="3"/>
      <c r="IMQ27" s="3"/>
      <c r="IMR27" s="3"/>
      <c r="IMS27" s="3"/>
      <c r="IMT27" s="3"/>
      <c r="IMU27" s="3"/>
      <c r="IMV27" s="3"/>
      <c r="IMW27" s="3"/>
      <c r="IMX27" s="3"/>
      <c r="IMY27" s="3"/>
      <c r="IMZ27" s="3"/>
      <c r="INA27" s="3"/>
      <c r="INB27" s="3"/>
      <c r="INC27" s="3"/>
      <c r="IND27" s="3"/>
      <c r="INE27" s="3"/>
      <c r="INF27" s="3"/>
      <c r="ING27" s="3"/>
      <c r="INH27" s="3"/>
      <c r="INI27" s="3"/>
      <c r="INJ27" s="3"/>
      <c r="INK27" s="3"/>
      <c r="INL27" s="3"/>
      <c r="INM27" s="3"/>
      <c r="INN27" s="3"/>
      <c r="INO27" s="3"/>
      <c r="INP27" s="3"/>
      <c r="INQ27" s="3"/>
      <c r="INR27" s="3"/>
      <c r="INS27" s="3"/>
      <c r="INT27" s="3"/>
      <c r="INU27" s="3"/>
      <c r="INV27" s="3"/>
      <c r="INW27" s="3"/>
      <c r="INX27" s="3"/>
      <c r="INY27" s="3"/>
      <c r="INZ27" s="3"/>
      <c r="IOA27" s="3"/>
      <c r="IOB27" s="3"/>
      <c r="IOC27" s="3"/>
      <c r="IOD27" s="3"/>
      <c r="IOE27" s="3"/>
      <c r="IOF27" s="3"/>
      <c r="IOG27" s="3"/>
      <c r="IOH27" s="3"/>
      <c r="IOI27" s="3"/>
      <c r="IOJ27" s="3"/>
      <c r="IOK27" s="3"/>
      <c r="IOL27" s="3"/>
      <c r="IOM27" s="3"/>
      <c r="ION27" s="3"/>
      <c r="IOO27" s="3"/>
      <c r="IOP27" s="3"/>
      <c r="IOQ27" s="3"/>
      <c r="IOR27" s="3"/>
      <c r="IOS27" s="3"/>
      <c r="IOT27" s="3"/>
      <c r="IOU27" s="3"/>
      <c r="IOV27" s="3"/>
      <c r="IOW27" s="3"/>
      <c r="IOX27" s="3"/>
      <c r="IOY27" s="3"/>
      <c r="IOZ27" s="3"/>
      <c r="IPA27" s="3"/>
      <c r="IPB27" s="3"/>
      <c r="IPC27" s="3"/>
      <c r="IPD27" s="3"/>
      <c r="IPE27" s="3"/>
      <c r="IPF27" s="3"/>
      <c r="IPG27" s="3"/>
      <c r="IPH27" s="3"/>
      <c r="IPI27" s="3"/>
      <c r="IPJ27" s="3"/>
      <c r="IPK27" s="3"/>
      <c r="IPL27" s="3"/>
      <c r="IPM27" s="3"/>
      <c r="IPN27" s="3"/>
      <c r="IPO27" s="3"/>
      <c r="IPP27" s="3"/>
      <c r="IPQ27" s="3"/>
      <c r="IPR27" s="3"/>
      <c r="IPS27" s="3"/>
      <c r="IPT27" s="3"/>
      <c r="IPU27" s="3"/>
      <c r="IPV27" s="3"/>
      <c r="IPW27" s="3"/>
      <c r="IPX27" s="3"/>
      <c r="IPY27" s="3"/>
      <c r="IPZ27" s="3"/>
      <c r="IQA27" s="3"/>
      <c r="IQB27" s="3"/>
      <c r="IQC27" s="3"/>
      <c r="IQD27" s="3"/>
      <c r="IQE27" s="3"/>
      <c r="IQF27" s="3"/>
      <c r="IQG27" s="3"/>
      <c r="IQH27" s="3"/>
      <c r="IQI27" s="3"/>
      <c r="IQJ27" s="3"/>
      <c r="IQK27" s="3"/>
      <c r="IQL27" s="3"/>
      <c r="IQM27" s="3"/>
      <c r="IQN27" s="3"/>
      <c r="IQO27" s="3"/>
      <c r="IQP27" s="3"/>
      <c r="IQQ27" s="3"/>
      <c r="IQR27" s="3"/>
      <c r="IQS27" s="3"/>
      <c r="IQT27" s="3"/>
      <c r="IQU27" s="3"/>
      <c r="IQV27" s="3"/>
      <c r="IQW27" s="3"/>
      <c r="IQX27" s="3"/>
      <c r="IQY27" s="3"/>
      <c r="IQZ27" s="3"/>
      <c r="IRA27" s="3"/>
      <c r="IRB27" s="3"/>
      <c r="IRC27" s="3"/>
      <c r="IRD27" s="3"/>
      <c r="IRE27" s="3"/>
      <c r="IRF27" s="3"/>
      <c r="IRG27" s="3"/>
      <c r="IRH27" s="3"/>
      <c r="IRI27" s="3"/>
      <c r="IRJ27" s="3"/>
      <c r="IRK27" s="3"/>
      <c r="IRL27" s="3"/>
      <c r="IRM27" s="3"/>
      <c r="IRN27" s="3"/>
      <c r="IRO27" s="3"/>
      <c r="IRP27" s="3"/>
      <c r="IRQ27" s="3"/>
      <c r="IRR27" s="3"/>
      <c r="IRS27" s="3"/>
      <c r="IRT27" s="3"/>
      <c r="IRU27" s="3"/>
      <c r="IRV27" s="3"/>
      <c r="IRW27" s="3"/>
      <c r="IRX27" s="3"/>
      <c r="IRY27" s="3"/>
      <c r="IRZ27" s="3"/>
      <c r="ISA27" s="3"/>
      <c r="ISB27" s="3"/>
      <c r="ISC27" s="3"/>
      <c r="ISD27" s="3"/>
      <c r="ISE27" s="3"/>
      <c r="ISF27" s="3"/>
      <c r="ISG27" s="3"/>
      <c r="ISH27" s="3"/>
      <c r="ISI27" s="3"/>
      <c r="ISJ27" s="3"/>
      <c r="ISK27" s="3"/>
      <c r="ISL27" s="3"/>
      <c r="ISM27" s="3"/>
      <c r="ISN27" s="3"/>
      <c r="ISO27" s="3"/>
      <c r="ISP27" s="3"/>
      <c r="ISQ27" s="3"/>
      <c r="ISR27" s="3"/>
      <c r="ISS27" s="3"/>
      <c r="IST27" s="3"/>
      <c r="ISU27" s="3"/>
      <c r="ISV27" s="3"/>
      <c r="ISW27" s="3"/>
      <c r="ISX27" s="3"/>
      <c r="ISY27" s="3"/>
      <c r="ISZ27" s="3"/>
      <c r="ITA27" s="3"/>
      <c r="ITB27" s="3"/>
      <c r="ITC27" s="3"/>
      <c r="ITD27" s="3"/>
      <c r="ITE27" s="3"/>
      <c r="ITF27" s="3"/>
      <c r="ITG27" s="3"/>
      <c r="ITH27" s="3"/>
      <c r="ITI27" s="3"/>
      <c r="ITJ27" s="3"/>
      <c r="ITK27" s="3"/>
      <c r="ITL27" s="3"/>
      <c r="ITM27" s="3"/>
      <c r="ITN27" s="3"/>
      <c r="ITO27" s="3"/>
      <c r="ITP27" s="3"/>
      <c r="ITQ27" s="3"/>
      <c r="ITR27" s="3"/>
      <c r="ITS27" s="3"/>
      <c r="ITT27" s="3"/>
      <c r="ITU27" s="3"/>
      <c r="ITV27" s="3"/>
      <c r="ITW27" s="3"/>
      <c r="ITX27" s="3"/>
      <c r="ITY27" s="3"/>
      <c r="ITZ27" s="3"/>
      <c r="IUA27" s="3"/>
      <c r="IUB27" s="3"/>
      <c r="IUC27" s="3"/>
      <c r="IUD27" s="3"/>
      <c r="IUE27" s="3"/>
      <c r="IUF27" s="3"/>
      <c r="IUG27" s="3"/>
      <c r="IUH27" s="3"/>
      <c r="IUI27" s="3"/>
      <c r="IUJ27" s="3"/>
      <c r="IUK27" s="3"/>
      <c r="IUL27" s="3"/>
      <c r="IUM27" s="3"/>
      <c r="IUN27" s="3"/>
      <c r="IUO27" s="3"/>
      <c r="IUP27" s="3"/>
      <c r="IUQ27" s="3"/>
      <c r="IUR27" s="3"/>
      <c r="IUS27" s="3"/>
      <c r="IUT27" s="3"/>
      <c r="IUU27" s="3"/>
      <c r="IUV27" s="3"/>
      <c r="IUW27" s="3"/>
      <c r="IUX27" s="3"/>
      <c r="IUY27" s="3"/>
      <c r="IUZ27" s="3"/>
      <c r="IVA27" s="3"/>
      <c r="IVB27" s="3"/>
      <c r="IVC27" s="3"/>
      <c r="IVD27" s="3"/>
      <c r="IVE27" s="3"/>
      <c r="IVF27" s="3"/>
      <c r="IVG27" s="3"/>
      <c r="IVH27" s="3"/>
      <c r="IVI27" s="3"/>
      <c r="IVJ27" s="3"/>
      <c r="IVK27" s="3"/>
      <c r="IVL27" s="3"/>
      <c r="IVM27" s="3"/>
      <c r="IVN27" s="3"/>
      <c r="IVO27" s="3"/>
      <c r="IVP27" s="3"/>
      <c r="IVQ27" s="3"/>
      <c r="IVR27" s="3"/>
      <c r="IVS27" s="3"/>
      <c r="IVT27" s="3"/>
      <c r="IVU27" s="3"/>
      <c r="IVV27" s="3"/>
      <c r="IVW27" s="3"/>
      <c r="IVX27" s="3"/>
      <c r="IVY27" s="3"/>
      <c r="IVZ27" s="3"/>
      <c r="IWA27" s="3"/>
      <c r="IWB27" s="3"/>
      <c r="IWC27" s="3"/>
      <c r="IWD27" s="3"/>
      <c r="IWE27" s="3"/>
      <c r="IWF27" s="3"/>
      <c r="IWG27" s="3"/>
      <c r="IWH27" s="3"/>
      <c r="IWI27" s="3"/>
      <c r="IWJ27" s="3"/>
      <c r="IWK27" s="3"/>
      <c r="IWL27" s="3"/>
      <c r="IWM27" s="3"/>
      <c r="IWN27" s="3"/>
      <c r="IWO27" s="3"/>
      <c r="IWP27" s="3"/>
      <c r="IWQ27" s="3"/>
      <c r="IWR27" s="3"/>
      <c r="IWS27" s="3"/>
      <c r="IWT27" s="3"/>
      <c r="IWU27" s="3"/>
      <c r="IWV27" s="3"/>
      <c r="IWW27" s="3"/>
      <c r="IWX27" s="3"/>
      <c r="IWY27" s="3"/>
      <c r="IWZ27" s="3"/>
      <c r="IXA27" s="3"/>
      <c r="IXB27" s="3"/>
      <c r="IXC27" s="3"/>
      <c r="IXD27" s="3"/>
      <c r="IXE27" s="3"/>
      <c r="IXF27" s="3"/>
      <c r="IXG27" s="3"/>
      <c r="IXH27" s="3"/>
      <c r="IXI27" s="3"/>
      <c r="IXJ27" s="3"/>
      <c r="IXK27" s="3"/>
      <c r="IXL27" s="3"/>
      <c r="IXM27" s="3"/>
      <c r="IXN27" s="3"/>
      <c r="IXO27" s="3"/>
      <c r="IXP27" s="3"/>
      <c r="IXQ27" s="3"/>
      <c r="IXR27" s="3"/>
      <c r="IXS27" s="3"/>
      <c r="IXT27" s="3"/>
      <c r="IXU27" s="3"/>
      <c r="IXV27" s="3"/>
      <c r="IXW27" s="3"/>
      <c r="IXX27" s="3"/>
      <c r="IXY27" s="3"/>
      <c r="IXZ27" s="3"/>
      <c r="IYA27" s="3"/>
      <c r="IYB27" s="3"/>
      <c r="IYC27" s="3"/>
      <c r="IYD27" s="3"/>
      <c r="IYE27" s="3"/>
      <c r="IYF27" s="3"/>
      <c r="IYG27" s="3"/>
      <c r="IYH27" s="3"/>
      <c r="IYI27" s="3"/>
      <c r="IYJ27" s="3"/>
      <c r="IYK27" s="3"/>
      <c r="IYL27" s="3"/>
      <c r="IYM27" s="3"/>
      <c r="IYN27" s="3"/>
      <c r="IYO27" s="3"/>
      <c r="IYP27" s="3"/>
      <c r="IYQ27" s="3"/>
      <c r="IYR27" s="3"/>
      <c r="IYS27" s="3"/>
      <c r="IYT27" s="3"/>
      <c r="IYU27" s="3"/>
      <c r="IYV27" s="3"/>
      <c r="IYW27" s="3"/>
      <c r="IYX27" s="3"/>
      <c r="IYY27" s="3"/>
      <c r="IYZ27" s="3"/>
      <c r="IZA27" s="3"/>
      <c r="IZB27" s="3"/>
      <c r="IZC27" s="3"/>
      <c r="IZD27" s="3"/>
      <c r="IZE27" s="3"/>
      <c r="IZF27" s="3"/>
      <c r="IZG27" s="3"/>
      <c r="IZH27" s="3"/>
      <c r="IZI27" s="3"/>
      <c r="IZJ27" s="3"/>
      <c r="IZK27" s="3"/>
      <c r="IZL27" s="3"/>
      <c r="IZM27" s="3"/>
      <c r="IZN27" s="3"/>
      <c r="IZO27" s="3"/>
      <c r="IZP27" s="3"/>
      <c r="IZQ27" s="3"/>
      <c r="IZR27" s="3"/>
      <c r="IZS27" s="3"/>
      <c r="IZT27" s="3"/>
      <c r="IZU27" s="3"/>
      <c r="IZV27" s="3"/>
      <c r="IZW27" s="3"/>
      <c r="IZX27" s="3"/>
      <c r="IZY27" s="3"/>
      <c r="IZZ27" s="3"/>
      <c r="JAA27" s="3"/>
      <c r="JAB27" s="3"/>
      <c r="JAC27" s="3"/>
      <c r="JAD27" s="3"/>
      <c r="JAE27" s="3"/>
      <c r="JAF27" s="3"/>
      <c r="JAG27" s="3"/>
      <c r="JAH27" s="3"/>
      <c r="JAI27" s="3"/>
      <c r="JAJ27" s="3"/>
      <c r="JAK27" s="3"/>
      <c r="JAL27" s="3"/>
      <c r="JAM27" s="3"/>
      <c r="JAN27" s="3"/>
      <c r="JAO27" s="3"/>
      <c r="JAP27" s="3"/>
      <c r="JAQ27" s="3"/>
      <c r="JAR27" s="3"/>
      <c r="JAS27" s="3"/>
      <c r="JAT27" s="3"/>
      <c r="JAU27" s="3"/>
      <c r="JAV27" s="3"/>
      <c r="JAW27" s="3"/>
      <c r="JAX27" s="3"/>
      <c r="JAY27" s="3"/>
      <c r="JAZ27" s="3"/>
      <c r="JBA27" s="3"/>
      <c r="JBB27" s="3"/>
      <c r="JBC27" s="3"/>
      <c r="JBD27" s="3"/>
      <c r="JBE27" s="3"/>
      <c r="JBF27" s="3"/>
      <c r="JBG27" s="3"/>
      <c r="JBH27" s="3"/>
      <c r="JBI27" s="3"/>
      <c r="JBJ27" s="3"/>
      <c r="JBK27" s="3"/>
      <c r="JBL27" s="3"/>
      <c r="JBM27" s="3"/>
      <c r="JBN27" s="3"/>
      <c r="JBO27" s="3"/>
      <c r="JBP27" s="3"/>
      <c r="JBQ27" s="3"/>
      <c r="JBR27" s="3"/>
      <c r="JBS27" s="3"/>
      <c r="JBT27" s="3"/>
      <c r="JBU27" s="3"/>
      <c r="JBV27" s="3"/>
      <c r="JBW27" s="3"/>
      <c r="JBX27" s="3"/>
      <c r="JBY27" s="3"/>
      <c r="JBZ27" s="3"/>
      <c r="JCA27" s="3"/>
      <c r="JCB27" s="3"/>
      <c r="JCC27" s="3"/>
      <c r="JCD27" s="3"/>
      <c r="JCE27" s="3"/>
      <c r="JCF27" s="3"/>
      <c r="JCG27" s="3"/>
      <c r="JCH27" s="3"/>
      <c r="JCI27" s="3"/>
      <c r="JCJ27" s="3"/>
      <c r="JCK27" s="3"/>
      <c r="JCL27" s="3"/>
      <c r="JCM27" s="3"/>
      <c r="JCN27" s="3"/>
      <c r="JCO27" s="3"/>
      <c r="JCP27" s="3"/>
      <c r="JCQ27" s="3"/>
      <c r="JCR27" s="3"/>
      <c r="JCS27" s="3"/>
      <c r="JCT27" s="3"/>
      <c r="JCU27" s="3"/>
      <c r="JCV27" s="3"/>
      <c r="JCW27" s="3"/>
      <c r="JCX27" s="3"/>
      <c r="JCY27" s="3"/>
      <c r="JCZ27" s="3"/>
      <c r="JDA27" s="3"/>
      <c r="JDB27" s="3"/>
      <c r="JDC27" s="3"/>
      <c r="JDD27" s="3"/>
      <c r="JDE27" s="3"/>
      <c r="JDF27" s="3"/>
      <c r="JDG27" s="3"/>
      <c r="JDH27" s="3"/>
      <c r="JDI27" s="3"/>
      <c r="JDJ27" s="3"/>
      <c r="JDK27" s="3"/>
      <c r="JDL27" s="3"/>
      <c r="JDM27" s="3"/>
      <c r="JDN27" s="3"/>
      <c r="JDO27" s="3"/>
      <c r="JDP27" s="3"/>
      <c r="JDQ27" s="3"/>
      <c r="JDR27" s="3"/>
      <c r="JDS27" s="3"/>
      <c r="JDT27" s="3"/>
      <c r="JDU27" s="3"/>
      <c r="JDV27" s="3"/>
      <c r="JDW27" s="3"/>
      <c r="JDX27" s="3"/>
      <c r="JDY27" s="3"/>
      <c r="JDZ27" s="3"/>
      <c r="JEA27" s="3"/>
      <c r="JEB27" s="3"/>
      <c r="JEC27" s="3"/>
      <c r="JED27" s="3"/>
      <c r="JEE27" s="3"/>
      <c r="JEF27" s="3"/>
      <c r="JEG27" s="3"/>
      <c r="JEH27" s="3"/>
      <c r="JEI27" s="3"/>
      <c r="JEJ27" s="3"/>
      <c r="JEK27" s="3"/>
      <c r="JEL27" s="3"/>
      <c r="JEM27" s="3"/>
      <c r="JEN27" s="3"/>
      <c r="JEO27" s="3"/>
      <c r="JEP27" s="3"/>
      <c r="JEQ27" s="3"/>
      <c r="JER27" s="3"/>
      <c r="JES27" s="3"/>
      <c r="JET27" s="3"/>
      <c r="JEU27" s="3"/>
      <c r="JEV27" s="3"/>
      <c r="JEW27" s="3"/>
      <c r="JEX27" s="3"/>
      <c r="JEY27" s="3"/>
      <c r="JEZ27" s="3"/>
      <c r="JFA27" s="3"/>
      <c r="JFB27" s="3"/>
      <c r="JFC27" s="3"/>
      <c r="JFD27" s="3"/>
      <c r="JFE27" s="3"/>
      <c r="JFF27" s="3"/>
      <c r="JFG27" s="3"/>
      <c r="JFH27" s="3"/>
      <c r="JFI27" s="3"/>
      <c r="JFJ27" s="3"/>
      <c r="JFK27" s="3"/>
      <c r="JFL27" s="3"/>
      <c r="JFM27" s="3"/>
      <c r="JFN27" s="3"/>
      <c r="JFO27" s="3"/>
      <c r="JFP27" s="3"/>
      <c r="JFQ27" s="3"/>
      <c r="JFR27" s="3"/>
      <c r="JFS27" s="3"/>
      <c r="JFT27" s="3"/>
      <c r="JFU27" s="3"/>
      <c r="JFV27" s="3"/>
      <c r="JFW27" s="3"/>
      <c r="JFX27" s="3"/>
      <c r="JFY27" s="3"/>
      <c r="JFZ27" s="3"/>
      <c r="JGA27" s="3"/>
      <c r="JGB27" s="3"/>
      <c r="JGC27" s="3"/>
      <c r="JGD27" s="3"/>
      <c r="JGE27" s="3"/>
      <c r="JGF27" s="3"/>
      <c r="JGG27" s="3"/>
      <c r="JGH27" s="3"/>
      <c r="JGI27" s="3"/>
      <c r="JGJ27" s="3"/>
      <c r="JGK27" s="3"/>
      <c r="JGL27" s="3"/>
      <c r="JGM27" s="3"/>
      <c r="JGN27" s="3"/>
      <c r="JGO27" s="3"/>
      <c r="JGP27" s="3"/>
      <c r="JGQ27" s="3"/>
      <c r="JGR27" s="3"/>
      <c r="JGS27" s="3"/>
      <c r="JGT27" s="3"/>
      <c r="JGU27" s="3"/>
      <c r="JGV27" s="3"/>
      <c r="JGW27" s="3"/>
      <c r="JGX27" s="3"/>
      <c r="JGY27" s="3"/>
      <c r="JGZ27" s="3"/>
      <c r="JHA27" s="3"/>
      <c r="JHB27" s="3"/>
      <c r="JHC27" s="3"/>
      <c r="JHD27" s="3"/>
      <c r="JHE27" s="3"/>
      <c r="JHF27" s="3"/>
      <c r="JHG27" s="3"/>
      <c r="JHH27" s="3"/>
      <c r="JHI27" s="3"/>
      <c r="JHJ27" s="3"/>
      <c r="JHK27" s="3"/>
      <c r="JHL27" s="3"/>
      <c r="JHM27" s="3"/>
      <c r="JHN27" s="3"/>
      <c r="JHO27" s="3"/>
      <c r="JHP27" s="3"/>
      <c r="JHQ27" s="3"/>
      <c r="JHR27" s="3"/>
      <c r="JHS27" s="3"/>
      <c r="JHT27" s="3"/>
      <c r="JHU27" s="3"/>
      <c r="JHV27" s="3"/>
      <c r="JHW27" s="3"/>
      <c r="JHX27" s="3"/>
      <c r="JHY27" s="3"/>
      <c r="JHZ27" s="3"/>
      <c r="JIA27" s="3"/>
      <c r="JIB27" s="3"/>
      <c r="JIC27" s="3"/>
      <c r="JID27" s="3"/>
      <c r="JIE27" s="3"/>
      <c r="JIF27" s="3"/>
      <c r="JIG27" s="3"/>
      <c r="JIH27" s="3"/>
      <c r="JII27" s="3"/>
      <c r="JIJ27" s="3"/>
      <c r="JIK27" s="3"/>
      <c r="JIL27" s="3"/>
      <c r="JIM27" s="3"/>
      <c r="JIN27" s="3"/>
      <c r="JIO27" s="3"/>
      <c r="JIP27" s="3"/>
      <c r="JIQ27" s="3"/>
      <c r="JIR27" s="3"/>
      <c r="JIS27" s="3"/>
      <c r="JIT27" s="3"/>
      <c r="JIU27" s="3"/>
      <c r="JIV27" s="3"/>
      <c r="JIW27" s="3"/>
      <c r="JIX27" s="3"/>
      <c r="JIY27" s="3"/>
      <c r="JIZ27" s="3"/>
      <c r="JJA27" s="3"/>
      <c r="JJB27" s="3"/>
      <c r="JJC27" s="3"/>
      <c r="JJD27" s="3"/>
      <c r="JJE27" s="3"/>
      <c r="JJF27" s="3"/>
      <c r="JJG27" s="3"/>
      <c r="JJH27" s="3"/>
      <c r="JJI27" s="3"/>
      <c r="JJJ27" s="3"/>
      <c r="JJK27" s="3"/>
      <c r="JJL27" s="3"/>
      <c r="JJM27" s="3"/>
      <c r="JJN27" s="3"/>
      <c r="JJO27" s="3"/>
      <c r="JJP27" s="3"/>
      <c r="JJQ27" s="3"/>
      <c r="JJR27" s="3"/>
      <c r="JJS27" s="3"/>
      <c r="JJT27" s="3"/>
      <c r="JJU27" s="3"/>
      <c r="JJV27" s="3"/>
      <c r="JJW27" s="3"/>
      <c r="JJX27" s="3"/>
      <c r="JJY27" s="3"/>
      <c r="JJZ27" s="3"/>
      <c r="JKA27" s="3"/>
      <c r="JKB27" s="3"/>
      <c r="JKC27" s="3"/>
      <c r="JKD27" s="3"/>
      <c r="JKE27" s="3"/>
      <c r="JKF27" s="3"/>
      <c r="JKG27" s="3"/>
      <c r="JKH27" s="3"/>
      <c r="JKI27" s="3"/>
      <c r="JKJ27" s="3"/>
      <c r="JKK27" s="3"/>
      <c r="JKL27" s="3"/>
      <c r="JKM27" s="3"/>
      <c r="JKN27" s="3"/>
      <c r="JKO27" s="3"/>
      <c r="JKP27" s="3"/>
      <c r="JKQ27" s="3"/>
      <c r="JKR27" s="3"/>
      <c r="JKS27" s="3"/>
      <c r="JKT27" s="3"/>
      <c r="JKU27" s="3"/>
      <c r="JKV27" s="3"/>
      <c r="JKW27" s="3"/>
      <c r="JKX27" s="3"/>
      <c r="JKY27" s="3"/>
      <c r="JKZ27" s="3"/>
      <c r="JLA27" s="3"/>
      <c r="JLB27" s="3"/>
      <c r="JLC27" s="3"/>
      <c r="JLD27" s="3"/>
      <c r="JLE27" s="3"/>
      <c r="JLF27" s="3"/>
      <c r="JLG27" s="3"/>
      <c r="JLH27" s="3"/>
      <c r="JLI27" s="3"/>
      <c r="JLJ27" s="3"/>
      <c r="JLK27" s="3"/>
      <c r="JLL27" s="3"/>
      <c r="JLM27" s="3"/>
      <c r="JLN27" s="3"/>
      <c r="JLO27" s="3"/>
      <c r="JLP27" s="3"/>
      <c r="JLQ27" s="3"/>
      <c r="JLR27" s="3"/>
      <c r="JLS27" s="3"/>
      <c r="JLT27" s="3"/>
      <c r="JLU27" s="3"/>
      <c r="JLV27" s="3"/>
      <c r="JLW27" s="3"/>
      <c r="JLX27" s="3"/>
      <c r="JLY27" s="3"/>
      <c r="JLZ27" s="3"/>
      <c r="JMA27" s="3"/>
      <c r="JMB27" s="3"/>
      <c r="JMC27" s="3"/>
      <c r="JMD27" s="3"/>
      <c r="JME27" s="3"/>
      <c r="JMF27" s="3"/>
      <c r="JMG27" s="3"/>
      <c r="JMH27" s="3"/>
      <c r="JMI27" s="3"/>
      <c r="JMJ27" s="3"/>
      <c r="JMK27" s="3"/>
      <c r="JML27" s="3"/>
      <c r="JMM27" s="3"/>
      <c r="JMN27" s="3"/>
      <c r="JMO27" s="3"/>
      <c r="JMP27" s="3"/>
      <c r="JMQ27" s="3"/>
      <c r="JMR27" s="3"/>
      <c r="JMS27" s="3"/>
      <c r="JMT27" s="3"/>
      <c r="JMU27" s="3"/>
      <c r="JMV27" s="3"/>
      <c r="JMW27" s="3"/>
      <c r="JMX27" s="3"/>
      <c r="JMY27" s="3"/>
      <c r="JMZ27" s="3"/>
      <c r="JNA27" s="3"/>
      <c r="JNB27" s="3"/>
      <c r="JNC27" s="3"/>
      <c r="JND27" s="3"/>
      <c r="JNE27" s="3"/>
      <c r="JNF27" s="3"/>
      <c r="JNG27" s="3"/>
      <c r="JNH27" s="3"/>
      <c r="JNI27" s="3"/>
      <c r="JNJ27" s="3"/>
      <c r="JNK27" s="3"/>
      <c r="JNL27" s="3"/>
      <c r="JNM27" s="3"/>
      <c r="JNN27" s="3"/>
      <c r="JNO27" s="3"/>
      <c r="JNP27" s="3"/>
      <c r="JNQ27" s="3"/>
      <c r="JNR27" s="3"/>
      <c r="JNS27" s="3"/>
      <c r="JNT27" s="3"/>
      <c r="JNU27" s="3"/>
      <c r="JNV27" s="3"/>
      <c r="JNW27" s="3"/>
      <c r="JNX27" s="3"/>
      <c r="JNY27" s="3"/>
      <c r="JNZ27" s="3"/>
      <c r="JOA27" s="3"/>
      <c r="JOB27" s="3"/>
      <c r="JOC27" s="3"/>
      <c r="JOD27" s="3"/>
      <c r="JOE27" s="3"/>
      <c r="JOF27" s="3"/>
      <c r="JOG27" s="3"/>
      <c r="JOH27" s="3"/>
      <c r="JOI27" s="3"/>
      <c r="JOJ27" s="3"/>
      <c r="JOK27" s="3"/>
      <c r="JOL27" s="3"/>
      <c r="JOM27" s="3"/>
      <c r="JON27" s="3"/>
      <c r="JOO27" s="3"/>
      <c r="JOP27" s="3"/>
      <c r="JOQ27" s="3"/>
      <c r="JOR27" s="3"/>
      <c r="JOS27" s="3"/>
      <c r="JOT27" s="3"/>
      <c r="JOU27" s="3"/>
      <c r="JOV27" s="3"/>
      <c r="JOW27" s="3"/>
      <c r="JOX27" s="3"/>
      <c r="JOY27" s="3"/>
      <c r="JOZ27" s="3"/>
      <c r="JPA27" s="3"/>
      <c r="JPB27" s="3"/>
      <c r="JPC27" s="3"/>
      <c r="JPD27" s="3"/>
      <c r="JPE27" s="3"/>
      <c r="JPF27" s="3"/>
      <c r="JPG27" s="3"/>
      <c r="JPH27" s="3"/>
      <c r="JPI27" s="3"/>
      <c r="JPJ27" s="3"/>
      <c r="JPK27" s="3"/>
      <c r="JPL27" s="3"/>
      <c r="JPM27" s="3"/>
      <c r="JPN27" s="3"/>
      <c r="JPO27" s="3"/>
      <c r="JPP27" s="3"/>
      <c r="JPQ27" s="3"/>
      <c r="JPR27" s="3"/>
      <c r="JPS27" s="3"/>
      <c r="JPT27" s="3"/>
      <c r="JPU27" s="3"/>
      <c r="JPV27" s="3"/>
      <c r="JPW27" s="3"/>
      <c r="JPX27" s="3"/>
      <c r="JPY27" s="3"/>
      <c r="JPZ27" s="3"/>
      <c r="JQA27" s="3"/>
      <c r="JQB27" s="3"/>
      <c r="JQC27" s="3"/>
      <c r="JQD27" s="3"/>
      <c r="JQE27" s="3"/>
      <c r="JQF27" s="3"/>
      <c r="JQG27" s="3"/>
      <c r="JQH27" s="3"/>
      <c r="JQI27" s="3"/>
      <c r="JQJ27" s="3"/>
      <c r="JQK27" s="3"/>
      <c r="JQL27" s="3"/>
      <c r="JQM27" s="3"/>
      <c r="JQN27" s="3"/>
      <c r="JQO27" s="3"/>
      <c r="JQP27" s="3"/>
      <c r="JQQ27" s="3"/>
      <c r="JQR27" s="3"/>
      <c r="JQS27" s="3"/>
      <c r="JQT27" s="3"/>
      <c r="JQU27" s="3"/>
      <c r="JQV27" s="3"/>
      <c r="JQW27" s="3"/>
      <c r="JQX27" s="3"/>
      <c r="JQY27" s="3"/>
      <c r="JQZ27" s="3"/>
      <c r="JRA27" s="3"/>
      <c r="JRB27" s="3"/>
      <c r="JRC27" s="3"/>
      <c r="JRD27" s="3"/>
      <c r="JRE27" s="3"/>
      <c r="JRF27" s="3"/>
      <c r="JRG27" s="3"/>
      <c r="JRH27" s="3"/>
      <c r="JRI27" s="3"/>
      <c r="JRJ27" s="3"/>
      <c r="JRK27" s="3"/>
      <c r="JRL27" s="3"/>
      <c r="JRM27" s="3"/>
      <c r="JRN27" s="3"/>
      <c r="JRO27" s="3"/>
      <c r="JRP27" s="3"/>
      <c r="JRQ27" s="3"/>
      <c r="JRR27" s="3"/>
      <c r="JRS27" s="3"/>
      <c r="JRT27" s="3"/>
      <c r="JRU27" s="3"/>
      <c r="JRV27" s="3"/>
      <c r="JRW27" s="3"/>
      <c r="JRX27" s="3"/>
      <c r="JRY27" s="3"/>
      <c r="JRZ27" s="3"/>
      <c r="JSA27" s="3"/>
      <c r="JSB27" s="3"/>
      <c r="JSC27" s="3"/>
      <c r="JSD27" s="3"/>
      <c r="JSE27" s="3"/>
      <c r="JSF27" s="3"/>
      <c r="JSG27" s="3"/>
      <c r="JSH27" s="3"/>
      <c r="JSI27" s="3"/>
      <c r="JSJ27" s="3"/>
      <c r="JSK27" s="3"/>
      <c r="JSL27" s="3"/>
      <c r="JSM27" s="3"/>
      <c r="JSN27" s="3"/>
      <c r="JSO27" s="3"/>
      <c r="JSP27" s="3"/>
      <c r="JSQ27" s="3"/>
      <c r="JSR27" s="3"/>
      <c r="JSS27" s="3"/>
      <c r="JST27" s="3"/>
      <c r="JSU27" s="3"/>
      <c r="JSV27" s="3"/>
      <c r="JSW27" s="3"/>
      <c r="JSX27" s="3"/>
      <c r="JSY27" s="3"/>
      <c r="JSZ27" s="3"/>
      <c r="JTA27" s="3"/>
      <c r="JTB27" s="3"/>
      <c r="JTC27" s="3"/>
      <c r="JTD27" s="3"/>
      <c r="JTE27" s="3"/>
      <c r="JTF27" s="3"/>
      <c r="JTG27" s="3"/>
      <c r="JTH27" s="3"/>
      <c r="JTI27" s="3"/>
      <c r="JTJ27" s="3"/>
      <c r="JTK27" s="3"/>
      <c r="JTL27" s="3"/>
      <c r="JTM27" s="3"/>
      <c r="JTN27" s="3"/>
      <c r="JTO27" s="3"/>
      <c r="JTP27" s="3"/>
      <c r="JTQ27" s="3"/>
      <c r="JTR27" s="3"/>
      <c r="JTS27" s="3"/>
      <c r="JTT27" s="3"/>
      <c r="JTU27" s="3"/>
      <c r="JTV27" s="3"/>
      <c r="JTW27" s="3"/>
      <c r="JTX27" s="3"/>
      <c r="JTY27" s="3"/>
      <c r="JTZ27" s="3"/>
      <c r="JUA27" s="3"/>
      <c r="JUB27" s="3"/>
      <c r="JUC27" s="3"/>
      <c r="JUD27" s="3"/>
      <c r="JUE27" s="3"/>
      <c r="JUF27" s="3"/>
      <c r="JUG27" s="3"/>
      <c r="JUH27" s="3"/>
      <c r="JUI27" s="3"/>
      <c r="JUJ27" s="3"/>
      <c r="JUK27" s="3"/>
      <c r="JUL27" s="3"/>
      <c r="JUM27" s="3"/>
      <c r="JUN27" s="3"/>
      <c r="JUO27" s="3"/>
      <c r="JUP27" s="3"/>
      <c r="JUQ27" s="3"/>
      <c r="JUR27" s="3"/>
      <c r="JUS27" s="3"/>
      <c r="JUT27" s="3"/>
      <c r="JUU27" s="3"/>
      <c r="JUV27" s="3"/>
      <c r="JUW27" s="3"/>
      <c r="JUX27" s="3"/>
      <c r="JUY27" s="3"/>
      <c r="JUZ27" s="3"/>
      <c r="JVA27" s="3"/>
      <c r="JVB27" s="3"/>
      <c r="JVC27" s="3"/>
      <c r="JVD27" s="3"/>
      <c r="JVE27" s="3"/>
      <c r="JVF27" s="3"/>
      <c r="JVG27" s="3"/>
      <c r="JVH27" s="3"/>
      <c r="JVI27" s="3"/>
      <c r="JVJ27" s="3"/>
      <c r="JVK27" s="3"/>
      <c r="JVL27" s="3"/>
      <c r="JVM27" s="3"/>
      <c r="JVN27" s="3"/>
      <c r="JVO27" s="3"/>
      <c r="JVP27" s="3"/>
      <c r="JVQ27" s="3"/>
      <c r="JVR27" s="3"/>
      <c r="JVS27" s="3"/>
      <c r="JVT27" s="3"/>
      <c r="JVU27" s="3"/>
      <c r="JVV27" s="3"/>
      <c r="JVW27" s="3"/>
      <c r="JVX27" s="3"/>
      <c r="JVY27" s="3"/>
      <c r="JVZ27" s="3"/>
      <c r="JWA27" s="3"/>
      <c r="JWB27" s="3"/>
      <c r="JWC27" s="3"/>
      <c r="JWD27" s="3"/>
      <c r="JWE27" s="3"/>
      <c r="JWF27" s="3"/>
      <c r="JWG27" s="3"/>
      <c r="JWH27" s="3"/>
      <c r="JWI27" s="3"/>
      <c r="JWJ27" s="3"/>
      <c r="JWK27" s="3"/>
      <c r="JWL27" s="3"/>
      <c r="JWM27" s="3"/>
      <c r="JWN27" s="3"/>
      <c r="JWO27" s="3"/>
      <c r="JWP27" s="3"/>
      <c r="JWQ27" s="3"/>
      <c r="JWR27" s="3"/>
      <c r="JWS27" s="3"/>
      <c r="JWT27" s="3"/>
      <c r="JWU27" s="3"/>
      <c r="JWV27" s="3"/>
      <c r="JWW27" s="3"/>
      <c r="JWX27" s="3"/>
      <c r="JWY27" s="3"/>
      <c r="JWZ27" s="3"/>
      <c r="JXA27" s="3"/>
      <c r="JXB27" s="3"/>
      <c r="JXC27" s="3"/>
      <c r="JXD27" s="3"/>
      <c r="JXE27" s="3"/>
      <c r="JXF27" s="3"/>
      <c r="JXG27" s="3"/>
      <c r="JXH27" s="3"/>
      <c r="JXI27" s="3"/>
      <c r="JXJ27" s="3"/>
      <c r="JXK27" s="3"/>
      <c r="JXL27" s="3"/>
      <c r="JXM27" s="3"/>
      <c r="JXN27" s="3"/>
      <c r="JXO27" s="3"/>
      <c r="JXP27" s="3"/>
      <c r="JXQ27" s="3"/>
      <c r="JXR27" s="3"/>
      <c r="JXS27" s="3"/>
      <c r="JXT27" s="3"/>
      <c r="JXU27" s="3"/>
      <c r="JXV27" s="3"/>
      <c r="JXW27" s="3"/>
      <c r="JXX27" s="3"/>
      <c r="JXY27" s="3"/>
      <c r="JXZ27" s="3"/>
      <c r="JYA27" s="3"/>
      <c r="JYB27" s="3"/>
      <c r="JYC27" s="3"/>
      <c r="JYD27" s="3"/>
      <c r="JYE27" s="3"/>
      <c r="JYF27" s="3"/>
      <c r="JYG27" s="3"/>
      <c r="JYH27" s="3"/>
      <c r="JYI27" s="3"/>
      <c r="JYJ27" s="3"/>
      <c r="JYK27" s="3"/>
      <c r="JYL27" s="3"/>
      <c r="JYM27" s="3"/>
      <c r="JYN27" s="3"/>
      <c r="JYO27" s="3"/>
      <c r="JYP27" s="3"/>
      <c r="JYQ27" s="3"/>
      <c r="JYR27" s="3"/>
      <c r="JYS27" s="3"/>
      <c r="JYT27" s="3"/>
      <c r="JYU27" s="3"/>
      <c r="JYV27" s="3"/>
      <c r="JYW27" s="3"/>
      <c r="JYX27" s="3"/>
      <c r="JYY27" s="3"/>
      <c r="JYZ27" s="3"/>
      <c r="JZA27" s="3"/>
      <c r="JZB27" s="3"/>
      <c r="JZC27" s="3"/>
      <c r="JZD27" s="3"/>
      <c r="JZE27" s="3"/>
      <c r="JZF27" s="3"/>
      <c r="JZG27" s="3"/>
      <c r="JZH27" s="3"/>
      <c r="JZI27" s="3"/>
      <c r="JZJ27" s="3"/>
      <c r="JZK27" s="3"/>
      <c r="JZL27" s="3"/>
      <c r="JZM27" s="3"/>
      <c r="JZN27" s="3"/>
      <c r="JZO27" s="3"/>
      <c r="JZP27" s="3"/>
      <c r="JZQ27" s="3"/>
      <c r="JZR27" s="3"/>
      <c r="JZS27" s="3"/>
      <c r="JZT27" s="3"/>
      <c r="JZU27" s="3"/>
      <c r="JZV27" s="3"/>
      <c r="JZW27" s="3"/>
      <c r="JZX27" s="3"/>
      <c r="JZY27" s="3"/>
      <c r="JZZ27" s="3"/>
      <c r="KAA27" s="3"/>
      <c r="KAB27" s="3"/>
      <c r="KAC27" s="3"/>
      <c r="KAD27" s="3"/>
      <c r="KAE27" s="3"/>
      <c r="KAF27" s="3"/>
      <c r="KAG27" s="3"/>
      <c r="KAH27" s="3"/>
      <c r="KAI27" s="3"/>
      <c r="KAJ27" s="3"/>
      <c r="KAK27" s="3"/>
      <c r="KAL27" s="3"/>
      <c r="KAM27" s="3"/>
      <c r="KAN27" s="3"/>
      <c r="KAO27" s="3"/>
      <c r="KAP27" s="3"/>
      <c r="KAQ27" s="3"/>
      <c r="KAR27" s="3"/>
      <c r="KAS27" s="3"/>
      <c r="KAT27" s="3"/>
      <c r="KAU27" s="3"/>
      <c r="KAV27" s="3"/>
      <c r="KAW27" s="3"/>
      <c r="KAX27" s="3"/>
      <c r="KAY27" s="3"/>
      <c r="KAZ27" s="3"/>
      <c r="KBA27" s="3"/>
      <c r="KBB27" s="3"/>
      <c r="KBC27" s="3"/>
      <c r="KBD27" s="3"/>
      <c r="KBE27" s="3"/>
      <c r="KBF27" s="3"/>
      <c r="KBG27" s="3"/>
      <c r="KBH27" s="3"/>
      <c r="KBI27" s="3"/>
      <c r="KBJ27" s="3"/>
      <c r="KBK27" s="3"/>
      <c r="KBL27" s="3"/>
      <c r="KBM27" s="3"/>
      <c r="KBN27" s="3"/>
      <c r="KBO27" s="3"/>
      <c r="KBP27" s="3"/>
      <c r="KBQ27" s="3"/>
      <c r="KBR27" s="3"/>
      <c r="KBS27" s="3"/>
      <c r="KBT27" s="3"/>
      <c r="KBU27" s="3"/>
      <c r="KBV27" s="3"/>
      <c r="KBW27" s="3"/>
      <c r="KBX27" s="3"/>
      <c r="KBY27" s="3"/>
      <c r="KBZ27" s="3"/>
      <c r="KCA27" s="3"/>
      <c r="KCB27" s="3"/>
      <c r="KCC27" s="3"/>
      <c r="KCD27" s="3"/>
      <c r="KCE27" s="3"/>
      <c r="KCF27" s="3"/>
      <c r="KCG27" s="3"/>
      <c r="KCH27" s="3"/>
      <c r="KCI27" s="3"/>
      <c r="KCJ27" s="3"/>
      <c r="KCK27" s="3"/>
      <c r="KCL27" s="3"/>
      <c r="KCM27" s="3"/>
      <c r="KCN27" s="3"/>
      <c r="KCO27" s="3"/>
      <c r="KCP27" s="3"/>
      <c r="KCQ27" s="3"/>
      <c r="KCR27" s="3"/>
      <c r="KCS27" s="3"/>
      <c r="KCT27" s="3"/>
      <c r="KCU27" s="3"/>
      <c r="KCV27" s="3"/>
      <c r="KCW27" s="3"/>
      <c r="KCX27" s="3"/>
      <c r="KCY27" s="3"/>
      <c r="KCZ27" s="3"/>
      <c r="KDA27" s="3"/>
      <c r="KDB27" s="3"/>
      <c r="KDC27" s="3"/>
      <c r="KDD27" s="3"/>
      <c r="KDE27" s="3"/>
      <c r="KDF27" s="3"/>
      <c r="KDG27" s="3"/>
      <c r="KDH27" s="3"/>
      <c r="KDI27" s="3"/>
      <c r="KDJ27" s="3"/>
      <c r="KDK27" s="3"/>
      <c r="KDL27" s="3"/>
      <c r="KDM27" s="3"/>
      <c r="KDN27" s="3"/>
      <c r="KDO27" s="3"/>
      <c r="KDP27" s="3"/>
      <c r="KDQ27" s="3"/>
      <c r="KDR27" s="3"/>
      <c r="KDS27" s="3"/>
      <c r="KDT27" s="3"/>
      <c r="KDU27" s="3"/>
      <c r="KDV27" s="3"/>
      <c r="KDW27" s="3"/>
      <c r="KDX27" s="3"/>
      <c r="KDY27" s="3"/>
      <c r="KDZ27" s="3"/>
      <c r="KEA27" s="3"/>
      <c r="KEB27" s="3"/>
      <c r="KEC27" s="3"/>
      <c r="KED27" s="3"/>
      <c r="KEE27" s="3"/>
      <c r="KEF27" s="3"/>
      <c r="KEG27" s="3"/>
      <c r="KEH27" s="3"/>
      <c r="KEI27" s="3"/>
      <c r="KEJ27" s="3"/>
      <c r="KEK27" s="3"/>
      <c r="KEL27" s="3"/>
      <c r="KEM27" s="3"/>
      <c r="KEN27" s="3"/>
      <c r="KEO27" s="3"/>
      <c r="KEP27" s="3"/>
      <c r="KEQ27" s="3"/>
      <c r="KER27" s="3"/>
      <c r="KES27" s="3"/>
      <c r="KET27" s="3"/>
      <c r="KEU27" s="3"/>
      <c r="KEV27" s="3"/>
      <c r="KEW27" s="3"/>
      <c r="KEX27" s="3"/>
      <c r="KEY27" s="3"/>
      <c r="KEZ27" s="3"/>
      <c r="KFA27" s="3"/>
      <c r="KFB27" s="3"/>
      <c r="KFC27" s="3"/>
      <c r="KFD27" s="3"/>
      <c r="KFE27" s="3"/>
      <c r="KFF27" s="3"/>
      <c r="KFG27" s="3"/>
      <c r="KFH27" s="3"/>
      <c r="KFI27" s="3"/>
      <c r="KFJ27" s="3"/>
      <c r="KFK27" s="3"/>
      <c r="KFL27" s="3"/>
      <c r="KFM27" s="3"/>
      <c r="KFN27" s="3"/>
      <c r="KFO27" s="3"/>
      <c r="KFP27" s="3"/>
      <c r="KFQ27" s="3"/>
      <c r="KFR27" s="3"/>
      <c r="KFS27" s="3"/>
      <c r="KFT27" s="3"/>
      <c r="KFU27" s="3"/>
      <c r="KFV27" s="3"/>
      <c r="KFW27" s="3"/>
      <c r="KFX27" s="3"/>
      <c r="KFY27" s="3"/>
      <c r="KFZ27" s="3"/>
      <c r="KGA27" s="3"/>
      <c r="KGB27" s="3"/>
      <c r="KGC27" s="3"/>
      <c r="KGD27" s="3"/>
      <c r="KGE27" s="3"/>
      <c r="KGF27" s="3"/>
      <c r="KGG27" s="3"/>
      <c r="KGH27" s="3"/>
      <c r="KGI27" s="3"/>
      <c r="KGJ27" s="3"/>
      <c r="KGK27" s="3"/>
      <c r="KGL27" s="3"/>
      <c r="KGM27" s="3"/>
      <c r="KGN27" s="3"/>
      <c r="KGO27" s="3"/>
      <c r="KGP27" s="3"/>
      <c r="KGQ27" s="3"/>
      <c r="KGR27" s="3"/>
      <c r="KGS27" s="3"/>
      <c r="KGT27" s="3"/>
      <c r="KGU27" s="3"/>
      <c r="KGV27" s="3"/>
      <c r="KGW27" s="3"/>
      <c r="KGX27" s="3"/>
      <c r="KGY27" s="3"/>
      <c r="KGZ27" s="3"/>
      <c r="KHA27" s="3"/>
      <c r="KHB27" s="3"/>
      <c r="KHC27" s="3"/>
      <c r="KHD27" s="3"/>
      <c r="KHE27" s="3"/>
      <c r="KHF27" s="3"/>
      <c r="KHG27" s="3"/>
      <c r="KHH27" s="3"/>
      <c r="KHI27" s="3"/>
      <c r="KHJ27" s="3"/>
      <c r="KHK27" s="3"/>
      <c r="KHL27" s="3"/>
      <c r="KHM27" s="3"/>
      <c r="KHN27" s="3"/>
      <c r="KHO27" s="3"/>
      <c r="KHP27" s="3"/>
      <c r="KHQ27" s="3"/>
      <c r="KHR27" s="3"/>
      <c r="KHS27" s="3"/>
      <c r="KHT27" s="3"/>
      <c r="KHU27" s="3"/>
      <c r="KHV27" s="3"/>
      <c r="KHW27" s="3"/>
      <c r="KHX27" s="3"/>
      <c r="KHY27" s="3"/>
      <c r="KHZ27" s="3"/>
      <c r="KIA27" s="3"/>
      <c r="KIB27" s="3"/>
      <c r="KIC27" s="3"/>
      <c r="KID27" s="3"/>
      <c r="KIE27" s="3"/>
      <c r="KIF27" s="3"/>
      <c r="KIG27" s="3"/>
      <c r="KIH27" s="3"/>
      <c r="KII27" s="3"/>
      <c r="KIJ27" s="3"/>
      <c r="KIK27" s="3"/>
      <c r="KIL27" s="3"/>
      <c r="KIM27" s="3"/>
      <c r="KIN27" s="3"/>
      <c r="KIO27" s="3"/>
      <c r="KIP27" s="3"/>
      <c r="KIQ27" s="3"/>
      <c r="KIR27" s="3"/>
      <c r="KIS27" s="3"/>
      <c r="KIT27" s="3"/>
      <c r="KIU27" s="3"/>
      <c r="KIV27" s="3"/>
      <c r="KIW27" s="3"/>
      <c r="KIX27" s="3"/>
      <c r="KIY27" s="3"/>
      <c r="KIZ27" s="3"/>
      <c r="KJA27" s="3"/>
      <c r="KJB27" s="3"/>
      <c r="KJC27" s="3"/>
      <c r="KJD27" s="3"/>
      <c r="KJE27" s="3"/>
      <c r="KJF27" s="3"/>
      <c r="KJG27" s="3"/>
      <c r="KJH27" s="3"/>
      <c r="KJI27" s="3"/>
      <c r="KJJ27" s="3"/>
      <c r="KJK27" s="3"/>
      <c r="KJL27" s="3"/>
      <c r="KJM27" s="3"/>
      <c r="KJN27" s="3"/>
      <c r="KJO27" s="3"/>
      <c r="KJP27" s="3"/>
      <c r="KJQ27" s="3"/>
      <c r="KJR27" s="3"/>
      <c r="KJS27" s="3"/>
      <c r="KJT27" s="3"/>
      <c r="KJU27" s="3"/>
      <c r="KJV27" s="3"/>
      <c r="KJW27" s="3"/>
      <c r="KJX27" s="3"/>
      <c r="KJY27" s="3"/>
      <c r="KJZ27" s="3"/>
      <c r="KKA27" s="3"/>
      <c r="KKB27" s="3"/>
      <c r="KKC27" s="3"/>
      <c r="KKD27" s="3"/>
      <c r="KKE27" s="3"/>
      <c r="KKF27" s="3"/>
      <c r="KKG27" s="3"/>
      <c r="KKH27" s="3"/>
      <c r="KKI27" s="3"/>
      <c r="KKJ27" s="3"/>
      <c r="KKK27" s="3"/>
      <c r="KKL27" s="3"/>
      <c r="KKM27" s="3"/>
      <c r="KKN27" s="3"/>
      <c r="KKO27" s="3"/>
      <c r="KKP27" s="3"/>
      <c r="KKQ27" s="3"/>
      <c r="KKR27" s="3"/>
      <c r="KKS27" s="3"/>
      <c r="KKT27" s="3"/>
      <c r="KKU27" s="3"/>
      <c r="KKV27" s="3"/>
      <c r="KKW27" s="3"/>
      <c r="KKX27" s="3"/>
      <c r="KKY27" s="3"/>
      <c r="KKZ27" s="3"/>
      <c r="KLA27" s="3"/>
      <c r="KLB27" s="3"/>
      <c r="KLC27" s="3"/>
      <c r="KLD27" s="3"/>
      <c r="KLE27" s="3"/>
      <c r="KLF27" s="3"/>
      <c r="KLG27" s="3"/>
      <c r="KLH27" s="3"/>
      <c r="KLI27" s="3"/>
      <c r="KLJ27" s="3"/>
      <c r="KLK27" s="3"/>
      <c r="KLL27" s="3"/>
      <c r="KLM27" s="3"/>
      <c r="KLN27" s="3"/>
      <c r="KLO27" s="3"/>
      <c r="KLP27" s="3"/>
      <c r="KLQ27" s="3"/>
      <c r="KLR27" s="3"/>
      <c r="KLS27" s="3"/>
      <c r="KLT27" s="3"/>
      <c r="KLU27" s="3"/>
      <c r="KLV27" s="3"/>
      <c r="KLW27" s="3"/>
      <c r="KLX27" s="3"/>
      <c r="KLY27" s="3"/>
      <c r="KLZ27" s="3"/>
      <c r="KMA27" s="3"/>
      <c r="KMB27" s="3"/>
      <c r="KMC27" s="3"/>
      <c r="KMD27" s="3"/>
      <c r="KME27" s="3"/>
      <c r="KMF27" s="3"/>
      <c r="KMG27" s="3"/>
      <c r="KMH27" s="3"/>
      <c r="KMI27" s="3"/>
      <c r="KMJ27" s="3"/>
      <c r="KMK27" s="3"/>
      <c r="KML27" s="3"/>
      <c r="KMM27" s="3"/>
      <c r="KMN27" s="3"/>
      <c r="KMO27" s="3"/>
      <c r="KMP27" s="3"/>
      <c r="KMQ27" s="3"/>
      <c r="KMR27" s="3"/>
      <c r="KMS27" s="3"/>
      <c r="KMT27" s="3"/>
      <c r="KMU27" s="3"/>
      <c r="KMV27" s="3"/>
      <c r="KMW27" s="3"/>
      <c r="KMX27" s="3"/>
      <c r="KMY27" s="3"/>
      <c r="KMZ27" s="3"/>
      <c r="KNA27" s="3"/>
      <c r="KNB27" s="3"/>
      <c r="KNC27" s="3"/>
      <c r="KND27" s="3"/>
      <c r="KNE27" s="3"/>
      <c r="KNF27" s="3"/>
      <c r="KNG27" s="3"/>
      <c r="KNH27" s="3"/>
      <c r="KNI27" s="3"/>
      <c r="KNJ27" s="3"/>
      <c r="KNK27" s="3"/>
      <c r="KNL27" s="3"/>
      <c r="KNM27" s="3"/>
      <c r="KNN27" s="3"/>
      <c r="KNO27" s="3"/>
      <c r="KNP27" s="3"/>
      <c r="KNQ27" s="3"/>
      <c r="KNR27" s="3"/>
      <c r="KNS27" s="3"/>
      <c r="KNT27" s="3"/>
      <c r="KNU27" s="3"/>
      <c r="KNV27" s="3"/>
      <c r="KNW27" s="3"/>
      <c r="KNX27" s="3"/>
      <c r="KNY27" s="3"/>
      <c r="KNZ27" s="3"/>
      <c r="KOA27" s="3"/>
      <c r="KOB27" s="3"/>
      <c r="KOC27" s="3"/>
      <c r="KOD27" s="3"/>
      <c r="KOE27" s="3"/>
      <c r="KOF27" s="3"/>
      <c r="KOG27" s="3"/>
      <c r="KOH27" s="3"/>
      <c r="KOI27" s="3"/>
      <c r="KOJ27" s="3"/>
      <c r="KOK27" s="3"/>
      <c r="KOL27" s="3"/>
      <c r="KOM27" s="3"/>
      <c r="KON27" s="3"/>
      <c r="KOO27" s="3"/>
      <c r="KOP27" s="3"/>
      <c r="KOQ27" s="3"/>
      <c r="KOR27" s="3"/>
      <c r="KOS27" s="3"/>
      <c r="KOT27" s="3"/>
      <c r="KOU27" s="3"/>
      <c r="KOV27" s="3"/>
      <c r="KOW27" s="3"/>
      <c r="KOX27" s="3"/>
      <c r="KOY27" s="3"/>
      <c r="KOZ27" s="3"/>
      <c r="KPA27" s="3"/>
      <c r="KPB27" s="3"/>
      <c r="KPC27" s="3"/>
      <c r="KPD27" s="3"/>
      <c r="KPE27" s="3"/>
      <c r="KPF27" s="3"/>
      <c r="KPG27" s="3"/>
      <c r="KPH27" s="3"/>
      <c r="KPI27" s="3"/>
      <c r="KPJ27" s="3"/>
      <c r="KPK27" s="3"/>
      <c r="KPL27" s="3"/>
      <c r="KPM27" s="3"/>
      <c r="KPN27" s="3"/>
      <c r="KPO27" s="3"/>
      <c r="KPP27" s="3"/>
      <c r="KPQ27" s="3"/>
      <c r="KPR27" s="3"/>
      <c r="KPS27" s="3"/>
      <c r="KPT27" s="3"/>
      <c r="KPU27" s="3"/>
      <c r="KPV27" s="3"/>
      <c r="KPW27" s="3"/>
      <c r="KPX27" s="3"/>
      <c r="KPY27" s="3"/>
      <c r="KPZ27" s="3"/>
      <c r="KQA27" s="3"/>
      <c r="KQB27" s="3"/>
      <c r="KQC27" s="3"/>
      <c r="KQD27" s="3"/>
      <c r="KQE27" s="3"/>
      <c r="KQF27" s="3"/>
      <c r="KQG27" s="3"/>
      <c r="KQH27" s="3"/>
      <c r="KQI27" s="3"/>
      <c r="KQJ27" s="3"/>
      <c r="KQK27" s="3"/>
      <c r="KQL27" s="3"/>
      <c r="KQM27" s="3"/>
      <c r="KQN27" s="3"/>
      <c r="KQO27" s="3"/>
      <c r="KQP27" s="3"/>
      <c r="KQQ27" s="3"/>
      <c r="KQR27" s="3"/>
      <c r="KQS27" s="3"/>
      <c r="KQT27" s="3"/>
      <c r="KQU27" s="3"/>
      <c r="KQV27" s="3"/>
      <c r="KQW27" s="3"/>
      <c r="KQX27" s="3"/>
      <c r="KQY27" s="3"/>
      <c r="KQZ27" s="3"/>
      <c r="KRA27" s="3"/>
      <c r="KRB27" s="3"/>
      <c r="KRC27" s="3"/>
      <c r="KRD27" s="3"/>
      <c r="KRE27" s="3"/>
      <c r="KRF27" s="3"/>
      <c r="KRG27" s="3"/>
      <c r="KRH27" s="3"/>
      <c r="KRI27" s="3"/>
      <c r="KRJ27" s="3"/>
      <c r="KRK27" s="3"/>
      <c r="KRL27" s="3"/>
      <c r="KRM27" s="3"/>
      <c r="KRN27" s="3"/>
    </row>
    <row r="28" spans="1:7918" s="380" customFormat="1">
      <c r="A28" s="26" t="e">
        <f t="shared" si="0"/>
        <v>#REF!</v>
      </c>
      <c r="B28" s="388" t="s">
        <v>586</v>
      </c>
      <c r="C28" s="223">
        <v>7120017723</v>
      </c>
      <c r="D28" s="386" t="s">
        <v>586</v>
      </c>
      <c r="E28" s="149" t="str">
        <f>VLOOKUP($B28,'Nomina Unhesa'!$B$4:$AB$209,2,0)</f>
        <v>Gerente de Mercadeo</v>
      </c>
      <c r="F28" s="221">
        <f>VLOOKUP($B28,'Nomina Unhesa'!$B$4:$AB$209,4,0)</f>
        <v>30</v>
      </c>
      <c r="G28" s="229">
        <f>VLOOKUP($B28,'Nomina Unhesa'!$B$4:$AB$209,6,0)</f>
        <v>20750</v>
      </c>
      <c r="H28" s="229">
        <f>VLOOKUP($B28,'Nomina Unhesa'!$B$4:$AB$209,7,0)</f>
        <v>3250</v>
      </c>
      <c r="I28" s="229">
        <f>VLOOKUP($B28,'Nomina Unhesa'!$B$4:$AB$209,9,0)</f>
        <v>0</v>
      </c>
      <c r="J28" s="234">
        <f>VLOOKUP($B28,'Nomina Unhesa'!$B$4:$AB$209,10,0)</f>
        <v>0</v>
      </c>
      <c r="K28" s="229">
        <f>VLOOKUP($B28,'Nomina Unhesa'!$B$4:$AB$209,11,0)</f>
        <v>0</v>
      </c>
      <c r="L28" s="229">
        <f>VLOOKUP($B28,'Nomina Unhesa'!$B$4:$AB$209,12,0)</f>
        <v>0</v>
      </c>
      <c r="M28" s="229">
        <f>VLOOKUP($B28,'Nomina Unhesa'!$B$4:$AB$209,14,0)</f>
        <v>0</v>
      </c>
      <c r="N28" s="234">
        <f>VLOOKUP($B28,'Nomina Unhesa'!$B$4:$AB$209,15,0)</f>
        <v>24000</v>
      </c>
      <c r="O28" s="234">
        <f>VLOOKUP($B28,'Nomina Unhesa'!$B$4:$AB$209,16,0)</f>
        <v>1002.23</v>
      </c>
      <c r="P28" s="234">
        <f>VLOOKUP($B28,'Nomina Unhesa'!$B$4:$AB$209,17,0)</f>
        <v>949.89</v>
      </c>
      <c r="Q28" s="234">
        <f>VLOOKUP($B28,'Nomina Unhesa'!$B$4:$AB$209,18,0)</f>
        <v>0</v>
      </c>
      <c r="R28" s="234">
        <f>VLOOKUP($B28,'Nomina Unhesa'!$B$4:$AB$209,19,0)</f>
        <v>0</v>
      </c>
      <c r="S28" s="234">
        <f>VLOOKUP($B28,'Nomina Unhesa'!$B$4:$AB$209,20,0)</f>
        <v>0</v>
      </c>
      <c r="T28" s="234">
        <f>VLOOKUP($B28,'Nomina Unhesa'!$B$4:$AB$209,21,0)</f>
        <v>0</v>
      </c>
      <c r="U28" s="234">
        <f>VLOOKUP($B28,'Nomina Unhesa'!$B$4:$AB$209,22,0)</f>
        <v>0</v>
      </c>
      <c r="V28" s="234">
        <f>ROUND((VLOOKUP($B28,'Nomina Unhesa'!$B$4:$AB$209,23,0)),2)</f>
        <v>0</v>
      </c>
      <c r="W28" s="234">
        <f>VLOOKUP($B28,'Nomina Unhesa'!$B$4:$AB$209,24,0)</f>
        <v>1952.12</v>
      </c>
      <c r="X28" s="234">
        <f>VLOOKUP(B28,'Nomina Unhesa'!$B$9:$Z$163,25,FALSE)</f>
        <v>22047.88</v>
      </c>
      <c r="Y28" s="234">
        <f>ROUND((VLOOKUP(B28,'Nomina Unhesa'!$B$9:$AB$157,26,FALSE)),2)</f>
        <v>10998.71</v>
      </c>
      <c r="Z28" s="219">
        <f>VLOOKUP(B28,'Nomina Unhesa'!$B$9:$AB$158,27,FALSE)</f>
        <v>11049.170000000002</v>
      </c>
      <c r="AA28" s="444"/>
      <c r="AB28" s="389">
        <f>+IFERROR(VLOOKUP(B28,'Nomina Unhesa'!B37:D185,3,0),"")</f>
        <v>20750</v>
      </c>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c r="IY28" s="3"/>
      <c r="IZ28" s="3"/>
      <c r="JA28" s="3"/>
      <c r="JB28" s="3"/>
      <c r="JC28" s="3"/>
      <c r="JD28" s="3"/>
      <c r="JE28" s="3"/>
      <c r="JF28" s="3"/>
      <c r="JG28" s="3"/>
      <c r="JH28" s="3"/>
      <c r="JI28" s="3"/>
      <c r="JJ28" s="3"/>
      <c r="JK28" s="3"/>
      <c r="JL28" s="3"/>
      <c r="JM28" s="3"/>
      <c r="JN28" s="3"/>
      <c r="JO28" s="3"/>
      <c r="JP28" s="3"/>
      <c r="JQ28" s="3"/>
      <c r="JR28" s="3"/>
      <c r="JS28" s="3"/>
      <c r="JT28" s="3"/>
      <c r="JU28" s="3"/>
      <c r="JV28" s="3"/>
      <c r="JW28" s="3"/>
      <c r="JX28" s="3"/>
      <c r="JY28" s="3"/>
      <c r="JZ28" s="3"/>
      <c r="KA28" s="3"/>
      <c r="KB28" s="3"/>
      <c r="KC28" s="3"/>
      <c r="KD28" s="3"/>
      <c r="KE28" s="3"/>
      <c r="KF28" s="3"/>
      <c r="KG28" s="3"/>
      <c r="KH28" s="3"/>
      <c r="KI28" s="3"/>
      <c r="KJ28" s="3"/>
      <c r="KK28" s="3"/>
      <c r="KL28" s="3"/>
      <c r="KM28" s="3"/>
      <c r="KN28" s="3"/>
      <c r="KO28" s="3"/>
      <c r="KP28" s="3"/>
      <c r="KQ28" s="3"/>
      <c r="KR28" s="3"/>
      <c r="KS28" s="3"/>
      <c r="KT28" s="3"/>
      <c r="KU28" s="3"/>
      <c r="KV28" s="3"/>
      <c r="KW28" s="3"/>
      <c r="KX28" s="3"/>
      <c r="KY28" s="3"/>
      <c r="KZ28" s="3"/>
      <c r="LA28" s="3"/>
      <c r="LB28" s="3"/>
      <c r="LC28" s="3"/>
      <c r="LD28" s="3"/>
      <c r="LE28" s="3"/>
      <c r="LF28" s="3"/>
      <c r="LG28" s="3"/>
      <c r="LH28" s="3"/>
      <c r="LI28" s="3"/>
      <c r="LJ28" s="3"/>
      <c r="LK28" s="3"/>
      <c r="LL28" s="3"/>
      <c r="LM28" s="3"/>
      <c r="LN28" s="3"/>
      <c r="LO28" s="3"/>
      <c r="LP28" s="3"/>
      <c r="LQ28" s="3"/>
      <c r="LR28" s="3"/>
      <c r="LS28" s="3"/>
      <c r="LT28" s="3"/>
      <c r="LU28" s="3"/>
      <c r="LV28" s="3"/>
      <c r="LW28" s="3"/>
      <c r="LX28" s="3"/>
      <c r="LY28" s="3"/>
      <c r="LZ28" s="3"/>
      <c r="MA28" s="3"/>
      <c r="MB28" s="3"/>
      <c r="MC28" s="3"/>
      <c r="MD28" s="3"/>
      <c r="ME28" s="3"/>
      <c r="MF28" s="3"/>
      <c r="MG28" s="3"/>
      <c r="MH28" s="3"/>
      <c r="MI28" s="3"/>
      <c r="MJ28" s="3"/>
      <c r="MK28" s="3"/>
      <c r="ML28" s="3"/>
      <c r="MM28" s="3"/>
      <c r="MN28" s="3"/>
      <c r="MO28" s="3"/>
      <c r="MP28" s="3"/>
      <c r="MQ28" s="3"/>
      <c r="MR28" s="3"/>
      <c r="MS28" s="3"/>
      <c r="MT28" s="3"/>
      <c r="MU28" s="3"/>
      <c r="MV28" s="3"/>
      <c r="MW28" s="3"/>
      <c r="MX28" s="3"/>
      <c r="MY28" s="3"/>
      <c r="MZ28" s="3"/>
      <c r="NA28" s="3"/>
      <c r="NB28" s="3"/>
      <c r="NC28" s="3"/>
      <c r="ND28" s="3"/>
      <c r="NE28" s="3"/>
      <c r="NF28" s="3"/>
      <c r="NG28" s="3"/>
      <c r="NH28" s="3"/>
      <c r="NI28" s="3"/>
      <c r="NJ28" s="3"/>
      <c r="NK28" s="3"/>
      <c r="NL28" s="3"/>
      <c r="NM28" s="3"/>
      <c r="NN28" s="3"/>
      <c r="NO28" s="3"/>
      <c r="NP28" s="3"/>
      <c r="NQ28" s="3"/>
      <c r="NR28" s="3"/>
      <c r="NS28" s="3"/>
      <c r="NT28" s="3"/>
      <c r="NU28" s="3"/>
      <c r="NV28" s="3"/>
      <c r="NW28" s="3"/>
      <c r="NX28" s="3"/>
      <c r="NY28" s="3"/>
      <c r="NZ28" s="3"/>
      <c r="OA28" s="3"/>
      <c r="OB28" s="3"/>
      <c r="OC28" s="3"/>
      <c r="OD28" s="3"/>
      <c r="OE28" s="3"/>
      <c r="OF28" s="3"/>
      <c r="OG28" s="3"/>
      <c r="OH28" s="3"/>
      <c r="OI28" s="3"/>
      <c r="OJ28" s="3"/>
      <c r="OK28" s="3"/>
      <c r="OL28" s="3"/>
      <c r="OM28" s="3"/>
      <c r="ON28" s="3"/>
      <c r="OO28" s="3"/>
      <c r="OP28" s="3"/>
      <c r="OQ28" s="3"/>
      <c r="OR28" s="3"/>
      <c r="OS28" s="3"/>
      <c r="OT28" s="3"/>
      <c r="OU28" s="3"/>
      <c r="OV28" s="3"/>
      <c r="OW28" s="3"/>
      <c r="OX28" s="3"/>
      <c r="OY28" s="3"/>
      <c r="OZ28" s="3"/>
      <c r="PA28" s="3"/>
      <c r="PB28" s="3"/>
      <c r="PC28" s="3"/>
      <c r="PD28" s="3"/>
      <c r="PE28" s="3"/>
      <c r="PF28" s="3"/>
      <c r="PG28" s="3"/>
      <c r="PH28" s="3"/>
      <c r="PI28" s="3"/>
      <c r="PJ28" s="3"/>
      <c r="PK28" s="3"/>
      <c r="PL28" s="3"/>
      <c r="PM28" s="3"/>
      <c r="PN28" s="3"/>
      <c r="PO28" s="3"/>
      <c r="PP28" s="3"/>
      <c r="PQ28" s="3"/>
      <c r="PR28" s="3"/>
      <c r="PS28" s="3"/>
      <c r="PT28" s="3"/>
      <c r="PU28" s="3"/>
      <c r="PV28" s="3"/>
      <c r="PW28" s="3"/>
      <c r="PX28" s="3"/>
      <c r="PY28" s="3"/>
      <c r="PZ28" s="3"/>
      <c r="QA28" s="3"/>
      <c r="QB28" s="3"/>
      <c r="QC28" s="3"/>
      <c r="QD28" s="3"/>
      <c r="QE28" s="3"/>
      <c r="QF28" s="3"/>
      <c r="QG28" s="3"/>
      <c r="QH28" s="3"/>
      <c r="QI28" s="3"/>
      <c r="QJ28" s="3"/>
      <c r="QK28" s="3"/>
      <c r="QL28" s="3"/>
      <c r="QM28" s="3"/>
      <c r="QN28" s="3"/>
      <c r="QO28" s="3"/>
      <c r="QP28" s="3"/>
      <c r="QQ28" s="3"/>
      <c r="QR28" s="3"/>
      <c r="QS28" s="3"/>
      <c r="QT28" s="3"/>
      <c r="QU28" s="3"/>
      <c r="QV28" s="3"/>
      <c r="QW28" s="3"/>
      <c r="QX28" s="3"/>
      <c r="QY28" s="3"/>
      <c r="QZ28" s="3"/>
      <c r="RA28" s="3"/>
      <c r="RB28" s="3"/>
      <c r="RC28" s="3"/>
      <c r="RD28" s="3"/>
      <c r="RE28" s="3"/>
      <c r="RF28" s="3"/>
      <c r="RG28" s="3"/>
      <c r="RH28" s="3"/>
      <c r="RI28" s="3"/>
      <c r="RJ28" s="3"/>
      <c r="RK28" s="3"/>
      <c r="RL28" s="3"/>
      <c r="RM28" s="3"/>
      <c r="RN28" s="3"/>
      <c r="RO28" s="3"/>
      <c r="RP28" s="3"/>
      <c r="RQ28" s="3"/>
      <c r="RR28" s="3"/>
      <c r="RS28" s="3"/>
      <c r="RT28" s="3"/>
      <c r="RU28" s="3"/>
      <c r="RV28" s="3"/>
      <c r="RW28" s="3"/>
      <c r="RX28" s="3"/>
      <c r="RY28" s="3"/>
      <c r="RZ28" s="3"/>
      <c r="SA28" s="3"/>
      <c r="SB28" s="3"/>
      <c r="SC28" s="3"/>
      <c r="SD28" s="3"/>
      <c r="SE28" s="3"/>
      <c r="SF28" s="3"/>
      <c r="SG28" s="3"/>
      <c r="SH28" s="3"/>
      <c r="SI28" s="3"/>
      <c r="SJ28" s="3"/>
      <c r="SK28" s="3"/>
      <c r="SL28" s="3"/>
      <c r="SM28" s="3"/>
      <c r="SN28" s="3"/>
      <c r="SO28" s="3"/>
      <c r="SP28" s="3"/>
      <c r="SQ28" s="3"/>
      <c r="SR28" s="3"/>
      <c r="SS28" s="3"/>
      <c r="ST28" s="3"/>
      <c r="SU28" s="3"/>
      <c r="SV28" s="3"/>
      <c r="SW28" s="3"/>
      <c r="SX28" s="3"/>
      <c r="SY28" s="3"/>
      <c r="SZ28" s="3"/>
      <c r="TA28" s="3"/>
      <c r="TB28" s="3"/>
      <c r="TC28" s="3"/>
      <c r="TD28" s="3"/>
      <c r="TE28" s="3"/>
      <c r="TF28" s="3"/>
      <c r="TG28" s="3"/>
      <c r="TH28" s="3"/>
      <c r="TI28" s="3"/>
      <c r="TJ28" s="3"/>
      <c r="TK28" s="3"/>
      <c r="TL28" s="3"/>
      <c r="TM28" s="3"/>
      <c r="TN28" s="3"/>
      <c r="TO28" s="3"/>
      <c r="TP28" s="3"/>
      <c r="TQ28" s="3"/>
      <c r="TR28" s="3"/>
      <c r="TS28" s="3"/>
      <c r="TT28" s="3"/>
      <c r="TU28" s="3"/>
      <c r="TV28" s="3"/>
      <c r="TW28" s="3"/>
      <c r="TX28" s="3"/>
      <c r="TY28" s="3"/>
      <c r="TZ28" s="3"/>
      <c r="UA28" s="3"/>
      <c r="UB28" s="3"/>
      <c r="UC28" s="3"/>
      <c r="UD28" s="3"/>
      <c r="UE28" s="3"/>
      <c r="UF28" s="3"/>
      <c r="UG28" s="3"/>
      <c r="UH28" s="3"/>
      <c r="UI28" s="3"/>
      <c r="UJ28" s="3"/>
      <c r="UK28" s="3"/>
      <c r="UL28" s="3"/>
      <c r="UM28" s="3"/>
      <c r="UN28" s="3"/>
      <c r="UO28" s="3"/>
      <c r="UP28" s="3"/>
      <c r="UQ28" s="3"/>
      <c r="UR28" s="3"/>
      <c r="US28" s="3"/>
      <c r="UT28" s="3"/>
      <c r="UU28" s="3"/>
      <c r="UV28" s="3"/>
      <c r="UW28" s="3"/>
      <c r="UX28" s="3"/>
      <c r="UY28" s="3"/>
      <c r="UZ28" s="3"/>
      <c r="VA28" s="3"/>
      <c r="VB28" s="3"/>
      <c r="VC28" s="3"/>
      <c r="VD28" s="3"/>
      <c r="VE28" s="3"/>
      <c r="VF28" s="3"/>
      <c r="VG28" s="3"/>
      <c r="VH28" s="3"/>
      <c r="VI28" s="3"/>
      <c r="VJ28" s="3"/>
      <c r="VK28" s="3"/>
      <c r="VL28" s="3"/>
      <c r="VM28" s="3"/>
      <c r="VN28" s="3"/>
      <c r="VO28" s="3"/>
      <c r="VP28" s="3"/>
      <c r="VQ28" s="3"/>
      <c r="VR28" s="3"/>
      <c r="VS28" s="3"/>
      <c r="VT28" s="3"/>
      <c r="VU28" s="3"/>
      <c r="VV28" s="3"/>
      <c r="VW28" s="3"/>
      <c r="VX28" s="3"/>
      <c r="VY28" s="3"/>
      <c r="VZ28" s="3"/>
      <c r="WA28" s="3"/>
      <c r="WB28" s="3"/>
      <c r="WC28" s="3"/>
      <c r="WD28" s="3"/>
      <c r="WE28" s="3"/>
      <c r="WF28" s="3"/>
      <c r="WG28" s="3"/>
      <c r="WH28" s="3"/>
      <c r="WI28" s="3"/>
      <c r="WJ28" s="3"/>
      <c r="WK28" s="3"/>
      <c r="WL28" s="3"/>
      <c r="WM28" s="3"/>
      <c r="WN28" s="3"/>
      <c r="WO28" s="3"/>
      <c r="WP28" s="3"/>
      <c r="WQ28" s="3"/>
      <c r="WR28" s="3"/>
      <c r="WS28" s="3"/>
      <c r="WT28" s="3"/>
      <c r="WU28" s="3"/>
      <c r="WV28" s="3"/>
      <c r="WW28" s="3"/>
      <c r="WX28" s="3"/>
      <c r="WY28" s="3"/>
      <c r="WZ28" s="3"/>
      <c r="XA28" s="3"/>
      <c r="XB28" s="3"/>
      <c r="XC28" s="3"/>
      <c r="XD28" s="3"/>
      <c r="XE28" s="3"/>
      <c r="XF28" s="3"/>
      <c r="XG28" s="3"/>
      <c r="XH28" s="3"/>
      <c r="XI28" s="3"/>
      <c r="XJ28" s="3"/>
      <c r="XK28" s="3"/>
      <c r="XL28" s="3"/>
      <c r="XM28" s="3"/>
      <c r="XN28" s="3"/>
      <c r="XO28" s="3"/>
      <c r="XP28" s="3"/>
      <c r="XQ28" s="3"/>
      <c r="XR28" s="3"/>
      <c r="XS28" s="3"/>
      <c r="XT28" s="3"/>
      <c r="XU28" s="3"/>
      <c r="XV28" s="3"/>
      <c r="XW28" s="3"/>
      <c r="XX28" s="3"/>
      <c r="XY28" s="3"/>
      <c r="XZ28" s="3"/>
      <c r="YA28" s="3"/>
      <c r="YB28" s="3"/>
      <c r="YC28" s="3"/>
      <c r="YD28" s="3"/>
      <c r="YE28" s="3"/>
      <c r="YF28" s="3"/>
      <c r="YG28" s="3"/>
      <c r="YH28" s="3"/>
      <c r="YI28" s="3"/>
      <c r="YJ28" s="3"/>
      <c r="YK28" s="3"/>
      <c r="YL28" s="3"/>
      <c r="YM28" s="3"/>
      <c r="YN28" s="3"/>
      <c r="YO28" s="3"/>
      <c r="YP28" s="3"/>
      <c r="YQ28" s="3"/>
      <c r="YR28" s="3"/>
      <c r="YS28" s="3"/>
      <c r="YT28" s="3"/>
      <c r="YU28" s="3"/>
      <c r="YV28" s="3"/>
      <c r="YW28" s="3"/>
      <c r="YX28" s="3"/>
      <c r="YY28" s="3"/>
      <c r="YZ28" s="3"/>
      <c r="ZA28" s="3"/>
      <c r="ZB28" s="3"/>
      <c r="ZC28" s="3"/>
      <c r="ZD28" s="3"/>
      <c r="ZE28" s="3"/>
      <c r="ZF28" s="3"/>
      <c r="ZG28" s="3"/>
      <c r="ZH28" s="3"/>
      <c r="ZI28" s="3"/>
      <c r="ZJ28" s="3"/>
      <c r="ZK28" s="3"/>
      <c r="ZL28" s="3"/>
      <c r="ZM28" s="3"/>
      <c r="ZN28" s="3"/>
      <c r="ZO28" s="3"/>
      <c r="ZP28" s="3"/>
      <c r="ZQ28" s="3"/>
      <c r="ZR28" s="3"/>
      <c r="ZS28" s="3"/>
      <c r="ZT28" s="3"/>
      <c r="ZU28" s="3"/>
      <c r="ZV28" s="3"/>
      <c r="ZW28" s="3"/>
      <c r="ZX28" s="3"/>
      <c r="ZY28" s="3"/>
      <c r="ZZ28" s="3"/>
      <c r="AAA28" s="3"/>
      <c r="AAB28" s="3"/>
      <c r="AAC28" s="3"/>
      <c r="AAD28" s="3"/>
      <c r="AAE28" s="3"/>
      <c r="AAF28" s="3"/>
      <c r="AAG28" s="3"/>
      <c r="AAH28" s="3"/>
      <c r="AAI28" s="3"/>
      <c r="AAJ28" s="3"/>
      <c r="AAK28" s="3"/>
      <c r="AAL28" s="3"/>
      <c r="AAM28" s="3"/>
      <c r="AAN28" s="3"/>
      <c r="AAO28" s="3"/>
      <c r="AAP28" s="3"/>
      <c r="AAQ28" s="3"/>
      <c r="AAR28" s="3"/>
      <c r="AAS28" s="3"/>
      <c r="AAT28" s="3"/>
      <c r="AAU28" s="3"/>
      <c r="AAV28" s="3"/>
      <c r="AAW28" s="3"/>
      <c r="AAX28" s="3"/>
      <c r="AAY28" s="3"/>
      <c r="AAZ28" s="3"/>
      <c r="ABA28" s="3"/>
      <c r="ABB28" s="3"/>
      <c r="ABC28" s="3"/>
      <c r="ABD28" s="3"/>
      <c r="ABE28" s="3"/>
      <c r="ABF28" s="3"/>
      <c r="ABG28" s="3"/>
      <c r="ABH28" s="3"/>
      <c r="ABI28" s="3"/>
      <c r="ABJ28" s="3"/>
      <c r="ABK28" s="3"/>
      <c r="ABL28" s="3"/>
      <c r="ABM28" s="3"/>
      <c r="ABN28" s="3"/>
      <c r="ABO28" s="3"/>
      <c r="ABP28" s="3"/>
      <c r="ABQ28" s="3"/>
      <c r="ABR28" s="3"/>
      <c r="ABS28" s="3"/>
      <c r="ABT28" s="3"/>
      <c r="ABU28" s="3"/>
      <c r="ABV28" s="3"/>
      <c r="ABW28" s="3"/>
      <c r="ABX28" s="3"/>
      <c r="ABY28" s="3"/>
      <c r="ABZ28" s="3"/>
      <c r="ACA28" s="3"/>
      <c r="ACB28" s="3"/>
      <c r="ACC28" s="3"/>
      <c r="ACD28" s="3"/>
      <c r="ACE28" s="3"/>
      <c r="ACF28" s="3"/>
      <c r="ACG28" s="3"/>
      <c r="ACH28" s="3"/>
      <c r="ACI28" s="3"/>
      <c r="ACJ28" s="3"/>
      <c r="ACK28" s="3"/>
      <c r="ACL28" s="3"/>
      <c r="ACM28" s="3"/>
      <c r="ACN28" s="3"/>
      <c r="ACO28" s="3"/>
      <c r="ACP28" s="3"/>
      <c r="ACQ28" s="3"/>
      <c r="ACR28" s="3"/>
      <c r="ACS28" s="3"/>
      <c r="ACT28" s="3"/>
      <c r="ACU28" s="3"/>
      <c r="ACV28" s="3"/>
      <c r="ACW28" s="3"/>
      <c r="ACX28" s="3"/>
      <c r="ACY28" s="3"/>
      <c r="ACZ28" s="3"/>
      <c r="ADA28" s="3"/>
      <c r="ADB28" s="3"/>
      <c r="ADC28" s="3"/>
      <c r="ADD28" s="3"/>
      <c r="ADE28" s="3"/>
      <c r="ADF28" s="3"/>
      <c r="ADG28" s="3"/>
      <c r="ADH28" s="3"/>
      <c r="ADI28" s="3"/>
      <c r="ADJ28" s="3"/>
      <c r="ADK28" s="3"/>
      <c r="ADL28" s="3"/>
      <c r="ADM28" s="3"/>
      <c r="ADN28" s="3"/>
      <c r="ADO28" s="3"/>
      <c r="ADP28" s="3"/>
      <c r="ADQ28" s="3"/>
      <c r="ADR28" s="3"/>
      <c r="ADS28" s="3"/>
      <c r="ADT28" s="3"/>
      <c r="ADU28" s="3"/>
      <c r="ADV28" s="3"/>
      <c r="ADW28" s="3"/>
      <c r="ADX28" s="3"/>
      <c r="ADY28" s="3"/>
      <c r="ADZ28" s="3"/>
      <c r="AEA28" s="3"/>
      <c r="AEB28" s="3"/>
      <c r="AEC28" s="3"/>
      <c r="AED28" s="3"/>
      <c r="AEE28" s="3"/>
      <c r="AEF28" s="3"/>
      <c r="AEG28" s="3"/>
      <c r="AEH28" s="3"/>
      <c r="AEI28" s="3"/>
      <c r="AEJ28" s="3"/>
      <c r="AEK28" s="3"/>
      <c r="AEL28" s="3"/>
      <c r="AEM28" s="3"/>
      <c r="AEN28" s="3"/>
      <c r="AEO28" s="3"/>
      <c r="AEP28" s="3"/>
      <c r="AEQ28" s="3"/>
      <c r="AER28" s="3"/>
      <c r="AES28" s="3"/>
      <c r="AET28" s="3"/>
      <c r="AEU28" s="3"/>
      <c r="AEV28" s="3"/>
      <c r="AEW28" s="3"/>
      <c r="AEX28" s="3"/>
      <c r="AEY28" s="3"/>
      <c r="AEZ28" s="3"/>
      <c r="AFA28" s="3"/>
      <c r="AFB28" s="3"/>
      <c r="AFC28" s="3"/>
      <c r="AFD28" s="3"/>
      <c r="AFE28" s="3"/>
      <c r="AFF28" s="3"/>
      <c r="AFG28" s="3"/>
      <c r="AFH28" s="3"/>
      <c r="AFI28" s="3"/>
      <c r="AFJ28" s="3"/>
      <c r="AFK28" s="3"/>
      <c r="AFL28" s="3"/>
      <c r="AFM28" s="3"/>
      <c r="AFN28" s="3"/>
      <c r="AFO28" s="3"/>
      <c r="AFP28" s="3"/>
      <c r="AFQ28" s="3"/>
      <c r="AFR28" s="3"/>
      <c r="AFS28" s="3"/>
      <c r="AFT28" s="3"/>
      <c r="AFU28" s="3"/>
      <c r="AFV28" s="3"/>
      <c r="AFW28" s="3"/>
      <c r="AFX28" s="3"/>
      <c r="AFY28" s="3"/>
      <c r="AFZ28" s="3"/>
      <c r="AGA28" s="3"/>
      <c r="AGB28" s="3"/>
      <c r="AGC28" s="3"/>
      <c r="AGD28" s="3"/>
      <c r="AGE28" s="3"/>
      <c r="AGF28" s="3"/>
      <c r="AGG28" s="3"/>
      <c r="AGH28" s="3"/>
      <c r="AGI28" s="3"/>
      <c r="AGJ28" s="3"/>
      <c r="AGK28" s="3"/>
      <c r="AGL28" s="3"/>
      <c r="AGM28" s="3"/>
      <c r="AGN28" s="3"/>
      <c r="AGO28" s="3"/>
      <c r="AGP28" s="3"/>
      <c r="AGQ28" s="3"/>
      <c r="AGR28" s="3"/>
      <c r="AGS28" s="3"/>
      <c r="AGT28" s="3"/>
      <c r="AGU28" s="3"/>
      <c r="AGV28" s="3"/>
      <c r="AGW28" s="3"/>
      <c r="AGX28" s="3"/>
      <c r="AGY28" s="3"/>
      <c r="AGZ28" s="3"/>
      <c r="AHA28" s="3"/>
      <c r="AHB28" s="3"/>
      <c r="AHC28" s="3"/>
      <c r="AHD28" s="3"/>
      <c r="AHE28" s="3"/>
      <c r="AHF28" s="3"/>
      <c r="AHG28" s="3"/>
      <c r="AHH28" s="3"/>
      <c r="AHI28" s="3"/>
      <c r="AHJ28" s="3"/>
      <c r="AHK28" s="3"/>
      <c r="AHL28" s="3"/>
      <c r="AHM28" s="3"/>
      <c r="AHN28" s="3"/>
      <c r="AHO28" s="3"/>
      <c r="AHP28" s="3"/>
      <c r="AHQ28" s="3"/>
      <c r="AHR28" s="3"/>
      <c r="AHS28" s="3"/>
      <c r="AHT28" s="3"/>
      <c r="AHU28" s="3"/>
      <c r="AHV28" s="3"/>
      <c r="AHW28" s="3"/>
      <c r="AHX28" s="3"/>
      <c r="AHY28" s="3"/>
      <c r="AHZ28" s="3"/>
      <c r="AIA28" s="3"/>
      <c r="AIB28" s="3"/>
      <c r="AIC28" s="3"/>
      <c r="AID28" s="3"/>
      <c r="AIE28" s="3"/>
      <c r="AIF28" s="3"/>
      <c r="AIG28" s="3"/>
      <c r="AIH28" s="3"/>
      <c r="AII28" s="3"/>
      <c r="AIJ28" s="3"/>
      <c r="AIK28" s="3"/>
      <c r="AIL28" s="3"/>
      <c r="AIM28" s="3"/>
      <c r="AIN28" s="3"/>
      <c r="AIO28" s="3"/>
      <c r="AIP28" s="3"/>
      <c r="AIQ28" s="3"/>
      <c r="AIR28" s="3"/>
      <c r="AIS28" s="3"/>
      <c r="AIT28" s="3"/>
      <c r="AIU28" s="3"/>
      <c r="AIV28" s="3"/>
      <c r="AIW28" s="3"/>
      <c r="AIX28" s="3"/>
      <c r="AIY28" s="3"/>
      <c r="AIZ28" s="3"/>
      <c r="AJA28" s="3"/>
      <c r="AJB28" s="3"/>
      <c r="AJC28" s="3"/>
      <c r="AJD28" s="3"/>
      <c r="AJE28" s="3"/>
      <c r="AJF28" s="3"/>
      <c r="AJG28" s="3"/>
      <c r="AJH28" s="3"/>
      <c r="AJI28" s="3"/>
      <c r="AJJ28" s="3"/>
      <c r="AJK28" s="3"/>
      <c r="AJL28" s="3"/>
      <c r="AJM28" s="3"/>
      <c r="AJN28" s="3"/>
      <c r="AJO28" s="3"/>
      <c r="AJP28" s="3"/>
      <c r="AJQ28" s="3"/>
      <c r="AJR28" s="3"/>
      <c r="AJS28" s="3"/>
      <c r="AJT28" s="3"/>
      <c r="AJU28" s="3"/>
      <c r="AJV28" s="3"/>
      <c r="AJW28" s="3"/>
      <c r="AJX28" s="3"/>
      <c r="AJY28" s="3"/>
      <c r="AJZ28" s="3"/>
      <c r="AKA28" s="3"/>
      <c r="AKB28" s="3"/>
      <c r="AKC28" s="3"/>
      <c r="AKD28" s="3"/>
      <c r="AKE28" s="3"/>
      <c r="AKF28" s="3"/>
      <c r="AKG28" s="3"/>
      <c r="AKH28" s="3"/>
      <c r="AKI28" s="3"/>
      <c r="AKJ28" s="3"/>
      <c r="AKK28" s="3"/>
      <c r="AKL28" s="3"/>
      <c r="AKM28" s="3"/>
      <c r="AKN28" s="3"/>
      <c r="AKO28" s="3"/>
      <c r="AKP28" s="3"/>
      <c r="AKQ28" s="3"/>
      <c r="AKR28" s="3"/>
      <c r="AKS28" s="3"/>
      <c r="AKT28" s="3"/>
      <c r="AKU28" s="3"/>
      <c r="AKV28" s="3"/>
      <c r="AKW28" s="3"/>
      <c r="AKX28" s="3"/>
      <c r="AKY28" s="3"/>
      <c r="AKZ28" s="3"/>
      <c r="ALA28" s="3"/>
      <c r="ALB28" s="3"/>
      <c r="ALC28" s="3"/>
      <c r="ALD28" s="3"/>
      <c r="ALE28" s="3"/>
      <c r="ALF28" s="3"/>
      <c r="ALG28" s="3"/>
      <c r="ALH28" s="3"/>
      <c r="ALI28" s="3"/>
      <c r="ALJ28" s="3"/>
      <c r="ALK28" s="3"/>
      <c r="ALL28" s="3"/>
      <c r="ALM28" s="3"/>
      <c r="ALN28" s="3"/>
      <c r="ALO28" s="3"/>
      <c r="ALP28" s="3"/>
      <c r="ALQ28" s="3"/>
      <c r="ALR28" s="3"/>
      <c r="ALS28" s="3"/>
      <c r="ALT28" s="3"/>
      <c r="ALU28" s="3"/>
      <c r="ALV28" s="3"/>
      <c r="ALW28" s="3"/>
      <c r="ALX28" s="3"/>
      <c r="ALY28" s="3"/>
      <c r="ALZ28" s="3"/>
      <c r="AMA28" s="3"/>
      <c r="AMB28" s="3"/>
      <c r="AMC28" s="3"/>
      <c r="AMD28" s="3"/>
      <c r="AME28" s="3"/>
      <c r="AMF28" s="3"/>
      <c r="AMG28" s="3"/>
      <c r="AMH28" s="3"/>
      <c r="AMI28" s="3"/>
      <c r="AMJ28" s="3"/>
      <c r="AMK28" s="3"/>
      <c r="AML28" s="3"/>
      <c r="AMM28" s="3"/>
      <c r="AMN28" s="3"/>
      <c r="AMO28" s="3"/>
      <c r="AMP28" s="3"/>
      <c r="AMQ28" s="3"/>
      <c r="AMR28" s="3"/>
      <c r="AMS28" s="3"/>
      <c r="AMT28" s="3"/>
      <c r="AMU28" s="3"/>
      <c r="AMV28" s="3"/>
      <c r="AMW28" s="3"/>
      <c r="AMX28" s="3"/>
      <c r="AMY28" s="3"/>
      <c r="AMZ28" s="3"/>
      <c r="ANA28" s="3"/>
      <c r="ANB28" s="3"/>
      <c r="ANC28" s="3"/>
      <c r="AND28" s="3"/>
      <c r="ANE28" s="3"/>
      <c r="ANF28" s="3"/>
      <c r="ANG28" s="3"/>
      <c r="ANH28" s="3"/>
      <c r="ANI28" s="3"/>
      <c r="ANJ28" s="3"/>
      <c r="ANK28" s="3"/>
      <c r="ANL28" s="3"/>
      <c r="ANM28" s="3"/>
      <c r="ANN28" s="3"/>
      <c r="ANO28" s="3"/>
      <c r="ANP28" s="3"/>
      <c r="ANQ28" s="3"/>
      <c r="ANR28" s="3"/>
      <c r="ANS28" s="3"/>
      <c r="ANT28" s="3"/>
      <c r="ANU28" s="3"/>
      <c r="ANV28" s="3"/>
      <c r="ANW28" s="3"/>
      <c r="ANX28" s="3"/>
      <c r="ANY28" s="3"/>
      <c r="ANZ28" s="3"/>
      <c r="AOA28" s="3"/>
      <c r="AOB28" s="3"/>
      <c r="AOC28" s="3"/>
      <c r="AOD28" s="3"/>
      <c r="AOE28" s="3"/>
      <c r="AOF28" s="3"/>
      <c r="AOG28" s="3"/>
      <c r="AOH28" s="3"/>
      <c r="AOI28" s="3"/>
      <c r="AOJ28" s="3"/>
      <c r="AOK28" s="3"/>
      <c r="AOL28" s="3"/>
      <c r="AOM28" s="3"/>
      <c r="AON28" s="3"/>
      <c r="AOO28" s="3"/>
      <c r="AOP28" s="3"/>
      <c r="AOQ28" s="3"/>
      <c r="AOR28" s="3"/>
      <c r="AOS28" s="3"/>
      <c r="AOT28" s="3"/>
      <c r="AOU28" s="3"/>
      <c r="AOV28" s="3"/>
      <c r="AOW28" s="3"/>
      <c r="AOX28" s="3"/>
      <c r="AOY28" s="3"/>
      <c r="AOZ28" s="3"/>
      <c r="APA28" s="3"/>
      <c r="APB28" s="3"/>
      <c r="APC28" s="3"/>
      <c r="APD28" s="3"/>
      <c r="APE28" s="3"/>
      <c r="APF28" s="3"/>
      <c r="APG28" s="3"/>
      <c r="APH28" s="3"/>
      <c r="API28" s="3"/>
      <c r="APJ28" s="3"/>
      <c r="APK28" s="3"/>
      <c r="APL28" s="3"/>
      <c r="APM28" s="3"/>
      <c r="APN28" s="3"/>
      <c r="APO28" s="3"/>
      <c r="APP28" s="3"/>
      <c r="APQ28" s="3"/>
      <c r="APR28" s="3"/>
      <c r="APS28" s="3"/>
      <c r="APT28" s="3"/>
      <c r="APU28" s="3"/>
      <c r="APV28" s="3"/>
      <c r="APW28" s="3"/>
      <c r="APX28" s="3"/>
      <c r="APY28" s="3"/>
      <c r="APZ28" s="3"/>
      <c r="AQA28" s="3"/>
      <c r="AQB28" s="3"/>
      <c r="AQC28" s="3"/>
      <c r="AQD28" s="3"/>
      <c r="AQE28" s="3"/>
      <c r="AQF28" s="3"/>
      <c r="AQG28" s="3"/>
      <c r="AQH28" s="3"/>
      <c r="AQI28" s="3"/>
      <c r="AQJ28" s="3"/>
      <c r="AQK28" s="3"/>
      <c r="AQL28" s="3"/>
      <c r="AQM28" s="3"/>
      <c r="AQN28" s="3"/>
      <c r="AQO28" s="3"/>
      <c r="AQP28" s="3"/>
      <c r="AQQ28" s="3"/>
      <c r="AQR28" s="3"/>
      <c r="AQS28" s="3"/>
      <c r="AQT28" s="3"/>
      <c r="AQU28" s="3"/>
      <c r="AQV28" s="3"/>
      <c r="AQW28" s="3"/>
      <c r="AQX28" s="3"/>
      <c r="AQY28" s="3"/>
      <c r="AQZ28" s="3"/>
      <c r="ARA28" s="3"/>
      <c r="ARB28" s="3"/>
      <c r="ARC28" s="3"/>
      <c r="ARD28" s="3"/>
      <c r="ARE28" s="3"/>
      <c r="ARF28" s="3"/>
      <c r="ARG28" s="3"/>
      <c r="ARH28" s="3"/>
      <c r="ARI28" s="3"/>
      <c r="ARJ28" s="3"/>
      <c r="ARK28" s="3"/>
      <c r="ARL28" s="3"/>
      <c r="ARM28" s="3"/>
      <c r="ARN28" s="3"/>
      <c r="ARO28" s="3"/>
      <c r="ARP28" s="3"/>
      <c r="ARQ28" s="3"/>
      <c r="ARR28" s="3"/>
      <c r="ARS28" s="3"/>
      <c r="ART28" s="3"/>
      <c r="ARU28" s="3"/>
      <c r="ARV28" s="3"/>
      <c r="ARW28" s="3"/>
      <c r="ARX28" s="3"/>
      <c r="ARY28" s="3"/>
      <c r="ARZ28" s="3"/>
      <c r="ASA28" s="3"/>
      <c r="ASB28" s="3"/>
      <c r="ASC28" s="3"/>
      <c r="ASD28" s="3"/>
      <c r="ASE28" s="3"/>
      <c r="ASF28" s="3"/>
      <c r="ASG28" s="3"/>
      <c r="ASH28" s="3"/>
      <c r="ASI28" s="3"/>
      <c r="ASJ28" s="3"/>
      <c r="ASK28" s="3"/>
      <c r="ASL28" s="3"/>
      <c r="ASM28" s="3"/>
      <c r="ASN28" s="3"/>
      <c r="ASO28" s="3"/>
      <c r="ASP28" s="3"/>
      <c r="ASQ28" s="3"/>
      <c r="ASR28" s="3"/>
      <c r="ASS28" s="3"/>
      <c r="AST28" s="3"/>
      <c r="ASU28" s="3"/>
      <c r="ASV28" s="3"/>
      <c r="ASW28" s="3"/>
      <c r="ASX28" s="3"/>
      <c r="ASY28" s="3"/>
      <c r="ASZ28" s="3"/>
      <c r="ATA28" s="3"/>
      <c r="ATB28" s="3"/>
      <c r="ATC28" s="3"/>
      <c r="ATD28" s="3"/>
      <c r="ATE28" s="3"/>
      <c r="ATF28" s="3"/>
      <c r="ATG28" s="3"/>
      <c r="ATH28" s="3"/>
      <c r="ATI28" s="3"/>
      <c r="ATJ28" s="3"/>
      <c r="ATK28" s="3"/>
      <c r="ATL28" s="3"/>
      <c r="ATM28" s="3"/>
      <c r="ATN28" s="3"/>
      <c r="ATO28" s="3"/>
      <c r="ATP28" s="3"/>
      <c r="ATQ28" s="3"/>
      <c r="ATR28" s="3"/>
      <c r="ATS28" s="3"/>
      <c r="ATT28" s="3"/>
      <c r="ATU28" s="3"/>
      <c r="ATV28" s="3"/>
      <c r="ATW28" s="3"/>
      <c r="ATX28" s="3"/>
      <c r="ATY28" s="3"/>
      <c r="ATZ28" s="3"/>
      <c r="AUA28" s="3"/>
      <c r="AUB28" s="3"/>
      <c r="AUC28" s="3"/>
      <c r="AUD28" s="3"/>
      <c r="AUE28" s="3"/>
      <c r="AUF28" s="3"/>
      <c r="AUG28" s="3"/>
      <c r="AUH28" s="3"/>
      <c r="AUI28" s="3"/>
      <c r="AUJ28" s="3"/>
      <c r="AUK28" s="3"/>
      <c r="AUL28" s="3"/>
      <c r="AUM28" s="3"/>
      <c r="AUN28" s="3"/>
      <c r="AUO28" s="3"/>
      <c r="AUP28" s="3"/>
      <c r="AUQ28" s="3"/>
      <c r="AUR28" s="3"/>
      <c r="AUS28" s="3"/>
      <c r="AUT28" s="3"/>
      <c r="AUU28" s="3"/>
      <c r="AUV28" s="3"/>
      <c r="AUW28" s="3"/>
      <c r="AUX28" s="3"/>
      <c r="AUY28" s="3"/>
      <c r="AUZ28" s="3"/>
      <c r="AVA28" s="3"/>
      <c r="AVB28" s="3"/>
      <c r="AVC28" s="3"/>
      <c r="AVD28" s="3"/>
      <c r="AVE28" s="3"/>
      <c r="AVF28" s="3"/>
      <c r="AVG28" s="3"/>
      <c r="AVH28" s="3"/>
      <c r="AVI28" s="3"/>
      <c r="AVJ28" s="3"/>
      <c r="AVK28" s="3"/>
      <c r="AVL28" s="3"/>
      <c r="AVM28" s="3"/>
      <c r="AVN28" s="3"/>
      <c r="AVO28" s="3"/>
      <c r="AVP28" s="3"/>
      <c r="AVQ28" s="3"/>
      <c r="AVR28" s="3"/>
      <c r="AVS28" s="3"/>
      <c r="AVT28" s="3"/>
      <c r="AVU28" s="3"/>
      <c r="AVV28" s="3"/>
      <c r="AVW28" s="3"/>
      <c r="AVX28" s="3"/>
      <c r="AVY28" s="3"/>
      <c r="AVZ28" s="3"/>
      <c r="AWA28" s="3"/>
      <c r="AWB28" s="3"/>
      <c r="AWC28" s="3"/>
      <c r="AWD28" s="3"/>
      <c r="AWE28" s="3"/>
      <c r="AWF28" s="3"/>
      <c r="AWG28" s="3"/>
      <c r="AWH28" s="3"/>
      <c r="AWI28" s="3"/>
      <c r="AWJ28" s="3"/>
      <c r="AWK28" s="3"/>
      <c r="AWL28" s="3"/>
      <c r="AWM28" s="3"/>
      <c r="AWN28" s="3"/>
      <c r="AWO28" s="3"/>
      <c r="AWP28" s="3"/>
      <c r="AWQ28" s="3"/>
      <c r="AWR28" s="3"/>
      <c r="AWS28" s="3"/>
      <c r="AWT28" s="3"/>
      <c r="AWU28" s="3"/>
      <c r="AWV28" s="3"/>
      <c r="AWW28" s="3"/>
      <c r="AWX28" s="3"/>
      <c r="AWY28" s="3"/>
      <c r="AWZ28" s="3"/>
      <c r="AXA28" s="3"/>
      <c r="AXB28" s="3"/>
      <c r="AXC28" s="3"/>
      <c r="AXD28" s="3"/>
      <c r="AXE28" s="3"/>
      <c r="AXF28" s="3"/>
      <c r="AXG28" s="3"/>
      <c r="AXH28" s="3"/>
      <c r="AXI28" s="3"/>
      <c r="AXJ28" s="3"/>
      <c r="AXK28" s="3"/>
      <c r="AXL28" s="3"/>
      <c r="AXM28" s="3"/>
      <c r="AXN28" s="3"/>
      <c r="AXO28" s="3"/>
      <c r="AXP28" s="3"/>
      <c r="AXQ28" s="3"/>
      <c r="AXR28" s="3"/>
      <c r="AXS28" s="3"/>
      <c r="AXT28" s="3"/>
      <c r="AXU28" s="3"/>
      <c r="AXV28" s="3"/>
      <c r="AXW28" s="3"/>
      <c r="AXX28" s="3"/>
      <c r="AXY28" s="3"/>
      <c r="AXZ28" s="3"/>
      <c r="AYA28" s="3"/>
      <c r="AYB28" s="3"/>
      <c r="AYC28" s="3"/>
      <c r="AYD28" s="3"/>
      <c r="AYE28" s="3"/>
      <c r="AYF28" s="3"/>
      <c r="AYG28" s="3"/>
      <c r="AYH28" s="3"/>
      <c r="AYI28" s="3"/>
      <c r="AYJ28" s="3"/>
      <c r="AYK28" s="3"/>
      <c r="AYL28" s="3"/>
      <c r="AYM28" s="3"/>
      <c r="AYN28" s="3"/>
      <c r="AYO28" s="3"/>
      <c r="AYP28" s="3"/>
      <c r="AYQ28" s="3"/>
      <c r="AYR28" s="3"/>
      <c r="AYS28" s="3"/>
      <c r="AYT28" s="3"/>
      <c r="AYU28" s="3"/>
      <c r="AYV28" s="3"/>
      <c r="AYW28" s="3"/>
      <c r="AYX28" s="3"/>
      <c r="AYY28" s="3"/>
      <c r="AYZ28" s="3"/>
      <c r="AZA28" s="3"/>
      <c r="AZB28" s="3"/>
      <c r="AZC28" s="3"/>
      <c r="AZD28" s="3"/>
      <c r="AZE28" s="3"/>
      <c r="AZF28" s="3"/>
      <c r="AZG28" s="3"/>
      <c r="AZH28" s="3"/>
      <c r="AZI28" s="3"/>
      <c r="AZJ28" s="3"/>
      <c r="AZK28" s="3"/>
      <c r="AZL28" s="3"/>
      <c r="AZM28" s="3"/>
      <c r="AZN28" s="3"/>
      <c r="AZO28" s="3"/>
      <c r="AZP28" s="3"/>
      <c r="AZQ28" s="3"/>
      <c r="AZR28" s="3"/>
      <c r="AZS28" s="3"/>
      <c r="AZT28" s="3"/>
      <c r="AZU28" s="3"/>
      <c r="AZV28" s="3"/>
      <c r="AZW28" s="3"/>
      <c r="AZX28" s="3"/>
      <c r="AZY28" s="3"/>
      <c r="AZZ28" s="3"/>
      <c r="BAA28" s="3"/>
      <c r="BAB28" s="3"/>
      <c r="BAC28" s="3"/>
      <c r="BAD28" s="3"/>
      <c r="BAE28" s="3"/>
      <c r="BAF28" s="3"/>
      <c r="BAG28" s="3"/>
      <c r="BAH28" s="3"/>
      <c r="BAI28" s="3"/>
      <c r="BAJ28" s="3"/>
      <c r="BAK28" s="3"/>
      <c r="BAL28" s="3"/>
      <c r="BAM28" s="3"/>
      <c r="BAN28" s="3"/>
      <c r="BAO28" s="3"/>
      <c r="BAP28" s="3"/>
      <c r="BAQ28" s="3"/>
      <c r="BAR28" s="3"/>
      <c r="BAS28" s="3"/>
      <c r="BAT28" s="3"/>
      <c r="BAU28" s="3"/>
      <c r="BAV28" s="3"/>
      <c r="BAW28" s="3"/>
      <c r="BAX28" s="3"/>
      <c r="BAY28" s="3"/>
      <c r="BAZ28" s="3"/>
      <c r="BBA28" s="3"/>
      <c r="BBB28" s="3"/>
      <c r="BBC28" s="3"/>
      <c r="BBD28" s="3"/>
      <c r="BBE28" s="3"/>
      <c r="BBF28" s="3"/>
      <c r="BBG28" s="3"/>
      <c r="BBH28" s="3"/>
      <c r="BBI28" s="3"/>
      <c r="BBJ28" s="3"/>
      <c r="BBK28" s="3"/>
      <c r="BBL28" s="3"/>
      <c r="BBM28" s="3"/>
      <c r="BBN28" s="3"/>
      <c r="BBO28" s="3"/>
      <c r="BBP28" s="3"/>
      <c r="BBQ28" s="3"/>
      <c r="BBR28" s="3"/>
      <c r="BBS28" s="3"/>
      <c r="BBT28" s="3"/>
      <c r="BBU28" s="3"/>
      <c r="BBV28" s="3"/>
      <c r="BBW28" s="3"/>
      <c r="BBX28" s="3"/>
      <c r="BBY28" s="3"/>
      <c r="BBZ28" s="3"/>
      <c r="BCA28" s="3"/>
      <c r="BCB28" s="3"/>
      <c r="BCC28" s="3"/>
      <c r="BCD28" s="3"/>
      <c r="BCE28" s="3"/>
      <c r="BCF28" s="3"/>
      <c r="BCG28" s="3"/>
      <c r="BCH28" s="3"/>
      <c r="BCI28" s="3"/>
      <c r="BCJ28" s="3"/>
      <c r="BCK28" s="3"/>
      <c r="BCL28" s="3"/>
      <c r="BCM28" s="3"/>
      <c r="BCN28" s="3"/>
      <c r="BCO28" s="3"/>
      <c r="BCP28" s="3"/>
      <c r="BCQ28" s="3"/>
      <c r="BCR28" s="3"/>
      <c r="BCS28" s="3"/>
      <c r="BCT28" s="3"/>
      <c r="BCU28" s="3"/>
      <c r="BCV28" s="3"/>
      <c r="BCW28" s="3"/>
      <c r="BCX28" s="3"/>
      <c r="BCY28" s="3"/>
      <c r="BCZ28" s="3"/>
      <c r="BDA28" s="3"/>
      <c r="BDB28" s="3"/>
      <c r="BDC28" s="3"/>
      <c r="BDD28" s="3"/>
      <c r="BDE28" s="3"/>
      <c r="BDF28" s="3"/>
      <c r="BDG28" s="3"/>
      <c r="BDH28" s="3"/>
      <c r="BDI28" s="3"/>
      <c r="BDJ28" s="3"/>
      <c r="BDK28" s="3"/>
      <c r="BDL28" s="3"/>
      <c r="BDM28" s="3"/>
      <c r="BDN28" s="3"/>
      <c r="BDO28" s="3"/>
      <c r="BDP28" s="3"/>
      <c r="BDQ28" s="3"/>
      <c r="BDR28" s="3"/>
      <c r="BDS28" s="3"/>
      <c r="BDT28" s="3"/>
      <c r="BDU28" s="3"/>
      <c r="BDV28" s="3"/>
      <c r="BDW28" s="3"/>
      <c r="BDX28" s="3"/>
      <c r="BDY28" s="3"/>
      <c r="BDZ28" s="3"/>
      <c r="BEA28" s="3"/>
      <c r="BEB28" s="3"/>
      <c r="BEC28" s="3"/>
      <c r="BED28" s="3"/>
      <c r="BEE28" s="3"/>
      <c r="BEF28" s="3"/>
      <c r="BEG28" s="3"/>
      <c r="BEH28" s="3"/>
      <c r="BEI28" s="3"/>
      <c r="BEJ28" s="3"/>
      <c r="BEK28" s="3"/>
      <c r="BEL28" s="3"/>
      <c r="BEM28" s="3"/>
      <c r="BEN28" s="3"/>
      <c r="BEO28" s="3"/>
      <c r="BEP28" s="3"/>
      <c r="BEQ28" s="3"/>
      <c r="BER28" s="3"/>
      <c r="BES28" s="3"/>
      <c r="BET28" s="3"/>
      <c r="BEU28" s="3"/>
      <c r="BEV28" s="3"/>
      <c r="BEW28" s="3"/>
      <c r="BEX28" s="3"/>
      <c r="BEY28" s="3"/>
      <c r="BEZ28" s="3"/>
      <c r="BFA28" s="3"/>
      <c r="BFB28" s="3"/>
      <c r="BFC28" s="3"/>
      <c r="BFD28" s="3"/>
      <c r="BFE28" s="3"/>
      <c r="BFF28" s="3"/>
      <c r="BFG28" s="3"/>
      <c r="BFH28" s="3"/>
      <c r="BFI28" s="3"/>
      <c r="BFJ28" s="3"/>
      <c r="BFK28" s="3"/>
      <c r="BFL28" s="3"/>
      <c r="BFM28" s="3"/>
      <c r="BFN28" s="3"/>
      <c r="BFO28" s="3"/>
      <c r="BFP28" s="3"/>
      <c r="BFQ28" s="3"/>
      <c r="BFR28" s="3"/>
      <c r="BFS28" s="3"/>
      <c r="BFT28" s="3"/>
      <c r="BFU28" s="3"/>
      <c r="BFV28" s="3"/>
      <c r="BFW28" s="3"/>
      <c r="BFX28" s="3"/>
      <c r="BFY28" s="3"/>
      <c r="BFZ28" s="3"/>
      <c r="BGA28" s="3"/>
      <c r="BGB28" s="3"/>
      <c r="BGC28" s="3"/>
      <c r="BGD28" s="3"/>
      <c r="BGE28" s="3"/>
      <c r="BGF28" s="3"/>
      <c r="BGG28" s="3"/>
      <c r="BGH28" s="3"/>
      <c r="BGI28" s="3"/>
      <c r="BGJ28" s="3"/>
      <c r="BGK28" s="3"/>
      <c r="BGL28" s="3"/>
      <c r="BGM28" s="3"/>
      <c r="BGN28" s="3"/>
      <c r="BGO28" s="3"/>
      <c r="BGP28" s="3"/>
      <c r="BGQ28" s="3"/>
      <c r="BGR28" s="3"/>
      <c r="BGS28" s="3"/>
      <c r="BGT28" s="3"/>
      <c r="BGU28" s="3"/>
      <c r="BGV28" s="3"/>
      <c r="BGW28" s="3"/>
      <c r="BGX28" s="3"/>
      <c r="BGY28" s="3"/>
      <c r="BGZ28" s="3"/>
      <c r="BHA28" s="3"/>
      <c r="BHB28" s="3"/>
      <c r="BHC28" s="3"/>
      <c r="BHD28" s="3"/>
      <c r="BHE28" s="3"/>
      <c r="BHF28" s="3"/>
      <c r="BHG28" s="3"/>
      <c r="BHH28" s="3"/>
      <c r="BHI28" s="3"/>
      <c r="BHJ28" s="3"/>
      <c r="BHK28" s="3"/>
      <c r="BHL28" s="3"/>
      <c r="BHM28" s="3"/>
      <c r="BHN28" s="3"/>
      <c r="BHO28" s="3"/>
      <c r="BHP28" s="3"/>
      <c r="BHQ28" s="3"/>
      <c r="BHR28" s="3"/>
      <c r="BHS28" s="3"/>
      <c r="BHT28" s="3"/>
      <c r="BHU28" s="3"/>
      <c r="BHV28" s="3"/>
      <c r="BHW28" s="3"/>
      <c r="BHX28" s="3"/>
      <c r="BHY28" s="3"/>
      <c r="BHZ28" s="3"/>
      <c r="BIA28" s="3"/>
      <c r="BIB28" s="3"/>
      <c r="BIC28" s="3"/>
      <c r="BID28" s="3"/>
      <c r="BIE28" s="3"/>
      <c r="BIF28" s="3"/>
      <c r="BIG28" s="3"/>
      <c r="BIH28" s="3"/>
      <c r="BII28" s="3"/>
      <c r="BIJ28" s="3"/>
      <c r="BIK28" s="3"/>
      <c r="BIL28" s="3"/>
      <c r="BIM28" s="3"/>
      <c r="BIN28" s="3"/>
      <c r="BIO28" s="3"/>
      <c r="BIP28" s="3"/>
      <c r="BIQ28" s="3"/>
      <c r="BIR28" s="3"/>
      <c r="BIS28" s="3"/>
      <c r="BIT28" s="3"/>
      <c r="BIU28" s="3"/>
      <c r="BIV28" s="3"/>
      <c r="BIW28" s="3"/>
      <c r="BIX28" s="3"/>
      <c r="BIY28" s="3"/>
      <c r="BIZ28" s="3"/>
      <c r="BJA28" s="3"/>
      <c r="BJB28" s="3"/>
      <c r="BJC28" s="3"/>
      <c r="BJD28" s="3"/>
      <c r="BJE28" s="3"/>
      <c r="BJF28" s="3"/>
      <c r="BJG28" s="3"/>
      <c r="BJH28" s="3"/>
      <c r="BJI28" s="3"/>
      <c r="BJJ28" s="3"/>
      <c r="BJK28" s="3"/>
      <c r="BJL28" s="3"/>
      <c r="BJM28" s="3"/>
      <c r="BJN28" s="3"/>
      <c r="BJO28" s="3"/>
      <c r="BJP28" s="3"/>
      <c r="BJQ28" s="3"/>
      <c r="BJR28" s="3"/>
      <c r="BJS28" s="3"/>
      <c r="BJT28" s="3"/>
      <c r="BJU28" s="3"/>
      <c r="BJV28" s="3"/>
      <c r="BJW28" s="3"/>
      <c r="BJX28" s="3"/>
      <c r="BJY28" s="3"/>
      <c r="BJZ28" s="3"/>
      <c r="BKA28" s="3"/>
      <c r="BKB28" s="3"/>
      <c r="BKC28" s="3"/>
      <c r="BKD28" s="3"/>
      <c r="BKE28" s="3"/>
      <c r="BKF28" s="3"/>
      <c r="BKG28" s="3"/>
      <c r="BKH28" s="3"/>
      <c r="BKI28" s="3"/>
      <c r="BKJ28" s="3"/>
      <c r="BKK28" s="3"/>
      <c r="BKL28" s="3"/>
      <c r="BKM28" s="3"/>
      <c r="BKN28" s="3"/>
      <c r="BKO28" s="3"/>
      <c r="BKP28" s="3"/>
      <c r="BKQ28" s="3"/>
      <c r="BKR28" s="3"/>
      <c r="BKS28" s="3"/>
      <c r="BKT28" s="3"/>
      <c r="BKU28" s="3"/>
      <c r="BKV28" s="3"/>
      <c r="BKW28" s="3"/>
      <c r="BKX28" s="3"/>
      <c r="BKY28" s="3"/>
      <c r="BKZ28" s="3"/>
      <c r="BLA28" s="3"/>
      <c r="BLB28" s="3"/>
      <c r="BLC28" s="3"/>
      <c r="BLD28" s="3"/>
      <c r="BLE28" s="3"/>
      <c r="BLF28" s="3"/>
      <c r="BLG28" s="3"/>
      <c r="BLH28" s="3"/>
      <c r="BLI28" s="3"/>
      <c r="BLJ28" s="3"/>
      <c r="BLK28" s="3"/>
      <c r="BLL28" s="3"/>
      <c r="BLM28" s="3"/>
      <c r="BLN28" s="3"/>
      <c r="BLO28" s="3"/>
      <c r="BLP28" s="3"/>
      <c r="BLQ28" s="3"/>
      <c r="BLR28" s="3"/>
      <c r="BLS28" s="3"/>
      <c r="BLT28" s="3"/>
      <c r="BLU28" s="3"/>
      <c r="BLV28" s="3"/>
      <c r="BLW28" s="3"/>
      <c r="BLX28" s="3"/>
      <c r="BLY28" s="3"/>
      <c r="BLZ28" s="3"/>
      <c r="BMA28" s="3"/>
      <c r="BMB28" s="3"/>
      <c r="BMC28" s="3"/>
      <c r="BMD28" s="3"/>
      <c r="BME28" s="3"/>
      <c r="BMF28" s="3"/>
      <c r="BMG28" s="3"/>
      <c r="BMH28" s="3"/>
      <c r="BMI28" s="3"/>
      <c r="BMJ28" s="3"/>
      <c r="BMK28" s="3"/>
      <c r="BML28" s="3"/>
      <c r="BMM28" s="3"/>
      <c r="BMN28" s="3"/>
      <c r="BMO28" s="3"/>
      <c r="BMP28" s="3"/>
      <c r="BMQ28" s="3"/>
      <c r="BMR28" s="3"/>
      <c r="BMS28" s="3"/>
      <c r="BMT28" s="3"/>
      <c r="BMU28" s="3"/>
      <c r="BMV28" s="3"/>
      <c r="BMW28" s="3"/>
      <c r="BMX28" s="3"/>
      <c r="BMY28" s="3"/>
      <c r="BMZ28" s="3"/>
      <c r="BNA28" s="3"/>
      <c r="BNB28" s="3"/>
      <c r="BNC28" s="3"/>
      <c r="BND28" s="3"/>
      <c r="BNE28" s="3"/>
      <c r="BNF28" s="3"/>
      <c r="BNG28" s="3"/>
      <c r="BNH28" s="3"/>
      <c r="BNI28" s="3"/>
      <c r="BNJ28" s="3"/>
      <c r="BNK28" s="3"/>
      <c r="BNL28" s="3"/>
      <c r="BNM28" s="3"/>
      <c r="BNN28" s="3"/>
      <c r="BNO28" s="3"/>
      <c r="BNP28" s="3"/>
      <c r="BNQ28" s="3"/>
      <c r="BNR28" s="3"/>
      <c r="BNS28" s="3"/>
      <c r="BNT28" s="3"/>
      <c r="BNU28" s="3"/>
      <c r="BNV28" s="3"/>
      <c r="BNW28" s="3"/>
      <c r="BNX28" s="3"/>
      <c r="BNY28" s="3"/>
      <c r="BNZ28" s="3"/>
      <c r="BOA28" s="3"/>
      <c r="BOB28" s="3"/>
      <c r="BOC28" s="3"/>
      <c r="BOD28" s="3"/>
      <c r="BOE28" s="3"/>
      <c r="BOF28" s="3"/>
      <c r="BOG28" s="3"/>
      <c r="BOH28" s="3"/>
      <c r="BOI28" s="3"/>
      <c r="BOJ28" s="3"/>
      <c r="BOK28" s="3"/>
      <c r="BOL28" s="3"/>
      <c r="BOM28" s="3"/>
      <c r="BON28" s="3"/>
      <c r="BOO28" s="3"/>
      <c r="BOP28" s="3"/>
      <c r="BOQ28" s="3"/>
      <c r="BOR28" s="3"/>
      <c r="BOS28" s="3"/>
      <c r="BOT28" s="3"/>
      <c r="BOU28" s="3"/>
      <c r="BOV28" s="3"/>
      <c r="BOW28" s="3"/>
      <c r="BOX28" s="3"/>
      <c r="BOY28" s="3"/>
      <c r="BOZ28" s="3"/>
      <c r="BPA28" s="3"/>
      <c r="BPB28" s="3"/>
      <c r="BPC28" s="3"/>
      <c r="BPD28" s="3"/>
      <c r="BPE28" s="3"/>
      <c r="BPF28" s="3"/>
      <c r="BPG28" s="3"/>
      <c r="BPH28" s="3"/>
      <c r="BPI28" s="3"/>
      <c r="BPJ28" s="3"/>
      <c r="BPK28" s="3"/>
      <c r="BPL28" s="3"/>
      <c r="BPM28" s="3"/>
      <c r="BPN28" s="3"/>
      <c r="BPO28" s="3"/>
      <c r="BPP28" s="3"/>
      <c r="BPQ28" s="3"/>
      <c r="BPR28" s="3"/>
      <c r="BPS28" s="3"/>
      <c r="BPT28" s="3"/>
      <c r="BPU28" s="3"/>
      <c r="BPV28" s="3"/>
      <c r="BPW28" s="3"/>
      <c r="BPX28" s="3"/>
      <c r="BPY28" s="3"/>
      <c r="BPZ28" s="3"/>
      <c r="BQA28" s="3"/>
      <c r="BQB28" s="3"/>
      <c r="BQC28" s="3"/>
      <c r="BQD28" s="3"/>
      <c r="BQE28" s="3"/>
      <c r="BQF28" s="3"/>
      <c r="BQG28" s="3"/>
      <c r="BQH28" s="3"/>
      <c r="BQI28" s="3"/>
      <c r="BQJ28" s="3"/>
      <c r="BQK28" s="3"/>
      <c r="BQL28" s="3"/>
      <c r="BQM28" s="3"/>
      <c r="BQN28" s="3"/>
      <c r="BQO28" s="3"/>
      <c r="BQP28" s="3"/>
      <c r="BQQ28" s="3"/>
      <c r="BQR28" s="3"/>
      <c r="BQS28" s="3"/>
      <c r="BQT28" s="3"/>
      <c r="BQU28" s="3"/>
      <c r="BQV28" s="3"/>
      <c r="BQW28" s="3"/>
      <c r="BQX28" s="3"/>
      <c r="BQY28" s="3"/>
      <c r="BQZ28" s="3"/>
      <c r="BRA28" s="3"/>
      <c r="BRB28" s="3"/>
      <c r="BRC28" s="3"/>
      <c r="BRD28" s="3"/>
      <c r="BRE28" s="3"/>
      <c r="BRF28" s="3"/>
      <c r="BRG28" s="3"/>
      <c r="BRH28" s="3"/>
      <c r="BRI28" s="3"/>
      <c r="BRJ28" s="3"/>
      <c r="BRK28" s="3"/>
      <c r="BRL28" s="3"/>
      <c r="BRM28" s="3"/>
      <c r="BRN28" s="3"/>
      <c r="BRO28" s="3"/>
      <c r="BRP28" s="3"/>
      <c r="BRQ28" s="3"/>
      <c r="BRR28" s="3"/>
      <c r="BRS28" s="3"/>
      <c r="BRT28" s="3"/>
      <c r="BRU28" s="3"/>
      <c r="BRV28" s="3"/>
      <c r="BRW28" s="3"/>
      <c r="BRX28" s="3"/>
      <c r="BRY28" s="3"/>
      <c r="BRZ28" s="3"/>
      <c r="BSA28" s="3"/>
      <c r="BSB28" s="3"/>
      <c r="BSC28" s="3"/>
      <c r="BSD28" s="3"/>
      <c r="BSE28" s="3"/>
      <c r="BSF28" s="3"/>
      <c r="BSG28" s="3"/>
      <c r="BSH28" s="3"/>
      <c r="BSI28" s="3"/>
      <c r="BSJ28" s="3"/>
      <c r="BSK28" s="3"/>
      <c r="BSL28" s="3"/>
      <c r="BSM28" s="3"/>
      <c r="BSN28" s="3"/>
      <c r="BSO28" s="3"/>
      <c r="BSP28" s="3"/>
      <c r="BSQ28" s="3"/>
      <c r="BSR28" s="3"/>
      <c r="BSS28" s="3"/>
      <c r="BST28" s="3"/>
      <c r="BSU28" s="3"/>
      <c r="BSV28" s="3"/>
      <c r="BSW28" s="3"/>
      <c r="BSX28" s="3"/>
      <c r="BSY28" s="3"/>
      <c r="BSZ28" s="3"/>
      <c r="BTA28" s="3"/>
      <c r="BTB28" s="3"/>
      <c r="BTC28" s="3"/>
      <c r="BTD28" s="3"/>
      <c r="BTE28" s="3"/>
      <c r="BTF28" s="3"/>
      <c r="BTG28" s="3"/>
      <c r="BTH28" s="3"/>
      <c r="BTI28" s="3"/>
      <c r="BTJ28" s="3"/>
      <c r="BTK28" s="3"/>
      <c r="BTL28" s="3"/>
      <c r="BTM28" s="3"/>
      <c r="BTN28" s="3"/>
      <c r="BTO28" s="3"/>
      <c r="BTP28" s="3"/>
      <c r="BTQ28" s="3"/>
      <c r="BTR28" s="3"/>
      <c r="BTS28" s="3"/>
      <c r="BTT28" s="3"/>
      <c r="BTU28" s="3"/>
      <c r="BTV28" s="3"/>
      <c r="BTW28" s="3"/>
      <c r="BTX28" s="3"/>
      <c r="BTY28" s="3"/>
      <c r="BTZ28" s="3"/>
      <c r="BUA28" s="3"/>
      <c r="BUB28" s="3"/>
      <c r="BUC28" s="3"/>
      <c r="BUD28" s="3"/>
      <c r="BUE28" s="3"/>
      <c r="BUF28" s="3"/>
      <c r="BUG28" s="3"/>
      <c r="BUH28" s="3"/>
      <c r="BUI28" s="3"/>
      <c r="BUJ28" s="3"/>
      <c r="BUK28" s="3"/>
      <c r="BUL28" s="3"/>
      <c r="BUM28" s="3"/>
      <c r="BUN28" s="3"/>
      <c r="BUO28" s="3"/>
      <c r="BUP28" s="3"/>
      <c r="BUQ28" s="3"/>
      <c r="BUR28" s="3"/>
      <c r="BUS28" s="3"/>
      <c r="BUT28" s="3"/>
      <c r="BUU28" s="3"/>
      <c r="BUV28" s="3"/>
      <c r="BUW28" s="3"/>
      <c r="BUX28" s="3"/>
      <c r="BUY28" s="3"/>
      <c r="BUZ28" s="3"/>
      <c r="BVA28" s="3"/>
      <c r="BVB28" s="3"/>
      <c r="BVC28" s="3"/>
      <c r="BVD28" s="3"/>
      <c r="BVE28" s="3"/>
      <c r="BVF28" s="3"/>
      <c r="BVG28" s="3"/>
      <c r="BVH28" s="3"/>
      <c r="BVI28" s="3"/>
      <c r="BVJ28" s="3"/>
      <c r="BVK28" s="3"/>
      <c r="BVL28" s="3"/>
      <c r="BVM28" s="3"/>
      <c r="BVN28" s="3"/>
      <c r="BVO28" s="3"/>
      <c r="BVP28" s="3"/>
      <c r="BVQ28" s="3"/>
      <c r="BVR28" s="3"/>
      <c r="BVS28" s="3"/>
      <c r="BVT28" s="3"/>
      <c r="BVU28" s="3"/>
      <c r="BVV28" s="3"/>
      <c r="BVW28" s="3"/>
      <c r="BVX28" s="3"/>
      <c r="BVY28" s="3"/>
      <c r="BVZ28" s="3"/>
      <c r="BWA28" s="3"/>
      <c r="BWB28" s="3"/>
      <c r="BWC28" s="3"/>
      <c r="BWD28" s="3"/>
      <c r="BWE28" s="3"/>
      <c r="BWF28" s="3"/>
      <c r="BWG28" s="3"/>
      <c r="BWH28" s="3"/>
      <c r="BWI28" s="3"/>
      <c r="BWJ28" s="3"/>
      <c r="BWK28" s="3"/>
      <c r="BWL28" s="3"/>
      <c r="BWM28" s="3"/>
      <c r="BWN28" s="3"/>
      <c r="BWO28" s="3"/>
      <c r="BWP28" s="3"/>
      <c r="BWQ28" s="3"/>
      <c r="BWR28" s="3"/>
      <c r="BWS28" s="3"/>
      <c r="BWT28" s="3"/>
      <c r="BWU28" s="3"/>
      <c r="BWV28" s="3"/>
      <c r="BWW28" s="3"/>
      <c r="BWX28" s="3"/>
      <c r="BWY28" s="3"/>
      <c r="BWZ28" s="3"/>
      <c r="BXA28" s="3"/>
      <c r="BXB28" s="3"/>
      <c r="BXC28" s="3"/>
      <c r="BXD28" s="3"/>
      <c r="BXE28" s="3"/>
      <c r="BXF28" s="3"/>
      <c r="BXG28" s="3"/>
      <c r="BXH28" s="3"/>
      <c r="BXI28" s="3"/>
      <c r="BXJ28" s="3"/>
      <c r="BXK28" s="3"/>
      <c r="BXL28" s="3"/>
      <c r="BXM28" s="3"/>
      <c r="BXN28" s="3"/>
      <c r="BXO28" s="3"/>
      <c r="BXP28" s="3"/>
      <c r="BXQ28" s="3"/>
      <c r="BXR28" s="3"/>
      <c r="BXS28" s="3"/>
      <c r="BXT28" s="3"/>
      <c r="BXU28" s="3"/>
      <c r="BXV28" s="3"/>
      <c r="BXW28" s="3"/>
      <c r="BXX28" s="3"/>
      <c r="BXY28" s="3"/>
      <c r="BXZ28" s="3"/>
      <c r="BYA28" s="3"/>
      <c r="BYB28" s="3"/>
      <c r="BYC28" s="3"/>
      <c r="BYD28" s="3"/>
      <c r="BYE28" s="3"/>
      <c r="BYF28" s="3"/>
      <c r="BYG28" s="3"/>
      <c r="BYH28" s="3"/>
      <c r="BYI28" s="3"/>
      <c r="BYJ28" s="3"/>
      <c r="BYK28" s="3"/>
      <c r="BYL28" s="3"/>
      <c r="BYM28" s="3"/>
      <c r="BYN28" s="3"/>
      <c r="BYO28" s="3"/>
      <c r="BYP28" s="3"/>
      <c r="BYQ28" s="3"/>
      <c r="BYR28" s="3"/>
      <c r="BYS28" s="3"/>
      <c r="BYT28" s="3"/>
      <c r="BYU28" s="3"/>
      <c r="BYV28" s="3"/>
      <c r="BYW28" s="3"/>
      <c r="BYX28" s="3"/>
      <c r="BYY28" s="3"/>
      <c r="BYZ28" s="3"/>
      <c r="BZA28" s="3"/>
      <c r="BZB28" s="3"/>
      <c r="BZC28" s="3"/>
      <c r="BZD28" s="3"/>
      <c r="BZE28" s="3"/>
      <c r="BZF28" s="3"/>
      <c r="BZG28" s="3"/>
      <c r="BZH28" s="3"/>
      <c r="BZI28" s="3"/>
      <c r="BZJ28" s="3"/>
      <c r="BZK28" s="3"/>
      <c r="BZL28" s="3"/>
      <c r="BZM28" s="3"/>
      <c r="BZN28" s="3"/>
      <c r="BZO28" s="3"/>
      <c r="BZP28" s="3"/>
      <c r="BZQ28" s="3"/>
      <c r="BZR28" s="3"/>
      <c r="BZS28" s="3"/>
      <c r="BZT28" s="3"/>
      <c r="BZU28" s="3"/>
      <c r="BZV28" s="3"/>
      <c r="BZW28" s="3"/>
      <c r="BZX28" s="3"/>
      <c r="BZY28" s="3"/>
      <c r="BZZ28" s="3"/>
      <c r="CAA28" s="3"/>
      <c r="CAB28" s="3"/>
      <c r="CAC28" s="3"/>
      <c r="CAD28" s="3"/>
      <c r="CAE28" s="3"/>
      <c r="CAF28" s="3"/>
      <c r="CAG28" s="3"/>
      <c r="CAH28" s="3"/>
      <c r="CAI28" s="3"/>
      <c r="CAJ28" s="3"/>
      <c r="CAK28" s="3"/>
      <c r="CAL28" s="3"/>
      <c r="CAM28" s="3"/>
      <c r="CAN28" s="3"/>
      <c r="CAO28" s="3"/>
      <c r="CAP28" s="3"/>
      <c r="CAQ28" s="3"/>
      <c r="CAR28" s="3"/>
      <c r="CAS28" s="3"/>
      <c r="CAT28" s="3"/>
      <c r="CAU28" s="3"/>
      <c r="CAV28" s="3"/>
      <c r="CAW28" s="3"/>
      <c r="CAX28" s="3"/>
      <c r="CAY28" s="3"/>
      <c r="CAZ28" s="3"/>
      <c r="CBA28" s="3"/>
      <c r="CBB28" s="3"/>
      <c r="CBC28" s="3"/>
      <c r="CBD28" s="3"/>
      <c r="CBE28" s="3"/>
      <c r="CBF28" s="3"/>
      <c r="CBG28" s="3"/>
      <c r="CBH28" s="3"/>
      <c r="CBI28" s="3"/>
      <c r="CBJ28" s="3"/>
      <c r="CBK28" s="3"/>
      <c r="CBL28" s="3"/>
      <c r="CBM28" s="3"/>
      <c r="CBN28" s="3"/>
      <c r="CBO28" s="3"/>
      <c r="CBP28" s="3"/>
      <c r="CBQ28" s="3"/>
      <c r="CBR28" s="3"/>
      <c r="CBS28" s="3"/>
      <c r="CBT28" s="3"/>
      <c r="CBU28" s="3"/>
      <c r="CBV28" s="3"/>
      <c r="CBW28" s="3"/>
      <c r="CBX28" s="3"/>
      <c r="CBY28" s="3"/>
      <c r="CBZ28" s="3"/>
      <c r="CCA28" s="3"/>
      <c r="CCB28" s="3"/>
      <c r="CCC28" s="3"/>
      <c r="CCD28" s="3"/>
      <c r="CCE28" s="3"/>
      <c r="CCF28" s="3"/>
      <c r="CCG28" s="3"/>
      <c r="CCH28" s="3"/>
      <c r="CCI28" s="3"/>
      <c r="CCJ28" s="3"/>
      <c r="CCK28" s="3"/>
      <c r="CCL28" s="3"/>
      <c r="CCM28" s="3"/>
      <c r="CCN28" s="3"/>
      <c r="CCO28" s="3"/>
      <c r="CCP28" s="3"/>
      <c r="CCQ28" s="3"/>
      <c r="CCR28" s="3"/>
      <c r="CCS28" s="3"/>
      <c r="CCT28" s="3"/>
      <c r="CCU28" s="3"/>
      <c r="CCV28" s="3"/>
      <c r="CCW28" s="3"/>
      <c r="CCX28" s="3"/>
      <c r="CCY28" s="3"/>
      <c r="CCZ28" s="3"/>
      <c r="CDA28" s="3"/>
      <c r="CDB28" s="3"/>
      <c r="CDC28" s="3"/>
      <c r="CDD28" s="3"/>
      <c r="CDE28" s="3"/>
      <c r="CDF28" s="3"/>
      <c r="CDG28" s="3"/>
      <c r="CDH28" s="3"/>
      <c r="CDI28" s="3"/>
      <c r="CDJ28" s="3"/>
      <c r="CDK28" s="3"/>
      <c r="CDL28" s="3"/>
      <c r="CDM28" s="3"/>
      <c r="CDN28" s="3"/>
      <c r="CDO28" s="3"/>
      <c r="CDP28" s="3"/>
      <c r="CDQ28" s="3"/>
      <c r="CDR28" s="3"/>
      <c r="CDS28" s="3"/>
      <c r="CDT28" s="3"/>
      <c r="CDU28" s="3"/>
      <c r="CDV28" s="3"/>
      <c r="CDW28" s="3"/>
      <c r="CDX28" s="3"/>
      <c r="CDY28" s="3"/>
      <c r="CDZ28" s="3"/>
      <c r="CEA28" s="3"/>
      <c r="CEB28" s="3"/>
      <c r="CEC28" s="3"/>
      <c r="CED28" s="3"/>
      <c r="CEE28" s="3"/>
      <c r="CEF28" s="3"/>
      <c r="CEG28" s="3"/>
      <c r="CEH28" s="3"/>
      <c r="CEI28" s="3"/>
      <c r="CEJ28" s="3"/>
      <c r="CEK28" s="3"/>
      <c r="CEL28" s="3"/>
      <c r="CEM28" s="3"/>
      <c r="CEN28" s="3"/>
      <c r="CEO28" s="3"/>
      <c r="CEP28" s="3"/>
      <c r="CEQ28" s="3"/>
      <c r="CER28" s="3"/>
      <c r="CES28" s="3"/>
      <c r="CET28" s="3"/>
      <c r="CEU28" s="3"/>
      <c r="CEV28" s="3"/>
      <c r="CEW28" s="3"/>
      <c r="CEX28" s="3"/>
      <c r="CEY28" s="3"/>
      <c r="CEZ28" s="3"/>
      <c r="CFA28" s="3"/>
      <c r="CFB28" s="3"/>
      <c r="CFC28" s="3"/>
      <c r="CFD28" s="3"/>
      <c r="CFE28" s="3"/>
      <c r="CFF28" s="3"/>
      <c r="CFG28" s="3"/>
      <c r="CFH28" s="3"/>
      <c r="CFI28" s="3"/>
      <c r="CFJ28" s="3"/>
      <c r="CFK28" s="3"/>
      <c r="CFL28" s="3"/>
      <c r="CFM28" s="3"/>
      <c r="CFN28" s="3"/>
      <c r="CFO28" s="3"/>
      <c r="CFP28" s="3"/>
      <c r="CFQ28" s="3"/>
      <c r="CFR28" s="3"/>
      <c r="CFS28" s="3"/>
      <c r="CFT28" s="3"/>
      <c r="CFU28" s="3"/>
      <c r="CFV28" s="3"/>
      <c r="CFW28" s="3"/>
      <c r="CFX28" s="3"/>
      <c r="CFY28" s="3"/>
      <c r="CFZ28" s="3"/>
      <c r="CGA28" s="3"/>
      <c r="CGB28" s="3"/>
      <c r="CGC28" s="3"/>
      <c r="CGD28" s="3"/>
      <c r="CGE28" s="3"/>
      <c r="CGF28" s="3"/>
      <c r="CGG28" s="3"/>
      <c r="CGH28" s="3"/>
      <c r="CGI28" s="3"/>
      <c r="CGJ28" s="3"/>
      <c r="CGK28" s="3"/>
      <c r="CGL28" s="3"/>
      <c r="CGM28" s="3"/>
      <c r="CGN28" s="3"/>
      <c r="CGO28" s="3"/>
      <c r="CGP28" s="3"/>
      <c r="CGQ28" s="3"/>
      <c r="CGR28" s="3"/>
      <c r="CGS28" s="3"/>
      <c r="CGT28" s="3"/>
      <c r="CGU28" s="3"/>
      <c r="CGV28" s="3"/>
      <c r="CGW28" s="3"/>
      <c r="CGX28" s="3"/>
      <c r="CGY28" s="3"/>
      <c r="CGZ28" s="3"/>
      <c r="CHA28" s="3"/>
      <c r="CHB28" s="3"/>
      <c r="CHC28" s="3"/>
      <c r="CHD28" s="3"/>
      <c r="CHE28" s="3"/>
      <c r="CHF28" s="3"/>
      <c r="CHG28" s="3"/>
      <c r="CHH28" s="3"/>
      <c r="CHI28" s="3"/>
      <c r="CHJ28" s="3"/>
      <c r="CHK28" s="3"/>
      <c r="CHL28" s="3"/>
      <c r="CHM28" s="3"/>
      <c r="CHN28" s="3"/>
      <c r="CHO28" s="3"/>
      <c r="CHP28" s="3"/>
      <c r="CHQ28" s="3"/>
      <c r="CHR28" s="3"/>
      <c r="CHS28" s="3"/>
      <c r="CHT28" s="3"/>
      <c r="CHU28" s="3"/>
      <c r="CHV28" s="3"/>
      <c r="CHW28" s="3"/>
      <c r="CHX28" s="3"/>
      <c r="CHY28" s="3"/>
      <c r="CHZ28" s="3"/>
      <c r="CIA28" s="3"/>
      <c r="CIB28" s="3"/>
      <c r="CIC28" s="3"/>
      <c r="CID28" s="3"/>
      <c r="CIE28" s="3"/>
      <c r="CIF28" s="3"/>
      <c r="CIG28" s="3"/>
      <c r="CIH28" s="3"/>
      <c r="CII28" s="3"/>
      <c r="CIJ28" s="3"/>
      <c r="CIK28" s="3"/>
      <c r="CIL28" s="3"/>
      <c r="CIM28" s="3"/>
      <c r="CIN28" s="3"/>
      <c r="CIO28" s="3"/>
      <c r="CIP28" s="3"/>
      <c r="CIQ28" s="3"/>
      <c r="CIR28" s="3"/>
      <c r="CIS28" s="3"/>
      <c r="CIT28" s="3"/>
      <c r="CIU28" s="3"/>
      <c r="CIV28" s="3"/>
      <c r="CIW28" s="3"/>
      <c r="CIX28" s="3"/>
      <c r="CIY28" s="3"/>
      <c r="CIZ28" s="3"/>
      <c r="CJA28" s="3"/>
      <c r="CJB28" s="3"/>
      <c r="CJC28" s="3"/>
      <c r="CJD28" s="3"/>
      <c r="CJE28" s="3"/>
      <c r="CJF28" s="3"/>
      <c r="CJG28" s="3"/>
      <c r="CJH28" s="3"/>
      <c r="CJI28" s="3"/>
      <c r="CJJ28" s="3"/>
      <c r="CJK28" s="3"/>
      <c r="CJL28" s="3"/>
      <c r="CJM28" s="3"/>
      <c r="CJN28" s="3"/>
      <c r="CJO28" s="3"/>
      <c r="CJP28" s="3"/>
      <c r="CJQ28" s="3"/>
      <c r="CJR28" s="3"/>
      <c r="CJS28" s="3"/>
      <c r="CJT28" s="3"/>
      <c r="CJU28" s="3"/>
      <c r="CJV28" s="3"/>
      <c r="CJW28" s="3"/>
      <c r="CJX28" s="3"/>
      <c r="CJY28" s="3"/>
      <c r="CJZ28" s="3"/>
      <c r="CKA28" s="3"/>
      <c r="CKB28" s="3"/>
      <c r="CKC28" s="3"/>
      <c r="CKD28" s="3"/>
      <c r="CKE28" s="3"/>
      <c r="CKF28" s="3"/>
      <c r="CKG28" s="3"/>
      <c r="CKH28" s="3"/>
      <c r="CKI28" s="3"/>
      <c r="CKJ28" s="3"/>
      <c r="CKK28" s="3"/>
      <c r="CKL28" s="3"/>
      <c r="CKM28" s="3"/>
      <c r="CKN28" s="3"/>
      <c r="CKO28" s="3"/>
      <c r="CKP28" s="3"/>
      <c r="CKQ28" s="3"/>
      <c r="CKR28" s="3"/>
      <c r="CKS28" s="3"/>
      <c r="CKT28" s="3"/>
      <c r="CKU28" s="3"/>
      <c r="CKV28" s="3"/>
      <c r="CKW28" s="3"/>
      <c r="CKX28" s="3"/>
      <c r="CKY28" s="3"/>
      <c r="CKZ28" s="3"/>
      <c r="CLA28" s="3"/>
      <c r="CLB28" s="3"/>
      <c r="CLC28" s="3"/>
      <c r="CLD28" s="3"/>
      <c r="CLE28" s="3"/>
      <c r="CLF28" s="3"/>
      <c r="CLG28" s="3"/>
      <c r="CLH28" s="3"/>
      <c r="CLI28" s="3"/>
      <c r="CLJ28" s="3"/>
      <c r="CLK28" s="3"/>
      <c r="CLL28" s="3"/>
      <c r="CLM28" s="3"/>
      <c r="CLN28" s="3"/>
      <c r="CLO28" s="3"/>
      <c r="CLP28" s="3"/>
      <c r="CLQ28" s="3"/>
      <c r="CLR28" s="3"/>
      <c r="CLS28" s="3"/>
      <c r="CLT28" s="3"/>
      <c r="CLU28" s="3"/>
      <c r="CLV28" s="3"/>
      <c r="CLW28" s="3"/>
      <c r="CLX28" s="3"/>
      <c r="CLY28" s="3"/>
      <c r="CLZ28" s="3"/>
      <c r="CMA28" s="3"/>
      <c r="CMB28" s="3"/>
      <c r="CMC28" s="3"/>
      <c r="CMD28" s="3"/>
      <c r="CME28" s="3"/>
      <c r="CMF28" s="3"/>
      <c r="CMG28" s="3"/>
      <c r="CMH28" s="3"/>
      <c r="CMI28" s="3"/>
      <c r="CMJ28" s="3"/>
      <c r="CMK28" s="3"/>
      <c r="CML28" s="3"/>
      <c r="CMM28" s="3"/>
      <c r="CMN28" s="3"/>
      <c r="CMO28" s="3"/>
      <c r="CMP28" s="3"/>
      <c r="CMQ28" s="3"/>
      <c r="CMR28" s="3"/>
      <c r="CMS28" s="3"/>
      <c r="CMT28" s="3"/>
      <c r="CMU28" s="3"/>
      <c r="CMV28" s="3"/>
      <c r="CMW28" s="3"/>
      <c r="CMX28" s="3"/>
      <c r="CMY28" s="3"/>
      <c r="CMZ28" s="3"/>
      <c r="CNA28" s="3"/>
      <c r="CNB28" s="3"/>
      <c r="CNC28" s="3"/>
      <c r="CND28" s="3"/>
      <c r="CNE28" s="3"/>
      <c r="CNF28" s="3"/>
      <c r="CNG28" s="3"/>
      <c r="CNH28" s="3"/>
      <c r="CNI28" s="3"/>
      <c r="CNJ28" s="3"/>
      <c r="CNK28" s="3"/>
      <c r="CNL28" s="3"/>
      <c r="CNM28" s="3"/>
      <c r="CNN28" s="3"/>
      <c r="CNO28" s="3"/>
      <c r="CNP28" s="3"/>
      <c r="CNQ28" s="3"/>
      <c r="CNR28" s="3"/>
      <c r="CNS28" s="3"/>
      <c r="CNT28" s="3"/>
      <c r="CNU28" s="3"/>
      <c r="CNV28" s="3"/>
      <c r="CNW28" s="3"/>
      <c r="CNX28" s="3"/>
      <c r="CNY28" s="3"/>
      <c r="CNZ28" s="3"/>
      <c r="COA28" s="3"/>
      <c r="COB28" s="3"/>
      <c r="COC28" s="3"/>
      <c r="COD28" s="3"/>
      <c r="COE28" s="3"/>
      <c r="COF28" s="3"/>
      <c r="COG28" s="3"/>
      <c r="COH28" s="3"/>
      <c r="COI28" s="3"/>
      <c r="COJ28" s="3"/>
      <c r="COK28" s="3"/>
      <c r="COL28" s="3"/>
      <c r="COM28" s="3"/>
      <c r="CON28" s="3"/>
      <c r="COO28" s="3"/>
      <c r="COP28" s="3"/>
      <c r="COQ28" s="3"/>
      <c r="COR28" s="3"/>
      <c r="COS28" s="3"/>
      <c r="COT28" s="3"/>
      <c r="COU28" s="3"/>
      <c r="COV28" s="3"/>
      <c r="COW28" s="3"/>
      <c r="COX28" s="3"/>
      <c r="COY28" s="3"/>
      <c r="COZ28" s="3"/>
      <c r="CPA28" s="3"/>
      <c r="CPB28" s="3"/>
      <c r="CPC28" s="3"/>
      <c r="CPD28" s="3"/>
      <c r="CPE28" s="3"/>
      <c r="CPF28" s="3"/>
      <c r="CPG28" s="3"/>
      <c r="CPH28" s="3"/>
      <c r="CPI28" s="3"/>
      <c r="CPJ28" s="3"/>
      <c r="CPK28" s="3"/>
      <c r="CPL28" s="3"/>
      <c r="CPM28" s="3"/>
      <c r="CPN28" s="3"/>
      <c r="CPO28" s="3"/>
      <c r="CPP28" s="3"/>
      <c r="CPQ28" s="3"/>
      <c r="CPR28" s="3"/>
      <c r="CPS28" s="3"/>
      <c r="CPT28" s="3"/>
      <c r="CPU28" s="3"/>
      <c r="CPV28" s="3"/>
      <c r="CPW28" s="3"/>
      <c r="CPX28" s="3"/>
      <c r="CPY28" s="3"/>
      <c r="CPZ28" s="3"/>
      <c r="CQA28" s="3"/>
      <c r="CQB28" s="3"/>
      <c r="CQC28" s="3"/>
      <c r="CQD28" s="3"/>
      <c r="CQE28" s="3"/>
      <c r="CQF28" s="3"/>
      <c r="CQG28" s="3"/>
      <c r="CQH28" s="3"/>
      <c r="CQI28" s="3"/>
      <c r="CQJ28" s="3"/>
      <c r="CQK28" s="3"/>
      <c r="CQL28" s="3"/>
      <c r="CQM28" s="3"/>
      <c r="CQN28" s="3"/>
      <c r="CQO28" s="3"/>
      <c r="CQP28" s="3"/>
      <c r="CQQ28" s="3"/>
      <c r="CQR28" s="3"/>
      <c r="CQS28" s="3"/>
      <c r="CQT28" s="3"/>
      <c r="CQU28" s="3"/>
      <c r="CQV28" s="3"/>
      <c r="CQW28" s="3"/>
      <c r="CQX28" s="3"/>
      <c r="CQY28" s="3"/>
      <c r="CQZ28" s="3"/>
      <c r="CRA28" s="3"/>
      <c r="CRB28" s="3"/>
      <c r="CRC28" s="3"/>
      <c r="CRD28" s="3"/>
      <c r="CRE28" s="3"/>
      <c r="CRF28" s="3"/>
      <c r="CRG28" s="3"/>
      <c r="CRH28" s="3"/>
      <c r="CRI28" s="3"/>
      <c r="CRJ28" s="3"/>
      <c r="CRK28" s="3"/>
      <c r="CRL28" s="3"/>
      <c r="CRM28" s="3"/>
      <c r="CRN28" s="3"/>
      <c r="CRO28" s="3"/>
      <c r="CRP28" s="3"/>
      <c r="CRQ28" s="3"/>
      <c r="CRR28" s="3"/>
      <c r="CRS28" s="3"/>
      <c r="CRT28" s="3"/>
      <c r="CRU28" s="3"/>
      <c r="CRV28" s="3"/>
      <c r="CRW28" s="3"/>
      <c r="CRX28" s="3"/>
      <c r="CRY28" s="3"/>
      <c r="CRZ28" s="3"/>
      <c r="CSA28" s="3"/>
      <c r="CSB28" s="3"/>
      <c r="CSC28" s="3"/>
      <c r="CSD28" s="3"/>
      <c r="CSE28" s="3"/>
      <c r="CSF28" s="3"/>
      <c r="CSG28" s="3"/>
      <c r="CSH28" s="3"/>
      <c r="CSI28" s="3"/>
      <c r="CSJ28" s="3"/>
      <c r="CSK28" s="3"/>
      <c r="CSL28" s="3"/>
      <c r="CSM28" s="3"/>
      <c r="CSN28" s="3"/>
      <c r="CSO28" s="3"/>
      <c r="CSP28" s="3"/>
      <c r="CSQ28" s="3"/>
      <c r="CSR28" s="3"/>
      <c r="CSS28" s="3"/>
      <c r="CST28" s="3"/>
      <c r="CSU28" s="3"/>
      <c r="CSV28" s="3"/>
      <c r="CSW28" s="3"/>
      <c r="CSX28" s="3"/>
      <c r="CSY28" s="3"/>
      <c r="CSZ28" s="3"/>
      <c r="CTA28" s="3"/>
      <c r="CTB28" s="3"/>
      <c r="CTC28" s="3"/>
      <c r="CTD28" s="3"/>
      <c r="CTE28" s="3"/>
      <c r="CTF28" s="3"/>
      <c r="CTG28" s="3"/>
      <c r="CTH28" s="3"/>
      <c r="CTI28" s="3"/>
      <c r="CTJ28" s="3"/>
      <c r="CTK28" s="3"/>
      <c r="CTL28" s="3"/>
      <c r="CTM28" s="3"/>
      <c r="CTN28" s="3"/>
      <c r="CTO28" s="3"/>
      <c r="CTP28" s="3"/>
      <c r="CTQ28" s="3"/>
      <c r="CTR28" s="3"/>
      <c r="CTS28" s="3"/>
      <c r="CTT28" s="3"/>
      <c r="CTU28" s="3"/>
      <c r="CTV28" s="3"/>
      <c r="CTW28" s="3"/>
      <c r="CTX28" s="3"/>
      <c r="CTY28" s="3"/>
      <c r="CTZ28" s="3"/>
      <c r="CUA28" s="3"/>
      <c r="CUB28" s="3"/>
      <c r="CUC28" s="3"/>
      <c r="CUD28" s="3"/>
      <c r="CUE28" s="3"/>
      <c r="CUF28" s="3"/>
      <c r="CUG28" s="3"/>
      <c r="CUH28" s="3"/>
      <c r="CUI28" s="3"/>
      <c r="CUJ28" s="3"/>
      <c r="CUK28" s="3"/>
      <c r="CUL28" s="3"/>
      <c r="CUM28" s="3"/>
      <c r="CUN28" s="3"/>
      <c r="CUO28" s="3"/>
      <c r="CUP28" s="3"/>
      <c r="CUQ28" s="3"/>
      <c r="CUR28" s="3"/>
      <c r="CUS28" s="3"/>
      <c r="CUT28" s="3"/>
      <c r="CUU28" s="3"/>
      <c r="CUV28" s="3"/>
      <c r="CUW28" s="3"/>
      <c r="CUX28" s="3"/>
      <c r="CUY28" s="3"/>
      <c r="CUZ28" s="3"/>
      <c r="CVA28" s="3"/>
      <c r="CVB28" s="3"/>
      <c r="CVC28" s="3"/>
      <c r="CVD28" s="3"/>
      <c r="CVE28" s="3"/>
      <c r="CVF28" s="3"/>
      <c r="CVG28" s="3"/>
      <c r="CVH28" s="3"/>
      <c r="CVI28" s="3"/>
      <c r="CVJ28" s="3"/>
      <c r="CVK28" s="3"/>
      <c r="CVL28" s="3"/>
      <c r="CVM28" s="3"/>
      <c r="CVN28" s="3"/>
      <c r="CVO28" s="3"/>
      <c r="CVP28" s="3"/>
      <c r="CVQ28" s="3"/>
      <c r="CVR28" s="3"/>
      <c r="CVS28" s="3"/>
      <c r="CVT28" s="3"/>
      <c r="CVU28" s="3"/>
      <c r="CVV28" s="3"/>
      <c r="CVW28" s="3"/>
      <c r="CVX28" s="3"/>
      <c r="CVY28" s="3"/>
      <c r="CVZ28" s="3"/>
      <c r="CWA28" s="3"/>
      <c r="CWB28" s="3"/>
      <c r="CWC28" s="3"/>
      <c r="CWD28" s="3"/>
      <c r="CWE28" s="3"/>
      <c r="CWF28" s="3"/>
      <c r="CWG28" s="3"/>
      <c r="CWH28" s="3"/>
      <c r="CWI28" s="3"/>
      <c r="CWJ28" s="3"/>
      <c r="CWK28" s="3"/>
      <c r="CWL28" s="3"/>
      <c r="CWM28" s="3"/>
      <c r="CWN28" s="3"/>
      <c r="CWO28" s="3"/>
      <c r="CWP28" s="3"/>
      <c r="CWQ28" s="3"/>
      <c r="CWR28" s="3"/>
      <c r="CWS28" s="3"/>
      <c r="CWT28" s="3"/>
      <c r="CWU28" s="3"/>
      <c r="CWV28" s="3"/>
      <c r="CWW28" s="3"/>
      <c r="CWX28" s="3"/>
      <c r="CWY28" s="3"/>
      <c r="CWZ28" s="3"/>
      <c r="CXA28" s="3"/>
      <c r="CXB28" s="3"/>
      <c r="CXC28" s="3"/>
      <c r="CXD28" s="3"/>
      <c r="CXE28" s="3"/>
      <c r="CXF28" s="3"/>
      <c r="CXG28" s="3"/>
      <c r="CXH28" s="3"/>
      <c r="CXI28" s="3"/>
      <c r="CXJ28" s="3"/>
      <c r="CXK28" s="3"/>
      <c r="CXL28" s="3"/>
      <c r="CXM28" s="3"/>
      <c r="CXN28" s="3"/>
      <c r="CXO28" s="3"/>
      <c r="CXP28" s="3"/>
      <c r="CXQ28" s="3"/>
      <c r="CXR28" s="3"/>
      <c r="CXS28" s="3"/>
      <c r="CXT28" s="3"/>
      <c r="CXU28" s="3"/>
      <c r="CXV28" s="3"/>
      <c r="CXW28" s="3"/>
      <c r="CXX28" s="3"/>
      <c r="CXY28" s="3"/>
      <c r="CXZ28" s="3"/>
      <c r="CYA28" s="3"/>
      <c r="CYB28" s="3"/>
      <c r="CYC28" s="3"/>
      <c r="CYD28" s="3"/>
      <c r="CYE28" s="3"/>
      <c r="CYF28" s="3"/>
      <c r="CYG28" s="3"/>
      <c r="CYH28" s="3"/>
      <c r="CYI28" s="3"/>
      <c r="CYJ28" s="3"/>
      <c r="CYK28" s="3"/>
      <c r="CYL28" s="3"/>
      <c r="CYM28" s="3"/>
      <c r="CYN28" s="3"/>
      <c r="CYO28" s="3"/>
      <c r="CYP28" s="3"/>
      <c r="CYQ28" s="3"/>
      <c r="CYR28" s="3"/>
      <c r="CYS28" s="3"/>
      <c r="CYT28" s="3"/>
      <c r="CYU28" s="3"/>
      <c r="CYV28" s="3"/>
      <c r="CYW28" s="3"/>
      <c r="CYX28" s="3"/>
      <c r="CYY28" s="3"/>
      <c r="CYZ28" s="3"/>
      <c r="CZA28" s="3"/>
      <c r="CZB28" s="3"/>
      <c r="CZC28" s="3"/>
      <c r="CZD28" s="3"/>
      <c r="CZE28" s="3"/>
      <c r="CZF28" s="3"/>
      <c r="CZG28" s="3"/>
      <c r="CZH28" s="3"/>
      <c r="CZI28" s="3"/>
      <c r="CZJ28" s="3"/>
      <c r="CZK28" s="3"/>
      <c r="CZL28" s="3"/>
      <c r="CZM28" s="3"/>
      <c r="CZN28" s="3"/>
      <c r="CZO28" s="3"/>
      <c r="CZP28" s="3"/>
      <c r="CZQ28" s="3"/>
      <c r="CZR28" s="3"/>
      <c r="CZS28" s="3"/>
      <c r="CZT28" s="3"/>
      <c r="CZU28" s="3"/>
      <c r="CZV28" s="3"/>
      <c r="CZW28" s="3"/>
      <c r="CZX28" s="3"/>
      <c r="CZY28" s="3"/>
      <c r="CZZ28" s="3"/>
      <c r="DAA28" s="3"/>
      <c r="DAB28" s="3"/>
      <c r="DAC28" s="3"/>
      <c r="DAD28" s="3"/>
      <c r="DAE28" s="3"/>
      <c r="DAF28" s="3"/>
      <c r="DAG28" s="3"/>
      <c r="DAH28" s="3"/>
      <c r="DAI28" s="3"/>
      <c r="DAJ28" s="3"/>
      <c r="DAK28" s="3"/>
      <c r="DAL28" s="3"/>
      <c r="DAM28" s="3"/>
      <c r="DAN28" s="3"/>
      <c r="DAO28" s="3"/>
      <c r="DAP28" s="3"/>
      <c r="DAQ28" s="3"/>
      <c r="DAR28" s="3"/>
      <c r="DAS28" s="3"/>
      <c r="DAT28" s="3"/>
      <c r="DAU28" s="3"/>
      <c r="DAV28" s="3"/>
      <c r="DAW28" s="3"/>
      <c r="DAX28" s="3"/>
      <c r="DAY28" s="3"/>
      <c r="DAZ28" s="3"/>
      <c r="DBA28" s="3"/>
      <c r="DBB28" s="3"/>
      <c r="DBC28" s="3"/>
      <c r="DBD28" s="3"/>
      <c r="DBE28" s="3"/>
      <c r="DBF28" s="3"/>
      <c r="DBG28" s="3"/>
      <c r="DBH28" s="3"/>
      <c r="DBI28" s="3"/>
      <c r="DBJ28" s="3"/>
      <c r="DBK28" s="3"/>
      <c r="DBL28" s="3"/>
      <c r="DBM28" s="3"/>
      <c r="DBN28" s="3"/>
      <c r="DBO28" s="3"/>
      <c r="DBP28" s="3"/>
      <c r="DBQ28" s="3"/>
      <c r="DBR28" s="3"/>
      <c r="DBS28" s="3"/>
      <c r="DBT28" s="3"/>
      <c r="DBU28" s="3"/>
      <c r="DBV28" s="3"/>
      <c r="DBW28" s="3"/>
      <c r="DBX28" s="3"/>
      <c r="DBY28" s="3"/>
      <c r="DBZ28" s="3"/>
      <c r="DCA28" s="3"/>
      <c r="DCB28" s="3"/>
      <c r="DCC28" s="3"/>
      <c r="DCD28" s="3"/>
      <c r="DCE28" s="3"/>
      <c r="DCF28" s="3"/>
      <c r="DCG28" s="3"/>
      <c r="DCH28" s="3"/>
      <c r="DCI28" s="3"/>
      <c r="DCJ28" s="3"/>
      <c r="DCK28" s="3"/>
      <c r="DCL28" s="3"/>
      <c r="DCM28" s="3"/>
      <c r="DCN28" s="3"/>
      <c r="DCO28" s="3"/>
      <c r="DCP28" s="3"/>
      <c r="DCQ28" s="3"/>
      <c r="DCR28" s="3"/>
      <c r="DCS28" s="3"/>
      <c r="DCT28" s="3"/>
      <c r="DCU28" s="3"/>
      <c r="DCV28" s="3"/>
      <c r="DCW28" s="3"/>
      <c r="DCX28" s="3"/>
      <c r="DCY28" s="3"/>
      <c r="DCZ28" s="3"/>
      <c r="DDA28" s="3"/>
      <c r="DDB28" s="3"/>
      <c r="DDC28" s="3"/>
      <c r="DDD28" s="3"/>
      <c r="DDE28" s="3"/>
      <c r="DDF28" s="3"/>
      <c r="DDG28" s="3"/>
      <c r="DDH28" s="3"/>
      <c r="DDI28" s="3"/>
      <c r="DDJ28" s="3"/>
      <c r="DDK28" s="3"/>
      <c r="DDL28" s="3"/>
      <c r="DDM28" s="3"/>
      <c r="DDN28" s="3"/>
      <c r="DDO28" s="3"/>
      <c r="DDP28" s="3"/>
      <c r="DDQ28" s="3"/>
      <c r="DDR28" s="3"/>
      <c r="DDS28" s="3"/>
      <c r="DDT28" s="3"/>
      <c r="DDU28" s="3"/>
      <c r="DDV28" s="3"/>
      <c r="DDW28" s="3"/>
      <c r="DDX28" s="3"/>
      <c r="DDY28" s="3"/>
      <c r="DDZ28" s="3"/>
      <c r="DEA28" s="3"/>
      <c r="DEB28" s="3"/>
      <c r="DEC28" s="3"/>
      <c r="DED28" s="3"/>
      <c r="DEE28" s="3"/>
      <c r="DEF28" s="3"/>
      <c r="DEG28" s="3"/>
      <c r="DEH28" s="3"/>
      <c r="DEI28" s="3"/>
      <c r="DEJ28" s="3"/>
      <c r="DEK28" s="3"/>
      <c r="DEL28" s="3"/>
      <c r="DEM28" s="3"/>
      <c r="DEN28" s="3"/>
      <c r="DEO28" s="3"/>
      <c r="DEP28" s="3"/>
      <c r="DEQ28" s="3"/>
      <c r="DER28" s="3"/>
      <c r="DES28" s="3"/>
      <c r="DET28" s="3"/>
      <c r="DEU28" s="3"/>
      <c r="DEV28" s="3"/>
      <c r="DEW28" s="3"/>
      <c r="DEX28" s="3"/>
      <c r="DEY28" s="3"/>
      <c r="DEZ28" s="3"/>
      <c r="DFA28" s="3"/>
      <c r="DFB28" s="3"/>
      <c r="DFC28" s="3"/>
      <c r="DFD28" s="3"/>
      <c r="DFE28" s="3"/>
      <c r="DFF28" s="3"/>
      <c r="DFG28" s="3"/>
      <c r="DFH28" s="3"/>
      <c r="DFI28" s="3"/>
      <c r="DFJ28" s="3"/>
      <c r="DFK28" s="3"/>
      <c r="DFL28" s="3"/>
      <c r="DFM28" s="3"/>
      <c r="DFN28" s="3"/>
      <c r="DFO28" s="3"/>
      <c r="DFP28" s="3"/>
      <c r="DFQ28" s="3"/>
      <c r="DFR28" s="3"/>
      <c r="DFS28" s="3"/>
      <c r="DFT28" s="3"/>
      <c r="DFU28" s="3"/>
      <c r="DFV28" s="3"/>
      <c r="DFW28" s="3"/>
      <c r="DFX28" s="3"/>
      <c r="DFY28" s="3"/>
      <c r="DFZ28" s="3"/>
      <c r="DGA28" s="3"/>
      <c r="DGB28" s="3"/>
      <c r="DGC28" s="3"/>
      <c r="DGD28" s="3"/>
      <c r="DGE28" s="3"/>
      <c r="DGF28" s="3"/>
      <c r="DGG28" s="3"/>
      <c r="DGH28" s="3"/>
      <c r="DGI28" s="3"/>
      <c r="DGJ28" s="3"/>
      <c r="DGK28" s="3"/>
      <c r="DGL28" s="3"/>
      <c r="DGM28" s="3"/>
      <c r="DGN28" s="3"/>
      <c r="DGO28" s="3"/>
      <c r="DGP28" s="3"/>
      <c r="DGQ28" s="3"/>
      <c r="DGR28" s="3"/>
      <c r="DGS28" s="3"/>
      <c r="DGT28" s="3"/>
      <c r="DGU28" s="3"/>
      <c r="DGV28" s="3"/>
      <c r="DGW28" s="3"/>
      <c r="DGX28" s="3"/>
      <c r="DGY28" s="3"/>
      <c r="DGZ28" s="3"/>
      <c r="DHA28" s="3"/>
      <c r="DHB28" s="3"/>
      <c r="DHC28" s="3"/>
      <c r="DHD28" s="3"/>
      <c r="DHE28" s="3"/>
      <c r="DHF28" s="3"/>
      <c r="DHG28" s="3"/>
      <c r="DHH28" s="3"/>
      <c r="DHI28" s="3"/>
      <c r="DHJ28" s="3"/>
      <c r="DHK28" s="3"/>
      <c r="DHL28" s="3"/>
      <c r="DHM28" s="3"/>
      <c r="DHN28" s="3"/>
      <c r="DHO28" s="3"/>
      <c r="DHP28" s="3"/>
      <c r="DHQ28" s="3"/>
      <c r="DHR28" s="3"/>
      <c r="DHS28" s="3"/>
      <c r="DHT28" s="3"/>
      <c r="DHU28" s="3"/>
      <c r="DHV28" s="3"/>
      <c r="DHW28" s="3"/>
      <c r="DHX28" s="3"/>
      <c r="DHY28" s="3"/>
      <c r="DHZ28" s="3"/>
      <c r="DIA28" s="3"/>
      <c r="DIB28" s="3"/>
      <c r="DIC28" s="3"/>
      <c r="DID28" s="3"/>
      <c r="DIE28" s="3"/>
      <c r="DIF28" s="3"/>
      <c r="DIG28" s="3"/>
      <c r="DIH28" s="3"/>
      <c r="DII28" s="3"/>
      <c r="DIJ28" s="3"/>
      <c r="DIK28" s="3"/>
      <c r="DIL28" s="3"/>
      <c r="DIM28" s="3"/>
      <c r="DIN28" s="3"/>
      <c r="DIO28" s="3"/>
      <c r="DIP28" s="3"/>
      <c r="DIQ28" s="3"/>
      <c r="DIR28" s="3"/>
      <c r="DIS28" s="3"/>
      <c r="DIT28" s="3"/>
      <c r="DIU28" s="3"/>
      <c r="DIV28" s="3"/>
      <c r="DIW28" s="3"/>
      <c r="DIX28" s="3"/>
      <c r="DIY28" s="3"/>
      <c r="DIZ28" s="3"/>
      <c r="DJA28" s="3"/>
      <c r="DJB28" s="3"/>
      <c r="DJC28" s="3"/>
      <c r="DJD28" s="3"/>
      <c r="DJE28" s="3"/>
      <c r="DJF28" s="3"/>
      <c r="DJG28" s="3"/>
      <c r="DJH28" s="3"/>
      <c r="DJI28" s="3"/>
      <c r="DJJ28" s="3"/>
      <c r="DJK28" s="3"/>
      <c r="DJL28" s="3"/>
      <c r="DJM28" s="3"/>
      <c r="DJN28" s="3"/>
      <c r="DJO28" s="3"/>
      <c r="DJP28" s="3"/>
      <c r="DJQ28" s="3"/>
      <c r="DJR28" s="3"/>
      <c r="DJS28" s="3"/>
      <c r="DJT28" s="3"/>
      <c r="DJU28" s="3"/>
      <c r="DJV28" s="3"/>
      <c r="DJW28" s="3"/>
      <c r="DJX28" s="3"/>
      <c r="DJY28" s="3"/>
      <c r="DJZ28" s="3"/>
      <c r="DKA28" s="3"/>
      <c r="DKB28" s="3"/>
      <c r="DKC28" s="3"/>
      <c r="DKD28" s="3"/>
      <c r="DKE28" s="3"/>
      <c r="DKF28" s="3"/>
      <c r="DKG28" s="3"/>
      <c r="DKH28" s="3"/>
      <c r="DKI28" s="3"/>
      <c r="DKJ28" s="3"/>
      <c r="DKK28" s="3"/>
      <c r="DKL28" s="3"/>
      <c r="DKM28" s="3"/>
      <c r="DKN28" s="3"/>
      <c r="DKO28" s="3"/>
      <c r="DKP28" s="3"/>
      <c r="DKQ28" s="3"/>
      <c r="DKR28" s="3"/>
      <c r="DKS28" s="3"/>
      <c r="DKT28" s="3"/>
      <c r="DKU28" s="3"/>
      <c r="DKV28" s="3"/>
      <c r="DKW28" s="3"/>
      <c r="DKX28" s="3"/>
      <c r="DKY28" s="3"/>
      <c r="DKZ28" s="3"/>
      <c r="DLA28" s="3"/>
      <c r="DLB28" s="3"/>
      <c r="DLC28" s="3"/>
      <c r="DLD28" s="3"/>
      <c r="DLE28" s="3"/>
      <c r="DLF28" s="3"/>
      <c r="DLG28" s="3"/>
      <c r="DLH28" s="3"/>
      <c r="DLI28" s="3"/>
      <c r="DLJ28" s="3"/>
      <c r="DLK28" s="3"/>
      <c r="DLL28" s="3"/>
      <c r="DLM28" s="3"/>
      <c r="DLN28" s="3"/>
      <c r="DLO28" s="3"/>
      <c r="DLP28" s="3"/>
      <c r="DLQ28" s="3"/>
      <c r="DLR28" s="3"/>
      <c r="DLS28" s="3"/>
      <c r="DLT28" s="3"/>
      <c r="DLU28" s="3"/>
      <c r="DLV28" s="3"/>
      <c r="DLW28" s="3"/>
      <c r="DLX28" s="3"/>
      <c r="DLY28" s="3"/>
      <c r="DLZ28" s="3"/>
      <c r="DMA28" s="3"/>
      <c r="DMB28" s="3"/>
      <c r="DMC28" s="3"/>
      <c r="DMD28" s="3"/>
      <c r="DME28" s="3"/>
      <c r="DMF28" s="3"/>
      <c r="DMG28" s="3"/>
      <c r="DMH28" s="3"/>
      <c r="DMI28" s="3"/>
      <c r="DMJ28" s="3"/>
      <c r="DMK28" s="3"/>
      <c r="DML28" s="3"/>
      <c r="DMM28" s="3"/>
      <c r="DMN28" s="3"/>
      <c r="DMO28" s="3"/>
      <c r="DMP28" s="3"/>
      <c r="DMQ28" s="3"/>
      <c r="DMR28" s="3"/>
      <c r="DMS28" s="3"/>
      <c r="DMT28" s="3"/>
      <c r="DMU28" s="3"/>
      <c r="DMV28" s="3"/>
      <c r="DMW28" s="3"/>
      <c r="DMX28" s="3"/>
      <c r="DMY28" s="3"/>
      <c r="DMZ28" s="3"/>
      <c r="DNA28" s="3"/>
      <c r="DNB28" s="3"/>
      <c r="DNC28" s="3"/>
      <c r="DND28" s="3"/>
      <c r="DNE28" s="3"/>
      <c r="DNF28" s="3"/>
      <c r="DNG28" s="3"/>
      <c r="DNH28" s="3"/>
      <c r="DNI28" s="3"/>
      <c r="DNJ28" s="3"/>
      <c r="DNK28" s="3"/>
      <c r="DNL28" s="3"/>
      <c r="DNM28" s="3"/>
      <c r="DNN28" s="3"/>
      <c r="DNO28" s="3"/>
      <c r="DNP28" s="3"/>
      <c r="DNQ28" s="3"/>
      <c r="DNR28" s="3"/>
      <c r="DNS28" s="3"/>
      <c r="DNT28" s="3"/>
      <c r="DNU28" s="3"/>
      <c r="DNV28" s="3"/>
      <c r="DNW28" s="3"/>
      <c r="DNX28" s="3"/>
      <c r="DNY28" s="3"/>
      <c r="DNZ28" s="3"/>
      <c r="DOA28" s="3"/>
      <c r="DOB28" s="3"/>
      <c r="DOC28" s="3"/>
      <c r="DOD28" s="3"/>
      <c r="DOE28" s="3"/>
      <c r="DOF28" s="3"/>
      <c r="DOG28" s="3"/>
      <c r="DOH28" s="3"/>
      <c r="DOI28" s="3"/>
      <c r="DOJ28" s="3"/>
      <c r="DOK28" s="3"/>
      <c r="DOL28" s="3"/>
      <c r="DOM28" s="3"/>
      <c r="DON28" s="3"/>
      <c r="DOO28" s="3"/>
      <c r="DOP28" s="3"/>
      <c r="DOQ28" s="3"/>
      <c r="DOR28" s="3"/>
      <c r="DOS28" s="3"/>
      <c r="DOT28" s="3"/>
      <c r="DOU28" s="3"/>
      <c r="DOV28" s="3"/>
      <c r="DOW28" s="3"/>
      <c r="DOX28" s="3"/>
      <c r="DOY28" s="3"/>
      <c r="DOZ28" s="3"/>
      <c r="DPA28" s="3"/>
      <c r="DPB28" s="3"/>
      <c r="DPC28" s="3"/>
      <c r="DPD28" s="3"/>
      <c r="DPE28" s="3"/>
      <c r="DPF28" s="3"/>
      <c r="DPG28" s="3"/>
      <c r="DPH28" s="3"/>
      <c r="DPI28" s="3"/>
      <c r="DPJ28" s="3"/>
      <c r="DPK28" s="3"/>
      <c r="DPL28" s="3"/>
      <c r="DPM28" s="3"/>
      <c r="DPN28" s="3"/>
      <c r="DPO28" s="3"/>
      <c r="DPP28" s="3"/>
      <c r="DPQ28" s="3"/>
      <c r="DPR28" s="3"/>
      <c r="DPS28" s="3"/>
      <c r="DPT28" s="3"/>
      <c r="DPU28" s="3"/>
      <c r="DPV28" s="3"/>
      <c r="DPW28" s="3"/>
      <c r="DPX28" s="3"/>
      <c r="DPY28" s="3"/>
      <c r="DPZ28" s="3"/>
      <c r="DQA28" s="3"/>
      <c r="DQB28" s="3"/>
      <c r="DQC28" s="3"/>
      <c r="DQD28" s="3"/>
      <c r="DQE28" s="3"/>
      <c r="DQF28" s="3"/>
      <c r="DQG28" s="3"/>
      <c r="DQH28" s="3"/>
      <c r="DQI28" s="3"/>
      <c r="DQJ28" s="3"/>
      <c r="DQK28" s="3"/>
      <c r="DQL28" s="3"/>
      <c r="DQM28" s="3"/>
      <c r="DQN28" s="3"/>
      <c r="DQO28" s="3"/>
      <c r="DQP28" s="3"/>
      <c r="DQQ28" s="3"/>
      <c r="DQR28" s="3"/>
      <c r="DQS28" s="3"/>
      <c r="DQT28" s="3"/>
      <c r="DQU28" s="3"/>
      <c r="DQV28" s="3"/>
      <c r="DQW28" s="3"/>
      <c r="DQX28" s="3"/>
      <c r="DQY28" s="3"/>
      <c r="DQZ28" s="3"/>
      <c r="DRA28" s="3"/>
      <c r="DRB28" s="3"/>
      <c r="DRC28" s="3"/>
      <c r="DRD28" s="3"/>
      <c r="DRE28" s="3"/>
      <c r="DRF28" s="3"/>
      <c r="DRG28" s="3"/>
      <c r="DRH28" s="3"/>
      <c r="DRI28" s="3"/>
      <c r="DRJ28" s="3"/>
      <c r="DRK28" s="3"/>
      <c r="DRL28" s="3"/>
      <c r="DRM28" s="3"/>
      <c r="DRN28" s="3"/>
      <c r="DRO28" s="3"/>
      <c r="DRP28" s="3"/>
      <c r="DRQ28" s="3"/>
      <c r="DRR28" s="3"/>
      <c r="DRS28" s="3"/>
      <c r="DRT28" s="3"/>
      <c r="DRU28" s="3"/>
      <c r="DRV28" s="3"/>
      <c r="DRW28" s="3"/>
      <c r="DRX28" s="3"/>
      <c r="DRY28" s="3"/>
      <c r="DRZ28" s="3"/>
      <c r="DSA28" s="3"/>
      <c r="DSB28" s="3"/>
      <c r="DSC28" s="3"/>
      <c r="DSD28" s="3"/>
      <c r="DSE28" s="3"/>
      <c r="DSF28" s="3"/>
      <c r="DSG28" s="3"/>
      <c r="DSH28" s="3"/>
      <c r="DSI28" s="3"/>
      <c r="DSJ28" s="3"/>
      <c r="DSK28" s="3"/>
      <c r="DSL28" s="3"/>
      <c r="DSM28" s="3"/>
      <c r="DSN28" s="3"/>
      <c r="DSO28" s="3"/>
      <c r="DSP28" s="3"/>
      <c r="DSQ28" s="3"/>
      <c r="DSR28" s="3"/>
      <c r="DSS28" s="3"/>
      <c r="DST28" s="3"/>
      <c r="DSU28" s="3"/>
      <c r="DSV28" s="3"/>
      <c r="DSW28" s="3"/>
      <c r="DSX28" s="3"/>
      <c r="DSY28" s="3"/>
      <c r="DSZ28" s="3"/>
      <c r="DTA28" s="3"/>
      <c r="DTB28" s="3"/>
      <c r="DTC28" s="3"/>
      <c r="DTD28" s="3"/>
      <c r="DTE28" s="3"/>
      <c r="DTF28" s="3"/>
      <c r="DTG28" s="3"/>
      <c r="DTH28" s="3"/>
      <c r="DTI28" s="3"/>
      <c r="DTJ28" s="3"/>
      <c r="DTK28" s="3"/>
      <c r="DTL28" s="3"/>
      <c r="DTM28" s="3"/>
      <c r="DTN28" s="3"/>
      <c r="DTO28" s="3"/>
      <c r="DTP28" s="3"/>
      <c r="DTQ28" s="3"/>
      <c r="DTR28" s="3"/>
      <c r="DTS28" s="3"/>
      <c r="DTT28" s="3"/>
      <c r="DTU28" s="3"/>
      <c r="DTV28" s="3"/>
      <c r="DTW28" s="3"/>
      <c r="DTX28" s="3"/>
      <c r="DTY28" s="3"/>
      <c r="DTZ28" s="3"/>
      <c r="DUA28" s="3"/>
      <c r="DUB28" s="3"/>
      <c r="DUC28" s="3"/>
      <c r="DUD28" s="3"/>
      <c r="DUE28" s="3"/>
      <c r="DUF28" s="3"/>
      <c r="DUG28" s="3"/>
      <c r="DUH28" s="3"/>
      <c r="DUI28" s="3"/>
      <c r="DUJ28" s="3"/>
      <c r="DUK28" s="3"/>
      <c r="DUL28" s="3"/>
      <c r="DUM28" s="3"/>
      <c r="DUN28" s="3"/>
      <c r="DUO28" s="3"/>
      <c r="DUP28" s="3"/>
      <c r="DUQ28" s="3"/>
      <c r="DUR28" s="3"/>
      <c r="DUS28" s="3"/>
      <c r="DUT28" s="3"/>
      <c r="DUU28" s="3"/>
      <c r="DUV28" s="3"/>
      <c r="DUW28" s="3"/>
      <c r="DUX28" s="3"/>
      <c r="DUY28" s="3"/>
      <c r="DUZ28" s="3"/>
      <c r="DVA28" s="3"/>
      <c r="DVB28" s="3"/>
      <c r="DVC28" s="3"/>
      <c r="DVD28" s="3"/>
      <c r="DVE28" s="3"/>
      <c r="DVF28" s="3"/>
      <c r="DVG28" s="3"/>
      <c r="DVH28" s="3"/>
      <c r="DVI28" s="3"/>
      <c r="DVJ28" s="3"/>
      <c r="DVK28" s="3"/>
      <c r="DVL28" s="3"/>
      <c r="DVM28" s="3"/>
      <c r="DVN28" s="3"/>
      <c r="DVO28" s="3"/>
      <c r="DVP28" s="3"/>
      <c r="DVQ28" s="3"/>
      <c r="DVR28" s="3"/>
      <c r="DVS28" s="3"/>
      <c r="DVT28" s="3"/>
      <c r="DVU28" s="3"/>
      <c r="DVV28" s="3"/>
      <c r="DVW28" s="3"/>
      <c r="DVX28" s="3"/>
      <c r="DVY28" s="3"/>
      <c r="DVZ28" s="3"/>
      <c r="DWA28" s="3"/>
      <c r="DWB28" s="3"/>
      <c r="DWC28" s="3"/>
      <c r="DWD28" s="3"/>
      <c r="DWE28" s="3"/>
      <c r="DWF28" s="3"/>
      <c r="DWG28" s="3"/>
      <c r="DWH28" s="3"/>
      <c r="DWI28" s="3"/>
      <c r="DWJ28" s="3"/>
      <c r="DWK28" s="3"/>
      <c r="DWL28" s="3"/>
      <c r="DWM28" s="3"/>
      <c r="DWN28" s="3"/>
      <c r="DWO28" s="3"/>
      <c r="DWP28" s="3"/>
      <c r="DWQ28" s="3"/>
      <c r="DWR28" s="3"/>
      <c r="DWS28" s="3"/>
      <c r="DWT28" s="3"/>
      <c r="DWU28" s="3"/>
      <c r="DWV28" s="3"/>
      <c r="DWW28" s="3"/>
      <c r="DWX28" s="3"/>
      <c r="DWY28" s="3"/>
      <c r="DWZ28" s="3"/>
      <c r="DXA28" s="3"/>
      <c r="DXB28" s="3"/>
      <c r="DXC28" s="3"/>
      <c r="DXD28" s="3"/>
      <c r="DXE28" s="3"/>
      <c r="DXF28" s="3"/>
      <c r="DXG28" s="3"/>
      <c r="DXH28" s="3"/>
      <c r="DXI28" s="3"/>
      <c r="DXJ28" s="3"/>
      <c r="DXK28" s="3"/>
      <c r="DXL28" s="3"/>
      <c r="DXM28" s="3"/>
      <c r="DXN28" s="3"/>
      <c r="DXO28" s="3"/>
      <c r="DXP28" s="3"/>
      <c r="DXQ28" s="3"/>
      <c r="DXR28" s="3"/>
      <c r="DXS28" s="3"/>
      <c r="DXT28" s="3"/>
      <c r="DXU28" s="3"/>
      <c r="DXV28" s="3"/>
      <c r="DXW28" s="3"/>
      <c r="DXX28" s="3"/>
      <c r="DXY28" s="3"/>
      <c r="DXZ28" s="3"/>
      <c r="DYA28" s="3"/>
      <c r="DYB28" s="3"/>
      <c r="DYC28" s="3"/>
      <c r="DYD28" s="3"/>
      <c r="DYE28" s="3"/>
      <c r="DYF28" s="3"/>
      <c r="DYG28" s="3"/>
      <c r="DYH28" s="3"/>
      <c r="DYI28" s="3"/>
      <c r="DYJ28" s="3"/>
      <c r="DYK28" s="3"/>
      <c r="DYL28" s="3"/>
      <c r="DYM28" s="3"/>
      <c r="DYN28" s="3"/>
      <c r="DYO28" s="3"/>
      <c r="DYP28" s="3"/>
      <c r="DYQ28" s="3"/>
      <c r="DYR28" s="3"/>
      <c r="DYS28" s="3"/>
      <c r="DYT28" s="3"/>
      <c r="DYU28" s="3"/>
      <c r="DYV28" s="3"/>
      <c r="DYW28" s="3"/>
      <c r="DYX28" s="3"/>
      <c r="DYY28" s="3"/>
      <c r="DYZ28" s="3"/>
      <c r="DZA28" s="3"/>
      <c r="DZB28" s="3"/>
      <c r="DZC28" s="3"/>
      <c r="DZD28" s="3"/>
      <c r="DZE28" s="3"/>
      <c r="DZF28" s="3"/>
      <c r="DZG28" s="3"/>
      <c r="DZH28" s="3"/>
      <c r="DZI28" s="3"/>
      <c r="DZJ28" s="3"/>
      <c r="DZK28" s="3"/>
      <c r="DZL28" s="3"/>
      <c r="DZM28" s="3"/>
      <c r="DZN28" s="3"/>
      <c r="DZO28" s="3"/>
      <c r="DZP28" s="3"/>
      <c r="DZQ28" s="3"/>
      <c r="DZR28" s="3"/>
      <c r="DZS28" s="3"/>
      <c r="DZT28" s="3"/>
      <c r="DZU28" s="3"/>
      <c r="DZV28" s="3"/>
      <c r="DZW28" s="3"/>
      <c r="DZX28" s="3"/>
      <c r="DZY28" s="3"/>
      <c r="DZZ28" s="3"/>
      <c r="EAA28" s="3"/>
      <c r="EAB28" s="3"/>
      <c r="EAC28" s="3"/>
      <c r="EAD28" s="3"/>
      <c r="EAE28" s="3"/>
      <c r="EAF28" s="3"/>
      <c r="EAG28" s="3"/>
      <c r="EAH28" s="3"/>
      <c r="EAI28" s="3"/>
      <c r="EAJ28" s="3"/>
      <c r="EAK28" s="3"/>
      <c r="EAL28" s="3"/>
      <c r="EAM28" s="3"/>
      <c r="EAN28" s="3"/>
      <c r="EAO28" s="3"/>
      <c r="EAP28" s="3"/>
      <c r="EAQ28" s="3"/>
      <c r="EAR28" s="3"/>
      <c r="EAS28" s="3"/>
      <c r="EAT28" s="3"/>
      <c r="EAU28" s="3"/>
      <c r="EAV28" s="3"/>
      <c r="EAW28" s="3"/>
      <c r="EAX28" s="3"/>
      <c r="EAY28" s="3"/>
      <c r="EAZ28" s="3"/>
      <c r="EBA28" s="3"/>
      <c r="EBB28" s="3"/>
      <c r="EBC28" s="3"/>
      <c r="EBD28" s="3"/>
      <c r="EBE28" s="3"/>
      <c r="EBF28" s="3"/>
      <c r="EBG28" s="3"/>
      <c r="EBH28" s="3"/>
      <c r="EBI28" s="3"/>
      <c r="EBJ28" s="3"/>
      <c r="EBK28" s="3"/>
      <c r="EBL28" s="3"/>
      <c r="EBM28" s="3"/>
      <c r="EBN28" s="3"/>
      <c r="EBO28" s="3"/>
      <c r="EBP28" s="3"/>
      <c r="EBQ28" s="3"/>
      <c r="EBR28" s="3"/>
      <c r="EBS28" s="3"/>
      <c r="EBT28" s="3"/>
      <c r="EBU28" s="3"/>
      <c r="EBV28" s="3"/>
      <c r="EBW28" s="3"/>
      <c r="EBX28" s="3"/>
      <c r="EBY28" s="3"/>
      <c r="EBZ28" s="3"/>
      <c r="ECA28" s="3"/>
      <c r="ECB28" s="3"/>
      <c r="ECC28" s="3"/>
      <c r="ECD28" s="3"/>
      <c r="ECE28" s="3"/>
      <c r="ECF28" s="3"/>
      <c r="ECG28" s="3"/>
      <c r="ECH28" s="3"/>
      <c r="ECI28" s="3"/>
      <c r="ECJ28" s="3"/>
      <c r="ECK28" s="3"/>
      <c r="ECL28" s="3"/>
      <c r="ECM28" s="3"/>
      <c r="ECN28" s="3"/>
      <c r="ECO28" s="3"/>
      <c r="ECP28" s="3"/>
      <c r="ECQ28" s="3"/>
      <c r="ECR28" s="3"/>
      <c r="ECS28" s="3"/>
      <c r="ECT28" s="3"/>
      <c r="ECU28" s="3"/>
      <c r="ECV28" s="3"/>
      <c r="ECW28" s="3"/>
      <c r="ECX28" s="3"/>
      <c r="ECY28" s="3"/>
      <c r="ECZ28" s="3"/>
      <c r="EDA28" s="3"/>
      <c r="EDB28" s="3"/>
      <c r="EDC28" s="3"/>
      <c r="EDD28" s="3"/>
      <c r="EDE28" s="3"/>
      <c r="EDF28" s="3"/>
      <c r="EDG28" s="3"/>
      <c r="EDH28" s="3"/>
      <c r="EDI28" s="3"/>
      <c r="EDJ28" s="3"/>
      <c r="EDK28" s="3"/>
      <c r="EDL28" s="3"/>
      <c r="EDM28" s="3"/>
      <c r="EDN28" s="3"/>
      <c r="EDO28" s="3"/>
      <c r="EDP28" s="3"/>
      <c r="EDQ28" s="3"/>
      <c r="EDR28" s="3"/>
      <c r="EDS28" s="3"/>
      <c r="EDT28" s="3"/>
      <c r="EDU28" s="3"/>
      <c r="EDV28" s="3"/>
      <c r="EDW28" s="3"/>
      <c r="EDX28" s="3"/>
      <c r="EDY28" s="3"/>
      <c r="EDZ28" s="3"/>
      <c r="EEA28" s="3"/>
      <c r="EEB28" s="3"/>
      <c r="EEC28" s="3"/>
      <c r="EED28" s="3"/>
      <c r="EEE28" s="3"/>
      <c r="EEF28" s="3"/>
      <c r="EEG28" s="3"/>
      <c r="EEH28" s="3"/>
      <c r="EEI28" s="3"/>
      <c r="EEJ28" s="3"/>
      <c r="EEK28" s="3"/>
      <c r="EEL28" s="3"/>
      <c r="EEM28" s="3"/>
      <c r="EEN28" s="3"/>
      <c r="EEO28" s="3"/>
      <c r="EEP28" s="3"/>
      <c r="EEQ28" s="3"/>
      <c r="EER28" s="3"/>
      <c r="EES28" s="3"/>
      <c r="EET28" s="3"/>
      <c r="EEU28" s="3"/>
      <c r="EEV28" s="3"/>
      <c r="EEW28" s="3"/>
      <c r="EEX28" s="3"/>
      <c r="EEY28" s="3"/>
      <c r="EEZ28" s="3"/>
      <c r="EFA28" s="3"/>
      <c r="EFB28" s="3"/>
      <c r="EFC28" s="3"/>
      <c r="EFD28" s="3"/>
      <c r="EFE28" s="3"/>
      <c r="EFF28" s="3"/>
      <c r="EFG28" s="3"/>
      <c r="EFH28" s="3"/>
      <c r="EFI28" s="3"/>
      <c r="EFJ28" s="3"/>
      <c r="EFK28" s="3"/>
      <c r="EFL28" s="3"/>
      <c r="EFM28" s="3"/>
      <c r="EFN28" s="3"/>
      <c r="EFO28" s="3"/>
      <c r="EFP28" s="3"/>
      <c r="EFQ28" s="3"/>
      <c r="EFR28" s="3"/>
      <c r="EFS28" s="3"/>
      <c r="EFT28" s="3"/>
      <c r="EFU28" s="3"/>
      <c r="EFV28" s="3"/>
      <c r="EFW28" s="3"/>
      <c r="EFX28" s="3"/>
      <c r="EFY28" s="3"/>
      <c r="EFZ28" s="3"/>
      <c r="EGA28" s="3"/>
      <c r="EGB28" s="3"/>
      <c r="EGC28" s="3"/>
      <c r="EGD28" s="3"/>
      <c r="EGE28" s="3"/>
      <c r="EGF28" s="3"/>
      <c r="EGG28" s="3"/>
      <c r="EGH28" s="3"/>
      <c r="EGI28" s="3"/>
      <c r="EGJ28" s="3"/>
      <c r="EGK28" s="3"/>
      <c r="EGL28" s="3"/>
      <c r="EGM28" s="3"/>
      <c r="EGN28" s="3"/>
      <c r="EGO28" s="3"/>
      <c r="EGP28" s="3"/>
      <c r="EGQ28" s="3"/>
      <c r="EGR28" s="3"/>
      <c r="EGS28" s="3"/>
      <c r="EGT28" s="3"/>
      <c r="EGU28" s="3"/>
      <c r="EGV28" s="3"/>
      <c r="EGW28" s="3"/>
      <c r="EGX28" s="3"/>
      <c r="EGY28" s="3"/>
      <c r="EGZ28" s="3"/>
      <c r="EHA28" s="3"/>
      <c r="EHB28" s="3"/>
      <c r="EHC28" s="3"/>
      <c r="EHD28" s="3"/>
      <c r="EHE28" s="3"/>
      <c r="EHF28" s="3"/>
      <c r="EHG28" s="3"/>
      <c r="EHH28" s="3"/>
      <c r="EHI28" s="3"/>
      <c r="EHJ28" s="3"/>
      <c r="EHK28" s="3"/>
      <c r="EHL28" s="3"/>
      <c r="EHM28" s="3"/>
      <c r="EHN28" s="3"/>
      <c r="EHO28" s="3"/>
      <c r="EHP28" s="3"/>
      <c r="EHQ28" s="3"/>
      <c r="EHR28" s="3"/>
      <c r="EHS28" s="3"/>
      <c r="EHT28" s="3"/>
      <c r="EHU28" s="3"/>
      <c r="EHV28" s="3"/>
      <c r="EHW28" s="3"/>
      <c r="EHX28" s="3"/>
      <c r="EHY28" s="3"/>
      <c r="EHZ28" s="3"/>
      <c r="EIA28" s="3"/>
      <c r="EIB28" s="3"/>
      <c r="EIC28" s="3"/>
      <c r="EID28" s="3"/>
      <c r="EIE28" s="3"/>
      <c r="EIF28" s="3"/>
      <c r="EIG28" s="3"/>
      <c r="EIH28" s="3"/>
      <c r="EII28" s="3"/>
      <c r="EIJ28" s="3"/>
      <c r="EIK28" s="3"/>
      <c r="EIL28" s="3"/>
      <c r="EIM28" s="3"/>
      <c r="EIN28" s="3"/>
      <c r="EIO28" s="3"/>
      <c r="EIP28" s="3"/>
      <c r="EIQ28" s="3"/>
      <c r="EIR28" s="3"/>
      <c r="EIS28" s="3"/>
      <c r="EIT28" s="3"/>
      <c r="EIU28" s="3"/>
      <c r="EIV28" s="3"/>
      <c r="EIW28" s="3"/>
      <c r="EIX28" s="3"/>
      <c r="EIY28" s="3"/>
      <c r="EIZ28" s="3"/>
      <c r="EJA28" s="3"/>
      <c r="EJB28" s="3"/>
      <c r="EJC28" s="3"/>
      <c r="EJD28" s="3"/>
      <c r="EJE28" s="3"/>
      <c r="EJF28" s="3"/>
      <c r="EJG28" s="3"/>
      <c r="EJH28" s="3"/>
      <c r="EJI28" s="3"/>
      <c r="EJJ28" s="3"/>
      <c r="EJK28" s="3"/>
      <c r="EJL28" s="3"/>
      <c r="EJM28" s="3"/>
      <c r="EJN28" s="3"/>
      <c r="EJO28" s="3"/>
      <c r="EJP28" s="3"/>
      <c r="EJQ28" s="3"/>
      <c r="EJR28" s="3"/>
      <c r="EJS28" s="3"/>
      <c r="EJT28" s="3"/>
      <c r="EJU28" s="3"/>
      <c r="EJV28" s="3"/>
      <c r="EJW28" s="3"/>
      <c r="EJX28" s="3"/>
      <c r="EJY28" s="3"/>
      <c r="EJZ28" s="3"/>
      <c r="EKA28" s="3"/>
      <c r="EKB28" s="3"/>
      <c r="EKC28" s="3"/>
      <c r="EKD28" s="3"/>
      <c r="EKE28" s="3"/>
      <c r="EKF28" s="3"/>
      <c r="EKG28" s="3"/>
      <c r="EKH28" s="3"/>
      <c r="EKI28" s="3"/>
      <c r="EKJ28" s="3"/>
      <c r="EKK28" s="3"/>
      <c r="EKL28" s="3"/>
      <c r="EKM28" s="3"/>
      <c r="EKN28" s="3"/>
      <c r="EKO28" s="3"/>
      <c r="EKP28" s="3"/>
      <c r="EKQ28" s="3"/>
      <c r="EKR28" s="3"/>
      <c r="EKS28" s="3"/>
      <c r="EKT28" s="3"/>
      <c r="EKU28" s="3"/>
      <c r="EKV28" s="3"/>
      <c r="EKW28" s="3"/>
      <c r="EKX28" s="3"/>
      <c r="EKY28" s="3"/>
      <c r="EKZ28" s="3"/>
      <c r="ELA28" s="3"/>
      <c r="ELB28" s="3"/>
      <c r="ELC28" s="3"/>
      <c r="ELD28" s="3"/>
      <c r="ELE28" s="3"/>
      <c r="ELF28" s="3"/>
      <c r="ELG28" s="3"/>
      <c r="ELH28" s="3"/>
      <c r="ELI28" s="3"/>
      <c r="ELJ28" s="3"/>
      <c r="ELK28" s="3"/>
      <c r="ELL28" s="3"/>
      <c r="ELM28" s="3"/>
      <c r="ELN28" s="3"/>
      <c r="ELO28" s="3"/>
      <c r="ELP28" s="3"/>
      <c r="ELQ28" s="3"/>
      <c r="ELR28" s="3"/>
      <c r="ELS28" s="3"/>
      <c r="ELT28" s="3"/>
      <c r="ELU28" s="3"/>
      <c r="ELV28" s="3"/>
      <c r="ELW28" s="3"/>
      <c r="ELX28" s="3"/>
      <c r="ELY28" s="3"/>
      <c r="ELZ28" s="3"/>
      <c r="EMA28" s="3"/>
      <c r="EMB28" s="3"/>
      <c r="EMC28" s="3"/>
      <c r="EMD28" s="3"/>
      <c r="EME28" s="3"/>
      <c r="EMF28" s="3"/>
      <c r="EMG28" s="3"/>
      <c r="EMH28" s="3"/>
      <c r="EMI28" s="3"/>
      <c r="EMJ28" s="3"/>
      <c r="EMK28" s="3"/>
      <c r="EML28" s="3"/>
      <c r="EMM28" s="3"/>
      <c r="EMN28" s="3"/>
      <c r="EMO28" s="3"/>
      <c r="EMP28" s="3"/>
      <c r="EMQ28" s="3"/>
      <c r="EMR28" s="3"/>
      <c r="EMS28" s="3"/>
      <c r="EMT28" s="3"/>
      <c r="EMU28" s="3"/>
      <c r="EMV28" s="3"/>
      <c r="EMW28" s="3"/>
      <c r="EMX28" s="3"/>
      <c r="EMY28" s="3"/>
      <c r="EMZ28" s="3"/>
      <c r="ENA28" s="3"/>
      <c r="ENB28" s="3"/>
      <c r="ENC28" s="3"/>
      <c r="END28" s="3"/>
      <c r="ENE28" s="3"/>
      <c r="ENF28" s="3"/>
      <c r="ENG28" s="3"/>
      <c r="ENH28" s="3"/>
      <c r="ENI28" s="3"/>
      <c r="ENJ28" s="3"/>
      <c r="ENK28" s="3"/>
      <c r="ENL28" s="3"/>
      <c r="ENM28" s="3"/>
      <c r="ENN28" s="3"/>
      <c r="ENO28" s="3"/>
      <c r="ENP28" s="3"/>
      <c r="ENQ28" s="3"/>
      <c r="ENR28" s="3"/>
      <c r="ENS28" s="3"/>
      <c r="ENT28" s="3"/>
      <c r="ENU28" s="3"/>
      <c r="ENV28" s="3"/>
      <c r="ENW28" s="3"/>
      <c r="ENX28" s="3"/>
      <c r="ENY28" s="3"/>
      <c r="ENZ28" s="3"/>
      <c r="EOA28" s="3"/>
      <c r="EOB28" s="3"/>
      <c r="EOC28" s="3"/>
      <c r="EOD28" s="3"/>
      <c r="EOE28" s="3"/>
      <c r="EOF28" s="3"/>
      <c r="EOG28" s="3"/>
      <c r="EOH28" s="3"/>
      <c r="EOI28" s="3"/>
      <c r="EOJ28" s="3"/>
      <c r="EOK28" s="3"/>
      <c r="EOL28" s="3"/>
      <c r="EOM28" s="3"/>
      <c r="EON28" s="3"/>
      <c r="EOO28" s="3"/>
      <c r="EOP28" s="3"/>
      <c r="EOQ28" s="3"/>
      <c r="EOR28" s="3"/>
      <c r="EOS28" s="3"/>
      <c r="EOT28" s="3"/>
      <c r="EOU28" s="3"/>
      <c r="EOV28" s="3"/>
      <c r="EOW28" s="3"/>
      <c r="EOX28" s="3"/>
      <c r="EOY28" s="3"/>
      <c r="EOZ28" s="3"/>
      <c r="EPA28" s="3"/>
      <c r="EPB28" s="3"/>
      <c r="EPC28" s="3"/>
      <c r="EPD28" s="3"/>
      <c r="EPE28" s="3"/>
      <c r="EPF28" s="3"/>
      <c r="EPG28" s="3"/>
      <c r="EPH28" s="3"/>
      <c r="EPI28" s="3"/>
      <c r="EPJ28" s="3"/>
      <c r="EPK28" s="3"/>
      <c r="EPL28" s="3"/>
      <c r="EPM28" s="3"/>
      <c r="EPN28" s="3"/>
      <c r="EPO28" s="3"/>
      <c r="EPP28" s="3"/>
      <c r="EPQ28" s="3"/>
      <c r="EPR28" s="3"/>
      <c r="EPS28" s="3"/>
      <c r="EPT28" s="3"/>
      <c r="EPU28" s="3"/>
      <c r="EPV28" s="3"/>
      <c r="EPW28" s="3"/>
      <c r="EPX28" s="3"/>
      <c r="EPY28" s="3"/>
      <c r="EPZ28" s="3"/>
      <c r="EQA28" s="3"/>
      <c r="EQB28" s="3"/>
      <c r="EQC28" s="3"/>
      <c r="EQD28" s="3"/>
      <c r="EQE28" s="3"/>
      <c r="EQF28" s="3"/>
      <c r="EQG28" s="3"/>
      <c r="EQH28" s="3"/>
      <c r="EQI28" s="3"/>
      <c r="EQJ28" s="3"/>
      <c r="EQK28" s="3"/>
      <c r="EQL28" s="3"/>
      <c r="EQM28" s="3"/>
      <c r="EQN28" s="3"/>
      <c r="EQO28" s="3"/>
      <c r="EQP28" s="3"/>
      <c r="EQQ28" s="3"/>
      <c r="EQR28" s="3"/>
      <c r="EQS28" s="3"/>
      <c r="EQT28" s="3"/>
      <c r="EQU28" s="3"/>
      <c r="EQV28" s="3"/>
      <c r="EQW28" s="3"/>
      <c r="EQX28" s="3"/>
      <c r="EQY28" s="3"/>
      <c r="EQZ28" s="3"/>
      <c r="ERA28" s="3"/>
      <c r="ERB28" s="3"/>
      <c r="ERC28" s="3"/>
      <c r="ERD28" s="3"/>
      <c r="ERE28" s="3"/>
      <c r="ERF28" s="3"/>
      <c r="ERG28" s="3"/>
      <c r="ERH28" s="3"/>
      <c r="ERI28" s="3"/>
      <c r="ERJ28" s="3"/>
      <c r="ERK28" s="3"/>
      <c r="ERL28" s="3"/>
      <c r="ERM28" s="3"/>
      <c r="ERN28" s="3"/>
      <c r="ERO28" s="3"/>
      <c r="ERP28" s="3"/>
      <c r="ERQ28" s="3"/>
      <c r="ERR28" s="3"/>
      <c r="ERS28" s="3"/>
      <c r="ERT28" s="3"/>
      <c r="ERU28" s="3"/>
      <c r="ERV28" s="3"/>
      <c r="ERW28" s="3"/>
      <c r="ERX28" s="3"/>
      <c r="ERY28" s="3"/>
      <c r="ERZ28" s="3"/>
      <c r="ESA28" s="3"/>
      <c r="ESB28" s="3"/>
      <c r="ESC28" s="3"/>
      <c r="ESD28" s="3"/>
      <c r="ESE28" s="3"/>
      <c r="ESF28" s="3"/>
      <c r="ESG28" s="3"/>
      <c r="ESH28" s="3"/>
      <c r="ESI28" s="3"/>
      <c r="ESJ28" s="3"/>
      <c r="ESK28" s="3"/>
      <c r="ESL28" s="3"/>
      <c r="ESM28" s="3"/>
      <c r="ESN28" s="3"/>
      <c r="ESO28" s="3"/>
      <c r="ESP28" s="3"/>
      <c r="ESQ28" s="3"/>
      <c r="ESR28" s="3"/>
      <c r="ESS28" s="3"/>
      <c r="EST28" s="3"/>
      <c r="ESU28" s="3"/>
      <c r="ESV28" s="3"/>
      <c r="ESW28" s="3"/>
      <c r="ESX28" s="3"/>
      <c r="ESY28" s="3"/>
      <c r="ESZ28" s="3"/>
      <c r="ETA28" s="3"/>
      <c r="ETB28" s="3"/>
      <c r="ETC28" s="3"/>
      <c r="ETD28" s="3"/>
      <c r="ETE28" s="3"/>
      <c r="ETF28" s="3"/>
      <c r="ETG28" s="3"/>
      <c r="ETH28" s="3"/>
      <c r="ETI28" s="3"/>
      <c r="ETJ28" s="3"/>
      <c r="ETK28" s="3"/>
      <c r="ETL28" s="3"/>
      <c r="ETM28" s="3"/>
      <c r="ETN28" s="3"/>
      <c r="ETO28" s="3"/>
      <c r="ETP28" s="3"/>
      <c r="ETQ28" s="3"/>
      <c r="ETR28" s="3"/>
      <c r="ETS28" s="3"/>
      <c r="ETT28" s="3"/>
      <c r="ETU28" s="3"/>
      <c r="ETV28" s="3"/>
      <c r="ETW28" s="3"/>
      <c r="ETX28" s="3"/>
      <c r="ETY28" s="3"/>
      <c r="ETZ28" s="3"/>
      <c r="EUA28" s="3"/>
      <c r="EUB28" s="3"/>
      <c r="EUC28" s="3"/>
      <c r="EUD28" s="3"/>
      <c r="EUE28" s="3"/>
      <c r="EUF28" s="3"/>
      <c r="EUG28" s="3"/>
      <c r="EUH28" s="3"/>
      <c r="EUI28" s="3"/>
      <c r="EUJ28" s="3"/>
      <c r="EUK28" s="3"/>
      <c r="EUL28" s="3"/>
      <c r="EUM28" s="3"/>
      <c r="EUN28" s="3"/>
      <c r="EUO28" s="3"/>
      <c r="EUP28" s="3"/>
      <c r="EUQ28" s="3"/>
      <c r="EUR28" s="3"/>
      <c r="EUS28" s="3"/>
      <c r="EUT28" s="3"/>
      <c r="EUU28" s="3"/>
      <c r="EUV28" s="3"/>
      <c r="EUW28" s="3"/>
      <c r="EUX28" s="3"/>
      <c r="EUY28" s="3"/>
      <c r="EUZ28" s="3"/>
      <c r="EVA28" s="3"/>
      <c r="EVB28" s="3"/>
      <c r="EVC28" s="3"/>
      <c r="EVD28" s="3"/>
      <c r="EVE28" s="3"/>
      <c r="EVF28" s="3"/>
      <c r="EVG28" s="3"/>
      <c r="EVH28" s="3"/>
      <c r="EVI28" s="3"/>
      <c r="EVJ28" s="3"/>
      <c r="EVK28" s="3"/>
      <c r="EVL28" s="3"/>
      <c r="EVM28" s="3"/>
      <c r="EVN28" s="3"/>
      <c r="EVO28" s="3"/>
      <c r="EVP28" s="3"/>
      <c r="EVQ28" s="3"/>
      <c r="EVR28" s="3"/>
      <c r="EVS28" s="3"/>
      <c r="EVT28" s="3"/>
      <c r="EVU28" s="3"/>
      <c r="EVV28" s="3"/>
      <c r="EVW28" s="3"/>
      <c r="EVX28" s="3"/>
      <c r="EVY28" s="3"/>
      <c r="EVZ28" s="3"/>
      <c r="EWA28" s="3"/>
      <c r="EWB28" s="3"/>
      <c r="EWC28" s="3"/>
      <c r="EWD28" s="3"/>
      <c r="EWE28" s="3"/>
      <c r="EWF28" s="3"/>
      <c r="EWG28" s="3"/>
      <c r="EWH28" s="3"/>
      <c r="EWI28" s="3"/>
      <c r="EWJ28" s="3"/>
      <c r="EWK28" s="3"/>
      <c r="EWL28" s="3"/>
      <c r="EWM28" s="3"/>
      <c r="EWN28" s="3"/>
      <c r="EWO28" s="3"/>
      <c r="EWP28" s="3"/>
      <c r="EWQ28" s="3"/>
      <c r="EWR28" s="3"/>
      <c r="EWS28" s="3"/>
      <c r="EWT28" s="3"/>
      <c r="EWU28" s="3"/>
      <c r="EWV28" s="3"/>
      <c r="EWW28" s="3"/>
      <c r="EWX28" s="3"/>
      <c r="EWY28" s="3"/>
      <c r="EWZ28" s="3"/>
      <c r="EXA28" s="3"/>
      <c r="EXB28" s="3"/>
      <c r="EXC28" s="3"/>
      <c r="EXD28" s="3"/>
      <c r="EXE28" s="3"/>
      <c r="EXF28" s="3"/>
      <c r="EXG28" s="3"/>
      <c r="EXH28" s="3"/>
      <c r="EXI28" s="3"/>
      <c r="EXJ28" s="3"/>
      <c r="EXK28" s="3"/>
      <c r="EXL28" s="3"/>
      <c r="EXM28" s="3"/>
      <c r="EXN28" s="3"/>
      <c r="EXO28" s="3"/>
      <c r="EXP28" s="3"/>
      <c r="EXQ28" s="3"/>
      <c r="EXR28" s="3"/>
      <c r="EXS28" s="3"/>
      <c r="EXT28" s="3"/>
      <c r="EXU28" s="3"/>
      <c r="EXV28" s="3"/>
      <c r="EXW28" s="3"/>
      <c r="EXX28" s="3"/>
      <c r="EXY28" s="3"/>
      <c r="EXZ28" s="3"/>
      <c r="EYA28" s="3"/>
      <c r="EYB28" s="3"/>
      <c r="EYC28" s="3"/>
      <c r="EYD28" s="3"/>
      <c r="EYE28" s="3"/>
      <c r="EYF28" s="3"/>
      <c r="EYG28" s="3"/>
      <c r="EYH28" s="3"/>
      <c r="EYI28" s="3"/>
      <c r="EYJ28" s="3"/>
      <c r="EYK28" s="3"/>
      <c r="EYL28" s="3"/>
      <c r="EYM28" s="3"/>
      <c r="EYN28" s="3"/>
      <c r="EYO28" s="3"/>
      <c r="EYP28" s="3"/>
      <c r="EYQ28" s="3"/>
      <c r="EYR28" s="3"/>
      <c r="EYS28" s="3"/>
      <c r="EYT28" s="3"/>
      <c r="EYU28" s="3"/>
      <c r="EYV28" s="3"/>
      <c r="EYW28" s="3"/>
      <c r="EYX28" s="3"/>
      <c r="EYY28" s="3"/>
      <c r="EYZ28" s="3"/>
      <c r="EZA28" s="3"/>
      <c r="EZB28" s="3"/>
      <c r="EZC28" s="3"/>
      <c r="EZD28" s="3"/>
      <c r="EZE28" s="3"/>
      <c r="EZF28" s="3"/>
      <c r="EZG28" s="3"/>
      <c r="EZH28" s="3"/>
      <c r="EZI28" s="3"/>
      <c r="EZJ28" s="3"/>
      <c r="EZK28" s="3"/>
      <c r="EZL28" s="3"/>
      <c r="EZM28" s="3"/>
      <c r="EZN28" s="3"/>
      <c r="EZO28" s="3"/>
      <c r="EZP28" s="3"/>
      <c r="EZQ28" s="3"/>
      <c r="EZR28" s="3"/>
      <c r="EZS28" s="3"/>
      <c r="EZT28" s="3"/>
      <c r="EZU28" s="3"/>
      <c r="EZV28" s="3"/>
      <c r="EZW28" s="3"/>
      <c r="EZX28" s="3"/>
      <c r="EZY28" s="3"/>
      <c r="EZZ28" s="3"/>
      <c r="FAA28" s="3"/>
      <c r="FAB28" s="3"/>
      <c r="FAC28" s="3"/>
      <c r="FAD28" s="3"/>
      <c r="FAE28" s="3"/>
      <c r="FAF28" s="3"/>
      <c r="FAG28" s="3"/>
      <c r="FAH28" s="3"/>
      <c r="FAI28" s="3"/>
      <c r="FAJ28" s="3"/>
      <c r="FAK28" s="3"/>
      <c r="FAL28" s="3"/>
      <c r="FAM28" s="3"/>
      <c r="FAN28" s="3"/>
      <c r="FAO28" s="3"/>
      <c r="FAP28" s="3"/>
      <c r="FAQ28" s="3"/>
      <c r="FAR28" s="3"/>
      <c r="FAS28" s="3"/>
      <c r="FAT28" s="3"/>
      <c r="FAU28" s="3"/>
      <c r="FAV28" s="3"/>
      <c r="FAW28" s="3"/>
      <c r="FAX28" s="3"/>
      <c r="FAY28" s="3"/>
      <c r="FAZ28" s="3"/>
      <c r="FBA28" s="3"/>
      <c r="FBB28" s="3"/>
      <c r="FBC28" s="3"/>
      <c r="FBD28" s="3"/>
      <c r="FBE28" s="3"/>
      <c r="FBF28" s="3"/>
      <c r="FBG28" s="3"/>
      <c r="FBH28" s="3"/>
      <c r="FBI28" s="3"/>
      <c r="FBJ28" s="3"/>
      <c r="FBK28" s="3"/>
      <c r="FBL28" s="3"/>
      <c r="FBM28" s="3"/>
      <c r="FBN28" s="3"/>
      <c r="FBO28" s="3"/>
      <c r="FBP28" s="3"/>
      <c r="FBQ28" s="3"/>
      <c r="FBR28" s="3"/>
      <c r="FBS28" s="3"/>
      <c r="FBT28" s="3"/>
      <c r="FBU28" s="3"/>
      <c r="FBV28" s="3"/>
      <c r="FBW28" s="3"/>
      <c r="FBX28" s="3"/>
      <c r="FBY28" s="3"/>
      <c r="FBZ28" s="3"/>
      <c r="FCA28" s="3"/>
      <c r="FCB28" s="3"/>
      <c r="FCC28" s="3"/>
      <c r="FCD28" s="3"/>
      <c r="FCE28" s="3"/>
      <c r="FCF28" s="3"/>
      <c r="FCG28" s="3"/>
      <c r="FCH28" s="3"/>
      <c r="FCI28" s="3"/>
      <c r="FCJ28" s="3"/>
      <c r="FCK28" s="3"/>
      <c r="FCL28" s="3"/>
      <c r="FCM28" s="3"/>
      <c r="FCN28" s="3"/>
      <c r="FCO28" s="3"/>
      <c r="FCP28" s="3"/>
      <c r="FCQ28" s="3"/>
      <c r="FCR28" s="3"/>
      <c r="FCS28" s="3"/>
      <c r="FCT28" s="3"/>
      <c r="FCU28" s="3"/>
      <c r="FCV28" s="3"/>
      <c r="FCW28" s="3"/>
      <c r="FCX28" s="3"/>
      <c r="FCY28" s="3"/>
      <c r="FCZ28" s="3"/>
      <c r="FDA28" s="3"/>
      <c r="FDB28" s="3"/>
      <c r="FDC28" s="3"/>
      <c r="FDD28" s="3"/>
      <c r="FDE28" s="3"/>
      <c r="FDF28" s="3"/>
      <c r="FDG28" s="3"/>
      <c r="FDH28" s="3"/>
      <c r="FDI28" s="3"/>
      <c r="FDJ28" s="3"/>
      <c r="FDK28" s="3"/>
      <c r="FDL28" s="3"/>
      <c r="FDM28" s="3"/>
      <c r="FDN28" s="3"/>
      <c r="FDO28" s="3"/>
      <c r="FDP28" s="3"/>
      <c r="FDQ28" s="3"/>
      <c r="FDR28" s="3"/>
      <c r="FDS28" s="3"/>
      <c r="FDT28" s="3"/>
      <c r="FDU28" s="3"/>
      <c r="FDV28" s="3"/>
      <c r="FDW28" s="3"/>
      <c r="FDX28" s="3"/>
      <c r="FDY28" s="3"/>
      <c r="FDZ28" s="3"/>
      <c r="FEA28" s="3"/>
      <c r="FEB28" s="3"/>
      <c r="FEC28" s="3"/>
      <c r="FED28" s="3"/>
      <c r="FEE28" s="3"/>
      <c r="FEF28" s="3"/>
      <c r="FEG28" s="3"/>
      <c r="FEH28" s="3"/>
      <c r="FEI28" s="3"/>
      <c r="FEJ28" s="3"/>
      <c r="FEK28" s="3"/>
      <c r="FEL28" s="3"/>
      <c r="FEM28" s="3"/>
      <c r="FEN28" s="3"/>
      <c r="FEO28" s="3"/>
      <c r="FEP28" s="3"/>
      <c r="FEQ28" s="3"/>
      <c r="FER28" s="3"/>
      <c r="FES28" s="3"/>
      <c r="FET28" s="3"/>
      <c r="FEU28" s="3"/>
      <c r="FEV28" s="3"/>
      <c r="FEW28" s="3"/>
      <c r="FEX28" s="3"/>
      <c r="FEY28" s="3"/>
      <c r="FEZ28" s="3"/>
      <c r="FFA28" s="3"/>
      <c r="FFB28" s="3"/>
      <c r="FFC28" s="3"/>
      <c r="FFD28" s="3"/>
      <c r="FFE28" s="3"/>
      <c r="FFF28" s="3"/>
      <c r="FFG28" s="3"/>
      <c r="FFH28" s="3"/>
      <c r="FFI28" s="3"/>
      <c r="FFJ28" s="3"/>
      <c r="FFK28" s="3"/>
      <c r="FFL28" s="3"/>
      <c r="FFM28" s="3"/>
      <c r="FFN28" s="3"/>
      <c r="FFO28" s="3"/>
      <c r="FFP28" s="3"/>
      <c r="FFQ28" s="3"/>
      <c r="FFR28" s="3"/>
      <c r="FFS28" s="3"/>
      <c r="FFT28" s="3"/>
      <c r="FFU28" s="3"/>
      <c r="FFV28" s="3"/>
      <c r="FFW28" s="3"/>
      <c r="FFX28" s="3"/>
      <c r="FFY28" s="3"/>
      <c r="FFZ28" s="3"/>
      <c r="FGA28" s="3"/>
      <c r="FGB28" s="3"/>
      <c r="FGC28" s="3"/>
      <c r="FGD28" s="3"/>
      <c r="FGE28" s="3"/>
      <c r="FGF28" s="3"/>
      <c r="FGG28" s="3"/>
      <c r="FGH28" s="3"/>
      <c r="FGI28" s="3"/>
      <c r="FGJ28" s="3"/>
      <c r="FGK28" s="3"/>
      <c r="FGL28" s="3"/>
      <c r="FGM28" s="3"/>
      <c r="FGN28" s="3"/>
      <c r="FGO28" s="3"/>
      <c r="FGP28" s="3"/>
      <c r="FGQ28" s="3"/>
      <c r="FGR28" s="3"/>
      <c r="FGS28" s="3"/>
      <c r="FGT28" s="3"/>
      <c r="FGU28" s="3"/>
      <c r="FGV28" s="3"/>
      <c r="FGW28" s="3"/>
      <c r="FGX28" s="3"/>
      <c r="FGY28" s="3"/>
      <c r="FGZ28" s="3"/>
      <c r="FHA28" s="3"/>
      <c r="FHB28" s="3"/>
      <c r="FHC28" s="3"/>
      <c r="FHD28" s="3"/>
      <c r="FHE28" s="3"/>
      <c r="FHF28" s="3"/>
      <c r="FHG28" s="3"/>
      <c r="FHH28" s="3"/>
      <c r="FHI28" s="3"/>
      <c r="FHJ28" s="3"/>
      <c r="FHK28" s="3"/>
      <c r="FHL28" s="3"/>
      <c r="FHM28" s="3"/>
      <c r="FHN28" s="3"/>
      <c r="FHO28" s="3"/>
      <c r="FHP28" s="3"/>
      <c r="FHQ28" s="3"/>
      <c r="FHR28" s="3"/>
      <c r="FHS28" s="3"/>
      <c r="FHT28" s="3"/>
      <c r="FHU28" s="3"/>
      <c r="FHV28" s="3"/>
      <c r="FHW28" s="3"/>
      <c r="FHX28" s="3"/>
      <c r="FHY28" s="3"/>
      <c r="FHZ28" s="3"/>
      <c r="FIA28" s="3"/>
      <c r="FIB28" s="3"/>
      <c r="FIC28" s="3"/>
      <c r="FID28" s="3"/>
      <c r="FIE28" s="3"/>
      <c r="FIF28" s="3"/>
      <c r="FIG28" s="3"/>
      <c r="FIH28" s="3"/>
      <c r="FII28" s="3"/>
      <c r="FIJ28" s="3"/>
      <c r="FIK28" s="3"/>
      <c r="FIL28" s="3"/>
      <c r="FIM28" s="3"/>
      <c r="FIN28" s="3"/>
      <c r="FIO28" s="3"/>
      <c r="FIP28" s="3"/>
      <c r="FIQ28" s="3"/>
      <c r="FIR28" s="3"/>
      <c r="FIS28" s="3"/>
      <c r="FIT28" s="3"/>
      <c r="FIU28" s="3"/>
      <c r="FIV28" s="3"/>
      <c r="FIW28" s="3"/>
      <c r="FIX28" s="3"/>
      <c r="FIY28" s="3"/>
      <c r="FIZ28" s="3"/>
      <c r="FJA28" s="3"/>
      <c r="FJB28" s="3"/>
      <c r="FJC28" s="3"/>
      <c r="FJD28" s="3"/>
      <c r="FJE28" s="3"/>
      <c r="FJF28" s="3"/>
      <c r="FJG28" s="3"/>
      <c r="FJH28" s="3"/>
      <c r="FJI28" s="3"/>
      <c r="FJJ28" s="3"/>
      <c r="FJK28" s="3"/>
      <c r="FJL28" s="3"/>
      <c r="FJM28" s="3"/>
      <c r="FJN28" s="3"/>
      <c r="FJO28" s="3"/>
      <c r="FJP28" s="3"/>
      <c r="FJQ28" s="3"/>
      <c r="FJR28" s="3"/>
      <c r="FJS28" s="3"/>
      <c r="FJT28" s="3"/>
      <c r="FJU28" s="3"/>
      <c r="FJV28" s="3"/>
      <c r="FJW28" s="3"/>
      <c r="FJX28" s="3"/>
      <c r="FJY28" s="3"/>
      <c r="FJZ28" s="3"/>
      <c r="FKA28" s="3"/>
      <c r="FKB28" s="3"/>
      <c r="FKC28" s="3"/>
      <c r="FKD28" s="3"/>
      <c r="FKE28" s="3"/>
      <c r="FKF28" s="3"/>
      <c r="FKG28" s="3"/>
      <c r="FKH28" s="3"/>
      <c r="FKI28" s="3"/>
      <c r="FKJ28" s="3"/>
      <c r="FKK28" s="3"/>
      <c r="FKL28" s="3"/>
      <c r="FKM28" s="3"/>
      <c r="FKN28" s="3"/>
      <c r="FKO28" s="3"/>
      <c r="FKP28" s="3"/>
      <c r="FKQ28" s="3"/>
      <c r="FKR28" s="3"/>
      <c r="FKS28" s="3"/>
      <c r="FKT28" s="3"/>
      <c r="FKU28" s="3"/>
      <c r="FKV28" s="3"/>
      <c r="FKW28" s="3"/>
      <c r="FKX28" s="3"/>
      <c r="FKY28" s="3"/>
      <c r="FKZ28" s="3"/>
      <c r="FLA28" s="3"/>
      <c r="FLB28" s="3"/>
      <c r="FLC28" s="3"/>
      <c r="FLD28" s="3"/>
      <c r="FLE28" s="3"/>
      <c r="FLF28" s="3"/>
      <c r="FLG28" s="3"/>
      <c r="FLH28" s="3"/>
      <c r="FLI28" s="3"/>
      <c r="FLJ28" s="3"/>
      <c r="FLK28" s="3"/>
      <c r="FLL28" s="3"/>
      <c r="FLM28" s="3"/>
      <c r="FLN28" s="3"/>
      <c r="FLO28" s="3"/>
      <c r="FLP28" s="3"/>
      <c r="FLQ28" s="3"/>
      <c r="FLR28" s="3"/>
      <c r="FLS28" s="3"/>
      <c r="FLT28" s="3"/>
      <c r="FLU28" s="3"/>
      <c r="FLV28" s="3"/>
      <c r="FLW28" s="3"/>
      <c r="FLX28" s="3"/>
      <c r="FLY28" s="3"/>
      <c r="FLZ28" s="3"/>
      <c r="FMA28" s="3"/>
      <c r="FMB28" s="3"/>
      <c r="FMC28" s="3"/>
      <c r="FMD28" s="3"/>
      <c r="FME28" s="3"/>
      <c r="FMF28" s="3"/>
      <c r="FMG28" s="3"/>
      <c r="FMH28" s="3"/>
      <c r="FMI28" s="3"/>
      <c r="FMJ28" s="3"/>
      <c r="FMK28" s="3"/>
      <c r="FML28" s="3"/>
      <c r="FMM28" s="3"/>
      <c r="FMN28" s="3"/>
      <c r="FMO28" s="3"/>
      <c r="FMP28" s="3"/>
      <c r="FMQ28" s="3"/>
      <c r="FMR28" s="3"/>
      <c r="FMS28" s="3"/>
      <c r="FMT28" s="3"/>
      <c r="FMU28" s="3"/>
      <c r="FMV28" s="3"/>
      <c r="FMW28" s="3"/>
      <c r="FMX28" s="3"/>
      <c r="FMY28" s="3"/>
      <c r="FMZ28" s="3"/>
      <c r="FNA28" s="3"/>
      <c r="FNB28" s="3"/>
      <c r="FNC28" s="3"/>
      <c r="FND28" s="3"/>
      <c r="FNE28" s="3"/>
      <c r="FNF28" s="3"/>
      <c r="FNG28" s="3"/>
      <c r="FNH28" s="3"/>
      <c r="FNI28" s="3"/>
      <c r="FNJ28" s="3"/>
      <c r="FNK28" s="3"/>
      <c r="FNL28" s="3"/>
      <c r="FNM28" s="3"/>
      <c r="FNN28" s="3"/>
      <c r="FNO28" s="3"/>
      <c r="FNP28" s="3"/>
      <c r="FNQ28" s="3"/>
      <c r="FNR28" s="3"/>
      <c r="FNS28" s="3"/>
      <c r="FNT28" s="3"/>
      <c r="FNU28" s="3"/>
      <c r="FNV28" s="3"/>
      <c r="FNW28" s="3"/>
      <c r="FNX28" s="3"/>
      <c r="FNY28" s="3"/>
      <c r="FNZ28" s="3"/>
      <c r="FOA28" s="3"/>
      <c r="FOB28" s="3"/>
      <c r="FOC28" s="3"/>
      <c r="FOD28" s="3"/>
      <c r="FOE28" s="3"/>
      <c r="FOF28" s="3"/>
      <c r="FOG28" s="3"/>
      <c r="FOH28" s="3"/>
      <c r="FOI28" s="3"/>
      <c r="FOJ28" s="3"/>
      <c r="FOK28" s="3"/>
      <c r="FOL28" s="3"/>
      <c r="FOM28" s="3"/>
      <c r="FON28" s="3"/>
      <c r="FOO28" s="3"/>
      <c r="FOP28" s="3"/>
      <c r="FOQ28" s="3"/>
      <c r="FOR28" s="3"/>
      <c r="FOS28" s="3"/>
      <c r="FOT28" s="3"/>
      <c r="FOU28" s="3"/>
      <c r="FOV28" s="3"/>
      <c r="FOW28" s="3"/>
      <c r="FOX28" s="3"/>
      <c r="FOY28" s="3"/>
      <c r="FOZ28" s="3"/>
      <c r="FPA28" s="3"/>
      <c r="FPB28" s="3"/>
      <c r="FPC28" s="3"/>
      <c r="FPD28" s="3"/>
      <c r="FPE28" s="3"/>
      <c r="FPF28" s="3"/>
      <c r="FPG28" s="3"/>
      <c r="FPH28" s="3"/>
      <c r="FPI28" s="3"/>
      <c r="FPJ28" s="3"/>
      <c r="FPK28" s="3"/>
      <c r="FPL28" s="3"/>
      <c r="FPM28" s="3"/>
      <c r="FPN28" s="3"/>
      <c r="FPO28" s="3"/>
      <c r="FPP28" s="3"/>
      <c r="FPQ28" s="3"/>
      <c r="FPR28" s="3"/>
      <c r="FPS28" s="3"/>
      <c r="FPT28" s="3"/>
      <c r="FPU28" s="3"/>
      <c r="FPV28" s="3"/>
      <c r="FPW28" s="3"/>
      <c r="FPX28" s="3"/>
      <c r="FPY28" s="3"/>
      <c r="FPZ28" s="3"/>
      <c r="FQA28" s="3"/>
      <c r="FQB28" s="3"/>
      <c r="FQC28" s="3"/>
      <c r="FQD28" s="3"/>
      <c r="FQE28" s="3"/>
      <c r="FQF28" s="3"/>
      <c r="FQG28" s="3"/>
      <c r="FQH28" s="3"/>
      <c r="FQI28" s="3"/>
      <c r="FQJ28" s="3"/>
      <c r="FQK28" s="3"/>
      <c r="FQL28" s="3"/>
      <c r="FQM28" s="3"/>
      <c r="FQN28" s="3"/>
      <c r="FQO28" s="3"/>
      <c r="FQP28" s="3"/>
      <c r="FQQ28" s="3"/>
      <c r="FQR28" s="3"/>
      <c r="FQS28" s="3"/>
      <c r="FQT28" s="3"/>
      <c r="FQU28" s="3"/>
      <c r="FQV28" s="3"/>
      <c r="FQW28" s="3"/>
      <c r="FQX28" s="3"/>
      <c r="FQY28" s="3"/>
      <c r="FQZ28" s="3"/>
      <c r="FRA28" s="3"/>
      <c r="FRB28" s="3"/>
      <c r="FRC28" s="3"/>
      <c r="FRD28" s="3"/>
      <c r="FRE28" s="3"/>
      <c r="FRF28" s="3"/>
      <c r="FRG28" s="3"/>
      <c r="FRH28" s="3"/>
      <c r="FRI28" s="3"/>
      <c r="FRJ28" s="3"/>
      <c r="FRK28" s="3"/>
      <c r="FRL28" s="3"/>
      <c r="FRM28" s="3"/>
      <c r="FRN28" s="3"/>
      <c r="FRO28" s="3"/>
      <c r="FRP28" s="3"/>
      <c r="FRQ28" s="3"/>
      <c r="FRR28" s="3"/>
      <c r="FRS28" s="3"/>
      <c r="FRT28" s="3"/>
      <c r="FRU28" s="3"/>
      <c r="FRV28" s="3"/>
      <c r="FRW28" s="3"/>
      <c r="FRX28" s="3"/>
      <c r="FRY28" s="3"/>
      <c r="FRZ28" s="3"/>
      <c r="FSA28" s="3"/>
      <c r="FSB28" s="3"/>
      <c r="FSC28" s="3"/>
      <c r="FSD28" s="3"/>
      <c r="FSE28" s="3"/>
      <c r="FSF28" s="3"/>
      <c r="FSG28" s="3"/>
      <c r="FSH28" s="3"/>
      <c r="FSI28" s="3"/>
      <c r="FSJ28" s="3"/>
      <c r="FSK28" s="3"/>
      <c r="FSL28" s="3"/>
      <c r="FSM28" s="3"/>
      <c r="FSN28" s="3"/>
      <c r="FSO28" s="3"/>
      <c r="FSP28" s="3"/>
      <c r="FSQ28" s="3"/>
      <c r="FSR28" s="3"/>
      <c r="FSS28" s="3"/>
      <c r="FST28" s="3"/>
      <c r="FSU28" s="3"/>
      <c r="FSV28" s="3"/>
      <c r="FSW28" s="3"/>
      <c r="FSX28" s="3"/>
      <c r="FSY28" s="3"/>
      <c r="FSZ28" s="3"/>
      <c r="FTA28" s="3"/>
      <c r="FTB28" s="3"/>
      <c r="FTC28" s="3"/>
      <c r="FTD28" s="3"/>
      <c r="FTE28" s="3"/>
      <c r="FTF28" s="3"/>
      <c r="FTG28" s="3"/>
      <c r="FTH28" s="3"/>
      <c r="FTI28" s="3"/>
      <c r="FTJ28" s="3"/>
      <c r="FTK28" s="3"/>
      <c r="FTL28" s="3"/>
      <c r="FTM28" s="3"/>
      <c r="FTN28" s="3"/>
      <c r="FTO28" s="3"/>
      <c r="FTP28" s="3"/>
      <c r="FTQ28" s="3"/>
      <c r="FTR28" s="3"/>
      <c r="FTS28" s="3"/>
      <c r="FTT28" s="3"/>
      <c r="FTU28" s="3"/>
      <c r="FTV28" s="3"/>
      <c r="FTW28" s="3"/>
      <c r="FTX28" s="3"/>
      <c r="FTY28" s="3"/>
      <c r="FTZ28" s="3"/>
      <c r="FUA28" s="3"/>
      <c r="FUB28" s="3"/>
      <c r="FUC28" s="3"/>
      <c r="FUD28" s="3"/>
      <c r="FUE28" s="3"/>
      <c r="FUF28" s="3"/>
      <c r="FUG28" s="3"/>
      <c r="FUH28" s="3"/>
      <c r="FUI28" s="3"/>
      <c r="FUJ28" s="3"/>
      <c r="FUK28" s="3"/>
      <c r="FUL28" s="3"/>
      <c r="FUM28" s="3"/>
      <c r="FUN28" s="3"/>
      <c r="FUO28" s="3"/>
      <c r="FUP28" s="3"/>
      <c r="FUQ28" s="3"/>
      <c r="FUR28" s="3"/>
      <c r="FUS28" s="3"/>
      <c r="FUT28" s="3"/>
      <c r="FUU28" s="3"/>
      <c r="FUV28" s="3"/>
      <c r="FUW28" s="3"/>
      <c r="FUX28" s="3"/>
      <c r="FUY28" s="3"/>
      <c r="FUZ28" s="3"/>
      <c r="FVA28" s="3"/>
      <c r="FVB28" s="3"/>
      <c r="FVC28" s="3"/>
      <c r="FVD28" s="3"/>
      <c r="FVE28" s="3"/>
      <c r="FVF28" s="3"/>
      <c r="FVG28" s="3"/>
      <c r="FVH28" s="3"/>
      <c r="FVI28" s="3"/>
      <c r="FVJ28" s="3"/>
      <c r="FVK28" s="3"/>
      <c r="FVL28" s="3"/>
      <c r="FVM28" s="3"/>
      <c r="FVN28" s="3"/>
      <c r="FVO28" s="3"/>
      <c r="FVP28" s="3"/>
      <c r="FVQ28" s="3"/>
      <c r="FVR28" s="3"/>
      <c r="FVS28" s="3"/>
      <c r="FVT28" s="3"/>
      <c r="FVU28" s="3"/>
      <c r="FVV28" s="3"/>
      <c r="FVW28" s="3"/>
      <c r="FVX28" s="3"/>
      <c r="FVY28" s="3"/>
      <c r="FVZ28" s="3"/>
      <c r="FWA28" s="3"/>
      <c r="FWB28" s="3"/>
      <c r="FWC28" s="3"/>
      <c r="FWD28" s="3"/>
      <c r="FWE28" s="3"/>
      <c r="FWF28" s="3"/>
      <c r="FWG28" s="3"/>
      <c r="FWH28" s="3"/>
      <c r="FWI28" s="3"/>
      <c r="FWJ28" s="3"/>
      <c r="FWK28" s="3"/>
      <c r="FWL28" s="3"/>
      <c r="FWM28" s="3"/>
      <c r="FWN28" s="3"/>
      <c r="FWO28" s="3"/>
      <c r="FWP28" s="3"/>
      <c r="FWQ28" s="3"/>
      <c r="FWR28" s="3"/>
      <c r="FWS28" s="3"/>
      <c r="FWT28" s="3"/>
      <c r="FWU28" s="3"/>
      <c r="FWV28" s="3"/>
      <c r="FWW28" s="3"/>
      <c r="FWX28" s="3"/>
      <c r="FWY28" s="3"/>
      <c r="FWZ28" s="3"/>
      <c r="FXA28" s="3"/>
      <c r="FXB28" s="3"/>
      <c r="FXC28" s="3"/>
      <c r="FXD28" s="3"/>
      <c r="FXE28" s="3"/>
      <c r="FXF28" s="3"/>
      <c r="FXG28" s="3"/>
      <c r="FXH28" s="3"/>
      <c r="FXI28" s="3"/>
      <c r="FXJ28" s="3"/>
      <c r="FXK28" s="3"/>
      <c r="FXL28" s="3"/>
      <c r="FXM28" s="3"/>
      <c r="FXN28" s="3"/>
      <c r="FXO28" s="3"/>
      <c r="FXP28" s="3"/>
      <c r="FXQ28" s="3"/>
      <c r="FXR28" s="3"/>
      <c r="FXS28" s="3"/>
      <c r="FXT28" s="3"/>
      <c r="FXU28" s="3"/>
      <c r="FXV28" s="3"/>
      <c r="FXW28" s="3"/>
      <c r="FXX28" s="3"/>
      <c r="FXY28" s="3"/>
      <c r="FXZ28" s="3"/>
      <c r="FYA28" s="3"/>
      <c r="FYB28" s="3"/>
      <c r="FYC28" s="3"/>
      <c r="FYD28" s="3"/>
      <c r="FYE28" s="3"/>
      <c r="FYF28" s="3"/>
      <c r="FYG28" s="3"/>
      <c r="FYH28" s="3"/>
      <c r="FYI28" s="3"/>
      <c r="FYJ28" s="3"/>
      <c r="FYK28" s="3"/>
      <c r="FYL28" s="3"/>
      <c r="FYM28" s="3"/>
      <c r="FYN28" s="3"/>
      <c r="FYO28" s="3"/>
      <c r="FYP28" s="3"/>
      <c r="FYQ28" s="3"/>
      <c r="FYR28" s="3"/>
      <c r="FYS28" s="3"/>
      <c r="FYT28" s="3"/>
      <c r="FYU28" s="3"/>
      <c r="FYV28" s="3"/>
      <c r="FYW28" s="3"/>
      <c r="FYX28" s="3"/>
      <c r="FYY28" s="3"/>
      <c r="FYZ28" s="3"/>
      <c r="FZA28" s="3"/>
      <c r="FZB28" s="3"/>
      <c r="FZC28" s="3"/>
      <c r="FZD28" s="3"/>
      <c r="FZE28" s="3"/>
      <c r="FZF28" s="3"/>
      <c r="FZG28" s="3"/>
      <c r="FZH28" s="3"/>
      <c r="FZI28" s="3"/>
      <c r="FZJ28" s="3"/>
      <c r="FZK28" s="3"/>
      <c r="FZL28" s="3"/>
      <c r="FZM28" s="3"/>
      <c r="FZN28" s="3"/>
      <c r="FZO28" s="3"/>
      <c r="FZP28" s="3"/>
      <c r="FZQ28" s="3"/>
      <c r="FZR28" s="3"/>
      <c r="FZS28" s="3"/>
      <c r="FZT28" s="3"/>
      <c r="FZU28" s="3"/>
      <c r="FZV28" s="3"/>
      <c r="FZW28" s="3"/>
      <c r="FZX28" s="3"/>
      <c r="FZY28" s="3"/>
      <c r="FZZ28" s="3"/>
      <c r="GAA28" s="3"/>
      <c r="GAB28" s="3"/>
      <c r="GAC28" s="3"/>
      <c r="GAD28" s="3"/>
      <c r="GAE28" s="3"/>
      <c r="GAF28" s="3"/>
      <c r="GAG28" s="3"/>
      <c r="GAH28" s="3"/>
      <c r="GAI28" s="3"/>
      <c r="GAJ28" s="3"/>
      <c r="GAK28" s="3"/>
      <c r="GAL28" s="3"/>
      <c r="GAM28" s="3"/>
      <c r="GAN28" s="3"/>
      <c r="GAO28" s="3"/>
      <c r="GAP28" s="3"/>
      <c r="GAQ28" s="3"/>
      <c r="GAR28" s="3"/>
      <c r="GAS28" s="3"/>
      <c r="GAT28" s="3"/>
      <c r="GAU28" s="3"/>
      <c r="GAV28" s="3"/>
      <c r="GAW28" s="3"/>
      <c r="GAX28" s="3"/>
      <c r="GAY28" s="3"/>
      <c r="GAZ28" s="3"/>
      <c r="GBA28" s="3"/>
      <c r="GBB28" s="3"/>
      <c r="GBC28" s="3"/>
      <c r="GBD28" s="3"/>
      <c r="GBE28" s="3"/>
      <c r="GBF28" s="3"/>
      <c r="GBG28" s="3"/>
      <c r="GBH28" s="3"/>
      <c r="GBI28" s="3"/>
      <c r="GBJ28" s="3"/>
      <c r="GBK28" s="3"/>
      <c r="GBL28" s="3"/>
      <c r="GBM28" s="3"/>
      <c r="GBN28" s="3"/>
      <c r="GBO28" s="3"/>
      <c r="GBP28" s="3"/>
      <c r="GBQ28" s="3"/>
      <c r="GBR28" s="3"/>
      <c r="GBS28" s="3"/>
      <c r="GBT28" s="3"/>
      <c r="GBU28" s="3"/>
      <c r="GBV28" s="3"/>
      <c r="GBW28" s="3"/>
      <c r="GBX28" s="3"/>
      <c r="GBY28" s="3"/>
      <c r="GBZ28" s="3"/>
      <c r="GCA28" s="3"/>
      <c r="GCB28" s="3"/>
      <c r="GCC28" s="3"/>
      <c r="GCD28" s="3"/>
      <c r="GCE28" s="3"/>
      <c r="GCF28" s="3"/>
      <c r="GCG28" s="3"/>
      <c r="GCH28" s="3"/>
      <c r="GCI28" s="3"/>
      <c r="GCJ28" s="3"/>
      <c r="GCK28" s="3"/>
      <c r="GCL28" s="3"/>
      <c r="GCM28" s="3"/>
      <c r="GCN28" s="3"/>
      <c r="GCO28" s="3"/>
      <c r="GCP28" s="3"/>
      <c r="GCQ28" s="3"/>
      <c r="GCR28" s="3"/>
      <c r="GCS28" s="3"/>
      <c r="GCT28" s="3"/>
      <c r="GCU28" s="3"/>
      <c r="GCV28" s="3"/>
      <c r="GCW28" s="3"/>
      <c r="GCX28" s="3"/>
      <c r="GCY28" s="3"/>
      <c r="GCZ28" s="3"/>
      <c r="GDA28" s="3"/>
      <c r="GDB28" s="3"/>
      <c r="GDC28" s="3"/>
      <c r="GDD28" s="3"/>
      <c r="GDE28" s="3"/>
      <c r="GDF28" s="3"/>
      <c r="GDG28" s="3"/>
      <c r="GDH28" s="3"/>
      <c r="GDI28" s="3"/>
      <c r="GDJ28" s="3"/>
      <c r="GDK28" s="3"/>
      <c r="GDL28" s="3"/>
      <c r="GDM28" s="3"/>
      <c r="GDN28" s="3"/>
      <c r="GDO28" s="3"/>
      <c r="GDP28" s="3"/>
      <c r="GDQ28" s="3"/>
      <c r="GDR28" s="3"/>
      <c r="GDS28" s="3"/>
      <c r="GDT28" s="3"/>
      <c r="GDU28" s="3"/>
      <c r="GDV28" s="3"/>
      <c r="GDW28" s="3"/>
      <c r="GDX28" s="3"/>
      <c r="GDY28" s="3"/>
      <c r="GDZ28" s="3"/>
      <c r="GEA28" s="3"/>
      <c r="GEB28" s="3"/>
      <c r="GEC28" s="3"/>
      <c r="GED28" s="3"/>
      <c r="GEE28" s="3"/>
      <c r="GEF28" s="3"/>
      <c r="GEG28" s="3"/>
      <c r="GEH28" s="3"/>
      <c r="GEI28" s="3"/>
      <c r="GEJ28" s="3"/>
      <c r="GEK28" s="3"/>
      <c r="GEL28" s="3"/>
      <c r="GEM28" s="3"/>
      <c r="GEN28" s="3"/>
      <c r="GEO28" s="3"/>
      <c r="GEP28" s="3"/>
      <c r="GEQ28" s="3"/>
      <c r="GER28" s="3"/>
      <c r="GES28" s="3"/>
      <c r="GET28" s="3"/>
      <c r="GEU28" s="3"/>
      <c r="GEV28" s="3"/>
      <c r="GEW28" s="3"/>
      <c r="GEX28" s="3"/>
      <c r="GEY28" s="3"/>
      <c r="GEZ28" s="3"/>
      <c r="GFA28" s="3"/>
      <c r="GFB28" s="3"/>
      <c r="GFC28" s="3"/>
      <c r="GFD28" s="3"/>
      <c r="GFE28" s="3"/>
      <c r="GFF28" s="3"/>
      <c r="GFG28" s="3"/>
      <c r="GFH28" s="3"/>
      <c r="GFI28" s="3"/>
      <c r="GFJ28" s="3"/>
      <c r="GFK28" s="3"/>
      <c r="GFL28" s="3"/>
      <c r="GFM28" s="3"/>
      <c r="GFN28" s="3"/>
      <c r="GFO28" s="3"/>
      <c r="GFP28" s="3"/>
      <c r="GFQ28" s="3"/>
      <c r="GFR28" s="3"/>
      <c r="GFS28" s="3"/>
      <c r="GFT28" s="3"/>
      <c r="GFU28" s="3"/>
      <c r="GFV28" s="3"/>
      <c r="GFW28" s="3"/>
      <c r="GFX28" s="3"/>
      <c r="GFY28" s="3"/>
      <c r="GFZ28" s="3"/>
      <c r="GGA28" s="3"/>
      <c r="GGB28" s="3"/>
      <c r="GGC28" s="3"/>
      <c r="GGD28" s="3"/>
      <c r="GGE28" s="3"/>
      <c r="GGF28" s="3"/>
      <c r="GGG28" s="3"/>
      <c r="GGH28" s="3"/>
      <c r="GGI28" s="3"/>
      <c r="GGJ28" s="3"/>
      <c r="GGK28" s="3"/>
      <c r="GGL28" s="3"/>
      <c r="GGM28" s="3"/>
      <c r="GGN28" s="3"/>
      <c r="GGO28" s="3"/>
      <c r="GGP28" s="3"/>
      <c r="GGQ28" s="3"/>
      <c r="GGR28" s="3"/>
      <c r="GGS28" s="3"/>
      <c r="GGT28" s="3"/>
      <c r="GGU28" s="3"/>
      <c r="GGV28" s="3"/>
      <c r="GGW28" s="3"/>
      <c r="GGX28" s="3"/>
      <c r="GGY28" s="3"/>
      <c r="GGZ28" s="3"/>
      <c r="GHA28" s="3"/>
      <c r="GHB28" s="3"/>
      <c r="GHC28" s="3"/>
      <c r="GHD28" s="3"/>
      <c r="GHE28" s="3"/>
      <c r="GHF28" s="3"/>
      <c r="GHG28" s="3"/>
      <c r="GHH28" s="3"/>
      <c r="GHI28" s="3"/>
      <c r="GHJ28" s="3"/>
      <c r="GHK28" s="3"/>
      <c r="GHL28" s="3"/>
      <c r="GHM28" s="3"/>
      <c r="GHN28" s="3"/>
      <c r="GHO28" s="3"/>
      <c r="GHP28" s="3"/>
      <c r="GHQ28" s="3"/>
      <c r="GHR28" s="3"/>
      <c r="GHS28" s="3"/>
      <c r="GHT28" s="3"/>
      <c r="GHU28" s="3"/>
      <c r="GHV28" s="3"/>
      <c r="GHW28" s="3"/>
      <c r="GHX28" s="3"/>
      <c r="GHY28" s="3"/>
      <c r="GHZ28" s="3"/>
      <c r="GIA28" s="3"/>
      <c r="GIB28" s="3"/>
      <c r="GIC28" s="3"/>
      <c r="GID28" s="3"/>
      <c r="GIE28" s="3"/>
      <c r="GIF28" s="3"/>
      <c r="GIG28" s="3"/>
      <c r="GIH28" s="3"/>
      <c r="GII28" s="3"/>
      <c r="GIJ28" s="3"/>
      <c r="GIK28" s="3"/>
      <c r="GIL28" s="3"/>
      <c r="GIM28" s="3"/>
      <c r="GIN28" s="3"/>
      <c r="GIO28" s="3"/>
      <c r="GIP28" s="3"/>
      <c r="GIQ28" s="3"/>
      <c r="GIR28" s="3"/>
      <c r="GIS28" s="3"/>
      <c r="GIT28" s="3"/>
      <c r="GIU28" s="3"/>
      <c r="GIV28" s="3"/>
      <c r="GIW28" s="3"/>
      <c r="GIX28" s="3"/>
      <c r="GIY28" s="3"/>
      <c r="GIZ28" s="3"/>
      <c r="GJA28" s="3"/>
      <c r="GJB28" s="3"/>
      <c r="GJC28" s="3"/>
      <c r="GJD28" s="3"/>
      <c r="GJE28" s="3"/>
      <c r="GJF28" s="3"/>
      <c r="GJG28" s="3"/>
      <c r="GJH28" s="3"/>
      <c r="GJI28" s="3"/>
      <c r="GJJ28" s="3"/>
      <c r="GJK28" s="3"/>
      <c r="GJL28" s="3"/>
      <c r="GJM28" s="3"/>
      <c r="GJN28" s="3"/>
      <c r="GJO28" s="3"/>
      <c r="GJP28" s="3"/>
      <c r="GJQ28" s="3"/>
      <c r="GJR28" s="3"/>
      <c r="GJS28" s="3"/>
      <c r="GJT28" s="3"/>
      <c r="GJU28" s="3"/>
      <c r="GJV28" s="3"/>
      <c r="GJW28" s="3"/>
      <c r="GJX28" s="3"/>
      <c r="GJY28" s="3"/>
      <c r="GJZ28" s="3"/>
      <c r="GKA28" s="3"/>
      <c r="GKB28" s="3"/>
      <c r="GKC28" s="3"/>
      <c r="GKD28" s="3"/>
      <c r="GKE28" s="3"/>
      <c r="GKF28" s="3"/>
      <c r="GKG28" s="3"/>
      <c r="GKH28" s="3"/>
      <c r="GKI28" s="3"/>
      <c r="GKJ28" s="3"/>
      <c r="GKK28" s="3"/>
      <c r="GKL28" s="3"/>
      <c r="GKM28" s="3"/>
      <c r="GKN28" s="3"/>
      <c r="GKO28" s="3"/>
      <c r="GKP28" s="3"/>
      <c r="GKQ28" s="3"/>
      <c r="GKR28" s="3"/>
      <c r="GKS28" s="3"/>
      <c r="GKT28" s="3"/>
      <c r="GKU28" s="3"/>
      <c r="GKV28" s="3"/>
      <c r="GKW28" s="3"/>
      <c r="GKX28" s="3"/>
      <c r="GKY28" s="3"/>
      <c r="GKZ28" s="3"/>
      <c r="GLA28" s="3"/>
      <c r="GLB28" s="3"/>
      <c r="GLC28" s="3"/>
      <c r="GLD28" s="3"/>
      <c r="GLE28" s="3"/>
      <c r="GLF28" s="3"/>
      <c r="GLG28" s="3"/>
      <c r="GLH28" s="3"/>
      <c r="GLI28" s="3"/>
      <c r="GLJ28" s="3"/>
      <c r="GLK28" s="3"/>
      <c r="GLL28" s="3"/>
      <c r="GLM28" s="3"/>
      <c r="GLN28" s="3"/>
      <c r="GLO28" s="3"/>
      <c r="GLP28" s="3"/>
      <c r="GLQ28" s="3"/>
      <c r="GLR28" s="3"/>
      <c r="GLS28" s="3"/>
      <c r="GLT28" s="3"/>
      <c r="GLU28" s="3"/>
      <c r="GLV28" s="3"/>
      <c r="GLW28" s="3"/>
      <c r="GLX28" s="3"/>
      <c r="GLY28" s="3"/>
      <c r="GLZ28" s="3"/>
      <c r="GMA28" s="3"/>
      <c r="GMB28" s="3"/>
      <c r="GMC28" s="3"/>
      <c r="GMD28" s="3"/>
      <c r="GME28" s="3"/>
      <c r="GMF28" s="3"/>
      <c r="GMG28" s="3"/>
      <c r="GMH28" s="3"/>
      <c r="GMI28" s="3"/>
      <c r="GMJ28" s="3"/>
      <c r="GMK28" s="3"/>
      <c r="GML28" s="3"/>
      <c r="GMM28" s="3"/>
      <c r="GMN28" s="3"/>
      <c r="GMO28" s="3"/>
      <c r="GMP28" s="3"/>
      <c r="GMQ28" s="3"/>
      <c r="GMR28" s="3"/>
      <c r="GMS28" s="3"/>
      <c r="GMT28" s="3"/>
      <c r="GMU28" s="3"/>
      <c r="GMV28" s="3"/>
      <c r="GMW28" s="3"/>
      <c r="GMX28" s="3"/>
      <c r="GMY28" s="3"/>
      <c r="GMZ28" s="3"/>
      <c r="GNA28" s="3"/>
      <c r="GNB28" s="3"/>
      <c r="GNC28" s="3"/>
      <c r="GND28" s="3"/>
      <c r="GNE28" s="3"/>
      <c r="GNF28" s="3"/>
      <c r="GNG28" s="3"/>
      <c r="GNH28" s="3"/>
      <c r="GNI28" s="3"/>
      <c r="GNJ28" s="3"/>
      <c r="GNK28" s="3"/>
      <c r="GNL28" s="3"/>
      <c r="GNM28" s="3"/>
      <c r="GNN28" s="3"/>
      <c r="GNO28" s="3"/>
      <c r="GNP28" s="3"/>
      <c r="GNQ28" s="3"/>
      <c r="GNR28" s="3"/>
      <c r="GNS28" s="3"/>
      <c r="GNT28" s="3"/>
      <c r="GNU28" s="3"/>
      <c r="GNV28" s="3"/>
      <c r="GNW28" s="3"/>
      <c r="GNX28" s="3"/>
      <c r="GNY28" s="3"/>
      <c r="GNZ28" s="3"/>
      <c r="GOA28" s="3"/>
      <c r="GOB28" s="3"/>
      <c r="GOC28" s="3"/>
      <c r="GOD28" s="3"/>
      <c r="GOE28" s="3"/>
      <c r="GOF28" s="3"/>
      <c r="GOG28" s="3"/>
      <c r="GOH28" s="3"/>
      <c r="GOI28" s="3"/>
      <c r="GOJ28" s="3"/>
      <c r="GOK28" s="3"/>
      <c r="GOL28" s="3"/>
      <c r="GOM28" s="3"/>
      <c r="GON28" s="3"/>
      <c r="GOO28" s="3"/>
      <c r="GOP28" s="3"/>
      <c r="GOQ28" s="3"/>
      <c r="GOR28" s="3"/>
      <c r="GOS28" s="3"/>
      <c r="GOT28" s="3"/>
      <c r="GOU28" s="3"/>
      <c r="GOV28" s="3"/>
      <c r="GOW28" s="3"/>
      <c r="GOX28" s="3"/>
      <c r="GOY28" s="3"/>
      <c r="GOZ28" s="3"/>
      <c r="GPA28" s="3"/>
      <c r="GPB28" s="3"/>
      <c r="GPC28" s="3"/>
      <c r="GPD28" s="3"/>
      <c r="GPE28" s="3"/>
      <c r="GPF28" s="3"/>
      <c r="GPG28" s="3"/>
      <c r="GPH28" s="3"/>
      <c r="GPI28" s="3"/>
      <c r="GPJ28" s="3"/>
      <c r="GPK28" s="3"/>
      <c r="GPL28" s="3"/>
      <c r="GPM28" s="3"/>
      <c r="GPN28" s="3"/>
      <c r="GPO28" s="3"/>
      <c r="GPP28" s="3"/>
      <c r="GPQ28" s="3"/>
      <c r="GPR28" s="3"/>
      <c r="GPS28" s="3"/>
      <c r="GPT28" s="3"/>
      <c r="GPU28" s="3"/>
      <c r="GPV28" s="3"/>
      <c r="GPW28" s="3"/>
      <c r="GPX28" s="3"/>
      <c r="GPY28" s="3"/>
      <c r="GPZ28" s="3"/>
      <c r="GQA28" s="3"/>
      <c r="GQB28" s="3"/>
      <c r="GQC28" s="3"/>
      <c r="GQD28" s="3"/>
      <c r="GQE28" s="3"/>
      <c r="GQF28" s="3"/>
      <c r="GQG28" s="3"/>
      <c r="GQH28" s="3"/>
      <c r="GQI28" s="3"/>
      <c r="GQJ28" s="3"/>
      <c r="GQK28" s="3"/>
      <c r="GQL28" s="3"/>
      <c r="GQM28" s="3"/>
      <c r="GQN28" s="3"/>
      <c r="GQO28" s="3"/>
      <c r="GQP28" s="3"/>
      <c r="GQQ28" s="3"/>
      <c r="GQR28" s="3"/>
      <c r="GQS28" s="3"/>
      <c r="GQT28" s="3"/>
      <c r="GQU28" s="3"/>
      <c r="GQV28" s="3"/>
      <c r="GQW28" s="3"/>
      <c r="GQX28" s="3"/>
      <c r="GQY28" s="3"/>
      <c r="GQZ28" s="3"/>
      <c r="GRA28" s="3"/>
      <c r="GRB28" s="3"/>
      <c r="GRC28" s="3"/>
      <c r="GRD28" s="3"/>
      <c r="GRE28" s="3"/>
      <c r="GRF28" s="3"/>
      <c r="GRG28" s="3"/>
      <c r="GRH28" s="3"/>
      <c r="GRI28" s="3"/>
      <c r="GRJ28" s="3"/>
      <c r="GRK28" s="3"/>
      <c r="GRL28" s="3"/>
      <c r="GRM28" s="3"/>
      <c r="GRN28" s="3"/>
      <c r="GRO28" s="3"/>
      <c r="GRP28" s="3"/>
      <c r="GRQ28" s="3"/>
      <c r="GRR28" s="3"/>
      <c r="GRS28" s="3"/>
      <c r="GRT28" s="3"/>
      <c r="GRU28" s="3"/>
      <c r="GRV28" s="3"/>
      <c r="GRW28" s="3"/>
      <c r="GRX28" s="3"/>
      <c r="GRY28" s="3"/>
      <c r="GRZ28" s="3"/>
      <c r="GSA28" s="3"/>
      <c r="GSB28" s="3"/>
      <c r="GSC28" s="3"/>
      <c r="GSD28" s="3"/>
      <c r="GSE28" s="3"/>
      <c r="GSF28" s="3"/>
      <c r="GSG28" s="3"/>
      <c r="GSH28" s="3"/>
      <c r="GSI28" s="3"/>
      <c r="GSJ28" s="3"/>
      <c r="GSK28" s="3"/>
      <c r="GSL28" s="3"/>
      <c r="GSM28" s="3"/>
      <c r="GSN28" s="3"/>
      <c r="GSO28" s="3"/>
      <c r="GSP28" s="3"/>
      <c r="GSQ28" s="3"/>
      <c r="GSR28" s="3"/>
      <c r="GSS28" s="3"/>
      <c r="GST28" s="3"/>
      <c r="GSU28" s="3"/>
      <c r="GSV28" s="3"/>
      <c r="GSW28" s="3"/>
      <c r="GSX28" s="3"/>
      <c r="GSY28" s="3"/>
      <c r="GSZ28" s="3"/>
      <c r="GTA28" s="3"/>
      <c r="GTB28" s="3"/>
      <c r="GTC28" s="3"/>
      <c r="GTD28" s="3"/>
      <c r="GTE28" s="3"/>
      <c r="GTF28" s="3"/>
      <c r="GTG28" s="3"/>
      <c r="GTH28" s="3"/>
      <c r="GTI28" s="3"/>
      <c r="GTJ28" s="3"/>
      <c r="GTK28" s="3"/>
      <c r="GTL28" s="3"/>
      <c r="GTM28" s="3"/>
      <c r="GTN28" s="3"/>
      <c r="GTO28" s="3"/>
      <c r="GTP28" s="3"/>
      <c r="GTQ28" s="3"/>
      <c r="GTR28" s="3"/>
      <c r="GTS28" s="3"/>
      <c r="GTT28" s="3"/>
      <c r="GTU28" s="3"/>
      <c r="GTV28" s="3"/>
      <c r="GTW28" s="3"/>
      <c r="GTX28" s="3"/>
      <c r="GTY28" s="3"/>
      <c r="GTZ28" s="3"/>
      <c r="GUA28" s="3"/>
      <c r="GUB28" s="3"/>
      <c r="GUC28" s="3"/>
      <c r="GUD28" s="3"/>
      <c r="GUE28" s="3"/>
      <c r="GUF28" s="3"/>
      <c r="GUG28" s="3"/>
      <c r="GUH28" s="3"/>
      <c r="GUI28" s="3"/>
      <c r="GUJ28" s="3"/>
      <c r="GUK28" s="3"/>
      <c r="GUL28" s="3"/>
      <c r="GUM28" s="3"/>
      <c r="GUN28" s="3"/>
      <c r="GUO28" s="3"/>
      <c r="GUP28" s="3"/>
      <c r="GUQ28" s="3"/>
      <c r="GUR28" s="3"/>
      <c r="GUS28" s="3"/>
      <c r="GUT28" s="3"/>
      <c r="GUU28" s="3"/>
      <c r="GUV28" s="3"/>
      <c r="GUW28" s="3"/>
      <c r="GUX28" s="3"/>
      <c r="GUY28" s="3"/>
      <c r="GUZ28" s="3"/>
      <c r="GVA28" s="3"/>
      <c r="GVB28" s="3"/>
      <c r="GVC28" s="3"/>
      <c r="GVD28" s="3"/>
      <c r="GVE28" s="3"/>
      <c r="GVF28" s="3"/>
      <c r="GVG28" s="3"/>
      <c r="GVH28" s="3"/>
      <c r="GVI28" s="3"/>
      <c r="GVJ28" s="3"/>
      <c r="GVK28" s="3"/>
      <c r="GVL28" s="3"/>
      <c r="GVM28" s="3"/>
      <c r="GVN28" s="3"/>
      <c r="GVO28" s="3"/>
      <c r="GVP28" s="3"/>
      <c r="GVQ28" s="3"/>
      <c r="GVR28" s="3"/>
      <c r="GVS28" s="3"/>
      <c r="GVT28" s="3"/>
      <c r="GVU28" s="3"/>
      <c r="GVV28" s="3"/>
      <c r="GVW28" s="3"/>
      <c r="GVX28" s="3"/>
      <c r="GVY28" s="3"/>
      <c r="GVZ28" s="3"/>
      <c r="GWA28" s="3"/>
      <c r="GWB28" s="3"/>
      <c r="GWC28" s="3"/>
      <c r="GWD28" s="3"/>
      <c r="GWE28" s="3"/>
      <c r="GWF28" s="3"/>
      <c r="GWG28" s="3"/>
      <c r="GWH28" s="3"/>
      <c r="GWI28" s="3"/>
      <c r="GWJ28" s="3"/>
      <c r="GWK28" s="3"/>
      <c r="GWL28" s="3"/>
      <c r="GWM28" s="3"/>
      <c r="GWN28" s="3"/>
      <c r="GWO28" s="3"/>
      <c r="GWP28" s="3"/>
      <c r="GWQ28" s="3"/>
      <c r="GWR28" s="3"/>
      <c r="GWS28" s="3"/>
      <c r="GWT28" s="3"/>
      <c r="GWU28" s="3"/>
      <c r="GWV28" s="3"/>
      <c r="GWW28" s="3"/>
      <c r="GWX28" s="3"/>
      <c r="GWY28" s="3"/>
      <c r="GWZ28" s="3"/>
      <c r="GXA28" s="3"/>
      <c r="GXB28" s="3"/>
      <c r="GXC28" s="3"/>
      <c r="GXD28" s="3"/>
      <c r="GXE28" s="3"/>
      <c r="GXF28" s="3"/>
      <c r="GXG28" s="3"/>
      <c r="GXH28" s="3"/>
      <c r="GXI28" s="3"/>
      <c r="GXJ28" s="3"/>
      <c r="GXK28" s="3"/>
      <c r="GXL28" s="3"/>
      <c r="GXM28" s="3"/>
      <c r="GXN28" s="3"/>
      <c r="GXO28" s="3"/>
      <c r="GXP28" s="3"/>
      <c r="GXQ28" s="3"/>
      <c r="GXR28" s="3"/>
      <c r="GXS28" s="3"/>
      <c r="GXT28" s="3"/>
      <c r="GXU28" s="3"/>
      <c r="GXV28" s="3"/>
      <c r="GXW28" s="3"/>
      <c r="GXX28" s="3"/>
      <c r="GXY28" s="3"/>
      <c r="GXZ28" s="3"/>
      <c r="GYA28" s="3"/>
      <c r="GYB28" s="3"/>
      <c r="GYC28" s="3"/>
      <c r="GYD28" s="3"/>
      <c r="GYE28" s="3"/>
      <c r="GYF28" s="3"/>
      <c r="GYG28" s="3"/>
      <c r="GYH28" s="3"/>
      <c r="GYI28" s="3"/>
      <c r="GYJ28" s="3"/>
      <c r="GYK28" s="3"/>
      <c r="GYL28" s="3"/>
      <c r="GYM28" s="3"/>
      <c r="GYN28" s="3"/>
      <c r="GYO28" s="3"/>
      <c r="GYP28" s="3"/>
      <c r="GYQ28" s="3"/>
      <c r="GYR28" s="3"/>
      <c r="GYS28" s="3"/>
      <c r="GYT28" s="3"/>
      <c r="GYU28" s="3"/>
      <c r="GYV28" s="3"/>
      <c r="GYW28" s="3"/>
      <c r="GYX28" s="3"/>
      <c r="GYY28" s="3"/>
      <c r="GYZ28" s="3"/>
      <c r="GZA28" s="3"/>
      <c r="GZB28" s="3"/>
      <c r="GZC28" s="3"/>
      <c r="GZD28" s="3"/>
      <c r="GZE28" s="3"/>
      <c r="GZF28" s="3"/>
      <c r="GZG28" s="3"/>
      <c r="GZH28" s="3"/>
      <c r="GZI28" s="3"/>
      <c r="GZJ28" s="3"/>
      <c r="GZK28" s="3"/>
      <c r="GZL28" s="3"/>
      <c r="GZM28" s="3"/>
      <c r="GZN28" s="3"/>
      <c r="GZO28" s="3"/>
      <c r="GZP28" s="3"/>
      <c r="GZQ28" s="3"/>
      <c r="GZR28" s="3"/>
      <c r="GZS28" s="3"/>
      <c r="GZT28" s="3"/>
      <c r="GZU28" s="3"/>
      <c r="GZV28" s="3"/>
      <c r="GZW28" s="3"/>
      <c r="GZX28" s="3"/>
      <c r="GZY28" s="3"/>
      <c r="GZZ28" s="3"/>
      <c r="HAA28" s="3"/>
      <c r="HAB28" s="3"/>
      <c r="HAC28" s="3"/>
      <c r="HAD28" s="3"/>
      <c r="HAE28" s="3"/>
      <c r="HAF28" s="3"/>
      <c r="HAG28" s="3"/>
      <c r="HAH28" s="3"/>
      <c r="HAI28" s="3"/>
      <c r="HAJ28" s="3"/>
      <c r="HAK28" s="3"/>
      <c r="HAL28" s="3"/>
      <c r="HAM28" s="3"/>
      <c r="HAN28" s="3"/>
      <c r="HAO28" s="3"/>
      <c r="HAP28" s="3"/>
      <c r="HAQ28" s="3"/>
      <c r="HAR28" s="3"/>
      <c r="HAS28" s="3"/>
      <c r="HAT28" s="3"/>
      <c r="HAU28" s="3"/>
      <c r="HAV28" s="3"/>
      <c r="HAW28" s="3"/>
      <c r="HAX28" s="3"/>
      <c r="HAY28" s="3"/>
      <c r="HAZ28" s="3"/>
      <c r="HBA28" s="3"/>
      <c r="HBB28" s="3"/>
      <c r="HBC28" s="3"/>
      <c r="HBD28" s="3"/>
      <c r="HBE28" s="3"/>
      <c r="HBF28" s="3"/>
      <c r="HBG28" s="3"/>
      <c r="HBH28" s="3"/>
      <c r="HBI28" s="3"/>
      <c r="HBJ28" s="3"/>
      <c r="HBK28" s="3"/>
      <c r="HBL28" s="3"/>
      <c r="HBM28" s="3"/>
      <c r="HBN28" s="3"/>
      <c r="HBO28" s="3"/>
      <c r="HBP28" s="3"/>
      <c r="HBQ28" s="3"/>
      <c r="HBR28" s="3"/>
      <c r="HBS28" s="3"/>
      <c r="HBT28" s="3"/>
      <c r="HBU28" s="3"/>
      <c r="HBV28" s="3"/>
      <c r="HBW28" s="3"/>
      <c r="HBX28" s="3"/>
      <c r="HBY28" s="3"/>
      <c r="HBZ28" s="3"/>
      <c r="HCA28" s="3"/>
      <c r="HCB28" s="3"/>
      <c r="HCC28" s="3"/>
      <c r="HCD28" s="3"/>
      <c r="HCE28" s="3"/>
      <c r="HCF28" s="3"/>
      <c r="HCG28" s="3"/>
      <c r="HCH28" s="3"/>
      <c r="HCI28" s="3"/>
      <c r="HCJ28" s="3"/>
      <c r="HCK28" s="3"/>
      <c r="HCL28" s="3"/>
      <c r="HCM28" s="3"/>
      <c r="HCN28" s="3"/>
      <c r="HCO28" s="3"/>
      <c r="HCP28" s="3"/>
      <c r="HCQ28" s="3"/>
      <c r="HCR28" s="3"/>
      <c r="HCS28" s="3"/>
      <c r="HCT28" s="3"/>
      <c r="HCU28" s="3"/>
      <c r="HCV28" s="3"/>
      <c r="HCW28" s="3"/>
      <c r="HCX28" s="3"/>
      <c r="HCY28" s="3"/>
      <c r="HCZ28" s="3"/>
      <c r="HDA28" s="3"/>
      <c r="HDB28" s="3"/>
      <c r="HDC28" s="3"/>
      <c r="HDD28" s="3"/>
      <c r="HDE28" s="3"/>
      <c r="HDF28" s="3"/>
      <c r="HDG28" s="3"/>
      <c r="HDH28" s="3"/>
      <c r="HDI28" s="3"/>
      <c r="HDJ28" s="3"/>
      <c r="HDK28" s="3"/>
      <c r="HDL28" s="3"/>
      <c r="HDM28" s="3"/>
      <c r="HDN28" s="3"/>
      <c r="HDO28" s="3"/>
      <c r="HDP28" s="3"/>
      <c r="HDQ28" s="3"/>
      <c r="HDR28" s="3"/>
      <c r="HDS28" s="3"/>
      <c r="HDT28" s="3"/>
      <c r="HDU28" s="3"/>
      <c r="HDV28" s="3"/>
      <c r="HDW28" s="3"/>
      <c r="HDX28" s="3"/>
      <c r="HDY28" s="3"/>
      <c r="HDZ28" s="3"/>
      <c r="HEA28" s="3"/>
      <c r="HEB28" s="3"/>
      <c r="HEC28" s="3"/>
      <c r="HED28" s="3"/>
      <c r="HEE28" s="3"/>
      <c r="HEF28" s="3"/>
      <c r="HEG28" s="3"/>
      <c r="HEH28" s="3"/>
      <c r="HEI28" s="3"/>
      <c r="HEJ28" s="3"/>
      <c r="HEK28" s="3"/>
      <c r="HEL28" s="3"/>
      <c r="HEM28" s="3"/>
      <c r="HEN28" s="3"/>
      <c r="HEO28" s="3"/>
      <c r="HEP28" s="3"/>
      <c r="HEQ28" s="3"/>
      <c r="HER28" s="3"/>
      <c r="HES28" s="3"/>
      <c r="HET28" s="3"/>
      <c r="HEU28" s="3"/>
      <c r="HEV28" s="3"/>
      <c r="HEW28" s="3"/>
      <c r="HEX28" s="3"/>
      <c r="HEY28" s="3"/>
      <c r="HEZ28" s="3"/>
      <c r="HFA28" s="3"/>
      <c r="HFB28" s="3"/>
      <c r="HFC28" s="3"/>
      <c r="HFD28" s="3"/>
      <c r="HFE28" s="3"/>
      <c r="HFF28" s="3"/>
      <c r="HFG28" s="3"/>
      <c r="HFH28" s="3"/>
      <c r="HFI28" s="3"/>
      <c r="HFJ28" s="3"/>
      <c r="HFK28" s="3"/>
      <c r="HFL28" s="3"/>
      <c r="HFM28" s="3"/>
      <c r="HFN28" s="3"/>
      <c r="HFO28" s="3"/>
      <c r="HFP28" s="3"/>
      <c r="HFQ28" s="3"/>
      <c r="HFR28" s="3"/>
      <c r="HFS28" s="3"/>
      <c r="HFT28" s="3"/>
      <c r="HFU28" s="3"/>
      <c r="HFV28" s="3"/>
      <c r="HFW28" s="3"/>
      <c r="HFX28" s="3"/>
      <c r="HFY28" s="3"/>
      <c r="HFZ28" s="3"/>
      <c r="HGA28" s="3"/>
      <c r="HGB28" s="3"/>
      <c r="HGC28" s="3"/>
      <c r="HGD28" s="3"/>
      <c r="HGE28" s="3"/>
      <c r="HGF28" s="3"/>
      <c r="HGG28" s="3"/>
      <c r="HGH28" s="3"/>
      <c r="HGI28" s="3"/>
      <c r="HGJ28" s="3"/>
      <c r="HGK28" s="3"/>
      <c r="HGL28" s="3"/>
      <c r="HGM28" s="3"/>
      <c r="HGN28" s="3"/>
      <c r="HGO28" s="3"/>
      <c r="HGP28" s="3"/>
      <c r="HGQ28" s="3"/>
      <c r="HGR28" s="3"/>
      <c r="HGS28" s="3"/>
      <c r="HGT28" s="3"/>
      <c r="HGU28" s="3"/>
      <c r="HGV28" s="3"/>
      <c r="HGW28" s="3"/>
      <c r="HGX28" s="3"/>
      <c r="HGY28" s="3"/>
      <c r="HGZ28" s="3"/>
      <c r="HHA28" s="3"/>
      <c r="HHB28" s="3"/>
      <c r="HHC28" s="3"/>
      <c r="HHD28" s="3"/>
      <c r="HHE28" s="3"/>
      <c r="HHF28" s="3"/>
      <c r="HHG28" s="3"/>
      <c r="HHH28" s="3"/>
      <c r="HHI28" s="3"/>
      <c r="HHJ28" s="3"/>
      <c r="HHK28" s="3"/>
      <c r="HHL28" s="3"/>
      <c r="HHM28" s="3"/>
      <c r="HHN28" s="3"/>
      <c r="HHO28" s="3"/>
      <c r="HHP28" s="3"/>
      <c r="HHQ28" s="3"/>
      <c r="HHR28" s="3"/>
      <c r="HHS28" s="3"/>
      <c r="HHT28" s="3"/>
      <c r="HHU28" s="3"/>
      <c r="HHV28" s="3"/>
      <c r="HHW28" s="3"/>
      <c r="HHX28" s="3"/>
      <c r="HHY28" s="3"/>
      <c r="HHZ28" s="3"/>
      <c r="HIA28" s="3"/>
      <c r="HIB28" s="3"/>
      <c r="HIC28" s="3"/>
      <c r="HID28" s="3"/>
      <c r="HIE28" s="3"/>
      <c r="HIF28" s="3"/>
      <c r="HIG28" s="3"/>
      <c r="HIH28" s="3"/>
      <c r="HII28" s="3"/>
      <c r="HIJ28" s="3"/>
      <c r="HIK28" s="3"/>
      <c r="HIL28" s="3"/>
      <c r="HIM28" s="3"/>
      <c r="HIN28" s="3"/>
      <c r="HIO28" s="3"/>
      <c r="HIP28" s="3"/>
      <c r="HIQ28" s="3"/>
      <c r="HIR28" s="3"/>
      <c r="HIS28" s="3"/>
      <c r="HIT28" s="3"/>
      <c r="HIU28" s="3"/>
      <c r="HIV28" s="3"/>
      <c r="HIW28" s="3"/>
      <c r="HIX28" s="3"/>
      <c r="HIY28" s="3"/>
      <c r="HIZ28" s="3"/>
      <c r="HJA28" s="3"/>
      <c r="HJB28" s="3"/>
      <c r="HJC28" s="3"/>
      <c r="HJD28" s="3"/>
      <c r="HJE28" s="3"/>
      <c r="HJF28" s="3"/>
      <c r="HJG28" s="3"/>
      <c r="HJH28" s="3"/>
      <c r="HJI28" s="3"/>
      <c r="HJJ28" s="3"/>
      <c r="HJK28" s="3"/>
      <c r="HJL28" s="3"/>
      <c r="HJM28" s="3"/>
      <c r="HJN28" s="3"/>
      <c r="HJO28" s="3"/>
      <c r="HJP28" s="3"/>
      <c r="HJQ28" s="3"/>
      <c r="HJR28" s="3"/>
      <c r="HJS28" s="3"/>
      <c r="HJT28" s="3"/>
      <c r="HJU28" s="3"/>
      <c r="HJV28" s="3"/>
      <c r="HJW28" s="3"/>
      <c r="HJX28" s="3"/>
      <c r="HJY28" s="3"/>
      <c r="HJZ28" s="3"/>
      <c r="HKA28" s="3"/>
      <c r="HKB28" s="3"/>
      <c r="HKC28" s="3"/>
      <c r="HKD28" s="3"/>
      <c r="HKE28" s="3"/>
      <c r="HKF28" s="3"/>
      <c r="HKG28" s="3"/>
      <c r="HKH28" s="3"/>
      <c r="HKI28" s="3"/>
      <c r="HKJ28" s="3"/>
      <c r="HKK28" s="3"/>
      <c r="HKL28" s="3"/>
      <c r="HKM28" s="3"/>
      <c r="HKN28" s="3"/>
      <c r="HKO28" s="3"/>
      <c r="HKP28" s="3"/>
      <c r="HKQ28" s="3"/>
      <c r="HKR28" s="3"/>
      <c r="HKS28" s="3"/>
      <c r="HKT28" s="3"/>
      <c r="HKU28" s="3"/>
      <c r="HKV28" s="3"/>
      <c r="HKW28" s="3"/>
      <c r="HKX28" s="3"/>
      <c r="HKY28" s="3"/>
      <c r="HKZ28" s="3"/>
      <c r="HLA28" s="3"/>
      <c r="HLB28" s="3"/>
      <c r="HLC28" s="3"/>
      <c r="HLD28" s="3"/>
      <c r="HLE28" s="3"/>
      <c r="HLF28" s="3"/>
      <c r="HLG28" s="3"/>
      <c r="HLH28" s="3"/>
      <c r="HLI28" s="3"/>
      <c r="HLJ28" s="3"/>
      <c r="HLK28" s="3"/>
      <c r="HLL28" s="3"/>
      <c r="HLM28" s="3"/>
      <c r="HLN28" s="3"/>
      <c r="HLO28" s="3"/>
      <c r="HLP28" s="3"/>
      <c r="HLQ28" s="3"/>
      <c r="HLR28" s="3"/>
      <c r="HLS28" s="3"/>
      <c r="HLT28" s="3"/>
      <c r="HLU28" s="3"/>
      <c r="HLV28" s="3"/>
      <c r="HLW28" s="3"/>
      <c r="HLX28" s="3"/>
      <c r="HLY28" s="3"/>
      <c r="HLZ28" s="3"/>
      <c r="HMA28" s="3"/>
      <c r="HMB28" s="3"/>
      <c r="HMC28" s="3"/>
      <c r="HMD28" s="3"/>
      <c r="HME28" s="3"/>
      <c r="HMF28" s="3"/>
      <c r="HMG28" s="3"/>
      <c r="HMH28" s="3"/>
      <c r="HMI28" s="3"/>
      <c r="HMJ28" s="3"/>
      <c r="HMK28" s="3"/>
      <c r="HML28" s="3"/>
      <c r="HMM28" s="3"/>
      <c r="HMN28" s="3"/>
      <c r="HMO28" s="3"/>
      <c r="HMP28" s="3"/>
      <c r="HMQ28" s="3"/>
      <c r="HMR28" s="3"/>
      <c r="HMS28" s="3"/>
      <c r="HMT28" s="3"/>
      <c r="HMU28" s="3"/>
      <c r="HMV28" s="3"/>
      <c r="HMW28" s="3"/>
      <c r="HMX28" s="3"/>
      <c r="HMY28" s="3"/>
      <c r="HMZ28" s="3"/>
      <c r="HNA28" s="3"/>
      <c r="HNB28" s="3"/>
      <c r="HNC28" s="3"/>
      <c r="HND28" s="3"/>
      <c r="HNE28" s="3"/>
      <c r="HNF28" s="3"/>
      <c r="HNG28" s="3"/>
      <c r="HNH28" s="3"/>
      <c r="HNI28" s="3"/>
      <c r="HNJ28" s="3"/>
      <c r="HNK28" s="3"/>
      <c r="HNL28" s="3"/>
      <c r="HNM28" s="3"/>
      <c r="HNN28" s="3"/>
      <c r="HNO28" s="3"/>
      <c r="HNP28" s="3"/>
      <c r="HNQ28" s="3"/>
      <c r="HNR28" s="3"/>
      <c r="HNS28" s="3"/>
      <c r="HNT28" s="3"/>
      <c r="HNU28" s="3"/>
      <c r="HNV28" s="3"/>
      <c r="HNW28" s="3"/>
      <c r="HNX28" s="3"/>
      <c r="HNY28" s="3"/>
      <c r="HNZ28" s="3"/>
      <c r="HOA28" s="3"/>
      <c r="HOB28" s="3"/>
      <c r="HOC28" s="3"/>
      <c r="HOD28" s="3"/>
      <c r="HOE28" s="3"/>
      <c r="HOF28" s="3"/>
      <c r="HOG28" s="3"/>
      <c r="HOH28" s="3"/>
      <c r="HOI28" s="3"/>
      <c r="HOJ28" s="3"/>
      <c r="HOK28" s="3"/>
      <c r="HOL28" s="3"/>
      <c r="HOM28" s="3"/>
      <c r="HON28" s="3"/>
      <c r="HOO28" s="3"/>
      <c r="HOP28" s="3"/>
      <c r="HOQ28" s="3"/>
      <c r="HOR28" s="3"/>
      <c r="HOS28" s="3"/>
      <c r="HOT28" s="3"/>
      <c r="HOU28" s="3"/>
      <c r="HOV28" s="3"/>
      <c r="HOW28" s="3"/>
      <c r="HOX28" s="3"/>
      <c r="HOY28" s="3"/>
      <c r="HOZ28" s="3"/>
      <c r="HPA28" s="3"/>
      <c r="HPB28" s="3"/>
      <c r="HPC28" s="3"/>
      <c r="HPD28" s="3"/>
      <c r="HPE28" s="3"/>
      <c r="HPF28" s="3"/>
      <c r="HPG28" s="3"/>
      <c r="HPH28" s="3"/>
      <c r="HPI28" s="3"/>
      <c r="HPJ28" s="3"/>
      <c r="HPK28" s="3"/>
      <c r="HPL28" s="3"/>
      <c r="HPM28" s="3"/>
      <c r="HPN28" s="3"/>
      <c r="HPO28" s="3"/>
      <c r="HPP28" s="3"/>
      <c r="HPQ28" s="3"/>
      <c r="HPR28" s="3"/>
      <c r="HPS28" s="3"/>
      <c r="HPT28" s="3"/>
      <c r="HPU28" s="3"/>
      <c r="HPV28" s="3"/>
      <c r="HPW28" s="3"/>
      <c r="HPX28" s="3"/>
      <c r="HPY28" s="3"/>
      <c r="HPZ28" s="3"/>
      <c r="HQA28" s="3"/>
      <c r="HQB28" s="3"/>
      <c r="HQC28" s="3"/>
      <c r="HQD28" s="3"/>
      <c r="HQE28" s="3"/>
      <c r="HQF28" s="3"/>
      <c r="HQG28" s="3"/>
      <c r="HQH28" s="3"/>
      <c r="HQI28" s="3"/>
      <c r="HQJ28" s="3"/>
      <c r="HQK28" s="3"/>
      <c r="HQL28" s="3"/>
      <c r="HQM28" s="3"/>
      <c r="HQN28" s="3"/>
      <c r="HQO28" s="3"/>
      <c r="HQP28" s="3"/>
      <c r="HQQ28" s="3"/>
      <c r="HQR28" s="3"/>
      <c r="HQS28" s="3"/>
      <c r="HQT28" s="3"/>
      <c r="HQU28" s="3"/>
      <c r="HQV28" s="3"/>
      <c r="HQW28" s="3"/>
      <c r="HQX28" s="3"/>
      <c r="HQY28" s="3"/>
      <c r="HQZ28" s="3"/>
      <c r="HRA28" s="3"/>
      <c r="HRB28" s="3"/>
      <c r="HRC28" s="3"/>
      <c r="HRD28" s="3"/>
      <c r="HRE28" s="3"/>
      <c r="HRF28" s="3"/>
      <c r="HRG28" s="3"/>
      <c r="HRH28" s="3"/>
      <c r="HRI28" s="3"/>
      <c r="HRJ28" s="3"/>
      <c r="HRK28" s="3"/>
      <c r="HRL28" s="3"/>
      <c r="HRM28" s="3"/>
      <c r="HRN28" s="3"/>
      <c r="HRO28" s="3"/>
      <c r="HRP28" s="3"/>
      <c r="HRQ28" s="3"/>
      <c r="HRR28" s="3"/>
      <c r="HRS28" s="3"/>
      <c r="HRT28" s="3"/>
      <c r="HRU28" s="3"/>
      <c r="HRV28" s="3"/>
      <c r="HRW28" s="3"/>
      <c r="HRX28" s="3"/>
      <c r="HRY28" s="3"/>
      <c r="HRZ28" s="3"/>
      <c r="HSA28" s="3"/>
      <c r="HSB28" s="3"/>
      <c r="HSC28" s="3"/>
      <c r="HSD28" s="3"/>
      <c r="HSE28" s="3"/>
      <c r="HSF28" s="3"/>
      <c r="HSG28" s="3"/>
      <c r="HSH28" s="3"/>
      <c r="HSI28" s="3"/>
      <c r="HSJ28" s="3"/>
      <c r="HSK28" s="3"/>
      <c r="HSL28" s="3"/>
      <c r="HSM28" s="3"/>
      <c r="HSN28" s="3"/>
      <c r="HSO28" s="3"/>
      <c r="HSP28" s="3"/>
      <c r="HSQ28" s="3"/>
      <c r="HSR28" s="3"/>
      <c r="HSS28" s="3"/>
      <c r="HST28" s="3"/>
      <c r="HSU28" s="3"/>
      <c r="HSV28" s="3"/>
      <c r="HSW28" s="3"/>
      <c r="HSX28" s="3"/>
      <c r="HSY28" s="3"/>
      <c r="HSZ28" s="3"/>
      <c r="HTA28" s="3"/>
      <c r="HTB28" s="3"/>
      <c r="HTC28" s="3"/>
      <c r="HTD28" s="3"/>
      <c r="HTE28" s="3"/>
      <c r="HTF28" s="3"/>
      <c r="HTG28" s="3"/>
      <c r="HTH28" s="3"/>
      <c r="HTI28" s="3"/>
      <c r="HTJ28" s="3"/>
      <c r="HTK28" s="3"/>
      <c r="HTL28" s="3"/>
      <c r="HTM28" s="3"/>
      <c r="HTN28" s="3"/>
      <c r="HTO28" s="3"/>
      <c r="HTP28" s="3"/>
      <c r="HTQ28" s="3"/>
      <c r="HTR28" s="3"/>
      <c r="HTS28" s="3"/>
      <c r="HTT28" s="3"/>
      <c r="HTU28" s="3"/>
      <c r="HTV28" s="3"/>
      <c r="HTW28" s="3"/>
      <c r="HTX28" s="3"/>
      <c r="HTY28" s="3"/>
      <c r="HTZ28" s="3"/>
      <c r="HUA28" s="3"/>
      <c r="HUB28" s="3"/>
      <c r="HUC28" s="3"/>
      <c r="HUD28" s="3"/>
      <c r="HUE28" s="3"/>
      <c r="HUF28" s="3"/>
      <c r="HUG28" s="3"/>
      <c r="HUH28" s="3"/>
      <c r="HUI28" s="3"/>
      <c r="HUJ28" s="3"/>
      <c r="HUK28" s="3"/>
      <c r="HUL28" s="3"/>
      <c r="HUM28" s="3"/>
      <c r="HUN28" s="3"/>
      <c r="HUO28" s="3"/>
      <c r="HUP28" s="3"/>
      <c r="HUQ28" s="3"/>
      <c r="HUR28" s="3"/>
      <c r="HUS28" s="3"/>
      <c r="HUT28" s="3"/>
      <c r="HUU28" s="3"/>
      <c r="HUV28" s="3"/>
      <c r="HUW28" s="3"/>
      <c r="HUX28" s="3"/>
      <c r="HUY28" s="3"/>
      <c r="HUZ28" s="3"/>
      <c r="HVA28" s="3"/>
      <c r="HVB28" s="3"/>
      <c r="HVC28" s="3"/>
      <c r="HVD28" s="3"/>
      <c r="HVE28" s="3"/>
      <c r="HVF28" s="3"/>
      <c r="HVG28" s="3"/>
      <c r="HVH28" s="3"/>
      <c r="HVI28" s="3"/>
      <c r="HVJ28" s="3"/>
      <c r="HVK28" s="3"/>
      <c r="HVL28" s="3"/>
      <c r="HVM28" s="3"/>
      <c r="HVN28" s="3"/>
      <c r="HVO28" s="3"/>
      <c r="HVP28" s="3"/>
      <c r="HVQ28" s="3"/>
      <c r="HVR28" s="3"/>
      <c r="HVS28" s="3"/>
      <c r="HVT28" s="3"/>
      <c r="HVU28" s="3"/>
      <c r="HVV28" s="3"/>
      <c r="HVW28" s="3"/>
      <c r="HVX28" s="3"/>
      <c r="HVY28" s="3"/>
      <c r="HVZ28" s="3"/>
      <c r="HWA28" s="3"/>
      <c r="HWB28" s="3"/>
      <c r="HWC28" s="3"/>
      <c r="HWD28" s="3"/>
      <c r="HWE28" s="3"/>
      <c r="HWF28" s="3"/>
      <c r="HWG28" s="3"/>
      <c r="HWH28" s="3"/>
      <c r="HWI28" s="3"/>
      <c r="HWJ28" s="3"/>
      <c r="HWK28" s="3"/>
      <c r="HWL28" s="3"/>
      <c r="HWM28" s="3"/>
      <c r="HWN28" s="3"/>
      <c r="HWO28" s="3"/>
      <c r="HWP28" s="3"/>
      <c r="HWQ28" s="3"/>
      <c r="HWR28" s="3"/>
      <c r="HWS28" s="3"/>
      <c r="HWT28" s="3"/>
      <c r="HWU28" s="3"/>
      <c r="HWV28" s="3"/>
      <c r="HWW28" s="3"/>
      <c r="HWX28" s="3"/>
      <c r="HWY28" s="3"/>
      <c r="HWZ28" s="3"/>
      <c r="HXA28" s="3"/>
      <c r="HXB28" s="3"/>
      <c r="HXC28" s="3"/>
      <c r="HXD28" s="3"/>
      <c r="HXE28" s="3"/>
      <c r="HXF28" s="3"/>
      <c r="HXG28" s="3"/>
      <c r="HXH28" s="3"/>
      <c r="HXI28" s="3"/>
      <c r="HXJ28" s="3"/>
      <c r="HXK28" s="3"/>
      <c r="HXL28" s="3"/>
      <c r="HXM28" s="3"/>
      <c r="HXN28" s="3"/>
      <c r="HXO28" s="3"/>
      <c r="HXP28" s="3"/>
      <c r="HXQ28" s="3"/>
      <c r="HXR28" s="3"/>
      <c r="HXS28" s="3"/>
      <c r="HXT28" s="3"/>
      <c r="HXU28" s="3"/>
      <c r="HXV28" s="3"/>
      <c r="HXW28" s="3"/>
      <c r="HXX28" s="3"/>
      <c r="HXY28" s="3"/>
      <c r="HXZ28" s="3"/>
      <c r="HYA28" s="3"/>
      <c r="HYB28" s="3"/>
      <c r="HYC28" s="3"/>
      <c r="HYD28" s="3"/>
      <c r="HYE28" s="3"/>
      <c r="HYF28" s="3"/>
      <c r="HYG28" s="3"/>
      <c r="HYH28" s="3"/>
      <c r="HYI28" s="3"/>
      <c r="HYJ28" s="3"/>
      <c r="HYK28" s="3"/>
      <c r="HYL28" s="3"/>
      <c r="HYM28" s="3"/>
      <c r="HYN28" s="3"/>
      <c r="HYO28" s="3"/>
      <c r="HYP28" s="3"/>
      <c r="HYQ28" s="3"/>
      <c r="HYR28" s="3"/>
      <c r="HYS28" s="3"/>
      <c r="HYT28" s="3"/>
      <c r="HYU28" s="3"/>
      <c r="HYV28" s="3"/>
      <c r="HYW28" s="3"/>
      <c r="HYX28" s="3"/>
      <c r="HYY28" s="3"/>
      <c r="HYZ28" s="3"/>
      <c r="HZA28" s="3"/>
      <c r="HZB28" s="3"/>
      <c r="HZC28" s="3"/>
      <c r="HZD28" s="3"/>
      <c r="HZE28" s="3"/>
      <c r="HZF28" s="3"/>
      <c r="HZG28" s="3"/>
      <c r="HZH28" s="3"/>
      <c r="HZI28" s="3"/>
      <c r="HZJ28" s="3"/>
      <c r="HZK28" s="3"/>
      <c r="HZL28" s="3"/>
      <c r="HZM28" s="3"/>
      <c r="HZN28" s="3"/>
      <c r="HZO28" s="3"/>
      <c r="HZP28" s="3"/>
      <c r="HZQ28" s="3"/>
      <c r="HZR28" s="3"/>
      <c r="HZS28" s="3"/>
      <c r="HZT28" s="3"/>
      <c r="HZU28" s="3"/>
      <c r="HZV28" s="3"/>
      <c r="HZW28" s="3"/>
      <c r="HZX28" s="3"/>
      <c r="HZY28" s="3"/>
      <c r="HZZ28" s="3"/>
      <c r="IAA28" s="3"/>
      <c r="IAB28" s="3"/>
      <c r="IAC28" s="3"/>
      <c r="IAD28" s="3"/>
      <c r="IAE28" s="3"/>
      <c r="IAF28" s="3"/>
      <c r="IAG28" s="3"/>
      <c r="IAH28" s="3"/>
      <c r="IAI28" s="3"/>
      <c r="IAJ28" s="3"/>
      <c r="IAK28" s="3"/>
      <c r="IAL28" s="3"/>
      <c r="IAM28" s="3"/>
      <c r="IAN28" s="3"/>
      <c r="IAO28" s="3"/>
      <c r="IAP28" s="3"/>
      <c r="IAQ28" s="3"/>
      <c r="IAR28" s="3"/>
      <c r="IAS28" s="3"/>
      <c r="IAT28" s="3"/>
      <c r="IAU28" s="3"/>
      <c r="IAV28" s="3"/>
      <c r="IAW28" s="3"/>
      <c r="IAX28" s="3"/>
      <c r="IAY28" s="3"/>
      <c r="IAZ28" s="3"/>
      <c r="IBA28" s="3"/>
      <c r="IBB28" s="3"/>
      <c r="IBC28" s="3"/>
      <c r="IBD28" s="3"/>
      <c r="IBE28" s="3"/>
      <c r="IBF28" s="3"/>
      <c r="IBG28" s="3"/>
      <c r="IBH28" s="3"/>
      <c r="IBI28" s="3"/>
      <c r="IBJ28" s="3"/>
      <c r="IBK28" s="3"/>
      <c r="IBL28" s="3"/>
      <c r="IBM28" s="3"/>
      <c r="IBN28" s="3"/>
      <c r="IBO28" s="3"/>
      <c r="IBP28" s="3"/>
      <c r="IBQ28" s="3"/>
      <c r="IBR28" s="3"/>
      <c r="IBS28" s="3"/>
      <c r="IBT28" s="3"/>
      <c r="IBU28" s="3"/>
      <c r="IBV28" s="3"/>
      <c r="IBW28" s="3"/>
      <c r="IBX28" s="3"/>
      <c r="IBY28" s="3"/>
      <c r="IBZ28" s="3"/>
      <c r="ICA28" s="3"/>
      <c r="ICB28" s="3"/>
      <c r="ICC28" s="3"/>
      <c r="ICD28" s="3"/>
      <c r="ICE28" s="3"/>
      <c r="ICF28" s="3"/>
      <c r="ICG28" s="3"/>
      <c r="ICH28" s="3"/>
      <c r="ICI28" s="3"/>
      <c r="ICJ28" s="3"/>
      <c r="ICK28" s="3"/>
      <c r="ICL28" s="3"/>
      <c r="ICM28" s="3"/>
      <c r="ICN28" s="3"/>
      <c r="ICO28" s="3"/>
      <c r="ICP28" s="3"/>
      <c r="ICQ28" s="3"/>
      <c r="ICR28" s="3"/>
      <c r="ICS28" s="3"/>
      <c r="ICT28" s="3"/>
      <c r="ICU28" s="3"/>
      <c r="ICV28" s="3"/>
      <c r="ICW28" s="3"/>
      <c r="ICX28" s="3"/>
      <c r="ICY28" s="3"/>
      <c r="ICZ28" s="3"/>
      <c r="IDA28" s="3"/>
      <c r="IDB28" s="3"/>
      <c r="IDC28" s="3"/>
      <c r="IDD28" s="3"/>
      <c r="IDE28" s="3"/>
      <c r="IDF28" s="3"/>
      <c r="IDG28" s="3"/>
      <c r="IDH28" s="3"/>
      <c r="IDI28" s="3"/>
      <c r="IDJ28" s="3"/>
      <c r="IDK28" s="3"/>
      <c r="IDL28" s="3"/>
      <c r="IDM28" s="3"/>
      <c r="IDN28" s="3"/>
      <c r="IDO28" s="3"/>
      <c r="IDP28" s="3"/>
      <c r="IDQ28" s="3"/>
      <c r="IDR28" s="3"/>
      <c r="IDS28" s="3"/>
      <c r="IDT28" s="3"/>
      <c r="IDU28" s="3"/>
      <c r="IDV28" s="3"/>
      <c r="IDW28" s="3"/>
      <c r="IDX28" s="3"/>
      <c r="IDY28" s="3"/>
      <c r="IDZ28" s="3"/>
      <c r="IEA28" s="3"/>
      <c r="IEB28" s="3"/>
      <c r="IEC28" s="3"/>
      <c r="IED28" s="3"/>
      <c r="IEE28" s="3"/>
      <c r="IEF28" s="3"/>
      <c r="IEG28" s="3"/>
      <c r="IEH28" s="3"/>
      <c r="IEI28" s="3"/>
      <c r="IEJ28" s="3"/>
      <c r="IEK28" s="3"/>
      <c r="IEL28" s="3"/>
      <c r="IEM28" s="3"/>
      <c r="IEN28" s="3"/>
      <c r="IEO28" s="3"/>
      <c r="IEP28" s="3"/>
      <c r="IEQ28" s="3"/>
      <c r="IER28" s="3"/>
      <c r="IES28" s="3"/>
      <c r="IET28" s="3"/>
      <c r="IEU28" s="3"/>
      <c r="IEV28" s="3"/>
      <c r="IEW28" s="3"/>
      <c r="IEX28" s="3"/>
      <c r="IEY28" s="3"/>
      <c r="IEZ28" s="3"/>
      <c r="IFA28" s="3"/>
      <c r="IFB28" s="3"/>
      <c r="IFC28" s="3"/>
      <c r="IFD28" s="3"/>
      <c r="IFE28" s="3"/>
      <c r="IFF28" s="3"/>
      <c r="IFG28" s="3"/>
      <c r="IFH28" s="3"/>
      <c r="IFI28" s="3"/>
      <c r="IFJ28" s="3"/>
      <c r="IFK28" s="3"/>
      <c r="IFL28" s="3"/>
      <c r="IFM28" s="3"/>
      <c r="IFN28" s="3"/>
      <c r="IFO28" s="3"/>
      <c r="IFP28" s="3"/>
      <c r="IFQ28" s="3"/>
      <c r="IFR28" s="3"/>
      <c r="IFS28" s="3"/>
      <c r="IFT28" s="3"/>
      <c r="IFU28" s="3"/>
      <c r="IFV28" s="3"/>
      <c r="IFW28" s="3"/>
      <c r="IFX28" s="3"/>
      <c r="IFY28" s="3"/>
      <c r="IFZ28" s="3"/>
      <c r="IGA28" s="3"/>
      <c r="IGB28" s="3"/>
      <c r="IGC28" s="3"/>
      <c r="IGD28" s="3"/>
      <c r="IGE28" s="3"/>
      <c r="IGF28" s="3"/>
      <c r="IGG28" s="3"/>
      <c r="IGH28" s="3"/>
      <c r="IGI28" s="3"/>
      <c r="IGJ28" s="3"/>
      <c r="IGK28" s="3"/>
      <c r="IGL28" s="3"/>
      <c r="IGM28" s="3"/>
      <c r="IGN28" s="3"/>
      <c r="IGO28" s="3"/>
      <c r="IGP28" s="3"/>
      <c r="IGQ28" s="3"/>
      <c r="IGR28" s="3"/>
      <c r="IGS28" s="3"/>
      <c r="IGT28" s="3"/>
      <c r="IGU28" s="3"/>
      <c r="IGV28" s="3"/>
      <c r="IGW28" s="3"/>
      <c r="IGX28" s="3"/>
      <c r="IGY28" s="3"/>
      <c r="IGZ28" s="3"/>
      <c r="IHA28" s="3"/>
      <c r="IHB28" s="3"/>
      <c r="IHC28" s="3"/>
      <c r="IHD28" s="3"/>
      <c r="IHE28" s="3"/>
      <c r="IHF28" s="3"/>
      <c r="IHG28" s="3"/>
      <c r="IHH28" s="3"/>
      <c r="IHI28" s="3"/>
      <c r="IHJ28" s="3"/>
      <c r="IHK28" s="3"/>
      <c r="IHL28" s="3"/>
      <c r="IHM28" s="3"/>
      <c r="IHN28" s="3"/>
      <c r="IHO28" s="3"/>
      <c r="IHP28" s="3"/>
      <c r="IHQ28" s="3"/>
      <c r="IHR28" s="3"/>
      <c r="IHS28" s="3"/>
      <c r="IHT28" s="3"/>
      <c r="IHU28" s="3"/>
      <c r="IHV28" s="3"/>
      <c r="IHW28" s="3"/>
      <c r="IHX28" s="3"/>
      <c r="IHY28" s="3"/>
      <c r="IHZ28" s="3"/>
      <c r="IIA28" s="3"/>
      <c r="IIB28" s="3"/>
      <c r="IIC28" s="3"/>
      <c r="IID28" s="3"/>
      <c r="IIE28" s="3"/>
      <c r="IIF28" s="3"/>
      <c r="IIG28" s="3"/>
      <c r="IIH28" s="3"/>
      <c r="III28" s="3"/>
      <c r="IIJ28" s="3"/>
      <c r="IIK28" s="3"/>
      <c r="IIL28" s="3"/>
      <c r="IIM28" s="3"/>
      <c r="IIN28" s="3"/>
      <c r="IIO28" s="3"/>
      <c r="IIP28" s="3"/>
      <c r="IIQ28" s="3"/>
      <c r="IIR28" s="3"/>
      <c r="IIS28" s="3"/>
      <c r="IIT28" s="3"/>
      <c r="IIU28" s="3"/>
      <c r="IIV28" s="3"/>
      <c r="IIW28" s="3"/>
      <c r="IIX28" s="3"/>
      <c r="IIY28" s="3"/>
      <c r="IIZ28" s="3"/>
      <c r="IJA28" s="3"/>
      <c r="IJB28" s="3"/>
      <c r="IJC28" s="3"/>
      <c r="IJD28" s="3"/>
      <c r="IJE28" s="3"/>
      <c r="IJF28" s="3"/>
      <c r="IJG28" s="3"/>
      <c r="IJH28" s="3"/>
      <c r="IJI28" s="3"/>
      <c r="IJJ28" s="3"/>
      <c r="IJK28" s="3"/>
      <c r="IJL28" s="3"/>
      <c r="IJM28" s="3"/>
      <c r="IJN28" s="3"/>
      <c r="IJO28" s="3"/>
      <c r="IJP28" s="3"/>
      <c r="IJQ28" s="3"/>
      <c r="IJR28" s="3"/>
      <c r="IJS28" s="3"/>
      <c r="IJT28" s="3"/>
      <c r="IJU28" s="3"/>
      <c r="IJV28" s="3"/>
      <c r="IJW28" s="3"/>
      <c r="IJX28" s="3"/>
      <c r="IJY28" s="3"/>
      <c r="IJZ28" s="3"/>
      <c r="IKA28" s="3"/>
      <c r="IKB28" s="3"/>
      <c r="IKC28" s="3"/>
      <c r="IKD28" s="3"/>
      <c r="IKE28" s="3"/>
      <c r="IKF28" s="3"/>
      <c r="IKG28" s="3"/>
      <c r="IKH28" s="3"/>
      <c r="IKI28" s="3"/>
      <c r="IKJ28" s="3"/>
      <c r="IKK28" s="3"/>
      <c r="IKL28" s="3"/>
      <c r="IKM28" s="3"/>
      <c r="IKN28" s="3"/>
      <c r="IKO28" s="3"/>
      <c r="IKP28" s="3"/>
      <c r="IKQ28" s="3"/>
      <c r="IKR28" s="3"/>
      <c r="IKS28" s="3"/>
      <c r="IKT28" s="3"/>
      <c r="IKU28" s="3"/>
      <c r="IKV28" s="3"/>
      <c r="IKW28" s="3"/>
      <c r="IKX28" s="3"/>
      <c r="IKY28" s="3"/>
      <c r="IKZ28" s="3"/>
      <c r="ILA28" s="3"/>
      <c r="ILB28" s="3"/>
      <c r="ILC28" s="3"/>
      <c r="ILD28" s="3"/>
      <c r="ILE28" s="3"/>
      <c r="ILF28" s="3"/>
      <c r="ILG28" s="3"/>
      <c r="ILH28" s="3"/>
      <c r="ILI28" s="3"/>
      <c r="ILJ28" s="3"/>
      <c r="ILK28" s="3"/>
      <c r="ILL28" s="3"/>
      <c r="ILM28" s="3"/>
      <c r="ILN28" s="3"/>
      <c r="ILO28" s="3"/>
      <c r="ILP28" s="3"/>
      <c r="ILQ28" s="3"/>
      <c r="ILR28" s="3"/>
      <c r="ILS28" s="3"/>
      <c r="ILT28" s="3"/>
      <c r="ILU28" s="3"/>
      <c r="ILV28" s="3"/>
      <c r="ILW28" s="3"/>
      <c r="ILX28" s="3"/>
      <c r="ILY28" s="3"/>
      <c r="ILZ28" s="3"/>
      <c r="IMA28" s="3"/>
      <c r="IMB28" s="3"/>
      <c r="IMC28" s="3"/>
      <c r="IMD28" s="3"/>
      <c r="IME28" s="3"/>
      <c r="IMF28" s="3"/>
      <c r="IMG28" s="3"/>
      <c r="IMH28" s="3"/>
      <c r="IMI28" s="3"/>
      <c r="IMJ28" s="3"/>
      <c r="IMK28" s="3"/>
      <c r="IML28" s="3"/>
      <c r="IMM28" s="3"/>
      <c r="IMN28" s="3"/>
      <c r="IMO28" s="3"/>
      <c r="IMP28" s="3"/>
      <c r="IMQ28" s="3"/>
      <c r="IMR28" s="3"/>
      <c r="IMS28" s="3"/>
      <c r="IMT28" s="3"/>
      <c r="IMU28" s="3"/>
      <c r="IMV28" s="3"/>
      <c r="IMW28" s="3"/>
      <c r="IMX28" s="3"/>
      <c r="IMY28" s="3"/>
      <c r="IMZ28" s="3"/>
      <c r="INA28" s="3"/>
      <c r="INB28" s="3"/>
      <c r="INC28" s="3"/>
      <c r="IND28" s="3"/>
      <c r="INE28" s="3"/>
      <c r="INF28" s="3"/>
      <c r="ING28" s="3"/>
      <c r="INH28" s="3"/>
      <c r="INI28" s="3"/>
      <c r="INJ28" s="3"/>
      <c r="INK28" s="3"/>
      <c r="INL28" s="3"/>
      <c r="INM28" s="3"/>
      <c r="INN28" s="3"/>
      <c r="INO28" s="3"/>
      <c r="INP28" s="3"/>
      <c r="INQ28" s="3"/>
      <c r="INR28" s="3"/>
      <c r="INS28" s="3"/>
      <c r="INT28" s="3"/>
      <c r="INU28" s="3"/>
      <c r="INV28" s="3"/>
      <c r="INW28" s="3"/>
      <c r="INX28" s="3"/>
      <c r="INY28" s="3"/>
      <c r="INZ28" s="3"/>
      <c r="IOA28" s="3"/>
      <c r="IOB28" s="3"/>
      <c r="IOC28" s="3"/>
      <c r="IOD28" s="3"/>
      <c r="IOE28" s="3"/>
      <c r="IOF28" s="3"/>
      <c r="IOG28" s="3"/>
      <c r="IOH28" s="3"/>
      <c r="IOI28" s="3"/>
      <c r="IOJ28" s="3"/>
      <c r="IOK28" s="3"/>
      <c r="IOL28" s="3"/>
      <c r="IOM28" s="3"/>
      <c r="ION28" s="3"/>
      <c r="IOO28" s="3"/>
      <c r="IOP28" s="3"/>
      <c r="IOQ28" s="3"/>
      <c r="IOR28" s="3"/>
      <c r="IOS28" s="3"/>
      <c r="IOT28" s="3"/>
      <c r="IOU28" s="3"/>
      <c r="IOV28" s="3"/>
      <c r="IOW28" s="3"/>
      <c r="IOX28" s="3"/>
      <c r="IOY28" s="3"/>
      <c r="IOZ28" s="3"/>
      <c r="IPA28" s="3"/>
      <c r="IPB28" s="3"/>
      <c r="IPC28" s="3"/>
      <c r="IPD28" s="3"/>
      <c r="IPE28" s="3"/>
      <c r="IPF28" s="3"/>
      <c r="IPG28" s="3"/>
      <c r="IPH28" s="3"/>
      <c r="IPI28" s="3"/>
      <c r="IPJ28" s="3"/>
      <c r="IPK28" s="3"/>
      <c r="IPL28" s="3"/>
      <c r="IPM28" s="3"/>
      <c r="IPN28" s="3"/>
      <c r="IPO28" s="3"/>
      <c r="IPP28" s="3"/>
      <c r="IPQ28" s="3"/>
      <c r="IPR28" s="3"/>
      <c r="IPS28" s="3"/>
      <c r="IPT28" s="3"/>
      <c r="IPU28" s="3"/>
      <c r="IPV28" s="3"/>
      <c r="IPW28" s="3"/>
      <c r="IPX28" s="3"/>
      <c r="IPY28" s="3"/>
      <c r="IPZ28" s="3"/>
      <c r="IQA28" s="3"/>
      <c r="IQB28" s="3"/>
      <c r="IQC28" s="3"/>
      <c r="IQD28" s="3"/>
      <c r="IQE28" s="3"/>
      <c r="IQF28" s="3"/>
      <c r="IQG28" s="3"/>
      <c r="IQH28" s="3"/>
      <c r="IQI28" s="3"/>
      <c r="IQJ28" s="3"/>
      <c r="IQK28" s="3"/>
      <c r="IQL28" s="3"/>
      <c r="IQM28" s="3"/>
      <c r="IQN28" s="3"/>
      <c r="IQO28" s="3"/>
      <c r="IQP28" s="3"/>
      <c r="IQQ28" s="3"/>
      <c r="IQR28" s="3"/>
      <c r="IQS28" s="3"/>
      <c r="IQT28" s="3"/>
      <c r="IQU28" s="3"/>
      <c r="IQV28" s="3"/>
      <c r="IQW28" s="3"/>
      <c r="IQX28" s="3"/>
      <c r="IQY28" s="3"/>
      <c r="IQZ28" s="3"/>
      <c r="IRA28" s="3"/>
      <c r="IRB28" s="3"/>
      <c r="IRC28" s="3"/>
      <c r="IRD28" s="3"/>
      <c r="IRE28" s="3"/>
      <c r="IRF28" s="3"/>
      <c r="IRG28" s="3"/>
      <c r="IRH28" s="3"/>
      <c r="IRI28" s="3"/>
      <c r="IRJ28" s="3"/>
      <c r="IRK28" s="3"/>
      <c r="IRL28" s="3"/>
      <c r="IRM28" s="3"/>
      <c r="IRN28" s="3"/>
      <c r="IRO28" s="3"/>
      <c r="IRP28" s="3"/>
      <c r="IRQ28" s="3"/>
      <c r="IRR28" s="3"/>
      <c r="IRS28" s="3"/>
      <c r="IRT28" s="3"/>
      <c r="IRU28" s="3"/>
      <c r="IRV28" s="3"/>
      <c r="IRW28" s="3"/>
      <c r="IRX28" s="3"/>
      <c r="IRY28" s="3"/>
      <c r="IRZ28" s="3"/>
      <c r="ISA28" s="3"/>
      <c r="ISB28" s="3"/>
      <c r="ISC28" s="3"/>
      <c r="ISD28" s="3"/>
      <c r="ISE28" s="3"/>
      <c r="ISF28" s="3"/>
      <c r="ISG28" s="3"/>
      <c r="ISH28" s="3"/>
      <c r="ISI28" s="3"/>
      <c r="ISJ28" s="3"/>
      <c r="ISK28" s="3"/>
      <c r="ISL28" s="3"/>
      <c r="ISM28" s="3"/>
      <c r="ISN28" s="3"/>
      <c r="ISO28" s="3"/>
      <c r="ISP28" s="3"/>
      <c r="ISQ28" s="3"/>
      <c r="ISR28" s="3"/>
      <c r="ISS28" s="3"/>
      <c r="IST28" s="3"/>
      <c r="ISU28" s="3"/>
      <c r="ISV28" s="3"/>
      <c r="ISW28" s="3"/>
      <c r="ISX28" s="3"/>
      <c r="ISY28" s="3"/>
      <c r="ISZ28" s="3"/>
      <c r="ITA28" s="3"/>
      <c r="ITB28" s="3"/>
      <c r="ITC28" s="3"/>
      <c r="ITD28" s="3"/>
      <c r="ITE28" s="3"/>
      <c r="ITF28" s="3"/>
      <c r="ITG28" s="3"/>
      <c r="ITH28" s="3"/>
      <c r="ITI28" s="3"/>
      <c r="ITJ28" s="3"/>
      <c r="ITK28" s="3"/>
      <c r="ITL28" s="3"/>
      <c r="ITM28" s="3"/>
      <c r="ITN28" s="3"/>
      <c r="ITO28" s="3"/>
      <c r="ITP28" s="3"/>
      <c r="ITQ28" s="3"/>
      <c r="ITR28" s="3"/>
      <c r="ITS28" s="3"/>
      <c r="ITT28" s="3"/>
      <c r="ITU28" s="3"/>
      <c r="ITV28" s="3"/>
      <c r="ITW28" s="3"/>
      <c r="ITX28" s="3"/>
      <c r="ITY28" s="3"/>
      <c r="ITZ28" s="3"/>
      <c r="IUA28" s="3"/>
      <c r="IUB28" s="3"/>
      <c r="IUC28" s="3"/>
      <c r="IUD28" s="3"/>
      <c r="IUE28" s="3"/>
      <c r="IUF28" s="3"/>
      <c r="IUG28" s="3"/>
      <c r="IUH28" s="3"/>
      <c r="IUI28" s="3"/>
      <c r="IUJ28" s="3"/>
      <c r="IUK28" s="3"/>
      <c r="IUL28" s="3"/>
      <c r="IUM28" s="3"/>
      <c r="IUN28" s="3"/>
      <c r="IUO28" s="3"/>
      <c r="IUP28" s="3"/>
      <c r="IUQ28" s="3"/>
      <c r="IUR28" s="3"/>
      <c r="IUS28" s="3"/>
      <c r="IUT28" s="3"/>
      <c r="IUU28" s="3"/>
      <c r="IUV28" s="3"/>
      <c r="IUW28" s="3"/>
      <c r="IUX28" s="3"/>
      <c r="IUY28" s="3"/>
      <c r="IUZ28" s="3"/>
      <c r="IVA28" s="3"/>
      <c r="IVB28" s="3"/>
      <c r="IVC28" s="3"/>
      <c r="IVD28" s="3"/>
      <c r="IVE28" s="3"/>
      <c r="IVF28" s="3"/>
      <c r="IVG28" s="3"/>
      <c r="IVH28" s="3"/>
      <c r="IVI28" s="3"/>
      <c r="IVJ28" s="3"/>
      <c r="IVK28" s="3"/>
      <c r="IVL28" s="3"/>
      <c r="IVM28" s="3"/>
      <c r="IVN28" s="3"/>
      <c r="IVO28" s="3"/>
      <c r="IVP28" s="3"/>
      <c r="IVQ28" s="3"/>
      <c r="IVR28" s="3"/>
      <c r="IVS28" s="3"/>
      <c r="IVT28" s="3"/>
      <c r="IVU28" s="3"/>
      <c r="IVV28" s="3"/>
      <c r="IVW28" s="3"/>
      <c r="IVX28" s="3"/>
      <c r="IVY28" s="3"/>
      <c r="IVZ28" s="3"/>
      <c r="IWA28" s="3"/>
      <c r="IWB28" s="3"/>
      <c r="IWC28" s="3"/>
      <c r="IWD28" s="3"/>
      <c r="IWE28" s="3"/>
      <c r="IWF28" s="3"/>
      <c r="IWG28" s="3"/>
      <c r="IWH28" s="3"/>
      <c r="IWI28" s="3"/>
      <c r="IWJ28" s="3"/>
      <c r="IWK28" s="3"/>
      <c r="IWL28" s="3"/>
      <c r="IWM28" s="3"/>
      <c r="IWN28" s="3"/>
      <c r="IWO28" s="3"/>
      <c r="IWP28" s="3"/>
      <c r="IWQ28" s="3"/>
      <c r="IWR28" s="3"/>
      <c r="IWS28" s="3"/>
      <c r="IWT28" s="3"/>
      <c r="IWU28" s="3"/>
      <c r="IWV28" s="3"/>
      <c r="IWW28" s="3"/>
      <c r="IWX28" s="3"/>
      <c r="IWY28" s="3"/>
      <c r="IWZ28" s="3"/>
      <c r="IXA28" s="3"/>
      <c r="IXB28" s="3"/>
      <c r="IXC28" s="3"/>
      <c r="IXD28" s="3"/>
      <c r="IXE28" s="3"/>
      <c r="IXF28" s="3"/>
      <c r="IXG28" s="3"/>
      <c r="IXH28" s="3"/>
      <c r="IXI28" s="3"/>
      <c r="IXJ28" s="3"/>
      <c r="IXK28" s="3"/>
      <c r="IXL28" s="3"/>
      <c r="IXM28" s="3"/>
      <c r="IXN28" s="3"/>
      <c r="IXO28" s="3"/>
      <c r="IXP28" s="3"/>
      <c r="IXQ28" s="3"/>
      <c r="IXR28" s="3"/>
      <c r="IXS28" s="3"/>
      <c r="IXT28" s="3"/>
      <c r="IXU28" s="3"/>
      <c r="IXV28" s="3"/>
      <c r="IXW28" s="3"/>
      <c r="IXX28" s="3"/>
      <c r="IXY28" s="3"/>
      <c r="IXZ28" s="3"/>
      <c r="IYA28" s="3"/>
      <c r="IYB28" s="3"/>
      <c r="IYC28" s="3"/>
      <c r="IYD28" s="3"/>
      <c r="IYE28" s="3"/>
      <c r="IYF28" s="3"/>
      <c r="IYG28" s="3"/>
      <c r="IYH28" s="3"/>
      <c r="IYI28" s="3"/>
      <c r="IYJ28" s="3"/>
      <c r="IYK28" s="3"/>
      <c r="IYL28" s="3"/>
      <c r="IYM28" s="3"/>
      <c r="IYN28" s="3"/>
      <c r="IYO28" s="3"/>
      <c r="IYP28" s="3"/>
      <c r="IYQ28" s="3"/>
      <c r="IYR28" s="3"/>
      <c r="IYS28" s="3"/>
      <c r="IYT28" s="3"/>
      <c r="IYU28" s="3"/>
      <c r="IYV28" s="3"/>
      <c r="IYW28" s="3"/>
      <c r="IYX28" s="3"/>
      <c r="IYY28" s="3"/>
      <c r="IYZ28" s="3"/>
      <c r="IZA28" s="3"/>
      <c r="IZB28" s="3"/>
      <c r="IZC28" s="3"/>
      <c r="IZD28" s="3"/>
      <c r="IZE28" s="3"/>
      <c r="IZF28" s="3"/>
      <c r="IZG28" s="3"/>
      <c r="IZH28" s="3"/>
      <c r="IZI28" s="3"/>
      <c r="IZJ28" s="3"/>
      <c r="IZK28" s="3"/>
      <c r="IZL28" s="3"/>
      <c r="IZM28" s="3"/>
      <c r="IZN28" s="3"/>
      <c r="IZO28" s="3"/>
      <c r="IZP28" s="3"/>
      <c r="IZQ28" s="3"/>
      <c r="IZR28" s="3"/>
      <c r="IZS28" s="3"/>
      <c r="IZT28" s="3"/>
      <c r="IZU28" s="3"/>
      <c r="IZV28" s="3"/>
      <c r="IZW28" s="3"/>
      <c r="IZX28" s="3"/>
      <c r="IZY28" s="3"/>
      <c r="IZZ28" s="3"/>
      <c r="JAA28" s="3"/>
      <c r="JAB28" s="3"/>
      <c r="JAC28" s="3"/>
      <c r="JAD28" s="3"/>
      <c r="JAE28" s="3"/>
      <c r="JAF28" s="3"/>
      <c r="JAG28" s="3"/>
      <c r="JAH28" s="3"/>
      <c r="JAI28" s="3"/>
      <c r="JAJ28" s="3"/>
      <c r="JAK28" s="3"/>
      <c r="JAL28" s="3"/>
      <c r="JAM28" s="3"/>
      <c r="JAN28" s="3"/>
      <c r="JAO28" s="3"/>
      <c r="JAP28" s="3"/>
      <c r="JAQ28" s="3"/>
      <c r="JAR28" s="3"/>
      <c r="JAS28" s="3"/>
      <c r="JAT28" s="3"/>
      <c r="JAU28" s="3"/>
      <c r="JAV28" s="3"/>
      <c r="JAW28" s="3"/>
      <c r="JAX28" s="3"/>
      <c r="JAY28" s="3"/>
      <c r="JAZ28" s="3"/>
      <c r="JBA28" s="3"/>
      <c r="JBB28" s="3"/>
      <c r="JBC28" s="3"/>
      <c r="JBD28" s="3"/>
      <c r="JBE28" s="3"/>
      <c r="JBF28" s="3"/>
      <c r="JBG28" s="3"/>
      <c r="JBH28" s="3"/>
      <c r="JBI28" s="3"/>
      <c r="JBJ28" s="3"/>
      <c r="JBK28" s="3"/>
      <c r="JBL28" s="3"/>
      <c r="JBM28" s="3"/>
      <c r="JBN28" s="3"/>
      <c r="JBO28" s="3"/>
      <c r="JBP28" s="3"/>
      <c r="JBQ28" s="3"/>
      <c r="JBR28" s="3"/>
      <c r="JBS28" s="3"/>
      <c r="JBT28" s="3"/>
      <c r="JBU28" s="3"/>
      <c r="JBV28" s="3"/>
      <c r="JBW28" s="3"/>
      <c r="JBX28" s="3"/>
      <c r="JBY28" s="3"/>
      <c r="JBZ28" s="3"/>
      <c r="JCA28" s="3"/>
      <c r="JCB28" s="3"/>
      <c r="JCC28" s="3"/>
      <c r="JCD28" s="3"/>
      <c r="JCE28" s="3"/>
      <c r="JCF28" s="3"/>
      <c r="JCG28" s="3"/>
      <c r="JCH28" s="3"/>
      <c r="JCI28" s="3"/>
      <c r="JCJ28" s="3"/>
      <c r="JCK28" s="3"/>
      <c r="JCL28" s="3"/>
      <c r="JCM28" s="3"/>
      <c r="JCN28" s="3"/>
      <c r="JCO28" s="3"/>
      <c r="JCP28" s="3"/>
      <c r="JCQ28" s="3"/>
      <c r="JCR28" s="3"/>
      <c r="JCS28" s="3"/>
      <c r="JCT28" s="3"/>
      <c r="JCU28" s="3"/>
      <c r="JCV28" s="3"/>
      <c r="JCW28" s="3"/>
      <c r="JCX28" s="3"/>
      <c r="JCY28" s="3"/>
      <c r="JCZ28" s="3"/>
      <c r="JDA28" s="3"/>
      <c r="JDB28" s="3"/>
      <c r="JDC28" s="3"/>
      <c r="JDD28" s="3"/>
      <c r="JDE28" s="3"/>
      <c r="JDF28" s="3"/>
      <c r="JDG28" s="3"/>
      <c r="JDH28" s="3"/>
      <c r="JDI28" s="3"/>
      <c r="JDJ28" s="3"/>
      <c r="JDK28" s="3"/>
      <c r="JDL28" s="3"/>
      <c r="JDM28" s="3"/>
      <c r="JDN28" s="3"/>
      <c r="JDO28" s="3"/>
      <c r="JDP28" s="3"/>
      <c r="JDQ28" s="3"/>
      <c r="JDR28" s="3"/>
      <c r="JDS28" s="3"/>
      <c r="JDT28" s="3"/>
      <c r="JDU28" s="3"/>
      <c r="JDV28" s="3"/>
      <c r="JDW28" s="3"/>
      <c r="JDX28" s="3"/>
      <c r="JDY28" s="3"/>
      <c r="JDZ28" s="3"/>
      <c r="JEA28" s="3"/>
      <c r="JEB28" s="3"/>
      <c r="JEC28" s="3"/>
      <c r="JED28" s="3"/>
      <c r="JEE28" s="3"/>
      <c r="JEF28" s="3"/>
      <c r="JEG28" s="3"/>
      <c r="JEH28" s="3"/>
      <c r="JEI28" s="3"/>
      <c r="JEJ28" s="3"/>
      <c r="JEK28" s="3"/>
      <c r="JEL28" s="3"/>
      <c r="JEM28" s="3"/>
      <c r="JEN28" s="3"/>
      <c r="JEO28" s="3"/>
      <c r="JEP28" s="3"/>
      <c r="JEQ28" s="3"/>
      <c r="JER28" s="3"/>
      <c r="JES28" s="3"/>
      <c r="JET28" s="3"/>
      <c r="JEU28" s="3"/>
      <c r="JEV28" s="3"/>
      <c r="JEW28" s="3"/>
      <c r="JEX28" s="3"/>
      <c r="JEY28" s="3"/>
      <c r="JEZ28" s="3"/>
      <c r="JFA28" s="3"/>
      <c r="JFB28" s="3"/>
      <c r="JFC28" s="3"/>
      <c r="JFD28" s="3"/>
      <c r="JFE28" s="3"/>
      <c r="JFF28" s="3"/>
      <c r="JFG28" s="3"/>
      <c r="JFH28" s="3"/>
      <c r="JFI28" s="3"/>
      <c r="JFJ28" s="3"/>
      <c r="JFK28" s="3"/>
      <c r="JFL28" s="3"/>
      <c r="JFM28" s="3"/>
      <c r="JFN28" s="3"/>
      <c r="JFO28" s="3"/>
      <c r="JFP28" s="3"/>
      <c r="JFQ28" s="3"/>
      <c r="JFR28" s="3"/>
      <c r="JFS28" s="3"/>
      <c r="JFT28" s="3"/>
      <c r="JFU28" s="3"/>
      <c r="JFV28" s="3"/>
      <c r="JFW28" s="3"/>
      <c r="JFX28" s="3"/>
      <c r="JFY28" s="3"/>
      <c r="JFZ28" s="3"/>
      <c r="JGA28" s="3"/>
      <c r="JGB28" s="3"/>
      <c r="JGC28" s="3"/>
      <c r="JGD28" s="3"/>
      <c r="JGE28" s="3"/>
      <c r="JGF28" s="3"/>
      <c r="JGG28" s="3"/>
      <c r="JGH28" s="3"/>
      <c r="JGI28" s="3"/>
      <c r="JGJ28" s="3"/>
      <c r="JGK28" s="3"/>
      <c r="JGL28" s="3"/>
      <c r="JGM28" s="3"/>
      <c r="JGN28" s="3"/>
      <c r="JGO28" s="3"/>
      <c r="JGP28" s="3"/>
      <c r="JGQ28" s="3"/>
      <c r="JGR28" s="3"/>
      <c r="JGS28" s="3"/>
      <c r="JGT28" s="3"/>
      <c r="JGU28" s="3"/>
      <c r="JGV28" s="3"/>
      <c r="JGW28" s="3"/>
      <c r="JGX28" s="3"/>
      <c r="JGY28" s="3"/>
      <c r="JGZ28" s="3"/>
      <c r="JHA28" s="3"/>
      <c r="JHB28" s="3"/>
      <c r="JHC28" s="3"/>
      <c r="JHD28" s="3"/>
      <c r="JHE28" s="3"/>
      <c r="JHF28" s="3"/>
      <c r="JHG28" s="3"/>
      <c r="JHH28" s="3"/>
      <c r="JHI28" s="3"/>
      <c r="JHJ28" s="3"/>
      <c r="JHK28" s="3"/>
      <c r="JHL28" s="3"/>
      <c r="JHM28" s="3"/>
      <c r="JHN28" s="3"/>
      <c r="JHO28" s="3"/>
      <c r="JHP28" s="3"/>
      <c r="JHQ28" s="3"/>
      <c r="JHR28" s="3"/>
      <c r="JHS28" s="3"/>
      <c r="JHT28" s="3"/>
      <c r="JHU28" s="3"/>
      <c r="JHV28" s="3"/>
      <c r="JHW28" s="3"/>
      <c r="JHX28" s="3"/>
      <c r="JHY28" s="3"/>
      <c r="JHZ28" s="3"/>
      <c r="JIA28" s="3"/>
      <c r="JIB28" s="3"/>
      <c r="JIC28" s="3"/>
      <c r="JID28" s="3"/>
      <c r="JIE28" s="3"/>
      <c r="JIF28" s="3"/>
      <c r="JIG28" s="3"/>
      <c r="JIH28" s="3"/>
      <c r="JII28" s="3"/>
      <c r="JIJ28" s="3"/>
      <c r="JIK28" s="3"/>
      <c r="JIL28" s="3"/>
      <c r="JIM28" s="3"/>
      <c r="JIN28" s="3"/>
      <c r="JIO28" s="3"/>
      <c r="JIP28" s="3"/>
      <c r="JIQ28" s="3"/>
      <c r="JIR28" s="3"/>
      <c r="JIS28" s="3"/>
      <c r="JIT28" s="3"/>
      <c r="JIU28" s="3"/>
      <c r="JIV28" s="3"/>
      <c r="JIW28" s="3"/>
      <c r="JIX28" s="3"/>
      <c r="JIY28" s="3"/>
      <c r="JIZ28" s="3"/>
      <c r="JJA28" s="3"/>
      <c r="JJB28" s="3"/>
      <c r="JJC28" s="3"/>
      <c r="JJD28" s="3"/>
      <c r="JJE28" s="3"/>
      <c r="JJF28" s="3"/>
      <c r="JJG28" s="3"/>
      <c r="JJH28" s="3"/>
      <c r="JJI28" s="3"/>
      <c r="JJJ28" s="3"/>
      <c r="JJK28" s="3"/>
      <c r="JJL28" s="3"/>
      <c r="JJM28" s="3"/>
      <c r="JJN28" s="3"/>
      <c r="JJO28" s="3"/>
      <c r="JJP28" s="3"/>
      <c r="JJQ28" s="3"/>
      <c r="JJR28" s="3"/>
      <c r="JJS28" s="3"/>
      <c r="JJT28" s="3"/>
      <c r="JJU28" s="3"/>
      <c r="JJV28" s="3"/>
      <c r="JJW28" s="3"/>
      <c r="JJX28" s="3"/>
      <c r="JJY28" s="3"/>
      <c r="JJZ28" s="3"/>
      <c r="JKA28" s="3"/>
      <c r="JKB28" s="3"/>
      <c r="JKC28" s="3"/>
      <c r="JKD28" s="3"/>
      <c r="JKE28" s="3"/>
      <c r="JKF28" s="3"/>
      <c r="JKG28" s="3"/>
      <c r="JKH28" s="3"/>
      <c r="JKI28" s="3"/>
      <c r="JKJ28" s="3"/>
      <c r="JKK28" s="3"/>
      <c r="JKL28" s="3"/>
      <c r="JKM28" s="3"/>
      <c r="JKN28" s="3"/>
      <c r="JKO28" s="3"/>
      <c r="JKP28" s="3"/>
      <c r="JKQ28" s="3"/>
      <c r="JKR28" s="3"/>
      <c r="JKS28" s="3"/>
      <c r="JKT28" s="3"/>
      <c r="JKU28" s="3"/>
      <c r="JKV28" s="3"/>
      <c r="JKW28" s="3"/>
      <c r="JKX28" s="3"/>
      <c r="JKY28" s="3"/>
      <c r="JKZ28" s="3"/>
      <c r="JLA28" s="3"/>
      <c r="JLB28" s="3"/>
      <c r="JLC28" s="3"/>
      <c r="JLD28" s="3"/>
      <c r="JLE28" s="3"/>
      <c r="JLF28" s="3"/>
      <c r="JLG28" s="3"/>
      <c r="JLH28" s="3"/>
      <c r="JLI28" s="3"/>
      <c r="JLJ28" s="3"/>
      <c r="JLK28" s="3"/>
      <c r="JLL28" s="3"/>
      <c r="JLM28" s="3"/>
      <c r="JLN28" s="3"/>
      <c r="JLO28" s="3"/>
      <c r="JLP28" s="3"/>
      <c r="JLQ28" s="3"/>
      <c r="JLR28" s="3"/>
      <c r="JLS28" s="3"/>
      <c r="JLT28" s="3"/>
      <c r="JLU28" s="3"/>
      <c r="JLV28" s="3"/>
      <c r="JLW28" s="3"/>
      <c r="JLX28" s="3"/>
      <c r="JLY28" s="3"/>
      <c r="JLZ28" s="3"/>
      <c r="JMA28" s="3"/>
      <c r="JMB28" s="3"/>
      <c r="JMC28" s="3"/>
      <c r="JMD28" s="3"/>
      <c r="JME28" s="3"/>
      <c r="JMF28" s="3"/>
      <c r="JMG28" s="3"/>
      <c r="JMH28" s="3"/>
      <c r="JMI28" s="3"/>
      <c r="JMJ28" s="3"/>
      <c r="JMK28" s="3"/>
      <c r="JML28" s="3"/>
      <c r="JMM28" s="3"/>
      <c r="JMN28" s="3"/>
      <c r="JMO28" s="3"/>
      <c r="JMP28" s="3"/>
      <c r="JMQ28" s="3"/>
      <c r="JMR28" s="3"/>
      <c r="JMS28" s="3"/>
      <c r="JMT28" s="3"/>
      <c r="JMU28" s="3"/>
      <c r="JMV28" s="3"/>
      <c r="JMW28" s="3"/>
      <c r="JMX28" s="3"/>
      <c r="JMY28" s="3"/>
      <c r="JMZ28" s="3"/>
      <c r="JNA28" s="3"/>
      <c r="JNB28" s="3"/>
      <c r="JNC28" s="3"/>
      <c r="JND28" s="3"/>
      <c r="JNE28" s="3"/>
      <c r="JNF28" s="3"/>
      <c r="JNG28" s="3"/>
      <c r="JNH28" s="3"/>
      <c r="JNI28" s="3"/>
      <c r="JNJ28" s="3"/>
      <c r="JNK28" s="3"/>
      <c r="JNL28" s="3"/>
      <c r="JNM28" s="3"/>
      <c r="JNN28" s="3"/>
      <c r="JNO28" s="3"/>
      <c r="JNP28" s="3"/>
      <c r="JNQ28" s="3"/>
      <c r="JNR28" s="3"/>
      <c r="JNS28" s="3"/>
      <c r="JNT28" s="3"/>
      <c r="JNU28" s="3"/>
      <c r="JNV28" s="3"/>
      <c r="JNW28" s="3"/>
      <c r="JNX28" s="3"/>
      <c r="JNY28" s="3"/>
      <c r="JNZ28" s="3"/>
      <c r="JOA28" s="3"/>
      <c r="JOB28" s="3"/>
      <c r="JOC28" s="3"/>
      <c r="JOD28" s="3"/>
      <c r="JOE28" s="3"/>
      <c r="JOF28" s="3"/>
      <c r="JOG28" s="3"/>
      <c r="JOH28" s="3"/>
      <c r="JOI28" s="3"/>
      <c r="JOJ28" s="3"/>
      <c r="JOK28" s="3"/>
      <c r="JOL28" s="3"/>
      <c r="JOM28" s="3"/>
      <c r="JON28" s="3"/>
      <c r="JOO28" s="3"/>
      <c r="JOP28" s="3"/>
      <c r="JOQ28" s="3"/>
      <c r="JOR28" s="3"/>
      <c r="JOS28" s="3"/>
      <c r="JOT28" s="3"/>
      <c r="JOU28" s="3"/>
      <c r="JOV28" s="3"/>
      <c r="JOW28" s="3"/>
      <c r="JOX28" s="3"/>
      <c r="JOY28" s="3"/>
      <c r="JOZ28" s="3"/>
      <c r="JPA28" s="3"/>
      <c r="JPB28" s="3"/>
      <c r="JPC28" s="3"/>
      <c r="JPD28" s="3"/>
      <c r="JPE28" s="3"/>
      <c r="JPF28" s="3"/>
      <c r="JPG28" s="3"/>
      <c r="JPH28" s="3"/>
      <c r="JPI28" s="3"/>
      <c r="JPJ28" s="3"/>
      <c r="JPK28" s="3"/>
      <c r="JPL28" s="3"/>
      <c r="JPM28" s="3"/>
      <c r="JPN28" s="3"/>
      <c r="JPO28" s="3"/>
      <c r="JPP28" s="3"/>
      <c r="JPQ28" s="3"/>
      <c r="JPR28" s="3"/>
      <c r="JPS28" s="3"/>
      <c r="JPT28" s="3"/>
      <c r="JPU28" s="3"/>
      <c r="JPV28" s="3"/>
      <c r="JPW28" s="3"/>
      <c r="JPX28" s="3"/>
      <c r="JPY28" s="3"/>
      <c r="JPZ28" s="3"/>
      <c r="JQA28" s="3"/>
      <c r="JQB28" s="3"/>
      <c r="JQC28" s="3"/>
      <c r="JQD28" s="3"/>
      <c r="JQE28" s="3"/>
      <c r="JQF28" s="3"/>
      <c r="JQG28" s="3"/>
      <c r="JQH28" s="3"/>
      <c r="JQI28" s="3"/>
      <c r="JQJ28" s="3"/>
      <c r="JQK28" s="3"/>
      <c r="JQL28" s="3"/>
      <c r="JQM28" s="3"/>
      <c r="JQN28" s="3"/>
      <c r="JQO28" s="3"/>
      <c r="JQP28" s="3"/>
      <c r="JQQ28" s="3"/>
      <c r="JQR28" s="3"/>
      <c r="JQS28" s="3"/>
      <c r="JQT28" s="3"/>
      <c r="JQU28" s="3"/>
      <c r="JQV28" s="3"/>
      <c r="JQW28" s="3"/>
      <c r="JQX28" s="3"/>
      <c r="JQY28" s="3"/>
      <c r="JQZ28" s="3"/>
      <c r="JRA28" s="3"/>
      <c r="JRB28" s="3"/>
      <c r="JRC28" s="3"/>
      <c r="JRD28" s="3"/>
      <c r="JRE28" s="3"/>
      <c r="JRF28" s="3"/>
      <c r="JRG28" s="3"/>
      <c r="JRH28" s="3"/>
      <c r="JRI28" s="3"/>
      <c r="JRJ28" s="3"/>
      <c r="JRK28" s="3"/>
      <c r="JRL28" s="3"/>
      <c r="JRM28" s="3"/>
      <c r="JRN28" s="3"/>
      <c r="JRO28" s="3"/>
      <c r="JRP28" s="3"/>
      <c r="JRQ28" s="3"/>
      <c r="JRR28" s="3"/>
      <c r="JRS28" s="3"/>
      <c r="JRT28" s="3"/>
      <c r="JRU28" s="3"/>
      <c r="JRV28" s="3"/>
      <c r="JRW28" s="3"/>
      <c r="JRX28" s="3"/>
      <c r="JRY28" s="3"/>
      <c r="JRZ28" s="3"/>
      <c r="JSA28" s="3"/>
      <c r="JSB28" s="3"/>
      <c r="JSC28" s="3"/>
      <c r="JSD28" s="3"/>
      <c r="JSE28" s="3"/>
      <c r="JSF28" s="3"/>
      <c r="JSG28" s="3"/>
      <c r="JSH28" s="3"/>
      <c r="JSI28" s="3"/>
      <c r="JSJ28" s="3"/>
      <c r="JSK28" s="3"/>
      <c r="JSL28" s="3"/>
      <c r="JSM28" s="3"/>
      <c r="JSN28" s="3"/>
      <c r="JSO28" s="3"/>
      <c r="JSP28" s="3"/>
      <c r="JSQ28" s="3"/>
      <c r="JSR28" s="3"/>
      <c r="JSS28" s="3"/>
      <c r="JST28" s="3"/>
      <c r="JSU28" s="3"/>
      <c r="JSV28" s="3"/>
      <c r="JSW28" s="3"/>
      <c r="JSX28" s="3"/>
      <c r="JSY28" s="3"/>
      <c r="JSZ28" s="3"/>
      <c r="JTA28" s="3"/>
      <c r="JTB28" s="3"/>
      <c r="JTC28" s="3"/>
      <c r="JTD28" s="3"/>
      <c r="JTE28" s="3"/>
      <c r="JTF28" s="3"/>
      <c r="JTG28" s="3"/>
      <c r="JTH28" s="3"/>
      <c r="JTI28" s="3"/>
      <c r="JTJ28" s="3"/>
      <c r="JTK28" s="3"/>
      <c r="JTL28" s="3"/>
      <c r="JTM28" s="3"/>
      <c r="JTN28" s="3"/>
      <c r="JTO28" s="3"/>
      <c r="JTP28" s="3"/>
      <c r="JTQ28" s="3"/>
      <c r="JTR28" s="3"/>
      <c r="JTS28" s="3"/>
      <c r="JTT28" s="3"/>
      <c r="JTU28" s="3"/>
      <c r="JTV28" s="3"/>
      <c r="JTW28" s="3"/>
      <c r="JTX28" s="3"/>
      <c r="JTY28" s="3"/>
      <c r="JTZ28" s="3"/>
      <c r="JUA28" s="3"/>
      <c r="JUB28" s="3"/>
      <c r="JUC28" s="3"/>
      <c r="JUD28" s="3"/>
      <c r="JUE28" s="3"/>
      <c r="JUF28" s="3"/>
      <c r="JUG28" s="3"/>
      <c r="JUH28" s="3"/>
      <c r="JUI28" s="3"/>
      <c r="JUJ28" s="3"/>
      <c r="JUK28" s="3"/>
      <c r="JUL28" s="3"/>
      <c r="JUM28" s="3"/>
      <c r="JUN28" s="3"/>
      <c r="JUO28" s="3"/>
      <c r="JUP28" s="3"/>
      <c r="JUQ28" s="3"/>
      <c r="JUR28" s="3"/>
      <c r="JUS28" s="3"/>
      <c r="JUT28" s="3"/>
      <c r="JUU28" s="3"/>
      <c r="JUV28" s="3"/>
      <c r="JUW28" s="3"/>
      <c r="JUX28" s="3"/>
      <c r="JUY28" s="3"/>
      <c r="JUZ28" s="3"/>
      <c r="JVA28" s="3"/>
      <c r="JVB28" s="3"/>
      <c r="JVC28" s="3"/>
      <c r="JVD28" s="3"/>
      <c r="JVE28" s="3"/>
      <c r="JVF28" s="3"/>
      <c r="JVG28" s="3"/>
      <c r="JVH28" s="3"/>
      <c r="JVI28" s="3"/>
      <c r="JVJ28" s="3"/>
      <c r="JVK28" s="3"/>
      <c r="JVL28" s="3"/>
      <c r="JVM28" s="3"/>
      <c r="JVN28" s="3"/>
      <c r="JVO28" s="3"/>
      <c r="JVP28" s="3"/>
      <c r="JVQ28" s="3"/>
      <c r="JVR28" s="3"/>
      <c r="JVS28" s="3"/>
      <c r="JVT28" s="3"/>
      <c r="JVU28" s="3"/>
      <c r="JVV28" s="3"/>
      <c r="JVW28" s="3"/>
      <c r="JVX28" s="3"/>
      <c r="JVY28" s="3"/>
      <c r="JVZ28" s="3"/>
      <c r="JWA28" s="3"/>
      <c r="JWB28" s="3"/>
      <c r="JWC28" s="3"/>
      <c r="JWD28" s="3"/>
      <c r="JWE28" s="3"/>
      <c r="JWF28" s="3"/>
      <c r="JWG28" s="3"/>
      <c r="JWH28" s="3"/>
      <c r="JWI28" s="3"/>
      <c r="JWJ28" s="3"/>
      <c r="JWK28" s="3"/>
      <c r="JWL28" s="3"/>
      <c r="JWM28" s="3"/>
      <c r="JWN28" s="3"/>
      <c r="JWO28" s="3"/>
      <c r="JWP28" s="3"/>
      <c r="JWQ28" s="3"/>
      <c r="JWR28" s="3"/>
      <c r="JWS28" s="3"/>
      <c r="JWT28" s="3"/>
      <c r="JWU28" s="3"/>
      <c r="JWV28" s="3"/>
      <c r="JWW28" s="3"/>
      <c r="JWX28" s="3"/>
      <c r="JWY28" s="3"/>
      <c r="JWZ28" s="3"/>
      <c r="JXA28" s="3"/>
      <c r="JXB28" s="3"/>
      <c r="JXC28" s="3"/>
      <c r="JXD28" s="3"/>
      <c r="JXE28" s="3"/>
      <c r="JXF28" s="3"/>
      <c r="JXG28" s="3"/>
      <c r="JXH28" s="3"/>
      <c r="JXI28" s="3"/>
      <c r="JXJ28" s="3"/>
      <c r="JXK28" s="3"/>
      <c r="JXL28" s="3"/>
      <c r="JXM28" s="3"/>
      <c r="JXN28" s="3"/>
      <c r="JXO28" s="3"/>
      <c r="JXP28" s="3"/>
      <c r="JXQ28" s="3"/>
      <c r="JXR28" s="3"/>
      <c r="JXS28" s="3"/>
      <c r="JXT28" s="3"/>
      <c r="JXU28" s="3"/>
      <c r="JXV28" s="3"/>
      <c r="JXW28" s="3"/>
      <c r="JXX28" s="3"/>
      <c r="JXY28" s="3"/>
      <c r="JXZ28" s="3"/>
      <c r="JYA28" s="3"/>
      <c r="JYB28" s="3"/>
      <c r="JYC28" s="3"/>
      <c r="JYD28" s="3"/>
      <c r="JYE28" s="3"/>
      <c r="JYF28" s="3"/>
      <c r="JYG28" s="3"/>
      <c r="JYH28" s="3"/>
      <c r="JYI28" s="3"/>
      <c r="JYJ28" s="3"/>
      <c r="JYK28" s="3"/>
      <c r="JYL28" s="3"/>
      <c r="JYM28" s="3"/>
      <c r="JYN28" s="3"/>
      <c r="JYO28" s="3"/>
      <c r="JYP28" s="3"/>
      <c r="JYQ28" s="3"/>
      <c r="JYR28" s="3"/>
      <c r="JYS28" s="3"/>
      <c r="JYT28" s="3"/>
      <c r="JYU28" s="3"/>
      <c r="JYV28" s="3"/>
      <c r="JYW28" s="3"/>
      <c r="JYX28" s="3"/>
      <c r="JYY28" s="3"/>
      <c r="JYZ28" s="3"/>
      <c r="JZA28" s="3"/>
      <c r="JZB28" s="3"/>
      <c r="JZC28" s="3"/>
      <c r="JZD28" s="3"/>
      <c r="JZE28" s="3"/>
      <c r="JZF28" s="3"/>
      <c r="JZG28" s="3"/>
      <c r="JZH28" s="3"/>
      <c r="JZI28" s="3"/>
      <c r="JZJ28" s="3"/>
      <c r="JZK28" s="3"/>
      <c r="JZL28" s="3"/>
      <c r="JZM28" s="3"/>
      <c r="JZN28" s="3"/>
      <c r="JZO28" s="3"/>
      <c r="JZP28" s="3"/>
      <c r="JZQ28" s="3"/>
      <c r="JZR28" s="3"/>
      <c r="JZS28" s="3"/>
      <c r="JZT28" s="3"/>
      <c r="JZU28" s="3"/>
      <c r="JZV28" s="3"/>
      <c r="JZW28" s="3"/>
      <c r="JZX28" s="3"/>
      <c r="JZY28" s="3"/>
      <c r="JZZ28" s="3"/>
      <c r="KAA28" s="3"/>
      <c r="KAB28" s="3"/>
      <c r="KAC28" s="3"/>
      <c r="KAD28" s="3"/>
      <c r="KAE28" s="3"/>
      <c r="KAF28" s="3"/>
      <c r="KAG28" s="3"/>
      <c r="KAH28" s="3"/>
      <c r="KAI28" s="3"/>
      <c r="KAJ28" s="3"/>
      <c r="KAK28" s="3"/>
      <c r="KAL28" s="3"/>
      <c r="KAM28" s="3"/>
      <c r="KAN28" s="3"/>
      <c r="KAO28" s="3"/>
      <c r="KAP28" s="3"/>
      <c r="KAQ28" s="3"/>
      <c r="KAR28" s="3"/>
      <c r="KAS28" s="3"/>
      <c r="KAT28" s="3"/>
      <c r="KAU28" s="3"/>
      <c r="KAV28" s="3"/>
      <c r="KAW28" s="3"/>
      <c r="KAX28" s="3"/>
      <c r="KAY28" s="3"/>
      <c r="KAZ28" s="3"/>
      <c r="KBA28" s="3"/>
      <c r="KBB28" s="3"/>
      <c r="KBC28" s="3"/>
      <c r="KBD28" s="3"/>
      <c r="KBE28" s="3"/>
      <c r="KBF28" s="3"/>
      <c r="KBG28" s="3"/>
      <c r="KBH28" s="3"/>
      <c r="KBI28" s="3"/>
      <c r="KBJ28" s="3"/>
      <c r="KBK28" s="3"/>
      <c r="KBL28" s="3"/>
      <c r="KBM28" s="3"/>
      <c r="KBN28" s="3"/>
      <c r="KBO28" s="3"/>
      <c r="KBP28" s="3"/>
      <c r="KBQ28" s="3"/>
      <c r="KBR28" s="3"/>
      <c r="KBS28" s="3"/>
      <c r="KBT28" s="3"/>
      <c r="KBU28" s="3"/>
      <c r="KBV28" s="3"/>
      <c r="KBW28" s="3"/>
      <c r="KBX28" s="3"/>
      <c r="KBY28" s="3"/>
      <c r="KBZ28" s="3"/>
      <c r="KCA28" s="3"/>
      <c r="KCB28" s="3"/>
      <c r="KCC28" s="3"/>
      <c r="KCD28" s="3"/>
      <c r="KCE28" s="3"/>
      <c r="KCF28" s="3"/>
      <c r="KCG28" s="3"/>
      <c r="KCH28" s="3"/>
      <c r="KCI28" s="3"/>
      <c r="KCJ28" s="3"/>
      <c r="KCK28" s="3"/>
      <c r="KCL28" s="3"/>
      <c r="KCM28" s="3"/>
      <c r="KCN28" s="3"/>
      <c r="KCO28" s="3"/>
      <c r="KCP28" s="3"/>
      <c r="KCQ28" s="3"/>
      <c r="KCR28" s="3"/>
      <c r="KCS28" s="3"/>
      <c r="KCT28" s="3"/>
      <c r="KCU28" s="3"/>
      <c r="KCV28" s="3"/>
      <c r="KCW28" s="3"/>
      <c r="KCX28" s="3"/>
      <c r="KCY28" s="3"/>
      <c r="KCZ28" s="3"/>
      <c r="KDA28" s="3"/>
      <c r="KDB28" s="3"/>
      <c r="KDC28" s="3"/>
      <c r="KDD28" s="3"/>
      <c r="KDE28" s="3"/>
      <c r="KDF28" s="3"/>
      <c r="KDG28" s="3"/>
      <c r="KDH28" s="3"/>
      <c r="KDI28" s="3"/>
      <c r="KDJ28" s="3"/>
      <c r="KDK28" s="3"/>
      <c r="KDL28" s="3"/>
      <c r="KDM28" s="3"/>
      <c r="KDN28" s="3"/>
      <c r="KDO28" s="3"/>
      <c r="KDP28" s="3"/>
      <c r="KDQ28" s="3"/>
      <c r="KDR28" s="3"/>
      <c r="KDS28" s="3"/>
      <c r="KDT28" s="3"/>
      <c r="KDU28" s="3"/>
      <c r="KDV28" s="3"/>
      <c r="KDW28" s="3"/>
      <c r="KDX28" s="3"/>
      <c r="KDY28" s="3"/>
      <c r="KDZ28" s="3"/>
      <c r="KEA28" s="3"/>
      <c r="KEB28" s="3"/>
      <c r="KEC28" s="3"/>
      <c r="KED28" s="3"/>
      <c r="KEE28" s="3"/>
      <c r="KEF28" s="3"/>
      <c r="KEG28" s="3"/>
      <c r="KEH28" s="3"/>
      <c r="KEI28" s="3"/>
      <c r="KEJ28" s="3"/>
      <c r="KEK28" s="3"/>
      <c r="KEL28" s="3"/>
      <c r="KEM28" s="3"/>
      <c r="KEN28" s="3"/>
      <c r="KEO28" s="3"/>
      <c r="KEP28" s="3"/>
      <c r="KEQ28" s="3"/>
      <c r="KER28" s="3"/>
      <c r="KES28" s="3"/>
      <c r="KET28" s="3"/>
      <c r="KEU28" s="3"/>
      <c r="KEV28" s="3"/>
      <c r="KEW28" s="3"/>
      <c r="KEX28" s="3"/>
      <c r="KEY28" s="3"/>
      <c r="KEZ28" s="3"/>
      <c r="KFA28" s="3"/>
      <c r="KFB28" s="3"/>
      <c r="KFC28" s="3"/>
      <c r="KFD28" s="3"/>
      <c r="KFE28" s="3"/>
      <c r="KFF28" s="3"/>
      <c r="KFG28" s="3"/>
      <c r="KFH28" s="3"/>
      <c r="KFI28" s="3"/>
      <c r="KFJ28" s="3"/>
      <c r="KFK28" s="3"/>
      <c r="KFL28" s="3"/>
      <c r="KFM28" s="3"/>
      <c r="KFN28" s="3"/>
      <c r="KFO28" s="3"/>
      <c r="KFP28" s="3"/>
      <c r="KFQ28" s="3"/>
      <c r="KFR28" s="3"/>
      <c r="KFS28" s="3"/>
      <c r="KFT28" s="3"/>
      <c r="KFU28" s="3"/>
      <c r="KFV28" s="3"/>
      <c r="KFW28" s="3"/>
      <c r="KFX28" s="3"/>
      <c r="KFY28" s="3"/>
      <c r="KFZ28" s="3"/>
      <c r="KGA28" s="3"/>
      <c r="KGB28" s="3"/>
      <c r="KGC28" s="3"/>
      <c r="KGD28" s="3"/>
      <c r="KGE28" s="3"/>
      <c r="KGF28" s="3"/>
      <c r="KGG28" s="3"/>
      <c r="KGH28" s="3"/>
      <c r="KGI28" s="3"/>
      <c r="KGJ28" s="3"/>
      <c r="KGK28" s="3"/>
      <c r="KGL28" s="3"/>
      <c r="KGM28" s="3"/>
      <c r="KGN28" s="3"/>
      <c r="KGO28" s="3"/>
      <c r="KGP28" s="3"/>
      <c r="KGQ28" s="3"/>
      <c r="KGR28" s="3"/>
      <c r="KGS28" s="3"/>
      <c r="KGT28" s="3"/>
      <c r="KGU28" s="3"/>
      <c r="KGV28" s="3"/>
      <c r="KGW28" s="3"/>
      <c r="KGX28" s="3"/>
      <c r="KGY28" s="3"/>
      <c r="KGZ28" s="3"/>
      <c r="KHA28" s="3"/>
      <c r="KHB28" s="3"/>
      <c r="KHC28" s="3"/>
      <c r="KHD28" s="3"/>
      <c r="KHE28" s="3"/>
      <c r="KHF28" s="3"/>
      <c r="KHG28" s="3"/>
      <c r="KHH28" s="3"/>
      <c r="KHI28" s="3"/>
      <c r="KHJ28" s="3"/>
      <c r="KHK28" s="3"/>
      <c r="KHL28" s="3"/>
      <c r="KHM28" s="3"/>
      <c r="KHN28" s="3"/>
      <c r="KHO28" s="3"/>
      <c r="KHP28" s="3"/>
      <c r="KHQ28" s="3"/>
      <c r="KHR28" s="3"/>
      <c r="KHS28" s="3"/>
      <c r="KHT28" s="3"/>
      <c r="KHU28" s="3"/>
      <c r="KHV28" s="3"/>
      <c r="KHW28" s="3"/>
      <c r="KHX28" s="3"/>
      <c r="KHY28" s="3"/>
      <c r="KHZ28" s="3"/>
      <c r="KIA28" s="3"/>
      <c r="KIB28" s="3"/>
      <c r="KIC28" s="3"/>
      <c r="KID28" s="3"/>
      <c r="KIE28" s="3"/>
      <c r="KIF28" s="3"/>
      <c r="KIG28" s="3"/>
      <c r="KIH28" s="3"/>
      <c r="KII28" s="3"/>
      <c r="KIJ28" s="3"/>
      <c r="KIK28" s="3"/>
      <c r="KIL28" s="3"/>
      <c r="KIM28" s="3"/>
      <c r="KIN28" s="3"/>
      <c r="KIO28" s="3"/>
      <c r="KIP28" s="3"/>
      <c r="KIQ28" s="3"/>
      <c r="KIR28" s="3"/>
      <c r="KIS28" s="3"/>
      <c r="KIT28" s="3"/>
      <c r="KIU28" s="3"/>
      <c r="KIV28" s="3"/>
      <c r="KIW28" s="3"/>
      <c r="KIX28" s="3"/>
      <c r="KIY28" s="3"/>
      <c r="KIZ28" s="3"/>
      <c r="KJA28" s="3"/>
      <c r="KJB28" s="3"/>
      <c r="KJC28" s="3"/>
      <c r="KJD28" s="3"/>
      <c r="KJE28" s="3"/>
      <c r="KJF28" s="3"/>
      <c r="KJG28" s="3"/>
      <c r="KJH28" s="3"/>
      <c r="KJI28" s="3"/>
      <c r="KJJ28" s="3"/>
      <c r="KJK28" s="3"/>
      <c r="KJL28" s="3"/>
      <c r="KJM28" s="3"/>
      <c r="KJN28" s="3"/>
      <c r="KJO28" s="3"/>
      <c r="KJP28" s="3"/>
      <c r="KJQ28" s="3"/>
      <c r="KJR28" s="3"/>
      <c r="KJS28" s="3"/>
      <c r="KJT28" s="3"/>
      <c r="KJU28" s="3"/>
      <c r="KJV28" s="3"/>
      <c r="KJW28" s="3"/>
      <c r="KJX28" s="3"/>
      <c r="KJY28" s="3"/>
      <c r="KJZ28" s="3"/>
      <c r="KKA28" s="3"/>
      <c r="KKB28" s="3"/>
      <c r="KKC28" s="3"/>
      <c r="KKD28" s="3"/>
      <c r="KKE28" s="3"/>
      <c r="KKF28" s="3"/>
      <c r="KKG28" s="3"/>
      <c r="KKH28" s="3"/>
      <c r="KKI28" s="3"/>
      <c r="KKJ28" s="3"/>
      <c r="KKK28" s="3"/>
      <c r="KKL28" s="3"/>
      <c r="KKM28" s="3"/>
      <c r="KKN28" s="3"/>
      <c r="KKO28" s="3"/>
      <c r="KKP28" s="3"/>
      <c r="KKQ28" s="3"/>
      <c r="KKR28" s="3"/>
      <c r="KKS28" s="3"/>
      <c r="KKT28" s="3"/>
      <c r="KKU28" s="3"/>
      <c r="KKV28" s="3"/>
      <c r="KKW28" s="3"/>
      <c r="KKX28" s="3"/>
      <c r="KKY28" s="3"/>
      <c r="KKZ28" s="3"/>
      <c r="KLA28" s="3"/>
      <c r="KLB28" s="3"/>
      <c r="KLC28" s="3"/>
      <c r="KLD28" s="3"/>
      <c r="KLE28" s="3"/>
      <c r="KLF28" s="3"/>
      <c r="KLG28" s="3"/>
      <c r="KLH28" s="3"/>
      <c r="KLI28" s="3"/>
      <c r="KLJ28" s="3"/>
      <c r="KLK28" s="3"/>
      <c r="KLL28" s="3"/>
      <c r="KLM28" s="3"/>
      <c r="KLN28" s="3"/>
      <c r="KLO28" s="3"/>
      <c r="KLP28" s="3"/>
      <c r="KLQ28" s="3"/>
      <c r="KLR28" s="3"/>
      <c r="KLS28" s="3"/>
      <c r="KLT28" s="3"/>
      <c r="KLU28" s="3"/>
      <c r="KLV28" s="3"/>
      <c r="KLW28" s="3"/>
      <c r="KLX28" s="3"/>
      <c r="KLY28" s="3"/>
      <c r="KLZ28" s="3"/>
      <c r="KMA28" s="3"/>
      <c r="KMB28" s="3"/>
      <c r="KMC28" s="3"/>
      <c r="KMD28" s="3"/>
      <c r="KME28" s="3"/>
      <c r="KMF28" s="3"/>
      <c r="KMG28" s="3"/>
      <c r="KMH28" s="3"/>
      <c r="KMI28" s="3"/>
      <c r="KMJ28" s="3"/>
      <c r="KMK28" s="3"/>
      <c r="KML28" s="3"/>
      <c r="KMM28" s="3"/>
      <c r="KMN28" s="3"/>
      <c r="KMO28" s="3"/>
      <c r="KMP28" s="3"/>
      <c r="KMQ28" s="3"/>
      <c r="KMR28" s="3"/>
      <c r="KMS28" s="3"/>
      <c r="KMT28" s="3"/>
      <c r="KMU28" s="3"/>
      <c r="KMV28" s="3"/>
      <c r="KMW28" s="3"/>
      <c r="KMX28" s="3"/>
      <c r="KMY28" s="3"/>
      <c r="KMZ28" s="3"/>
      <c r="KNA28" s="3"/>
      <c r="KNB28" s="3"/>
      <c r="KNC28" s="3"/>
      <c r="KND28" s="3"/>
      <c r="KNE28" s="3"/>
      <c r="KNF28" s="3"/>
      <c r="KNG28" s="3"/>
      <c r="KNH28" s="3"/>
      <c r="KNI28" s="3"/>
      <c r="KNJ28" s="3"/>
      <c r="KNK28" s="3"/>
      <c r="KNL28" s="3"/>
      <c r="KNM28" s="3"/>
      <c r="KNN28" s="3"/>
      <c r="KNO28" s="3"/>
      <c r="KNP28" s="3"/>
      <c r="KNQ28" s="3"/>
      <c r="KNR28" s="3"/>
      <c r="KNS28" s="3"/>
      <c r="KNT28" s="3"/>
      <c r="KNU28" s="3"/>
      <c r="KNV28" s="3"/>
      <c r="KNW28" s="3"/>
      <c r="KNX28" s="3"/>
      <c r="KNY28" s="3"/>
      <c r="KNZ28" s="3"/>
      <c r="KOA28" s="3"/>
      <c r="KOB28" s="3"/>
      <c r="KOC28" s="3"/>
      <c r="KOD28" s="3"/>
      <c r="KOE28" s="3"/>
      <c r="KOF28" s="3"/>
      <c r="KOG28" s="3"/>
      <c r="KOH28" s="3"/>
      <c r="KOI28" s="3"/>
      <c r="KOJ28" s="3"/>
      <c r="KOK28" s="3"/>
      <c r="KOL28" s="3"/>
      <c r="KOM28" s="3"/>
      <c r="KON28" s="3"/>
      <c r="KOO28" s="3"/>
      <c r="KOP28" s="3"/>
      <c r="KOQ28" s="3"/>
      <c r="KOR28" s="3"/>
      <c r="KOS28" s="3"/>
      <c r="KOT28" s="3"/>
      <c r="KOU28" s="3"/>
      <c r="KOV28" s="3"/>
      <c r="KOW28" s="3"/>
      <c r="KOX28" s="3"/>
      <c r="KOY28" s="3"/>
      <c r="KOZ28" s="3"/>
      <c r="KPA28" s="3"/>
      <c r="KPB28" s="3"/>
      <c r="KPC28" s="3"/>
      <c r="KPD28" s="3"/>
      <c r="KPE28" s="3"/>
      <c r="KPF28" s="3"/>
      <c r="KPG28" s="3"/>
      <c r="KPH28" s="3"/>
      <c r="KPI28" s="3"/>
      <c r="KPJ28" s="3"/>
      <c r="KPK28" s="3"/>
      <c r="KPL28" s="3"/>
      <c r="KPM28" s="3"/>
      <c r="KPN28" s="3"/>
      <c r="KPO28" s="3"/>
      <c r="KPP28" s="3"/>
      <c r="KPQ28" s="3"/>
      <c r="KPR28" s="3"/>
      <c r="KPS28" s="3"/>
      <c r="KPT28" s="3"/>
      <c r="KPU28" s="3"/>
      <c r="KPV28" s="3"/>
      <c r="KPW28" s="3"/>
      <c r="KPX28" s="3"/>
      <c r="KPY28" s="3"/>
      <c r="KPZ28" s="3"/>
      <c r="KQA28" s="3"/>
      <c r="KQB28" s="3"/>
      <c r="KQC28" s="3"/>
      <c r="KQD28" s="3"/>
      <c r="KQE28" s="3"/>
      <c r="KQF28" s="3"/>
      <c r="KQG28" s="3"/>
      <c r="KQH28" s="3"/>
      <c r="KQI28" s="3"/>
      <c r="KQJ28" s="3"/>
      <c r="KQK28" s="3"/>
      <c r="KQL28" s="3"/>
      <c r="KQM28" s="3"/>
      <c r="KQN28" s="3"/>
      <c r="KQO28" s="3"/>
      <c r="KQP28" s="3"/>
      <c r="KQQ28" s="3"/>
      <c r="KQR28" s="3"/>
      <c r="KQS28" s="3"/>
      <c r="KQT28" s="3"/>
      <c r="KQU28" s="3"/>
      <c r="KQV28" s="3"/>
      <c r="KQW28" s="3"/>
      <c r="KQX28" s="3"/>
      <c r="KQY28" s="3"/>
      <c r="KQZ28" s="3"/>
      <c r="KRA28" s="3"/>
      <c r="KRB28" s="3"/>
      <c r="KRC28" s="3"/>
      <c r="KRD28" s="3"/>
      <c r="KRE28" s="3"/>
      <c r="KRF28" s="3"/>
      <c r="KRG28" s="3"/>
      <c r="KRH28" s="3"/>
      <c r="KRI28" s="3"/>
      <c r="KRJ28" s="3"/>
      <c r="KRK28" s="3"/>
      <c r="KRL28" s="3"/>
      <c r="KRM28" s="3"/>
      <c r="KRN28" s="3"/>
    </row>
    <row r="29" spans="1:7918" s="172" customFormat="1">
      <c r="A29" s="26" t="e">
        <f t="shared" si="0"/>
        <v>#REF!</v>
      </c>
      <c r="B29" s="388" t="s">
        <v>513</v>
      </c>
      <c r="C29" s="392">
        <v>1100078698</v>
      </c>
      <c r="D29" s="386" t="s">
        <v>513</v>
      </c>
      <c r="E29" s="173" t="str">
        <f>VLOOKUP(B29,distribucion!B$9:FK$225,2,0)</f>
        <v>Operario  Sobres</v>
      </c>
      <c r="F29" s="221">
        <f>VLOOKUP($B29,'Nomina Unhesa'!$B$4:$AB$209,4,0)</f>
        <v>30</v>
      </c>
      <c r="G29" s="229">
        <f>VLOOKUP($B29,'Nomina Unhesa'!$B$4:$AB$209,6,0)</f>
        <v>3166.38</v>
      </c>
      <c r="H29" s="229">
        <f>VLOOKUP($B29,'Nomina Unhesa'!$B$4:$AB$209,7,0)</f>
        <v>1600</v>
      </c>
      <c r="I29" s="229">
        <f>VLOOKUP($B29,'Nomina Unhesa'!$B$4:$AB$209,9,0)</f>
        <v>24</v>
      </c>
      <c r="J29" s="234">
        <f>VLOOKUP($B29,'Nomina Unhesa'!$B$4:$AB$209,10,0)</f>
        <v>474.96</v>
      </c>
      <c r="K29" s="229">
        <f>VLOOKUP($B29,'Nomina Unhesa'!$B$4:$AB$209,11,0)</f>
        <v>0</v>
      </c>
      <c r="L29" s="229">
        <f>VLOOKUP($B29,'Nomina Unhesa'!$B$4:$AB$209,12,0)</f>
        <v>0</v>
      </c>
      <c r="M29" s="229">
        <f>VLOOKUP($B29,'Nomina Unhesa'!$B$4:$AB$209,14,0)</f>
        <v>0</v>
      </c>
      <c r="N29" s="234">
        <f>VLOOKUP($B29,'Nomina Unhesa'!$B$4:$AB$209,15,0)</f>
        <v>5241.34</v>
      </c>
      <c r="O29" s="234">
        <f>VLOOKUP($B29,'Nomina Unhesa'!$B$4:$AB$209,16,0)</f>
        <v>175.88</v>
      </c>
      <c r="P29" s="234">
        <f>VLOOKUP($B29,'Nomina Unhesa'!$B$4:$AB$209,17,0)</f>
        <v>56.87</v>
      </c>
      <c r="Q29" s="234">
        <f>VLOOKUP($B29,'Nomina Unhesa'!$B$4:$AB$209,18,0)</f>
        <v>573.22</v>
      </c>
      <c r="R29" s="234">
        <f>VLOOKUP($B29,'Nomina Unhesa'!$B$4:$AB$209,19,0)</f>
        <v>0</v>
      </c>
      <c r="S29" s="234">
        <f>VLOOKUP($B29,'Nomina Unhesa'!$B$4:$AB$209,20,0)</f>
        <v>0</v>
      </c>
      <c r="T29" s="234">
        <f>VLOOKUP($B29,'Nomina Unhesa'!$B$4:$AB$209,21,0)</f>
        <v>0</v>
      </c>
      <c r="U29" s="234">
        <f>VLOOKUP($B29,'Nomina Unhesa'!$B$4:$AB$209,22,0)</f>
        <v>527</v>
      </c>
      <c r="V29" s="234">
        <f>ROUND((VLOOKUP($B29,'Nomina Unhesa'!$B$4:$AB$209,23,0)),2)</f>
        <v>105</v>
      </c>
      <c r="W29" s="234">
        <f>VLOOKUP($B29,'Nomina Unhesa'!$B$4:$AB$209,24,0)</f>
        <v>1437.97</v>
      </c>
      <c r="X29" s="234">
        <f>VLOOKUP(B29,'Nomina Unhesa'!$B$9:$Z$163,25,FALSE)</f>
        <v>3803.37</v>
      </c>
      <c r="Y29" s="234">
        <f>ROUND((VLOOKUP(B29,'Nomina Unhesa'!$B$9:$AB$157,26,FALSE)),2)</f>
        <v>1110.1099999999999</v>
      </c>
      <c r="Z29" s="219">
        <f>VLOOKUP(B29,'Nomina Unhesa'!$B$9:$AB$158,27,FALSE)</f>
        <v>2693.2599999999998</v>
      </c>
      <c r="AA29" s="444"/>
      <c r="AB29" s="389">
        <f>+IFERROR(VLOOKUP(B29,'Nomina Unhesa'!B40:D189,3,0),"")</f>
        <v>3641.34</v>
      </c>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c r="NP29" s="3"/>
      <c r="NQ29" s="3"/>
      <c r="NR29" s="3"/>
      <c r="NS29" s="3"/>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3"/>
      <c r="OU29" s="3"/>
      <c r="OV29" s="3"/>
      <c r="OW29" s="3"/>
      <c r="OX29" s="3"/>
      <c r="OY29" s="3"/>
      <c r="OZ29" s="3"/>
      <c r="PA29" s="3"/>
      <c r="PB29" s="3"/>
      <c r="PC29" s="3"/>
      <c r="PD29" s="3"/>
      <c r="PE29" s="3"/>
      <c r="PF29" s="3"/>
      <c r="PG29" s="3"/>
      <c r="PH29" s="3"/>
      <c r="PI29" s="3"/>
      <c r="PJ29" s="3"/>
      <c r="PK29" s="3"/>
      <c r="PL29" s="3"/>
      <c r="PM29" s="3"/>
      <c r="PN29" s="3"/>
      <c r="PO29" s="3"/>
      <c r="PP29" s="3"/>
      <c r="PQ29" s="3"/>
      <c r="PR29" s="3"/>
      <c r="PS29" s="3"/>
      <c r="PT29" s="3"/>
      <c r="PU29" s="3"/>
      <c r="PV29" s="3"/>
      <c r="PW29" s="3"/>
      <c r="PX29" s="3"/>
      <c r="PY29" s="3"/>
      <c r="PZ29" s="3"/>
      <c r="QA29" s="3"/>
      <c r="QB29" s="3"/>
      <c r="QC29" s="3"/>
      <c r="QD29" s="3"/>
      <c r="QE29" s="3"/>
      <c r="QF29" s="3"/>
      <c r="QG29" s="3"/>
      <c r="QH29" s="3"/>
      <c r="QI29" s="3"/>
      <c r="QJ29" s="3"/>
      <c r="QK29" s="3"/>
      <c r="QL29" s="3"/>
      <c r="QM29" s="3"/>
      <c r="QN29" s="3"/>
      <c r="QO29" s="3"/>
      <c r="QP29" s="3"/>
      <c r="QQ29" s="3"/>
      <c r="QR29" s="3"/>
      <c r="QS29" s="3"/>
      <c r="QT29" s="3"/>
      <c r="QU29" s="3"/>
      <c r="QV29" s="3"/>
      <c r="QW29" s="3"/>
      <c r="QX29" s="3"/>
      <c r="QY29" s="3"/>
      <c r="QZ29" s="3"/>
      <c r="RA29" s="3"/>
      <c r="RB29" s="3"/>
      <c r="RC29" s="3"/>
      <c r="RD29" s="3"/>
      <c r="RE29" s="3"/>
      <c r="RF29" s="3"/>
      <c r="RG29" s="3"/>
      <c r="RH29" s="3"/>
      <c r="RI29" s="3"/>
      <c r="RJ29" s="3"/>
      <c r="RK29" s="3"/>
      <c r="RL29" s="3"/>
      <c r="RM29" s="3"/>
      <c r="RN29" s="3"/>
      <c r="RO29" s="3"/>
      <c r="RP29" s="3"/>
      <c r="RQ29" s="3"/>
      <c r="RR29" s="3"/>
      <c r="RS29" s="3"/>
      <c r="RT29" s="3"/>
      <c r="RU29" s="3"/>
      <c r="RV29" s="3"/>
      <c r="RW29" s="3"/>
      <c r="RX29" s="3"/>
      <c r="RY29" s="3"/>
      <c r="RZ29" s="3"/>
      <c r="SA29" s="3"/>
      <c r="SB29" s="3"/>
      <c r="SC29" s="3"/>
      <c r="SD29" s="3"/>
      <c r="SE29" s="3"/>
      <c r="SF29" s="3"/>
      <c r="SG29" s="3"/>
      <c r="SH29" s="3"/>
      <c r="SI29" s="3"/>
      <c r="SJ29" s="3"/>
      <c r="SK29" s="3"/>
      <c r="SL29" s="3"/>
      <c r="SM29" s="3"/>
      <c r="SN29" s="3"/>
      <c r="SO29" s="3"/>
      <c r="SP29" s="3"/>
      <c r="SQ29" s="3"/>
      <c r="SR29" s="3"/>
      <c r="SS29" s="3"/>
      <c r="ST29" s="3"/>
      <c r="SU29" s="3"/>
      <c r="SV29" s="3"/>
      <c r="SW29" s="3"/>
      <c r="SX29" s="3"/>
      <c r="SY29" s="3"/>
      <c r="SZ29" s="3"/>
      <c r="TA29" s="3"/>
      <c r="TB29" s="3"/>
      <c r="TC29" s="3"/>
      <c r="TD29" s="3"/>
      <c r="TE29" s="3"/>
      <c r="TF29" s="3"/>
      <c r="TG29" s="3"/>
      <c r="TH29" s="3"/>
      <c r="TI29" s="3"/>
      <c r="TJ29" s="3"/>
      <c r="TK29" s="3"/>
      <c r="TL29" s="3"/>
      <c r="TM29" s="3"/>
      <c r="TN29" s="3"/>
      <c r="TO29" s="3"/>
      <c r="TP29" s="3"/>
      <c r="TQ29" s="3"/>
      <c r="TR29" s="3"/>
      <c r="TS29" s="3"/>
      <c r="TT29" s="3"/>
      <c r="TU29" s="3"/>
      <c r="TV29" s="3"/>
      <c r="TW29" s="3"/>
      <c r="TX29" s="3"/>
      <c r="TY29" s="3"/>
      <c r="TZ29" s="3"/>
      <c r="UA29" s="3"/>
      <c r="UB29" s="3"/>
      <c r="UC29" s="3"/>
      <c r="UD29" s="3"/>
      <c r="UE29" s="3"/>
      <c r="UF29" s="3"/>
      <c r="UG29" s="3"/>
      <c r="UH29" s="3"/>
      <c r="UI29" s="3"/>
      <c r="UJ29" s="3"/>
      <c r="UK29" s="3"/>
      <c r="UL29" s="3"/>
      <c r="UM29" s="3"/>
      <c r="UN29" s="3"/>
      <c r="UO29" s="3"/>
      <c r="UP29" s="3"/>
      <c r="UQ29" s="3"/>
      <c r="UR29" s="3"/>
      <c r="US29" s="3"/>
      <c r="UT29" s="3"/>
      <c r="UU29" s="3"/>
      <c r="UV29" s="3"/>
      <c r="UW29" s="3"/>
      <c r="UX29" s="3"/>
      <c r="UY29" s="3"/>
      <c r="UZ29" s="3"/>
      <c r="VA29" s="3"/>
      <c r="VB29" s="3"/>
      <c r="VC29" s="3"/>
      <c r="VD29" s="3"/>
      <c r="VE29" s="3"/>
      <c r="VF29" s="3"/>
      <c r="VG29" s="3"/>
      <c r="VH29" s="3"/>
      <c r="VI29" s="3"/>
      <c r="VJ29" s="3"/>
      <c r="VK29" s="3"/>
      <c r="VL29" s="3"/>
      <c r="VM29" s="3"/>
      <c r="VN29" s="3"/>
      <c r="VO29" s="3"/>
      <c r="VP29" s="3"/>
      <c r="VQ29" s="3"/>
      <c r="VR29" s="3"/>
      <c r="VS29" s="3"/>
      <c r="VT29" s="3"/>
      <c r="VU29" s="3"/>
      <c r="VV29" s="3"/>
      <c r="VW29" s="3"/>
      <c r="VX29" s="3"/>
      <c r="VY29" s="3"/>
      <c r="VZ29" s="3"/>
      <c r="WA29" s="3"/>
      <c r="WB29" s="3"/>
      <c r="WC29" s="3"/>
      <c r="WD29" s="3"/>
      <c r="WE29" s="3"/>
      <c r="WF29" s="3"/>
      <c r="WG29" s="3"/>
      <c r="WH29" s="3"/>
      <c r="WI29" s="3"/>
      <c r="WJ29" s="3"/>
      <c r="WK29" s="3"/>
      <c r="WL29" s="3"/>
      <c r="WM29" s="3"/>
      <c r="WN29" s="3"/>
      <c r="WO29" s="3"/>
      <c r="WP29" s="3"/>
      <c r="WQ29" s="3"/>
      <c r="WR29" s="3"/>
      <c r="WS29" s="3"/>
      <c r="WT29" s="3"/>
      <c r="WU29" s="3"/>
      <c r="WV29" s="3"/>
      <c r="WW29" s="3"/>
      <c r="WX29" s="3"/>
      <c r="WY29" s="3"/>
      <c r="WZ29" s="3"/>
      <c r="XA29" s="3"/>
      <c r="XB29" s="3"/>
      <c r="XC29" s="3"/>
      <c r="XD29" s="3"/>
      <c r="XE29" s="3"/>
      <c r="XF29" s="3"/>
      <c r="XG29" s="3"/>
      <c r="XH29" s="3"/>
      <c r="XI29" s="3"/>
      <c r="XJ29" s="3"/>
      <c r="XK29" s="3"/>
      <c r="XL29" s="3"/>
      <c r="XM29" s="3"/>
      <c r="XN29" s="3"/>
      <c r="XO29" s="3"/>
      <c r="XP29" s="3"/>
      <c r="XQ29" s="3"/>
      <c r="XR29" s="3"/>
      <c r="XS29" s="3"/>
      <c r="XT29" s="3"/>
      <c r="XU29" s="3"/>
      <c r="XV29" s="3"/>
      <c r="XW29" s="3"/>
      <c r="XX29" s="3"/>
      <c r="XY29" s="3"/>
      <c r="XZ29" s="3"/>
      <c r="YA29" s="3"/>
      <c r="YB29" s="3"/>
      <c r="YC29" s="3"/>
      <c r="YD29" s="3"/>
      <c r="YE29" s="3"/>
      <c r="YF29" s="3"/>
      <c r="YG29" s="3"/>
      <c r="YH29" s="3"/>
      <c r="YI29" s="3"/>
      <c r="YJ29" s="3"/>
      <c r="YK29" s="3"/>
      <c r="YL29" s="3"/>
      <c r="YM29" s="3"/>
      <c r="YN29" s="3"/>
      <c r="YO29" s="3"/>
      <c r="YP29" s="3"/>
      <c r="YQ29" s="3"/>
      <c r="YR29" s="3"/>
      <c r="YS29" s="3"/>
      <c r="YT29" s="3"/>
      <c r="YU29" s="3"/>
      <c r="YV29" s="3"/>
      <c r="YW29" s="3"/>
      <c r="YX29" s="3"/>
      <c r="YY29" s="3"/>
      <c r="YZ29" s="3"/>
      <c r="ZA29" s="3"/>
      <c r="ZB29" s="3"/>
      <c r="ZC29" s="3"/>
      <c r="ZD29" s="3"/>
      <c r="ZE29" s="3"/>
      <c r="ZF29" s="3"/>
      <c r="ZG29" s="3"/>
      <c r="ZH29" s="3"/>
      <c r="ZI29" s="3"/>
      <c r="ZJ29" s="3"/>
      <c r="ZK29" s="3"/>
      <c r="ZL29" s="3"/>
      <c r="ZM29" s="3"/>
      <c r="ZN29" s="3"/>
      <c r="ZO29" s="3"/>
      <c r="ZP29" s="3"/>
      <c r="ZQ29" s="3"/>
      <c r="ZR29" s="3"/>
      <c r="ZS29" s="3"/>
      <c r="ZT29" s="3"/>
      <c r="ZU29" s="3"/>
      <c r="ZV29" s="3"/>
      <c r="ZW29" s="3"/>
      <c r="ZX29" s="3"/>
      <c r="ZY29" s="3"/>
      <c r="ZZ29" s="3"/>
      <c r="AAA29" s="3"/>
      <c r="AAB29" s="3"/>
      <c r="AAC29" s="3"/>
      <c r="AAD29" s="3"/>
      <c r="AAE29" s="3"/>
      <c r="AAF29" s="3"/>
      <c r="AAG29" s="3"/>
      <c r="AAH29" s="3"/>
      <c r="AAI29" s="3"/>
      <c r="AAJ29" s="3"/>
      <c r="AAK29" s="3"/>
      <c r="AAL29" s="3"/>
      <c r="AAM29" s="3"/>
      <c r="AAN29" s="3"/>
      <c r="AAO29" s="3"/>
      <c r="AAP29" s="3"/>
      <c r="AAQ29" s="3"/>
      <c r="AAR29" s="3"/>
      <c r="AAS29" s="3"/>
      <c r="AAT29" s="3"/>
      <c r="AAU29" s="3"/>
      <c r="AAV29" s="3"/>
      <c r="AAW29" s="3"/>
      <c r="AAX29" s="3"/>
      <c r="AAY29" s="3"/>
      <c r="AAZ29" s="3"/>
      <c r="ABA29" s="3"/>
      <c r="ABB29" s="3"/>
      <c r="ABC29" s="3"/>
      <c r="ABD29" s="3"/>
      <c r="ABE29" s="3"/>
      <c r="ABF29" s="3"/>
      <c r="ABG29" s="3"/>
      <c r="ABH29" s="3"/>
      <c r="ABI29" s="3"/>
      <c r="ABJ29" s="3"/>
      <c r="ABK29" s="3"/>
      <c r="ABL29" s="3"/>
      <c r="ABM29" s="3"/>
      <c r="ABN29" s="3"/>
      <c r="ABO29" s="3"/>
      <c r="ABP29" s="3"/>
      <c r="ABQ29" s="3"/>
      <c r="ABR29" s="3"/>
      <c r="ABS29" s="3"/>
      <c r="ABT29" s="3"/>
      <c r="ABU29" s="3"/>
      <c r="ABV29" s="3"/>
      <c r="ABW29" s="3"/>
      <c r="ABX29" s="3"/>
      <c r="ABY29" s="3"/>
      <c r="ABZ29" s="3"/>
      <c r="ACA29" s="3"/>
      <c r="ACB29" s="3"/>
      <c r="ACC29" s="3"/>
      <c r="ACD29" s="3"/>
      <c r="ACE29" s="3"/>
      <c r="ACF29" s="3"/>
      <c r="ACG29" s="3"/>
      <c r="ACH29" s="3"/>
      <c r="ACI29" s="3"/>
      <c r="ACJ29" s="3"/>
      <c r="ACK29" s="3"/>
      <c r="ACL29" s="3"/>
      <c r="ACM29" s="3"/>
      <c r="ACN29" s="3"/>
      <c r="ACO29" s="3"/>
      <c r="ACP29" s="3"/>
      <c r="ACQ29" s="3"/>
      <c r="ACR29" s="3"/>
      <c r="ACS29" s="3"/>
      <c r="ACT29" s="3"/>
      <c r="ACU29" s="3"/>
      <c r="ACV29" s="3"/>
      <c r="ACW29" s="3"/>
      <c r="ACX29" s="3"/>
      <c r="ACY29" s="3"/>
      <c r="ACZ29" s="3"/>
      <c r="ADA29" s="3"/>
      <c r="ADB29" s="3"/>
      <c r="ADC29" s="3"/>
      <c r="ADD29" s="3"/>
      <c r="ADE29" s="3"/>
      <c r="ADF29" s="3"/>
      <c r="ADG29" s="3"/>
      <c r="ADH29" s="3"/>
      <c r="ADI29" s="3"/>
      <c r="ADJ29" s="3"/>
      <c r="ADK29" s="3"/>
      <c r="ADL29" s="3"/>
      <c r="ADM29" s="3"/>
      <c r="ADN29" s="3"/>
      <c r="ADO29" s="3"/>
      <c r="ADP29" s="3"/>
      <c r="ADQ29" s="3"/>
      <c r="ADR29" s="3"/>
      <c r="ADS29" s="3"/>
      <c r="ADT29" s="3"/>
      <c r="ADU29" s="3"/>
      <c r="ADV29" s="3"/>
      <c r="ADW29" s="3"/>
      <c r="ADX29" s="3"/>
      <c r="ADY29" s="3"/>
      <c r="ADZ29" s="3"/>
      <c r="AEA29" s="3"/>
      <c r="AEB29" s="3"/>
      <c r="AEC29" s="3"/>
      <c r="AED29" s="3"/>
      <c r="AEE29" s="3"/>
      <c r="AEF29" s="3"/>
      <c r="AEG29" s="3"/>
      <c r="AEH29" s="3"/>
      <c r="AEI29" s="3"/>
      <c r="AEJ29" s="3"/>
      <c r="AEK29" s="3"/>
      <c r="AEL29" s="3"/>
      <c r="AEM29" s="3"/>
      <c r="AEN29" s="3"/>
      <c r="AEO29" s="3"/>
      <c r="AEP29" s="3"/>
      <c r="AEQ29" s="3"/>
      <c r="AER29" s="3"/>
      <c r="AES29" s="3"/>
      <c r="AET29" s="3"/>
      <c r="AEU29" s="3"/>
      <c r="AEV29" s="3"/>
      <c r="AEW29" s="3"/>
      <c r="AEX29" s="3"/>
      <c r="AEY29" s="3"/>
      <c r="AEZ29" s="3"/>
      <c r="AFA29" s="3"/>
      <c r="AFB29" s="3"/>
      <c r="AFC29" s="3"/>
      <c r="AFD29" s="3"/>
      <c r="AFE29" s="3"/>
      <c r="AFF29" s="3"/>
      <c r="AFG29" s="3"/>
      <c r="AFH29" s="3"/>
      <c r="AFI29" s="3"/>
      <c r="AFJ29" s="3"/>
      <c r="AFK29" s="3"/>
      <c r="AFL29" s="3"/>
      <c r="AFM29" s="3"/>
      <c r="AFN29" s="3"/>
      <c r="AFO29" s="3"/>
      <c r="AFP29" s="3"/>
      <c r="AFQ29" s="3"/>
      <c r="AFR29" s="3"/>
      <c r="AFS29" s="3"/>
      <c r="AFT29" s="3"/>
      <c r="AFU29" s="3"/>
      <c r="AFV29" s="3"/>
      <c r="AFW29" s="3"/>
      <c r="AFX29" s="3"/>
      <c r="AFY29" s="3"/>
      <c r="AFZ29" s="3"/>
      <c r="AGA29" s="3"/>
      <c r="AGB29" s="3"/>
      <c r="AGC29" s="3"/>
      <c r="AGD29" s="3"/>
      <c r="AGE29" s="3"/>
      <c r="AGF29" s="3"/>
      <c r="AGG29" s="3"/>
      <c r="AGH29" s="3"/>
      <c r="AGI29" s="3"/>
      <c r="AGJ29" s="3"/>
      <c r="AGK29" s="3"/>
      <c r="AGL29" s="3"/>
      <c r="AGM29" s="3"/>
      <c r="AGN29" s="3"/>
      <c r="AGO29" s="3"/>
      <c r="AGP29" s="3"/>
      <c r="AGQ29" s="3"/>
      <c r="AGR29" s="3"/>
      <c r="AGS29" s="3"/>
      <c r="AGT29" s="3"/>
      <c r="AGU29" s="3"/>
      <c r="AGV29" s="3"/>
      <c r="AGW29" s="3"/>
      <c r="AGX29" s="3"/>
      <c r="AGY29" s="3"/>
      <c r="AGZ29" s="3"/>
      <c r="AHA29" s="3"/>
      <c r="AHB29" s="3"/>
      <c r="AHC29" s="3"/>
      <c r="AHD29" s="3"/>
      <c r="AHE29" s="3"/>
      <c r="AHF29" s="3"/>
      <c r="AHG29" s="3"/>
      <c r="AHH29" s="3"/>
      <c r="AHI29" s="3"/>
      <c r="AHJ29" s="3"/>
      <c r="AHK29" s="3"/>
      <c r="AHL29" s="3"/>
      <c r="AHM29" s="3"/>
      <c r="AHN29" s="3"/>
      <c r="AHO29" s="3"/>
      <c r="AHP29" s="3"/>
      <c r="AHQ29" s="3"/>
      <c r="AHR29" s="3"/>
      <c r="AHS29" s="3"/>
      <c r="AHT29" s="3"/>
      <c r="AHU29" s="3"/>
      <c r="AHV29" s="3"/>
      <c r="AHW29" s="3"/>
      <c r="AHX29" s="3"/>
      <c r="AHY29" s="3"/>
      <c r="AHZ29" s="3"/>
      <c r="AIA29" s="3"/>
      <c r="AIB29" s="3"/>
      <c r="AIC29" s="3"/>
      <c r="AID29" s="3"/>
      <c r="AIE29" s="3"/>
      <c r="AIF29" s="3"/>
      <c r="AIG29" s="3"/>
      <c r="AIH29" s="3"/>
      <c r="AII29" s="3"/>
      <c r="AIJ29" s="3"/>
      <c r="AIK29" s="3"/>
      <c r="AIL29" s="3"/>
      <c r="AIM29" s="3"/>
      <c r="AIN29" s="3"/>
      <c r="AIO29" s="3"/>
      <c r="AIP29" s="3"/>
      <c r="AIQ29" s="3"/>
      <c r="AIR29" s="3"/>
      <c r="AIS29" s="3"/>
      <c r="AIT29" s="3"/>
      <c r="AIU29" s="3"/>
      <c r="AIV29" s="3"/>
      <c r="AIW29" s="3"/>
      <c r="AIX29" s="3"/>
      <c r="AIY29" s="3"/>
      <c r="AIZ29" s="3"/>
      <c r="AJA29" s="3"/>
      <c r="AJB29" s="3"/>
      <c r="AJC29" s="3"/>
      <c r="AJD29" s="3"/>
      <c r="AJE29" s="3"/>
      <c r="AJF29" s="3"/>
      <c r="AJG29" s="3"/>
      <c r="AJH29" s="3"/>
      <c r="AJI29" s="3"/>
      <c r="AJJ29" s="3"/>
      <c r="AJK29" s="3"/>
      <c r="AJL29" s="3"/>
      <c r="AJM29" s="3"/>
      <c r="AJN29" s="3"/>
      <c r="AJO29" s="3"/>
      <c r="AJP29" s="3"/>
      <c r="AJQ29" s="3"/>
      <c r="AJR29" s="3"/>
      <c r="AJS29" s="3"/>
      <c r="AJT29" s="3"/>
      <c r="AJU29" s="3"/>
      <c r="AJV29" s="3"/>
      <c r="AJW29" s="3"/>
      <c r="AJX29" s="3"/>
      <c r="AJY29" s="3"/>
      <c r="AJZ29" s="3"/>
      <c r="AKA29" s="3"/>
      <c r="AKB29" s="3"/>
      <c r="AKC29" s="3"/>
      <c r="AKD29" s="3"/>
      <c r="AKE29" s="3"/>
      <c r="AKF29" s="3"/>
      <c r="AKG29" s="3"/>
      <c r="AKH29" s="3"/>
      <c r="AKI29" s="3"/>
      <c r="AKJ29" s="3"/>
      <c r="AKK29" s="3"/>
      <c r="AKL29" s="3"/>
      <c r="AKM29" s="3"/>
      <c r="AKN29" s="3"/>
      <c r="AKO29" s="3"/>
      <c r="AKP29" s="3"/>
      <c r="AKQ29" s="3"/>
      <c r="AKR29" s="3"/>
      <c r="AKS29" s="3"/>
      <c r="AKT29" s="3"/>
      <c r="AKU29" s="3"/>
      <c r="AKV29" s="3"/>
      <c r="AKW29" s="3"/>
      <c r="AKX29" s="3"/>
      <c r="AKY29" s="3"/>
      <c r="AKZ29" s="3"/>
      <c r="ALA29" s="3"/>
      <c r="ALB29" s="3"/>
      <c r="ALC29" s="3"/>
      <c r="ALD29" s="3"/>
      <c r="ALE29" s="3"/>
      <c r="ALF29" s="3"/>
      <c r="ALG29" s="3"/>
      <c r="ALH29" s="3"/>
      <c r="ALI29" s="3"/>
      <c r="ALJ29" s="3"/>
      <c r="ALK29" s="3"/>
      <c r="ALL29" s="3"/>
      <c r="ALM29" s="3"/>
      <c r="ALN29" s="3"/>
      <c r="ALO29" s="3"/>
      <c r="ALP29" s="3"/>
      <c r="ALQ29" s="3"/>
      <c r="ALR29" s="3"/>
      <c r="ALS29" s="3"/>
      <c r="ALT29" s="3"/>
      <c r="ALU29" s="3"/>
      <c r="ALV29" s="3"/>
      <c r="ALW29" s="3"/>
      <c r="ALX29" s="3"/>
      <c r="ALY29" s="3"/>
      <c r="ALZ29" s="3"/>
      <c r="AMA29" s="3"/>
      <c r="AMB29" s="3"/>
      <c r="AMC29" s="3"/>
      <c r="AMD29" s="3"/>
      <c r="AME29" s="3"/>
      <c r="AMF29" s="3"/>
      <c r="AMG29" s="3"/>
      <c r="AMH29" s="3"/>
      <c r="AMI29" s="3"/>
      <c r="AMJ29" s="3"/>
      <c r="AMK29" s="3"/>
      <c r="AML29" s="3"/>
      <c r="AMM29" s="3"/>
      <c r="AMN29" s="3"/>
      <c r="AMO29" s="3"/>
      <c r="AMP29" s="3"/>
      <c r="AMQ29" s="3"/>
      <c r="AMR29" s="3"/>
      <c r="AMS29" s="3"/>
      <c r="AMT29" s="3"/>
      <c r="AMU29" s="3"/>
      <c r="AMV29" s="3"/>
      <c r="AMW29" s="3"/>
      <c r="AMX29" s="3"/>
      <c r="AMY29" s="3"/>
      <c r="AMZ29" s="3"/>
      <c r="ANA29" s="3"/>
      <c r="ANB29" s="3"/>
      <c r="ANC29" s="3"/>
      <c r="AND29" s="3"/>
      <c r="ANE29" s="3"/>
      <c r="ANF29" s="3"/>
      <c r="ANG29" s="3"/>
      <c r="ANH29" s="3"/>
      <c r="ANI29" s="3"/>
      <c r="ANJ29" s="3"/>
      <c r="ANK29" s="3"/>
      <c r="ANL29" s="3"/>
      <c r="ANM29" s="3"/>
      <c r="ANN29" s="3"/>
      <c r="ANO29" s="3"/>
      <c r="ANP29" s="3"/>
      <c r="ANQ29" s="3"/>
      <c r="ANR29" s="3"/>
      <c r="ANS29" s="3"/>
      <c r="ANT29" s="3"/>
      <c r="ANU29" s="3"/>
      <c r="ANV29" s="3"/>
      <c r="ANW29" s="3"/>
      <c r="ANX29" s="3"/>
      <c r="ANY29" s="3"/>
      <c r="ANZ29" s="3"/>
      <c r="AOA29" s="3"/>
      <c r="AOB29" s="3"/>
      <c r="AOC29" s="3"/>
      <c r="AOD29" s="3"/>
      <c r="AOE29" s="3"/>
      <c r="AOF29" s="3"/>
      <c r="AOG29" s="3"/>
      <c r="AOH29" s="3"/>
      <c r="AOI29" s="3"/>
      <c r="AOJ29" s="3"/>
      <c r="AOK29" s="3"/>
      <c r="AOL29" s="3"/>
      <c r="AOM29" s="3"/>
      <c r="AON29" s="3"/>
      <c r="AOO29" s="3"/>
      <c r="AOP29" s="3"/>
      <c r="AOQ29" s="3"/>
      <c r="AOR29" s="3"/>
      <c r="AOS29" s="3"/>
      <c r="AOT29" s="3"/>
      <c r="AOU29" s="3"/>
      <c r="AOV29" s="3"/>
      <c r="AOW29" s="3"/>
      <c r="AOX29" s="3"/>
      <c r="AOY29" s="3"/>
      <c r="AOZ29" s="3"/>
      <c r="APA29" s="3"/>
      <c r="APB29" s="3"/>
      <c r="APC29" s="3"/>
      <c r="APD29" s="3"/>
      <c r="APE29" s="3"/>
      <c r="APF29" s="3"/>
      <c r="APG29" s="3"/>
      <c r="APH29" s="3"/>
      <c r="API29" s="3"/>
      <c r="APJ29" s="3"/>
      <c r="APK29" s="3"/>
      <c r="APL29" s="3"/>
      <c r="APM29" s="3"/>
      <c r="APN29" s="3"/>
      <c r="APO29" s="3"/>
      <c r="APP29" s="3"/>
      <c r="APQ29" s="3"/>
      <c r="APR29" s="3"/>
      <c r="APS29" s="3"/>
      <c r="APT29" s="3"/>
      <c r="APU29" s="3"/>
      <c r="APV29" s="3"/>
      <c r="APW29" s="3"/>
      <c r="APX29" s="3"/>
      <c r="APY29" s="3"/>
      <c r="APZ29" s="3"/>
      <c r="AQA29" s="3"/>
      <c r="AQB29" s="3"/>
      <c r="AQC29" s="3"/>
      <c r="AQD29" s="3"/>
      <c r="AQE29" s="3"/>
      <c r="AQF29" s="3"/>
      <c r="AQG29" s="3"/>
      <c r="AQH29" s="3"/>
      <c r="AQI29" s="3"/>
      <c r="AQJ29" s="3"/>
      <c r="AQK29" s="3"/>
      <c r="AQL29" s="3"/>
      <c r="AQM29" s="3"/>
      <c r="AQN29" s="3"/>
      <c r="AQO29" s="3"/>
      <c r="AQP29" s="3"/>
      <c r="AQQ29" s="3"/>
      <c r="AQR29" s="3"/>
      <c r="AQS29" s="3"/>
      <c r="AQT29" s="3"/>
      <c r="AQU29" s="3"/>
      <c r="AQV29" s="3"/>
      <c r="AQW29" s="3"/>
      <c r="AQX29" s="3"/>
      <c r="AQY29" s="3"/>
      <c r="AQZ29" s="3"/>
      <c r="ARA29" s="3"/>
      <c r="ARB29" s="3"/>
      <c r="ARC29" s="3"/>
      <c r="ARD29" s="3"/>
      <c r="ARE29" s="3"/>
      <c r="ARF29" s="3"/>
      <c r="ARG29" s="3"/>
      <c r="ARH29" s="3"/>
      <c r="ARI29" s="3"/>
      <c r="ARJ29" s="3"/>
      <c r="ARK29" s="3"/>
      <c r="ARL29" s="3"/>
      <c r="ARM29" s="3"/>
      <c r="ARN29" s="3"/>
      <c r="ARO29" s="3"/>
      <c r="ARP29" s="3"/>
      <c r="ARQ29" s="3"/>
      <c r="ARR29" s="3"/>
      <c r="ARS29" s="3"/>
      <c r="ART29" s="3"/>
      <c r="ARU29" s="3"/>
      <c r="ARV29" s="3"/>
      <c r="ARW29" s="3"/>
      <c r="ARX29" s="3"/>
      <c r="ARY29" s="3"/>
      <c r="ARZ29" s="3"/>
      <c r="ASA29" s="3"/>
      <c r="ASB29" s="3"/>
      <c r="ASC29" s="3"/>
      <c r="ASD29" s="3"/>
      <c r="ASE29" s="3"/>
      <c r="ASF29" s="3"/>
      <c r="ASG29" s="3"/>
      <c r="ASH29" s="3"/>
      <c r="ASI29" s="3"/>
      <c r="ASJ29" s="3"/>
      <c r="ASK29" s="3"/>
      <c r="ASL29" s="3"/>
      <c r="ASM29" s="3"/>
      <c r="ASN29" s="3"/>
      <c r="ASO29" s="3"/>
      <c r="ASP29" s="3"/>
      <c r="ASQ29" s="3"/>
      <c r="ASR29" s="3"/>
      <c r="ASS29" s="3"/>
      <c r="AST29" s="3"/>
      <c r="ASU29" s="3"/>
      <c r="ASV29" s="3"/>
      <c r="ASW29" s="3"/>
      <c r="ASX29" s="3"/>
      <c r="ASY29" s="3"/>
      <c r="ASZ29" s="3"/>
      <c r="ATA29" s="3"/>
      <c r="ATB29" s="3"/>
      <c r="ATC29" s="3"/>
      <c r="ATD29" s="3"/>
      <c r="ATE29" s="3"/>
      <c r="ATF29" s="3"/>
      <c r="ATG29" s="3"/>
      <c r="ATH29" s="3"/>
      <c r="ATI29" s="3"/>
      <c r="ATJ29" s="3"/>
      <c r="ATK29" s="3"/>
      <c r="ATL29" s="3"/>
      <c r="ATM29" s="3"/>
      <c r="ATN29" s="3"/>
      <c r="ATO29" s="3"/>
      <c r="ATP29" s="3"/>
      <c r="ATQ29" s="3"/>
      <c r="ATR29" s="3"/>
      <c r="ATS29" s="3"/>
      <c r="ATT29" s="3"/>
      <c r="ATU29" s="3"/>
      <c r="ATV29" s="3"/>
      <c r="ATW29" s="3"/>
      <c r="ATX29" s="3"/>
      <c r="ATY29" s="3"/>
      <c r="ATZ29" s="3"/>
      <c r="AUA29" s="3"/>
      <c r="AUB29" s="3"/>
      <c r="AUC29" s="3"/>
      <c r="AUD29" s="3"/>
      <c r="AUE29" s="3"/>
      <c r="AUF29" s="3"/>
      <c r="AUG29" s="3"/>
      <c r="AUH29" s="3"/>
      <c r="AUI29" s="3"/>
      <c r="AUJ29" s="3"/>
      <c r="AUK29" s="3"/>
      <c r="AUL29" s="3"/>
      <c r="AUM29" s="3"/>
      <c r="AUN29" s="3"/>
      <c r="AUO29" s="3"/>
      <c r="AUP29" s="3"/>
      <c r="AUQ29" s="3"/>
      <c r="AUR29" s="3"/>
      <c r="AUS29" s="3"/>
      <c r="AUT29" s="3"/>
      <c r="AUU29" s="3"/>
      <c r="AUV29" s="3"/>
      <c r="AUW29" s="3"/>
      <c r="AUX29" s="3"/>
      <c r="AUY29" s="3"/>
      <c r="AUZ29" s="3"/>
      <c r="AVA29" s="3"/>
      <c r="AVB29" s="3"/>
      <c r="AVC29" s="3"/>
      <c r="AVD29" s="3"/>
      <c r="AVE29" s="3"/>
      <c r="AVF29" s="3"/>
      <c r="AVG29" s="3"/>
      <c r="AVH29" s="3"/>
      <c r="AVI29" s="3"/>
      <c r="AVJ29" s="3"/>
      <c r="AVK29" s="3"/>
      <c r="AVL29" s="3"/>
      <c r="AVM29" s="3"/>
      <c r="AVN29" s="3"/>
      <c r="AVO29" s="3"/>
      <c r="AVP29" s="3"/>
      <c r="AVQ29" s="3"/>
      <c r="AVR29" s="3"/>
      <c r="AVS29" s="3"/>
      <c r="AVT29" s="3"/>
      <c r="AVU29" s="3"/>
      <c r="AVV29" s="3"/>
      <c r="AVW29" s="3"/>
      <c r="AVX29" s="3"/>
      <c r="AVY29" s="3"/>
      <c r="AVZ29" s="3"/>
      <c r="AWA29" s="3"/>
      <c r="AWB29" s="3"/>
      <c r="AWC29" s="3"/>
      <c r="AWD29" s="3"/>
      <c r="AWE29" s="3"/>
      <c r="AWF29" s="3"/>
      <c r="AWG29" s="3"/>
      <c r="AWH29" s="3"/>
      <c r="AWI29" s="3"/>
      <c r="AWJ29" s="3"/>
      <c r="AWK29" s="3"/>
      <c r="AWL29" s="3"/>
      <c r="AWM29" s="3"/>
      <c r="AWN29" s="3"/>
      <c r="AWO29" s="3"/>
      <c r="AWP29" s="3"/>
      <c r="AWQ29" s="3"/>
      <c r="AWR29" s="3"/>
      <c r="AWS29" s="3"/>
      <c r="AWT29" s="3"/>
      <c r="AWU29" s="3"/>
      <c r="AWV29" s="3"/>
      <c r="AWW29" s="3"/>
      <c r="AWX29" s="3"/>
      <c r="AWY29" s="3"/>
      <c r="AWZ29" s="3"/>
      <c r="AXA29" s="3"/>
      <c r="AXB29" s="3"/>
      <c r="AXC29" s="3"/>
      <c r="AXD29" s="3"/>
      <c r="AXE29" s="3"/>
      <c r="AXF29" s="3"/>
      <c r="AXG29" s="3"/>
      <c r="AXH29" s="3"/>
      <c r="AXI29" s="3"/>
      <c r="AXJ29" s="3"/>
      <c r="AXK29" s="3"/>
      <c r="AXL29" s="3"/>
      <c r="AXM29" s="3"/>
      <c r="AXN29" s="3"/>
      <c r="AXO29" s="3"/>
      <c r="AXP29" s="3"/>
      <c r="AXQ29" s="3"/>
      <c r="AXR29" s="3"/>
      <c r="AXS29" s="3"/>
      <c r="AXT29" s="3"/>
      <c r="AXU29" s="3"/>
      <c r="AXV29" s="3"/>
      <c r="AXW29" s="3"/>
      <c r="AXX29" s="3"/>
      <c r="AXY29" s="3"/>
      <c r="AXZ29" s="3"/>
      <c r="AYA29" s="3"/>
      <c r="AYB29" s="3"/>
      <c r="AYC29" s="3"/>
      <c r="AYD29" s="3"/>
      <c r="AYE29" s="3"/>
      <c r="AYF29" s="3"/>
      <c r="AYG29" s="3"/>
      <c r="AYH29" s="3"/>
      <c r="AYI29" s="3"/>
      <c r="AYJ29" s="3"/>
      <c r="AYK29" s="3"/>
      <c r="AYL29" s="3"/>
      <c r="AYM29" s="3"/>
      <c r="AYN29" s="3"/>
      <c r="AYO29" s="3"/>
      <c r="AYP29" s="3"/>
      <c r="AYQ29" s="3"/>
      <c r="AYR29" s="3"/>
      <c r="AYS29" s="3"/>
      <c r="AYT29" s="3"/>
      <c r="AYU29" s="3"/>
      <c r="AYV29" s="3"/>
      <c r="AYW29" s="3"/>
      <c r="AYX29" s="3"/>
      <c r="AYY29" s="3"/>
      <c r="AYZ29" s="3"/>
      <c r="AZA29" s="3"/>
      <c r="AZB29" s="3"/>
      <c r="AZC29" s="3"/>
      <c r="AZD29" s="3"/>
      <c r="AZE29" s="3"/>
      <c r="AZF29" s="3"/>
      <c r="AZG29" s="3"/>
      <c r="AZH29" s="3"/>
      <c r="AZI29" s="3"/>
      <c r="AZJ29" s="3"/>
      <c r="AZK29" s="3"/>
      <c r="AZL29" s="3"/>
      <c r="AZM29" s="3"/>
      <c r="AZN29" s="3"/>
      <c r="AZO29" s="3"/>
      <c r="AZP29" s="3"/>
      <c r="AZQ29" s="3"/>
      <c r="AZR29" s="3"/>
      <c r="AZS29" s="3"/>
      <c r="AZT29" s="3"/>
      <c r="AZU29" s="3"/>
      <c r="AZV29" s="3"/>
      <c r="AZW29" s="3"/>
      <c r="AZX29" s="3"/>
      <c r="AZY29" s="3"/>
      <c r="AZZ29" s="3"/>
      <c r="BAA29" s="3"/>
      <c r="BAB29" s="3"/>
      <c r="BAC29" s="3"/>
      <c r="BAD29" s="3"/>
      <c r="BAE29" s="3"/>
      <c r="BAF29" s="3"/>
      <c r="BAG29" s="3"/>
      <c r="BAH29" s="3"/>
      <c r="BAI29" s="3"/>
      <c r="BAJ29" s="3"/>
      <c r="BAK29" s="3"/>
      <c r="BAL29" s="3"/>
      <c r="BAM29" s="3"/>
      <c r="BAN29" s="3"/>
      <c r="BAO29" s="3"/>
      <c r="BAP29" s="3"/>
      <c r="BAQ29" s="3"/>
      <c r="BAR29" s="3"/>
      <c r="BAS29" s="3"/>
      <c r="BAT29" s="3"/>
      <c r="BAU29" s="3"/>
      <c r="BAV29" s="3"/>
      <c r="BAW29" s="3"/>
      <c r="BAX29" s="3"/>
      <c r="BAY29" s="3"/>
      <c r="BAZ29" s="3"/>
      <c r="BBA29" s="3"/>
      <c r="BBB29" s="3"/>
      <c r="BBC29" s="3"/>
      <c r="BBD29" s="3"/>
      <c r="BBE29" s="3"/>
      <c r="BBF29" s="3"/>
      <c r="BBG29" s="3"/>
      <c r="BBH29" s="3"/>
      <c r="BBI29" s="3"/>
      <c r="BBJ29" s="3"/>
      <c r="BBK29" s="3"/>
      <c r="BBL29" s="3"/>
      <c r="BBM29" s="3"/>
      <c r="BBN29" s="3"/>
      <c r="BBO29" s="3"/>
      <c r="BBP29" s="3"/>
      <c r="BBQ29" s="3"/>
      <c r="BBR29" s="3"/>
      <c r="BBS29" s="3"/>
      <c r="BBT29" s="3"/>
      <c r="BBU29" s="3"/>
      <c r="BBV29" s="3"/>
      <c r="BBW29" s="3"/>
      <c r="BBX29" s="3"/>
      <c r="BBY29" s="3"/>
      <c r="BBZ29" s="3"/>
      <c r="BCA29" s="3"/>
      <c r="BCB29" s="3"/>
      <c r="BCC29" s="3"/>
      <c r="BCD29" s="3"/>
      <c r="BCE29" s="3"/>
      <c r="BCF29" s="3"/>
      <c r="BCG29" s="3"/>
      <c r="BCH29" s="3"/>
      <c r="BCI29" s="3"/>
      <c r="BCJ29" s="3"/>
      <c r="BCK29" s="3"/>
      <c r="BCL29" s="3"/>
      <c r="BCM29" s="3"/>
      <c r="BCN29" s="3"/>
      <c r="BCO29" s="3"/>
      <c r="BCP29" s="3"/>
      <c r="BCQ29" s="3"/>
      <c r="BCR29" s="3"/>
      <c r="BCS29" s="3"/>
      <c r="BCT29" s="3"/>
      <c r="BCU29" s="3"/>
      <c r="BCV29" s="3"/>
      <c r="BCW29" s="3"/>
      <c r="BCX29" s="3"/>
      <c r="BCY29" s="3"/>
      <c r="BCZ29" s="3"/>
      <c r="BDA29" s="3"/>
      <c r="BDB29" s="3"/>
      <c r="BDC29" s="3"/>
      <c r="BDD29" s="3"/>
      <c r="BDE29" s="3"/>
      <c r="BDF29" s="3"/>
      <c r="BDG29" s="3"/>
      <c r="BDH29" s="3"/>
      <c r="BDI29" s="3"/>
      <c r="BDJ29" s="3"/>
      <c r="BDK29" s="3"/>
      <c r="BDL29" s="3"/>
      <c r="BDM29" s="3"/>
      <c r="BDN29" s="3"/>
      <c r="BDO29" s="3"/>
      <c r="BDP29" s="3"/>
      <c r="BDQ29" s="3"/>
      <c r="BDR29" s="3"/>
      <c r="BDS29" s="3"/>
      <c r="BDT29" s="3"/>
      <c r="BDU29" s="3"/>
      <c r="BDV29" s="3"/>
      <c r="BDW29" s="3"/>
      <c r="BDX29" s="3"/>
      <c r="BDY29" s="3"/>
      <c r="BDZ29" s="3"/>
      <c r="BEA29" s="3"/>
      <c r="BEB29" s="3"/>
      <c r="BEC29" s="3"/>
      <c r="BED29" s="3"/>
      <c r="BEE29" s="3"/>
      <c r="BEF29" s="3"/>
      <c r="BEG29" s="3"/>
      <c r="BEH29" s="3"/>
      <c r="BEI29" s="3"/>
      <c r="BEJ29" s="3"/>
      <c r="BEK29" s="3"/>
      <c r="BEL29" s="3"/>
      <c r="BEM29" s="3"/>
      <c r="BEN29" s="3"/>
      <c r="BEO29" s="3"/>
      <c r="BEP29" s="3"/>
      <c r="BEQ29" s="3"/>
      <c r="BER29" s="3"/>
      <c r="BES29" s="3"/>
      <c r="BET29" s="3"/>
      <c r="BEU29" s="3"/>
      <c r="BEV29" s="3"/>
      <c r="BEW29" s="3"/>
      <c r="BEX29" s="3"/>
      <c r="BEY29" s="3"/>
      <c r="BEZ29" s="3"/>
      <c r="BFA29" s="3"/>
      <c r="BFB29" s="3"/>
      <c r="BFC29" s="3"/>
      <c r="BFD29" s="3"/>
      <c r="BFE29" s="3"/>
      <c r="BFF29" s="3"/>
      <c r="BFG29" s="3"/>
      <c r="BFH29" s="3"/>
      <c r="BFI29" s="3"/>
      <c r="BFJ29" s="3"/>
      <c r="BFK29" s="3"/>
      <c r="BFL29" s="3"/>
      <c r="BFM29" s="3"/>
      <c r="BFN29" s="3"/>
      <c r="BFO29" s="3"/>
      <c r="BFP29" s="3"/>
      <c r="BFQ29" s="3"/>
      <c r="BFR29" s="3"/>
      <c r="BFS29" s="3"/>
      <c r="BFT29" s="3"/>
      <c r="BFU29" s="3"/>
      <c r="BFV29" s="3"/>
      <c r="BFW29" s="3"/>
      <c r="BFX29" s="3"/>
      <c r="BFY29" s="3"/>
      <c r="BFZ29" s="3"/>
      <c r="BGA29" s="3"/>
      <c r="BGB29" s="3"/>
      <c r="BGC29" s="3"/>
      <c r="BGD29" s="3"/>
      <c r="BGE29" s="3"/>
      <c r="BGF29" s="3"/>
      <c r="BGG29" s="3"/>
      <c r="BGH29" s="3"/>
      <c r="BGI29" s="3"/>
      <c r="BGJ29" s="3"/>
      <c r="BGK29" s="3"/>
      <c r="BGL29" s="3"/>
      <c r="BGM29" s="3"/>
      <c r="BGN29" s="3"/>
      <c r="BGO29" s="3"/>
      <c r="BGP29" s="3"/>
      <c r="BGQ29" s="3"/>
      <c r="BGR29" s="3"/>
      <c r="BGS29" s="3"/>
      <c r="BGT29" s="3"/>
      <c r="BGU29" s="3"/>
      <c r="BGV29" s="3"/>
      <c r="BGW29" s="3"/>
      <c r="BGX29" s="3"/>
      <c r="BGY29" s="3"/>
      <c r="BGZ29" s="3"/>
      <c r="BHA29" s="3"/>
      <c r="BHB29" s="3"/>
      <c r="BHC29" s="3"/>
      <c r="BHD29" s="3"/>
      <c r="BHE29" s="3"/>
      <c r="BHF29" s="3"/>
      <c r="BHG29" s="3"/>
      <c r="BHH29" s="3"/>
      <c r="BHI29" s="3"/>
      <c r="BHJ29" s="3"/>
      <c r="BHK29" s="3"/>
      <c r="BHL29" s="3"/>
      <c r="BHM29" s="3"/>
      <c r="BHN29" s="3"/>
      <c r="BHO29" s="3"/>
      <c r="BHP29" s="3"/>
      <c r="BHQ29" s="3"/>
      <c r="BHR29" s="3"/>
      <c r="BHS29" s="3"/>
      <c r="BHT29" s="3"/>
      <c r="BHU29" s="3"/>
      <c r="BHV29" s="3"/>
      <c r="BHW29" s="3"/>
      <c r="BHX29" s="3"/>
      <c r="BHY29" s="3"/>
      <c r="BHZ29" s="3"/>
      <c r="BIA29" s="3"/>
      <c r="BIB29" s="3"/>
      <c r="BIC29" s="3"/>
      <c r="BID29" s="3"/>
      <c r="BIE29" s="3"/>
      <c r="BIF29" s="3"/>
      <c r="BIG29" s="3"/>
      <c r="BIH29" s="3"/>
      <c r="BII29" s="3"/>
      <c r="BIJ29" s="3"/>
      <c r="BIK29" s="3"/>
      <c r="BIL29" s="3"/>
      <c r="BIM29" s="3"/>
      <c r="BIN29" s="3"/>
      <c r="BIO29" s="3"/>
      <c r="BIP29" s="3"/>
      <c r="BIQ29" s="3"/>
      <c r="BIR29" s="3"/>
      <c r="BIS29" s="3"/>
      <c r="BIT29" s="3"/>
      <c r="BIU29" s="3"/>
      <c r="BIV29" s="3"/>
      <c r="BIW29" s="3"/>
      <c r="BIX29" s="3"/>
      <c r="BIY29" s="3"/>
      <c r="BIZ29" s="3"/>
      <c r="BJA29" s="3"/>
      <c r="BJB29" s="3"/>
      <c r="BJC29" s="3"/>
      <c r="BJD29" s="3"/>
      <c r="BJE29" s="3"/>
      <c r="BJF29" s="3"/>
      <c r="BJG29" s="3"/>
      <c r="BJH29" s="3"/>
      <c r="BJI29" s="3"/>
      <c r="BJJ29" s="3"/>
      <c r="BJK29" s="3"/>
      <c r="BJL29" s="3"/>
      <c r="BJM29" s="3"/>
      <c r="BJN29" s="3"/>
      <c r="BJO29" s="3"/>
      <c r="BJP29" s="3"/>
      <c r="BJQ29" s="3"/>
      <c r="BJR29" s="3"/>
      <c r="BJS29" s="3"/>
      <c r="BJT29" s="3"/>
      <c r="BJU29" s="3"/>
      <c r="BJV29" s="3"/>
      <c r="BJW29" s="3"/>
      <c r="BJX29" s="3"/>
      <c r="BJY29" s="3"/>
      <c r="BJZ29" s="3"/>
      <c r="BKA29" s="3"/>
      <c r="BKB29" s="3"/>
      <c r="BKC29" s="3"/>
      <c r="BKD29" s="3"/>
      <c r="BKE29" s="3"/>
      <c r="BKF29" s="3"/>
      <c r="BKG29" s="3"/>
      <c r="BKH29" s="3"/>
      <c r="BKI29" s="3"/>
      <c r="BKJ29" s="3"/>
      <c r="BKK29" s="3"/>
      <c r="BKL29" s="3"/>
      <c r="BKM29" s="3"/>
      <c r="BKN29" s="3"/>
      <c r="BKO29" s="3"/>
      <c r="BKP29" s="3"/>
      <c r="BKQ29" s="3"/>
      <c r="BKR29" s="3"/>
      <c r="BKS29" s="3"/>
      <c r="BKT29" s="3"/>
      <c r="BKU29" s="3"/>
      <c r="BKV29" s="3"/>
      <c r="BKW29" s="3"/>
      <c r="BKX29" s="3"/>
      <c r="BKY29" s="3"/>
      <c r="BKZ29" s="3"/>
      <c r="BLA29" s="3"/>
      <c r="BLB29" s="3"/>
      <c r="BLC29" s="3"/>
      <c r="BLD29" s="3"/>
      <c r="BLE29" s="3"/>
      <c r="BLF29" s="3"/>
      <c r="BLG29" s="3"/>
      <c r="BLH29" s="3"/>
      <c r="BLI29" s="3"/>
      <c r="BLJ29" s="3"/>
      <c r="BLK29" s="3"/>
      <c r="BLL29" s="3"/>
      <c r="BLM29" s="3"/>
      <c r="BLN29" s="3"/>
      <c r="BLO29" s="3"/>
      <c r="BLP29" s="3"/>
      <c r="BLQ29" s="3"/>
      <c r="BLR29" s="3"/>
      <c r="BLS29" s="3"/>
      <c r="BLT29" s="3"/>
      <c r="BLU29" s="3"/>
      <c r="BLV29" s="3"/>
      <c r="BLW29" s="3"/>
      <c r="BLX29" s="3"/>
      <c r="BLY29" s="3"/>
      <c r="BLZ29" s="3"/>
      <c r="BMA29" s="3"/>
      <c r="BMB29" s="3"/>
      <c r="BMC29" s="3"/>
      <c r="BMD29" s="3"/>
      <c r="BME29" s="3"/>
      <c r="BMF29" s="3"/>
      <c r="BMG29" s="3"/>
      <c r="BMH29" s="3"/>
      <c r="BMI29" s="3"/>
      <c r="BMJ29" s="3"/>
      <c r="BMK29" s="3"/>
      <c r="BML29" s="3"/>
      <c r="BMM29" s="3"/>
      <c r="BMN29" s="3"/>
      <c r="BMO29" s="3"/>
      <c r="BMP29" s="3"/>
      <c r="BMQ29" s="3"/>
      <c r="BMR29" s="3"/>
      <c r="BMS29" s="3"/>
      <c r="BMT29" s="3"/>
      <c r="BMU29" s="3"/>
      <c r="BMV29" s="3"/>
      <c r="BMW29" s="3"/>
      <c r="BMX29" s="3"/>
      <c r="BMY29" s="3"/>
      <c r="BMZ29" s="3"/>
      <c r="BNA29" s="3"/>
      <c r="BNB29" s="3"/>
      <c r="BNC29" s="3"/>
      <c r="BND29" s="3"/>
      <c r="BNE29" s="3"/>
      <c r="BNF29" s="3"/>
      <c r="BNG29" s="3"/>
      <c r="BNH29" s="3"/>
      <c r="BNI29" s="3"/>
      <c r="BNJ29" s="3"/>
      <c r="BNK29" s="3"/>
      <c r="BNL29" s="3"/>
      <c r="BNM29" s="3"/>
      <c r="BNN29" s="3"/>
      <c r="BNO29" s="3"/>
      <c r="BNP29" s="3"/>
      <c r="BNQ29" s="3"/>
      <c r="BNR29" s="3"/>
      <c r="BNS29" s="3"/>
      <c r="BNT29" s="3"/>
      <c r="BNU29" s="3"/>
      <c r="BNV29" s="3"/>
      <c r="BNW29" s="3"/>
      <c r="BNX29" s="3"/>
      <c r="BNY29" s="3"/>
      <c r="BNZ29" s="3"/>
      <c r="BOA29" s="3"/>
      <c r="BOB29" s="3"/>
      <c r="BOC29" s="3"/>
      <c r="BOD29" s="3"/>
      <c r="BOE29" s="3"/>
      <c r="BOF29" s="3"/>
      <c r="BOG29" s="3"/>
      <c r="BOH29" s="3"/>
      <c r="BOI29" s="3"/>
      <c r="BOJ29" s="3"/>
      <c r="BOK29" s="3"/>
      <c r="BOL29" s="3"/>
      <c r="BOM29" s="3"/>
      <c r="BON29" s="3"/>
      <c r="BOO29" s="3"/>
      <c r="BOP29" s="3"/>
      <c r="BOQ29" s="3"/>
      <c r="BOR29" s="3"/>
      <c r="BOS29" s="3"/>
      <c r="BOT29" s="3"/>
      <c r="BOU29" s="3"/>
      <c r="BOV29" s="3"/>
      <c r="BOW29" s="3"/>
      <c r="BOX29" s="3"/>
      <c r="BOY29" s="3"/>
      <c r="BOZ29" s="3"/>
      <c r="BPA29" s="3"/>
      <c r="BPB29" s="3"/>
      <c r="BPC29" s="3"/>
      <c r="BPD29" s="3"/>
      <c r="BPE29" s="3"/>
      <c r="BPF29" s="3"/>
      <c r="BPG29" s="3"/>
      <c r="BPH29" s="3"/>
      <c r="BPI29" s="3"/>
      <c r="BPJ29" s="3"/>
      <c r="BPK29" s="3"/>
      <c r="BPL29" s="3"/>
      <c r="BPM29" s="3"/>
      <c r="BPN29" s="3"/>
      <c r="BPO29" s="3"/>
      <c r="BPP29" s="3"/>
      <c r="BPQ29" s="3"/>
      <c r="BPR29" s="3"/>
      <c r="BPS29" s="3"/>
      <c r="BPT29" s="3"/>
      <c r="BPU29" s="3"/>
      <c r="BPV29" s="3"/>
      <c r="BPW29" s="3"/>
      <c r="BPX29" s="3"/>
      <c r="BPY29" s="3"/>
      <c r="BPZ29" s="3"/>
      <c r="BQA29" s="3"/>
      <c r="BQB29" s="3"/>
      <c r="BQC29" s="3"/>
      <c r="BQD29" s="3"/>
      <c r="BQE29" s="3"/>
      <c r="BQF29" s="3"/>
      <c r="BQG29" s="3"/>
      <c r="BQH29" s="3"/>
      <c r="BQI29" s="3"/>
      <c r="BQJ29" s="3"/>
      <c r="BQK29" s="3"/>
      <c r="BQL29" s="3"/>
      <c r="BQM29" s="3"/>
      <c r="BQN29" s="3"/>
      <c r="BQO29" s="3"/>
      <c r="BQP29" s="3"/>
      <c r="BQQ29" s="3"/>
      <c r="BQR29" s="3"/>
      <c r="BQS29" s="3"/>
      <c r="BQT29" s="3"/>
      <c r="BQU29" s="3"/>
      <c r="BQV29" s="3"/>
      <c r="BQW29" s="3"/>
      <c r="BQX29" s="3"/>
      <c r="BQY29" s="3"/>
      <c r="BQZ29" s="3"/>
      <c r="BRA29" s="3"/>
      <c r="BRB29" s="3"/>
      <c r="BRC29" s="3"/>
      <c r="BRD29" s="3"/>
      <c r="BRE29" s="3"/>
      <c r="BRF29" s="3"/>
      <c r="BRG29" s="3"/>
      <c r="BRH29" s="3"/>
      <c r="BRI29" s="3"/>
      <c r="BRJ29" s="3"/>
      <c r="BRK29" s="3"/>
      <c r="BRL29" s="3"/>
      <c r="BRM29" s="3"/>
      <c r="BRN29" s="3"/>
      <c r="BRO29" s="3"/>
      <c r="BRP29" s="3"/>
      <c r="BRQ29" s="3"/>
      <c r="BRR29" s="3"/>
      <c r="BRS29" s="3"/>
      <c r="BRT29" s="3"/>
      <c r="BRU29" s="3"/>
      <c r="BRV29" s="3"/>
      <c r="BRW29" s="3"/>
      <c r="BRX29" s="3"/>
      <c r="BRY29" s="3"/>
      <c r="BRZ29" s="3"/>
      <c r="BSA29" s="3"/>
      <c r="BSB29" s="3"/>
      <c r="BSC29" s="3"/>
      <c r="BSD29" s="3"/>
      <c r="BSE29" s="3"/>
      <c r="BSF29" s="3"/>
      <c r="BSG29" s="3"/>
      <c r="BSH29" s="3"/>
      <c r="BSI29" s="3"/>
      <c r="BSJ29" s="3"/>
      <c r="BSK29" s="3"/>
      <c r="BSL29" s="3"/>
      <c r="BSM29" s="3"/>
      <c r="BSN29" s="3"/>
      <c r="BSO29" s="3"/>
      <c r="BSP29" s="3"/>
      <c r="BSQ29" s="3"/>
      <c r="BSR29" s="3"/>
      <c r="BSS29" s="3"/>
      <c r="BST29" s="3"/>
      <c r="BSU29" s="3"/>
      <c r="BSV29" s="3"/>
      <c r="BSW29" s="3"/>
      <c r="BSX29" s="3"/>
      <c r="BSY29" s="3"/>
      <c r="BSZ29" s="3"/>
      <c r="BTA29" s="3"/>
      <c r="BTB29" s="3"/>
      <c r="BTC29" s="3"/>
      <c r="BTD29" s="3"/>
      <c r="BTE29" s="3"/>
      <c r="BTF29" s="3"/>
      <c r="BTG29" s="3"/>
      <c r="BTH29" s="3"/>
      <c r="BTI29" s="3"/>
      <c r="BTJ29" s="3"/>
      <c r="BTK29" s="3"/>
      <c r="BTL29" s="3"/>
      <c r="BTM29" s="3"/>
      <c r="BTN29" s="3"/>
      <c r="BTO29" s="3"/>
      <c r="BTP29" s="3"/>
      <c r="BTQ29" s="3"/>
      <c r="BTR29" s="3"/>
      <c r="BTS29" s="3"/>
      <c r="BTT29" s="3"/>
      <c r="BTU29" s="3"/>
      <c r="BTV29" s="3"/>
      <c r="BTW29" s="3"/>
      <c r="BTX29" s="3"/>
      <c r="BTY29" s="3"/>
      <c r="BTZ29" s="3"/>
      <c r="BUA29" s="3"/>
      <c r="BUB29" s="3"/>
      <c r="BUC29" s="3"/>
      <c r="BUD29" s="3"/>
      <c r="BUE29" s="3"/>
      <c r="BUF29" s="3"/>
      <c r="BUG29" s="3"/>
      <c r="BUH29" s="3"/>
      <c r="BUI29" s="3"/>
      <c r="BUJ29" s="3"/>
      <c r="BUK29" s="3"/>
      <c r="BUL29" s="3"/>
      <c r="BUM29" s="3"/>
      <c r="BUN29" s="3"/>
      <c r="BUO29" s="3"/>
      <c r="BUP29" s="3"/>
      <c r="BUQ29" s="3"/>
      <c r="BUR29" s="3"/>
      <c r="BUS29" s="3"/>
      <c r="BUT29" s="3"/>
      <c r="BUU29" s="3"/>
      <c r="BUV29" s="3"/>
      <c r="BUW29" s="3"/>
      <c r="BUX29" s="3"/>
      <c r="BUY29" s="3"/>
      <c r="BUZ29" s="3"/>
      <c r="BVA29" s="3"/>
      <c r="BVB29" s="3"/>
      <c r="BVC29" s="3"/>
      <c r="BVD29" s="3"/>
      <c r="BVE29" s="3"/>
      <c r="BVF29" s="3"/>
      <c r="BVG29" s="3"/>
      <c r="BVH29" s="3"/>
      <c r="BVI29" s="3"/>
      <c r="BVJ29" s="3"/>
      <c r="BVK29" s="3"/>
      <c r="BVL29" s="3"/>
      <c r="BVM29" s="3"/>
      <c r="BVN29" s="3"/>
      <c r="BVO29" s="3"/>
      <c r="BVP29" s="3"/>
      <c r="BVQ29" s="3"/>
      <c r="BVR29" s="3"/>
      <c r="BVS29" s="3"/>
      <c r="BVT29" s="3"/>
      <c r="BVU29" s="3"/>
      <c r="BVV29" s="3"/>
      <c r="BVW29" s="3"/>
      <c r="BVX29" s="3"/>
      <c r="BVY29" s="3"/>
      <c r="BVZ29" s="3"/>
      <c r="BWA29" s="3"/>
      <c r="BWB29" s="3"/>
      <c r="BWC29" s="3"/>
      <c r="BWD29" s="3"/>
      <c r="BWE29" s="3"/>
      <c r="BWF29" s="3"/>
      <c r="BWG29" s="3"/>
      <c r="BWH29" s="3"/>
      <c r="BWI29" s="3"/>
      <c r="BWJ29" s="3"/>
      <c r="BWK29" s="3"/>
      <c r="BWL29" s="3"/>
      <c r="BWM29" s="3"/>
      <c r="BWN29" s="3"/>
      <c r="BWO29" s="3"/>
      <c r="BWP29" s="3"/>
      <c r="BWQ29" s="3"/>
      <c r="BWR29" s="3"/>
      <c r="BWS29" s="3"/>
      <c r="BWT29" s="3"/>
      <c r="BWU29" s="3"/>
      <c r="BWV29" s="3"/>
      <c r="BWW29" s="3"/>
      <c r="BWX29" s="3"/>
      <c r="BWY29" s="3"/>
      <c r="BWZ29" s="3"/>
      <c r="BXA29" s="3"/>
      <c r="BXB29" s="3"/>
      <c r="BXC29" s="3"/>
      <c r="BXD29" s="3"/>
      <c r="BXE29" s="3"/>
      <c r="BXF29" s="3"/>
      <c r="BXG29" s="3"/>
      <c r="BXH29" s="3"/>
      <c r="BXI29" s="3"/>
      <c r="BXJ29" s="3"/>
      <c r="BXK29" s="3"/>
      <c r="BXL29" s="3"/>
      <c r="BXM29" s="3"/>
      <c r="BXN29" s="3"/>
      <c r="BXO29" s="3"/>
      <c r="BXP29" s="3"/>
      <c r="BXQ29" s="3"/>
      <c r="BXR29" s="3"/>
      <c r="BXS29" s="3"/>
      <c r="BXT29" s="3"/>
      <c r="BXU29" s="3"/>
      <c r="BXV29" s="3"/>
      <c r="BXW29" s="3"/>
      <c r="BXX29" s="3"/>
      <c r="BXY29" s="3"/>
      <c r="BXZ29" s="3"/>
      <c r="BYA29" s="3"/>
      <c r="BYB29" s="3"/>
      <c r="BYC29" s="3"/>
      <c r="BYD29" s="3"/>
      <c r="BYE29" s="3"/>
      <c r="BYF29" s="3"/>
      <c r="BYG29" s="3"/>
      <c r="BYH29" s="3"/>
      <c r="BYI29" s="3"/>
      <c r="BYJ29" s="3"/>
      <c r="BYK29" s="3"/>
      <c r="BYL29" s="3"/>
      <c r="BYM29" s="3"/>
      <c r="BYN29" s="3"/>
      <c r="BYO29" s="3"/>
      <c r="BYP29" s="3"/>
      <c r="BYQ29" s="3"/>
      <c r="BYR29" s="3"/>
      <c r="BYS29" s="3"/>
      <c r="BYT29" s="3"/>
      <c r="BYU29" s="3"/>
      <c r="BYV29" s="3"/>
      <c r="BYW29" s="3"/>
      <c r="BYX29" s="3"/>
      <c r="BYY29" s="3"/>
      <c r="BYZ29" s="3"/>
      <c r="BZA29" s="3"/>
      <c r="BZB29" s="3"/>
      <c r="BZC29" s="3"/>
      <c r="BZD29" s="3"/>
      <c r="BZE29" s="3"/>
      <c r="BZF29" s="3"/>
      <c r="BZG29" s="3"/>
      <c r="BZH29" s="3"/>
      <c r="BZI29" s="3"/>
      <c r="BZJ29" s="3"/>
      <c r="BZK29" s="3"/>
      <c r="BZL29" s="3"/>
      <c r="BZM29" s="3"/>
      <c r="BZN29" s="3"/>
      <c r="BZO29" s="3"/>
      <c r="BZP29" s="3"/>
      <c r="BZQ29" s="3"/>
      <c r="BZR29" s="3"/>
      <c r="BZS29" s="3"/>
      <c r="BZT29" s="3"/>
      <c r="BZU29" s="3"/>
      <c r="BZV29" s="3"/>
      <c r="BZW29" s="3"/>
      <c r="BZX29" s="3"/>
      <c r="BZY29" s="3"/>
      <c r="BZZ29" s="3"/>
      <c r="CAA29" s="3"/>
      <c r="CAB29" s="3"/>
      <c r="CAC29" s="3"/>
      <c r="CAD29" s="3"/>
      <c r="CAE29" s="3"/>
      <c r="CAF29" s="3"/>
      <c r="CAG29" s="3"/>
      <c r="CAH29" s="3"/>
      <c r="CAI29" s="3"/>
      <c r="CAJ29" s="3"/>
      <c r="CAK29" s="3"/>
      <c r="CAL29" s="3"/>
      <c r="CAM29" s="3"/>
      <c r="CAN29" s="3"/>
      <c r="CAO29" s="3"/>
      <c r="CAP29" s="3"/>
      <c r="CAQ29" s="3"/>
      <c r="CAR29" s="3"/>
      <c r="CAS29" s="3"/>
      <c r="CAT29" s="3"/>
      <c r="CAU29" s="3"/>
      <c r="CAV29" s="3"/>
      <c r="CAW29" s="3"/>
      <c r="CAX29" s="3"/>
      <c r="CAY29" s="3"/>
      <c r="CAZ29" s="3"/>
      <c r="CBA29" s="3"/>
      <c r="CBB29" s="3"/>
      <c r="CBC29" s="3"/>
      <c r="CBD29" s="3"/>
      <c r="CBE29" s="3"/>
      <c r="CBF29" s="3"/>
      <c r="CBG29" s="3"/>
      <c r="CBH29" s="3"/>
      <c r="CBI29" s="3"/>
      <c r="CBJ29" s="3"/>
      <c r="CBK29" s="3"/>
      <c r="CBL29" s="3"/>
      <c r="CBM29" s="3"/>
      <c r="CBN29" s="3"/>
      <c r="CBO29" s="3"/>
      <c r="CBP29" s="3"/>
      <c r="CBQ29" s="3"/>
      <c r="CBR29" s="3"/>
      <c r="CBS29" s="3"/>
      <c r="CBT29" s="3"/>
      <c r="CBU29" s="3"/>
      <c r="CBV29" s="3"/>
      <c r="CBW29" s="3"/>
      <c r="CBX29" s="3"/>
      <c r="CBY29" s="3"/>
      <c r="CBZ29" s="3"/>
      <c r="CCA29" s="3"/>
      <c r="CCB29" s="3"/>
      <c r="CCC29" s="3"/>
      <c r="CCD29" s="3"/>
      <c r="CCE29" s="3"/>
      <c r="CCF29" s="3"/>
      <c r="CCG29" s="3"/>
      <c r="CCH29" s="3"/>
      <c r="CCI29" s="3"/>
      <c r="CCJ29" s="3"/>
      <c r="CCK29" s="3"/>
      <c r="CCL29" s="3"/>
      <c r="CCM29" s="3"/>
      <c r="CCN29" s="3"/>
      <c r="CCO29" s="3"/>
      <c r="CCP29" s="3"/>
      <c r="CCQ29" s="3"/>
      <c r="CCR29" s="3"/>
      <c r="CCS29" s="3"/>
      <c r="CCT29" s="3"/>
      <c r="CCU29" s="3"/>
      <c r="CCV29" s="3"/>
      <c r="CCW29" s="3"/>
      <c r="CCX29" s="3"/>
      <c r="CCY29" s="3"/>
      <c r="CCZ29" s="3"/>
      <c r="CDA29" s="3"/>
      <c r="CDB29" s="3"/>
      <c r="CDC29" s="3"/>
      <c r="CDD29" s="3"/>
      <c r="CDE29" s="3"/>
      <c r="CDF29" s="3"/>
      <c r="CDG29" s="3"/>
      <c r="CDH29" s="3"/>
      <c r="CDI29" s="3"/>
      <c r="CDJ29" s="3"/>
      <c r="CDK29" s="3"/>
      <c r="CDL29" s="3"/>
      <c r="CDM29" s="3"/>
      <c r="CDN29" s="3"/>
      <c r="CDO29" s="3"/>
      <c r="CDP29" s="3"/>
      <c r="CDQ29" s="3"/>
      <c r="CDR29" s="3"/>
      <c r="CDS29" s="3"/>
      <c r="CDT29" s="3"/>
      <c r="CDU29" s="3"/>
      <c r="CDV29" s="3"/>
      <c r="CDW29" s="3"/>
      <c r="CDX29" s="3"/>
      <c r="CDY29" s="3"/>
      <c r="CDZ29" s="3"/>
      <c r="CEA29" s="3"/>
      <c r="CEB29" s="3"/>
      <c r="CEC29" s="3"/>
      <c r="CED29" s="3"/>
      <c r="CEE29" s="3"/>
      <c r="CEF29" s="3"/>
      <c r="CEG29" s="3"/>
      <c r="CEH29" s="3"/>
      <c r="CEI29" s="3"/>
      <c r="CEJ29" s="3"/>
      <c r="CEK29" s="3"/>
      <c r="CEL29" s="3"/>
      <c r="CEM29" s="3"/>
      <c r="CEN29" s="3"/>
      <c r="CEO29" s="3"/>
      <c r="CEP29" s="3"/>
      <c r="CEQ29" s="3"/>
      <c r="CER29" s="3"/>
      <c r="CES29" s="3"/>
      <c r="CET29" s="3"/>
      <c r="CEU29" s="3"/>
      <c r="CEV29" s="3"/>
      <c r="CEW29" s="3"/>
      <c r="CEX29" s="3"/>
      <c r="CEY29" s="3"/>
      <c r="CEZ29" s="3"/>
      <c r="CFA29" s="3"/>
      <c r="CFB29" s="3"/>
      <c r="CFC29" s="3"/>
      <c r="CFD29" s="3"/>
      <c r="CFE29" s="3"/>
      <c r="CFF29" s="3"/>
      <c r="CFG29" s="3"/>
      <c r="CFH29" s="3"/>
      <c r="CFI29" s="3"/>
      <c r="CFJ29" s="3"/>
      <c r="CFK29" s="3"/>
      <c r="CFL29" s="3"/>
      <c r="CFM29" s="3"/>
      <c r="CFN29" s="3"/>
      <c r="CFO29" s="3"/>
      <c r="CFP29" s="3"/>
      <c r="CFQ29" s="3"/>
      <c r="CFR29" s="3"/>
      <c r="CFS29" s="3"/>
      <c r="CFT29" s="3"/>
      <c r="CFU29" s="3"/>
      <c r="CFV29" s="3"/>
      <c r="CFW29" s="3"/>
      <c r="CFX29" s="3"/>
      <c r="CFY29" s="3"/>
      <c r="CFZ29" s="3"/>
      <c r="CGA29" s="3"/>
      <c r="CGB29" s="3"/>
      <c r="CGC29" s="3"/>
      <c r="CGD29" s="3"/>
      <c r="CGE29" s="3"/>
      <c r="CGF29" s="3"/>
      <c r="CGG29" s="3"/>
      <c r="CGH29" s="3"/>
      <c r="CGI29" s="3"/>
      <c r="CGJ29" s="3"/>
      <c r="CGK29" s="3"/>
      <c r="CGL29" s="3"/>
      <c r="CGM29" s="3"/>
      <c r="CGN29" s="3"/>
      <c r="CGO29" s="3"/>
      <c r="CGP29" s="3"/>
      <c r="CGQ29" s="3"/>
      <c r="CGR29" s="3"/>
      <c r="CGS29" s="3"/>
      <c r="CGT29" s="3"/>
      <c r="CGU29" s="3"/>
      <c r="CGV29" s="3"/>
      <c r="CGW29" s="3"/>
      <c r="CGX29" s="3"/>
      <c r="CGY29" s="3"/>
      <c r="CGZ29" s="3"/>
      <c r="CHA29" s="3"/>
      <c r="CHB29" s="3"/>
      <c r="CHC29" s="3"/>
      <c r="CHD29" s="3"/>
      <c r="CHE29" s="3"/>
      <c r="CHF29" s="3"/>
      <c r="CHG29" s="3"/>
      <c r="CHH29" s="3"/>
      <c r="CHI29" s="3"/>
      <c r="CHJ29" s="3"/>
      <c r="CHK29" s="3"/>
      <c r="CHL29" s="3"/>
      <c r="CHM29" s="3"/>
      <c r="CHN29" s="3"/>
      <c r="CHO29" s="3"/>
      <c r="CHP29" s="3"/>
      <c r="CHQ29" s="3"/>
      <c r="CHR29" s="3"/>
      <c r="CHS29" s="3"/>
      <c r="CHT29" s="3"/>
      <c r="CHU29" s="3"/>
      <c r="CHV29" s="3"/>
      <c r="CHW29" s="3"/>
      <c r="CHX29" s="3"/>
      <c r="CHY29" s="3"/>
      <c r="CHZ29" s="3"/>
      <c r="CIA29" s="3"/>
      <c r="CIB29" s="3"/>
      <c r="CIC29" s="3"/>
      <c r="CID29" s="3"/>
      <c r="CIE29" s="3"/>
      <c r="CIF29" s="3"/>
      <c r="CIG29" s="3"/>
      <c r="CIH29" s="3"/>
      <c r="CII29" s="3"/>
      <c r="CIJ29" s="3"/>
      <c r="CIK29" s="3"/>
      <c r="CIL29" s="3"/>
      <c r="CIM29" s="3"/>
      <c r="CIN29" s="3"/>
      <c r="CIO29" s="3"/>
      <c r="CIP29" s="3"/>
      <c r="CIQ29" s="3"/>
      <c r="CIR29" s="3"/>
      <c r="CIS29" s="3"/>
      <c r="CIT29" s="3"/>
      <c r="CIU29" s="3"/>
      <c r="CIV29" s="3"/>
      <c r="CIW29" s="3"/>
      <c r="CIX29" s="3"/>
      <c r="CIY29" s="3"/>
      <c r="CIZ29" s="3"/>
      <c r="CJA29" s="3"/>
      <c r="CJB29" s="3"/>
      <c r="CJC29" s="3"/>
      <c r="CJD29" s="3"/>
      <c r="CJE29" s="3"/>
      <c r="CJF29" s="3"/>
      <c r="CJG29" s="3"/>
      <c r="CJH29" s="3"/>
      <c r="CJI29" s="3"/>
      <c r="CJJ29" s="3"/>
      <c r="CJK29" s="3"/>
      <c r="CJL29" s="3"/>
      <c r="CJM29" s="3"/>
      <c r="CJN29" s="3"/>
      <c r="CJO29" s="3"/>
      <c r="CJP29" s="3"/>
      <c r="CJQ29" s="3"/>
      <c r="CJR29" s="3"/>
      <c r="CJS29" s="3"/>
      <c r="CJT29" s="3"/>
      <c r="CJU29" s="3"/>
      <c r="CJV29" s="3"/>
      <c r="CJW29" s="3"/>
      <c r="CJX29" s="3"/>
      <c r="CJY29" s="3"/>
      <c r="CJZ29" s="3"/>
      <c r="CKA29" s="3"/>
      <c r="CKB29" s="3"/>
      <c r="CKC29" s="3"/>
      <c r="CKD29" s="3"/>
      <c r="CKE29" s="3"/>
      <c r="CKF29" s="3"/>
      <c r="CKG29" s="3"/>
      <c r="CKH29" s="3"/>
      <c r="CKI29" s="3"/>
      <c r="CKJ29" s="3"/>
      <c r="CKK29" s="3"/>
      <c r="CKL29" s="3"/>
      <c r="CKM29" s="3"/>
      <c r="CKN29" s="3"/>
      <c r="CKO29" s="3"/>
      <c r="CKP29" s="3"/>
      <c r="CKQ29" s="3"/>
      <c r="CKR29" s="3"/>
      <c r="CKS29" s="3"/>
      <c r="CKT29" s="3"/>
      <c r="CKU29" s="3"/>
      <c r="CKV29" s="3"/>
      <c r="CKW29" s="3"/>
      <c r="CKX29" s="3"/>
      <c r="CKY29" s="3"/>
      <c r="CKZ29" s="3"/>
      <c r="CLA29" s="3"/>
      <c r="CLB29" s="3"/>
      <c r="CLC29" s="3"/>
      <c r="CLD29" s="3"/>
      <c r="CLE29" s="3"/>
      <c r="CLF29" s="3"/>
      <c r="CLG29" s="3"/>
      <c r="CLH29" s="3"/>
      <c r="CLI29" s="3"/>
      <c r="CLJ29" s="3"/>
      <c r="CLK29" s="3"/>
      <c r="CLL29" s="3"/>
      <c r="CLM29" s="3"/>
      <c r="CLN29" s="3"/>
      <c r="CLO29" s="3"/>
      <c r="CLP29" s="3"/>
      <c r="CLQ29" s="3"/>
      <c r="CLR29" s="3"/>
      <c r="CLS29" s="3"/>
      <c r="CLT29" s="3"/>
      <c r="CLU29" s="3"/>
      <c r="CLV29" s="3"/>
      <c r="CLW29" s="3"/>
      <c r="CLX29" s="3"/>
      <c r="CLY29" s="3"/>
      <c r="CLZ29" s="3"/>
      <c r="CMA29" s="3"/>
      <c r="CMB29" s="3"/>
      <c r="CMC29" s="3"/>
      <c r="CMD29" s="3"/>
      <c r="CME29" s="3"/>
      <c r="CMF29" s="3"/>
      <c r="CMG29" s="3"/>
      <c r="CMH29" s="3"/>
      <c r="CMI29" s="3"/>
      <c r="CMJ29" s="3"/>
      <c r="CMK29" s="3"/>
      <c r="CML29" s="3"/>
      <c r="CMM29" s="3"/>
      <c r="CMN29" s="3"/>
      <c r="CMO29" s="3"/>
      <c r="CMP29" s="3"/>
      <c r="CMQ29" s="3"/>
      <c r="CMR29" s="3"/>
      <c r="CMS29" s="3"/>
      <c r="CMT29" s="3"/>
      <c r="CMU29" s="3"/>
      <c r="CMV29" s="3"/>
      <c r="CMW29" s="3"/>
      <c r="CMX29" s="3"/>
      <c r="CMY29" s="3"/>
      <c r="CMZ29" s="3"/>
      <c r="CNA29" s="3"/>
      <c r="CNB29" s="3"/>
      <c r="CNC29" s="3"/>
      <c r="CND29" s="3"/>
      <c r="CNE29" s="3"/>
      <c r="CNF29" s="3"/>
      <c r="CNG29" s="3"/>
      <c r="CNH29" s="3"/>
      <c r="CNI29" s="3"/>
      <c r="CNJ29" s="3"/>
      <c r="CNK29" s="3"/>
      <c r="CNL29" s="3"/>
      <c r="CNM29" s="3"/>
      <c r="CNN29" s="3"/>
      <c r="CNO29" s="3"/>
      <c r="CNP29" s="3"/>
      <c r="CNQ29" s="3"/>
      <c r="CNR29" s="3"/>
      <c r="CNS29" s="3"/>
      <c r="CNT29" s="3"/>
      <c r="CNU29" s="3"/>
      <c r="CNV29" s="3"/>
      <c r="CNW29" s="3"/>
      <c r="CNX29" s="3"/>
      <c r="CNY29" s="3"/>
      <c r="CNZ29" s="3"/>
      <c r="COA29" s="3"/>
      <c r="COB29" s="3"/>
      <c r="COC29" s="3"/>
      <c r="COD29" s="3"/>
      <c r="COE29" s="3"/>
      <c r="COF29" s="3"/>
      <c r="COG29" s="3"/>
      <c r="COH29" s="3"/>
      <c r="COI29" s="3"/>
      <c r="COJ29" s="3"/>
      <c r="COK29" s="3"/>
      <c r="COL29" s="3"/>
      <c r="COM29" s="3"/>
      <c r="CON29" s="3"/>
      <c r="COO29" s="3"/>
      <c r="COP29" s="3"/>
      <c r="COQ29" s="3"/>
      <c r="COR29" s="3"/>
      <c r="COS29" s="3"/>
      <c r="COT29" s="3"/>
      <c r="COU29" s="3"/>
      <c r="COV29" s="3"/>
      <c r="COW29" s="3"/>
      <c r="COX29" s="3"/>
      <c r="COY29" s="3"/>
      <c r="COZ29" s="3"/>
      <c r="CPA29" s="3"/>
      <c r="CPB29" s="3"/>
      <c r="CPC29" s="3"/>
      <c r="CPD29" s="3"/>
      <c r="CPE29" s="3"/>
      <c r="CPF29" s="3"/>
      <c r="CPG29" s="3"/>
      <c r="CPH29" s="3"/>
      <c r="CPI29" s="3"/>
      <c r="CPJ29" s="3"/>
      <c r="CPK29" s="3"/>
      <c r="CPL29" s="3"/>
      <c r="CPM29" s="3"/>
      <c r="CPN29" s="3"/>
      <c r="CPO29" s="3"/>
      <c r="CPP29" s="3"/>
      <c r="CPQ29" s="3"/>
      <c r="CPR29" s="3"/>
      <c r="CPS29" s="3"/>
      <c r="CPT29" s="3"/>
      <c r="CPU29" s="3"/>
      <c r="CPV29" s="3"/>
      <c r="CPW29" s="3"/>
      <c r="CPX29" s="3"/>
      <c r="CPY29" s="3"/>
      <c r="CPZ29" s="3"/>
      <c r="CQA29" s="3"/>
      <c r="CQB29" s="3"/>
      <c r="CQC29" s="3"/>
      <c r="CQD29" s="3"/>
      <c r="CQE29" s="3"/>
      <c r="CQF29" s="3"/>
      <c r="CQG29" s="3"/>
      <c r="CQH29" s="3"/>
      <c r="CQI29" s="3"/>
      <c r="CQJ29" s="3"/>
      <c r="CQK29" s="3"/>
      <c r="CQL29" s="3"/>
      <c r="CQM29" s="3"/>
      <c r="CQN29" s="3"/>
      <c r="CQO29" s="3"/>
      <c r="CQP29" s="3"/>
      <c r="CQQ29" s="3"/>
      <c r="CQR29" s="3"/>
      <c r="CQS29" s="3"/>
      <c r="CQT29" s="3"/>
      <c r="CQU29" s="3"/>
      <c r="CQV29" s="3"/>
      <c r="CQW29" s="3"/>
      <c r="CQX29" s="3"/>
      <c r="CQY29" s="3"/>
      <c r="CQZ29" s="3"/>
      <c r="CRA29" s="3"/>
      <c r="CRB29" s="3"/>
      <c r="CRC29" s="3"/>
      <c r="CRD29" s="3"/>
      <c r="CRE29" s="3"/>
      <c r="CRF29" s="3"/>
      <c r="CRG29" s="3"/>
      <c r="CRH29" s="3"/>
      <c r="CRI29" s="3"/>
      <c r="CRJ29" s="3"/>
      <c r="CRK29" s="3"/>
      <c r="CRL29" s="3"/>
      <c r="CRM29" s="3"/>
      <c r="CRN29" s="3"/>
      <c r="CRO29" s="3"/>
      <c r="CRP29" s="3"/>
      <c r="CRQ29" s="3"/>
      <c r="CRR29" s="3"/>
      <c r="CRS29" s="3"/>
      <c r="CRT29" s="3"/>
      <c r="CRU29" s="3"/>
      <c r="CRV29" s="3"/>
      <c r="CRW29" s="3"/>
      <c r="CRX29" s="3"/>
      <c r="CRY29" s="3"/>
      <c r="CRZ29" s="3"/>
      <c r="CSA29" s="3"/>
      <c r="CSB29" s="3"/>
      <c r="CSC29" s="3"/>
      <c r="CSD29" s="3"/>
      <c r="CSE29" s="3"/>
      <c r="CSF29" s="3"/>
      <c r="CSG29" s="3"/>
      <c r="CSH29" s="3"/>
      <c r="CSI29" s="3"/>
      <c r="CSJ29" s="3"/>
      <c r="CSK29" s="3"/>
      <c r="CSL29" s="3"/>
      <c r="CSM29" s="3"/>
      <c r="CSN29" s="3"/>
      <c r="CSO29" s="3"/>
      <c r="CSP29" s="3"/>
      <c r="CSQ29" s="3"/>
      <c r="CSR29" s="3"/>
      <c r="CSS29" s="3"/>
      <c r="CST29" s="3"/>
      <c r="CSU29" s="3"/>
      <c r="CSV29" s="3"/>
      <c r="CSW29" s="3"/>
      <c r="CSX29" s="3"/>
      <c r="CSY29" s="3"/>
      <c r="CSZ29" s="3"/>
      <c r="CTA29" s="3"/>
      <c r="CTB29" s="3"/>
      <c r="CTC29" s="3"/>
      <c r="CTD29" s="3"/>
      <c r="CTE29" s="3"/>
      <c r="CTF29" s="3"/>
      <c r="CTG29" s="3"/>
      <c r="CTH29" s="3"/>
      <c r="CTI29" s="3"/>
      <c r="CTJ29" s="3"/>
      <c r="CTK29" s="3"/>
      <c r="CTL29" s="3"/>
      <c r="CTM29" s="3"/>
      <c r="CTN29" s="3"/>
      <c r="CTO29" s="3"/>
      <c r="CTP29" s="3"/>
      <c r="CTQ29" s="3"/>
      <c r="CTR29" s="3"/>
      <c r="CTS29" s="3"/>
      <c r="CTT29" s="3"/>
      <c r="CTU29" s="3"/>
      <c r="CTV29" s="3"/>
      <c r="CTW29" s="3"/>
      <c r="CTX29" s="3"/>
      <c r="CTY29" s="3"/>
      <c r="CTZ29" s="3"/>
      <c r="CUA29" s="3"/>
      <c r="CUB29" s="3"/>
      <c r="CUC29" s="3"/>
      <c r="CUD29" s="3"/>
      <c r="CUE29" s="3"/>
      <c r="CUF29" s="3"/>
      <c r="CUG29" s="3"/>
      <c r="CUH29" s="3"/>
      <c r="CUI29" s="3"/>
      <c r="CUJ29" s="3"/>
      <c r="CUK29" s="3"/>
      <c r="CUL29" s="3"/>
      <c r="CUM29" s="3"/>
      <c r="CUN29" s="3"/>
      <c r="CUO29" s="3"/>
      <c r="CUP29" s="3"/>
      <c r="CUQ29" s="3"/>
      <c r="CUR29" s="3"/>
      <c r="CUS29" s="3"/>
      <c r="CUT29" s="3"/>
      <c r="CUU29" s="3"/>
      <c r="CUV29" s="3"/>
      <c r="CUW29" s="3"/>
      <c r="CUX29" s="3"/>
      <c r="CUY29" s="3"/>
      <c r="CUZ29" s="3"/>
      <c r="CVA29" s="3"/>
      <c r="CVB29" s="3"/>
      <c r="CVC29" s="3"/>
      <c r="CVD29" s="3"/>
      <c r="CVE29" s="3"/>
      <c r="CVF29" s="3"/>
      <c r="CVG29" s="3"/>
      <c r="CVH29" s="3"/>
      <c r="CVI29" s="3"/>
      <c r="CVJ29" s="3"/>
      <c r="CVK29" s="3"/>
      <c r="CVL29" s="3"/>
      <c r="CVM29" s="3"/>
      <c r="CVN29" s="3"/>
      <c r="CVO29" s="3"/>
      <c r="CVP29" s="3"/>
      <c r="CVQ29" s="3"/>
      <c r="CVR29" s="3"/>
      <c r="CVS29" s="3"/>
      <c r="CVT29" s="3"/>
      <c r="CVU29" s="3"/>
      <c r="CVV29" s="3"/>
      <c r="CVW29" s="3"/>
      <c r="CVX29" s="3"/>
      <c r="CVY29" s="3"/>
      <c r="CVZ29" s="3"/>
      <c r="CWA29" s="3"/>
      <c r="CWB29" s="3"/>
      <c r="CWC29" s="3"/>
      <c r="CWD29" s="3"/>
      <c r="CWE29" s="3"/>
      <c r="CWF29" s="3"/>
      <c r="CWG29" s="3"/>
      <c r="CWH29" s="3"/>
      <c r="CWI29" s="3"/>
      <c r="CWJ29" s="3"/>
      <c r="CWK29" s="3"/>
      <c r="CWL29" s="3"/>
      <c r="CWM29" s="3"/>
      <c r="CWN29" s="3"/>
      <c r="CWO29" s="3"/>
      <c r="CWP29" s="3"/>
      <c r="CWQ29" s="3"/>
      <c r="CWR29" s="3"/>
      <c r="CWS29" s="3"/>
      <c r="CWT29" s="3"/>
      <c r="CWU29" s="3"/>
      <c r="CWV29" s="3"/>
      <c r="CWW29" s="3"/>
      <c r="CWX29" s="3"/>
      <c r="CWY29" s="3"/>
      <c r="CWZ29" s="3"/>
      <c r="CXA29" s="3"/>
      <c r="CXB29" s="3"/>
      <c r="CXC29" s="3"/>
      <c r="CXD29" s="3"/>
      <c r="CXE29" s="3"/>
      <c r="CXF29" s="3"/>
      <c r="CXG29" s="3"/>
      <c r="CXH29" s="3"/>
      <c r="CXI29" s="3"/>
      <c r="CXJ29" s="3"/>
      <c r="CXK29" s="3"/>
      <c r="CXL29" s="3"/>
      <c r="CXM29" s="3"/>
      <c r="CXN29" s="3"/>
      <c r="CXO29" s="3"/>
      <c r="CXP29" s="3"/>
      <c r="CXQ29" s="3"/>
      <c r="CXR29" s="3"/>
      <c r="CXS29" s="3"/>
      <c r="CXT29" s="3"/>
      <c r="CXU29" s="3"/>
      <c r="CXV29" s="3"/>
      <c r="CXW29" s="3"/>
      <c r="CXX29" s="3"/>
      <c r="CXY29" s="3"/>
      <c r="CXZ29" s="3"/>
      <c r="CYA29" s="3"/>
      <c r="CYB29" s="3"/>
      <c r="CYC29" s="3"/>
      <c r="CYD29" s="3"/>
      <c r="CYE29" s="3"/>
      <c r="CYF29" s="3"/>
      <c r="CYG29" s="3"/>
      <c r="CYH29" s="3"/>
      <c r="CYI29" s="3"/>
      <c r="CYJ29" s="3"/>
      <c r="CYK29" s="3"/>
      <c r="CYL29" s="3"/>
      <c r="CYM29" s="3"/>
      <c r="CYN29" s="3"/>
      <c r="CYO29" s="3"/>
      <c r="CYP29" s="3"/>
      <c r="CYQ29" s="3"/>
      <c r="CYR29" s="3"/>
      <c r="CYS29" s="3"/>
      <c r="CYT29" s="3"/>
      <c r="CYU29" s="3"/>
      <c r="CYV29" s="3"/>
      <c r="CYW29" s="3"/>
      <c r="CYX29" s="3"/>
      <c r="CYY29" s="3"/>
      <c r="CYZ29" s="3"/>
      <c r="CZA29" s="3"/>
      <c r="CZB29" s="3"/>
      <c r="CZC29" s="3"/>
      <c r="CZD29" s="3"/>
      <c r="CZE29" s="3"/>
      <c r="CZF29" s="3"/>
      <c r="CZG29" s="3"/>
      <c r="CZH29" s="3"/>
      <c r="CZI29" s="3"/>
      <c r="CZJ29" s="3"/>
      <c r="CZK29" s="3"/>
      <c r="CZL29" s="3"/>
      <c r="CZM29" s="3"/>
      <c r="CZN29" s="3"/>
      <c r="CZO29" s="3"/>
      <c r="CZP29" s="3"/>
      <c r="CZQ29" s="3"/>
      <c r="CZR29" s="3"/>
      <c r="CZS29" s="3"/>
      <c r="CZT29" s="3"/>
      <c r="CZU29" s="3"/>
      <c r="CZV29" s="3"/>
      <c r="CZW29" s="3"/>
      <c r="CZX29" s="3"/>
      <c r="CZY29" s="3"/>
      <c r="CZZ29" s="3"/>
      <c r="DAA29" s="3"/>
      <c r="DAB29" s="3"/>
      <c r="DAC29" s="3"/>
      <c r="DAD29" s="3"/>
      <c r="DAE29" s="3"/>
      <c r="DAF29" s="3"/>
      <c r="DAG29" s="3"/>
      <c r="DAH29" s="3"/>
      <c r="DAI29" s="3"/>
      <c r="DAJ29" s="3"/>
      <c r="DAK29" s="3"/>
      <c r="DAL29" s="3"/>
      <c r="DAM29" s="3"/>
      <c r="DAN29" s="3"/>
      <c r="DAO29" s="3"/>
      <c r="DAP29" s="3"/>
      <c r="DAQ29" s="3"/>
      <c r="DAR29" s="3"/>
      <c r="DAS29" s="3"/>
      <c r="DAT29" s="3"/>
      <c r="DAU29" s="3"/>
      <c r="DAV29" s="3"/>
      <c r="DAW29" s="3"/>
      <c r="DAX29" s="3"/>
      <c r="DAY29" s="3"/>
      <c r="DAZ29" s="3"/>
      <c r="DBA29" s="3"/>
      <c r="DBB29" s="3"/>
      <c r="DBC29" s="3"/>
      <c r="DBD29" s="3"/>
      <c r="DBE29" s="3"/>
      <c r="DBF29" s="3"/>
      <c r="DBG29" s="3"/>
      <c r="DBH29" s="3"/>
      <c r="DBI29" s="3"/>
      <c r="DBJ29" s="3"/>
      <c r="DBK29" s="3"/>
      <c r="DBL29" s="3"/>
      <c r="DBM29" s="3"/>
      <c r="DBN29" s="3"/>
      <c r="DBO29" s="3"/>
      <c r="DBP29" s="3"/>
      <c r="DBQ29" s="3"/>
      <c r="DBR29" s="3"/>
      <c r="DBS29" s="3"/>
      <c r="DBT29" s="3"/>
      <c r="DBU29" s="3"/>
      <c r="DBV29" s="3"/>
      <c r="DBW29" s="3"/>
      <c r="DBX29" s="3"/>
      <c r="DBY29" s="3"/>
      <c r="DBZ29" s="3"/>
      <c r="DCA29" s="3"/>
      <c r="DCB29" s="3"/>
      <c r="DCC29" s="3"/>
      <c r="DCD29" s="3"/>
      <c r="DCE29" s="3"/>
      <c r="DCF29" s="3"/>
      <c r="DCG29" s="3"/>
      <c r="DCH29" s="3"/>
      <c r="DCI29" s="3"/>
      <c r="DCJ29" s="3"/>
      <c r="DCK29" s="3"/>
      <c r="DCL29" s="3"/>
      <c r="DCM29" s="3"/>
      <c r="DCN29" s="3"/>
      <c r="DCO29" s="3"/>
      <c r="DCP29" s="3"/>
      <c r="DCQ29" s="3"/>
      <c r="DCR29" s="3"/>
      <c r="DCS29" s="3"/>
      <c r="DCT29" s="3"/>
      <c r="DCU29" s="3"/>
      <c r="DCV29" s="3"/>
      <c r="DCW29" s="3"/>
      <c r="DCX29" s="3"/>
      <c r="DCY29" s="3"/>
      <c r="DCZ29" s="3"/>
      <c r="DDA29" s="3"/>
      <c r="DDB29" s="3"/>
      <c r="DDC29" s="3"/>
      <c r="DDD29" s="3"/>
      <c r="DDE29" s="3"/>
      <c r="DDF29" s="3"/>
      <c r="DDG29" s="3"/>
      <c r="DDH29" s="3"/>
      <c r="DDI29" s="3"/>
      <c r="DDJ29" s="3"/>
      <c r="DDK29" s="3"/>
      <c r="DDL29" s="3"/>
      <c r="DDM29" s="3"/>
      <c r="DDN29" s="3"/>
      <c r="DDO29" s="3"/>
      <c r="DDP29" s="3"/>
      <c r="DDQ29" s="3"/>
      <c r="DDR29" s="3"/>
      <c r="DDS29" s="3"/>
      <c r="DDT29" s="3"/>
      <c r="DDU29" s="3"/>
      <c r="DDV29" s="3"/>
      <c r="DDW29" s="3"/>
      <c r="DDX29" s="3"/>
      <c r="DDY29" s="3"/>
      <c r="DDZ29" s="3"/>
      <c r="DEA29" s="3"/>
      <c r="DEB29" s="3"/>
      <c r="DEC29" s="3"/>
      <c r="DED29" s="3"/>
      <c r="DEE29" s="3"/>
      <c r="DEF29" s="3"/>
      <c r="DEG29" s="3"/>
      <c r="DEH29" s="3"/>
      <c r="DEI29" s="3"/>
      <c r="DEJ29" s="3"/>
      <c r="DEK29" s="3"/>
      <c r="DEL29" s="3"/>
      <c r="DEM29" s="3"/>
      <c r="DEN29" s="3"/>
      <c r="DEO29" s="3"/>
      <c r="DEP29" s="3"/>
      <c r="DEQ29" s="3"/>
      <c r="DER29" s="3"/>
      <c r="DES29" s="3"/>
      <c r="DET29" s="3"/>
      <c r="DEU29" s="3"/>
      <c r="DEV29" s="3"/>
      <c r="DEW29" s="3"/>
      <c r="DEX29" s="3"/>
      <c r="DEY29" s="3"/>
      <c r="DEZ29" s="3"/>
      <c r="DFA29" s="3"/>
      <c r="DFB29" s="3"/>
      <c r="DFC29" s="3"/>
      <c r="DFD29" s="3"/>
      <c r="DFE29" s="3"/>
      <c r="DFF29" s="3"/>
      <c r="DFG29" s="3"/>
      <c r="DFH29" s="3"/>
      <c r="DFI29" s="3"/>
      <c r="DFJ29" s="3"/>
      <c r="DFK29" s="3"/>
      <c r="DFL29" s="3"/>
      <c r="DFM29" s="3"/>
      <c r="DFN29" s="3"/>
      <c r="DFO29" s="3"/>
      <c r="DFP29" s="3"/>
      <c r="DFQ29" s="3"/>
      <c r="DFR29" s="3"/>
      <c r="DFS29" s="3"/>
      <c r="DFT29" s="3"/>
      <c r="DFU29" s="3"/>
      <c r="DFV29" s="3"/>
      <c r="DFW29" s="3"/>
      <c r="DFX29" s="3"/>
      <c r="DFY29" s="3"/>
      <c r="DFZ29" s="3"/>
      <c r="DGA29" s="3"/>
      <c r="DGB29" s="3"/>
      <c r="DGC29" s="3"/>
      <c r="DGD29" s="3"/>
      <c r="DGE29" s="3"/>
      <c r="DGF29" s="3"/>
      <c r="DGG29" s="3"/>
      <c r="DGH29" s="3"/>
      <c r="DGI29" s="3"/>
      <c r="DGJ29" s="3"/>
      <c r="DGK29" s="3"/>
      <c r="DGL29" s="3"/>
      <c r="DGM29" s="3"/>
      <c r="DGN29" s="3"/>
      <c r="DGO29" s="3"/>
      <c r="DGP29" s="3"/>
      <c r="DGQ29" s="3"/>
      <c r="DGR29" s="3"/>
      <c r="DGS29" s="3"/>
      <c r="DGT29" s="3"/>
      <c r="DGU29" s="3"/>
      <c r="DGV29" s="3"/>
      <c r="DGW29" s="3"/>
      <c r="DGX29" s="3"/>
      <c r="DGY29" s="3"/>
      <c r="DGZ29" s="3"/>
      <c r="DHA29" s="3"/>
      <c r="DHB29" s="3"/>
      <c r="DHC29" s="3"/>
      <c r="DHD29" s="3"/>
      <c r="DHE29" s="3"/>
      <c r="DHF29" s="3"/>
      <c r="DHG29" s="3"/>
      <c r="DHH29" s="3"/>
      <c r="DHI29" s="3"/>
      <c r="DHJ29" s="3"/>
      <c r="DHK29" s="3"/>
      <c r="DHL29" s="3"/>
      <c r="DHM29" s="3"/>
      <c r="DHN29" s="3"/>
      <c r="DHO29" s="3"/>
      <c r="DHP29" s="3"/>
      <c r="DHQ29" s="3"/>
      <c r="DHR29" s="3"/>
      <c r="DHS29" s="3"/>
      <c r="DHT29" s="3"/>
      <c r="DHU29" s="3"/>
      <c r="DHV29" s="3"/>
      <c r="DHW29" s="3"/>
      <c r="DHX29" s="3"/>
      <c r="DHY29" s="3"/>
      <c r="DHZ29" s="3"/>
      <c r="DIA29" s="3"/>
      <c r="DIB29" s="3"/>
      <c r="DIC29" s="3"/>
      <c r="DID29" s="3"/>
      <c r="DIE29" s="3"/>
      <c r="DIF29" s="3"/>
      <c r="DIG29" s="3"/>
      <c r="DIH29" s="3"/>
      <c r="DII29" s="3"/>
      <c r="DIJ29" s="3"/>
      <c r="DIK29" s="3"/>
      <c r="DIL29" s="3"/>
      <c r="DIM29" s="3"/>
      <c r="DIN29" s="3"/>
      <c r="DIO29" s="3"/>
      <c r="DIP29" s="3"/>
      <c r="DIQ29" s="3"/>
      <c r="DIR29" s="3"/>
      <c r="DIS29" s="3"/>
      <c r="DIT29" s="3"/>
      <c r="DIU29" s="3"/>
      <c r="DIV29" s="3"/>
      <c r="DIW29" s="3"/>
      <c r="DIX29" s="3"/>
      <c r="DIY29" s="3"/>
      <c r="DIZ29" s="3"/>
      <c r="DJA29" s="3"/>
      <c r="DJB29" s="3"/>
      <c r="DJC29" s="3"/>
      <c r="DJD29" s="3"/>
      <c r="DJE29" s="3"/>
      <c r="DJF29" s="3"/>
      <c r="DJG29" s="3"/>
      <c r="DJH29" s="3"/>
      <c r="DJI29" s="3"/>
      <c r="DJJ29" s="3"/>
      <c r="DJK29" s="3"/>
      <c r="DJL29" s="3"/>
      <c r="DJM29" s="3"/>
      <c r="DJN29" s="3"/>
      <c r="DJO29" s="3"/>
      <c r="DJP29" s="3"/>
      <c r="DJQ29" s="3"/>
      <c r="DJR29" s="3"/>
      <c r="DJS29" s="3"/>
      <c r="DJT29" s="3"/>
      <c r="DJU29" s="3"/>
      <c r="DJV29" s="3"/>
      <c r="DJW29" s="3"/>
      <c r="DJX29" s="3"/>
      <c r="DJY29" s="3"/>
      <c r="DJZ29" s="3"/>
      <c r="DKA29" s="3"/>
      <c r="DKB29" s="3"/>
      <c r="DKC29" s="3"/>
      <c r="DKD29" s="3"/>
      <c r="DKE29" s="3"/>
      <c r="DKF29" s="3"/>
      <c r="DKG29" s="3"/>
      <c r="DKH29" s="3"/>
      <c r="DKI29" s="3"/>
      <c r="DKJ29" s="3"/>
      <c r="DKK29" s="3"/>
      <c r="DKL29" s="3"/>
      <c r="DKM29" s="3"/>
      <c r="DKN29" s="3"/>
      <c r="DKO29" s="3"/>
      <c r="DKP29" s="3"/>
      <c r="DKQ29" s="3"/>
      <c r="DKR29" s="3"/>
      <c r="DKS29" s="3"/>
      <c r="DKT29" s="3"/>
      <c r="DKU29" s="3"/>
      <c r="DKV29" s="3"/>
      <c r="DKW29" s="3"/>
      <c r="DKX29" s="3"/>
      <c r="DKY29" s="3"/>
      <c r="DKZ29" s="3"/>
      <c r="DLA29" s="3"/>
      <c r="DLB29" s="3"/>
      <c r="DLC29" s="3"/>
      <c r="DLD29" s="3"/>
      <c r="DLE29" s="3"/>
      <c r="DLF29" s="3"/>
      <c r="DLG29" s="3"/>
      <c r="DLH29" s="3"/>
      <c r="DLI29" s="3"/>
      <c r="DLJ29" s="3"/>
      <c r="DLK29" s="3"/>
      <c r="DLL29" s="3"/>
      <c r="DLM29" s="3"/>
      <c r="DLN29" s="3"/>
      <c r="DLO29" s="3"/>
      <c r="DLP29" s="3"/>
      <c r="DLQ29" s="3"/>
      <c r="DLR29" s="3"/>
      <c r="DLS29" s="3"/>
      <c r="DLT29" s="3"/>
      <c r="DLU29" s="3"/>
      <c r="DLV29" s="3"/>
      <c r="DLW29" s="3"/>
      <c r="DLX29" s="3"/>
      <c r="DLY29" s="3"/>
      <c r="DLZ29" s="3"/>
      <c r="DMA29" s="3"/>
      <c r="DMB29" s="3"/>
      <c r="DMC29" s="3"/>
      <c r="DMD29" s="3"/>
      <c r="DME29" s="3"/>
      <c r="DMF29" s="3"/>
      <c r="DMG29" s="3"/>
      <c r="DMH29" s="3"/>
      <c r="DMI29" s="3"/>
      <c r="DMJ29" s="3"/>
      <c r="DMK29" s="3"/>
      <c r="DML29" s="3"/>
      <c r="DMM29" s="3"/>
      <c r="DMN29" s="3"/>
      <c r="DMO29" s="3"/>
      <c r="DMP29" s="3"/>
      <c r="DMQ29" s="3"/>
      <c r="DMR29" s="3"/>
      <c r="DMS29" s="3"/>
      <c r="DMT29" s="3"/>
      <c r="DMU29" s="3"/>
      <c r="DMV29" s="3"/>
      <c r="DMW29" s="3"/>
      <c r="DMX29" s="3"/>
      <c r="DMY29" s="3"/>
      <c r="DMZ29" s="3"/>
      <c r="DNA29" s="3"/>
      <c r="DNB29" s="3"/>
      <c r="DNC29" s="3"/>
      <c r="DND29" s="3"/>
      <c r="DNE29" s="3"/>
      <c r="DNF29" s="3"/>
      <c r="DNG29" s="3"/>
      <c r="DNH29" s="3"/>
      <c r="DNI29" s="3"/>
      <c r="DNJ29" s="3"/>
      <c r="DNK29" s="3"/>
      <c r="DNL29" s="3"/>
      <c r="DNM29" s="3"/>
      <c r="DNN29" s="3"/>
      <c r="DNO29" s="3"/>
      <c r="DNP29" s="3"/>
      <c r="DNQ29" s="3"/>
      <c r="DNR29" s="3"/>
      <c r="DNS29" s="3"/>
      <c r="DNT29" s="3"/>
      <c r="DNU29" s="3"/>
      <c r="DNV29" s="3"/>
      <c r="DNW29" s="3"/>
      <c r="DNX29" s="3"/>
      <c r="DNY29" s="3"/>
      <c r="DNZ29" s="3"/>
      <c r="DOA29" s="3"/>
      <c r="DOB29" s="3"/>
      <c r="DOC29" s="3"/>
      <c r="DOD29" s="3"/>
      <c r="DOE29" s="3"/>
      <c r="DOF29" s="3"/>
      <c r="DOG29" s="3"/>
      <c r="DOH29" s="3"/>
      <c r="DOI29" s="3"/>
      <c r="DOJ29" s="3"/>
      <c r="DOK29" s="3"/>
      <c r="DOL29" s="3"/>
      <c r="DOM29" s="3"/>
      <c r="DON29" s="3"/>
      <c r="DOO29" s="3"/>
      <c r="DOP29" s="3"/>
      <c r="DOQ29" s="3"/>
      <c r="DOR29" s="3"/>
      <c r="DOS29" s="3"/>
      <c r="DOT29" s="3"/>
      <c r="DOU29" s="3"/>
      <c r="DOV29" s="3"/>
      <c r="DOW29" s="3"/>
      <c r="DOX29" s="3"/>
      <c r="DOY29" s="3"/>
      <c r="DOZ29" s="3"/>
      <c r="DPA29" s="3"/>
      <c r="DPB29" s="3"/>
      <c r="DPC29" s="3"/>
      <c r="DPD29" s="3"/>
      <c r="DPE29" s="3"/>
      <c r="DPF29" s="3"/>
      <c r="DPG29" s="3"/>
      <c r="DPH29" s="3"/>
      <c r="DPI29" s="3"/>
      <c r="DPJ29" s="3"/>
      <c r="DPK29" s="3"/>
      <c r="DPL29" s="3"/>
      <c r="DPM29" s="3"/>
      <c r="DPN29" s="3"/>
      <c r="DPO29" s="3"/>
      <c r="DPP29" s="3"/>
      <c r="DPQ29" s="3"/>
      <c r="DPR29" s="3"/>
      <c r="DPS29" s="3"/>
      <c r="DPT29" s="3"/>
      <c r="DPU29" s="3"/>
      <c r="DPV29" s="3"/>
      <c r="DPW29" s="3"/>
      <c r="DPX29" s="3"/>
      <c r="DPY29" s="3"/>
      <c r="DPZ29" s="3"/>
      <c r="DQA29" s="3"/>
      <c r="DQB29" s="3"/>
      <c r="DQC29" s="3"/>
      <c r="DQD29" s="3"/>
      <c r="DQE29" s="3"/>
      <c r="DQF29" s="3"/>
      <c r="DQG29" s="3"/>
      <c r="DQH29" s="3"/>
      <c r="DQI29" s="3"/>
      <c r="DQJ29" s="3"/>
      <c r="DQK29" s="3"/>
      <c r="DQL29" s="3"/>
      <c r="DQM29" s="3"/>
      <c r="DQN29" s="3"/>
      <c r="DQO29" s="3"/>
      <c r="DQP29" s="3"/>
      <c r="DQQ29" s="3"/>
      <c r="DQR29" s="3"/>
      <c r="DQS29" s="3"/>
      <c r="DQT29" s="3"/>
      <c r="DQU29" s="3"/>
      <c r="DQV29" s="3"/>
      <c r="DQW29" s="3"/>
      <c r="DQX29" s="3"/>
      <c r="DQY29" s="3"/>
      <c r="DQZ29" s="3"/>
      <c r="DRA29" s="3"/>
      <c r="DRB29" s="3"/>
      <c r="DRC29" s="3"/>
      <c r="DRD29" s="3"/>
      <c r="DRE29" s="3"/>
      <c r="DRF29" s="3"/>
      <c r="DRG29" s="3"/>
      <c r="DRH29" s="3"/>
      <c r="DRI29" s="3"/>
      <c r="DRJ29" s="3"/>
      <c r="DRK29" s="3"/>
      <c r="DRL29" s="3"/>
      <c r="DRM29" s="3"/>
      <c r="DRN29" s="3"/>
      <c r="DRO29" s="3"/>
      <c r="DRP29" s="3"/>
      <c r="DRQ29" s="3"/>
      <c r="DRR29" s="3"/>
      <c r="DRS29" s="3"/>
      <c r="DRT29" s="3"/>
      <c r="DRU29" s="3"/>
      <c r="DRV29" s="3"/>
      <c r="DRW29" s="3"/>
      <c r="DRX29" s="3"/>
      <c r="DRY29" s="3"/>
      <c r="DRZ29" s="3"/>
      <c r="DSA29" s="3"/>
      <c r="DSB29" s="3"/>
      <c r="DSC29" s="3"/>
      <c r="DSD29" s="3"/>
      <c r="DSE29" s="3"/>
      <c r="DSF29" s="3"/>
      <c r="DSG29" s="3"/>
      <c r="DSH29" s="3"/>
      <c r="DSI29" s="3"/>
      <c r="DSJ29" s="3"/>
      <c r="DSK29" s="3"/>
      <c r="DSL29" s="3"/>
      <c r="DSM29" s="3"/>
      <c r="DSN29" s="3"/>
      <c r="DSO29" s="3"/>
      <c r="DSP29" s="3"/>
      <c r="DSQ29" s="3"/>
      <c r="DSR29" s="3"/>
      <c r="DSS29" s="3"/>
      <c r="DST29" s="3"/>
      <c r="DSU29" s="3"/>
      <c r="DSV29" s="3"/>
      <c r="DSW29" s="3"/>
      <c r="DSX29" s="3"/>
      <c r="DSY29" s="3"/>
      <c r="DSZ29" s="3"/>
      <c r="DTA29" s="3"/>
      <c r="DTB29" s="3"/>
      <c r="DTC29" s="3"/>
      <c r="DTD29" s="3"/>
      <c r="DTE29" s="3"/>
      <c r="DTF29" s="3"/>
      <c r="DTG29" s="3"/>
      <c r="DTH29" s="3"/>
      <c r="DTI29" s="3"/>
      <c r="DTJ29" s="3"/>
      <c r="DTK29" s="3"/>
      <c r="DTL29" s="3"/>
      <c r="DTM29" s="3"/>
      <c r="DTN29" s="3"/>
      <c r="DTO29" s="3"/>
      <c r="DTP29" s="3"/>
      <c r="DTQ29" s="3"/>
      <c r="DTR29" s="3"/>
      <c r="DTS29" s="3"/>
      <c r="DTT29" s="3"/>
      <c r="DTU29" s="3"/>
      <c r="DTV29" s="3"/>
      <c r="DTW29" s="3"/>
      <c r="DTX29" s="3"/>
      <c r="DTY29" s="3"/>
      <c r="DTZ29" s="3"/>
      <c r="DUA29" s="3"/>
      <c r="DUB29" s="3"/>
      <c r="DUC29" s="3"/>
      <c r="DUD29" s="3"/>
      <c r="DUE29" s="3"/>
      <c r="DUF29" s="3"/>
      <c r="DUG29" s="3"/>
      <c r="DUH29" s="3"/>
      <c r="DUI29" s="3"/>
      <c r="DUJ29" s="3"/>
      <c r="DUK29" s="3"/>
      <c r="DUL29" s="3"/>
      <c r="DUM29" s="3"/>
      <c r="DUN29" s="3"/>
      <c r="DUO29" s="3"/>
      <c r="DUP29" s="3"/>
      <c r="DUQ29" s="3"/>
      <c r="DUR29" s="3"/>
      <c r="DUS29" s="3"/>
      <c r="DUT29" s="3"/>
      <c r="DUU29" s="3"/>
      <c r="DUV29" s="3"/>
      <c r="DUW29" s="3"/>
      <c r="DUX29" s="3"/>
      <c r="DUY29" s="3"/>
      <c r="DUZ29" s="3"/>
      <c r="DVA29" s="3"/>
      <c r="DVB29" s="3"/>
      <c r="DVC29" s="3"/>
      <c r="DVD29" s="3"/>
      <c r="DVE29" s="3"/>
      <c r="DVF29" s="3"/>
      <c r="DVG29" s="3"/>
      <c r="DVH29" s="3"/>
      <c r="DVI29" s="3"/>
      <c r="DVJ29" s="3"/>
      <c r="DVK29" s="3"/>
      <c r="DVL29" s="3"/>
      <c r="DVM29" s="3"/>
      <c r="DVN29" s="3"/>
      <c r="DVO29" s="3"/>
      <c r="DVP29" s="3"/>
      <c r="DVQ29" s="3"/>
      <c r="DVR29" s="3"/>
      <c r="DVS29" s="3"/>
      <c r="DVT29" s="3"/>
      <c r="DVU29" s="3"/>
      <c r="DVV29" s="3"/>
      <c r="DVW29" s="3"/>
      <c r="DVX29" s="3"/>
      <c r="DVY29" s="3"/>
      <c r="DVZ29" s="3"/>
      <c r="DWA29" s="3"/>
      <c r="DWB29" s="3"/>
      <c r="DWC29" s="3"/>
      <c r="DWD29" s="3"/>
      <c r="DWE29" s="3"/>
      <c r="DWF29" s="3"/>
      <c r="DWG29" s="3"/>
      <c r="DWH29" s="3"/>
      <c r="DWI29" s="3"/>
      <c r="DWJ29" s="3"/>
      <c r="DWK29" s="3"/>
      <c r="DWL29" s="3"/>
      <c r="DWM29" s="3"/>
      <c r="DWN29" s="3"/>
      <c r="DWO29" s="3"/>
      <c r="DWP29" s="3"/>
      <c r="DWQ29" s="3"/>
      <c r="DWR29" s="3"/>
      <c r="DWS29" s="3"/>
      <c r="DWT29" s="3"/>
      <c r="DWU29" s="3"/>
      <c r="DWV29" s="3"/>
      <c r="DWW29" s="3"/>
      <c r="DWX29" s="3"/>
      <c r="DWY29" s="3"/>
      <c r="DWZ29" s="3"/>
      <c r="DXA29" s="3"/>
      <c r="DXB29" s="3"/>
      <c r="DXC29" s="3"/>
      <c r="DXD29" s="3"/>
      <c r="DXE29" s="3"/>
      <c r="DXF29" s="3"/>
      <c r="DXG29" s="3"/>
      <c r="DXH29" s="3"/>
      <c r="DXI29" s="3"/>
      <c r="DXJ29" s="3"/>
      <c r="DXK29" s="3"/>
      <c r="DXL29" s="3"/>
      <c r="DXM29" s="3"/>
      <c r="DXN29" s="3"/>
      <c r="DXO29" s="3"/>
      <c r="DXP29" s="3"/>
      <c r="DXQ29" s="3"/>
      <c r="DXR29" s="3"/>
      <c r="DXS29" s="3"/>
      <c r="DXT29" s="3"/>
      <c r="DXU29" s="3"/>
      <c r="DXV29" s="3"/>
      <c r="DXW29" s="3"/>
      <c r="DXX29" s="3"/>
      <c r="DXY29" s="3"/>
      <c r="DXZ29" s="3"/>
      <c r="DYA29" s="3"/>
      <c r="DYB29" s="3"/>
      <c r="DYC29" s="3"/>
      <c r="DYD29" s="3"/>
      <c r="DYE29" s="3"/>
      <c r="DYF29" s="3"/>
      <c r="DYG29" s="3"/>
      <c r="DYH29" s="3"/>
      <c r="DYI29" s="3"/>
      <c r="DYJ29" s="3"/>
      <c r="DYK29" s="3"/>
      <c r="DYL29" s="3"/>
      <c r="DYM29" s="3"/>
      <c r="DYN29" s="3"/>
      <c r="DYO29" s="3"/>
      <c r="DYP29" s="3"/>
      <c r="DYQ29" s="3"/>
      <c r="DYR29" s="3"/>
      <c r="DYS29" s="3"/>
      <c r="DYT29" s="3"/>
      <c r="DYU29" s="3"/>
      <c r="DYV29" s="3"/>
      <c r="DYW29" s="3"/>
      <c r="DYX29" s="3"/>
      <c r="DYY29" s="3"/>
      <c r="DYZ29" s="3"/>
      <c r="DZA29" s="3"/>
      <c r="DZB29" s="3"/>
      <c r="DZC29" s="3"/>
      <c r="DZD29" s="3"/>
      <c r="DZE29" s="3"/>
      <c r="DZF29" s="3"/>
      <c r="DZG29" s="3"/>
      <c r="DZH29" s="3"/>
      <c r="DZI29" s="3"/>
      <c r="DZJ29" s="3"/>
      <c r="DZK29" s="3"/>
      <c r="DZL29" s="3"/>
      <c r="DZM29" s="3"/>
      <c r="DZN29" s="3"/>
      <c r="DZO29" s="3"/>
      <c r="DZP29" s="3"/>
      <c r="DZQ29" s="3"/>
      <c r="DZR29" s="3"/>
      <c r="DZS29" s="3"/>
      <c r="DZT29" s="3"/>
      <c r="DZU29" s="3"/>
      <c r="DZV29" s="3"/>
      <c r="DZW29" s="3"/>
      <c r="DZX29" s="3"/>
      <c r="DZY29" s="3"/>
      <c r="DZZ29" s="3"/>
      <c r="EAA29" s="3"/>
      <c r="EAB29" s="3"/>
      <c r="EAC29" s="3"/>
      <c r="EAD29" s="3"/>
      <c r="EAE29" s="3"/>
      <c r="EAF29" s="3"/>
      <c r="EAG29" s="3"/>
      <c r="EAH29" s="3"/>
      <c r="EAI29" s="3"/>
      <c r="EAJ29" s="3"/>
      <c r="EAK29" s="3"/>
      <c r="EAL29" s="3"/>
      <c r="EAM29" s="3"/>
      <c r="EAN29" s="3"/>
      <c r="EAO29" s="3"/>
      <c r="EAP29" s="3"/>
      <c r="EAQ29" s="3"/>
      <c r="EAR29" s="3"/>
      <c r="EAS29" s="3"/>
      <c r="EAT29" s="3"/>
      <c r="EAU29" s="3"/>
      <c r="EAV29" s="3"/>
      <c r="EAW29" s="3"/>
      <c r="EAX29" s="3"/>
      <c r="EAY29" s="3"/>
      <c r="EAZ29" s="3"/>
      <c r="EBA29" s="3"/>
      <c r="EBB29" s="3"/>
      <c r="EBC29" s="3"/>
      <c r="EBD29" s="3"/>
      <c r="EBE29" s="3"/>
      <c r="EBF29" s="3"/>
      <c r="EBG29" s="3"/>
      <c r="EBH29" s="3"/>
      <c r="EBI29" s="3"/>
      <c r="EBJ29" s="3"/>
      <c r="EBK29" s="3"/>
      <c r="EBL29" s="3"/>
      <c r="EBM29" s="3"/>
      <c r="EBN29" s="3"/>
      <c r="EBO29" s="3"/>
      <c r="EBP29" s="3"/>
      <c r="EBQ29" s="3"/>
      <c r="EBR29" s="3"/>
      <c r="EBS29" s="3"/>
      <c r="EBT29" s="3"/>
      <c r="EBU29" s="3"/>
      <c r="EBV29" s="3"/>
      <c r="EBW29" s="3"/>
      <c r="EBX29" s="3"/>
      <c r="EBY29" s="3"/>
      <c r="EBZ29" s="3"/>
      <c r="ECA29" s="3"/>
      <c r="ECB29" s="3"/>
      <c r="ECC29" s="3"/>
      <c r="ECD29" s="3"/>
      <c r="ECE29" s="3"/>
      <c r="ECF29" s="3"/>
      <c r="ECG29" s="3"/>
      <c r="ECH29" s="3"/>
      <c r="ECI29" s="3"/>
      <c r="ECJ29" s="3"/>
      <c r="ECK29" s="3"/>
      <c r="ECL29" s="3"/>
      <c r="ECM29" s="3"/>
      <c r="ECN29" s="3"/>
      <c r="ECO29" s="3"/>
      <c r="ECP29" s="3"/>
      <c r="ECQ29" s="3"/>
      <c r="ECR29" s="3"/>
      <c r="ECS29" s="3"/>
      <c r="ECT29" s="3"/>
      <c r="ECU29" s="3"/>
      <c r="ECV29" s="3"/>
      <c r="ECW29" s="3"/>
      <c r="ECX29" s="3"/>
      <c r="ECY29" s="3"/>
      <c r="ECZ29" s="3"/>
      <c r="EDA29" s="3"/>
      <c r="EDB29" s="3"/>
      <c r="EDC29" s="3"/>
      <c r="EDD29" s="3"/>
      <c r="EDE29" s="3"/>
      <c r="EDF29" s="3"/>
      <c r="EDG29" s="3"/>
      <c r="EDH29" s="3"/>
      <c r="EDI29" s="3"/>
      <c r="EDJ29" s="3"/>
      <c r="EDK29" s="3"/>
      <c r="EDL29" s="3"/>
      <c r="EDM29" s="3"/>
      <c r="EDN29" s="3"/>
      <c r="EDO29" s="3"/>
      <c r="EDP29" s="3"/>
      <c r="EDQ29" s="3"/>
      <c r="EDR29" s="3"/>
      <c r="EDS29" s="3"/>
      <c r="EDT29" s="3"/>
      <c r="EDU29" s="3"/>
      <c r="EDV29" s="3"/>
      <c r="EDW29" s="3"/>
      <c r="EDX29" s="3"/>
      <c r="EDY29" s="3"/>
      <c r="EDZ29" s="3"/>
      <c r="EEA29" s="3"/>
      <c r="EEB29" s="3"/>
      <c r="EEC29" s="3"/>
      <c r="EED29" s="3"/>
      <c r="EEE29" s="3"/>
      <c r="EEF29" s="3"/>
      <c r="EEG29" s="3"/>
      <c r="EEH29" s="3"/>
      <c r="EEI29" s="3"/>
      <c r="EEJ29" s="3"/>
      <c r="EEK29" s="3"/>
      <c r="EEL29" s="3"/>
      <c r="EEM29" s="3"/>
      <c r="EEN29" s="3"/>
      <c r="EEO29" s="3"/>
      <c r="EEP29" s="3"/>
      <c r="EEQ29" s="3"/>
      <c r="EER29" s="3"/>
      <c r="EES29" s="3"/>
      <c r="EET29" s="3"/>
      <c r="EEU29" s="3"/>
      <c r="EEV29" s="3"/>
      <c r="EEW29" s="3"/>
      <c r="EEX29" s="3"/>
      <c r="EEY29" s="3"/>
      <c r="EEZ29" s="3"/>
      <c r="EFA29" s="3"/>
      <c r="EFB29" s="3"/>
      <c r="EFC29" s="3"/>
      <c r="EFD29" s="3"/>
      <c r="EFE29" s="3"/>
      <c r="EFF29" s="3"/>
      <c r="EFG29" s="3"/>
      <c r="EFH29" s="3"/>
      <c r="EFI29" s="3"/>
      <c r="EFJ29" s="3"/>
      <c r="EFK29" s="3"/>
      <c r="EFL29" s="3"/>
      <c r="EFM29" s="3"/>
      <c r="EFN29" s="3"/>
      <c r="EFO29" s="3"/>
      <c r="EFP29" s="3"/>
      <c r="EFQ29" s="3"/>
      <c r="EFR29" s="3"/>
      <c r="EFS29" s="3"/>
      <c r="EFT29" s="3"/>
      <c r="EFU29" s="3"/>
      <c r="EFV29" s="3"/>
      <c r="EFW29" s="3"/>
      <c r="EFX29" s="3"/>
      <c r="EFY29" s="3"/>
      <c r="EFZ29" s="3"/>
      <c r="EGA29" s="3"/>
      <c r="EGB29" s="3"/>
      <c r="EGC29" s="3"/>
      <c r="EGD29" s="3"/>
      <c r="EGE29" s="3"/>
      <c r="EGF29" s="3"/>
      <c r="EGG29" s="3"/>
      <c r="EGH29" s="3"/>
      <c r="EGI29" s="3"/>
      <c r="EGJ29" s="3"/>
      <c r="EGK29" s="3"/>
      <c r="EGL29" s="3"/>
      <c r="EGM29" s="3"/>
      <c r="EGN29" s="3"/>
      <c r="EGO29" s="3"/>
      <c r="EGP29" s="3"/>
      <c r="EGQ29" s="3"/>
      <c r="EGR29" s="3"/>
      <c r="EGS29" s="3"/>
      <c r="EGT29" s="3"/>
      <c r="EGU29" s="3"/>
      <c r="EGV29" s="3"/>
      <c r="EGW29" s="3"/>
      <c r="EGX29" s="3"/>
      <c r="EGY29" s="3"/>
      <c r="EGZ29" s="3"/>
      <c r="EHA29" s="3"/>
      <c r="EHB29" s="3"/>
      <c r="EHC29" s="3"/>
      <c r="EHD29" s="3"/>
      <c r="EHE29" s="3"/>
      <c r="EHF29" s="3"/>
      <c r="EHG29" s="3"/>
      <c r="EHH29" s="3"/>
      <c r="EHI29" s="3"/>
      <c r="EHJ29" s="3"/>
      <c r="EHK29" s="3"/>
      <c r="EHL29" s="3"/>
      <c r="EHM29" s="3"/>
      <c r="EHN29" s="3"/>
      <c r="EHO29" s="3"/>
      <c r="EHP29" s="3"/>
      <c r="EHQ29" s="3"/>
      <c r="EHR29" s="3"/>
      <c r="EHS29" s="3"/>
      <c r="EHT29" s="3"/>
      <c r="EHU29" s="3"/>
      <c r="EHV29" s="3"/>
      <c r="EHW29" s="3"/>
      <c r="EHX29" s="3"/>
      <c r="EHY29" s="3"/>
      <c r="EHZ29" s="3"/>
      <c r="EIA29" s="3"/>
      <c r="EIB29" s="3"/>
      <c r="EIC29" s="3"/>
      <c r="EID29" s="3"/>
      <c r="EIE29" s="3"/>
      <c r="EIF29" s="3"/>
      <c r="EIG29" s="3"/>
      <c r="EIH29" s="3"/>
      <c r="EII29" s="3"/>
      <c r="EIJ29" s="3"/>
      <c r="EIK29" s="3"/>
      <c r="EIL29" s="3"/>
      <c r="EIM29" s="3"/>
      <c r="EIN29" s="3"/>
      <c r="EIO29" s="3"/>
      <c r="EIP29" s="3"/>
      <c r="EIQ29" s="3"/>
      <c r="EIR29" s="3"/>
      <c r="EIS29" s="3"/>
      <c r="EIT29" s="3"/>
      <c r="EIU29" s="3"/>
      <c r="EIV29" s="3"/>
      <c r="EIW29" s="3"/>
      <c r="EIX29" s="3"/>
      <c r="EIY29" s="3"/>
      <c r="EIZ29" s="3"/>
      <c r="EJA29" s="3"/>
      <c r="EJB29" s="3"/>
      <c r="EJC29" s="3"/>
      <c r="EJD29" s="3"/>
      <c r="EJE29" s="3"/>
      <c r="EJF29" s="3"/>
      <c r="EJG29" s="3"/>
      <c r="EJH29" s="3"/>
      <c r="EJI29" s="3"/>
      <c r="EJJ29" s="3"/>
      <c r="EJK29" s="3"/>
      <c r="EJL29" s="3"/>
      <c r="EJM29" s="3"/>
      <c r="EJN29" s="3"/>
      <c r="EJO29" s="3"/>
      <c r="EJP29" s="3"/>
      <c r="EJQ29" s="3"/>
      <c r="EJR29" s="3"/>
      <c r="EJS29" s="3"/>
      <c r="EJT29" s="3"/>
      <c r="EJU29" s="3"/>
      <c r="EJV29" s="3"/>
      <c r="EJW29" s="3"/>
      <c r="EJX29" s="3"/>
      <c r="EJY29" s="3"/>
      <c r="EJZ29" s="3"/>
      <c r="EKA29" s="3"/>
      <c r="EKB29" s="3"/>
      <c r="EKC29" s="3"/>
      <c r="EKD29" s="3"/>
      <c r="EKE29" s="3"/>
      <c r="EKF29" s="3"/>
      <c r="EKG29" s="3"/>
      <c r="EKH29" s="3"/>
      <c r="EKI29" s="3"/>
      <c r="EKJ29" s="3"/>
      <c r="EKK29" s="3"/>
      <c r="EKL29" s="3"/>
      <c r="EKM29" s="3"/>
      <c r="EKN29" s="3"/>
      <c r="EKO29" s="3"/>
      <c r="EKP29" s="3"/>
      <c r="EKQ29" s="3"/>
      <c r="EKR29" s="3"/>
      <c r="EKS29" s="3"/>
      <c r="EKT29" s="3"/>
      <c r="EKU29" s="3"/>
      <c r="EKV29" s="3"/>
      <c r="EKW29" s="3"/>
      <c r="EKX29" s="3"/>
      <c r="EKY29" s="3"/>
      <c r="EKZ29" s="3"/>
      <c r="ELA29" s="3"/>
      <c r="ELB29" s="3"/>
      <c r="ELC29" s="3"/>
      <c r="ELD29" s="3"/>
      <c r="ELE29" s="3"/>
      <c r="ELF29" s="3"/>
      <c r="ELG29" s="3"/>
      <c r="ELH29" s="3"/>
      <c r="ELI29" s="3"/>
      <c r="ELJ29" s="3"/>
      <c r="ELK29" s="3"/>
      <c r="ELL29" s="3"/>
      <c r="ELM29" s="3"/>
      <c r="ELN29" s="3"/>
      <c r="ELO29" s="3"/>
      <c r="ELP29" s="3"/>
      <c r="ELQ29" s="3"/>
      <c r="ELR29" s="3"/>
      <c r="ELS29" s="3"/>
      <c r="ELT29" s="3"/>
      <c r="ELU29" s="3"/>
      <c r="ELV29" s="3"/>
      <c r="ELW29" s="3"/>
      <c r="ELX29" s="3"/>
      <c r="ELY29" s="3"/>
      <c r="ELZ29" s="3"/>
      <c r="EMA29" s="3"/>
      <c r="EMB29" s="3"/>
      <c r="EMC29" s="3"/>
      <c r="EMD29" s="3"/>
      <c r="EME29" s="3"/>
      <c r="EMF29" s="3"/>
      <c r="EMG29" s="3"/>
      <c r="EMH29" s="3"/>
      <c r="EMI29" s="3"/>
      <c r="EMJ29" s="3"/>
      <c r="EMK29" s="3"/>
      <c r="EML29" s="3"/>
      <c r="EMM29" s="3"/>
      <c r="EMN29" s="3"/>
      <c r="EMO29" s="3"/>
      <c r="EMP29" s="3"/>
      <c r="EMQ29" s="3"/>
      <c r="EMR29" s="3"/>
      <c r="EMS29" s="3"/>
      <c r="EMT29" s="3"/>
      <c r="EMU29" s="3"/>
      <c r="EMV29" s="3"/>
      <c r="EMW29" s="3"/>
      <c r="EMX29" s="3"/>
      <c r="EMY29" s="3"/>
      <c r="EMZ29" s="3"/>
      <c r="ENA29" s="3"/>
      <c r="ENB29" s="3"/>
      <c r="ENC29" s="3"/>
      <c r="END29" s="3"/>
      <c r="ENE29" s="3"/>
      <c r="ENF29" s="3"/>
      <c r="ENG29" s="3"/>
      <c r="ENH29" s="3"/>
      <c r="ENI29" s="3"/>
      <c r="ENJ29" s="3"/>
      <c r="ENK29" s="3"/>
      <c r="ENL29" s="3"/>
      <c r="ENM29" s="3"/>
      <c r="ENN29" s="3"/>
      <c r="ENO29" s="3"/>
      <c r="ENP29" s="3"/>
      <c r="ENQ29" s="3"/>
      <c r="ENR29" s="3"/>
      <c r="ENS29" s="3"/>
      <c r="ENT29" s="3"/>
      <c r="ENU29" s="3"/>
      <c r="ENV29" s="3"/>
      <c r="ENW29" s="3"/>
      <c r="ENX29" s="3"/>
      <c r="ENY29" s="3"/>
      <c r="ENZ29" s="3"/>
      <c r="EOA29" s="3"/>
      <c r="EOB29" s="3"/>
      <c r="EOC29" s="3"/>
      <c r="EOD29" s="3"/>
      <c r="EOE29" s="3"/>
      <c r="EOF29" s="3"/>
      <c r="EOG29" s="3"/>
      <c r="EOH29" s="3"/>
      <c r="EOI29" s="3"/>
      <c r="EOJ29" s="3"/>
      <c r="EOK29" s="3"/>
      <c r="EOL29" s="3"/>
      <c r="EOM29" s="3"/>
      <c r="EON29" s="3"/>
      <c r="EOO29" s="3"/>
      <c r="EOP29" s="3"/>
      <c r="EOQ29" s="3"/>
      <c r="EOR29" s="3"/>
      <c r="EOS29" s="3"/>
      <c r="EOT29" s="3"/>
      <c r="EOU29" s="3"/>
      <c r="EOV29" s="3"/>
      <c r="EOW29" s="3"/>
      <c r="EOX29" s="3"/>
      <c r="EOY29" s="3"/>
      <c r="EOZ29" s="3"/>
      <c r="EPA29" s="3"/>
      <c r="EPB29" s="3"/>
      <c r="EPC29" s="3"/>
      <c r="EPD29" s="3"/>
      <c r="EPE29" s="3"/>
      <c r="EPF29" s="3"/>
      <c r="EPG29" s="3"/>
      <c r="EPH29" s="3"/>
      <c r="EPI29" s="3"/>
      <c r="EPJ29" s="3"/>
      <c r="EPK29" s="3"/>
      <c r="EPL29" s="3"/>
      <c r="EPM29" s="3"/>
      <c r="EPN29" s="3"/>
      <c r="EPO29" s="3"/>
      <c r="EPP29" s="3"/>
      <c r="EPQ29" s="3"/>
      <c r="EPR29" s="3"/>
      <c r="EPS29" s="3"/>
      <c r="EPT29" s="3"/>
      <c r="EPU29" s="3"/>
      <c r="EPV29" s="3"/>
      <c r="EPW29" s="3"/>
      <c r="EPX29" s="3"/>
      <c r="EPY29" s="3"/>
      <c r="EPZ29" s="3"/>
      <c r="EQA29" s="3"/>
      <c r="EQB29" s="3"/>
      <c r="EQC29" s="3"/>
      <c r="EQD29" s="3"/>
      <c r="EQE29" s="3"/>
      <c r="EQF29" s="3"/>
      <c r="EQG29" s="3"/>
      <c r="EQH29" s="3"/>
      <c r="EQI29" s="3"/>
      <c r="EQJ29" s="3"/>
      <c r="EQK29" s="3"/>
      <c r="EQL29" s="3"/>
      <c r="EQM29" s="3"/>
      <c r="EQN29" s="3"/>
      <c r="EQO29" s="3"/>
      <c r="EQP29" s="3"/>
      <c r="EQQ29" s="3"/>
      <c r="EQR29" s="3"/>
      <c r="EQS29" s="3"/>
      <c r="EQT29" s="3"/>
      <c r="EQU29" s="3"/>
      <c r="EQV29" s="3"/>
      <c r="EQW29" s="3"/>
      <c r="EQX29" s="3"/>
      <c r="EQY29" s="3"/>
      <c r="EQZ29" s="3"/>
      <c r="ERA29" s="3"/>
      <c r="ERB29" s="3"/>
      <c r="ERC29" s="3"/>
      <c r="ERD29" s="3"/>
      <c r="ERE29" s="3"/>
      <c r="ERF29" s="3"/>
      <c r="ERG29" s="3"/>
      <c r="ERH29" s="3"/>
      <c r="ERI29" s="3"/>
      <c r="ERJ29" s="3"/>
      <c r="ERK29" s="3"/>
      <c r="ERL29" s="3"/>
      <c r="ERM29" s="3"/>
      <c r="ERN29" s="3"/>
      <c r="ERO29" s="3"/>
      <c r="ERP29" s="3"/>
      <c r="ERQ29" s="3"/>
      <c r="ERR29" s="3"/>
      <c r="ERS29" s="3"/>
      <c r="ERT29" s="3"/>
      <c r="ERU29" s="3"/>
      <c r="ERV29" s="3"/>
      <c r="ERW29" s="3"/>
      <c r="ERX29" s="3"/>
      <c r="ERY29" s="3"/>
      <c r="ERZ29" s="3"/>
      <c r="ESA29" s="3"/>
      <c r="ESB29" s="3"/>
      <c r="ESC29" s="3"/>
      <c r="ESD29" s="3"/>
      <c r="ESE29" s="3"/>
      <c r="ESF29" s="3"/>
      <c r="ESG29" s="3"/>
      <c r="ESH29" s="3"/>
      <c r="ESI29" s="3"/>
      <c r="ESJ29" s="3"/>
      <c r="ESK29" s="3"/>
      <c r="ESL29" s="3"/>
      <c r="ESM29" s="3"/>
      <c r="ESN29" s="3"/>
      <c r="ESO29" s="3"/>
      <c r="ESP29" s="3"/>
      <c r="ESQ29" s="3"/>
      <c r="ESR29" s="3"/>
      <c r="ESS29" s="3"/>
      <c r="EST29" s="3"/>
      <c r="ESU29" s="3"/>
      <c r="ESV29" s="3"/>
      <c r="ESW29" s="3"/>
      <c r="ESX29" s="3"/>
      <c r="ESY29" s="3"/>
      <c r="ESZ29" s="3"/>
      <c r="ETA29" s="3"/>
      <c r="ETB29" s="3"/>
      <c r="ETC29" s="3"/>
      <c r="ETD29" s="3"/>
      <c r="ETE29" s="3"/>
      <c r="ETF29" s="3"/>
      <c r="ETG29" s="3"/>
      <c r="ETH29" s="3"/>
      <c r="ETI29" s="3"/>
      <c r="ETJ29" s="3"/>
      <c r="ETK29" s="3"/>
      <c r="ETL29" s="3"/>
      <c r="ETM29" s="3"/>
      <c r="ETN29" s="3"/>
      <c r="ETO29" s="3"/>
      <c r="ETP29" s="3"/>
      <c r="ETQ29" s="3"/>
      <c r="ETR29" s="3"/>
      <c r="ETS29" s="3"/>
      <c r="ETT29" s="3"/>
      <c r="ETU29" s="3"/>
      <c r="ETV29" s="3"/>
      <c r="ETW29" s="3"/>
      <c r="ETX29" s="3"/>
      <c r="ETY29" s="3"/>
      <c r="ETZ29" s="3"/>
      <c r="EUA29" s="3"/>
      <c r="EUB29" s="3"/>
      <c r="EUC29" s="3"/>
      <c r="EUD29" s="3"/>
      <c r="EUE29" s="3"/>
      <c r="EUF29" s="3"/>
      <c r="EUG29" s="3"/>
      <c r="EUH29" s="3"/>
      <c r="EUI29" s="3"/>
      <c r="EUJ29" s="3"/>
      <c r="EUK29" s="3"/>
      <c r="EUL29" s="3"/>
      <c r="EUM29" s="3"/>
      <c r="EUN29" s="3"/>
      <c r="EUO29" s="3"/>
      <c r="EUP29" s="3"/>
      <c r="EUQ29" s="3"/>
      <c r="EUR29" s="3"/>
      <c r="EUS29" s="3"/>
      <c r="EUT29" s="3"/>
      <c r="EUU29" s="3"/>
      <c r="EUV29" s="3"/>
      <c r="EUW29" s="3"/>
      <c r="EUX29" s="3"/>
      <c r="EUY29" s="3"/>
      <c r="EUZ29" s="3"/>
      <c r="EVA29" s="3"/>
      <c r="EVB29" s="3"/>
      <c r="EVC29" s="3"/>
      <c r="EVD29" s="3"/>
      <c r="EVE29" s="3"/>
      <c r="EVF29" s="3"/>
      <c r="EVG29" s="3"/>
      <c r="EVH29" s="3"/>
      <c r="EVI29" s="3"/>
      <c r="EVJ29" s="3"/>
      <c r="EVK29" s="3"/>
      <c r="EVL29" s="3"/>
      <c r="EVM29" s="3"/>
      <c r="EVN29" s="3"/>
      <c r="EVO29" s="3"/>
      <c r="EVP29" s="3"/>
      <c r="EVQ29" s="3"/>
      <c r="EVR29" s="3"/>
      <c r="EVS29" s="3"/>
      <c r="EVT29" s="3"/>
      <c r="EVU29" s="3"/>
      <c r="EVV29" s="3"/>
      <c r="EVW29" s="3"/>
      <c r="EVX29" s="3"/>
      <c r="EVY29" s="3"/>
      <c r="EVZ29" s="3"/>
      <c r="EWA29" s="3"/>
      <c r="EWB29" s="3"/>
      <c r="EWC29" s="3"/>
      <c r="EWD29" s="3"/>
      <c r="EWE29" s="3"/>
      <c r="EWF29" s="3"/>
      <c r="EWG29" s="3"/>
      <c r="EWH29" s="3"/>
      <c r="EWI29" s="3"/>
      <c r="EWJ29" s="3"/>
      <c r="EWK29" s="3"/>
      <c r="EWL29" s="3"/>
      <c r="EWM29" s="3"/>
      <c r="EWN29" s="3"/>
      <c r="EWO29" s="3"/>
      <c r="EWP29" s="3"/>
      <c r="EWQ29" s="3"/>
      <c r="EWR29" s="3"/>
      <c r="EWS29" s="3"/>
      <c r="EWT29" s="3"/>
      <c r="EWU29" s="3"/>
      <c r="EWV29" s="3"/>
      <c r="EWW29" s="3"/>
      <c r="EWX29" s="3"/>
      <c r="EWY29" s="3"/>
      <c r="EWZ29" s="3"/>
      <c r="EXA29" s="3"/>
      <c r="EXB29" s="3"/>
      <c r="EXC29" s="3"/>
      <c r="EXD29" s="3"/>
      <c r="EXE29" s="3"/>
      <c r="EXF29" s="3"/>
      <c r="EXG29" s="3"/>
      <c r="EXH29" s="3"/>
      <c r="EXI29" s="3"/>
      <c r="EXJ29" s="3"/>
      <c r="EXK29" s="3"/>
      <c r="EXL29" s="3"/>
      <c r="EXM29" s="3"/>
      <c r="EXN29" s="3"/>
      <c r="EXO29" s="3"/>
      <c r="EXP29" s="3"/>
      <c r="EXQ29" s="3"/>
      <c r="EXR29" s="3"/>
      <c r="EXS29" s="3"/>
      <c r="EXT29" s="3"/>
      <c r="EXU29" s="3"/>
      <c r="EXV29" s="3"/>
      <c r="EXW29" s="3"/>
      <c r="EXX29" s="3"/>
      <c r="EXY29" s="3"/>
      <c r="EXZ29" s="3"/>
      <c r="EYA29" s="3"/>
      <c r="EYB29" s="3"/>
      <c r="EYC29" s="3"/>
      <c r="EYD29" s="3"/>
      <c r="EYE29" s="3"/>
      <c r="EYF29" s="3"/>
      <c r="EYG29" s="3"/>
      <c r="EYH29" s="3"/>
      <c r="EYI29" s="3"/>
      <c r="EYJ29" s="3"/>
      <c r="EYK29" s="3"/>
      <c r="EYL29" s="3"/>
      <c r="EYM29" s="3"/>
      <c r="EYN29" s="3"/>
      <c r="EYO29" s="3"/>
      <c r="EYP29" s="3"/>
      <c r="EYQ29" s="3"/>
      <c r="EYR29" s="3"/>
      <c r="EYS29" s="3"/>
      <c r="EYT29" s="3"/>
      <c r="EYU29" s="3"/>
      <c r="EYV29" s="3"/>
      <c r="EYW29" s="3"/>
      <c r="EYX29" s="3"/>
      <c r="EYY29" s="3"/>
      <c r="EYZ29" s="3"/>
      <c r="EZA29" s="3"/>
      <c r="EZB29" s="3"/>
      <c r="EZC29" s="3"/>
      <c r="EZD29" s="3"/>
      <c r="EZE29" s="3"/>
      <c r="EZF29" s="3"/>
      <c r="EZG29" s="3"/>
      <c r="EZH29" s="3"/>
      <c r="EZI29" s="3"/>
      <c r="EZJ29" s="3"/>
      <c r="EZK29" s="3"/>
      <c r="EZL29" s="3"/>
      <c r="EZM29" s="3"/>
      <c r="EZN29" s="3"/>
      <c r="EZO29" s="3"/>
      <c r="EZP29" s="3"/>
      <c r="EZQ29" s="3"/>
      <c r="EZR29" s="3"/>
      <c r="EZS29" s="3"/>
      <c r="EZT29" s="3"/>
      <c r="EZU29" s="3"/>
      <c r="EZV29" s="3"/>
      <c r="EZW29" s="3"/>
      <c r="EZX29" s="3"/>
      <c r="EZY29" s="3"/>
      <c r="EZZ29" s="3"/>
      <c r="FAA29" s="3"/>
      <c r="FAB29" s="3"/>
      <c r="FAC29" s="3"/>
      <c r="FAD29" s="3"/>
      <c r="FAE29" s="3"/>
      <c r="FAF29" s="3"/>
      <c r="FAG29" s="3"/>
      <c r="FAH29" s="3"/>
      <c r="FAI29" s="3"/>
      <c r="FAJ29" s="3"/>
      <c r="FAK29" s="3"/>
      <c r="FAL29" s="3"/>
      <c r="FAM29" s="3"/>
      <c r="FAN29" s="3"/>
      <c r="FAO29" s="3"/>
      <c r="FAP29" s="3"/>
      <c r="FAQ29" s="3"/>
      <c r="FAR29" s="3"/>
      <c r="FAS29" s="3"/>
      <c r="FAT29" s="3"/>
      <c r="FAU29" s="3"/>
      <c r="FAV29" s="3"/>
      <c r="FAW29" s="3"/>
      <c r="FAX29" s="3"/>
      <c r="FAY29" s="3"/>
      <c r="FAZ29" s="3"/>
      <c r="FBA29" s="3"/>
      <c r="FBB29" s="3"/>
      <c r="FBC29" s="3"/>
      <c r="FBD29" s="3"/>
      <c r="FBE29" s="3"/>
      <c r="FBF29" s="3"/>
      <c r="FBG29" s="3"/>
      <c r="FBH29" s="3"/>
      <c r="FBI29" s="3"/>
      <c r="FBJ29" s="3"/>
      <c r="FBK29" s="3"/>
      <c r="FBL29" s="3"/>
      <c r="FBM29" s="3"/>
      <c r="FBN29" s="3"/>
      <c r="FBO29" s="3"/>
      <c r="FBP29" s="3"/>
      <c r="FBQ29" s="3"/>
      <c r="FBR29" s="3"/>
      <c r="FBS29" s="3"/>
      <c r="FBT29" s="3"/>
      <c r="FBU29" s="3"/>
      <c r="FBV29" s="3"/>
      <c r="FBW29" s="3"/>
      <c r="FBX29" s="3"/>
      <c r="FBY29" s="3"/>
      <c r="FBZ29" s="3"/>
      <c r="FCA29" s="3"/>
      <c r="FCB29" s="3"/>
      <c r="FCC29" s="3"/>
      <c r="FCD29" s="3"/>
      <c r="FCE29" s="3"/>
      <c r="FCF29" s="3"/>
      <c r="FCG29" s="3"/>
      <c r="FCH29" s="3"/>
      <c r="FCI29" s="3"/>
      <c r="FCJ29" s="3"/>
      <c r="FCK29" s="3"/>
      <c r="FCL29" s="3"/>
      <c r="FCM29" s="3"/>
      <c r="FCN29" s="3"/>
      <c r="FCO29" s="3"/>
      <c r="FCP29" s="3"/>
      <c r="FCQ29" s="3"/>
      <c r="FCR29" s="3"/>
      <c r="FCS29" s="3"/>
      <c r="FCT29" s="3"/>
      <c r="FCU29" s="3"/>
      <c r="FCV29" s="3"/>
      <c r="FCW29" s="3"/>
      <c r="FCX29" s="3"/>
      <c r="FCY29" s="3"/>
      <c r="FCZ29" s="3"/>
      <c r="FDA29" s="3"/>
      <c r="FDB29" s="3"/>
      <c r="FDC29" s="3"/>
      <c r="FDD29" s="3"/>
      <c r="FDE29" s="3"/>
      <c r="FDF29" s="3"/>
      <c r="FDG29" s="3"/>
      <c r="FDH29" s="3"/>
      <c r="FDI29" s="3"/>
      <c r="FDJ29" s="3"/>
      <c r="FDK29" s="3"/>
      <c r="FDL29" s="3"/>
      <c r="FDM29" s="3"/>
      <c r="FDN29" s="3"/>
      <c r="FDO29" s="3"/>
      <c r="FDP29" s="3"/>
      <c r="FDQ29" s="3"/>
      <c r="FDR29" s="3"/>
      <c r="FDS29" s="3"/>
      <c r="FDT29" s="3"/>
      <c r="FDU29" s="3"/>
      <c r="FDV29" s="3"/>
      <c r="FDW29" s="3"/>
      <c r="FDX29" s="3"/>
      <c r="FDY29" s="3"/>
      <c r="FDZ29" s="3"/>
      <c r="FEA29" s="3"/>
      <c r="FEB29" s="3"/>
      <c r="FEC29" s="3"/>
      <c r="FED29" s="3"/>
      <c r="FEE29" s="3"/>
      <c r="FEF29" s="3"/>
      <c r="FEG29" s="3"/>
      <c r="FEH29" s="3"/>
      <c r="FEI29" s="3"/>
      <c r="FEJ29" s="3"/>
      <c r="FEK29" s="3"/>
      <c r="FEL29" s="3"/>
      <c r="FEM29" s="3"/>
      <c r="FEN29" s="3"/>
      <c r="FEO29" s="3"/>
      <c r="FEP29" s="3"/>
      <c r="FEQ29" s="3"/>
      <c r="FER29" s="3"/>
      <c r="FES29" s="3"/>
      <c r="FET29" s="3"/>
      <c r="FEU29" s="3"/>
      <c r="FEV29" s="3"/>
      <c r="FEW29" s="3"/>
      <c r="FEX29" s="3"/>
      <c r="FEY29" s="3"/>
      <c r="FEZ29" s="3"/>
      <c r="FFA29" s="3"/>
      <c r="FFB29" s="3"/>
      <c r="FFC29" s="3"/>
      <c r="FFD29" s="3"/>
      <c r="FFE29" s="3"/>
      <c r="FFF29" s="3"/>
      <c r="FFG29" s="3"/>
      <c r="FFH29" s="3"/>
      <c r="FFI29" s="3"/>
      <c r="FFJ29" s="3"/>
      <c r="FFK29" s="3"/>
      <c r="FFL29" s="3"/>
      <c r="FFM29" s="3"/>
      <c r="FFN29" s="3"/>
      <c r="FFO29" s="3"/>
      <c r="FFP29" s="3"/>
      <c r="FFQ29" s="3"/>
      <c r="FFR29" s="3"/>
      <c r="FFS29" s="3"/>
      <c r="FFT29" s="3"/>
      <c r="FFU29" s="3"/>
      <c r="FFV29" s="3"/>
      <c r="FFW29" s="3"/>
      <c r="FFX29" s="3"/>
      <c r="FFY29" s="3"/>
      <c r="FFZ29" s="3"/>
      <c r="FGA29" s="3"/>
      <c r="FGB29" s="3"/>
      <c r="FGC29" s="3"/>
      <c r="FGD29" s="3"/>
      <c r="FGE29" s="3"/>
      <c r="FGF29" s="3"/>
      <c r="FGG29" s="3"/>
      <c r="FGH29" s="3"/>
      <c r="FGI29" s="3"/>
      <c r="FGJ29" s="3"/>
      <c r="FGK29" s="3"/>
      <c r="FGL29" s="3"/>
      <c r="FGM29" s="3"/>
      <c r="FGN29" s="3"/>
      <c r="FGO29" s="3"/>
      <c r="FGP29" s="3"/>
      <c r="FGQ29" s="3"/>
      <c r="FGR29" s="3"/>
      <c r="FGS29" s="3"/>
      <c r="FGT29" s="3"/>
      <c r="FGU29" s="3"/>
      <c r="FGV29" s="3"/>
      <c r="FGW29" s="3"/>
      <c r="FGX29" s="3"/>
      <c r="FGY29" s="3"/>
      <c r="FGZ29" s="3"/>
      <c r="FHA29" s="3"/>
      <c r="FHB29" s="3"/>
      <c r="FHC29" s="3"/>
      <c r="FHD29" s="3"/>
      <c r="FHE29" s="3"/>
      <c r="FHF29" s="3"/>
      <c r="FHG29" s="3"/>
      <c r="FHH29" s="3"/>
      <c r="FHI29" s="3"/>
      <c r="FHJ29" s="3"/>
      <c r="FHK29" s="3"/>
      <c r="FHL29" s="3"/>
      <c r="FHM29" s="3"/>
      <c r="FHN29" s="3"/>
      <c r="FHO29" s="3"/>
      <c r="FHP29" s="3"/>
      <c r="FHQ29" s="3"/>
      <c r="FHR29" s="3"/>
      <c r="FHS29" s="3"/>
      <c r="FHT29" s="3"/>
      <c r="FHU29" s="3"/>
      <c r="FHV29" s="3"/>
      <c r="FHW29" s="3"/>
      <c r="FHX29" s="3"/>
      <c r="FHY29" s="3"/>
      <c r="FHZ29" s="3"/>
      <c r="FIA29" s="3"/>
      <c r="FIB29" s="3"/>
      <c r="FIC29" s="3"/>
      <c r="FID29" s="3"/>
      <c r="FIE29" s="3"/>
      <c r="FIF29" s="3"/>
      <c r="FIG29" s="3"/>
      <c r="FIH29" s="3"/>
      <c r="FII29" s="3"/>
      <c r="FIJ29" s="3"/>
      <c r="FIK29" s="3"/>
      <c r="FIL29" s="3"/>
      <c r="FIM29" s="3"/>
      <c r="FIN29" s="3"/>
      <c r="FIO29" s="3"/>
      <c r="FIP29" s="3"/>
      <c r="FIQ29" s="3"/>
      <c r="FIR29" s="3"/>
      <c r="FIS29" s="3"/>
      <c r="FIT29" s="3"/>
      <c r="FIU29" s="3"/>
      <c r="FIV29" s="3"/>
      <c r="FIW29" s="3"/>
      <c r="FIX29" s="3"/>
      <c r="FIY29" s="3"/>
      <c r="FIZ29" s="3"/>
      <c r="FJA29" s="3"/>
      <c r="FJB29" s="3"/>
      <c r="FJC29" s="3"/>
      <c r="FJD29" s="3"/>
      <c r="FJE29" s="3"/>
      <c r="FJF29" s="3"/>
      <c r="FJG29" s="3"/>
      <c r="FJH29" s="3"/>
      <c r="FJI29" s="3"/>
      <c r="FJJ29" s="3"/>
      <c r="FJK29" s="3"/>
      <c r="FJL29" s="3"/>
      <c r="FJM29" s="3"/>
      <c r="FJN29" s="3"/>
      <c r="FJO29" s="3"/>
      <c r="FJP29" s="3"/>
      <c r="FJQ29" s="3"/>
      <c r="FJR29" s="3"/>
      <c r="FJS29" s="3"/>
      <c r="FJT29" s="3"/>
      <c r="FJU29" s="3"/>
      <c r="FJV29" s="3"/>
      <c r="FJW29" s="3"/>
      <c r="FJX29" s="3"/>
      <c r="FJY29" s="3"/>
      <c r="FJZ29" s="3"/>
      <c r="FKA29" s="3"/>
      <c r="FKB29" s="3"/>
      <c r="FKC29" s="3"/>
      <c r="FKD29" s="3"/>
      <c r="FKE29" s="3"/>
      <c r="FKF29" s="3"/>
      <c r="FKG29" s="3"/>
      <c r="FKH29" s="3"/>
      <c r="FKI29" s="3"/>
      <c r="FKJ29" s="3"/>
      <c r="FKK29" s="3"/>
      <c r="FKL29" s="3"/>
      <c r="FKM29" s="3"/>
      <c r="FKN29" s="3"/>
      <c r="FKO29" s="3"/>
      <c r="FKP29" s="3"/>
      <c r="FKQ29" s="3"/>
      <c r="FKR29" s="3"/>
      <c r="FKS29" s="3"/>
      <c r="FKT29" s="3"/>
      <c r="FKU29" s="3"/>
      <c r="FKV29" s="3"/>
      <c r="FKW29" s="3"/>
      <c r="FKX29" s="3"/>
      <c r="FKY29" s="3"/>
      <c r="FKZ29" s="3"/>
      <c r="FLA29" s="3"/>
      <c r="FLB29" s="3"/>
      <c r="FLC29" s="3"/>
      <c r="FLD29" s="3"/>
      <c r="FLE29" s="3"/>
      <c r="FLF29" s="3"/>
      <c r="FLG29" s="3"/>
      <c r="FLH29" s="3"/>
      <c r="FLI29" s="3"/>
      <c r="FLJ29" s="3"/>
      <c r="FLK29" s="3"/>
      <c r="FLL29" s="3"/>
      <c r="FLM29" s="3"/>
      <c r="FLN29" s="3"/>
      <c r="FLO29" s="3"/>
      <c r="FLP29" s="3"/>
      <c r="FLQ29" s="3"/>
      <c r="FLR29" s="3"/>
      <c r="FLS29" s="3"/>
      <c r="FLT29" s="3"/>
      <c r="FLU29" s="3"/>
      <c r="FLV29" s="3"/>
      <c r="FLW29" s="3"/>
      <c r="FLX29" s="3"/>
      <c r="FLY29" s="3"/>
      <c r="FLZ29" s="3"/>
      <c r="FMA29" s="3"/>
      <c r="FMB29" s="3"/>
      <c r="FMC29" s="3"/>
      <c r="FMD29" s="3"/>
      <c r="FME29" s="3"/>
      <c r="FMF29" s="3"/>
      <c r="FMG29" s="3"/>
      <c r="FMH29" s="3"/>
      <c r="FMI29" s="3"/>
      <c r="FMJ29" s="3"/>
      <c r="FMK29" s="3"/>
      <c r="FML29" s="3"/>
      <c r="FMM29" s="3"/>
      <c r="FMN29" s="3"/>
      <c r="FMO29" s="3"/>
      <c r="FMP29" s="3"/>
      <c r="FMQ29" s="3"/>
      <c r="FMR29" s="3"/>
      <c r="FMS29" s="3"/>
      <c r="FMT29" s="3"/>
      <c r="FMU29" s="3"/>
      <c r="FMV29" s="3"/>
      <c r="FMW29" s="3"/>
      <c r="FMX29" s="3"/>
      <c r="FMY29" s="3"/>
      <c r="FMZ29" s="3"/>
      <c r="FNA29" s="3"/>
      <c r="FNB29" s="3"/>
      <c r="FNC29" s="3"/>
      <c r="FND29" s="3"/>
      <c r="FNE29" s="3"/>
      <c r="FNF29" s="3"/>
      <c r="FNG29" s="3"/>
      <c r="FNH29" s="3"/>
      <c r="FNI29" s="3"/>
      <c r="FNJ29" s="3"/>
      <c r="FNK29" s="3"/>
      <c r="FNL29" s="3"/>
      <c r="FNM29" s="3"/>
      <c r="FNN29" s="3"/>
      <c r="FNO29" s="3"/>
      <c r="FNP29" s="3"/>
      <c r="FNQ29" s="3"/>
      <c r="FNR29" s="3"/>
      <c r="FNS29" s="3"/>
      <c r="FNT29" s="3"/>
      <c r="FNU29" s="3"/>
      <c r="FNV29" s="3"/>
      <c r="FNW29" s="3"/>
      <c r="FNX29" s="3"/>
      <c r="FNY29" s="3"/>
      <c r="FNZ29" s="3"/>
      <c r="FOA29" s="3"/>
      <c r="FOB29" s="3"/>
      <c r="FOC29" s="3"/>
      <c r="FOD29" s="3"/>
      <c r="FOE29" s="3"/>
      <c r="FOF29" s="3"/>
      <c r="FOG29" s="3"/>
      <c r="FOH29" s="3"/>
      <c r="FOI29" s="3"/>
      <c r="FOJ29" s="3"/>
      <c r="FOK29" s="3"/>
      <c r="FOL29" s="3"/>
      <c r="FOM29" s="3"/>
      <c r="FON29" s="3"/>
      <c r="FOO29" s="3"/>
      <c r="FOP29" s="3"/>
      <c r="FOQ29" s="3"/>
      <c r="FOR29" s="3"/>
      <c r="FOS29" s="3"/>
      <c r="FOT29" s="3"/>
      <c r="FOU29" s="3"/>
      <c r="FOV29" s="3"/>
      <c r="FOW29" s="3"/>
      <c r="FOX29" s="3"/>
      <c r="FOY29" s="3"/>
      <c r="FOZ29" s="3"/>
      <c r="FPA29" s="3"/>
      <c r="FPB29" s="3"/>
      <c r="FPC29" s="3"/>
      <c r="FPD29" s="3"/>
      <c r="FPE29" s="3"/>
      <c r="FPF29" s="3"/>
      <c r="FPG29" s="3"/>
      <c r="FPH29" s="3"/>
      <c r="FPI29" s="3"/>
      <c r="FPJ29" s="3"/>
      <c r="FPK29" s="3"/>
      <c r="FPL29" s="3"/>
      <c r="FPM29" s="3"/>
      <c r="FPN29" s="3"/>
      <c r="FPO29" s="3"/>
      <c r="FPP29" s="3"/>
      <c r="FPQ29" s="3"/>
      <c r="FPR29" s="3"/>
      <c r="FPS29" s="3"/>
      <c r="FPT29" s="3"/>
      <c r="FPU29" s="3"/>
      <c r="FPV29" s="3"/>
      <c r="FPW29" s="3"/>
      <c r="FPX29" s="3"/>
      <c r="FPY29" s="3"/>
      <c r="FPZ29" s="3"/>
      <c r="FQA29" s="3"/>
      <c r="FQB29" s="3"/>
      <c r="FQC29" s="3"/>
      <c r="FQD29" s="3"/>
      <c r="FQE29" s="3"/>
      <c r="FQF29" s="3"/>
      <c r="FQG29" s="3"/>
      <c r="FQH29" s="3"/>
      <c r="FQI29" s="3"/>
      <c r="FQJ29" s="3"/>
      <c r="FQK29" s="3"/>
      <c r="FQL29" s="3"/>
      <c r="FQM29" s="3"/>
      <c r="FQN29" s="3"/>
      <c r="FQO29" s="3"/>
      <c r="FQP29" s="3"/>
      <c r="FQQ29" s="3"/>
      <c r="FQR29" s="3"/>
      <c r="FQS29" s="3"/>
      <c r="FQT29" s="3"/>
      <c r="FQU29" s="3"/>
      <c r="FQV29" s="3"/>
      <c r="FQW29" s="3"/>
      <c r="FQX29" s="3"/>
      <c r="FQY29" s="3"/>
      <c r="FQZ29" s="3"/>
      <c r="FRA29" s="3"/>
      <c r="FRB29" s="3"/>
      <c r="FRC29" s="3"/>
      <c r="FRD29" s="3"/>
      <c r="FRE29" s="3"/>
      <c r="FRF29" s="3"/>
      <c r="FRG29" s="3"/>
      <c r="FRH29" s="3"/>
      <c r="FRI29" s="3"/>
      <c r="FRJ29" s="3"/>
      <c r="FRK29" s="3"/>
      <c r="FRL29" s="3"/>
      <c r="FRM29" s="3"/>
      <c r="FRN29" s="3"/>
      <c r="FRO29" s="3"/>
      <c r="FRP29" s="3"/>
      <c r="FRQ29" s="3"/>
      <c r="FRR29" s="3"/>
      <c r="FRS29" s="3"/>
      <c r="FRT29" s="3"/>
      <c r="FRU29" s="3"/>
      <c r="FRV29" s="3"/>
      <c r="FRW29" s="3"/>
      <c r="FRX29" s="3"/>
      <c r="FRY29" s="3"/>
      <c r="FRZ29" s="3"/>
      <c r="FSA29" s="3"/>
      <c r="FSB29" s="3"/>
      <c r="FSC29" s="3"/>
      <c r="FSD29" s="3"/>
      <c r="FSE29" s="3"/>
      <c r="FSF29" s="3"/>
      <c r="FSG29" s="3"/>
      <c r="FSH29" s="3"/>
      <c r="FSI29" s="3"/>
      <c r="FSJ29" s="3"/>
      <c r="FSK29" s="3"/>
      <c r="FSL29" s="3"/>
      <c r="FSM29" s="3"/>
      <c r="FSN29" s="3"/>
      <c r="FSO29" s="3"/>
      <c r="FSP29" s="3"/>
      <c r="FSQ29" s="3"/>
      <c r="FSR29" s="3"/>
      <c r="FSS29" s="3"/>
      <c r="FST29" s="3"/>
      <c r="FSU29" s="3"/>
      <c r="FSV29" s="3"/>
      <c r="FSW29" s="3"/>
      <c r="FSX29" s="3"/>
      <c r="FSY29" s="3"/>
      <c r="FSZ29" s="3"/>
      <c r="FTA29" s="3"/>
      <c r="FTB29" s="3"/>
      <c r="FTC29" s="3"/>
      <c r="FTD29" s="3"/>
      <c r="FTE29" s="3"/>
      <c r="FTF29" s="3"/>
      <c r="FTG29" s="3"/>
      <c r="FTH29" s="3"/>
      <c r="FTI29" s="3"/>
      <c r="FTJ29" s="3"/>
      <c r="FTK29" s="3"/>
      <c r="FTL29" s="3"/>
      <c r="FTM29" s="3"/>
      <c r="FTN29" s="3"/>
      <c r="FTO29" s="3"/>
      <c r="FTP29" s="3"/>
      <c r="FTQ29" s="3"/>
      <c r="FTR29" s="3"/>
      <c r="FTS29" s="3"/>
      <c r="FTT29" s="3"/>
      <c r="FTU29" s="3"/>
      <c r="FTV29" s="3"/>
      <c r="FTW29" s="3"/>
      <c r="FTX29" s="3"/>
      <c r="FTY29" s="3"/>
      <c r="FTZ29" s="3"/>
      <c r="FUA29" s="3"/>
      <c r="FUB29" s="3"/>
      <c r="FUC29" s="3"/>
      <c r="FUD29" s="3"/>
      <c r="FUE29" s="3"/>
      <c r="FUF29" s="3"/>
      <c r="FUG29" s="3"/>
      <c r="FUH29" s="3"/>
      <c r="FUI29" s="3"/>
      <c r="FUJ29" s="3"/>
      <c r="FUK29" s="3"/>
      <c r="FUL29" s="3"/>
      <c r="FUM29" s="3"/>
      <c r="FUN29" s="3"/>
      <c r="FUO29" s="3"/>
      <c r="FUP29" s="3"/>
      <c r="FUQ29" s="3"/>
      <c r="FUR29" s="3"/>
      <c r="FUS29" s="3"/>
      <c r="FUT29" s="3"/>
      <c r="FUU29" s="3"/>
      <c r="FUV29" s="3"/>
      <c r="FUW29" s="3"/>
      <c r="FUX29" s="3"/>
      <c r="FUY29" s="3"/>
      <c r="FUZ29" s="3"/>
      <c r="FVA29" s="3"/>
      <c r="FVB29" s="3"/>
      <c r="FVC29" s="3"/>
      <c r="FVD29" s="3"/>
      <c r="FVE29" s="3"/>
      <c r="FVF29" s="3"/>
      <c r="FVG29" s="3"/>
      <c r="FVH29" s="3"/>
      <c r="FVI29" s="3"/>
      <c r="FVJ29" s="3"/>
      <c r="FVK29" s="3"/>
      <c r="FVL29" s="3"/>
      <c r="FVM29" s="3"/>
      <c r="FVN29" s="3"/>
      <c r="FVO29" s="3"/>
      <c r="FVP29" s="3"/>
      <c r="FVQ29" s="3"/>
      <c r="FVR29" s="3"/>
      <c r="FVS29" s="3"/>
      <c r="FVT29" s="3"/>
      <c r="FVU29" s="3"/>
      <c r="FVV29" s="3"/>
      <c r="FVW29" s="3"/>
      <c r="FVX29" s="3"/>
      <c r="FVY29" s="3"/>
      <c r="FVZ29" s="3"/>
      <c r="FWA29" s="3"/>
      <c r="FWB29" s="3"/>
      <c r="FWC29" s="3"/>
      <c r="FWD29" s="3"/>
      <c r="FWE29" s="3"/>
      <c r="FWF29" s="3"/>
      <c r="FWG29" s="3"/>
      <c r="FWH29" s="3"/>
      <c r="FWI29" s="3"/>
      <c r="FWJ29" s="3"/>
      <c r="FWK29" s="3"/>
      <c r="FWL29" s="3"/>
      <c r="FWM29" s="3"/>
      <c r="FWN29" s="3"/>
      <c r="FWO29" s="3"/>
      <c r="FWP29" s="3"/>
      <c r="FWQ29" s="3"/>
      <c r="FWR29" s="3"/>
      <c r="FWS29" s="3"/>
      <c r="FWT29" s="3"/>
      <c r="FWU29" s="3"/>
      <c r="FWV29" s="3"/>
      <c r="FWW29" s="3"/>
      <c r="FWX29" s="3"/>
      <c r="FWY29" s="3"/>
      <c r="FWZ29" s="3"/>
      <c r="FXA29" s="3"/>
      <c r="FXB29" s="3"/>
      <c r="FXC29" s="3"/>
      <c r="FXD29" s="3"/>
      <c r="FXE29" s="3"/>
      <c r="FXF29" s="3"/>
      <c r="FXG29" s="3"/>
      <c r="FXH29" s="3"/>
      <c r="FXI29" s="3"/>
      <c r="FXJ29" s="3"/>
      <c r="FXK29" s="3"/>
      <c r="FXL29" s="3"/>
      <c r="FXM29" s="3"/>
      <c r="FXN29" s="3"/>
      <c r="FXO29" s="3"/>
      <c r="FXP29" s="3"/>
      <c r="FXQ29" s="3"/>
      <c r="FXR29" s="3"/>
      <c r="FXS29" s="3"/>
      <c r="FXT29" s="3"/>
      <c r="FXU29" s="3"/>
      <c r="FXV29" s="3"/>
      <c r="FXW29" s="3"/>
      <c r="FXX29" s="3"/>
      <c r="FXY29" s="3"/>
      <c r="FXZ29" s="3"/>
      <c r="FYA29" s="3"/>
      <c r="FYB29" s="3"/>
      <c r="FYC29" s="3"/>
      <c r="FYD29" s="3"/>
      <c r="FYE29" s="3"/>
      <c r="FYF29" s="3"/>
      <c r="FYG29" s="3"/>
      <c r="FYH29" s="3"/>
      <c r="FYI29" s="3"/>
      <c r="FYJ29" s="3"/>
      <c r="FYK29" s="3"/>
      <c r="FYL29" s="3"/>
      <c r="FYM29" s="3"/>
      <c r="FYN29" s="3"/>
      <c r="FYO29" s="3"/>
      <c r="FYP29" s="3"/>
      <c r="FYQ29" s="3"/>
      <c r="FYR29" s="3"/>
      <c r="FYS29" s="3"/>
      <c r="FYT29" s="3"/>
      <c r="FYU29" s="3"/>
      <c r="FYV29" s="3"/>
      <c r="FYW29" s="3"/>
      <c r="FYX29" s="3"/>
      <c r="FYY29" s="3"/>
      <c r="FYZ29" s="3"/>
      <c r="FZA29" s="3"/>
      <c r="FZB29" s="3"/>
      <c r="FZC29" s="3"/>
      <c r="FZD29" s="3"/>
      <c r="FZE29" s="3"/>
      <c r="FZF29" s="3"/>
      <c r="FZG29" s="3"/>
      <c r="FZH29" s="3"/>
      <c r="FZI29" s="3"/>
      <c r="FZJ29" s="3"/>
      <c r="FZK29" s="3"/>
      <c r="FZL29" s="3"/>
      <c r="FZM29" s="3"/>
      <c r="FZN29" s="3"/>
      <c r="FZO29" s="3"/>
      <c r="FZP29" s="3"/>
      <c r="FZQ29" s="3"/>
      <c r="FZR29" s="3"/>
      <c r="FZS29" s="3"/>
      <c r="FZT29" s="3"/>
      <c r="FZU29" s="3"/>
      <c r="FZV29" s="3"/>
      <c r="FZW29" s="3"/>
      <c r="FZX29" s="3"/>
      <c r="FZY29" s="3"/>
      <c r="FZZ29" s="3"/>
      <c r="GAA29" s="3"/>
      <c r="GAB29" s="3"/>
      <c r="GAC29" s="3"/>
      <c r="GAD29" s="3"/>
      <c r="GAE29" s="3"/>
      <c r="GAF29" s="3"/>
      <c r="GAG29" s="3"/>
      <c r="GAH29" s="3"/>
      <c r="GAI29" s="3"/>
      <c r="GAJ29" s="3"/>
      <c r="GAK29" s="3"/>
      <c r="GAL29" s="3"/>
      <c r="GAM29" s="3"/>
      <c r="GAN29" s="3"/>
      <c r="GAO29" s="3"/>
      <c r="GAP29" s="3"/>
      <c r="GAQ29" s="3"/>
      <c r="GAR29" s="3"/>
      <c r="GAS29" s="3"/>
      <c r="GAT29" s="3"/>
      <c r="GAU29" s="3"/>
      <c r="GAV29" s="3"/>
      <c r="GAW29" s="3"/>
      <c r="GAX29" s="3"/>
      <c r="GAY29" s="3"/>
      <c r="GAZ29" s="3"/>
      <c r="GBA29" s="3"/>
      <c r="GBB29" s="3"/>
      <c r="GBC29" s="3"/>
      <c r="GBD29" s="3"/>
      <c r="GBE29" s="3"/>
      <c r="GBF29" s="3"/>
      <c r="GBG29" s="3"/>
      <c r="GBH29" s="3"/>
      <c r="GBI29" s="3"/>
      <c r="GBJ29" s="3"/>
      <c r="GBK29" s="3"/>
      <c r="GBL29" s="3"/>
      <c r="GBM29" s="3"/>
      <c r="GBN29" s="3"/>
      <c r="GBO29" s="3"/>
      <c r="GBP29" s="3"/>
      <c r="GBQ29" s="3"/>
      <c r="GBR29" s="3"/>
      <c r="GBS29" s="3"/>
      <c r="GBT29" s="3"/>
      <c r="GBU29" s="3"/>
      <c r="GBV29" s="3"/>
      <c r="GBW29" s="3"/>
      <c r="GBX29" s="3"/>
      <c r="GBY29" s="3"/>
      <c r="GBZ29" s="3"/>
      <c r="GCA29" s="3"/>
      <c r="GCB29" s="3"/>
      <c r="GCC29" s="3"/>
      <c r="GCD29" s="3"/>
      <c r="GCE29" s="3"/>
      <c r="GCF29" s="3"/>
      <c r="GCG29" s="3"/>
      <c r="GCH29" s="3"/>
      <c r="GCI29" s="3"/>
      <c r="GCJ29" s="3"/>
      <c r="GCK29" s="3"/>
      <c r="GCL29" s="3"/>
      <c r="GCM29" s="3"/>
      <c r="GCN29" s="3"/>
      <c r="GCO29" s="3"/>
      <c r="GCP29" s="3"/>
      <c r="GCQ29" s="3"/>
      <c r="GCR29" s="3"/>
      <c r="GCS29" s="3"/>
      <c r="GCT29" s="3"/>
      <c r="GCU29" s="3"/>
      <c r="GCV29" s="3"/>
      <c r="GCW29" s="3"/>
      <c r="GCX29" s="3"/>
      <c r="GCY29" s="3"/>
      <c r="GCZ29" s="3"/>
      <c r="GDA29" s="3"/>
      <c r="GDB29" s="3"/>
      <c r="GDC29" s="3"/>
      <c r="GDD29" s="3"/>
      <c r="GDE29" s="3"/>
      <c r="GDF29" s="3"/>
      <c r="GDG29" s="3"/>
      <c r="GDH29" s="3"/>
      <c r="GDI29" s="3"/>
      <c r="GDJ29" s="3"/>
      <c r="GDK29" s="3"/>
      <c r="GDL29" s="3"/>
      <c r="GDM29" s="3"/>
      <c r="GDN29" s="3"/>
      <c r="GDO29" s="3"/>
      <c r="GDP29" s="3"/>
      <c r="GDQ29" s="3"/>
      <c r="GDR29" s="3"/>
      <c r="GDS29" s="3"/>
      <c r="GDT29" s="3"/>
      <c r="GDU29" s="3"/>
      <c r="GDV29" s="3"/>
      <c r="GDW29" s="3"/>
      <c r="GDX29" s="3"/>
      <c r="GDY29" s="3"/>
      <c r="GDZ29" s="3"/>
      <c r="GEA29" s="3"/>
      <c r="GEB29" s="3"/>
      <c r="GEC29" s="3"/>
      <c r="GED29" s="3"/>
      <c r="GEE29" s="3"/>
      <c r="GEF29" s="3"/>
      <c r="GEG29" s="3"/>
      <c r="GEH29" s="3"/>
      <c r="GEI29" s="3"/>
      <c r="GEJ29" s="3"/>
      <c r="GEK29" s="3"/>
      <c r="GEL29" s="3"/>
      <c r="GEM29" s="3"/>
      <c r="GEN29" s="3"/>
      <c r="GEO29" s="3"/>
      <c r="GEP29" s="3"/>
      <c r="GEQ29" s="3"/>
      <c r="GER29" s="3"/>
      <c r="GES29" s="3"/>
      <c r="GET29" s="3"/>
      <c r="GEU29" s="3"/>
      <c r="GEV29" s="3"/>
      <c r="GEW29" s="3"/>
      <c r="GEX29" s="3"/>
      <c r="GEY29" s="3"/>
      <c r="GEZ29" s="3"/>
      <c r="GFA29" s="3"/>
      <c r="GFB29" s="3"/>
      <c r="GFC29" s="3"/>
      <c r="GFD29" s="3"/>
      <c r="GFE29" s="3"/>
      <c r="GFF29" s="3"/>
      <c r="GFG29" s="3"/>
      <c r="GFH29" s="3"/>
      <c r="GFI29" s="3"/>
      <c r="GFJ29" s="3"/>
      <c r="GFK29" s="3"/>
      <c r="GFL29" s="3"/>
      <c r="GFM29" s="3"/>
      <c r="GFN29" s="3"/>
      <c r="GFO29" s="3"/>
      <c r="GFP29" s="3"/>
      <c r="GFQ29" s="3"/>
      <c r="GFR29" s="3"/>
      <c r="GFS29" s="3"/>
      <c r="GFT29" s="3"/>
      <c r="GFU29" s="3"/>
      <c r="GFV29" s="3"/>
      <c r="GFW29" s="3"/>
      <c r="GFX29" s="3"/>
      <c r="GFY29" s="3"/>
      <c r="GFZ29" s="3"/>
      <c r="GGA29" s="3"/>
      <c r="GGB29" s="3"/>
      <c r="GGC29" s="3"/>
      <c r="GGD29" s="3"/>
      <c r="GGE29" s="3"/>
      <c r="GGF29" s="3"/>
      <c r="GGG29" s="3"/>
      <c r="GGH29" s="3"/>
      <c r="GGI29" s="3"/>
      <c r="GGJ29" s="3"/>
      <c r="GGK29" s="3"/>
      <c r="GGL29" s="3"/>
      <c r="GGM29" s="3"/>
      <c r="GGN29" s="3"/>
      <c r="GGO29" s="3"/>
      <c r="GGP29" s="3"/>
      <c r="GGQ29" s="3"/>
      <c r="GGR29" s="3"/>
      <c r="GGS29" s="3"/>
      <c r="GGT29" s="3"/>
      <c r="GGU29" s="3"/>
      <c r="GGV29" s="3"/>
      <c r="GGW29" s="3"/>
      <c r="GGX29" s="3"/>
      <c r="GGY29" s="3"/>
      <c r="GGZ29" s="3"/>
      <c r="GHA29" s="3"/>
      <c r="GHB29" s="3"/>
      <c r="GHC29" s="3"/>
      <c r="GHD29" s="3"/>
      <c r="GHE29" s="3"/>
      <c r="GHF29" s="3"/>
      <c r="GHG29" s="3"/>
      <c r="GHH29" s="3"/>
      <c r="GHI29" s="3"/>
      <c r="GHJ29" s="3"/>
      <c r="GHK29" s="3"/>
      <c r="GHL29" s="3"/>
      <c r="GHM29" s="3"/>
      <c r="GHN29" s="3"/>
      <c r="GHO29" s="3"/>
      <c r="GHP29" s="3"/>
      <c r="GHQ29" s="3"/>
      <c r="GHR29" s="3"/>
      <c r="GHS29" s="3"/>
      <c r="GHT29" s="3"/>
      <c r="GHU29" s="3"/>
      <c r="GHV29" s="3"/>
      <c r="GHW29" s="3"/>
      <c r="GHX29" s="3"/>
      <c r="GHY29" s="3"/>
      <c r="GHZ29" s="3"/>
      <c r="GIA29" s="3"/>
      <c r="GIB29" s="3"/>
      <c r="GIC29" s="3"/>
      <c r="GID29" s="3"/>
      <c r="GIE29" s="3"/>
      <c r="GIF29" s="3"/>
      <c r="GIG29" s="3"/>
      <c r="GIH29" s="3"/>
      <c r="GII29" s="3"/>
      <c r="GIJ29" s="3"/>
      <c r="GIK29" s="3"/>
      <c r="GIL29" s="3"/>
      <c r="GIM29" s="3"/>
      <c r="GIN29" s="3"/>
      <c r="GIO29" s="3"/>
      <c r="GIP29" s="3"/>
      <c r="GIQ29" s="3"/>
      <c r="GIR29" s="3"/>
      <c r="GIS29" s="3"/>
      <c r="GIT29" s="3"/>
      <c r="GIU29" s="3"/>
      <c r="GIV29" s="3"/>
      <c r="GIW29" s="3"/>
      <c r="GIX29" s="3"/>
      <c r="GIY29" s="3"/>
      <c r="GIZ29" s="3"/>
      <c r="GJA29" s="3"/>
      <c r="GJB29" s="3"/>
      <c r="GJC29" s="3"/>
      <c r="GJD29" s="3"/>
      <c r="GJE29" s="3"/>
      <c r="GJF29" s="3"/>
      <c r="GJG29" s="3"/>
      <c r="GJH29" s="3"/>
      <c r="GJI29" s="3"/>
      <c r="GJJ29" s="3"/>
      <c r="GJK29" s="3"/>
      <c r="GJL29" s="3"/>
      <c r="GJM29" s="3"/>
      <c r="GJN29" s="3"/>
      <c r="GJO29" s="3"/>
      <c r="GJP29" s="3"/>
      <c r="GJQ29" s="3"/>
      <c r="GJR29" s="3"/>
      <c r="GJS29" s="3"/>
      <c r="GJT29" s="3"/>
      <c r="GJU29" s="3"/>
      <c r="GJV29" s="3"/>
      <c r="GJW29" s="3"/>
      <c r="GJX29" s="3"/>
      <c r="GJY29" s="3"/>
      <c r="GJZ29" s="3"/>
      <c r="GKA29" s="3"/>
      <c r="GKB29" s="3"/>
      <c r="GKC29" s="3"/>
      <c r="GKD29" s="3"/>
      <c r="GKE29" s="3"/>
      <c r="GKF29" s="3"/>
      <c r="GKG29" s="3"/>
      <c r="GKH29" s="3"/>
      <c r="GKI29" s="3"/>
      <c r="GKJ29" s="3"/>
      <c r="GKK29" s="3"/>
      <c r="GKL29" s="3"/>
      <c r="GKM29" s="3"/>
      <c r="GKN29" s="3"/>
      <c r="GKO29" s="3"/>
      <c r="GKP29" s="3"/>
      <c r="GKQ29" s="3"/>
      <c r="GKR29" s="3"/>
      <c r="GKS29" s="3"/>
      <c r="GKT29" s="3"/>
      <c r="GKU29" s="3"/>
      <c r="GKV29" s="3"/>
      <c r="GKW29" s="3"/>
      <c r="GKX29" s="3"/>
      <c r="GKY29" s="3"/>
      <c r="GKZ29" s="3"/>
      <c r="GLA29" s="3"/>
      <c r="GLB29" s="3"/>
      <c r="GLC29" s="3"/>
      <c r="GLD29" s="3"/>
      <c r="GLE29" s="3"/>
      <c r="GLF29" s="3"/>
      <c r="GLG29" s="3"/>
      <c r="GLH29" s="3"/>
      <c r="GLI29" s="3"/>
      <c r="GLJ29" s="3"/>
      <c r="GLK29" s="3"/>
      <c r="GLL29" s="3"/>
      <c r="GLM29" s="3"/>
      <c r="GLN29" s="3"/>
      <c r="GLO29" s="3"/>
      <c r="GLP29" s="3"/>
      <c r="GLQ29" s="3"/>
      <c r="GLR29" s="3"/>
      <c r="GLS29" s="3"/>
      <c r="GLT29" s="3"/>
      <c r="GLU29" s="3"/>
      <c r="GLV29" s="3"/>
      <c r="GLW29" s="3"/>
      <c r="GLX29" s="3"/>
      <c r="GLY29" s="3"/>
      <c r="GLZ29" s="3"/>
      <c r="GMA29" s="3"/>
      <c r="GMB29" s="3"/>
      <c r="GMC29" s="3"/>
      <c r="GMD29" s="3"/>
      <c r="GME29" s="3"/>
      <c r="GMF29" s="3"/>
      <c r="GMG29" s="3"/>
      <c r="GMH29" s="3"/>
      <c r="GMI29" s="3"/>
      <c r="GMJ29" s="3"/>
      <c r="GMK29" s="3"/>
      <c r="GML29" s="3"/>
      <c r="GMM29" s="3"/>
      <c r="GMN29" s="3"/>
      <c r="GMO29" s="3"/>
      <c r="GMP29" s="3"/>
      <c r="GMQ29" s="3"/>
      <c r="GMR29" s="3"/>
      <c r="GMS29" s="3"/>
      <c r="GMT29" s="3"/>
      <c r="GMU29" s="3"/>
      <c r="GMV29" s="3"/>
      <c r="GMW29" s="3"/>
      <c r="GMX29" s="3"/>
      <c r="GMY29" s="3"/>
      <c r="GMZ29" s="3"/>
      <c r="GNA29" s="3"/>
      <c r="GNB29" s="3"/>
      <c r="GNC29" s="3"/>
      <c r="GND29" s="3"/>
      <c r="GNE29" s="3"/>
      <c r="GNF29" s="3"/>
      <c r="GNG29" s="3"/>
      <c r="GNH29" s="3"/>
      <c r="GNI29" s="3"/>
      <c r="GNJ29" s="3"/>
      <c r="GNK29" s="3"/>
      <c r="GNL29" s="3"/>
      <c r="GNM29" s="3"/>
      <c r="GNN29" s="3"/>
      <c r="GNO29" s="3"/>
      <c r="GNP29" s="3"/>
      <c r="GNQ29" s="3"/>
      <c r="GNR29" s="3"/>
      <c r="GNS29" s="3"/>
      <c r="GNT29" s="3"/>
      <c r="GNU29" s="3"/>
      <c r="GNV29" s="3"/>
      <c r="GNW29" s="3"/>
      <c r="GNX29" s="3"/>
      <c r="GNY29" s="3"/>
      <c r="GNZ29" s="3"/>
      <c r="GOA29" s="3"/>
      <c r="GOB29" s="3"/>
      <c r="GOC29" s="3"/>
      <c r="GOD29" s="3"/>
      <c r="GOE29" s="3"/>
      <c r="GOF29" s="3"/>
      <c r="GOG29" s="3"/>
      <c r="GOH29" s="3"/>
      <c r="GOI29" s="3"/>
      <c r="GOJ29" s="3"/>
      <c r="GOK29" s="3"/>
      <c r="GOL29" s="3"/>
      <c r="GOM29" s="3"/>
      <c r="GON29" s="3"/>
      <c r="GOO29" s="3"/>
      <c r="GOP29" s="3"/>
      <c r="GOQ29" s="3"/>
      <c r="GOR29" s="3"/>
      <c r="GOS29" s="3"/>
      <c r="GOT29" s="3"/>
      <c r="GOU29" s="3"/>
      <c r="GOV29" s="3"/>
      <c r="GOW29" s="3"/>
      <c r="GOX29" s="3"/>
      <c r="GOY29" s="3"/>
      <c r="GOZ29" s="3"/>
      <c r="GPA29" s="3"/>
      <c r="GPB29" s="3"/>
      <c r="GPC29" s="3"/>
      <c r="GPD29" s="3"/>
      <c r="GPE29" s="3"/>
      <c r="GPF29" s="3"/>
      <c r="GPG29" s="3"/>
      <c r="GPH29" s="3"/>
      <c r="GPI29" s="3"/>
      <c r="GPJ29" s="3"/>
      <c r="GPK29" s="3"/>
      <c r="GPL29" s="3"/>
      <c r="GPM29" s="3"/>
      <c r="GPN29" s="3"/>
      <c r="GPO29" s="3"/>
      <c r="GPP29" s="3"/>
      <c r="GPQ29" s="3"/>
      <c r="GPR29" s="3"/>
      <c r="GPS29" s="3"/>
      <c r="GPT29" s="3"/>
      <c r="GPU29" s="3"/>
      <c r="GPV29" s="3"/>
      <c r="GPW29" s="3"/>
      <c r="GPX29" s="3"/>
      <c r="GPY29" s="3"/>
      <c r="GPZ29" s="3"/>
      <c r="GQA29" s="3"/>
      <c r="GQB29" s="3"/>
      <c r="GQC29" s="3"/>
      <c r="GQD29" s="3"/>
      <c r="GQE29" s="3"/>
      <c r="GQF29" s="3"/>
      <c r="GQG29" s="3"/>
      <c r="GQH29" s="3"/>
      <c r="GQI29" s="3"/>
      <c r="GQJ29" s="3"/>
      <c r="GQK29" s="3"/>
      <c r="GQL29" s="3"/>
      <c r="GQM29" s="3"/>
      <c r="GQN29" s="3"/>
      <c r="GQO29" s="3"/>
      <c r="GQP29" s="3"/>
      <c r="GQQ29" s="3"/>
      <c r="GQR29" s="3"/>
      <c r="GQS29" s="3"/>
      <c r="GQT29" s="3"/>
      <c r="GQU29" s="3"/>
      <c r="GQV29" s="3"/>
      <c r="GQW29" s="3"/>
      <c r="GQX29" s="3"/>
      <c r="GQY29" s="3"/>
      <c r="GQZ29" s="3"/>
      <c r="GRA29" s="3"/>
      <c r="GRB29" s="3"/>
      <c r="GRC29" s="3"/>
      <c r="GRD29" s="3"/>
      <c r="GRE29" s="3"/>
      <c r="GRF29" s="3"/>
      <c r="GRG29" s="3"/>
      <c r="GRH29" s="3"/>
      <c r="GRI29" s="3"/>
      <c r="GRJ29" s="3"/>
      <c r="GRK29" s="3"/>
      <c r="GRL29" s="3"/>
      <c r="GRM29" s="3"/>
      <c r="GRN29" s="3"/>
      <c r="GRO29" s="3"/>
      <c r="GRP29" s="3"/>
      <c r="GRQ29" s="3"/>
      <c r="GRR29" s="3"/>
      <c r="GRS29" s="3"/>
      <c r="GRT29" s="3"/>
      <c r="GRU29" s="3"/>
      <c r="GRV29" s="3"/>
      <c r="GRW29" s="3"/>
      <c r="GRX29" s="3"/>
      <c r="GRY29" s="3"/>
      <c r="GRZ29" s="3"/>
      <c r="GSA29" s="3"/>
      <c r="GSB29" s="3"/>
      <c r="GSC29" s="3"/>
      <c r="GSD29" s="3"/>
      <c r="GSE29" s="3"/>
      <c r="GSF29" s="3"/>
      <c r="GSG29" s="3"/>
      <c r="GSH29" s="3"/>
      <c r="GSI29" s="3"/>
      <c r="GSJ29" s="3"/>
      <c r="GSK29" s="3"/>
      <c r="GSL29" s="3"/>
      <c r="GSM29" s="3"/>
      <c r="GSN29" s="3"/>
      <c r="GSO29" s="3"/>
      <c r="GSP29" s="3"/>
      <c r="GSQ29" s="3"/>
      <c r="GSR29" s="3"/>
      <c r="GSS29" s="3"/>
      <c r="GST29" s="3"/>
      <c r="GSU29" s="3"/>
      <c r="GSV29" s="3"/>
      <c r="GSW29" s="3"/>
      <c r="GSX29" s="3"/>
      <c r="GSY29" s="3"/>
      <c r="GSZ29" s="3"/>
      <c r="GTA29" s="3"/>
      <c r="GTB29" s="3"/>
      <c r="GTC29" s="3"/>
      <c r="GTD29" s="3"/>
      <c r="GTE29" s="3"/>
      <c r="GTF29" s="3"/>
      <c r="GTG29" s="3"/>
      <c r="GTH29" s="3"/>
      <c r="GTI29" s="3"/>
      <c r="GTJ29" s="3"/>
      <c r="GTK29" s="3"/>
      <c r="GTL29" s="3"/>
      <c r="GTM29" s="3"/>
      <c r="GTN29" s="3"/>
      <c r="GTO29" s="3"/>
      <c r="GTP29" s="3"/>
      <c r="GTQ29" s="3"/>
      <c r="GTR29" s="3"/>
      <c r="GTS29" s="3"/>
      <c r="GTT29" s="3"/>
      <c r="GTU29" s="3"/>
      <c r="GTV29" s="3"/>
      <c r="GTW29" s="3"/>
      <c r="GTX29" s="3"/>
      <c r="GTY29" s="3"/>
      <c r="GTZ29" s="3"/>
      <c r="GUA29" s="3"/>
      <c r="GUB29" s="3"/>
      <c r="GUC29" s="3"/>
      <c r="GUD29" s="3"/>
      <c r="GUE29" s="3"/>
      <c r="GUF29" s="3"/>
      <c r="GUG29" s="3"/>
      <c r="GUH29" s="3"/>
      <c r="GUI29" s="3"/>
      <c r="GUJ29" s="3"/>
      <c r="GUK29" s="3"/>
      <c r="GUL29" s="3"/>
      <c r="GUM29" s="3"/>
      <c r="GUN29" s="3"/>
      <c r="GUO29" s="3"/>
      <c r="GUP29" s="3"/>
      <c r="GUQ29" s="3"/>
      <c r="GUR29" s="3"/>
      <c r="GUS29" s="3"/>
      <c r="GUT29" s="3"/>
      <c r="GUU29" s="3"/>
      <c r="GUV29" s="3"/>
      <c r="GUW29" s="3"/>
      <c r="GUX29" s="3"/>
      <c r="GUY29" s="3"/>
      <c r="GUZ29" s="3"/>
      <c r="GVA29" s="3"/>
      <c r="GVB29" s="3"/>
      <c r="GVC29" s="3"/>
      <c r="GVD29" s="3"/>
      <c r="GVE29" s="3"/>
      <c r="GVF29" s="3"/>
      <c r="GVG29" s="3"/>
      <c r="GVH29" s="3"/>
      <c r="GVI29" s="3"/>
      <c r="GVJ29" s="3"/>
      <c r="GVK29" s="3"/>
      <c r="GVL29" s="3"/>
      <c r="GVM29" s="3"/>
      <c r="GVN29" s="3"/>
      <c r="GVO29" s="3"/>
      <c r="GVP29" s="3"/>
      <c r="GVQ29" s="3"/>
      <c r="GVR29" s="3"/>
      <c r="GVS29" s="3"/>
      <c r="GVT29" s="3"/>
      <c r="GVU29" s="3"/>
      <c r="GVV29" s="3"/>
      <c r="GVW29" s="3"/>
      <c r="GVX29" s="3"/>
      <c r="GVY29" s="3"/>
      <c r="GVZ29" s="3"/>
      <c r="GWA29" s="3"/>
      <c r="GWB29" s="3"/>
      <c r="GWC29" s="3"/>
      <c r="GWD29" s="3"/>
      <c r="GWE29" s="3"/>
      <c r="GWF29" s="3"/>
      <c r="GWG29" s="3"/>
      <c r="GWH29" s="3"/>
      <c r="GWI29" s="3"/>
      <c r="GWJ29" s="3"/>
      <c r="GWK29" s="3"/>
      <c r="GWL29" s="3"/>
      <c r="GWM29" s="3"/>
      <c r="GWN29" s="3"/>
      <c r="GWO29" s="3"/>
      <c r="GWP29" s="3"/>
      <c r="GWQ29" s="3"/>
      <c r="GWR29" s="3"/>
      <c r="GWS29" s="3"/>
      <c r="GWT29" s="3"/>
      <c r="GWU29" s="3"/>
      <c r="GWV29" s="3"/>
      <c r="GWW29" s="3"/>
      <c r="GWX29" s="3"/>
      <c r="GWY29" s="3"/>
      <c r="GWZ29" s="3"/>
      <c r="GXA29" s="3"/>
      <c r="GXB29" s="3"/>
      <c r="GXC29" s="3"/>
      <c r="GXD29" s="3"/>
      <c r="GXE29" s="3"/>
      <c r="GXF29" s="3"/>
      <c r="GXG29" s="3"/>
      <c r="GXH29" s="3"/>
      <c r="GXI29" s="3"/>
      <c r="GXJ29" s="3"/>
      <c r="GXK29" s="3"/>
      <c r="GXL29" s="3"/>
      <c r="GXM29" s="3"/>
      <c r="GXN29" s="3"/>
      <c r="GXO29" s="3"/>
      <c r="GXP29" s="3"/>
      <c r="GXQ29" s="3"/>
      <c r="GXR29" s="3"/>
      <c r="GXS29" s="3"/>
      <c r="GXT29" s="3"/>
      <c r="GXU29" s="3"/>
      <c r="GXV29" s="3"/>
      <c r="GXW29" s="3"/>
      <c r="GXX29" s="3"/>
      <c r="GXY29" s="3"/>
      <c r="GXZ29" s="3"/>
      <c r="GYA29" s="3"/>
      <c r="GYB29" s="3"/>
      <c r="GYC29" s="3"/>
      <c r="GYD29" s="3"/>
      <c r="GYE29" s="3"/>
      <c r="GYF29" s="3"/>
      <c r="GYG29" s="3"/>
      <c r="GYH29" s="3"/>
      <c r="GYI29" s="3"/>
      <c r="GYJ29" s="3"/>
      <c r="GYK29" s="3"/>
      <c r="GYL29" s="3"/>
      <c r="GYM29" s="3"/>
      <c r="GYN29" s="3"/>
      <c r="GYO29" s="3"/>
      <c r="GYP29" s="3"/>
      <c r="GYQ29" s="3"/>
      <c r="GYR29" s="3"/>
      <c r="GYS29" s="3"/>
      <c r="GYT29" s="3"/>
      <c r="GYU29" s="3"/>
      <c r="GYV29" s="3"/>
      <c r="GYW29" s="3"/>
      <c r="GYX29" s="3"/>
      <c r="GYY29" s="3"/>
      <c r="GYZ29" s="3"/>
      <c r="GZA29" s="3"/>
      <c r="GZB29" s="3"/>
      <c r="GZC29" s="3"/>
      <c r="GZD29" s="3"/>
      <c r="GZE29" s="3"/>
      <c r="GZF29" s="3"/>
      <c r="GZG29" s="3"/>
      <c r="GZH29" s="3"/>
      <c r="GZI29" s="3"/>
      <c r="GZJ29" s="3"/>
      <c r="GZK29" s="3"/>
      <c r="GZL29" s="3"/>
      <c r="GZM29" s="3"/>
      <c r="GZN29" s="3"/>
      <c r="GZO29" s="3"/>
      <c r="GZP29" s="3"/>
      <c r="GZQ29" s="3"/>
      <c r="GZR29" s="3"/>
      <c r="GZS29" s="3"/>
      <c r="GZT29" s="3"/>
      <c r="GZU29" s="3"/>
      <c r="GZV29" s="3"/>
      <c r="GZW29" s="3"/>
      <c r="GZX29" s="3"/>
      <c r="GZY29" s="3"/>
      <c r="GZZ29" s="3"/>
      <c r="HAA29" s="3"/>
      <c r="HAB29" s="3"/>
      <c r="HAC29" s="3"/>
      <c r="HAD29" s="3"/>
      <c r="HAE29" s="3"/>
      <c r="HAF29" s="3"/>
      <c r="HAG29" s="3"/>
      <c r="HAH29" s="3"/>
      <c r="HAI29" s="3"/>
      <c r="HAJ29" s="3"/>
      <c r="HAK29" s="3"/>
      <c r="HAL29" s="3"/>
      <c r="HAM29" s="3"/>
      <c r="HAN29" s="3"/>
      <c r="HAO29" s="3"/>
      <c r="HAP29" s="3"/>
      <c r="HAQ29" s="3"/>
      <c r="HAR29" s="3"/>
      <c r="HAS29" s="3"/>
      <c r="HAT29" s="3"/>
      <c r="HAU29" s="3"/>
      <c r="HAV29" s="3"/>
      <c r="HAW29" s="3"/>
      <c r="HAX29" s="3"/>
      <c r="HAY29" s="3"/>
      <c r="HAZ29" s="3"/>
      <c r="HBA29" s="3"/>
      <c r="HBB29" s="3"/>
      <c r="HBC29" s="3"/>
      <c r="HBD29" s="3"/>
      <c r="HBE29" s="3"/>
      <c r="HBF29" s="3"/>
      <c r="HBG29" s="3"/>
      <c r="HBH29" s="3"/>
      <c r="HBI29" s="3"/>
      <c r="HBJ29" s="3"/>
      <c r="HBK29" s="3"/>
      <c r="HBL29" s="3"/>
      <c r="HBM29" s="3"/>
      <c r="HBN29" s="3"/>
      <c r="HBO29" s="3"/>
      <c r="HBP29" s="3"/>
      <c r="HBQ29" s="3"/>
      <c r="HBR29" s="3"/>
      <c r="HBS29" s="3"/>
      <c r="HBT29" s="3"/>
      <c r="HBU29" s="3"/>
      <c r="HBV29" s="3"/>
      <c r="HBW29" s="3"/>
      <c r="HBX29" s="3"/>
      <c r="HBY29" s="3"/>
      <c r="HBZ29" s="3"/>
      <c r="HCA29" s="3"/>
      <c r="HCB29" s="3"/>
      <c r="HCC29" s="3"/>
      <c r="HCD29" s="3"/>
      <c r="HCE29" s="3"/>
      <c r="HCF29" s="3"/>
      <c r="HCG29" s="3"/>
      <c r="HCH29" s="3"/>
      <c r="HCI29" s="3"/>
      <c r="HCJ29" s="3"/>
      <c r="HCK29" s="3"/>
      <c r="HCL29" s="3"/>
      <c r="HCM29" s="3"/>
      <c r="HCN29" s="3"/>
      <c r="HCO29" s="3"/>
      <c r="HCP29" s="3"/>
      <c r="HCQ29" s="3"/>
      <c r="HCR29" s="3"/>
      <c r="HCS29" s="3"/>
      <c r="HCT29" s="3"/>
      <c r="HCU29" s="3"/>
      <c r="HCV29" s="3"/>
      <c r="HCW29" s="3"/>
      <c r="HCX29" s="3"/>
      <c r="HCY29" s="3"/>
      <c r="HCZ29" s="3"/>
      <c r="HDA29" s="3"/>
      <c r="HDB29" s="3"/>
      <c r="HDC29" s="3"/>
      <c r="HDD29" s="3"/>
      <c r="HDE29" s="3"/>
      <c r="HDF29" s="3"/>
      <c r="HDG29" s="3"/>
      <c r="HDH29" s="3"/>
      <c r="HDI29" s="3"/>
      <c r="HDJ29" s="3"/>
      <c r="HDK29" s="3"/>
      <c r="HDL29" s="3"/>
      <c r="HDM29" s="3"/>
      <c r="HDN29" s="3"/>
      <c r="HDO29" s="3"/>
      <c r="HDP29" s="3"/>
      <c r="HDQ29" s="3"/>
      <c r="HDR29" s="3"/>
      <c r="HDS29" s="3"/>
      <c r="HDT29" s="3"/>
      <c r="HDU29" s="3"/>
      <c r="HDV29" s="3"/>
      <c r="HDW29" s="3"/>
      <c r="HDX29" s="3"/>
      <c r="HDY29" s="3"/>
      <c r="HDZ29" s="3"/>
      <c r="HEA29" s="3"/>
      <c r="HEB29" s="3"/>
      <c r="HEC29" s="3"/>
      <c r="HED29" s="3"/>
      <c r="HEE29" s="3"/>
      <c r="HEF29" s="3"/>
      <c r="HEG29" s="3"/>
      <c r="HEH29" s="3"/>
      <c r="HEI29" s="3"/>
      <c r="HEJ29" s="3"/>
      <c r="HEK29" s="3"/>
      <c r="HEL29" s="3"/>
      <c r="HEM29" s="3"/>
      <c r="HEN29" s="3"/>
      <c r="HEO29" s="3"/>
      <c r="HEP29" s="3"/>
      <c r="HEQ29" s="3"/>
      <c r="HER29" s="3"/>
      <c r="HES29" s="3"/>
      <c r="HET29" s="3"/>
      <c r="HEU29" s="3"/>
      <c r="HEV29" s="3"/>
      <c r="HEW29" s="3"/>
      <c r="HEX29" s="3"/>
      <c r="HEY29" s="3"/>
      <c r="HEZ29" s="3"/>
      <c r="HFA29" s="3"/>
      <c r="HFB29" s="3"/>
      <c r="HFC29" s="3"/>
      <c r="HFD29" s="3"/>
      <c r="HFE29" s="3"/>
      <c r="HFF29" s="3"/>
      <c r="HFG29" s="3"/>
      <c r="HFH29" s="3"/>
      <c r="HFI29" s="3"/>
      <c r="HFJ29" s="3"/>
      <c r="HFK29" s="3"/>
      <c r="HFL29" s="3"/>
      <c r="HFM29" s="3"/>
      <c r="HFN29" s="3"/>
      <c r="HFO29" s="3"/>
      <c r="HFP29" s="3"/>
      <c r="HFQ29" s="3"/>
      <c r="HFR29" s="3"/>
      <c r="HFS29" s="3"/>
      <c r="HFT29" s="3"/>
      <c r="HFU29" s="3"/>
      <c r="HFV29" s="3"/>
      <c r="HFW29" s="3"/>
      <c r="HFX29" s="3"/>
      <c r="HFY29" s="3"/>
      <c r="HFZ29" s="3"/>
      <c r="HGA29" s="3"/>
      <c r="HGB29" s="3"/>
      <c r="HGC29" s="3"/>
      <c r="HGD29" s="3"/>
      <c r="HGE29" s="3"/>
      <c r="HGF29" s="3"/>
      <c r="HGG29" s="3"/>
      <c r="HGH29" s="3"/>
      <c r="HGI29" s="3"/>
      <c r="HGJ29" s="3"/>
      <c r="HGK29" s="3"/>
      <c r="HGL29" s="3"/>
      <c r="HGM29" s="3"/>
      <c r="HGN29" s="3"/>
      <c r="HGO29" s="3"/>
      <c r="HGP29" s="3"/>
      <c r="HGQ29" s="3"/>
      <c r="HGR29" s="3"/>
      <c r="HGS29" s="3"/>
      <c r="HGT29" s="3"/>
      <c r="HGU29" s="3"/>
      <c r="HGV29" s="3"/>
      <c r="HGW29" s="3"/>
      <c r="HGX29" s="3"/>
      <c r="HGY29" s="3"/>
      <c r="HGZ29" s="3"/>
      <c r="HHA29" s="3"/>
      <c r="HHB29" s="3"/>
      <c r="HHC29" s="3"/>
      <c r="HHD29" s="3"/>
      <c r="HHE29" s="3"/>
      <c r="HHF29" s="3"/>
      <c r="HHG29" s="3"/>
      <c r="HHH29" s="3"/>
      <c r="HHI29" s="3"/>
      <c r="HHJ29" s="3"/>
      <c r="HHK29" s="3"/>
      <c r="HHL29" s="3"/>
      <c r="HHM29" s="3"/>
      <c r="HHN29" s="3"/>
      <c r="HHO29" s="3"/>
      <c r="HHP29" s="3"/>
      <c r="HHQ29" s="3"/>
      <c r="HHR29" s="3"/>
      <c r="HHS29" s="3"/>
      <c r="HHT29" s="3"/>
      <c r="HHU29" s="3"/>
      <c r="HHV29" s="3"/>
      <c r="HHW29" s="3"/>
      <c r="HHX29" s="3"/>
      <c r="HHY29" s="3"/>
      <c r="HHZ29" s="3"/>
      <c r="HIA29" s="3"/>
      <c r="HIB29" s="3"/>
      <c r="HIC29" s="3"/>
      <c r="HID29" s="3"/>
      <c r="HIE29" s="3"/>
      <c r="HIF29" s="3"/>
      <c r="HIG29" s="3"/>
      <c r="HIH29" s="3"/>
      <c r="HII29" s="3"/>
      <c r="HIJ29" s="3"/>
      <c r="HIK29" s="3"/>
      <c r="HIL29" s="3"/>
      <c r="HIM29" s="3"/>
      <c r="HIN29" s="3"/>
      <c r="HIO29" s="3"/>
      <c r="HIP29" s="3"/>
      <c r="HIQ29" s="3"/>
      <c r="HIR29" s="3"/>
      <c r="HIS29" s="3"/>
      <c r="HIT29" s="3"/>
      <c r="HIU29" s="3"/>
      <c r="HIV29" s="3"/>
      <c r="HIW29" s="3"/>
      <c r="HIX29" s="3"/>
      <c r="HIY29" s="3"/>
      <c r="HIZ29" s="3"/>
      <c r="HJA29" s="3"/>
      <c r="HJB29" s="3"/>
      <c r="HJC29" s="3"/>
      <c r="HJD29" s="3"/>
      <c r="HJE29" s="3"/>
      <c r="HJF29" s="3"/>
      <c r="HJG29" s="3"/>
      <c r="HJH29" s="3"/>
      <c r="HJI29" s="3"/>
      <c r="HJJ29" s="3"/>
      <c r="HJK29" s="3"/>
      <c r="HJL29" s="3"/>
      <c r="HJM29" s="3"/>
      <c r="HJN29" s="3"/>
      <c r="HJO29" s="3"/>
      <c r="HJP29" s="3"/>
      <c r="HJQ29" s="3"/>
      <c r="HJR29" s="3"/>
      <c r="HJS29" s="3"/>
      <c r="HJT29" s="3"/>
      <c r="HJU29" s="3"/>
      <c r="HJV29" s="3"/>
      <c r="HJW29" s="3"/>
      <c r="HJX29" s="3"/>
      <c r="HJY29" s="3"/>
      <c r="HJZ29" s="3"/>
      <c r="HKA29" s="3"/>
      <c r="HKB29" s="3"/>
      <c r="HKC29" s="3"/>
      <c r="HKD29" s="3"/>
      <c r="HKE29" s="3"/>
      <c r="HKF29" s="3"/>
      <c r="HKG29" s="3"/>
      <c r="HKH29" s="3"/>
      <c r="HKI29" s="3"/>
      <c r="HKJ29" s="3"/>
      <c r="HKK29" s="3"/>
      <c r="HKL29" s="3"/>
      <c r="HKM29" s="3"/>
      <c r="HKN29" s="3"/>
      <c r="HKO29" s="3"/>
      <c r="HKP29" s="3"/>
      <c r="HKQ29" s="3"/>
      <c r="HKR29" s="3"/>
      <c r="HKS29" s="3"/>
      <c r="HKT29" s="3"/>
      <c r="HKU29" s="3"/>
      <c r="HKV29" s="3"/>
      <c r="HKW29" s="3"/>
      <c r="HKX29" s="3"/>
      <c r="HKY29" s="3"/>
      <c r="HKZ29" s="3"/>
      <c r="HLA29" s="3"/>
      <c r="HLB29" s="3"/>
      <c r="HLC29" s="3"/>
      <c r="HLD29" s="3"/>
      <c r="HLE29" s="3"/>
      <c r="HLF29" s="3"/>
      <c r="HLG29" s="3"/>
      <c r="HLH29" s="3"/>
      <c r="HLI29" s="3"/>
      <c r="HLJ29" s="3"/>
      <c r="HLK29" s="3"/>
      <c r="HLL29" s="3"/>
      <c r="HLM29" s="3"/>
      <c r="HLN29" s="3"/>
      <c r="HLO29" s="3"/>
      <c r="HLP29" s="3"/>
      <c r="HLQ29" s="3"/>
      <c r="HLR29" s="3"/>
      <c r="HLS29" s="3"/>
      <c r="HLT29" s="3"/>
      <c r="HLU29" s="3"/>
      <c r="HLV29" s="3"/>
      <c r="HLW29" s="3"/>
      <c r="HLX29" s="3"/>
      <c r="HLY29" s="3"/>
      <c r="HLZ29" s="3"/>
      <c r="HMA29" s="3"/>
      <c r="HMB29" s="3"/>
      <c r="HMC29" s="3"/>
      <c r="HMD29" s="3"/>
      <c r="HME29" s="3"/>
      <c r="HMF29" s="3"/>
      <c r="HMG29" s="3"/>
      <c r="HMH29" s="3"/>
      <c r="HMI29" s="3"/>
      <c r="HMJ29" s="3"/>
      <c r="HMK29" s="3"/>
      <c r="HML29" s="3"/>
      <c r="HMM29" s="3"/>
      <c r="HMN29" s="3"/>
      <c r="HMO29" s="3"/>
      <c r="HMP29" s="3"/>
      <c r="HMQ29" s="3"/>
      <c r="HMR29" s="3"/>
      <c r="HMS29" s="3"/>
      <c r="HMT29" s="3"/>
      <c r="HMU29" s="3"/>
      <c r="HMV29" s="3"/>
      <c r="HMW29" s="3"/>
      <c r="HMX29" s="3"/>
      <c r="HMY29" s="3"/>
      <c r="HMZ29" s="3"/>
      <c r="HNA29" s="3"/>
      <c r="HNB29" s="3"/>
      <c r="HNC29" s="3"/>
      <c r="HND29" s="3"/>
      <c r="HNE29" s="3"/>
      <c r="HNF29" s="3"/>
      <c r="HNG29" s="3"/>
      <c r="HNH29" s="3"/>
      <c r="HNI29" s="3"/>
      <c r="HNJ29" s="3"/>
      <c r="HNK29" s="3"/>
      <c r="HNL29" s="3"/>
      <c r="HNM29" s="3"/>
      <c r="HNN29" s="3"/>
      <c r="HNO29" s="3"/>
      <c r="HNP29" s="3"/>
      <c r="HNQ29" s="3"/>
      <c r="HNR29" s="3"/>
      <c r="HNS29" s="3"/>
      <c r="HNT29" s="3"/>
      <c r="HNU29" s="3"/>
      <c r="HNV29" s="3"/>
      <c r="HNW29" s="3"/>
      <c r="HNX29" s="3"/>
      <c r="HNY29" s="3"/>
      <c r="HNZ29" s="3"/>
      <c r="HOA29" s="3"/>
      <c r="HOB29" s="3"/>
      <c r="HOC29" s="3"/>
      <c r="HOD29" s="3"/>
      <c r="HOE29" s="3"/>
      <c r="HOF29" s="3"/>
      <c r="HOG29" s="3"/>
      <c r="HOH29" s="3"/>
      <c r="HOI29" s="3"/>
      <c r="HOJ29" s="3"/>
      <c r="HOK29" s="3"/>
      <c r="HOL29" s="3"/>
      <c r="HOM29" s="3"/>
      <c r="HON29" s="3"/>
      <c r="HOO29" s="3"/>
      <c r="HOP29" s="3"/>
      <c r="HOQ29" s="3"/>
      <c r="HOR29" s="3"/>
      <c r="HOS29" s="3"/>
      <c r="HOT29" s="3"/>
      <c r="HOU29" s="3"/>
      <c r="HOV29" s="3"/>
      <c r="HOW29" s="3"/>
      <c r="HOX29" s="3"/>
      <c r="HOY29" s="3"/>
      <c r="HOZ29" s="3"/>
      <c r="HPA29" s="3"/>
      <c r="HPB29" s="3"/>
      <c r="HPC29" s="3"/>
      <c r="HPD29" s="3"/>
      <c r="HPE29" s="3"/>
      <c r="HPF29" s="3"/>
      <c r="HPG29" s="3"/>
      <c r="HPH29" s="3"/>
      <c r="HPI29" s="3"/>
      <c r="HPJ29" s="3"/>
      <c r="HPK29" s="3"/>
      <c r="HPL29" s="3"/>
      <c r="HPM29" s="3"/>
      <c r="HPN29" s="3"/>
      <c r="HPO29" s="3"/>
      <c r="HPP29" s="3"/>
      <c r="HPQ29" s="3"/>
      <c r="HPR29" s="3"/>
      <c r="HPS29" s="3"/>
      <c r="HPT29" s="3"/>
      <c r="HPU29" s="3"/>
      <c r="HPV29" s="3"/>
      <c r="HPW29" s="3"/>
      <c r="HPX29" s="3"/>
      <c r="HPY29" s="3"/>
      <c r="HPZ29" s="3"/>
      <c r="HQA29" s="3"/>
      <c r="HQB29" s="3"/>
      <c r="HQC29" s="3"/>
      <c r="HQD29" s="3"/>
      <c r="HQE29" s="3"/>
      <c r="HQF29" s="3"/>
      <c r="HQG29" s="3"/>
      <c r="HQH29" s="3"/>
      <c r="HQI29" s="3"/>
      <c r="HQJ29" s="3"/>
      <c r="HQK29" s="3"/>
      <c r="HQL29" s="3"/>
      <c r="HQM29" s="3"/>
      <c r="HQN29" s="3"/>
      <c r="HQO29" s="3"/>
      <c r="HQP29" s="3"/>
      <c r="HQQ29" s="3"/>
      <c r="HQR29" s="3"/>
      <c r="HQS29" s="3"/>
      <c r="HQT29" s="3"/>
      <c r="HQU29" s="3"/>
      <c r="HQV29" s="3"/>
      <c r="HQW29" s="3"/>
      <c r="HQX29" s="3"/>
      <c r="HQY29" s="3"/>
      <c r="HQZ29" s="3"/>
      <c r="HRA29" s="3"/>
      <c r="HRB29" s="3"/>
      <c r="HRC29" s="3"/>
      <c r="HRD29" s="3"/>
      <c r="HRE29" s="3"/>
      <c r="HRF29" s="3"/>
      <c r="HRG29" s="3"/>
      <c r="HRH29" s="3"/>
      <c r="HRI29" s="3"/>
      <c r="HRJ29" s="3"/>
      <c r="HRK29" s="3"/>
      <c r="HRL29" s="3"/>
      <c r="HRM29" s="3"/>
      <c r="HRN29" s="3"/>
      <c r="HRO29" s="3"/>
      <c r="HRP29" s="3"/>
      <c r="HRQ29" s="3"/>
      <c r="HRR29" s="3"/>
      <c r="HRS29" s="3"/>
      <c r="HRT29" s="3"/>
      <c r="HRU29" s="3"/>
      <c r="HRV29" s="3"/>
      <c r="HRW29" s="3"/>
      <c r="HRX29" s="3"/>
      <c r="HRY29" s="3"/>
      <c r="HRZ29" s="3"/>
      <c r="HSA29" s="3"/>
      <c r="HSB29" s="3"/>
      <c r="HSC29" s="3"/>
      <c r="HSD29" s="3"/>
      <c r="HSE29" s="3"/>
      <c r="HSF29" s="3"/>
      <c r="HSG29" s="3"/>
      <c r="HSH29" s="3"/>
      <c r="HSI29" s="3"/>
      <c r="HSJ29" s="3"/>
      <c r="HSK29" s="3"/>
      <c r="HSL29" s="3"/>
      <c r="HSM29" s="3"/>
      <c r="HSN29" s="3"/>
      <c r="HSO29" s="3"/>
      <c r="HSP29" s="3"/>
      <c r="HSQ29" s="3"/>
      <c r="HSR29" s="3"/>
      <c r="HSS29" s="3"/>
      <c r="HST29" s="3"/>
      <c r="HSU29" s="3"/>
      <c r="HSV29" s="3"/>
      <c r="HSW29" s="3"/>
      <c r="HSX29" s="3"/>
      <c r="HSY29" s="3"/>
      <c r="HSZ29" s="3"/>
      <c r="HTA29" s="3"/>
      <c r="HTB29" s="3"/>
      <c r="HTC29" s="3"/>
      <c r="HTD29" s="3"/>
      <c r="HTE29" s="3"/>
      <c r="HTF29" s="3"/>
      <c r="HTG29" s="3"/>
      <c r="HTH29" s="3"/>
      <c r="HTI29" s="3"/>
      <c r="HTJ29" s="3"/>
      <c r="HTK29" s="3"/>
      <c r="HTL29" s="3"/>
      <c r="HTM29" s="3"/>
      <c r="HTN29" s="3"/>
      <c r="HTO29" s="3"/>
      <c r="HTP29" s="3"/>
      <c r="HTQ29" s="3"/>
      <c r="HTR29" s="3"/>
      <c r="HTS29" s="3"/>
      <c r="HTT29" s="3"/>
      <c r="HTU29" s="3"/>
      <c r="HTV29" s="3"/>
      <c r="HTW29" s="3"/>
      <c r="HTX29" s="3"/>
      <c r="HTY29" s="3"/>
      <c r="HTZ29" s="3"/>
      <c r="HUA29" s="3"/>
      <c r="HUB29" s="3"/>
      <c r="HUC29" s="3"/>
      <c r="HUD29" s="3"/>
      <c r="HUE29" s="3"/>
      <c r="HUF29" s="3"/>
      <c r="HUG29" s="3"/>
      <c r="HUH29" s="3"/>
      <c r="HUI29" s="3"/>
      <c r="HUJ29" s="3"/>
      <c r="HUK29" s="3"/>
      <c r="HUL29" s="3"/>
      <c r="HUM29" s="3"/>
      <c r="HUN29" s="3"/>
      <c r="HUO29" s="3"/>
      <c r="HUP29" s="3"/>
      <c r="HUQ29" s="3"/>
      <c r="HUR29" s="3"/>
      <c r="HUS29" s="3"/>
      <c r="HUT29" s="3"/>
      <c r="HUU29" s="3"/>
      <c r="HUV29" s="3"/>
      <c r="HUW29" s="3"/>
      <c r="HUX29" s="3"/>
      <c r="HUY29" s="3"/>
      <c r="HUZ29" s="3"/>
      <c r="HVA29" s="3"/>
      <c r="HVB29" s="3"/>
      <c r="HVC29" s="3"/>
      <c r="HVD29" s="3"/>
      <c r="HVE29" s="3"/>
      <c r="HVF29" s="3"/>
      <c r="HVG29" s="3"/>
      <c r="HVH29" s="3"/>
      <c r="HVI29" s="3"/>
      <c r="HVJ29" s="3"/>
      <c r="HVK29" s="3"/>
      <c r="HVL29" s="3"/>
      <c r="HVM29" s="3"/>
      <c r="HVN29" s="3"/>
      <c r="HVO29" s="3"/>
      <c r="HVP29" s="3"/>
      <c r="HVQ29" s="3"/>
      <c r="HVR29" s="3"/>
      <c r="HVS29" s="3"/>
      <c r="HVT29" s="3"/>
      <c r="HVU29" s="3"/>
      <c r="HVV29" s="3"/>
      <c r="HVW29" s="3"/>
      <c r="HVX29" s="3"/>
      <c r="HVY29" s="3"/>
      <c r="HVZ29" s="3"/>
      <c r="HWA29" s="3"/>
      <c r="HWB29" s="3"/>
      <c r="HWC29" s="3"/>
      <c r="HWD29" s="3"/>
      <c r="HWE29" s="3"/>
      <c r="HWF29" s="3"/>
      <c r="HWG29" s="3"/>
      <c r="HWH29" s="3"/>
      <c r="HWI29" s="3"/>
      <c r="HWJ29" s="3"/>
      <c r="HWK29" s="3"/>
      <c r="HWL29" s="3"/>
      <c r="HWM29" s="3"/>
      <c r="HWN29" s="3"/>
      <c r="HWO29" s="3"/>
      <c r="HWP29" s="3"/>
      <c r="HWQ29" s="3"/>
      <c r="HWR29" s="3"/>
      <c r="HWS29" s="3"/>
      <c r="HWT29" s="3"/>
      <c r="HWU29" s="3"/>
      <c r="HWV29" s="3"/>
      <c r="HWW29" s="3"/>
      <c r="HWX29" s="3"/>
      <c r="HWY29" s="3"/>
      <c r="HWZ29" s="3"/>
      <c r="HXA29" s="3"/>
      <c r="HXB29" s="3"/>
      <c r="HXC29" s="3"/>
      <c r="HXD29" s="3"/>
      <c r="HXE29" s="3"/>
      <c r="HXF29" s="3"/>
      <c r="HXG29" s="3"/>
      <c r="HXH29" s="3"/>
      <c r="HXI29" s="3"/>
      <c r="HXJ29" s="3"/>
      <c r="HXK29" s="3"/>
      <c r="HXL29" s="3"/>
      <c r="HXM29" s="3"/>
      <c r="HXN29" s="3"/>
      <c r="HXO29" s="3"/>
      <c r="HXP29" s="3"/>
      <c r="HXQ29" s="3"/>
      <c r="HXR29" s="3"/>
      <c r="HXS29" s="3"/>
      <c r="HXT29" s="3"/>
      <c r="HXU29" s="3"/>
      <c r="HXV29" s="3"/>
      <c r="HXW29" s="3"/>
      <c r="HXX29" s="3"/>
      <c r="HXY29" s="3"/>
      <c r="HXZ29" s="3"/>
      <c r="HYA29" s="3"/>
      <c r="HYB29" s="3"/>
      <c r="HYC29" s="3"/>
      <c r="HYD29" s="3"/>
      <c r="HYE29" s="3"/>
      <c r="HYF29" s="3"/>
      <c r="HYG29" s="3"/>
      <c r="HYH29" s="3"/>
      <c r="HYI29" s="3"/>
      <c r="HYJ29" s="3"/>
      <c r="HYK29" s="3"/>
      <c r="HYL29" s="3"/>
      <c r="HYM29" s="3"/>
      <c r="HYN29" s="3"/>
      <c r="HYO29" s="3"/>
      <c r="HYP29" s="3"/>
      <c r="HYQ29" s="3"/>
      <c r="HYR29" s="3"/>
      <c r="HYS29" s="3"/>
      <c r="HYT29" s="3"/>
      <c r="HYU29" s="3"/>
      <c r="HYV29" s="3"/>
      <c r="HYW29" s="3"/>
      <c r="HYX29" s="3"/>
      <c r="HYY29" s="3"/>
      <c r="HYZ29" s="3"/>
      <c r="HZA29" s="3"/>
      <c r="HZB29" s="3"/>
      <c r="HZC29" s="3"/>
      <c r="HZD29" s="3"/>
      <c r="HZE29" s="3"/>
      <c r="HZF29" s="3"/>
      <c r="HZG29" s="3"/>
      <c r="HZH29" s="3"/>
      <c r="HZI29" s="3"/>
      <c r="HZJ29" s="3"/>
      <c r="HZK29" s="3"/>
      <c r="HZL29" s="3"/>
      <c r="HZM29" s="3"/>
      <c r="HZN29" s="3"/>
      <c r="HZO29" s="3"/>
      <c r="HZP29" s="3"/>
      <c r="HZQ29" s="3"/>
      <c r="HZR29" s="3"/>
      <c r="HZS29" s="3"/>
      <c r="HZT29" s="3"/>
      <c r="HZU29" s="3"/>
      <c r="HZV29" s="3"/>
      <c r="HZW29" s="3"/>
      <c r="HZX29" s="3"/>
      <c r="HZY29" s="3"/>
      <c r="HZZ29" s="3"/>
      <c r="IAA29" s="3"/>
      <c r="IAB29" s="3"/>
      <c r="IAC29" s="3"/>
      <c r="IAD29" s="3"/>
      <c r="IAE29" s="3"/>
      <c r="IAF29" s="3"/>
      <c r="IAG29" s="3"/>
      <c r="IAH29" s="3"/>
      <c r="IAI29" s="3"/>
      <c r="IAJ29" s="3"/>
      <c r="IAK29" s="3"/>
      <c r="IAL29" s="3"/>
      <c r="IAM29" s="3"/>
      <c r="IAN29" s="3"/>
      <c r="IAO29" s="3"/>
      <c r="IAP29" s="3"/>
      <c r="IAQ29" s="3"/>
      <c r="IAR29" s="3"/>
      <c r="IAS29" s="3"/>
      <c r="IAT29" s="3"/>
      <c r="IAU29" s="3"/>
      <c r="IAV29" s="3"/>
      <c r="IAW29" s="3"/>
      <c r="IAX29" s="3"/>
      <c r="IAY29" s="3"/>
      <c r="IAZ29" s="3"/>
      <c r="IBA29" s="3"/>
      <c r="IBB29" s="3"/>
      <c r="IBC29" s="3"/>
      <c r="IBD29" s="3"/>
      <c r="IBE29" s="3"/>
      <c r="IBF29" s="3"/>
      <c r="IBG29" s="3"/>
      <c r="IBH29" s="3"/>
      <c r="IBI29" s="3"/>
      <c r="IBJ29" s="3"/>
      <c r="IBK29" s="3"/>
      <c r="IBL29" s="3"/>
      <c r="IBM29" s="3"/>
      <c r="IBN29" s="3"/>
      <c r="IBO29" s="3"/>
      <c r="IBP29" s="3"/>
      <c r="IBQ29" s="3"/>
      <c r="IBR29" s="3"/>
      <c r="IBS29" s="3"/>
      <c r="IBT29" s="3"/>
      <c r="IBU29" s="3"/>
      <c r="IBV29" s="3"/>
      <c r="IBW29" s="3"/>
      <c r="IBX29" s="3"/>
      <c r="IBY29" s="3"/>
      <c r="IBZ29" s="3"/>
      <c r="ICA29" s="3"/>
      <c r="ICB29" s="3"/>
      <c r="ICC29" s="3"/>
      <c r="ICD29" s="3"/>
      <c r="ICE29" s="3"/>
      <c r="ICF29" s="3"/>
      <c r="ICG29" s="3"/>
      <c r="ICH29" s="3"/>
      <c r="ICI29" s="3"/>
      <c r="ICJ29" s="3"/>
      <c r="ICK29" s="3"/>
      <c r="ICL29" s="3"/>
      <c r="ICM29" s="3"/>
      <c r="ICN29" s="3"/>
      <c r="ICO29" s="3"/>
      <c r="ICP29" s="3"/>
      <c r="ICQ29" s="3"/>
      <c r="ICR29" s="3"/>
      <c r="ICS29" s="3"/>
      <c r="ICT29" s="3"/>
      <c r="ICU29" s="3"/>
      <c r="ICV29" s="3"/>
      <c r="ICW29" s="3"/>
      <c r="ICX29" s="3"/>
      <c r="ICY29" s="3"/>
      <c r="ICZ29" s="3"/>
      <c r="IDA29" s="3"/>
      <c r="IDB29" s="3"/>
      <c r="IDC29" s="3"/>
      <c r="IDD29" s="3"/>
      <c r="IDE29" s="3"/>
      <c r="IDF29" s="3"/>
      <c r="IDG29" s="3"/>
      <c r="IDH29" s="3"/>
      <c r="IDI29" s="3"/>
      <c r="IDJ29" s="3"/>
      <c r="IDK29" s="3"/>
      <c r="IDL29" s="3"/>
      <c r="IDM29" s="3"/>
      <c r="IDN29" s="3"/>
      <c r="IDO29" s="3"/>
      <c r="IDP29" s="3"/>
      <c r="IDQ29" s="3"/>
      <c r="IDR29" s="3"/>
      <c r="IDS29" s="3"/>
      <c r="IDT29" s="3"/>
      <c r="IDU29" s="3"/>
      <c r="IDV29" s="3"/>
      <c r="IDW29" s="3"/>
      <c r="IDX29" s="3"/>
      <c r="IDY29" s="3"/>
      <c r="IDZ29" s="3"/>
      <c r="IEA29" s="3"/>
      <c r="IEB29" s="3"/>
      <c r="IEC29" s="3"/>
      <c r="IED29" s="3"/>
      <c r="IEE29" s="3"/>
      <c r="IEF29" s="3"/>
      <c r="IEG29" s="3"/>
      <c r="IEH29" s="3"/>
      <c r="IEI29" s="3"/>
      <c r="IEJ29" s="3"/>
      <c r="IEK29" s="3"/>
      <c r="IEL29" s="3"/>
      <c r="IEM29" s="3"/>
      <c r="IEN29" s="3"/>
      <c r="IEO29" s="3"/>
      <c r="IEP29" s="3"/>
      <c r="IEQ29" s="3"/>
      <c r="IER29" s="3"/>
      <c r="IES29" s="3"/>
      <c r="IET29" s="3"/>
      <c r="IEU29" s="3"/>
      <c r="IEV29" s="3"/>
      <c r="IEW29" s="3"/>
      <c r="IEX29" s="3"/>
      <c r="IEY29" s="3"/>
      <c r="IEZ29" s="3"/>
      <c r="IFA29" s="3"/>
      <c r="IFB29" s="3"/>
      <c r="IFC29" s="3"/>
      <c r="IFD29" s="3"/>
      <c r="IFE29" s="3"/>
      <c r="IFF29" s="3"/>
      <c r="IFG29" s="3"/>
      <c r="IFH29" s="3"/>
      <c r="IFI29" s="3"/>
      <c r="IFJ29" s="3"/>
      <c r="IFK29" s="3"/>
      <c r="IFL29" s="3"/>
      <c r="IFM29" s="3"/>
      <c r="IFN29" s="3"/>
      <c r="IFO29" s="3"/>
      <c r="IFP29" s="3"/>
      <c r="IFQ29" s="3"/>
      <c r="IFR29" s="3"/>
      <c r="IFS29" s="3"/>
      <c r="IFT29" s="3"/>
      <c r="IFU29" s="3"/>
      <c r="IFV29" s="3"/>
      <c r="IFW29" s="3"/>
      <c r="IFX29" s="3"/>
      <c r="IFY29" s="3"/>
      <c r="IFZ29" s="3"/>
      <c r="IGA29" s="3"/>
      <c r="IGB29" s="3"/>
      <c r="IGC29" s="3"/>
      <c r="IGD29" s="3"/>
      <c r="IGE29" s="3"/>
      <c r="IGF29" s="3"/>
      <c r="IGG29" s="3"/>
      <c r="IGH29" s="3"/>
      <c r="IGI29" s="3"/>
      <c r="IGJ29" s="3"/>
      <c r="IGK29" s="3"/>
      <c r="IGL29" s="3"/>
      <c r="IGM29" s="3"/>
      <c r="IGN29" s="3"/>
      <c r="IGO29" s="3"/>
      <c r="IGP29" s="3"/>
      <c r="IGQ29" s="3"/>
      <c r="IGR29" s="3"/>
      <c r="IGS29" s="3"/>
      <c r="IGT29" s="3"/>
      <c r="IGU29" s="3"/>
      <c r="IGV29" s="3"/>
      <c r="IGW29" s="3"/>
      <c r="IGX29" s="3"/>
      <c r="IGY29" s="3"/>
      <c r="IGZ29" s="3"/>
      <c r="IHA29" s="3"/>
      <c r="IHB29" s="3"/>
      <c r="IHC29" s="3"/>
      <c r="IHD29" s="3"/>
      <c r="IHE29" s="3"/>
      <c r="IHF29" s="3"/>
      <c r="IHG29" s="3"/>
      <c r="IHH29" s="3"/>
      <c r="IHI29" s="3"/>
      <c r="IHJ29" s="3"/>
      <c r="IHK29" s="3"/>
      <c r="IHL29" s="3"/>
      <c r="IHM29" s="3"/>
      <c r="IHN29" s="3"/>
      <c r="IHO29" s="3"/>
      <c r="IHP29" s="3"/>
      <c r="IHQ29" s="3"/>
      <c r="IHR29" s="3"/>
      <c r="IHS29" s="3"/>
      <c r="IHT29" s="3"/>
      <c r="IHU29" s="3"/>
      <c r="IHV29" s="3"/>
      <c r="IHW29" s="3"/>
      <c r="IHX29" s="3"/>
      <c r="IHY29" s="3"/>
      <c r="IHZ29" s="3"/>
      <c r="IIA29" s="3"/>
      <c r="IIB29" s="3"/>
      <c r="IIC29" s="3"/>
      <c r="IID29" s="3"/>
      <c r="IIE29" s="3"/>
      <c r="IIF29" s="3"/>
      <c r="IIG29" s="3"/>
      <c r="IIH29" s="3"/>
      <c r="III29" s="3"/>
      <c r="IIJ29" s="3"/>
      <c r="IIK29" s="3"/>
      <c r="IIL29" s="3"/>
      <c r="IIM29" s="3"/>
      <c r="IIN29" s="3"/>
      <c r="IIO29" s="3"/>
      <c r="IIP29" s="3"/>
      <c r="IIQ29" s="3"/>
      <c r="IIR29" s="3"/>
      <c r="IIS29" s="3"/>
      <c r="IIT29" s="3"/>
      <c r="IIU29" s="3"/>
      <c r="IIV29" s="3"/>
      <c r="IIW29" s="3"/>
      <c r="IIX29" s="3"/>
      <c r="IIY29" s="3"/>
      <c r="IIZ29" s="3"/>
      <c r="IJA29" s="3"/>
      <c r="IJB29" s="3"/>
      <c r="IJC29" s="3"/>
      <c r="IJD29" s="3"/>
      <c r="IJE29" s="3"/>
      <c r="IJF29" s="3"/>
      <c r="IJG29" s="3"/>
      <c r="IJH29" s="3"/>
      <c r="IJI29" s="3"/>
      <c r="IJJ29" s="3"/>
      <c r="IJK29" s="3"/>
      <c r="IJL29" s="3"/>
      <c r="IJM29" s="3"/>
      <c r="IJN29" s="3"/>
      <c r="IJO29" s="3"/>
      <c r="IJP29" s="3"/>
      <c r="IJQ29" s="3"/>
      <c r="IJR29" s="3"/>
      <c r="IJS29" s="3"/>
      <c r="IJT29" s="3"/>
      <c r="IJU29" s="3"/>
      <c r="IJV29" s="3"/>
      <c r="IJW29" s="3"/>
      <c r="IJX29" s="3"/>
      <c r="IJY29" s="3"/>
      <c r="IJZ29" s="3"/>
      <c r="IKA29" s="3"/>
      <c r="IKB29" s="3"/>
      <c r="IKC29" s="3"/>
      <c r="IKD29" s="3"/>
      <c r="IKE29" s="3"/>
      <c r="IKF29" s="3"/>
      <c r="IKG29" s="3"/>
      <c r="IKH29" s="3"/>
      <c r="IKI29" s="3"/>
      <c r="IKJ29" s="3"/>
      <c r="IKK29" s="3"/>
      <c r="IKL29" s="3"/>
      <c r="IKM29" s="3"/>
      <c r="IKN29" s="3"/>
      <c r="IKO29" s="3"/>
      <c r="IKP29" s="3"/>
      <c r="IKQ29" s="3"/>
      <c r="IKR29" s="3"/>
      <c r="IKS29" s="3"/>
      <c r="IKT29" s="3"/>
      <c r="IKU29" s="3"/>
      <c r="IKV29" s="3"/>
      <c r="IKW29" s="3"/>
      <c r="IKX29" s="3"/>
      <c r="IKY29" s="3"/>
      <c r="IKZ29" s="3"/>
      <c r="ILA29" s="3"/>
      <c r="ILB29" s="3"/>
      <c r="ILC29" s="3"/>
      <c r="ILD29" s="3"/>
      <c r="ILE29" s="3"/>
      <c r="ILF29" s="3"/>
      <c r="ILG29" s="3"/>
      <c r="ILH29" s="3"/>
      <c r="ILI29" s="3"/>
      <c r="ILJ29" s="3"/>
      <c r="ILK29" s="3"/>
      <c r="ILL29" s="3"/>
      <c r="ILM29" s="3"/>
      <c r="ILN29" s="3"/>
      <c r="ILO29" s="3"/>
      <c r="ILP29" s="3"/>
      <c r="ILQ29" s="3"/>
      <c r="ILR29" s="3"/>
      <c r="ILS29" s="3"/>
      <c r="ILT29" s="3"/>
      <c r="ILU29" s="3"/>
      <c r="ILV29" s="3"/>
      <c r="ILW29" s="3"/>
      <c r="ILX29" s="3"/>
      <c r="ILY29" s="3"/>
      <c r="ILZ29" s="3"/>
      <c r="IMA29" s="3"/>
      <c r="IMB29" s="3"/>
      <c r="IMC29" s="3"/>
      <c r="IMD29" s="3"/>
      <c r="IME29" s="3"/>
      <c r="IMF29" s="3"/>
      <c r="IMG29" s="3"/>
      <c r="IMH29" s="3"/>
      <c r="IMI29" s="3"/>
      <c r="IMJ29" s="3"/>
      <c r="IMK29" s="3"/>
      <c r="IML29" s="3"/>
      <c r="IMM29" s="3"/>
      <c r="IMN29" s="3"/>
      <c r="IMO29" s="3"/>
      <c r="IMP29" s="3"/>
      <c r="IMQ29" s="3"/>
      <c r="IMR29" s="3"/>
      <c r="IMS29" s="3"/>
      <c r="IMT29" s="3"/>
      <c r="IMU29" s="3"/>
      <c r="IMV29" s="3"/>
      <c r="IMW29" s="3"/>
      <c r="IMX29" s="3"/>
      <c r="IMY29" s="3"/>
      <c r="IMZ29" s="3"/>
      <c r="INA29" s="3"/>
      <c r="INB29" s="3"/>
      <c r="INC29" s="3"/>
      <c r="IND29" s="3"/>
      <c r="INE29" s="3"/>
      <c r="INF29" s="3"/>
      <c r="ING29" s="3"/>
      <c r="INH29" s="3"/>
      <c r="INI29" s="3"/>
      <c r="INJ29" s="3"/>
      <c r="INK29" s="3"/>
      <c r="INL29" s="3"/>
      <c r="INM29" s="3"/>
      <c r="INN29" s="3"/>
      <c r="INO29" s="3"/>
      <c r="INP29" s="3"/>
      <c r="INQ29" s="3"/>
      <c r="INR29" s="3"/>
      <c r="INS29" s="3"/>
      <c r="INT29" s="3"/>
      <c r="INU29" s="3"/>
      <c r="INV29" s="3"/>
      <c r="INW29" s="3"/>
      <c r="INX29" s="3"/>
      <c r="INY29" s="3"/>
      <c r="INZ29" s="3"/>
      <c r="IOA29" s="3"/>
      <c r="IOB29" s="3"/>
      <c r="IOC29" s="3"/>
      <c r="IOD29" s="3"/>
      <c r="IOE29" s="3"/>
      <c r="IOF29" s="3"/>
      <c r="IOG29" s="3"/>
      <c r="IOH29" s="3"/>
      <c r="IOI29" s="3"/>
      <c r="IOJ29" s="3"/>
      <c r="IOK29" s="3"/>
      <c r="IOL29" s="3"/>
      <c r="IOM29" s="3"/>
      <c r="ION29" s="3"/>
      <c r="IOO29" s="3"/>
      <c r="IOP29" s="3"/>
      <c r="IOQ29" s="3"/>
      <c r="IOR29" s="3"/>
      <c r="IOS29" s="3"/>
      <c r="IOT29" s="3"/>
      <c r="IOU29" s="3"/>
      <c r="IOV29" s="3"/>
      <c r="IOW29" s="3"/>
      <c r="IOX29" s="3"/>
      <c r="IOY29" s="3"/>
      <c r="IOZ29" s="3"/>
      <c r="IPA29" s="3"/>
      <c r="IPB29" s="3"/>
      <c r="IPC29" s="3"/>
      <c r="IPD29" s="3"/>
      <c r="IPE29" s="3"/>
      <c r="IPF29" s="3"/>
      <c r="IPG29" s="3"/>
      <c r="IPH29" s="3"/>
      <c r="IPI29" s="3"/>
      <c r="IPJ29" s="3"/>
      <c r="IPK29" s="3"/>
      <c r="IPL29" s="3"/>
      <c r="IPM29" s="3"/>
      <c r="IPN29" s="3"/>
      <c r="IPO29" s="3"/>
      <c r="IPP29" s="3"/>
      <c r="IPQ29" s="3"/>
      <c r="IPR29" s="3"/>
      <c r="IPS29" s="3"/>
      <c r="IPT29" s="3"/>
      <c r="IPU29" s="3"/>
      <c r="IPV29" s="3"/>
      <c r="IPW29" s="3"/>
      <c r="IPX29" s="3"/>
      <c r="IPY29" s="3"/>
      <c r="IPZ29" s="3"/>
      <c r="IQA29" s="3"/>
      <c r="IQB29" s="3"/>
      <c r="IQC29" s="3"/>
      <c r="IQD29" s="3"/>
      <c r="IQE29" s="3"/>
      <c r="IQF29" s="3"/>
      <c r="IQG29" s="3"/>
      <c r="IQH29" s="3"/>
      <c r="IQI29" s="3"/>
      <c r="IQJ29" s="3"/>
      <c r="IQK29" s="3"/>
      <c r="IQL29" s="3"/>
      <c r="IQM29" s="3"/>
      <c r="IQN29" s="3"/>
      <c r="IQO29" s="3"/>
      <c r="IQP29" s="3"/>
      <c r="IQQ29" s="3"/>
      <c r="IQR29" s="3"/>
      <c r="IQS29" s="3"/>
      <c r="IQT29" s="3"/>
      <c r="IQU29" s="3"/>
      <c r="IQV29" s="3"/>
      <c r="IQW29" s="3"/>
      <c r="IQX29" s="3"/>
      <c r="IQY29" s="3"/>
      <c r="IQZ29" s="3"/>
      <c r="IRA29" s="3"/>
      <c r="IRB29" s="3"/>
      <c r="IRC29" s="3"/>
      <c r="IRD29" s="3"/>
      <c r="IRE29" s="3"/>
      <c r="IRF29" s="3"/>
      <c r="IRG29" s="3"/>
      <c r="IRH29" s="3"/>
      <c r="IRI29" s="3"/>
      <c r="IRJ29" s="3"/>
      <c r="IRK29" s="3"/>
      <c r="IRL29" s="3"/>
      <c r="IRM29" s="3"/>
      <c r="IRN29" s="3"/>
      <c r="IRO29" s="3"/>
      <c r="IRP29" s="3"/>
      <c r="IRQ29" s="3"/>
      <c r="IRR29" s="3"/>
      <c r="IRS29" s="3"/>
      <c r="IRT29" s="3"/>
      <c r="IRU29" s="3"/>
      <c r="IRV29" s="3"/>
      <c r="IRW29" s="3"/>
      <c r="IRX29" s="3"/>
      <c r="IRY29" s="3"/>
      <c r="IRZ29" s="3"/>
      <c r="ISA29" s="3"/>
      <c r="ISB29" s="3"/>
      <c r="ISC29" s="3"/>
      <c r="ISD29" s="3"/>
      <c r="ISE29" s="3"/>
      <c r="ISF29" s="3"/>
      <c r="ISG29" s="3"/>
      <c r="ISH29" s="3"/>
      <c r="ISI29" s="3"/>
      <c r="ISJ29" s="3"/>
      <c r="ISK29" s="3"/>
      <c r="ISL29" s="3"/>
      <c r="ISM29" s="3"/>
      <c r="ISN29" s="3"/>
      <c r="ISO29" s="3"/>
      <c r="ISP29" s="3"/>
      <c r="ISQ29" s="3"/>
      <c r="ISR29" s="3"/>
      <c r="ISS29" s="3"/>
      <c r="IST29" s="3"/>
      <c r="ISU29" s="3"/>
      <c r="ISV29" s="3"/>
      <c r="ISW29" s="3"/>
      <c r="ISX29" s="3"/>
      <c r="ISY29" s="3"/>
      <c r="ISZ29" s="3"/>
      <c r="ITA29" s="3"/>
      <c r="ITB29" s="3"/>
      <c r="ITC29" s="3"/>
      <c r="ITD29" s="3"/>
      <c r="ITE29" s="3"/>
      <c r="ITF29" s="3"/>
      <c r="ITG29" s="3"/>
      <c r="ITH29" s="3"/>
      <c r="ITI29" s="3"/>
      <c r="ITJ29" s="3"/>
      <c r="ITK29" s="3"/>
      <c r="ITL29" s="3"/>
      <c r="ITM29" s="3"/>
      <c r="ITN29" s="3"/>
      <c r="ITO29" s="3"/>
      <c r="ITP29" s="3"/>
      <c r="ITQ29" s="3"/>
      <c r="ITR29" s="3"/>
      <c r="ITS29" s="3"/>
      <c r="ITT29" s="3"/>
      <c r="ITU29" s="3"/>
      <c r="ITV29" s="3"/>
      <c r="ITW29" s="3"/>
      <c r="ITX29" s="3"/>
      <c r="ITY29" s="3"/>
      <c r="ITZ29" s="3"/>
      <c r="IUA29" s="3"/>
      <c r="IUB29" s="3"/>
      <c r="IUC29" s="3"/>
      <c r="IUD29" s="3"/>
      <c r="IUE29" s="3"/>
      <c r="IUF29" s="3"/>
      <c r="IUG29" s="3"/>
      <c r="IUH29" s="3"/>
      <c r="IUI29" s="3"/>
      <c r="IUJ29" s="3"/>
      <c r="IUK29" s="3"/>
      <c r="IUL29" s="3"/>
      <c r="IUM29" s="3"/>
      <c r="IUN29" s="3"/>
      <c r="IUO29" s="3"/>
      <c r="IUP29" s="3"/>
      <c r="IUQ29" s="3"/>
      <c r="IUR29" s="3"/>
      <c r="IUS29" s="3"/>
      <c r="IUT29" s="3"/>
      <c r="IUU29" s="3"/>
      <c r="IUV29" s="3"/>
      <c r="IUW29" s="3"/>
      <c r="IUX29" s="3"/>
      <c r="IUY29" s="3"/>
      <c r="IUZ29" s="3"/>
      <c r="IVA29" s="3"/>
      <c r="IVB29" s="3"/>
      <c r="IVC29" s="3"/>
      <c r="IVD29" s="3"/>
      <c r="IVE29" s="3"/>
      <c r="IVF29" s="3"/>
      <c r="IVG29" s="3"/>
      <c r="IVH29" s="3"/>
      <c r="IVI29" s="3"/>
      <c r="IVJ29" s="3"/>
      <c r="IVK29" s="3"/>
      <c r="IVL29" s="3"/>
      <c r="IVM29" s="3"/>
      <c r="IVN29" s="3"/>
      <c r="IVO29" s="3"/>
      <c r="IVP29" s="3"/>
      <c r="IVQ29" s="3"/>
      <c r="IVR29" s="3"/>
      <c r="IVS29" s="3"/>
      <c r="IVT29" s="3"/>
      <c r="IVU29" s="3"/>
      <c r="IVV29" s="3"/>
      <c r="IVW29" s="3"/>
      <c r="IVX29" s="3"/>
      <c r="IVY29" s="3"/>
      <c r="IVZ29" s="3"/>
      <c r="IWA29" s="3"/>
      <c r="IWB29" s="3"/>
      <c r="IWC29" s="3"/>
      <c r="IWD29" s="3"/>
      <c r="IWE29" s="3"/>
      <c r="IWF29" s="3"/>
      <c r="IWG29" s="3"/>
      <c r="IWH29" s="3"/>
      <c r="IWI29" s="3"/>
      <c r="IWJ29" s="3"/>
      <c r="IWK29" s="3"/>
      <c r="IWL29" s="3"/>
      <c r="IWM29" s="3"/>
      <c r="IWN29" s="3"/>
      <c r="IWO29" s="3"/>
      <c r="IWP29" s="3"/>
      <c r="IWQ29" s="3"/>
      <c r="IWR29" s="3"/>
      <c r="IWS29" s="3"/>
      <c r="IWT29" s="3"/>
      <c r="IWU29" s="3"/>
      <c r="IWV29" s="3"/>
      <c r="IWW29" s="3"/>
      <c r="IWX29" s="3"/>
      <c r="IWY29" s="3"/>
      <c r="IWZ29" s="3"/>
      <c r="IXA29" s="3"/>
      <c r="IXB29" s="3"/>
      <c r="IXC29" s="3"/>
      <c r="IXD29" s="3"/>
      <c r="IXE29" s="3"/>
      <c r="IXF29" s="3"/>
      <c r="IXG29" s="3"/>
      <c r="IXH29" s="3"/>
      <c r="IXI29" s="3"/>
      <c r="IXJ29" s="3"/>
      <c r="IXK29" s="3"/>
      <c r="IXL29" s="3"/>
      <c r="IXM29" s="3"/>
      <c r="IXN29" s="3"/>
      <c r="IXO29" s="3"/>
      <c r="IXP29" s="3"/>
      <c r="IXQ29" s="3"/>
      <c r="IXR29" s="3"/>
      <c r="IXS29" s="3"/>
      <c r="IXT29" s="3"/>
      <c r="IXU29" s="3"/>
      <c r="IXV29" s="3"/>
      <c r="IXW29" s="3"/>
      <c r="IXX29" s="3"/>
      <c r="IXY29" s="3"/>
      <c r="IXZ29" s="3"/>
      <c r="IYA29" s="3"/>
      <c r="IYB29" s="3"/>
      <c r="IYC29" s="3"/>
      <c r="IYD29" s="3"/>
      <c r="IYE29" s="3"/>
      <c r="IYF29" s="3"/>
      <c r="IYG29" s="3"/>
      <c r="IYH29" s="3"/>
      <c r="IYI29" s="3"/>
      <c r="IYJ29" s="3"/>
      <c r="IYK29" s="3"/>
      <c r="IYL29" s="3"/>
      <c r="IYM29" s="3"/>
      <c r="IYN29" s="3"/>
      <c r="IYO29" s="3"/>
      <c r="IYP29" s="3"/>
      <c r="IYQ29" s="3"/>
      <c r="IYR29" s="3"/>
      <c r="IYS29" s="3"/>
      <c r="IYT29" s="3"/>
      <c r="IYU29" s="3"/>
      <c r="IYV29" s="3"/>
      <c r="IYW29" s="3"/>
      <c r="IYX29" s="3"/>
      <c r="IYY29" s="3"/>
      <c r="IYZ29" s="3"/>
      <c r="IZA29" s="3"/>
      <c r="IZB29" s="3"/>
      <c r="IZC29" s="3"/>
      <c r="IZD29" s="3"/>
      <c r="IZE29" s="3"/>
      <c r="IZF29" s="3"/>
      <c r="IZG29" s="3"/>
      <c r="IZH29" s="3"/>
      <c r="IZI29" s="3"/>
      <c r="IZJ29" s="3"/>
      <c r="IZK29" s="3"/>
      <c r="IZL29" s="3"/>
      <c r="IZM29" s="3"/>
      <c r="IZN29" s="3"/>
      <c r="IZO29" s="3"/>
      <c r="IZP29" s="3"/>
      <c r="IZQ29" s="3"/>
      <c r="IZR29" s="3"/>
      <c r="IZS29" s="3"/>
      <c r="IZT29" s="3"/>
      <c r="IZU29" s="3"/>
      <c r="IZV29" s="3"/>
      <c r="IZW29" s="3"/>
      <c r="IZX29" s="3"/>
      <c r="IZY29" s="3"/>
      <c r="IZZ29" s="3"/>
      <c r="JAA29" s="3"/>
      <c r="JAB29" s="3"/>
      <c r="JAC29" s="3"/>
      <c r="JAD29" s="3"/>
      <c r="JAE29" s="3"/>
      <c r="JAF29" s="3"/>
      <c r="JAG29" s="3"/>
      <c r="JAH29" s="3"/>
      <c r="JAI29" s="3"/>
      <c r="JAJ29" s="3"/>
      <c r="JAK29" s="3"/>
      <c r="JAL29" s="3"/>
      <c r="JAM29" s="3"/>
      <c r="JAN29" s="3"/>
      <c r="JAO29" s="3"/>
      <c r="JAP29" s="3"/>
      <c r="JAQ29" s="3"/>
      <c r="JAR29" s="3"/>
      <c r="JAS29" s="3"/>
      <c r="JAT29" s="3"/>
      <c r="JAU29" s="3"/>
      <c r="JAV29" s="3"/>
      <c r="JAW29" s="3"/>
      <c r="JAX29" s="3"/>
      <c r="JAY29" s="3"/>
      <c r="JAZ29" s="3"/>
      <c r="JBA29" s="3"/>
      <c r="JBB29" s="3"/>
      <c r="JBC29" s="3"/>
      <c r="JBD29" s="3"/>
      <c r="JBE29" s="3"/>
      <c r="JBF29" s="3"/>
      <c r="JBG29" s="3"/>
      <c r="JBH29" s="3"/>
      <c r="JBI29" s="3"/>
      <c r="JBJ29" s="3"/>
      <c r="JBK29" s="3"/>
      <c r="JBL29" s="3"/>
      <c r="JBM29" s="3"/>
      <c r="JBN29" s="3"/>
      <c r="JBO29" s="3"/>
      <c r="JBP29" s="3"/>
      <c r="JBQ29" s="3"/>
      <c r="JBR29" s="3"/>
      <c r="JBS29" s="3"/>
      <c r="JBT29" s="3"/>
      <c r="JBU29" s="3"/>
      <c r="JBV29" s="3"/>
      <c r="JBW29" s="3"/>
      <c r="JBX29" s="3"/>
      <c r="JBY29" s="3"/>
      <c r="JBZ29" s="3"/>
      <c r="JCA29" s="3"/>
      <c r="JCB29" s="3"/>
      <c r="JCC29" s="3"/>
      <c r="JCD29" s="3"/>
      <c r="JCE29" s="3"/>
      <c r="JCF29" s="3"/>
      <c r="JCG29" s="3"/>
      <c r="JCH29" s="3"/>
      <c r="JCI29" s="3"/>
      <c r="JCJ29" s="3"/>
      <c r="JCK29" s="3"/>
      <c r="JCL29" s="3"/>
      <c r="JCM29" s="3"/>
      <c r="JCN29" s="3"/>
      <c r="JCO29" s="3"/>
      <c r="JCP29" s="3"/>
      <c r="JCQ29" s="3"/>
      <c r="JCR29" s="3"/>
      <c r="JCS29" s="3"/>
      <c r="JCT29" s="3"/>
      <c r="JCU29" s="3"/>
      <c r="JCV29" s="3"/>
      <c r="JCW29" s="3"/>
      <c r="JCX29" s="3"/>
      <c r="JCY29" s="3"/>
      <c r="JCZ29" s="3"/>
      <c r="JDA29" s="3"/>
      <c r="JDB29" s="3"/>
      <c r="JDC29" s="3"/>
      <c r="JDD29" s="3"/>
      <c r="JDE29" s="3"/>
      <c r="JDF29" s="3"/>
      <c r="JDG29" s="3"/>
      <c r="JDH29" s="3"/>
      <c r="JDI29" s="3"/>
      <c r="JDJ29" s="3"/>
      <c r="JDK29" s="3"/>
      <c r="JDL29" s="3"/>
      <c r="JDM29" s="3"/>
      <c r="JDN29" s="3"/>
      <c r="JDO29" s="3"/>
      <c r="JDP29" s="3"/>
      <c r="JDQ29" s="3"/>
      <c r="JDR29" s="3"/>
      <c r="JDS29" s="3"/>
      <c r="JDT29" s="3"/>
      <c r="JDU29" s="3"/>
      <c r="JDV29" s="3"/>
      <c r="JDW29" s="3"/>
      <c r="JDX29" s="3"/>
      <c r="JDY29" s="3"/>
      <c r="JDZ29" s="3"/>
      <c r="JEA29" s="3"/>
      <c r="JEB29" s="3"/>
      <c r="JEC29" s="3"/>
      <c r="JED29" s="3"/>
      <c r="JEE29" s="3"/>
      <c r="JEF29" s="3"/>
      <c r="JEG29" s="3"/>
      <c r="JEH29" s="3"/>
      <c r="JEI29" s="3"/>
      <c r="JEJ29" s="3"/>
      <c r="JEK29" s="3"/>
      <c r="JEL29" s="3"/>
      <c r="JEM29" s="3"/>
      <c r="JEN29" s="3"/>
      <c r="JEO29" s="3"/>
      <c r="JEP29" s="3"/>
      <c r="JEQ29" s="3"/>
      <c r="JER29" s="3"/>
      <c r="JES29" s="3"/>
      <c r="JET29" s="3"/>
      <c r="JEU29" s="3"/>
      <c r="JEV29" s="3"/>
      <c r="JEW29" s="3"/>
      <c r="JEX29" s="3"/>
      <c r="JEY29" s="3"/>
      <c r="JEZ29" s="3"/>
      <c r="JFA29" s="3"/>
      <c r="JFB29" s="3"/>
      <c r="JFC29" s="3"/>
      <c r="JFD29" s="3"/>
      <c r="JFE29" s="3"/>
      <c r="JFF29" s="3"/>
      <c r="JFG29" s="3"/>
      <c r="JFH29" s="3"/>
      <c r="JFI29" s="3"/>
      <c r="JFJ29" s="3"/>
      <c r="JFK29" s="3"/>
      <c r="JFL29" s="3"/>
      <c r="JFM29" s="3"/>
      <c r="JFN29" s="3"/>
      <c r="JFO29" s="3"/>
      <c r="JFP29" s="3"/>
      <c r="JFQ29" s="3"/>
      <c r="JFR29" s="3"/>
      <c r="JFS29" s="3"/>
      <c r="JFT29" s="3"/>
      <c r="JFU29" s="3"/>
      <c r="JFV29" s="3"/>
      <c r="JFW29" s="3"/>
      <c r="JFX29" s="3"/>
      <c r="JFY29" s="3"/>
      <c r="JFZ29" s="3"/>
      <c r="JGA29" s="3"/>
      <c r="JGB29" s="3"/>
      <c r="JGC29" s="3"/>
      <c r="JGD29" s="3"/>
      <c r="JGE29" s="3"/>
      <c r="JGF29" s="3"/>
      <c r="JGG29" s="3"/>
      <c r="JGH29" s="3"/>
      <c r="JGI29" s="3"/>
      <c r="JGJ29" s="3"/>
      <c r="JGK29" s="3"/>
      <c r="JGL29" s="3"/>
      <c r="JGM29" s="3"/>
      <c r="JGN29" s="3"/>
      <c r="JGO29" s="3"/>
      <c r="JGP29" s="3"/>
      <c r="JGQ29" s="3"/>
      <c r="JGR29" s="3"/>
      <c r="JGS29" s="3"/>
      <c r="JGT29" s="3"/>
      <c r="JGU29" s="3"/>
      <c r="JGV29" s="3"/>
      <c r="JGW29" s="3"/>
      <c r="JGX29" s="3"/>
      <c r="JGY29" s="3"/>
      <c r="JGZ29" s="3"/>
      <c r="JHA29" s="3"/>
      <c r="JHB29" s="3"/>
      <c r="JHC29" s="3"/>
      <c r="JHD29" s="3"/>
      <c r="JHE29" s="3"/>
      <c r="JHF29" s="3"/>
      <c r="JHG29" s="3"/>
      <c r="JHH29" s="3"/>
      <c r="JHI29" s="3"/>
      <c r="JHJ29" s="3"/>
      <c r="JHK29" s="3"/>
      <c r="JHL29" s="3"/>
      <c r="JHM29" s="3"/>
      <c r="JHN29" s="3"/>
      <c r="JHO29" s="3"/>
      <c r="JHP29" s="3"/>
      <c r="JHQ29" s="3"/>
      <c r="JHR29" s="3"/>
      <c r="JHS29" s="3"/>
      <c r="JHT29" s="3"/>
      <c r="JHU29" s="3"/>
      <c r="JHV29" s="3"/>
      <c r="JHW29" s="3"/>
      <c r="JHX29" s="3"/>
      <c r="JHY29" s="3"/>
      <c r="JHZ29" s="3"/>
      <c r="JIA29" s="3"/>
      <c r="JIB29" s="3"/>
      <c r="JIC29" s="3"/>
      <c r="JID29" s="3"/>
      <c r="JIE29" s="3"/>
      <c r="JIF29" s="3"/>
      <c r="JIG29" s="3"/>
      <c r="JIH29" s="3"/>
      <c r="JII29" s="3"/>
      <c r="JIJ29" s="3"/>
      <c r="JIK29" s="3"/>
      <c r="JIL29" s="3"/>
      <c r="JIM29" s="3"/>
      <c r="JIN29" s="3"/>
      <c r="JIO29" s="3"/>
      <c r="JIP29" s="3"/>
      <c r="JIQ29" s="3"/>
      <c r="JIR29" s="3"/>
      <c r="JIS29" s="3"/>
      <c r="JIT29" s="3"/>
      <c r="JIU29" s="3"/>
      <c r="JIV29" s="3"/>
      <c r="JIW29" s="3"/>
      <c r="JIX29" s="3"/>
      <c r="JIY29" s="3"/>
      <c r="JIZ29" s="3"/>
      <c r="JJA29" s="3"/>
      <c r="JJB29" s="3"/>
      <c r="JJC29" s="3"/>
      <c r="JJD29" s="3"/>
      <c r="JJE29" s="3"/>
      <c r="JJF29" s="3"/>
      <c r="JJG29" s="3"/>
      <c r="JJH29" s="3"/>
      <c r="JJI29" s="3"/>
      <c r="JJJ29" s="3"/>
      <c r="JJK29" s="3"/>
      <c r="JJL29" s="3"/>
      <c r="JJM29" s="3"/>
      <c r="JJN29" s="3"/>
      <c r="JJO29" s="3"/>
      <c r="JJP29" s="3"/>
      <c r="JJQ29" s="3"/>
      <c r="JJR29" s="3"/>
      <c r="JJS29" s="3"/>
      <c r="JJT29" s="3"/>
      <c r="JJU29" s="3"/>
      <c r="JJV29" s="3"/>
      <c r="JJW29" s="3"/>
      <c r="JJX29" s="3"/>
      <c r="JJY29" s="3"/>
      <c r="JJZ29" s="3"/>
      <c r="JKA29" s="3"/>
      <c r="JKB29" s="3"/>
      <c r="JKC29" s="3"/>
      <c r="JKD29" s="3"/>
      <c r="JKE29" s="3"/>
      <c r="JKF29" s="3"/>
      <c r="JKG29" s="3"/>
      <c r="JKH29" s="3"/>
      <c r="JKI29" s="3"/>
      <c r="JKJ29" s="3"/>
      <c r="JKK29" s="3"/>
      <c r="JKL29" s="3"/>
      <c r="JKM29" s="3"/>
      <c r="JKN29" s="3"/>
      <c r="JKO29" s="3"/>
      <c r="JKP29" s="3"/>
      <c r="JKQ29" s="3"/>
      <c r="JKR29" s="3"/>
      <c r="JKS29" s="3"/>
      <c r="JKT29" s="3"/>
      <c r="JKU29" s="3"/>
      <c r="JKV29" s="3"/>
      <c r="JKW29" s="3"/>
      <c r="JKX29" s="3"/>
      <c r="JKY29" s="3"/>
      <c r="JKZ29" s="3"/>
      <c r="JLA29" s="3"/>
      <c r="JLB29" s="3"/>
      <c r="JLC29" s="3"/>
      <c r="JLD29" s="3"/>
      <c r="JLE29" s="3"/>
      <c r="JLF29" s="3"/>
      <c r="JLG29" s="3"/>
      <c r="JLH29" s="3"/>
      <c r="JLI29" s="3"/>
      <c r="JLJ29" s="3"/>
      <c r="JLK29" s="3"/>
      <c r="JLL29" s="3"/>
      <c r="JLM29" s="3"/>
      <c r="JLN29" s="3"/>
      <c r="JLO29" s="3"/>
      <c r="JLP29" s="3"/>
      <c r="JLQ29" s="3"/>
      <c r="JLR29" s="3"/>
      <c r="JLS29" s="3"/>
      <c r="JLT29" s="3"/>
      <c r="JLU29" s="3"/>
      <c r="JLV29" s="3"/>
      <c r="JLW29" s="3"/>
      <c r="JLX29" s="3"/>
      <c r="JLY29" s="3"/>
      <c r="JLZ29" s="3"/>
      <c r="JMA29" s="3"/>
      <c r="JMB29" s="3"/>
      <c r="JMC29" s="3"/>
      <c r="JMD29" s="3"/>
      <c r="JME29" s="3"/>
      <c r="JMF29" s="3"/>
      <c r="JMG29" s="3"/>
      <c r="JMH29" s="3"/>
      <c r="JMI29" s="3"/>
      <c r="JMJ29" s="3"/>
      <c r="JMK29" s="3"/>
      <c r="JML29" s="3"/>
      <c r="JMM29" s="3"/>
      <c r="JMN29" s="3"/>
      <c r="JMO29" s="3"/>
      <c r="JMP29" s="3"/>
      <c r="JMQ29" s="3"/>
      <c r="JMR29" s="3"/>
      <c r="JMS29" s="3"/>
      <c r="JMT29" s="3"/>
      <c r="JMU29" s="3"/>
      <c r="JMV29" s="3"/>
      <c r="JMW29" s="3"/>
      <c r="JMX29" s="3"/>
      <c r="JMY29" s="3"/>
      <c r="JMZ29" s="3"/>
      <c r="JNA29" s="3"/>
      <c r="JNB29" s="3"/>
      <c r="JNC29" s="3"/>
      <c r="JND29" s="3"/>
      <c r="JNE29" s="3"/>
      <c r="JNF29" s="3"/>
      <c r="JNG29" s="3"/>
      <c r="JNH29" s="3"/>
      <c r="JNI29" s="3"/>
      <c r="JNJ29" s="3"/>
      <c r="JNK29" s="3"/>
      <c r="JNL29" s="3"/>
      <c r="JNM29" s="3"/>
      <c r="JNN29" s="3"/>
      <c r="JNO29" s="3"/>
      <c r="JNP29" s="3"/>
      <c r="JNQ29" s="3"/>
      <c r="JNR29" s="3"/>
      <c r="JNS29" s="3"/>
      <c r="JNT29" s="3"/>
      <c r="JNU29" s="3"/>
      <c r="JNV29" s="3"/>
      <c r="JNW29" s="3"/>
      <c r="JNX29" s="3"/>
      <c r="JNY29" s="3"/>
      <c r="JNZ29" s="3"/>
      <c r="JOA29" s="3"/>
      <c r="JOB29" s="3"/>
      <c r="JOC29" s="3"/>
      <c r="JOD29" s="3"/>
      <c r="JOE29" s="3"/>
      <c r="JOF29" s="3"/>
      <c r="JOG29" s="3"/>
      <c r="JOH29" s="3"/>
      <c r="JOI29" s="3"/>
      <c r="JOJ29" s="3"/>
      <c r="JOK29" s="3"/>
      <c r="JOL29" s="3"/>
      <c r="JOM29" s="3"/>
      <c r="JON29" s="3"/>
      <c r="JOO29" s="3"/>
      <c r="JOP29" s="3"/>
      <c r="JOQ29" s="3"/>
      <c r="JOR29" s="3"/>
      <c r="JOS29" s="3"/>
      <c r="JOT29" s="3"/>
      <c r="JOU29" s="3"/>
      <c r="JOV29" s="3"/>
      <c r="JOW29" s="3"/>
      <c r="JOX29" s="3"/>
      <c r="JOY29" s="3"/>
      <c r="JOZ29" s="3"/>
      <c r="JPA29" s="3"/>
      <c r="JPB29" s="3"/>
      <c r="JPC29" s="3"/>
      <c r="JPD29" s="3"/>
      <c r="JPE29" s="3"/>
      <c r="JPF29" s="3"/>
      <c r="JPG29" s="3"/>
      <c r="JPH29" s="3"/>
      <c r="JPI29" s="3"/>
      <c r="JPJ29" s="3"/>
      <c r="JPK29" s="3"/>
      <c r="JPL29" s="3"/>
      <c r="JPM29" s="3"/>
      <c r="JPN29" s="3"/>
      <c r="JPO29" s="3"/>
      <c r="JPP29" s="3"/>
      <c r="JPQ29" s="3"/>
      <c r="JPR29" s="3"/>
      <c r="JPS29" s="3"/>
      <c r="JPT29" s="3"/>
      <c r="JPU29" s="3"/>
      <c r="JPV29" s="3"/>
      <c r="JPW29" s="3"/>
      <c r="JPX29" s="3"/>
      <c r="JPY29" s="3"/>
      <c r="JPZ29" s="3"/>
      <c r="JQA29" s="3"/>
      <c r="JQB29" s="3"/>
      <c r="JQC29" s="3"/>
      <c r="JQD29" s="3"/>
      <c r="JQE29" s="3"/>
      <c r="JQF29" s="3"/>
      <c r="JQG29" s="3"/>
      <c r="JQH29" s="3"/>
      <c r="JQI29" s="3"/>
      <c r="JQJ29" s="3"/>
      <c r="JQK29" s="3"/>
      <c r="JQL29" s="3"/>
      <c r="JQM29" s="3"/>
      <c r="JQN29" s="3"/>
      <c r="JQO29" s="3"/>
      <c r="JQP29" s="3"/>
      <c r="JQQ29" s="3"/>
      <c r="JQR29" s="3"/>
      <c r="JQS29" s="3"/>
      <c r="JQT29" s="3"/>
      <c r="JQU29" s="3"/>
      <c r="JQV29" s="3"/>
      <c r="JQW29" s="3"/>
      <c r="JQX29" s="3"/>
      <c r="JQY29" s="3"/>
      <c r="JQZ29" s="3"/>
      <c r="JRA29" s="3"/>
      <c r="JRB29" s="3"/>
      <c r="JRC29" s="3"/>
      <c r="JRD29" s="3"/>
      <c r="JRE29" s="3"/>
      <c r="JRF29" s="3"/>
      <c r="JRG29" s="3"/>
      <c r="JRH29" s="3"/>
      <c r="JRI29" s="3"/>
      <c r="JRJ29" s="3"/>
      <c r="JRK29" s="3"/>
      <c r="JRL29" s="3"/>
      <c r="JRM29" s="3"/>
      <c r="JRN29" s="3"/>
      <c r="JRO29" s="3"/>
      <c r="JRP29" s="3"/>
      <c r="JRQ29" s="3"/>
      <c r="JRR29" s="3"/>
      <c r="JRS29" s="3"/>
      <c r="JRT29" s="3"/>
      <c r="JRU29" s="3"/>
      <c r="JRV29" s="3"/>
      <c r="JRW29" s="3"/>
      <c r="JRX29" s="3"/>
      <c r="JRY29" s="3"/>
      <c r="JRZ29" s="3"/>
      <c r="JSA29" s="3"/>
      <c r="JSB29" s="3"/>
      <c r="JSC29" s="3"/>
      <c r="JSD29" s="3"/>
      <c r="JSE29" s="3"/>
      <c r="JSF29" s="3"/>
      <c r="JSG29" s="3"/>
      <c r="JSH29" s="3"/>
      <c r="JSI29" s="3"/>
      <c r="JSJ29" s="3"/>
      <c r="JSK29" s="3"/>
      <c r="JSL29" s="3"/>
      <c r="JSM29" s="3"/>
      <c r="JSN29" s="3"/>
      <c r="JSO29" s="3"/>
      <c r="JSP29" s="3"/>
      <c r="JSQ29" s="3"/>
      <c r="JSR29" s="3"/>
      <c r="JSS29" s="3"/>
      <c r="JST29" s="3"/>
      <c r="JSU29" s="3"/>
      <c r="JSV29" s="3"/>
      <c r="JSW29" s="3"/>
      <c r="JSX29" s="3"/>
      <c r="JSY29" s="3"/>
      <c r="JSZ29" s="3"/>
      <c r="JTA29" s="3"/>
      <c r="JTB29" s="3"/>
      <c r="JTC29" s="3"/>
      <c r="JTD29" s="3"/>
      <c r="JTE29" s="3"/>
      <c r="JTF29" s="3"/>
      <c r="JTG29" s="3"/>
      <c r="JTH29" s="3"/>
      <c r="JTI29" s="3"/>
      <c r="JTJ29" s="3"/>
      <c r="JTK29" s="3"/>
      <c r="JTL29" s="3"/>
      <c r="JTM29" s="3"/>
      <c r="JTN29" s="3"/>
      <c r="JTO29" s="3"/>
      <c r="JTP29" s="3"/>
      <c r="JTQ29" s="3"/>
      <c r="JTR29" s="3"/>
      <c r="JTS29" s="3"/>
      <c r="JTT29" s="3"/>
      <c r="JTU29" s="3"/>
      <c r="JTV29" s="3"/>
      <c r="JTW29" s="3"/>
      <c r="JTX29" s="3"/>
      <c r="JTY29" s="3"/>
      <c r="JTZ29" s="3"/>
      <c r="JUA29" s="3"/>
      <c r="JUB29" s="3"/>
      <c r="JUC29" s="3"/>
      <c r="JUD29" s="3"/>
      <c r="JUE29" s="3"/>
      <c r="JUF29" s="3"/>
      <c r="JUG29" s="3"/>
      <c r="JUH29" s="3"/>
      <c r="JUI29" s="3"/>
      <c r="JUJ29" s="3"/>
      <c r="JUK29" s="3"/>
      <c r="JUL29" s="3"/>
      <c r="JUM29" s="3"/>
      <c r="JUN29" s="3"/>
      <c r="JUO29" s="3"/>
      <c r="JUP29" s="3"/>
      <c r="JUQ29" s="3"/>
      <c r="JUR29" s="3"/>
      <c r="JUS29" s="3"/>
      <c r="JUT29" s="3"/>
      <c r="JUU29" s="3"/>
      <c r="JUV29" s="3"/>
      <c r="JUW29" s="3"/>
      <c r="JUX29" s="3"/>
      <c r="JUY29" s="3"/>
      <c r="JUZ29" s="3"/>
      <c r="JVA29" s="3"/>
      <c r="JVB29" s="3"/>
      <c r="JVC29" s="3"/>
      <c r="JVD29" s="3"/>
      <c r="JVE29" s="3"/>
      <c r="JVF29" s="3"/>
      <c r="JVG29" s="3"/>
      <c r="JVH29" s="3"/>
      <c r="JVI29" s="3"/>
      <c r="JVJ29" s="3"/>
      <c r="JVK29" s="3"/>
      <c r="JVL29" s="3"/>
      <c r="JVM29" s="3"/>
      <c r="JVN29" s="3"/>
      <c r="JVO29" s="3"/>
      <c r="JVP29" s="3"/>
      <c r="JVQ29" s="3"/>
      <c r="JVR29" s="3"/>
      <c r="JVS29" s="3"/>
      <c r="JVT29" s="3"/>
      <c r="JVU29" s="3"/>
      <c r="JVV29" s="3"/>
      <c r="JVW29" s="3"/>
      <c r="JVX29" s="3"/>
      <c r="JVY29" s="3"/>
      <c r="JVZ29" s="3"/>
      <c r="JWA29" s="3"/>
      <c r="JWB29" s="3"/>
      <c r="JWC29" s="3"/>
      <c r="JWD29" s="3"/>
      <c r="JWE29" s="3"/>
      <c r="JWF29" s="3"/>
      <c r="JWG29" s="3"/>
      <c r="JWH29" s="3"/>
      <c r="JWI29" s="3"/>
      <c r="JWJ29" s="3"/>
      <c r="JWK29" s="3"/>
      <c r="JWL29" s="3"/>
      <c r="JWM29" s="3"/>
      <c r="JWN29" s="3"/>
      <c r="JWO29" s="3"/>
      <c r="JWP29" s="3"/>
      <c r="JWQ29" s="3"/>
      <c r="JWR29" s="3"/>
      <c r="JWS29" s="3"/>
      <c r="JWT29" s="3"/>
      <c r="JWU29" s="3"/>
      <c r="JWV29" s="3"/>
      <c r="JWW29" s="3"/>
      <c r="JWX29" s="3"/>
      <c r="JWY29" s="3"/>
      <c r="JWZ29" s="3"/>
      <c r="JXA29" s="3"/>
      <c r="JXB29" s="3"/>
      <c r="JXC29" s="3"/>
      <c r="JXD29" s="3"/>
      <c r="JXE29" s="3"/>
      <c r="JXF29" s="3"/>
      <c r="JXG29" s="3"/>
      <c r="JXH29" s="3"/>
      <c r="JXI29" s="3"/>
      <c r="JXJ29" s="3"/>
      <c r="JXK29" s="3"/>
      <c r="JXL29" s="3"/>
      <c r="JXM29" s="3"/>
      <c r="JXN29" s="3"/>
      <c r="JXO29" s="3"/>
      <c r="JXP29" s="3"/>
      <c r="JXQ29" s="3"/>
      <c r="JXR29" s="3"/>
      <c r="JXS29" s="3"/>
      <c r="JXT29" s="3"/>
      <c r="JXU29" s="3"/>
      <c r="JXV29" s="3"/>
      <c r="JXW29" s="3"/>
      <c r="JXX29" s="3"/>
      <c r="JXY29" s="3"/>
      <c r="JXZ29" s="3"/>
      <c r="JYA29" s="3"/>
      <c r="JYB29" s="3"/>
      <c r="JYC29" s="3"/>
      <c r="JYD29" s="3"/>
      <c r="JYE29" s="3"/>
      <c r="JYF29" s="3"/>
      <c r="JYG29" s="3"/>
      <c r="JYH29" s="3"/>
      <c r="JYI29" s="3"/>
      <c r="JYJ29" s="3"/>
      <c r="JYK29" s="3"/>
      <c r="JYL29" s="3"/>
      <c r="JYM29" s="3"/>
      <c r="JYN29" s="3"/>
      <c r="JYO29" s="3"/>
      <c r="JYP29" s="3"/>
      <c r="JYQ29" s="3"/>
      <c r="JYR29" s="3"/>
      <c r="JYS29" s="3"/>
      <c r="JYT29" s="3"/>
      <c r="JYU29" s="3"/>
      <c r="JYV29" s="3"/>
      <c r="JYW29" s="3"/>
      <c r="JYX29" s="3"/>
      <c r="JYY29" s="3"/>
      <c r="JYZ29" s="3"/>
      <c r="JZA29" s="3"/>
      <c r="JZB29" s="3"/>
      <c r="JZC29" s="3"/>
      <c r="JZD29" s="3"/>
      <c r="JZE29" s="3"/>
      <c r="JZF29" s="3"/>
      <c r="JZG29" s="3"/>
      <c r="JZH29" s="3"/>
      <c r="JZI29" s="3"/>
      <c r="JZJ29" s="3"/>
      <c r="JZK29" s="3"/>
      <c r="JZL29" s="3"/>
      <c r="JZM29" s="3"/>
      <c r="JZN29" s="3"/>
      <c r="JZO29" s="3"/>
      <c r="JZP29" s="3"/>
      <c r="JZQ29" s="3"/>
      <c r="JZR29" s="3"/>
      <c r="JZS29" s="3"/>
      <c r="JZT29" s="3"/>
      <c r="JZU29" s="3"/>
      <c r="JZV29" s="3"/>
      <c r="JZW29" s="3"/>
      <c r="JZX29" s="3"/>
      <c r="JZY29" s="3"/>
      <c r="JZZ29" s="3"/>
      <c r="KAA29" s="3"/>
      <c r="KAB29" s="3"/>
      <c r="KAC29" s="3"/>
      <c r="KAD29" s="3"/>
      <c r="KAE29" s="3"/>
      <c r="KAF29" s="3"/>
      <c r="KAG29" s="3"/>
      <c r="KAH29" s="3"/>
      <c r="KAI29" s="3"/>
      <c r="KAJ29" s="3"/>
      <c r="KAK29" s="3"/>
      <c r="KAL29" s="3"/>
      <c r="KAM29" s="3"/>
      <c r="KAN29" s="3"/>
      <c r="KAO29" s="3"/>
      <c r="KAP29" s="3"/>
      <c r="KAQ29" s="3"/>
      <c r="KAR29" s="3"/>
      <c r="KAS29" s="3"/>
      <c r="KAT29" s="3"/>
      <c r="KAU29" s="3"/>
      <c r="KAV29" s="3"/>
      <c r="KAW29" s="3"/>
      <c r="KAX29" s="3"/>
      <c r="KAY29" s="3"/>
      <c r="KAZ29" s="3"/>
      <c r="KBA29" s="3"/>
      <c r="KBB29" s="3"/>
      <c r="KBC29" s="3"/>
      <c r="KBD29" s="3"/>
      <c r="KBE29" s="3"/>
      <c r="KBF29" s="3"/>
      <c r="KBG29" s="3"/>
      <c r="KBH29" s="3"/>
      <c r="KBI29" s="3"/>
      <c r="KBJ29" s="3"/>
      <c r="KBK29" s="3"/>
      <c r="KBL29" s="3"/>
      <c r="KBM29" s="3"/>
      <c r="KBN29" s="3"/>
      <c r="KBO29" s="3"/>
      <c r="KBP29" s="3"/>
      <c r="KBQ29" s="3"/>
      <c r="KBR29" s="3"/>
      <c r="KBS29" s="3"/>
      <c r="KBT29" s="3"/>
      <c r="KBU29" s="3"/>
      <c r="KBV29" s="3"/>
      <c r="KBW29" s="3"/>
      <c r="KBX29" s="3"/>
      <c r="KBY29" s="3"/>
      <c r="KBZ29" s="3"/>
      <c r="KCA29" s="3"/>
      <c r="KCB29" s="3"/>
      <c r="KCC29" s="3"/>
      <c r="KCD29" s="3"/>
      <c r="KCE29" s="3"/>
      <c r="KCF29" s="3"/>
      <c r="KCG29" s="3"/>
      <c r="KCH29" s="3"/>
      <c r="KCI29" s="3"/>
      <c r="KCJ29" s="3"/>
      <c r="KCK29" s="3"/>
      <c r="KCL29" s="3"/>
      <c r="KCM29" s="3"/>
      <c r="KCN29" s="3"/>
      <c r="KCO29" s="3"/>
      <c r="KCP29" s="3"/>
      <c r="KCQ29" s="3"/>
      <c r="KCR29" s="3"/>
      <c r="KCS29" s="3"/>
      <c r="KCT29" s="3"/>
      <c r="KCU29" s="3"/>
      <c r="KCV29" s="3"/>
      <c r="KCW29" s="3"/>
      <c r="KCX29" s="3"/>
      <c r="KCY29" s="3"/>
      <c r="KCZ29" s="3"/>
      <c r="KDA29" s="3"/>
      <c r="KDB29" s="3"/>
      <c r="KDC29" s="3"/>
      <c r="KDD29" s="3"/>
      <c r="KDE29" s="3"/>
      <c r="KDF29" s="3"/>
      <c r="KDG29" s="3"/>
      <c r="KDH29" s="3"/>
      <c r="KDI29" s="3"/>
      <c r="KDJ29" s="3"/>
      <c r="KDK29" s="3"/>
      <c r="KDL29" s="3"/>
      <c r="KDM29" s="3"/>
      <c r="KDN29" s="3"/>
      <c r="KDO29" s="3"/>
      <c r="KDP29" s="3"/>
      <c r="KDQ29" s="3"/>
      <c r="KDR29" s="3"/>
      <c r="KDS29" s="3"/>
      <c r="KDT29" s="3"/>
      <c r="KDU29" s="3"/>
      <c r="KDV29" s="3"/>
      <c r="KDW29" s="3"/>
      <c r="KDX29" s="3"/>
      <c r="KDY29" s="3"/>
      <c r="KDZ29" s="3"/>
      <c r="KEA29" s="3"/>
      <c r="KEB29" s="3"/>
      <c r="KEC29" s="3"/>
      <c r="KED29" s="3"/>
      <c r="KEE29" s="3"/>
      <c r="KEF29" s="3"/>
      <c r="KEG29" s="3"/>
      <c r="KEH29" s="3"/>
      <c r="KEI29" s="3"/>
      <c r="KEJ29" s="3"/>
      <c r="KEK29" s="3"/>
      <c r="KEL29" s="3"/>
      <c r="KEM29" s="3"/>
      <c r="KEN29" s="3"/>
      <c r="KEO29" s="3"/>
      <c r="KEP29" s="3"/>
      <c r="KEQ29" s="3"/>
      <c r="KER29" s="3"/>
      <c r="KES29" s="3"/>
      <c r="KET29" s="3"/>
      <c r="KEU29" s="3"/>
      <c r="KEV29" s="3"/>
      <c r="KEW29" s="3"/>
      <c r="KEX29" s="3"/>
      <c r="KEY29" s="3"/>
      <c r="KEZ29" s="3"/>
      <c r="KFA29" s="3"/>
      <c r="KFB29" s="3"/>
      <c r="KFC29" s="3"/>
      <c r="KFD29" s="3"/>
      <c r="KFE29" s="3"/>
      <c r="KFF29" s="3"/>
      <c r="KFG29" s="3"/>
      <c r="KFH29" s="3"/>
      <c r="KFI29" s="3"/>
      <c r="KFJ29" s="3"/>
      <c r="KFK29" s="3"/>
      <c r="KFL29" s="3"/>
      <c r="KFM29" s="3"/>
      <c r="KFN29" s="3"/>
      <c r="KFO29" s="3"/>
      <c r="KFP29" s="3"/>
      <c r="KFQ29" s="3"/>
      <c r="KFR29" s="3"/>
      <c r="KFS29" s="3"/>
      <c r="KFT29" s="3"/>
      <c r="KFU29" s="3"/>
      <c r="KFV29" s="3"/>
      <c r="KFW29" s="3"/>
      <c r="KFX29" s="3"/>
      <c r="KFY29" s="3"/>
      <c r="KFZ29" s="3"/>
      <c r="KGA29" s="3"/>
      <c r="KGB29" s="3"/>
      <c r="KGC29" s="3"/>
      <c r="KGD29" s="3"/>
      <c r="KGE29" s="3"/>
      <c r="KGF29" s="3"/>
      <c r="KGG29" s="3"/>
      <c r="KGH29" s="3"/>
      <c r="KGI29" s="3"/>
      <c r="KGJ29" s="3"/>
      <c r="KGK29" s="3"/>
      <c r="KGL29" s="3"/>
      <c r="KGM29" s="3"/>
      <c r="KGN29" s="3"/>
      <c r="KGO29" s="3"/>
      <c r="KGP29" s="3"/>
      <c r="KGQ29" s="3"/>
      <c r="KGR29" s="3"/>
      <c r="KGS29" s="3"/>
      <c r="KGT29" s="3"/>
      <c r="KGU29" s="3"/>
      <c r="KGV29" s="3"/>
      <c r="KGW29" s="3"/>
      <c r="KGX29" s="3"/>
      <c r="KGY29" s="3"/>
      <c r="KGZ29" s="3"/>
      <c r="KHA29" s="3"/>
      <c r="KHB29" s="3"/>
      <c r="KHC29" s="3"/>
      <c r="KHD29" s="3"/>
      <c r="KHE29" s="3"/>
      <c r="KHF29" s="3"/>
      <c r="KHG29" s="3"/>
      <c r="KHH29" s="3"/>
      <c r="KHI29" s="3"/>
      <c r="KHJ29" s="3"/>
      <c r="KHK29" s="3"/>
      <c r="KHL29" s="3"/>
      <c r="KHM29" s="3"/>
      <c r="KHN29" s="3"/>
      <c r="KHO29" s="3"/>
      <c r="KHP29" s="3"/>
      <c r="KHQ29" s="3"/>
      <c r="KHR29" s="3"/>
      <c r="KHS29" s="3"/>
      <c r="KHT29" s="3"/>
      <c r="KHU29" s="3"/>
      <c r="KHV29" s="3"/>
      <c r="KHW29" s="3"/>
      <c r="KHX29" s="3"/>
      <c r="KHY29" s="3"/>
      <c r="KHZ29" s="3"/>
      <c r="KIA29" s="3"/>
      <c r="KIB29" s="3"/>
      <c r="KIC29" s="3"/>
      <c r="KID29" s="3"/>
      <c r="KIE29" s="3"/>
      <c r="KIF29" s="3"/>
      <c r="KIG29" s="3"/>
      <c r="KIH29" s="3"/>
      <c r="KII29" s="3"/>
      <c r="KIJ29" s="3"/>
      <c r="KIK29" s="3"/>
      <c r="KIL29" s="3"/>
      <c r="KIM29" s="3"/>
      <c r="KIN29" s="3"/>
      <c r="KIO29" s="3"/>
      <c r="KIP29" s="3"/>
      <c r="KIQ29" s="3"/>
      <c r="KIR29" s="3"/>
      <c r="KIS29" s="3"/>
      <c r="KIT29" s="3"/>
      <c r="KIU29" s="3"/>
      <c r="KIV29" s="3"/>
      <c r="KIW29" s="3"/>
      <c r="KIX29" s="3"/>
      <c r="KIY29" s="3"/>
      <c r="KIZ29" s="3"/>
      <c r="KJA29" s="3"/>
      <c r="KJB29" s="3"/>
      <c r="KJC29" s="3"/>
      <c r="KJD29" s="3"/>
      <c r="KJE29" s="3"/>
      <c r="KJF29" s="3"/>
      <c r="KJG29" s="3"/>
      <c r="KJH29" s="3"/>
      <c r="KJI29" s="3"/>
      <c r="KJJ29" s="3"/>
      <c r="KJK29" s="3"/>
      <c r="KJL29" s="3"/>
      <c r="KJM29" s="3"/>
      <c r="KJN29" s="3"/>
      <c r="KJO29" s="3"/>
      <c r="KJP29" s="3"/>
      <c r="KJQ29" s="3"/>
      <c r="KJR29" s="3"/>
      <c r="KJS29" s="3"/>
      <c r="KJT29" s="3"/>
      <c r="KJU29" s="3"/>
      <c r="KJV29" s="3"/>
      <c r="KJW29" s="3"/>
      <c r="KJX29" s="3"/>
      <c r="KJY29" s="3"/>
      <c r="KJZ29" s="3"/>
      <c r="KKA29" s="3"/>
      <c r="KKB29" s="3"/>
      <c r="KKC29" s="3"/>
      <c r="KKD29" s="3"/>
      <c r="KKE29" s="3"/>
      <c r="KKF29" s="3"/>
      <c r="KKG29" s="3"/>
      <c r="KKH29" s="3"/>
      <c r="KKI29" s="3"/>
      <c r="KKJ29" s="3"/>
      <c r="KKK29" s="3"/>
      <c r="KKL29" s="3"/>
      <c r="KKM29" s="3"/>
      <c r="KKN29" s="3"/>
      <c r="KKO29" s="3"/>
      <c r="KKP29" s="3"/>
      <c r="KKQ29" s="3"/>
      <c r="KKR29" s="3"/>
      <c r="KKS29" s="3"/>
      <c r="KKT29" s="3"/>
      <c r="KKU29" s="3"/>
      <c r="KKV29" s="3"/>
      <c r="KKW29" s="3"/>
      <c r="KKX29" s="3"/>
      <c r="KKY29" s="3"/>
      <c r="KKZ29" s="3"/>
      <c r="KLA29" s="3"/>
      <c r="KLB29" s="3"/>
      <c r="KLC29" s="3"/>
      <c r="KLD29" s="3"/>
      <c r="KLE29" s="3"/>
      <c r="KLF29" s="3"/>
      <c r="KLG29" s="3"/>
      <c r="KLH29" s="3"/>
      <c r="KLI29" s="3"/>
      <c r="KLJ29" s="3"/>
      <c r="KLK29" s="3"/>
      <c r="KLL29" s="3"/>
      <c r="KLM29" s="3"/>
      <c r="KLN29" s="3"/>
      <c r="KLO29" s="3"/>
      <c r="KLP29" s="3"/>
      <c r="KLQ29" s="3"/>
      <c r="KLR29" s="3"/>
      <c r="KLS29" s="3"/>
      <c r="KLT29" s="3"/>
      <c r="KLU29" s="3"/>
      <c r="KLV29" s="3"/>
      <c r="KLW29" s="3"/>
      <c r="KLX29" s="3"/>
      <c r="KLY29" s="3"/>
      <c r="KLZ29" s="3"/>
      <c r="KMA29" s="3"/>
      <c r="KMB29" s="3"/>
      <c r="KMC29" s="3"/>
      <c r="KMD29" s="3"/>
      <c r="KME29" s="3"/>
      <c r="KMF29" s="3"/>
      <c r="KMG29" s="3"/>
      <c r="KMH29" s="3"/>
      <c r="KMI29" s="3"/>
      <c r="KMJ29" s="3"/>
      <c r="KMK29" s="3"/>
      <c r="KML29" s="3"/>
      <c r="KMM29" s="3"/>
      <c r="KMN29" s="3"/>
      <c r="KMO29" s="3"/>
      <c r="KMP29" s="3"/>
      <c r="KMQ29" s="3"/>
      <c r="KMR29" s="3"/>
      <c r="KMS29" s="3"/>
      <c r="KMT29" s="3"/>
      <c r="KMU29" s="3"/>
      <c r="KMV29" s="3"/>
      <c r="KMW29" s="3"/>
      <c r="KMX29" s="3"/>
      <c r="KMY29" s="3"/>
      <c r="KMZ29" s="3"/>
      <c r="KNA29" s="3"/>
      <c r="KNB29" s="3"/>
      <c r="KNC29" s="3"/>
      <c r="KND29" s="3"/>
      <c r="KNE29" s="3"/>
      <c r="KNF29" s="3"/>
      <c r="KNG29" s="3"/>
      <c r="KNH29" s="3"/>
      <c r="KNI29" s="3"/>
      <c r="KNJ29" s="3"/>
      <c r="KNK29" s="3"/>
      <c r="KNL29" s="3"/>
      <c r="KNM29" s="3"/>
      <c r="KNN29" s="3"/>
      <c r="KNO29" s="3"/>
      <c r="KNP29" s="3"/>
      <c r="KNQ29" s="3"/>
      <c r="KNR29" s="3"/>
      <c r="KNS29" s="3"/>
      <c r="KNT29" s="3"/>
      <c r="KNU29" s="3"/>
      <c r="KNV29" s="3"/>
      <c r="KNW29" s="3"/>
      <c r="KNX29" s="3"/>
      <c r="KNY29" s="3"/>
      <c r="KNZ29" s="3"/>
      <c r="KOA29" s="3"/>
      <c r="KOB29" s="3"/>
      <c r="KOC29" s="3"/>
      <c r="KOD29" s="3"/>
      <c r="KOE29" s="3"/>
      <c r="KOF29" s="3"/>
      <c r="KOG29" s="3"/>
      <c r="KOH29" s="3"/>
      <c r="KOI29" s="3"/>
      <c r="KOJ29" s="3"/>
      <c r="KOK29" s="3"/>
      <c r="KOL29" s="3"/>
      <c r="KOM29" s="3"/>
      <c r="KON29" s="3"/>
      <c r="KOO29" s="3"/>
      <c r="KOP29" s="3"/>
      <c r="KOQ29" s="3"/>
      <c r="KOR29" s="3"/>
      <c r="KOS29" s="3"/>
      <c r="KOT29" s="3"/>
      <c r="KOU29" s="3"/>
      <c r="KOV29" s="3"/>
      <c r="KOW29" s="3"/>
      <c r="KOX29" s="3"/>
      <c r="KOY29" s="3"/>
      <c r="KOZ29" s="3"/>
      <c r="KPA29" s="3"/>
      <c r="KPB29" s="3"/>
      <c r="KPC29" s="3"/>
      <c r="KPD29" s="3"/>
      <c r="KPE29" s="3"/>
      <c r="KPF29" s="3"/>
      <c r="KPG29" s="3"/>
      <c r="KPH29" s="3"/>
      <c r="KPI29" s="3"/>
      <c r="KPJ29" s="3"/>
      <c r="KPK29" s="3"/>
      <c r="KPL29" s="3"/>
      <c r="KPM29" s="3"/>
      <c r="KPN29" s="3"/>
      <c r="KPO29" s="3"/>
      <c r="KPP29" s="3"/>
      <c r="KPQ29" s="3"/>
      <c r="KPR29" s="3"/>
      <c r="KPS29" s="3"/>
      <c r="KPT29" s="3"/>
      <c r="KPU29" s="3"/>
      <c r="KPV29" s="3"/>
      <c r="KPW29" s="3"/>
      <c r="KPX29" s="3"/>
      <c r="KPY29" s="3"/>
      <c r="KPZ29" s="3"/>
      <c r="KQA29" s="3"/>
      <c r="KQB29" s="3"/>
      <c r="KQC29" s="3"/>
      <c r="KQD29" s="3"/>
      <c r="KQE29" s="3"/>
      <c r="KQF29" s="3"/>
      <c r="KQG29" s="3"/>
      <c r="KQH29" s="3"/>
      <c r="KQI29" s="3"/>
      <c r="KQJ29" s="3"/>
      <c r="KQK29" s="3"/>
      <c r="KQL29" s="3"/>
      <c r="KQM29" s="3"/>
      <c r="KQN29" s="3"/>
      <c r="KQO29" s="3"/>
      <c r="KQP29" s="3"/>
      <c r="KQQ29" s="3"/>
      <c r="KQR29" s="3"/>
      <c r="KQS29" s="3"/>
      <c r="KQT29" s="3"/>
      <c r="KQU29" s="3"/>
      <c r="KQV29" s="3"/>
      <c r="KQW29" s="3"/>
      <c r="KQX29" s="3"/>
      <c r="KQY29" s="3"/>
      <c r="KQZ29" s="3"/>
      <c r="KRA29" s="3"/>
      <c r="KRB29" s="3"/>
      <c r="KRC29" s="3"/>
      <c r="KRD29" s="3"/>
      <c r="KRE29" s="3"/>
      <c r="KRF29" s="3"/>
      <c r="KRG29" s="3"/>
      <c r="KRH29" s="3"/>
      <c r="KRI29" s="3"/>
      <c r="KRJ29" s="3"/>
      <c r="KRK29" s="3"/>
      <c r="KRL29" s="3"/>
      <c r="KRM29" s="3"/>
      <c r="KRN29" s="3"/>
    </row>
    <row r="30" spans="1:7918" s="252" customFormat="1">
      <c r="A30" s="26" t="e">
        <f t="shared" si="0"/>
        <v>#REF!</v>
      </c>
      <c r="B30" s="388" t="s">
        <v>590</v>
      </c>
      <c r="C30" s="334" t="s">
        <v>607</v>
      </c>
      <c r="D30" s="386" t="s">
        <v>590</v>
      </c>
      <c r="E30" s="173" t="str">
        <f>VLOOKUP(B30,distribucion!B$9:FK$225,2,0)</f>
        <v>Operario  Sobres</v>
      </c>
      <c r="F30" s="221">
        <f>VLOOKUP($B30,'Nomina Unhesa'!$B$4:$AB$209,4,0)</f>
        <v>30</v>
      </c>
      <c r="G30" s="229">
        <f>VLOOKUP($B30,'Nomina Unhesa'!$B$4:$AB$209,6,0)</f>
        <v>3166.38</v>
      </c>
      <c r="H30" s="229">
        <f>VLOOKUP($B30,'Nomina Unhesa'!$B$4:$AB$209,7,0)</f>
        <v>700</v>
      </c>
      <c r="I30" s="229">
        <f>VLOOKUP($B30,'Nomina Unhesa'!$B$4:$AB$209,9,0)</f>
        <v>14</v>
      </c>
      <c r="J30" s="234">
        <f>VLOOKUP($B30,'Nomina Unhesa'!$B$4:$AB$209,10,0)</f>
        <v>277.06</v>
      </c>
      <c r="K30" s="229">
        <f>VLOOKUP($B30,'Nomina Unhesa'!$B$4:$AB$209,11,0)</f>
        <v>0</v>
      </c>
      <c r="L30" s="229">
        <f>VLOOKUP($B30,'Nomina Unhesa'!$B$4:$AB$209,12,0)</f>
        <v>0</v>
      </c>
      <c r="M30" s="229">
        <f>VLOOKUP($B30,'Nomina Unhesa'!$B$4:$AB$209,14,0)</f>
        <v>0</v>
      </c>
      <c r="N30" s="234">
        <f>VLOOKUP($B30,'Nomina Unhesa'!$B$4:$AB$209,15,0)</f>
        <v>4143.4400000000005</v>
      </c>
      <c r="O30" s="234">
        <f>VLOOKUP($B30,'Nomina Unhesa'!$B$4:$AB$209,16,0)</f>
        <v>166.32</v>
      </c>
      <c r="P30" s="234">
        <f>VLOOKUP($B30,'Nomina Unhesa'!$B$4:$AB$209,17,0)</f>
        <v>0</v>
      </c>
      <c r="Q30" s="234">
        <f>VLOOKUP($B30,'Nomina Unhesa'!$B$4:$AB$209,18,0)</f>
        <v>544.61</v>
      </c>
      <c r="R30" s="234">
        <f>VLOOKUP($B30,'Nomina Unhesa'!$B$4:$AB$209,19,0)</f>
        <v>0</v>
      </c>
      <c r="S30" s="234">
        <f>VLOOKUP($B30,'Nomina Unhesa'!$B$4:$AB$209,20,0)</f>
        <v>0</v>
      </c>
      <c r="T30" s="234">
        <f>VLOOKUP($B30,'Nomina Unhesa'!$B$4:$AB$209,21,0)</f>
        <v>0</v>
      </c>
      <c r="U30" s="234">
        <f>VLOOKUP($B30,'Nomina Unhesa'!$B$4:$AB$209,22,0)</f>
        <v>0</v>
      </c>
      <c r="V30" s="234">
        <f>ROUND((VLOOKUP($B30,'Nomina Unhesa'!$B$4:$AB$209,23,0)),2)</f>
        <v>50</v>
      </c>
      <c r="W30" s="234">
        <f>VLOOKUP($B30,'Nomina Unhesa'!$B$4:$AB$209,24,0)</f>
        <v>760.93000000000006</v>
      </c>
      <c r="X30" s="234">
        <f>VLOOKUP(B30,'Nomina Unhesa'!$B$9:$Z$163,25,FALSE)</f>
        <v>3382.51</v>
      </c>
      <c r="Y30" s="234">
        <f>ROUND((VLOOKUP(B30,'Nomina Unhesa'!$B$9:$AB$157,26,FALSE)),2)</f>
        <v>1359.41</v>
      </c>
      <c r="Z30" s="219">
        <f>VLOOKUP(B30,'Nomina Unhesa'!$B$9:$AB$158,27,FALSE)</f>
        <v>2023.1000000000001</v>
      </c>
      <c r="AA30" s="444"/>
      <c r="AB30" s="389">
        <f>+IFERROR(VLOOKUP(B30,'Nomina Unhesa'!B46:D193,3,0),"")</f>
        <v>3443.44</v>
      </c>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c r="NP30" s="3"/>
      <c r="NQ30" s="3"/>
      <c r="NR30" s="3"/>
      <c r="NS30" s="3"/>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3"/>
      <c r="OU30" s="3"/>
      <c r="OV30" s="3"/>
      <c r="OW30" s="3"/>
      <c r="OX30" s="3"/>
      <c r="OY30" s="3"/>
      <c r="OZ30" s="3"/>
      <c r="PA30" s="3"/>
      <c r="PB30" s="3"/>
      <c r="PC30" s="3"/>
      <c r="PD30" s="3"/>
      <c r="PE30" s="3"/>
      <c r="PF30" s="3"/>
      <c r="PG30" s="3"/>
      <c r="PH30" s="3"/>
      <c r="PI30" s="3"/>
      <c r="PJ30" s="3"/>
      <c r="PK30" s="3"/>
      <c r="PL30" s="3"/>
      <c r="PM30" s="3"/>
      <c r="PN30" s="3"/>
      <c r="PO30" s="3"/>
      <c r="PP30" s="3"/>
      <c r="PQ30" s="3"/>
      <c r="PR30" s="3"/>
      <c r="PS30" s="3"/>
      <c r="PT30" s="3"/>
      <c r="PU30" s="3"/>
      <c r="PV30" s="3"/>
      <c r="PW30" s="3"/>
      <c r="PX30" s="3"/>
      <c r="PY30" s="3"/>
      <c r="PZ30" s="3"/>
      <c r="QA30" s="3"/>
      <c r="QB30" s="3"/>
      <c r="QC30" s="3"/>
      <c r="QD30" s="3"/>
      <c r="QE30" s="3"/>
      <c r="QF30" s="3"/>
      <c r="QG30" s="3"/>
      <c r="QH30" s="3"/>
      <c r="QI30" s="3"/>
      <c r="QJ30" s="3"/>
      <c r="QK30" s="3"/>
      <c r="QL30" s="3"/>
      <c r="QM30" s="3"/>
      <c r="QN30" s="3"/>
      <c r="QO30" s="3"/>
      <c r="QP30" s="3"/>
      <c r="QQ30" s="3"/>
      <c r="QR30" s="3"/>
      <c r="QS30" s="3"/>
      <c r="QT30" s="3"/>
      <c r="QU30" s="3"/>
      <c r="QV30" s="3"/>
      <c r="QW30" s="3"/>
      <c r="QX30" s="3"/>
      <c r="QY30" s="3"/>
      <c r="QZ30" s="3"/>
      <c r="RA30" s="3"/>
      <c r="RB30" s="3"/>
      <c r="RC30" s="3"/>
      <c r="RD30" s="3"/>
      <c r="RE30" s="3"/>
      <c r="RF30" s="3"/>
      <c r="RG30" s="3"/>
      <c r="RH30" s="3"/>
      <c r="RI30" s="3"/>
      <c r="RJ30" s="3"/>
      <c r="RK30" s="3"/>
      <c r="RL30" s="3"/>
      <c r="RM30" s="3"/>
      <c r="RN30" s="3"/>
      <c r="RO30" s="3"/>
      <c r="RP30" s="3"/>
      <c r="RQ30" s="3"/>
      <c r="RR30" s="3"/>
      <c r="RS30" s="3"/>
      <c r="RT30" s="3"/>
      <c r="RU30" s="3"/>
      <c r="RV30" s="3"/>
      <c r="RW30" s="3"/>
      <c r="RX30" s="3"/>
      <c r="RY30" s="3"/>
      <c r="RZ30" s="3"/>
      <c r="SA30" s="3"/>
      <c r="SB30" s="3"/>
      <c r="SC30" s="3"/>
      <c r="SD30" s="3"/>
      <c r="SE30" s="3"/>
      <c r="SF30" s="3"/>
      <c r="SG30" s="3"/>
      <c r="SH30" s="3"/>
      <c r="SI30" s="3"/>
      <c r="SJ30" s="3"/>
      <c r="SK30" s="3"/>
      <c r="SL30" s="3"/>
      <c r="SM30" s="3"/>
      <c r="SN30" s="3"/>
      <c r="SO30" s="3"/>
      <c r="SP30" s="3"/>
      <c r="SQ30" s="3"/>
      <c r="SR30" s="3"/>
      <c r="SS30" s="3"/>
      <c r="ST30" s="3"/>
      <c r="SU30" s="3"/>
      <c r="SV30" s="3"/>
      <c r="SW30" s="3"/>
      <c r="SX30" s="3"/>
      <c r="SY30" s="3"/>
      <c r="SZ30" s="3"/>
      <c r="TA30" s="3"/>
      <c r="TB30" s="3"/>
      <c r="TC30" s="3"/>
      <c r="TD30" s="3"/>
      <c r="TE30" s="3"/>
      <c r="TF30" s="3"/>
      <c r="TG30" s="3"/>
      <c r="TH30" s="3"/>
      <c r="TI30" s="3"/>
      <c r="TJ30" s="3"/>
      <c r="TK30" s="3"/>
      <c r="TL30" s="3"/>
      <c r="TM30" s="3"/>
      <c r="TN30" s="3"/>
      <c r="TO30" s="3"/>
      <c r="TP30" s="3"/>
      <c r="TQ30" s="3"/>
      <c r="TR30" s="3"/>
      <c r="TS30" s="3"/>
      <c r="TT30" s="3"/>
      <c r="TU30" s="3"/>
      <c r="TV30" s="3"/>
      <c r="TW30" s="3"/>
      <c r="TX30" s="3"/>
      <c r="TY30" s="3"/>
      <c r="TZ30" s="3"/>
      <c r="UA30" s="3"/>
      <c r="UB30" s="3"/>
      <c r="UC30" s="3"/>
      <c r="UD30" s="3"/>
      <c r="UE30" s="3"/>
      <c r="UF30" s="3"/>
      <c r="UG30" s="3"/>
      <c r="UH30" s="3"/>
      <c r="UI30" s="3"/>
      <c r="UJ30" s="3"/>
      <c r="UK30" s="3"/>
      <c r="UL30" s="3"/>
      <c r="UM30" s="3"/>
      <c r="UN30" s="3"/>
      <c r="UO30" s="3"/>
      <c r="UP30" s="3"/>
      <c r="UQ30" s="3"/>
      <c r="UR30" s="3"/>
      <c r="US30" s="3"/>
      <c r="UT30" s="3"/>
      <c r="UU30" s="3"/>
      <c r="UV30" s="3"/>
      <c r="UW30" s="3"/>
      <c r="UX30" s="3"/>
      <c r="UY30" s="3"/>
      <c r="UZ30" s="3"/>
      <c r="VA30" s="3"/>
      <c r="VB30" s="3"/>
      <c r="VC30" s="3"/>
      <c r="VD30" s="3"/>
      <c r="VE30" s="3"/>
      <c r="VF30" s="3"/>
      <c r="VG30" s="3"/>
      <c r="VH30" s="3"/>
      <c r="VI30" s="3"/>
      <c r="VJ30" s="3"/>
      <c r="VK30" s="3"/>
      <c r="VL30" s="3"/>
      <c r="VM30" s="3"/>
      <c r="VN30" s="3"/>
      <c r="VO30" s="3"/>
      <c r="VP30" s="3"/>
      <c r="VQ30" s="3"/>
      <c r="VR30" s="3"/>
      <c r="VS30" s="3"/>
      <c r="VT30" s="3"/>
      <c r="VU30" s="3"/>
      <c r="VV30" s="3"/>
      <c r="VW30" s="3"/>
      <c r="VX30" s="3"/>
      <c r="VY30" s="3"/>
      <c r="VZ30" s="3"/>
      <c r="WA30" s="3"/>
      <c r="WB30" s="3"/>
      <c r="WC30" s="3"/>
      <c r="WD30" s="3"/>
      <c r="WE30" s="3"/>
      <c r="WF30" s="3"/>
      <c r="WG30" s="3"/>
      <c r="WH30" s="3"/>
      <c r="WI30" s="3"/>
      <c r="WJ30" s="3"/>
      <c r="WK30" s="3"/>
      <c r="WL30" s="3"/>
      <c r="WM30" s="3"/>
      <c r="WN30" s="3"/>
      <c r="WO30" s="3"/>
      <c r="WP30" s="3"/>
      <c r="WQ30" s="3"/>
      <c r="WR30" s="3"/>
      <c r="WS30" s="3"/>
      <c r="WT30" s="3"/>
      <c r="WU30" s="3"/>
      <c r="WV30" s="3"/>
      <c r="WW30" s="3"/>
      <c r="WX30" s="3"/>
      <c r="WY30" s="3"/>
      <c r="WZ30" s="3"/>
      <c r="XA30" s="3"/>
      <c r="XB30" s="3"/>
      <c r="XC30" s="3"/>
      <c r="XD30" s="3"/>
      <c r="XE30" s="3"/>
      <c r="XF30" s="3"/>
      <c r="XG30" s="3"/>
      <c r="XH30" s="3"/>
      <c r="XI30" s="3"/>
      <c r="XJ30" s="3"/>
      <c r="XK30" s="3"/>
      <c r="XL30" s="3"/>
      <c r="XM30" s="3"/>
      <c r="XN30" s="3"/>
      <c r="XO30" s="3"/>
      <c r="XP30" s="3"/>
      <c r="XQ30" s="3"/>
      <c r="XR30" s="3"/>
      <c r="XS30" s="3"/>
      <c r="XT30" s="3"/>
      <c r="XU30" s="3"/>
      <c r="XV30" s="3"/>
      <c r="XW30" s="3"/>
      <c r="XX30" s="3"/>
      <c r="XY30" s="3"/>
      <c r="XZ30" s="3"/>
      <c r="YA30" s="3"/>
      <c r="YB30" s="3"/>
      <c r="YC30" s="3"/>
      <c r="YD30" s="3"/>
      <c r="YE30" s="3"/>
      <c r="YF30" s="3"/>
      <c r="YG30" s="3"/>
      <c r="YH30" s="3"/>
      <c r="YI30" s="3"/>
      <c r="YJ30" s="3"/>
      <c r="YK30" s="3"/>
      <c r="YL30" s="3"/>
      <c r="YM30" s="3"/>
      <c r="YN30" s="3"/>
      <c r="YO30" s="3"/>
      <c r="YP30" s="3"/>
      <c r="YQ30" s="3"/>
      <c r="YR30" s="3"/>
      <c r="YS30" s="3"/>
      <c r="YT30" s="3"/>
      <c r="YU30" s="3"/>
      <c r="YV30" s="3"/>
      <c r="YW30" s="3"/>
      <c r="YX30" s="3"/>
      <c r="YY30" s="3"/>
      <c r="YZ30" s="3"/>
      <c r="ZA30" s="3"/>
      <c r="ZB30" s="3"/>
      <c r="ZC30" s="3"/>
      <c r="ZD30" s="3"/>
      <c r="ZE30" s="3"/>
      <c r="ZF30" s="3"/>
      <c r="ZG30" s="3"/>
      <c r="ZH30" s="3"/>
      <c r="ZI30" s="3"/>
      <c r="ZJ30" s="3"/>
      <c r="ZK30" s="3"/>
      <c r="ZL30" s="3"/>
      <c r="ZM30" s="3"/>
      <c r="ZN30" s="3"/>
      <c r="ZO30" s="3"/>
      <c r="ZP30" s="3"/>
      <c r="ZQ30" s="3"/>
      <c r="ZR30" s="3"/>
      <c r="ZS30" s="3"/>
      <c r="ZT30" s="3"/>
      <c r="ZU30" s="3"/>
      <c r="ZV30" s="3"/>
      <c r="ZW30" s="3"/>
      <c r="ZX30" s="3"/>
      <c r="ZY30" s="3"/>
      <c r="ZZ30" s="3"/>
      <c r="AAA30" s="3"/>
      <c r="AAB30" s="3"/>
      <c r="AAC30" s="3"/>
      <c r="AAD30" s="3"/>
      <c r="AAE30" s="3"/>
      <c r="AAF30" s="3"/>
      <c r="AAG30" s="3"/>
      <c r="AAH30" s="3"/>
      <c r="AAI30" s="3"/>
      <c r="AAJ30" s="3"/>
      <c r="AAK30" s="3"/>
      <c r="AAL30" s="3"/>
      <c r="AAM30" s="3"/>
      <c r="AAN30" s="3"/>
      <c r="AAO30" s="3"/>
      <c r="AAP30" s="3"/>
      <c r="AAQ30" s="3"/>
      <c r="AAR30" s="3"/>
      <c r="AAS30" s="3"/>
      <c r="AAT30" s="3"/>
      <c r="AAU30" s="3"/>
      <c r="AAV30" s="3"/>
      <c r="AAW30" s="3"/>
      <c r="AAX30" s="3"/>
      <c r="AAY30" s="3"/>
      <c r="AAZ30" s="3"/>
      <c r="ABA30" s="3"/>
      <c r="ABB30" s="3"/>
      <c r="ABC30" s="3"/>
      <c r="ABD30" s="3"/>
      <c r="ABE30" s="3"/>
      <c r="ABF30" s="3"/>
      <c r="ABG30" s="3"/>
      <c r="ABH30" s="3"/>
      <c r="ABI30" s="3"/>
      <c r="ABJ30" s="3"/>
      <c r="ABK30" s="3"/>
      <c r="ABL30" s="3"/>
      <c r="ABM30" s="3"/>
      <c r="ABN30" s="3"/>
      <c r="ABO30" s="3"/>
      <c r="ABP30" s="3"/>
      <c r="ABQ30" s="3"/>
      <c r="ABR30" s="3"/>
      <c r="ABS30" s="3"/>
      <c r="ABT30" s="3"/>
      <c r="ABU30" s="3"/>
      <c r="ABV30" s="3"/>
      <c r="ABW30" s="3"/>
      <c r="ABX30" s="3"/>
      <c r="ABY30" s="3"/>
      <c r="ABZ30" s="3"/>
      <c r="ACA30" s="3"/>
      <c r="ACB30" s="3"/>
      <c r="ACC30" s="3"/>
      <c r="ACD30" s="3"/>
      <c r="ACE30" s="3"/>
      <c r="ACF30" s="3"/>
      <c r="ACG30" s="3"/>
      <c r="ACH30" s="3"/>
      <c r="ACI30" s="3"/>
      <c r="ACJ30" s="3"/>
      <c r="ACK30" s="3"/>
      <c r="ACL30" s="3"/>
      <c r="ACM30" s="3"/>
      <c r="ACN30" s="3"/>
      <c r="ACO30" s="3"/>
      <c r="ACP30" s="3"/>
      <c r="ACQ30" s="3"/>
      <c r="ACR30" s="3"/>
      <c r="ACS30" s="3"/>
      <c r="ACT30" s="3"/>
      <c r="ACU30" s="3"/>
      <c r="ACV30" s="3"/>
      <c r="ACW30" s="3"/>
      <c r="ACX30" s="3"/>
      <c r="ACY30" s="3"/>
      <c r="ACZ30" s="3"/>
      <c r="ADA30" s="3"/>
      <c r="ADB30" s="3"/>
      <c r="ADC30" s="3"/>
      <c r="ADD30" s="3"/>
      <c r="ADE30" s="3"/>
      <c r="ADF30" s="3"/>
      <c r="ADG30" s="3"/>
      <c r="ADH30" s="3"/>
      <c r="ADI30" s="3"/>
      <c r="ADJ30" s="3"/>
      <c r="ADK30" s="3"/>
      <c r="ADL30" s="3"/>
      <c r="ADM30" s="3"/>
      <c r="ADN30" s="3"/>
      <c r="ADO30" s="3"/>
      <c r="ADP30" s="3"/>
      <c r="ADQ30" s="3"/>
      <c r="ADR30" s="3"/>
      <c r="ADS30" s="3"/>
      <c r="ADT30" s="3"/>
      <c r="ADU30" s="3"/>
      <c r="ADV30" s="3"/>
      <c r="ADW30" s="3"/>
      <c r="ADX30" s="3"/>
      <c r="ADY30" s="3"/>
      <c r="ADZ30" s="3"/>
      <c r="AEA30" s="3"/>
      <c r="AEB30" s="3"/>
      <c r="AEC30" s="3"/>
      <c r="AED30" s="3"/>
      <c r="AEE30" s="3"/>
      <c r="AEF30" s="3"/>
      <c r="AEG30" s="3"/>
      <c r="AEH30" s="3"/>
      <c r="AEI30" s="3"/>
      <c r="AEJ30" s="3"/>
      <c r="AEK30" s="3"/>
      <c r="AEL30" s="3"/>
      <c r="AEM30" s="3"/>
      <c r="AEN30" s="3"/>
      <c r="AEO30" s="3"/>
      <c r="AEP30" s="3"/>
      <c r="AEQ30" s="3"/>
      <c r="AER30" s="3"/>
      <c r="AES30" s="3"/>
      <c r="AET30" s="3"/>
      <c r="AEU30" s="3"/>
      <c r="AEV30" s="3"/>
      <c r="AEW30" s="3"/>
      <c r="AEX30" s="3"/>
      <c r="AEY30" s="3"/>
      <c r="AEZ30" s="3"/>
      <c r="AFA30" s="3"/>
      <c r="AFB30" s="3"/>
      <c r="AFC30" s="3"/>
      <c r="AFD30" s="3"/>
      <c r="AFE30" s="3"/>
      <c r="AFF30" s="3"/>
      <c r="AFG30" s="3"/>
      <c r="AFH30" s="3"/>
      <c r="AFI30" s="3"/>
      <c r="AFJ30" s="3"/>
      <c r="AFK30" s="3"/>
      <c r="AFL30" s="3"/>
      <c r="AFM30" s="3"/>
      <c r="AFN30" s="3"/>
      <c r="AFO30" s="3"/>
      <c r="AFP30" s="3"/>
      <c r="AFQ30" s="3"/>
      <c r="AFR30" s="3"/>
      <c r="AFS30" s="3"/>
      <c r="AFT30" s="3"/>
      <c r="AFU30" s="3"/>
      <c r="AFV30" s="3"/>
      <c r="AFW30" s="3"/>
      <c r="AFX30" s="3"/>
      <c r="AFY30" s="3"/>
      <c r="AFZ30" s="3"/>
      <c r="AGA30" s="3"/>
      <c r="AGB30" s="3"/>
      <c r="AGC30" s="3"/>
      <c r="AGD30" s="3"/>
      <c r="AGE30" s="3"/>
      <c r="AGF30" s="3"/>
      <c r="AGG30" s="3"/>
      <c r="AGH30" s="3"/>
      <c r="AGI30" s="3"/>
      <c r="AGJ30" s="3"/>
      <c r="AGK30" s="3"/>
      <c r="AGL30" s="3"/>
      <c r="AGM30" s="3"/>
      <c r="AGN30" s="3"/>
      <c r="AGO30" s="3"/>
      <c r="AGP30" s="3"/>
      <c r="AGQ30" s="3"/>
      <c r="AGR30" s="3"/>
      <c r="AGS30" s="3"/>
      <c r="AGT30" s="3"/>
      <c r="AGU30" s="3"/>
      <c r="AGV30" s="3"/>
      <c r="AGW30" s="3"/>
      <c r="AGX30" s="3"/>
      <c r="AGY30" s="3"/>
      <c r="AGZ30" s="3"/>
      <c r="AHA30" s="3"/>
      <c r="AHB30" s="3"/>
      <c r="AHC30" s="3"/>
      <c r="AHD30" s="3"/>
      <c r="AHE30" s="3"/>
      <c r="AHF30" s="3"/>
      <c r="AHG30" s="3"/>
      <c r="AHH30" s="3"/>
      <c r="AHI30" s="3"/>
      <c r="AHJ30" s="3"/>
      <c r="AHK30" s="3"/>
      <c r="AHL30" s="3"/>
      <c r="AHM30" s="3"/>
      <c r="AHN30" s="3"/>
      <c r="AHO30" s="3"/>
      <c r="AHP30" s="3"/>
      <c r="AHQ30" s="3"/>
      <c r="AHR30" s="3"/>
      <c r="AHS30" s="3"/>
      <c r="AHT30" s="3"/>
      <c r="AHU30" s="3"/>
      <c r="AHV30" s="3"/>
      <c r="AHW30" s="3"/>
      <c r="AHX30" s="3"/>
      <c r="AHY30" s="3"/>
      <c r="AHZ30" s="3"/>
      <c r="AIA30" s="3"/>
      <c r="AIB30" s="3"/>
      <c r="AIC30" s="3"/>
      <c r="AID30" s="3"/>
      <c r="AIE30" s="3"/>
      <c r="AIF30" s="3"/>
      <c r="AIG30" s="3"/>
      <c r="AIH30" s="3"/>
      <c r="AII30" s="3"/>
      <c r="AIJ30" s="3"/>
      <c r="AIK30" s="3"/>
      <c r="AIL30" s="3"/>
      <c r="AIM30" s="3"/>
      <c r="AIN30" s="3"/>
      <c r="AIO30" s="3"/>
      <c r="AIP30" s="3"/>
      <c r="AIQ30" s="3"/>
      <c r="AIR30" s="3"/>
      <c r="AIS30" s="3"/>
      <c r="AIT30" s="3"/>
      <c r="AIU30" s="3"/>
      <c r="AIV30" s="3"/>
      <c r="AIW30" s="3"/>
      <c r="AIX30" s="3"/>
      <c r="AIY30" s="3"/>
      <c r="AIZ30" s="3"/>
      <c r="AJA30" s="3"/>
      <c r="AJB30" s="3"/>
      <c r="AJC30" s="3"/>
      <c r="AJD30" s="3"/>
      <c r="AJE30" s="3"/>
      <c r="AJF30" s="3"/>
      <c r="AJG30" s="3"/>
      <c r="AJH30" s="3"/>
      <c r="AJI30" s="3"/>
      <c r="AJJ30" s="3"/>
      <c r="AJK30" s="3"/>
      <c r="AJL30" s="3"/>
      <c r="AJM30" s="3"/>
      <c r="AJN30" s="3"/>
      <c r="AJO30" s="3"/>
      <c r="AJP30" s="3"/>
      <c r="AJQ30" s="3"/>
      <c r="AJR30" s="3"/>
      <c r="AJS30" s="3"/>
      <c r="AJT30" s="3"/>
      <c r="AJU30" s="3"/>
      <c r="AJV30" s="3"/>
      <c r="AJW30" s="3"/>
      <c r="AJX30" s="3"/>
      <c r="AJY30" s="3"/>
      <c r="AJZ30" s="3"/>
      <c r="AKA30" s="3"/>
      <c r="AKB30" s="3"/>
      <c r="AKC30" s="3"/>
      <c r="AKD30" s="3"/>
      <c r="AKE30" s="3"/>
      <c r="AKF30" s="3"/>
      <c r="AKG30" s="3"/>
      <c r="AKH30" s="3"/>
      <c r="AKI30" s="3"/>
      <c r="AKJ30" s="3"/>
      <c r="AKK30" s="3"/>
      <c r="AKL30" s="3"/>
      <c r="AKM30" s="3"/>
      <c r="AKN30" s="3"/>
      <c r="AKO30" s="3"/>
      <c r="AKP30" s="3"/>
      <c r="AKQ30" s="3"/>
      <c r="AKR30" s="3"/>
      <c r="AKS30" s="3"/>
      <c r="AKT30" s="3"/>
      <c r="AKU30" s="3"/>
      <c r="AKV30" s="3"/>
      <c r="AKW30" s="3"/>
      <c r="AKX30" s="3"/>
      <c r="AKY30" s="3"/>
      <c r="AKZ30" s="3"/>
      <c r="ALA30" s="3"/>
      <c r="ALB30" s="3"/>
      <c r="ALC30" s="3"/>
      <c r="ALD30" s="3"/>
      <c r="ALE30" s="3"/>
      <c r="ALF30" s="3"/>
      <c r="ALG30" s="3"/>
      <c r="ALH30" s="3"/>
      <c r="ALI30" s="3"/>
      <c r="ALJ30" s="3"/>
      <c r="ALK30" s="3"/>
      <c r="ALL30" s="3"/>
      <c r="ALM30" s="3"/>
      <c r="ALN30" s="3"/>
      <c r="ALO30" s="3"/>
      <c r="ALP30" s="3"/>
      <c r="ALQ30" s="3"/>
      <c r="ALR30" s="3"/>
      <c r="ALS30" s="3"/>
      <c r="ALT30" s="3"/>
      <c r="ALU30" s="3"/>
      <c r="ALV30" s="3"/>
      <c r="ALW30" s="3"/>
      <c r="ALX30" s="3"/>
      <c r="ALY30" s="3"/>
      <c r="ALZ30" s="3"/>
      <c r="AMA30" s="3"/>
      <c r="AMB30" s="3"/>
      <c r="AMC30" s="3"/>
      <c r="AMD30" s="3"/>
      <c r="AME30" s="3"/>
      <c r="AMF30" s="3"/>
      <c r="AMG30" s="3"/>
      <c r="AMH30" s="3"/>
      <c r="AMI30" s="3"/>
      <c r="AMJ30" s="3"/>
      <c r="AMK30" s="3"/>
      <c r="AML30" s="3"/>
      <c r="AMM30" s="3"/>
      <c r="AMN30" s="3"/>
      <c r="AMO30" s="3"/>
      <c r="AMP30" s="3"/>
      <c r="AMQ30" s="3"/>
      <c r="AMR30" s="3"/>
      <c r="AMS30" s="3"/>
      <c r="AMT30" s="3"/>
      <c r="AMU30" s="3"/>
      <c r="AMV30" s="3"/>
      <c r="AMW30" s="3"/>
      <c r="AMX30" s="3"/>
      <c r="AMY30" s="3"/>
      <c r="AMZ30" s="3"/>
      <c r="ANA30" s="3"/>
      <c r="ANB30" s="3"/>
      <c r="ANC30" s="3"/>
      <c r="AND30" s="3"/>
      <c r="ANE30" s="3"/>
      <c r="ANF30" s="3"/>
      <c r="ANG30" s="3"/>
      <c r="ANH30" s="3"/>
      <c r="ANI30" s="3"/>
      <c r="ANJ30" s="3"/>
      <c r="ANK30" s="3"/>
      <c r="ANL30" s="3"/>
      <c r="ANM30" s="3"/>
      <c r="ANN30" s="3"/>
      <c r="ANO30" s="3"/>
      <c r="ANP30" s="3"/>
      <c r="ANQ30" s="3"/>
      <c r="ANR30" s="3"/>
      <c r="ANS30" s="3"/>
      <c r="ANT30" s="3"/>
      <c r="ANU30" s="3"/>
      <c r="ANV30" s="3"/>
      <c r="ANW30" s="3"/>
      <c r="ANX30" s="3"/>
      <c r="ANY30" s="3"/>
      <c r="ANZ30" s="3"/>
      <c r="AOA30" s="3"/>
      <c r="AOB30" s="3"/>
      <c r="AOC30" s="3"/>
      <c r="AOD30" s="3"/>
      <c r="AOE30" s="3"/>
      <c r="AOF30" s="3"/>
      <c r="AOG30" s="3"/>
      <c r="AOH30" s="3"/>
      <c r="AOI30" s="3"/>
      <c r="AOJ30" s="3"/>
      <c r="AOK30" s="3"/>
      <c r="AOL30" s="3"/>
      <c r="AOM30" s="3"/>
      <c r="AON30" s="3"/>
      <c r="AOO30" s="3"/>
      <c r="AOP30" s="3"/>
      <c r="AOQ30" s="3"/>
      <c r="AOR30" s="3"/>
      <c r="AOS30" s="3"/>
      <c r="AOT30" s="3"/>
      <c r="AOU30" s="3"/>
      <c r="AOV30" s="3"/>
      <c r="AOW30" s="3"/>
      <c r="AOX30" s="3"/>
      <c r="AOY30" s="3"/>
      <c r="AOZ30" s="3"/>
      <c r="APA30" s="3"/>
      <c r="APB30" s="3"/>
      <c r="APC30" s="3"/>
      <c r="APD30" s="3"/>
      <c r="APE30" s="3"/>
      <c r="APF30" s="3"/>
      <c r="APG30" s="3"/>
      <c r="APH30" s="3"/>
      <c r="API30" s="3"/>
      <c r="APJ30" s="3"/>
      <c r="APK30" s="3"/>
      <c r="APL30" s="3"/>
      <c r="APM30" s="3"/>
      <c r="APN30" s="3"/>
      <c r="APO30" s="3"/>
      <c r="APP30" s="3"/>
      <c r="APQ30" s="3"/>
      <c r="APR30" s="3"/>
      <c r="APS30" s="3"/>
      <c r="APT30" s="3"/>
      <c r="APU30" s="3"/>
      <c r="APV30" s="3"/>
      <c r="APW30" s="3"/>
      <c r="APX30" s="3"/>
      <c r="APY30" s="3"/>
      <c r="APZ30" s="3"/>
      <c r="AQA30" s="3"/>
      <c r="AQB30" s="3"/>
      <c r="AQC30" s="3"/>
      <c r="AQD30" s="3"/>
      <c r="AQE30" s="3"/>
      <c r="AQF30" s="3"/>
      <c r="AQG30" s="3"/>
      <c r="AQH30" s="3"/>
      <c r="AQI30" s="3"/>
      <c r="AQJ30" s="3"/>
      <c r="AQK30" s="3"/>
      <c r="AQL30" s="3"/>
      <c r="AQM30" s="3"/>
      <c r="AQN30" s="3"/>
      <c r="AQO30" s="3"/>
      <c r="AQP30" s="3"/>
      <c r="AQQ30" s="3"/>
      <c r="AQR30" s="3"/>
      <c r="AQS30" s="3"/>
      <c r="AQT30" s="3"/>
      <c r="AQU30" s="3"/>
      <c r="AQV30" s="3"/>
      <c r="AQW30" s="3"/>
      <c r="AQX30" s="3"/>
      <c r="AQY30" s="3"/>
      <c r="AQZ30" s="3"/>
      <c r="ARA30" s="3"/>
      <c r="ARB30" s="3"/>
      <c r="ARC30" s="3"/>
      <c r="ARD30" s="3"/>
      <c r="ARE30" s="3"/>
      <c r="ARF30" s="3"/>
      <c r="ARG30" s="3"/>
      <c r="ARH30" s="3"/>
      <c r="ARI30" s="3"/>
      <c r="ARJ30" s="3"/>
      <c r="ARK30" s="3"/>
      <c r="ARL30" s="3"/>
      <c r="ARM30" s="3"/>
      <c r="ARN30" s="3"/>
      <c r="ARO30" s="3"/>
      <c r="ARP30" s="3"/>
      <c r="ARQ30" s="3"/>
      <c r="ARR30" s="3"/>
      <c r="ARS30" s="3"/>
      <c r="ART30" s="3"/>
      <c r="ARU30" s="3"/>
      <c r="ARV30" s="3"/>
      <c r="ARW30" s="3"/>
      <c r="ARX30" s="3"/>
      <c r="ARY30" s="3"/>
      <c r="ARZ30" s="3"/>
      <c r="ASA30" s="3"/>
      <c r="ASB30" s="3"/>
      <c r="ASC30" s="3"/>
      <c r="ASD30" s="3"/>
      <c r="ASE30" s="3"/>
      <c r="ASF30" s="3"/>
      <c r="ASG30" s="3"/>
      <c r="ASH30" s="3"/>
      <c r="ASI30" s="3"/>
      <c r="ASJ30" s="3"/>
      <c r="ASK30" s="3"/>
      <c r="ASL30" s="3"/>
      <c r="ASM30" s="3"/>
      <c r="ASN30" s="3"/>
      <c r="ASO30" s="3"/>
      <c r="ASP30" s="3"/>
      <c r="ASQ30" s="3"/>
      <c r="ASR30" s="3"/>
      <c r="ASS30" s="3"/>
      <c r="AST30" s="3"/>
      <c r="ASU30" s="3"/>
      <c r="ASV30" s="3"/>
      <c r="ASW30" s="3"/>
      <c r="ASX30" s="3"/>
      <c r="ASY30" s="3"/>
      <c r="ASZ30" s="3"/>
      <c r="ATA30" s="3"/>
      <c r="ATB30" s="3"/>
      <c r="ATC30" s="3"/>
      <c r="ATD30" s="3"/>
      <c r="ATE30" s="3"/>
      <c r="ATF30" s="3"/>
      <c r="ATG30" s="3"/>
      <c r="ATH30" s="3"/>
      <c r="ATI30" s="3"/>
      <c r="ATJ30" s="3"/>
      <c r="ATK30" s="3"/>
      <c r="ATL30" s="3"/>
      <c r="ATM30" s="3"/>
      <c r="ATN30" s="3"/>
      <c r="ATO30" s="3"/>
      <c r="ATP30" s="3"/>
      <c r="ATQ30" s="3"/>
      <c r="ATR30" s="3"/>
      <c r="ATS30" s="3"/>
      <c r="ATT30" s="3"/>
      <c r="ATU30" s="3"/>
      <c r="ATV30" s="3"/>
      <c r="ATW30" s="3"/>
      <c r="ATX30" s="3"/>
      <c r="ATY30" s="3"/>
      <c r="ATZ30" s="3"/>
      <c r="AUA30" s="3"/>
      <c r="AUB30" s="3"/>
      <c r="AUC30" s="3"/>
      <c r="AUD30" s="3"/>
      <c r="AUE30" s="3"/>
      <c r="AUF30" s="3"/>
      <c r="AUG30" s="3"/>
      <c r="AUH30" s="3"/>
      <c r="AUI30" s="3"/>
      <c r="AUJ30" s="3"/>
      <c r="AUK30" s="3"/>
      <c r="AUL30" s="3"/>
      <c r="AUM30" s="3"/>
      <c r="AUN30" s="3"/>
      <c r="AUO30" s="3"/>
      <c r="AUP30" s="3"/>
      <c r="AUQ30" s="3"/>
      <c r="AUR30" s="3"/>
      <c r="AUS30" s="3"/>
      <c r="AUT30" s="3"/>
      <c r="AUU30" s="3"/>
      <c r="AUV30" s="3"/>
      <c r="AUW30" s="3"/>
      <c r="AUX30" s="3"/>
      <c r="AUY30" s="3"/>
      <c r="AUZ30" s="3"/>
      <c r="AVA30" s="3"/>
      <c r="AVB30" s="3"/>
      <c r="AVC30" s="3"/>
      <c r="AVD30" s="3"/>
      <c r="AVE30" s="3"/>
      <c r="AVF30" s="3"/>
      <c r="AVG30" s="3"/>
      <c r="AVH30" s="3"/>
      <c r="AVI30" s="3"/>
      <c r="AVJ30" s="3"/>
      <c r="AVK30" s="3"/>
      <c r="AVL30" s="3"/>
      <c r="AVM30" s="3"/>
      <c r="AVN30" s="3"/>
      <c r="AVO30" s="3"/>
      <c r="AVP30" s="3"/>
      <c r="AVQ30" s="3"/>
      <c r="AVR30" s="3"/>
      <c r="AVS30" s="3"/>
      <c r="AVT30" s="3"/>
      <c r="AVU30" s="3"/>
      <c r="AVV30" s="3"/>
      <c r="AVW30" s="3"/>
      <c r="AVX30" s="3"/>
      <c r="AVY30" s="3"/>
      <c r="AVZ30" s="3"/>
      <c r="AWA30" s="3"/>
      <c r="AWB30" s="3"/>
      <c r="AWC30" s="3"/>
      <c r="AWD30" s="3"/>
      <c r="AWE30" s="3"/>
      <c r="AWF30" s="3"/>
      <c r="AWG30" s="3"/>
      <c r="AWH30" s="3"/>
      <c r="AWI30" s="3"/>
      <c r="AWJ30" s="3"/>
      <c r="AWK30" s="3"/>
      <c r="AWL30" s="3"/>
      <c r="AWM30" s="3"/>
      <c r="AWN30" s="3"/>
      <c r="AWO30" s="3"/>
      <c r="AWP30" s="3"/>
      <c r="AWQ30" s="3"/>
      <c r="AWR30" s="3"/>
      <c r="AWS30" s="3"/>
      <c r="AWT30" s="3"/>
      <c r="AWU30" s="3"/>
      <c r="AWV30" s="3"/>
      <c r="AWW30" s="3"/>
      <c r="AWX30" s="3"/>
      <c r="AWY30" s="3"/>
      <c r="AWZ30" s="3"/>
      <c r="AXA30" s="3"/>
      <c r="AXB30" s="3"/>
      <c r="AXC30" s="3"/>
      <c r="AXD30" s="3"/>
      <c r="AXE30" s="3"/>
      <c r="AXF30" s="3"/>
      <c r="AXG30" s="3"/>
      <c r="AXH30" s="3"/>
      <c r="AXI30" s="3"/>
      <c r="AXJ30" s="3"/>
      <c r="AXK30" s="3"/>
      <c r="AXL30" s="3"/>
      <c r="AXM30" s="3"/>
      <c r="AXN30" s="3"/>
      <c r="AXO30" s="3"/>
      <c r="AXP30" s="3"/>
      <c r="AXQ30" s="3"/>
      <c r="AXR30" s="3"/>
      <c r="AXS30" s="3"/>
      <c r="AXT30" s="3"/>
      <c r="AXU30" s="3"/>
      <c r="AXV30" s="3"/>
      <c r="AXW30" s="3"/>
      <c r="AXX30" s="3"/>
      <c r="AXY30" s="3"/>
      <c r="AXZ30" s="3"/>
      <c r="AYA30" s="3"/>
      <c r="AYB30" s="3"/>
      <c r="AYC30" s="3"/>
      <c r="AYD30" s="3"/>
      <c r="AYE30" s="3"/>
      <c r="AYF30" s="3"/>
      <c r="AYG30" s="3"/>
      <c r="AYH30" s="3"/>
      <c r="AYI30" s="3"/>
      <c r="AYJ30" s="3"/>
      <c r="AYK30" s="3"/>
      <c r="AYL30" s="3"/>
      <c r="AYM30" s="3"/>
      <c r="AYN30" s="3"/>
      <c r="AYO30" s="3"/>
      <c r="AYP30" s="3"/>
      <c r="AYQ30" s="3"/>
      <c r="AYR30" s="3"/>
      <c r="AYS30" s="3"/>
      <c r="AYT30" s="3"/>
      <c r="AYU30" s="3"/>
      <c r="AYV30" s="3"/>
      <c r="AYW30" s="3"/>
      <c r="AYX30" s="3"/>
      <c r="AYY30" s="3"/>
      <c r="AYZ30" s="3"/>
      <c r="AZA30" s="3"/>
      <c r="AZB30" s="3"/>
      <c r="AZC30" s="3"/>
      <c r="AZD30" s="3"/>
      <c r="AZE30" s="3"/>
      <c r="AZF30" s="3"/>
      <c r="AZG30" s="3"/>
      <c r="AZH30" s="3"/>
      <c r="AZI30" s="3"/>
      <c r="AZJ30" s="3"/>
      <c r="AZK30" s="3"/>
      <c r="AZL30" s="3"/>
      <c r="AZM30" s="3"/>
      <c r="AZN30" s="3"/>
      <c r="AZO30" s="3"/>
      <c r="AZP30" s="3"/>
      <c r="AZQ30" s="3"/>
      <c r="AZR30" s="3"/>
      <c r="AZS30" s="3"/>
      <c r="AZT30" s="3"/>
      <c r="AZU30" s="3"/>
      <c r="AZV30" s="3"/>
      <c r="AZW30" s="3"/>
      <c r="AZX30" s="3"/>
      <c r="AZY30" s="3"/>
      <c r="AZZ30" s="3"/>
      <c r="BAA30" s="3"/>
      <c r="BAB30" s="3"/>
      <c r="BAC30" s="3"/>
      <c r="BAD30" s="3"/>
      <c r="BAE30" s="3"/>
      <c r="BAF30" s="3"/>
      <c r="BAG30" s="3"/>
      <c r="BAH30" s="3"/>
      <c r="BAI30" s="3"/>
      <c r="BAJ30" s="3"/>
      <c r="BAK30" s="3"/>
      <c r="BAL30" s="3"/>
      <c r="BAM30" s="3"/>
      <c r="BAN30" s="3"/>
      <c r="BAO30" s="3"/>
      <c r="BAP30" s="3"/>
      <c r="BAQ30" s="3"/>
      <c r="BAR30" s="3"/>
      <c r="BAS30" s="3"/>
      <c r="BAT30" s="3"/>
      <c r="BAU30" s="3"/>
      <c r="BAV30" s="3"/>
      <c r="BAW30" s="3"/>
      <c r="BAX30" s="3"/>
      <c r="BAY30" s="3"/>
      <c r="BAZ30" s="3"/>
      <c r="BBA30" s="3"/>
      <c r="BBB30" s="3"/>
      <c r="BBC30" s="3"/>
      <c r="BBD30" s="3"/>
      <c r="BBE30" s="3"/>
      <c r="BBF30" s="3"/>
      <c r="BBG30" s="3"/>
      <c r="BBH30" s="3"/>
      <c r="BBI30" s="3"/>
      <c r="BBJ30" s="3"/>
      <c r="BBK30" s="3"/>
      <c r="BBL30" s="3"/>
      <c r="BBM30" s="3"/>
      <c r="BBN30" s="3"/>
      <c r="BBO30" s="3"/>
      <c r="BBP30" s="3"/>
      <c r="BBQ30" s="3"/>
      <c r="BBR30" s="3"/>
      <c r="BBS30" s="3"/>
      <c r="BBT30" s="3"/>
      <c r="BBU30" s="3"/>
      <c r="BBV30" s="3"/>
      <c r="BBW30" s="3"/>
      <c r="BBX30" s="3"/>
      <c r="BBY30" s="3"/>
      <c r="BBZ30" s="3"/>
      <c r="BCA30" s="3"/>
      <c r="BCB30" s="3"/>
      <c r="BCC30" s="3"/>
      <c r="BCD30" s="3"/>
      <c r="BCE30" s="3"/>
      <c r="BCF30" s="3"/>
      <c r="BCG30" s="3"/>
      <c r="BCH30" s="3"/>
      <c r="BCI30" s="3"/>
      <c r="BCJ30" s="3"/>
      <c r="BCK30" s="3"/>
      <c r="BCL30" s="3"/>
      <c r="BCM30" s="3"/>
      <c r="BCN30" s="3"/>
      <c r="BCO30" s="3"/>
      <c r="BCP30" s="3"/>
      <c r="BCQ30" s="3"/>
      <c r="BCR30" s="3"/>
      <c r="BCS30" s="3"/>
      <c r="BCT30" s="3"/>
      <c r="BCU30" s="3"/>
      <c r="BCV30" s="3"/>
      <c r="BCW30" s="3"/>
      <c r="BCX30" s="3"/>
      <c r="BCY30" s="3"/>
      <c r="BCZ30" s="3"/>
      <c r="BDA30" s="3"/>
      <c r="BDB30" s="3"/>
      <c r="BDC30" s="3"/>
      <c r="BDD30" s="3"/>
      <c r="BDE30" s="3"/>
      <c r="BDF30" s="3"/>
      <c r="BDG30" s="3"/>
      <c r="BDH30" s="3"/>
      <c r="BDI30" s="3"/>
      <c r="BDJ30" s="3"/>
      <c r="BDK30" s="3"/>
      <c r="BDL30" s="3"/>
      <c r="BDM30" s="3"/>
      <c r="BDN30" s="3"/>
      <c r="BDO30" s="3"/>
      <c r="BDP30" s="3"/>
      <c r="BDQ30" s="3"/>
      <c r="BDR30" s="3"/>
      <c r="BDS30" s="3"/>
      <c r="BDT30" s="3"/>
      <c r="BDU30" s="3"/>
      <c r="BDV30" s="3"/>
      <c r="BDW30" s="3"/>
      <c r="BDX30" s="3"/>
      <c r="BDY30" s="3"/>
      <c r="BDZ30" s="3"/>
      <c r="BEA30" s="3"/>
      <c r="BEB30" s="3"/>
      <c r="BEC30" s="3"/>
      <c r="BED30" s="3"/>
      <c r="BEE30" s="3"/>
      <c r="BEF30" s="3"/>
      <c r="BEG30" s="3"/>
      <c r="BEH30" s="3"/>
      <c r="BEI30" s="3"/>
      <c r="BEJ30" s="3"/>
      <c r="BEK30" s="3"/>
      <c r="BEL30" s="3"/>
      <c r="BEM30" s="3"/>
      <c r="BEN30" s="3"/>
      <c r="BEO30" s="3"/>
      <c r="BEP30" s="3"/>
      <c r="BEQ30" s="3"/>
      <c r="BER30" s="3"/>
      <c r="BES30" s="3"/>
      <c r="BET30" s="3"/>
      <c r="BEU30" s="3"/>
      <c r="BEV30" s="3"/>
      <c r="BEW30" s="3"/>
      <c r="BEX30" s="3"/>
      <c r="BEY30" s="3"/>
      <c r="BEZ30" s="3"/>
      <c r="BFA30" s="3"/>
      <c r="BFB30" s="3"/>
      <c r="BFC30" s="3"/>
      <c r="BFD30" s="3"/>
      <c r="BFE30" s="3"/>
      <c r="BFF30" s="3"/>
      <c r="BFG30" s="3"/>
      <c r="BFH30" s="3"/>
      <c r="BFI30" s="3"/>
      <c r="BFJ30" s="3"/>
      <c r="BFK30" s="3"/>
      <c r="BFL30" s="3"/>
      <c r="BFM30" s="3"/>
      <c r="BFN30" s="3"/>
      <c r="BFO30" s="3"/>
      <c r="BFP30" s="3"/>
      <c r="BFQ30" s="3"/>
      <c r="BFR30" s="3"/>
      <c r="BFS30" s="3"/>
      <c r="BFT30" s="3"/>
      <c r="BFU30" s="3"/>
      <c r="BFV30" s="3"/>
      <c r="BFW30" s="3"/>
      <c r="BFX30" s="3"/>
      <c r="BFY30" s="3"/>
      <c r="BFZ30" s="3"/>
      <c r="BGA30" s="3"/>
      <c r="BGB30" s="3"/>
      <c r="BGC30" s="3"/>
      <c r="BGD30" s="3"/>
      <c r="BGE30" s="3"/>
      <c r="BGF30" s="3"/>
      <c r="BGG30" s="3"/>
      <c r="BGH30" s="3"/>
      <c r="BGI30" s="3"/>
      <c r="BGJ30" s="3"/>
      <c r="BGK30" s="3"/>
      <c r="BGL30" s="3"/>
      <c r="BGM30" s="3"/>
      <c r="BGN30" s="3"/>
      <c r="BGO30" s="3"/>
      <c r="BGP30" s="3"/>
      <c r="BGQ30" s="3"/>
      <c r="BGR30" s="3"/>
      <c r="BGS30" s="3"/>
      <c r="BGT30" s="3"/>
      <c r="BGU30" s="3"/>
      <c r="BGV30" s="3"/>
      <c r="BGW30" s="3"/>
      <c r="BGX30" s="3"/>
      <c r="BGY30" s="3"/>
      <c r="BGZ30" s="3"/>
      <c r="BHA30" s="3"/>
      <c r="BHB30" s="3"/>
      <c r="BHC30" s="3"/>
      <c r="BHD30" s="3"/>
      <c r="BHE30" s="3"/>
      <c r="BHF30" s="3"/>
      <c r="BHG30" s="3"/>
      <c r="BHH30" s="3"/>
      <c r="BHI30" s="3"/>
      <c r="BHJ30" s="3"/>
      <c r="BHK30" s="3"/>
      <c r="BHL30" s="3"/>
      <c r="BHM30" s="3"/>
      <c r="BHN30" s="3"/>
      <c r="BHO30" s="3"/>
      <c r="BHP30" s="3"/>
      <c r="BHQ30" s="3"/>
      <c r="BHR30" s="3"/>
      <c r="BHS30" s="3"/>
      <c r="BHT30" s="3"/>
      <c r="BHU30" s="3"/>
      <c r="BHV30" s="3"/>
      <c r="BHW30" s="3"/>
      <c r="BHX30" s="3"/>
      <c r="BHY30" s="3"/>
      <c r="BHZ30" s="3"/>
      <c r="BIA30" s="3"/>
      <c r="BIB30" s="3"/>
      <c r="BIC30" s="3"/>
      <c r="BID30" s="3"/>
      <c r="BIE30" s="3"/>
      <c r="BIF30" s="3"/>
      <c r="BIG30" s="3"/>
      <c r="BIH30" s="3"/>
      <c r="BII30" s="3"/>
      <c r="BIJ30" s="3"/>
      <c r="BIK30" s="3"/>
      <c r="BIL30" s="3"/>
      <c r="BIM30" s="3"/>
      <c r="BIN30" s="3"/>
      <c r="BIO30" s="3"/>
      <c r="BIP30" s="3"/>
      <c r="BIQ30" s="3"/>
      <c r="BIR30" s="3"/>
      <c r="BIS30" s="3"/>
      <c r="BIT30" s="3"/>
      <c r="BIU30" s="3"/>
      <c r="BIV30" s="3"/>
      <c r="BIW30" s="3"/>
      <c r="BIX30" s="3"/>
      <c r="BIY30" s="3"/>
      <c r="BIZ30" s="3"/>
      <c r="BJA30" s="3"/>
      <c r="BJB30" s="3"/>
      <c r="BJC30" s="3"/>
      <c r="BJD30" s="3"/>
      <c r="BJE30" s="3"/>
      <c r="BJF30" s="3"/>
      <c r="BJG30" s="3"/>
      <c r="BJH30" s="3"/>
      <c r="BJI30" s="3"/>
      <c r="BJJ30" s="3"/>
      <c r="BJK30" s="3"/>
      <c r="BJL30" s="3"/>
      <c r="BJM30" s="3"/>
      <c r="BJN30" s="3"/>
      <c r="BJO30" s="3"/>
      <c r="BJP30" s="3"/>
      <c r="BJQ30" s="3"/>
      <c r="BJR30" s="3"/>
      <c r="BJS30" s="3"/>
      <c r="BJT30" s="3"/>
      <c r="BJU30" s="3"/>
      <c r="BJV30" s="3"/>
      <c r="BJW30" s="3"/>
      <c r="BJX30" s="3"/>
      <c r="BJY30" s="3"/>
      <c r="BJZ30" s="3"/>
      <c r="BKA30" s="3"/>
      <c r="BKB30" s="3"/>
      <c r="BKC30" s="3"/>
      <c r="BKD30" s="3"/>
      <c r="BKE30" s="3"/>
      <c r="BKF30" s="3"/>
      <c r="BKG30" s="3"/>
      <c r="BKH30" s="3"/>
      <c r="BKI30" s="3"/>
      <c r="BKJ30" s="3"/>
      <c r="BKK30" s="3"/>
      <c r="BKL30" s="3"/>
      <c r="BKM30" s="3"/>
      <c r="BKN30" s="3"/>
      <c r="BKO30" s="3"/>
      <c r="BKP30" s="3"/>
      <c r="BKQ30" s="3"/>
      <c r="BKR30" s="3"/>
      <c r="BKS30" s="3"/>
      <c r="BKT30" s="3"/>
      <c r="BKU30" s="3"/>
      <c r="BKV30" s="3"/>
      <c r="BKW30" s="3"/>
      <c r="BKX30" s="3"/>
      <c r="BKY30" s="3"/>
      <c r="BKZ30" s="3"/>
      <c r="BLA30" s="3"/>
      <c r="BLB30" s="3"/>
      <c r="BLC30" s="3"/>
      <c r="BLD30" s="3"/>
      <c r="BLE30" s="3"/>
      <c r="BLF30" s="3"/>
      <c r="BLG30" s="3"/>
      <c r="BLH30" s="3"/>
      <c r="BLI30" s="3"/>
      <c r="BLJ30" s="3"/>
      <c r="BLK30" s="3"/>
      <c r="BLL30" s="3"/>
      <c r="BLM30" s="3"/>
      <c r="BLN30" s="3"/>
      <c r="BLO30" s="3"/>
      <c r="BLP30" s="3"/>
      <c r="BLQ30" s="3"/>
      <c r="BLR30" s="3"/>
      <c r="BLS30" s="3"/>
      <c r="BLT30" s="3"/>
      <c r="BLU30" s="3"/>
      <c r="BLV30" s="3"/>
      <c r="BLW30" s="3"/>
      <c r="BLX30" s="3"/>
      <c r="BLY30" s="3"/>
      <c r="BLZ30" s="3"/>
      <c r="BMA30" s="3"/>
      <c r="BMB30" s="3"/>
      <c r="BMC30" s="3"/>
      <c r="BMD30" s="3"/>
      <c r="BME30" s="3"/>
      <c r="BMF30" s="3"/>
      <c r="BMG30" s="3"/>
      <c r="BMH30" s="3"/>
      <c r="BMI30" s="3"/>
      <c r="BMJ30" s="3"/>
      <c r="BMK30" s="3"/>
      <c r="BML30" s="3"/>
      <c r="BMM30" s="3"/>
      <c r="BMN30" s="3"/>
      <c r="BMO30" s="3"/>
      <c r="BMP30" s="3"/>
      <c r="BMQ30" s="3"/>
      <c r="BMR30" s="3"/>
      <c r="BMS30" s="3"/>
      <c r="BMT30" s="3"/>
      <c r="BMU30" s="3"/>
      <c r="BMV30" s="3"/>
      <c r="BMW30" s="3"/>
      <c r="BMX30" s="3"/>
      <c r="BMY30" s="3"/>
      <c r="BMZ30" s="3"/>
      <c r="BNA30" s="3"/>
      <c r="BNB30" s="3"/>
      <c r="BNC30" s="3"/>
      <c r="BND30" s="3"/>
      <c r="BNE30" s="3"/>
      <c r="BNF30" s="3"/>
      <c r="BNG30" s="3"/>
      <c r="BNH30" s="3"/>
      <c r="BNI30" s="3"/>
      <c r="BNJ30" s="3"/>
      <c r="BNK30" s="3"/>
      <c r="BNL30" s="3"/>
      <c r="BNM30" s="3"/>
      <c r="BNN30" s="3"/>
      <c r="BNO30" s="3"/>
      <c r="BNP30" s="3"/>
      <c r="BNQ30" s="3"/>
      <c r="BNR30" s="3"/>
      <c r="BNS30" s="3"/>
      <c r="BNT30" s="3"/>
      <c r="BNU30" s="3"/>
      <c r="BNV30" s="3"/>
      <c r="BNW30" s="3"/>
      <c r="BNX30" s="3"/>
      <c r="BNY30" s="3"/>
      <c r="BNZ30" s="3"/>
      <c r="BOA30" s="3"/>
      <c r="BOB30" s="3"/>
      <c r="BOC30" s="3"/>
      <c r="BOD30" s="3"/>
      <c r="BOE30" s="3"/>
      <c r="BOF30" s="3"/>
      <c r="BOG30" s="3"/>
      <c r="BOH30" s="3"/>
      <c r="BOI30" s="3"/>
      <c r="BOJ30" s="3"/>
      <c r="BOK30" s="3"/>
      <c r="BOL30" s="3"/>
      <c r="BOM30" s="3"/>
      <c r="BON30" s="3"/>
      <c r="BOO30" s="3"/>
      <c r="BOP30" s="3"/>
      <c r="BOQ30" s="3"/>
      <c r="BOR30" s="3"/>
      <c r="BOS30" s="3"/>
      <c r="BOT30" s="3"/>
      <c r="BOU30" s="3"/>
      <c r="BOV30" s="3"/>
      <c r="BOW30" s="3"/>
      <c r="BOX30" s="3"/>
      <c r="BOY30" s="3"/>
      <c r="BOZ30" s="3"/>
      <c r="BPA30" s="3"/>
      <c r="BPB30" s="3"/>
      <c r="BPC30" s="3"/>
      <c r="BPD30" s="3"/>
      <c r="BPE30" s="3"/>
      <c r="BPF30" s="3"/>
      <c r="BPG30" s="3"/>
      <c r="BPH30" s="3"/>
      <c r="BPI30" s="3"/>
      <c r="BPJ30" s="3"/>
      <c r="BPK30" s="3"/>
      <c r="BPL30" s="3"/>
      <c r="BPM30" s="3"/>
      <c r="BPN30" s="3"/>
      <c r="BPO30" s="3"/>
      <c r="BPP30" s="3"/>
      <c r="BPQ30" s="3"/>
      <c r="BPR30" s="3"/>
      <c r="BPS30" s="3"/>
      <c r="BPT30" s="3"/>
      <c r="BPU30" s="3"/>
      <c r="BPV30" s="3"/>
      <c r="BPW30" s="3"/>
      <c r="BPX30" s="3"/>
      <c r="BPY30" s="3"/>
      <c r="BPZ30" s="3"/>
      <c r="BQA30" s="3"/>
      <c r="BQB30" s="3"/>
      <c r="BQC30" s="3"/>
      <c r="BQD30" s="3"/>
      <c r="BQE30" s="3"/>
      <c r="BQF30" s="3"/>
      <c r="BQG30" s="3"/>
      <c r="BQH30" s="3"/>
      <c r="BQI30" s="3"/>
      <c r="BQJ30" s="3"/>
      <c r="BQK30" s="3"/>
      <c r="BQL30" s="3"/>
      <c r="BQM30" s="3"/>
      <c r="BQN30" s="3"/>
      <c r="BQO30" s="3"/>
      <c r="BQP30" s="3"/>
      <c r="BQQ30" s="3"/>
      <c r="BQR30" s="3"/>
      <c r="BQS30" s="3"/>
      <c r="BQT30" s="3"/>
      <c r="BQU30" s="3"/>
      <c r="BQV30" s="3"/>
      <c r="BQW30" s="3"/>
      <c r="BQX30" s="3"/>
      <c r="BQY30" s="3"/>
      <c r="BQZ30" s="3"/>
      <c r="BRA30" s="3"/>
      <c r="BRB30" s="3"/>
      <c r="BRC30" s="3"/>
      <c r="BRD30" s="3"/>
      <c r="BRE30" s="3"/>
      <c r="BRF30" s="3"/>
      <c r="BRG30" s="3"/>
      <c r="BRH30" s="3"/>
      <c r="BRI30" s="3"/>
      <c r="BRJ30" s="3"/>
      <c r="BRK30" s="3"/>
      <c r="BRL30" s="3"/>
      <c r="BRM30" s="3"/>
      <c r="BRN30" s="3"/>
      <c r="BRO30" s="3"/>
      <c r="BRP30" s="3"/>
      <c r="BRQ30" s="3"/>
      <c r="BRR30" s="3"/>
      <c r="BRS30" s="3"/>
      <c r="BRT30" s="3"/>
      <c r="BRU30" s="3"/>
      <c r="BRV30" s="3"/>
      <c r="BRW30" s="3"/>
      <c r="BRX30" s="3"/>
      <c r="BRY30" s="3"/>
      <c r="BRZ30" s="3"/>
      <c r="BSA30" s="3"/>
      <c r="BSB30" s="3"/>
      <c r="BSC30" s="3"/>
      <c r="BSD30" s="3"/>
      <c r="BSE30" s="3"/>
      <c r="BSF30" s="3"/>
      <c r="BSG30" s="3"/>
      <c r="BSH30" s="3"/>
      <c r="BSI30" s="3"/>
      <c r="BSJ30" s="3"/>
      <c r="BSK30" s="3"/>
      <c r="BSL30" s="3"/>
      <c r="BSM30" s="3"/>
      <c r="BSN30" s="3"/>
      <c r="BSO30" s="3"/>
      <c r="BSP30" s="3"/>
      <c r="BSQ30" s="3"/>
      <c r="BSR30" s="3"/>
      <c r="BSS30" s="3"/>
      <c r="BST30" s="3"/>
      <c r="BSU30" s="3"/>
      <c r="BSV30" s="3"/>
      <c r="BSW30" s="3"/>
      <c r="BSX30" s="3"/>
      <c r="BSY30" s="3"/>
      <c r="BSZ30" s="3"/>
      <c r="BTA30" s="3"/>
      <c r="BTB30" s="3"/>
      <c r="BTC30" s="3"/>
      <c r="BTD30" s="3"/>
      <c r="BTE30" s="3"/>
      <c r="BTF30" s="3"/>
      <c r="BTG30" s="3"/>
      <c r="BTH30" s="3"/>
      <c r="BTI30" s="3"/>
      <c r="BTJ30" s="3"/>
      <c r="BTK30" s="3"/>
      <c r="BTL30" s="3"/>
      <c r="BTM30" s="3"/>
      <c r="BTN30" s="3"/>
      <c r="BTO30" s="3"/>
      <c r="BTP30" s="3"/>
      <c r="BTQ30" s="3"/>
      <c r="BTR30" s="3"/>
      <c r="BTS30" s="3"/>
      <c r="BTT30" s="3"/>
      <c r="BTU30" s="3"/>
      <c r="BTV30" s="3"/>
      <c r="BTW30" s="3"/>
      <c r="BTX30" s="3"/>
      <c r="BTY30" s="3"/>
      <c r="BTZ30" s="3"/>
      <c r="BUA30" s="3"/>
      <c r="BUB30" s="3"/>
      <c r="BUC30" s="3"/>
      <c r="BUD30" s="3"/>
      <c r="BUE30" s="3"/>
      <c r="BUF30" s="3"/>
      <c r="BUG30" s="3"/>
      <c r="BUH30" s="3"/>
      <c r="BUI30" s="3"/>
      <c r="BUJ30" s="3"/>
      <c r="BUK30" s="3"/>
      <c r="BUL30" s="3"/>
      <c r="BUM30" s="3"/>
      <c r="BUN30" s="3"/>
      <c r="BUO30" s="3"/>
      <c r="BUP30" s="3"/>
      <c r="BUQ30" s="3"/>
      <c r="BUR30" s="3"/>
      <c r="BUS30" s="3"/>
      <c r="BUT30" s="3"/>
      <c r="BUU30" s="3"/>
      <c r="BUV30" s="3"/>
      <c r="BUW30" s="3"/>
      <c r="BUX30" s="3"/>
      <c r="BUY30" s="3"/>
      <c r="BUZ30" s="3"/>
      <c r="BVA30" s="3"/>
      <c r="BVB30" s="3"/>
      <c r="BVC30" s="3"/>
      <c r="BVD30" s="3"/>
      <c r="BVE30" s="3"/>
      <c r="BVF30" s="3"/>
      <c r="BVG30" s="3"/>
      <c r="BVH30" s="3"/>
      <c r="BVI30" s="3"/>
      <c r="BVJ30" s="3"/>
      <c r="BVK30" s="3"/>
      <c r="BVL30" s="3"/>
      <c r="BVM30" s="3"/>
      <c r="BVN30" s="3"/>
      <c r="BVO30" s="3"/>
      <c r="BVP30" s="3"/>
      <c r="BVQ30" s="3"/>
      <c r="BVR30" s="3"/>
      <c r="BVS30" s="3"/>
      <c r="BVT30" s="3"/>
      <c r="BVU30" s="3"/>
      <c r="BVV30" s="3"/>
      <c r="BVW30" s="3"/>
      <c r="BVX30" s="3"/>
      <c r="BVY30" s="3"/>
      <c r="BVZ30" s="3"/>
      <c r="BWA30" s="3"/>
      <c r="BWB30" s="3"/>
      <c r="BWC30" s="3"/>
      <c r="BWD30" s="3"/>
      <c r="BWE30" s="3"/>
      <c r="BWF30" s="3"/>
      <c r="BWG30" s="3"/>
      <c r="BWH30" s="3"/>
      <c r="BWI30" s="3"/>
      <c r="BWJ30" s="3"/>
      <c r="BWK30" s="3"/>
      <c r="BWL30" s="3"/>
      <c r="BWM30" s="3"/>
      <c r="BWN30" s="3"/>
      <c r="BWO30" s="3"/>
      <c r="BWP30" s="3"/>
      <c r="BWQ30" s="3"/>
      <c r="BWR30" s="3"/>
      <c r="BWS30" s="3"/>
      <c r="BWT30" s="3"/>
      <c r="BWU30" s="3"/>
      <c r="BWV30" s="3"/>
      <c r="BWW30" s="3"/>
      <c r="BWX30" s="3"/>
      <c r="BWY30" s="3"/>
      <c r="BWZ30" s="3"/>
      <c r="BXA30" s="3"/>
      <c r="BXB30" s="3"/>
      <c r="BXC30" s="3"/>
      <c r="BXD30" s="3"/>
      <c r="BXE30" s="3"/>
      <c r="BXF30" s="3"/>
      <c r="BXG30" s="3"/>
      <c r="BXH30" s="3"/>
      <c r="BXI30" s="3"/>
      <c r="BXJ30" s="3"/>
      <c r="BXK30" s="3"/>
      <c r="BXL30" s="3"/>
      <c r="BXM30" s="3"/>
      <c r="BXN30" s="3"/>
      <c r="BXO30" s="3"/>
      <c r="BXP30" s="3"/>
      <c r="BXQ30" s="3"/>
      <c r="BXR30" s="3"/>
      <c r="BXS30" s="3"/>
      <c r="BXT30" s="3"/>
      <c r="BXU30" s="3"/>
      <c r="BXV30" s="3"/>
      <c r="BXW30" s="3"/>
      <c r="BXX30" s="3"/>
      <c r="BXY30" s="3"/>
      <c r="BXZ30" s="3"/>
      <c r="BYA30" s="3"/>
      <c r="BYB30" s="3"/>
      <c r="BYC30" s="3"/>
      <c r="BYD30" s="3"/>
      <c r="BYE30" s="3"/>
      <c r="BYF30" s="3"/>
      <c r="BYG30" s="3"/>
      <c r="BYH30" s="3"/>
      <c r="BYI30" s="3"/>
      <c r="BYJ30" s="3"/>
      <c r="BYK30" s="3"/>
      <c r="BYL30" s="3"/>
      <c r="BYM30" s="3"/>
      <c r="BYN30" s="3"/>
      <c r="BYO30" s="3"/>
      <c r="BYP30" s="3"/>
      <c r="BYQ30" s="3"/>
      <c r="BYR30" s="3"/>
      <c r="BYS30" s="3"/>
      <c r="BYT30" s="3"/>
      <c r="BYU30" s="3"/>
      <c r="BYV30" s="3"/>
      <c r="BYW30" s="3"/>
      <c r="BYX30" s="3"/>
      <c r="BYY30" s="3"/>
      <c r="BYZ30" s="3"/>
      <c r="BZA30" s="3"/>
      <c r="BZB30" s="3"/>
      <c r="BZC30" s="3"/>
      <c r="BZD30" s="3"/>
      <c r="BZE30" s="3"/>
      <c r="BZF30" s="3"/>
      <c r="BZG30" s="3"/>
      <c r="BZH30" s="3"/>
      <c r="BZI30" s="3"/>
      <c r="BZJ30" s="3"/>
      <c r="BZK30" s="3"/>
      <c r="BZL30" s="3"/>
      <c r="BZM30" s="3"/>
      <c r="BZN30" s="3"/>
      <c r="BZO30" s="3"/>
      <c r="BZP30" s="3"/>
      <c r="BZQ30" s="3"/>
      <c r="BZR30" s="3"/>
      <c r="BZS30" s="3"/>
      <c r="BZT30" s="3"/>
      <c r="BZU30" s="3"/>
      <c r="BZV30" s="3"/>
      <c r="BZW30" s="3"/>
      <c r="BZX30" s="3"/>
      <c r="BZY30" s="3"/>
      <c r="BZZ30" s="3"/>
      <c r="CAA30" s="3"/>
      <c r="CAB30" s="3"/>
      <c r="CAC30" s="3"/>
      <c r="CAD30" s="3"/>
      <c r="CAE30" s="3"/>
      <c r="CAF30" s="3"/>
      <c r="CAG30" s="3"/>
      <c r="CAH30" s="3"/>
      <c r="CAI30" s="3"/>
      <c r="CAJ30" s="3"/>
      <c r="CAK30" s="3"/>
      <c r="CAL30" s="3"/>
      <c r="CAM30" s="3"/>
      <c r="CAN30" s="3"/>
      <c r="CAO30" s="3"/>
      <c r="CAP30" s="3"/>
      <c r="CAQ30" s="3"/>
      <c r="CAR30" s="3"/>
      <c r="CAS30" s="3"/>
      <c r="CAT30" s="3"/>
      <c r="CAU30" s="3"/>
      <c r="CAV30" s="3"/>
      <c r="CAW30" s="3"/>
      <c r="CAX30" s="3"/>
      <c r="CAY30" s="3"/>
      <c r="CAZ30" s="3"/>
      <c r="CBA30" s="3"/>
      <c r="CBB30" s="3"/>
      <c r="CBC30" s="3"/>
      <c r="CBD30" s="3"/>
      <c r="CBE30" s="3"/>
      <c r="CBF30" s="3"/>
      <c r="CBG30" s="3"/>
      <c r="CBH30" s="3"/>
      <c r="CBI30" s="3"/>
      <c r="CBJ30" s="3"/>
      <c r="CBK30" s="3"/>
      <c r="CBL30" s="3"/>
      <c r="CBM30" s="3"/>
      <c r="CBN30" s="3"/>
      <c r="CBO30" s="3"/>
      <c r="CBP30" s="3"/>
      <c r="CBQ30" s="3"/>
      <c r="CBR30" s="3"/>
      <c r="CBS30" s="3"/>
      <c r="CBT30" s="3"/>
      <c r="CBU30" s="3"/>
      <c r="CBV30" s="3"/>
      <c r="CBW30" s="3"/>
      <c r="CBX30" s="3"/>
      <c r="CBY30" s="3"/>
      <c r="CBZ30" s="3"/>
      <c r="CCA30" s="3"/>
      <c r="CCB30" s="3"/>
      <c r="CCC30" s="3"/>
      <c r="CCD30" s="3"/>
      <c r="CCE30" s="3"/>
      <c r="CCF30" s="3"/>
      <c r="CCG30" s="3"/>
      <c r="CCH30" s="3"/>
      <c r="CCI30" s="3"/>
      <c r="CCJ30" s="3"/>
      <c r="CCK30" s="3"/>
      <c r="CCL30" s="3"/>
      <c r="CCM30" s="3"/>
      <c r="CCN30" s="3"/>
      <c r="CCO30" s="3"/>
      <c r="CCP30" s="3"/>
      <c r="CCQ30" s="3"/>
      <c r="CCR30" s="3"/>
      <c r="CCS30" s="3"/>
      <c r="CCT30" s="3"/>
      <c r="CCU30" s="3"/>
      <c r="CCV30" s="3"/>
      <c r="CCW30" s="3"/>
      <c r="CCX30" s="3"/>
      <c r="CCY30" s="3"/>
      <c r="CCZ30" s="3"/>
      <c r="CDA30" s="3"/>
      <c r="CDB30" s="3"/>
      <c r="CDC30" s="3"/>
      <c r="CDD30" s="3"/>
      <c r="CDE30" s="3"/>
      <c r="CDF30" s="3"/>
      <c r="CDG30" s="3"/>
      <c r="CDH30" s="3"/>
      <c r="CDI30" s="3"/>
      <c r="CDJ30" s="3"/>
      <c r="CDK30" s="3"/>
      <c r="CDL30" s="3"/>
      <c r="CDM30" s="3"/>
      <c r="CDN30" s="3"/>
      <c r="CDO30" s="3"/>
      <c r="CDP30" s="3"/>
      <c r="CDQ30" s="3"/>
      <c r="CDR30" s="3"/>
      <c r="CDS30" s="3"/>
      <c r="CDT30" s="3"/>
      <c r="CDU30" s="3"/>
      <c r="CDV30" s="3"/>
      <c r="CDW30" s="3"/>
      <c r="CDX30" s="3"/>
      <c r="CDY30" s="3"/>
      <c r="CDZ30" s="3"/>
      <c r="CEA30" s="3"/>
      <c r="CEB30" s="3"/>
      <c r="CEC30" s="3"/>
      <c r="CED30" s="3"/>
      <c r="CEE30" s="3"/>
      <c r="CEF30" s="3"/>
      <c r="CEG30" s="3"/>
      <c r="CEH30" s="3"/>
      <c r="CEI30" s="3"/>
      <c r="CEJ30" s="3"/>
      <c r="CEK30" s="3"/>
      <c r="CEL30" s="3"/>
      <c r="CEM30" s="3"/>
      <c r="CEN30" s="3"/>
      <c r="CEO30" s="3"/>
      <c r="CEP30" s="3"/>
      <c r="CEQ30" s="3"/>
      <c r="CER30" s="3"/>
      <c r="CES30" s="3"/>
      <c r="CET30" s="3"/>
      <c r="CEU30" s="3"/>
      <c r="CEV30" s="3"/>
      <c r="CEW30" s="3"/>
      <c r="CEX30" s="3"/>
      <c r="CEY30" s="3"/>
      <c r="CEZ30" s="3"/>
      <c r="CFA30" s="3"/>
      <c r="CFB30" s="3"/>
      <c r="CFC30" s="3"/>
      <c r="CFD30" s="3"/>
      <c r="CFE30" s="3"/>
      <c r="CFF30" s="3"/>
      <c r="CFG30" s="3"/>
      <c r="CFH30" s="3"/>
      <c r="CFI30" s="3"/>
      <c r="CFJ30" s="3"/>
      <c r="CFK30" s="3"/>
      <c r="CFL30" s="3"/>
      <c r="CFM30" s="3"/>
      <c r="CFN30" s="3"/>
      <c r="CFO30" s="3"/>
      <c r="CFP30" s="3"/>
      <c r="CFQ30" s="3"/>
      <c r="CFR30" s="3"/>
      <c r="CFS30" s="3"/>
      <c r="CFT30" s="3"/>
      <c r="CFU30" s="3"/>
      <c r="CFV30" s="3"/>
      <c r="CFW30" s="3"/>
      <c r="CFX30" s="3"/>
      <c r="CFY30" s="3"/>
      <c r="CFZ30" s="3"/>
      <c r="CGA30" s="3"/>
      <c r="CGB30" s="3"/>
      <c r="CGC30" s="3"/>
      <c r="CGD30" s="3"/>
      <c r="CGE30" s="3"/>
      <c r="CGF30" s="3"/>
      <c r="CGG30" s="3"/>
      <c r="CGH30" s="3"/>
      <c r="CGI30" s="3"/>
      <c r="CGJ30" s="3"/>
      <c r="CGK30" s="3"/>
      <c r="CGL30" s="3"/>
      <c r="CGM30" s="3"/>
      <c r="CGN30" s="3"/>
      <c r="CGO30" s="3"/>
      <c r="CGP30" s="3"/>
      <c r="CGQ30" s="3"/>
      <c r="CGR30" s="3"/>
      <c r="CGS30" s="3"/>
      <c r="CGT30" s="3"/>
      <c r="CGU30" s="3"/>
      <c r="CGV30" s="3"/>
      <c r="CGW30" s="3"/>
      <c r="CGX30" s="3"/>
      <c r="CGY30" s="3"/>
      <c r="CGZ30" s="3"/>
      <c r="CHA30" s="3"/>
      <c r="CHB30" s="3"/>
      <c r="CHC30" s="3"/>
      <c r="CHD30" s="3"/>
      <c r="CHE30" s="3"/>
      <c r="CHF30" s="3"/>
      <c r="CHG30" s="3"/>
      <c r="CHH30" s="3"/>
      <c r="CHI30" s="3"/>
      <c r="CHJ30" s="3"/>
      <c r="CHK30" s="3"/>
      <c r="CHL30" s="3"/>
      <c r="CHM30" s="3"/>
      <c r="CHN30" s="3"/>
      <c r="CHO30" s="3"/>
      <c r="CHP30" s="3"/>
      <c r="CHQ30" s="3"/>
      <c r="CHR30" s="3"/>
      <c r="CHS30" s="3"/>
      <c r="CHT30" s="3"/>
      <c r="CHU30" s="3"/>
      <c r="CHV30" s="3"/>
      <c r="CHW30" s="3"/>
      <c r="CHX30" s="3"/>
      <c r="CHY30" s="3"/>
      <c r="CHZ30" s="3"/>
      <c r="CIA30" s="3"/>
      <c r="CIB30" s="3"/>
      <c r="CIC30" s="3"/>
      <c r="CID30" s="3"/>
      <c r="CIE30" s="3"/>
      <c r="CIF30" s="3"/>
      <c r="CIG30" s="3"/>
      <c r="CIH30" s="3"/>
      <c r="CII30" s="3"/>
      <c r="CIJ30" s="3"/>
      <c r="CIK30" s="3"/>
      <c r="CIL30" s="3"/>
      <c r="CIM30" s="3"/>
      <c r="CIN30" s="3"/>
      <c r="CIO30" s="3"/>
      <c r="CIP30" s="3"/>
      <c r="CIQ30" s="3"/>
      <c r="CIR30" s="3"/>
      <c r="CIS30" s="3"/>
      <c r="CIT30" s="3"/>
      <c r="CIU30" s="3"/>
      <c r="CIV30" s="3"/>
      <c r="CIW30" s="3"/>
      <c r="CIX30" s="3"/>
      <c r="CIY30" s="3"/>
      <c r="CIZ30" s="3"/>
      <c r="CJA30" s="3"/>
      <c r="CJB30" s="3"/>
      <c r="CJC30" s="3"/>
      <c r="CJD30" s="3"/>
      <c r="CJE30" s="3"/>
      <c r="CJF30" s="3"/>
      <c r="CJG30" s="3"/>
      <c r="CJH30" s="3"/>
      <c r="CJI30" s="3"/>
      <c r="CJJ30" s="3"/>
      <c r="CJK30" s="3"/>
      <c r="CJL30" s="3"/>
      <c r="CJM30" s="3"/>
      <c r="CJN30" s="3"/>
      <c r="CJO30" s="3"/>
      <c r="CJP30" s="3"/>
      <c r="CJQ30" s="3"/>
      <c r="CJR30" s="3"/>
      <c r="CJS30" s="3"/>
      <c r="CJT30" s="3"/>
      <c r="CJU30" s="3"/>
      <c r="CJV30" s="3"/>
      <c r="CJW30" s="3"/>
      <c r="CJX30" s="3"/>
      <c r="CJY30" s="3"/>
      <c r="CJZ30" s="3"/>
      <c r="CKA30" s="3"/>
      <c r="CKB30" s="3"/>
      <c r="CKC30" s="3"/>
      <c r="CKD30" s="3"/>
      <c r="CKE30" s="3"/>
      <c r="CKF30" s="3"/>
      <c r="CKG30" s="3"/>
      <c r="CKH30" s="3"/>
      <c r="CKI30" s="3"/>
      <c r="CKJ30" s="3"/>
      <c r="CKK30" s="3"/>
      <c r="CKL30" s="3"/>
      <c r="CKM30" s="3"/>
      <c r="CKN30" s="3"/>
      <c r="CKO30" s="3"/>
      <c r="CKP30" s="3"/>
      <c r="CKQ30" s="3"/>
      <c r="CKR30" s="3"/>
      <c r="CKS30" s="3"/>
      <c r="CKT30" s="3"/>
      <c r="CKU30" s="3"/>
      <c r="CKV30" s="3"/>
      <c r="CKW30" s="3"/>
      <c r="CKX30" s="3"/>
      <c r="CKY30" s="3"/>
      <c r="CKZ30" s="3"/>
      <c r="CLA30" s="3"/>
      <c r="CLB30" s="3"/>
      <c r="CLC30" s="3"/>
      <c r="CLD30" s="3"/>
      <c r="CLE30" s="3"/>
      <c r="CLF30" s="3"/>
      <c r="CLG30" s="3"/>
      <c r="CLH30" s="3"/>
      <c r="CLI30" s="3"/>
      <c r="CLJ30" s="3"/>
      <c r="CLK30" s="3"/>
      <c r="CLL30" s="3"/>
      <c r="CLM30" s="3"/>
      <c r="CLN30" s="3"/>
      <c r="CLO30" s="3"/>
      <c r="CLP30" s="3"/>
      <c r="CLQ30" s="3"/>
      <c r="CLR30" s="3"/>
      <c r="CLS30" s="3"/>
      <c r="CLT30" s="3"/>
      <c r="CLU30" s="3"/>
      <c r="CLV30" s="3"/>
      <c r="CLW30" s="3"/>
      <c r="CLX30" s="3"/>
      <c r="CLY30" s="3"/>
      <c r="CLZ30" s="3"/>
      <c r="CMA30" s="3"/>
      <c r="CMB30" s="3"/>
      <c r="CMC30" s="3"/>
      <c r="CMD30" s="3"/>
      <c r="CME30" s="3"/>
      <c r="CMF30" s="3"/>
      <c r="CMG30" s="3"/>
      <c r="CMH30" s="3"/>
      <c r="CMI30" s="3"/>
      <c r="CMJ30" s="3"/>
      <c r="CMK30" s="3"/>
      <c r="CML30" s="3"/>
      <c r="CMM30" s="3"/>
      <c r="CMN30" s="3"/>
      <c r="CMO30" s="3"/>
      <c r="CMP30" s="3"/>
      <c r="CMQ30" s="3"/>
      <c r="CMR30" s="3"/>
      <c r="CMS30" s="3"/>
      <c r="CMT30" s="3"/>
      <c r="CMU30" s="3"/>
      <c r="CMV30" s="3"/>
      <c r="CMW30" s="3"/>
      <c r="CMX30" s="3"/>
      <c r="CMY30" s="3"/>
      <c r="CMZ30" s="3"/>
      <c r="CNA30" s="3"/>
      <c r="CNB30" s="3"/>
      <c r="CNC30" s="3"/>
      <c r="CND30" s="3"/>
      <c r="CNE30" s="3"/>
      <c r="CNF30" s="3"/>
      <c r="CNG30" s="3"/>
      <c r="CNH30" s="3"/>
      <c r="CNI30" s="3"/>
      <c r="CNJ30" s="3"/>
      <c r="CNK30" s="3"/>
      <c r="CNL30" s="3"/>
      <c r="CNM30" s="3"/>
      <c r="CNN30" s="3"/>
      <c r="CNO30" s="3"/>
      <c r="CNP30" s="3"/>
      <c r="CNQ30" s="3"/>
      <c r="CNR30" s="3"/>
      <c r="CNS30" s="3"/>
      <c r="CNT30" s="3"/>
      <c r="CNU30" s="3"/>
      <c r="CNV30" s="3"/>
      <c r="CNW30" s="3"/>
      <c r="CNX30" s="3"/>
      <c r="CNY30" s="3"/>
      <c r="CNZ30" s="3"/>
      <c r="COA30" s="3"/>
      <c r="COB30" s="3"/>
      <c r="COC30" s="3"/>
      <c r="COD30" s="3"/>
      <c r="COE30" s="3"/>
      <c r="COF30" s="3"/>
      <c r="COG30" s="3"/>
      <c r="COH30" s="3"/>
      <c r="COI30" s="3"/>
      <c r="COJ30" s="3"/>
      <c r="COK30" s="3"/>
      <c r="COL30" s="3"/>
      <c r="COM30" s="3"/>
      <c r="CON30" s="3"/>
      <c r="COO30" s="3"/>
      <c r="COP30" s="3"/>
      <c r="COQ30" s="3"/>
      <c r="COR30" s="3"/>
      <c r="COS30" s="3"/>
      <c r="COT30" s="3"/>
      <c r="COU30" s="3"/>
      <c r="COV30" s="3"/>
      <c r="COW30" s="3"/>
      <c r="COX30" s="3"/>
      <c r="COY30" s="3"/>
      <c r="COZ30" s="3"/>
      <c r="CPA30" s="3"/>
      <c r="CPB30" s="3"/>
      <c r="CPC30" s="3"/>
      <c r="CPD30" s="3"/>
      <c r="CPE30" s="3"/>
      <c r="CPF30" s="3"/>
      <c r="CPG30" s="3"/>
      <c r="CPH30" s="3"/>
      <c r="CPI30" s="3"/>
      <c r="CPJ30" s="3"/>
      <c r="CPK30" s="3"/>
      <c r="CPL30" s="3"/>
      <c r="CPM30" s="3"/>
      <c r="CPN30" s="3"/>
      <c r="CPO30" s="3"/>
      <c r="CPP30" s="3"/>
      <c r="CPQ30" s="3"/>
      <c r="CPR30" s="3"/>
      <c r="CPS30" s="3"/>
      <c r="CPT30" s="3"/>
      <c r="CPU30" s="3"/>
      <c r="CPV30" s="3"/>
      <c r="CPW30" s="3"/>
      <c r="CPX30" s="3"/>
      <c r="CPY30" s="3"/>
      <c r="CPZ30" s="3"/>
      <c r="CQA30" s="3"/>
      <c r="CQB30" s="3"/>
      <c r="CQC30" s="3"/>
      <c r="CQD30" s="3"/>
      <c r="CQE30" s="3"/>
      <c r="CQF30" s="3"/>
      <c r="CQG30" s="3"/>
      <c r="CQH30" s="3"/>
      <c r="CQI30" s="3"/>
      <c r="CQJ30" s="3"/>
      <c r="CQK30" s="3"/>
      <c r="CQL30" s="3"/>
      <c r="CQM30" s="3"/>
      <c r="CQN30" s="3"/>
      <c r="CQO30" s="3"/>
      <c r="CQP30" s="3"/>
      <c r="CQQ30" s="3"/>
      <c r="CQR30" s="3"/>
      <c r="CQS30" s="3"/>
      <c r="CQT30" s="3"/>
      <c r="CQU30" s="3"/>
      <c r="CQV30" s="3"/>
      <c r="CQW30" s="3"/>
      <c r="CQX30" s="3"/>
      <c r="CQY30" s="3"/>
      <c r="CQZ30" s="3"/>
      <c r="CRA30" s="3"/>
      <c r="CRB30" s="3"/>
      <c r="CRC30" s="3"/>
      <c r="CRD30" s="3"/>
      <c r="CRE30" s="3"/>
      <c r="CRF30" s="3"/>
      <c r="CRG30" s="3"/>
      <c r="CRH30" s="3"/>
      <c r="CRI30" s="3"/>
      <c r="CRJ30" s="3"/>
      <c r="CRK30" s="3"/>
      <c r="CRL30" s="3"/>
      <c r="CRM30" s="3"/>
      <c r="CRN30" s="3"/>
      <c r="CRO30" s="3"/>
      <c r="CRP30" s="3"/>
      <c r="CRQ30" s="3"/>
      <c r="CRR30" s="3"/>
      <c r="CRS30" s="3"/>
      <c r="CRT30" s="3"/>
      <c r="CRU30" s="3"/>
      <c r="CRV30" s="3"/>
      <c r="CRW30" s="3"/>
      <c r="CRX30" s="3"/>
      <c r="CRY30" s="3"/>
      <c r="CRZ30" s="3"/>
      <c r="CSA30" s="3"/>
      <c r="CSB30" s="3"/>
      <c r="CSC30" s="3"/>
      <c r="CSD30" s="3"/>
      <c r="CSE30" s="3"/>
      <c r="CSF30" s="3"/>
      <c r="CSG30" s="3"/>
      <c r="CSH30" s="3"/>
      <c r="CSI30" s="3"/>
      <c r="CSJ30" s="3"/>
      <c r="CSK30" s="3"/>
      <c r="CSL30" s="3"/>
      <c r="CSM30" s="3"/>
      <c r="CSN30" s="3"/>
      <c r="CSO30" s="3"/>
      <c r="CSP30" s="3"/>
      <c r="CSQ30" s="3"/>
      <c r="CSR30" s="3"/>
      <c r="CSS30" s="3"/>
      <c r="CST30" s="3"/>
      <c r="CSU30" s="3"/>
      <c r="CSV30" s="3"/>
      <c r="CSW30" s="3"/>
      <c r="CSX30" s="3"/>
      <c r="CSY30" s="3"/>
      <c r="CSZ30" s="3"/>
      <c r="CTA30" s="3"/>
      <c r="CTB30" s="3"/>
      <c r="CTC30" s="3"/>
      <c r="CTD30" s="3"/>
      <c r="CTE30" s="3"/>
      <c r="CTF30" s="3"/>
      <c r="CTG30" s="3"/>
      <c r="CTH30" s="3"/>
      <c r="CTI30" s="3"/>
      <c r="CTJ30" s="3"/>
      <c r="CTK30" s="3"/>
      <c r="CTL30" s="3"/>
      <c r="CTM30" s="3"/>
      <c r="CTN30" s="3"/>
      <c r="CTO30" s="3"/>
      <c r="CTP30" s="3"/>
      <c r="CTQ30" s="3"/>
      <c r="CTR30" s="3"/>
      <c r="CTS30" s="3"/>
      <c r="CTT30" s="3"/>
      <c r="CTU30" s="3"/>
      <c r="CTV30" s="3"/>
      <c r="CTW30" s="3"/>
      <c r="CTX30" s="3"/>
      <c r="CTY30" s="3"/>
      <c r="CTZ30" s="3"/>
      <c r="CUA30" s="3"/>
      <c r="CUB30" s="3"/>
      <c r="CUC30" s="3"/>
      <c r="CUD30" s="3"/>
      <c r="CUE30" s="3"/>
      <c r="CUF30" s="3"/>
      <c r="CUG30" s="3"/>
      <c r="CUH30" s="3"/>
      <c r="CUI30" s="3"/>
      <c r="CUJ30" s="3"/>
      <c r="CUK30" s="3"/>
      <c r="CUL30" s="3"/>
      <c r="CUM30" s="3"/>
      <c r="CUN30" s="3"/>
      <c r="CUO30" s="3"/>
      <c r="CUP30" s="3"/>
      <c r="CUQ30" s="3"/>
      <c r="CUR30" s="3"/>
      <c r="CUS30" s="3"/>
      <c r="CUT30" s="3"/>
      <c r="CUU30" s="3"/>
      <c r="CUV30" s="3"/>
      <c r="CUW30" s="3"/>
      <c r="CUX30" s="3"/>
      <c r="CUY30" s="3"/>
      <c r="CUZ30" s="3"/>
      <c r="CVA30" s="3"/>
      <c r="CVB30" s="3"/>
      <c r="CVC30" s="3"/>
      <c r="CVD30" s="3"/>
      <c r="CVE30" s="3"/>
      <c r="CVF30" s="3"/>
      <c r="CVG30" s="3"/>
      <c r="CVH30" s="3"/>
      <c r="CVI30" s="3"/>
      <c r="CVJ30" s="3"/>
      <c r="CVK30" s="3"/>
      <c r="CVL30" s="3"/>
      <c r="CVM30" s="3"/>
      <c r="CVN30" s="3"/>
      <c r="CVO30" s="3"/>
      <c r="CVP30" s="3"/>
      <c r="CVQ30" s="3"/>
      <c r="CVR30" s="3"/>
      <c r="CVS30" s="3"/>
      <c r="CVT30" s="3"/>
      <c r="CVU30" s="3"/>
      <c r="CVV30" s="3"/>
      <c r="CVW30" s="3"/>
      <c r="CVX30" s="3"/>
      <c r="CVY30" s="3"/>
      <c r="CVZ30" s="3"/>
      <c r="CWA30" s="3"/>
      <c r="CWB30" s="3"/>
      <c r="CWC30" s="3"/>
      <c r="CWD30" s="3"/>
      <c r="CWE30" s="3"/>
      <c r="CWF30" s="3"/>
      <c r="CWG30" s="3"/>
      <c r="CWH30" s="3"/>
      <c r="CWI30" s="3"/>
      <c r="CWJ30" s="3"/>
      <c r="CWK30" s="3"/>
      <c r="CWL30" s="3"/>
      <c r="CWM30" s="3"/>
      <c r="CWN30" s="3"/>
      <c r="CWO30" s="3"/>
      <c r="CWP30" s="3"/>
      <c r="CWQ30" s="3"/>
      <c r="CWR30" s="3"/>
      <c r="CWS30" s="3"/>
      <c r="CWT30" s="3"/>
      <c r="CWU30" s="3"/>
      <c r="CWV30" s="3"/>
      <c r="CWW30" s="3"/>
      <c r="CWX30" s="3"/>
      <c r="CWY30" s="3"/>
      <c r="CWZ30" s="3"/>
      <c r="CXA30" s="3"/>
      <c r="CXB30" s="3"/>
      <c r="CXC30" s="3"/>
      <c r="CXD30" s="3"/>
      <c r="CXE30" s="3"/>
      <c r="CXF30" s="3"/>
      <c r="CXG30" s="3"/>
      <c r="CXH30" s="3"/>
      <c r="CXI30" s="3"/>
      <c r="CXJ30" s="3"/>
      <c r="CXK30" s="3"/>
      <c r="CXL30" s="3"/>
      <c r="CXM30" s="3"/>
      <c r="CXN30" s="3"/>
      <c r="CXO30" s="3"/>
      <c r="CXP30" s="3"/>
      <c r="CXQ30" s="3"/>
      <c r="CXR30" s="3"/>
      <c r="CXS30" s="3"/>
      <c r="CXT30" s="3"/>
      <c r="CXU30" s="3"/>
      <c r="CXV30" s="3"/>
      <c r="CXW30" s="3"/>
      <c r="CXX30" s="3"/>
      <c r="CXY30" s="3"/>
      <c r="CXZ30" s="3"/>
      <c r="CYA30" s="3"/>
      <c r="CYB30" s="3"/>
      <c r="CYC30" s="3"/>
      <c r="CYD30" s="3"/>
      <c r="CYE30" s="3"/>
      <c r="CYF30" s="3"/>
      <c r="CYG30" s="3"/>
      <c r="CYH30" s="3"/>
      <c r="CYI30" s="3"/>
      <c r="CYJ30" s="3"/>
      <c r="CYK30" s="3"/>
      <c r="CYL30" s="3"/>
      <c r="CYM30" s="3"/>
      <c r="CYN30" s="3"/>
      <c r="CYO30" s="3"/>
      <c r="CYP30" s="3"/>
      <c r="CYQ30" s="3"/>
      <c r="CYR30" s="3"/>
      <c r="CYS30" s="3"/>
      <c r="CYT30" s="3"/>
      <c r="CYU30" s="3"/>
      <c r="CYV30" s="3"/>
      <c r="CYW30" s="3"/>
      <c r="CYX30" s="3"/>
      <c r="CYY30" s="3"/>
      <c r="CYZ30" s="3"/>
      <c r="CZA30" s="3"/>
      <c r="CZB30" s="3"/>
      <c r="CZC30" s="3"/>
      <c r="CZD30" s="3"/>
      <c r="CZE30" s="3"/>
      <c r="CZF30" s="3"/>
      <c r="CZG30" s="3"/>
      <c r="CZH30" s="3"/>
      <c r="CZI30" s="3"/>
      <c r="CZJ30" s="3"/>
      <c r="CZK30" s="3"/>
      <c r="CZL30" s="3"/>
      <c r="CZM30" s="3"/>
      <c r="CZN30" s="3"/>
      <c r="CZO30" s="3"/>
      <c r="CZP30" s="3"/>
      <c r="CZQ30" s="3"/>
      <c r="CZR30" s="3"/>
      <c r="CZS30" s="3"/>
      <c r="CZT30" s="3"/>
      <c r="CZU30" s="3"/>
      <c r="CZV30" s="3"/>
      <c r="CZW30" s="3"/>
      <c r="CZX30" s="3"/>
      <c r="CZY30" s="3"/>
      <c r="CZZ30" s="3"/>
      <c r="DAA30" s="3"/>
      <c r="DAB30" s="3"/>
      <c r="DAC30" s="3"/>
      <c r="DAD30" s="3"/>
      <c r="DAE30" s="3"/>
      <c r="DAF30" s="3"/>
      <c r="DAG30" s="3"/>
      <c r="DAH30" s="3"/>
      <c r="DAI30" s="3"/>
      <c r="DAJ30" s="3"/>
      <c r="DAK30" s="3"/>
      <c r="DAL30" s="3"/>
      <c r="DAM30" s="3"/>
      <c r="DAN30" s="3"/>
      <c r="DAO30" s="3"/>
      <c r="DAP30" s="3"/>
      <c r="DAQ30" s="3"/>
      <c r="DAR30" s="3"/>
      <c r="DAS30" s="3"/>
      <c r="DAT30" s="3"/>
      <c r="DAU30" s="3"/>
      <c r="DAV30" s="3"/>
      <c r="DAW30" s="3"/>
      <c r="DAX30" s="3"/>
      <c r="DAY30" s="3"/>
      <c r="DAZ30" s="3"/>
      <c r="DBA30" s="3"/>
      <c r="DBB30" s="3"/>
      <c r="DBC30" s="3"/>
      <c r="DBD30" s="3"/>
      <c r="DBE30" s="3"/>
      <c r="DBF30" s="3"/>
      <c r="DBG30" s="3"/>
      <c r="DBH30" s="3"/>
      <c r="DBI30" s="3"/>
      <c r="DBJ30" s="3"/>
      <c r="DBK30" s="3"/>
      <c r="DBL30" s="3"/>
      <c r="DBM30" s="3"/>
      <c r="DBN30" s="3"/>
      <c r="DBO30" s="3"/>
      <c r="DBP30" s="3"/>
      <c r="DBQ30" s="3"/>
      <c r="DBR30" s="3"/>
      <c r="DBS30" s="3"/>
      <c r="DBT30" s="3"/>
      <c r="DBU30" s="3"/>
      <c r="DBV30" s="3"/>
      <c r="DBW30" s="3"/>
      <c r="DBX30" s="3"/>
      <c r="DBY30" s="3"/>
      <c r="DBZ30" s="3"/>
      <c r="DCA30" s="3"/>
      <c r="DCB30" s="3"/>
      <c r="DCC30" s="3"/>
      <c r="DCD30" s="3"/>
      <c r="DCE30" s="3"/>
      <c r="DCF30" s="3"/>
      <c r="DCG30" s="3"/>
      <c r="DCH30" s="3"/>
      <c r="DCI30" s="3"/>
      <c r="DCJ30" s="3"/>
      <c r="DCK30" s="3"/>
      <c r="DCL30" s="3"/>
      <c r="DCM30" s="3"/>
      <c r="DCN30" s="3"/>
      <c r="DCO30" s="3"/>
      <c r="DCP30" s="3"/>
      <c r="DCQ30" s="3"/>
      <c r="DCR30" s="3"/>
      <c r="DCS30" s="3"/>
      <c r="DCT30" s="3"/>
      <c r="DCU30" s="3"/>
      <c r="DCV30" s="3"/>
      <c r="DCW30" s="3"/>
      <c r="DCX30" s="3"/>
      <c r="DCY30" s="3"/>
      <c r="DCZ30" s="3"/>
      <c r="DDA30" s="3"/>
      <c r="DDB30" s="3"/>
      <c r="DDC30" s="3"/>
      <c r="DDD30" s="3"/>
      <c r="DDE30" s="3"/>
      <c r="DDF30" s="3"/>
      <c r="DDG30" s="3"/>
      <c r="DDH30" s="3"/>
      <c r="DDI30" s="3"/>
      <c r="DDJ30" s="3"/>
      <c r="DDK30" s="3"/>
      <c r="DDL30" s="3"/>
      <c r="DDM30" s="3"/>
      <c r="DDN30" s="3"/>
      <c r="DDO30" s="3"/>
      <c r="DDP30" s="3"/>
      <c r="DDQ30" s="3"/>
      <c r="DDR30" s="3"/>
      <c r="DDS30" s="3"/>
      <c r="DDT30" s="3"/>
      <c r="DDU30" s="3"/>
      <c r="DDV30" s="3"/>
      <c r="DDW30" s="3"/>
      <c r="DDX30" s="3"/>
      <c r="DDY30" s="3"/>
      <c r="DDZ30" s="3"/>
      <c r="DEA30" s="3"/>
      <c r="DEB30" s="3"/>
      <c r="DEC30" s="3"/>
      <c r="DED30" s="3"/>
      <c r="DEE30" s="3"/>
      <c r="DEF30" s="3"/>
      <c r="DEG30" s="3"/>
      <c r="DEH30" s="3"/>
      <c r="DEI30" s="3"/>
      <c r="DEJ30" s="3"/>
      <c r="DEK30" s="3"/>
      <c r="DEL30" s="3"/>
      <c r="DEM30" s="3"/>
      <c r="DEN30" s="3"/>
      <c r="DEO30" s="3"/>
      <c r="DEP30" s="3"/>
      <c r="DEQ30" s="3"/>
      <c r="DER30" s="3"/>
      <c r="DES30" s="3"/>
      <c r="DET30" s="3"/>
      <c r="DEU30" s="3"/>
      <c r="DEV30" s="3"/>
      <c r="DEW30" s="3"/>
      <c r="DEX30" s="3"/>
      <c r="DEY30" s="3"/>
      <c r="DEZ30" s="3"/>
      <c r="DFA30" s="3"/>
      <c r="DFB30" s="3"/>
      <c r="DFC30" s="3"/>
      <c r="DFD30" s="3"/>
      <c r="DFE30" s="3"/>
      <c r="DFF30" s="3"/>
      <c r="DFG30" s="3"/>
      <c r="DFH30" s="3"/>
      <c r="DFI30" s="3"/>
      <c r="DFJ30" s="3"/>
      <c r="DFK30" s="3"/>
      <c r="DFL30" s="3"/>
      <c r="DFM30" s="3"/>
      <c r="DFN30" s="3"/>
      <c r="DFO30" s="3"/>
      <c r="DFP30" s="3"/>
      <c r="DFQ30" s="3"/>
      <c r="DFR30" s="3"/>
      <c r="DFS30" s="3"/>
      <c r="DFT30" s="3"/>
      <c r="DFU30" s="3"/>
      <c r="DFV30" s="3"/>
      <c r="DFW30" s="3"/>
      <c r="DFX30" s="3"/>
      <c r="DFY30" s="3"/>
      <c r="DFZ30" s="3"/>
      <c r="DGA30" s="3"/>
      <c r="DGB30" s="3"/>
      <c r="DGC30" s="3"/>
      <c r="DGD30" s="3"/>
      <c r="DGE30" s="3"/>
      <c r="DGF30" s="3"/>
      <c r="DGG30" s="3"/>
      <c r="DGH30" s="3"/>
      <c r="DGI30" s="3"/>
      <c r="DGJ30" s="3"/>
      <c r="DGK30" s="3"/>
      <c r="DGL30" s="3"/>
      <c r="DGM30" s="3"/>
      <c r="DGN30" s="3"/>
      <c r="DGO30" s="3"/>
      <c r="DGP30" s="3"/>
      <c r="DGQ30" s="3"/>
      <c r="DGR30" s="3"/>
      <c r="DGS30" s="3"/>
      <c r="DGT30" s="3"/>
      <c r="DGU30" s="3"/>
      <c r="DGV30" s="3"/>
      <c r="DGW30" s="3"/>
      <c r="DGX30" s="3"/>
      <c r="DGY30" s="3"/>
      <c r="DGZ30" s="3"/>
      <c r="DHA30" s="3"/>
      <c r="DHB30" s="3"/>
      <c r="DHC30" s="3"/>
      <c r="DHD30" s="3"/>
      <c r="DHE30" s="3"/>
      <c r="DHF30" s="3"/>
      <c r="DHG30" s="3"/>
      <c r="DHH30" s="3"/>
      <c r="DHI30" s="3"/>
      <c r="DHJ30" s="3"/>
      <c r="DHK30" s="3"/>
      <c r="DHL30" s="3"/>
      <c r="DHM30" s="3"/>
      <c r="DHN30" s="3"/>
      <c r="DHO30" s="3"/>
      <c r="DHP30" s="3"/>
      <c r="DHQ30" s="3"/>
      <c r="DHR30" s="3"/>
      <c r="DHS30" s="3"/>
      <c r="DHT30" s="3"/>
      <c r="DHU30" s="3"/>
      <c r="DHV30" s="3"/>
      <c r="DHW30" s="3"/>
      <c r="DHX30" s="3"/>
      <c r="DHY30" s="3"/>
      <c r="DHZ30" s="3"/>
      <c r="DIA30" s="3"/>
      <c r="DIB30" s="3"/>
      <c r="DIC30" s="3"/>
      <c r="DID30" s="3"/>
      <c r="DIE30" s="3"/>
      <c r="DIF30" s="3"/>
      <c r="DIG30" s="3"/>
      <c r="DIH30" s="3"/>
      <c r="DII30" s="3"/>
      <c r="DIJ30" s="3"/>
      <c r="DIK30" s="3"/>
      <c r="DIL30" s="3"/>
      <c r="DIM30" s="3"/>
      <c r="DIN30" s="3"/>
      <c r="DIO30" s="3"/>
      <c r="DIP30" s="3"/>
      <c r="DIQ30" s="3"/>
      <c r="DIR30" s="3"/>
      <c r="DIS30" s="3"/>
      <c r="DIT30" s="3"/>
      <c r="DIU30" s="3"/>
      <c r="DIV30" s="3"/>
      <c r="DIW30" s="3"/>
      <c r="DIX30" s="3"/>
      <c r="DIY30" s="3"/>
      <c r="DIZ30" s="3"/>
      <c r="DJA30" s="3"/>
      <c r="DJB30" s="3"/>
      <c r="DJC30" s="3"/>
      <c r="DJD30" s="3"/>
      <c r="DJE30" s="3"/>
      <c r="DJF30" s="3"/>
      <c r="DJG30" s="3"/>
      <c r="DJH30" s="3"/>
      <c r="DJI30" s="3"/>
      <c r="DJJ30" s="3"/>
      <c r="DJK30" s="3"/>
      <c r="DJL30" s="3"/>
      <c r="DJM30" s="3"/>
      <c r="DJN30" s="3"/>
      <c r="DJO30" s="3"/>
      <c r="DJP30" s="3"/>
      <c r="DJQ30" s="3"/>
      <c r="DJR30" s="3"/>
      <c r="DJS30" s="3"/>
      <c r="DJT30" s="3"/>
      <c r="DJU30" s="3"/>
      <c r="DJV30" s="3"/>
      <c r="DJW30" s="3"/>
      <c r="DJX30" s="3"/>
      <c r="DJY30" s="3"/>
      <c r="DJZ30" s="3"/>
      <c r="DKA30" s="3"/>
      <c r="DKB30" s="3"/>
      <c r="DKC30" s="3"/>
      <c r="DKD30" s="3"/>
      <c r="DKE30" s="3"/>
      <c r="DKF30" s="3"/>
      <c r="DKG30" s="3"/>
      <c r="DKH30" s="3"/>
      <c r="DKI30" s="3"/>
      <c r="DKJ30" s="3"/>
      <c r="DKK30" s="3"/>
      <c r="DKL30" s="3"/>
      <c r="DKM30" s="3"/>
      <c r="DKN30" s="3"/>
      <c r="DKO30" s="3"/>
      <c r="DKP30" s="3"/>
      <c r="DKQ30" s="3"/>
      <c r="DKR30" s="3"/>
      <c r="DKS30" s="3"/>
      <c r="DKT30" s="3"/>
      <c r="DKU30" s="3"/>
      <c r="DKV30" s="3"/>
      <c r="DKW30" s="3"/>
      <c r="DKX30" s="3"/>
      <c r="DKY30" s="3"/>
      <c r="DKZ30" s="3"/>
      <c r="DLA30" s="3"/>
      <c r="DLB30" s="3"/>
      <c r="DLC30" s="3"/>
      <c r="DLD30" s="3"/>
      <c r="DLE30" s="3"/>
      <c r="DLF30" s="3"/>
      <c r="DLG30" s="3"/>
      <c r="DLH30" s="3"/>
      <c r="DLI30" s="3"/>
      <c r="DLJ30" s="3"/>
      <c r="DLK30" s="3"/>
      <c r="DLL30" s="3"/>
      <c r="DLM30" s="3"/>
      <c r="DLN30" s="3"/>
      <c r="DLO30" s="3"/>
      <c r="DLP30" s="3"/>
      <c r="DLQ30" s="3"/>
      <c r="DLR30" s="3"/>
      <c r="DLS30" s="3"/>
      <c r="DLT30" s="3"/>
      <c r="DLU30" s="3"/>
      <c r="DLV30" s="3"/>
      <c r="DLW30" s="3"/>
      <c r="DLX30" s="3"/>
      <c r="DLY30" s="3"/>
      <c r="DLZ30" s="3"/>
      <c r="DMA30" s="3"/>
      <c r="DMB30" s="3"/>
      <c r="DMC30" s="3"/>
      <c r="DMD30" s="3"/>
      <c r="DME30" s="3"/>
      <c r="DMF30" s="3"/>
      <c r="DMG30" s="3"/>
      <c r="DMH30" s="3"/>
      <c r="DMI30" s="3"/>
      <c r="DMJ30" s="3"/>
      <c r="DMK30" s="3"/>
      <c r="DML30" s="3"/>
      <c r="DMM30" s="3"/>
      <c r="DMN30" s="3"/>
      <c r="DMO30" s="3"/>
      <c r="DMP30" s="3"/>
      <c r="DMQ30" s="3"/>
      <c r="DMR30" s="3"/>
      <c r="DMS30" s="3"/>
      <c r="DMT30" s="3"/>
      <c r="DMU30" s="3"/>
      <c r="DMV30" s="3"/>
      <c r="DMW30" s="3"/>
      <c r="DMX30" s="3"/>
      <c r="DMY30" s="3"/>
      <c r="DMZ30" s="3"/>
      <c r="DNA30" s="3"/>
      <c r="DNB30" s="3"/>
      <c r="DNC30" s="3"/>
      <c r="DND30" s="3"/>
      <c r="DNE30" s="3"/>
      <c r="DNF30" s="3"/>
      <c r="DNG30" s="3"/>
      <c r="DNH30" s="3"/>
      <c r="DNI30" s="3"/>
      <c r="DNJ30" s="3"/>
      <c r="DNK30" s="3"/>
      <c r="DNL30" s="3"/>
      <c r="DNM30" s="3"/>
      <c r="DNN30" s="3"/>
      <c r="DNO30" s="3"/>
      <c r="DNP30" s="3"/>
      <c r="DNQ30" s="3"/>
      <c r="DNR30" s="3"/>
      <c r="DNS30" s="3"/>
      <c r="DNT30" s="3"/>
      <c r="DNU30" s="3"/>
      <c r="DNV30" s="3"/>
      <c r="DNW30" s="3"/>
      <c r="DNX30" s="3"/>
      <c r="DNY30" s="3"/>
      <c r="DNZ30" s="3"/>
      <c r="DOA30" s="3"/>
      <c r="DOB30" s="3"/>
      <c r="DOC30" s="3"/>
      <c r="DOD30" s="3"/>
      <c r="DOE30" s="3"/>
      <c r="DOF30" s="3"/>
      <c r="DOG30" s="3"/>
      <c r="DOH30" s="3"/>
      <c r="DOI30" s="3"/>
      <c r="DOJ30" s="3"/>
      <c r="DOK30" s="3"/>
      <c r="DOL30" s="3"/>
      <c r="DOM30" s="3"/>
      <c r="DON30" s="3"/>
      <c r="DOO30" s="3"/>
      <c r="DOP30" s="3"/>
      <c r="DOQ30" s="3"/>
      <c r="DOR30" s="3"/>
      <c r="DOS30" s="3"/>
      <c r="DOT30" s="3"/>
      <c r="DOU30" s="3"/>
      <c r="DOV30" s="3"/>
      <c r="DOW30" s="3"/>
      <c r="DOX30" s="3"/>
      <c r="DOY30" s="3"/>
      <c r="DOZ30" s="3"/>
      <c r="DPA30" s="3"/>
      <c r="DPB30" s="3"/>
      <c r="DPC30" s="3"/>
      <c r="DPD30" s="3"/>
      <c r="DPE30" s="3"/>
      <c r="DPF30" s="3"/>
      <c r="DPG30" s="3"/>
      <c r="DPH30" s="3"/>
      <c r="DPI30" s="3"/>
      <c r="DPJ30" s="3"/>
      <c r="DPK30" s="3"/>
      <c r="DPL30" s="3"/>
      <c r="DPM30" s="3"/>
      <c r="DPN30" s="3"/>
      <c r="DPO30" s="3"/>
      <c r="DPP30" s="3"/>
      <c r="DPQ30" s="3"/>
      <c r="DPR30" s="3"/>
      <c r="DPS30" s="3"/>
      <c r="DPT30" s="3"/>
      <c r="DPU30" s="3"/>
      <c r="DPV30" s="3"/>
      <c r="DPW30" s="3"/>
      <c r="DPX30" s="3"/>
      <c r="DPY30" s="3"/>
      <c r="DPZ30" s="3"/>
      <c r="DQA30" s="3"/>
      <c r="DQB30" s="3"/>
      <c r="DQC30" s="3"/>
      <c r="DQD30" s="3"/>
      <c r="DQE30" s="3"/>
      <c r="DQF30" s="3"/>
      <c r="DQG30" s="3"/>
      <c r="DQH30" s="3"/>
      <c r="DQI30" s="3"/>
      <c r="DQJ30" s="3"/>
      <c r="DQK30" s="3"/>
      <c r="DQL30" s="3"/>
      <c r="DQM30" s="3"/>
      <c r="DQN30" s="3"/>
      <c r="DQO30" s="3"/>
      <c r="DQP30" s="3"/>
      <c r="DQQ30" s="3"/>
      <c r="DQR30" s="3"/>
      <c r="DQS30" s="3"/>
      <c r="DQT30" s="3"/>
      <c r="DQU30" s="3"/>
      <c r="DQV30" s="3"/>
      <c r="DQW30" s="3"/>
      <c r="DQX30" s="3"/>
      <c r="DQY30" s="3"/>
      <c r="DQZ30" s="3"/>
      <c r="DRA30" s="3"/>
      <c r="DRB30" s="3"/>
      <c r="DRC30" s="3"/>
      <c r="DRD30" s="3"/>
      <c r="DRE30" s="3"/>
      <c r="DRF30" s="3"/>
      <c r="DRG30" s="3"/>
      <c r="DRH30" s="3"/>
      <c r="DRI30" s="3"/>
      <c r="DRJ30" s="3"/>
      <c r="DRK30" s="3"/>
      <c r="DRL30" s="3"/>
      <c r="DRM30" s="3"/>
      <c r="DRN30" s="3"/>
      <c r="DRO30" s="3"/>
      <c r="DRP30" s="3"/>
      <c r="DRQ30" s="3"/>
      <c r="DRR30" s="3"/>
      <c r="DRS30" s="3"/>
      <c r="DRT30" s="3"/>
      <c r="DRU30" s="3"/>
      <c r="DRV30" s="3"/>
      <c r="DRW30" s="3"/>
      <c r="DRX30" s="3"/>
      <c r="DRY30" s="3"/>
      <c r="DRZ30" s="3"/>
      <c r="DSA30" s="3"/>
      <c r="DSB30" s="3"/>
      <c r="DSC30" s="3"/>
      <c r="DSD30" s="3"/>
      <c r="DSE30" s="3"/>
      <c r="DSF30" s="3"/>
      <c r="DSG30" s="3"/>
      <c r="DSH30" s="3"/>
      <c r="DSI30" s="3"/>
      <c r="DSJ30" s="3"/>
      <c r="DSK30" s="3"/>
      <c r="DSL30" s="3"/>
      <c r="DSM30" s="3"/>
      <c r="DSN30" s="3"/>
      <c r="DSO30" s="3"/>
      <c r="DSP30" s="3"/>
      <c r="DSQ30" s="3"/>
      <c r="DSR30" s="3"/>
      <c r="DSS30" s="3"/>
      <c r="DST30" s="3"/>
      <c r="DSU30" s="3"/>
      <c r="DSV30" s="3"/>
      <c r="DSW30" s="3"/>
      <c r="DSX30" s="3"/>
      <c r="DSY30" s="3"/>
      <c r="DSZ30" s="3"/>
      <c r="DTA30" s="3"/>
      <c r="DTB30" s="3"/>
      <c r="DTC30" s="3"/>
      <c r="DTD30" s="3"/>
      <c r="DTE30" s="3"/>
      <c r="DTF30" s="3"/>
      <c r="DTG30" s="3"/>
      <c r="DTH30" s="3"/>
      <c r="DTI30" s="3"/>
      <c r="DTJ30" s="3"/>
      <c r="DTK30" s="3"/>
      <c r="DTL30" s="3"/>
      <c r="DTM30" s="3"/>
      <c r="DTN30" s="3"/>
      <c r="DTO30" s="3"/>
      <c r="DTP30" s="3"/>
      <c r="DTQ30" s="3"/>
      <c r="DTR30" s="3"/>
      <c r="DTS30" s="3"/>
      <c r="DTT30" s="3"/>
      <c r="DTU30" s="3"/>
      <c r="DTV30" s="3"/>
      <c r="DTW30" s="3"/>
      <c r="DTX30" s="3"/>
      <c r="DTY30" s="3"/>
      <c r="DTZ30" s="3"/>
      <c r="DUA30" s="3"/>
      <c r="DUB30" s="3"/>
      <c r="DUC30" s="3"/>
      <c r="DUD30" s="3"/>
      <c r="DUE30" s="3"/>
      <c r="DUF30" s="3"/>
      <c r="DUG30" s="3"/>
      <c r="DUH30" s="3"/>
      <c r="DUI30" s="3"/>
      <c r="DUJ30" s="3"/>
      <c r="DUK30" s="3"/>
      <c r="DUL30" s="3"/>
      <c r="DUM30" s="3"/>
      <c r="DUN30" s="3"/>
      <c r="DUO30" s="3"/>
      <c r="DUP30" s="3"/>
      <c r="DUQ30" s="3"/>
      <c r="DUR30" s="3"/>
      <c r="DUS30" s="3"/>
      <c r="DUT30" s="3"/>
      <c r="DUU30" s="3"/>
      <c r="DUV30" s="3"/>
      <c r="DUW30" s="3"/>
      <c r="DUX30" s="3"/>
      <c r="DUY30" s="3"/>
      <c r="DUZ30" s="3"/>
      <c r="DVA30" s="3"/>
      <c r="DVB30" s="3"/>
      <c r="DVC30" s="3"/>
      <c r="DVD30" s="3"/>
      <c r="DVE30" s="3"/>
      <c r="DVF30" s="3"/>
      <c r="DVG30" s="3"/>
      <c r="DVH30" s="3"/>
      <c r="DVI30" s="3"/>
      <c r="DVJ30" s="3"/>
      <c r="DVK30" s="3"/>
      <c r="DVL30" s="3"/>
      <c r="DVM30" s="3"/>
      <c r="DVN30" s="3"/>
      <c r="DVO30" s="3"/>
      <c r="DVP30" s="3"/>
      <c r="DVQ30" s="3"/>
      <c r="DVR30" s="3"/>
      <c r="DVS30" s="3"/>
      <c r="DVT30" s="3"/>
      <c r="DVU30" s="3"/>
      <c r="DVV30" s="3"/>
      <c r="DVW30" s="3"/>
      <c r="DVX30" s="3"/>
      <c r="DVY30" s="3"/>
      <c r="DVZ30" s="3"/>
      <c r="DWA30" s="3"/>
      <c r="DWB30" s="3"/>
      <c r="DWC30" s="3"/>
      <c r="DWD30" s="3"/>
      <c r="DWE30" s="3"/>
      <c r="DWF30" s="3"/>
      <c r="DWG30" s="3"/>
      <c r="DWH30" s="3"/>
      <c r="DWI30" s="3"/>
      <c r="DWJ30" s="3"/>
      <c r="DWK30" s="3"/>
      <c r="DWL30" s="3"/>
      <c r="DWM30" s="3"/>
      <c r="DWN30" s="3"/>
      <c r="DWO30" s="3"/>
      <c r="DWP30" s="3"/>
      <c r="DWQ30" s="3"/>
      <c r="DWR30" s="3"/>
      <c r="DWS30" s="3"/>
      <c r="DWT30" s="3"/>
      <c r="DWU30" s="3"/>
      <c r="DWV30" s="3"/>
      <c r="DWW30" s="3"/>
      <c r="DWX30" s="3"/>
      <c r="DWY30" s="3"/>
      <c r="DWZ30" s="3"/>
      <c r="DXA30" s="3"/>
      <c r="DXB30" s="3"/>
      <c r="DXC30" s="3"/>
      <c r="DXD30" s="3"/>
      <c r="DXE30" s="3"/>
      <c r="DXF30" s="3"/>
      <c r="DXG30" s="3"/>
      <c r="DXH30" s="3"/>
      <c r="DXI30" s="3"/>
      <c r="DXJ30" s="3"/>
      <c r="DXK30" s="3"/>
      <c r="DXL30" s="3"/>
      <c r="DXM30" s="3"/>
      <c r="DXN30" s="3"/>
      <c r="DXO30" s="3"/>
      <c r="DXP30" s="3"/>
      <c r="DXQ30" s="3"/>
      <c r="DXR30" s="3"/>
      <c r="DXS30" s="3"/>
      <c r="DXT30" s="3"/>
      <c r="DXU30" s="3"/>
      <c r="DXV30" s="3"/>
      <c r="DXW30" s="3"/>
      <c r="DXX30" s="3"/>
      <c r="DXY30" s="3"/>
      <c r="DXZ30" s="3"/>
      <c r="DYA30" s="3"/>
      <c r="DYB30" s="3"/>
      <c r="DYC30" s="3"/>
      <c r="DYD30" s="3"/>
      <c r="DYE30" s="3"/>
      <c r="DYF30" s="3"/>
      <c r="DYG30" s="3"/>
      <c r="DYH30" s="3"/>
      <c r="DYI30" s="3"/>
      <c r="DYJ30" s="3"/>
      <c r="DYK30" s="3"/>
      <c r="DYL30" s="3"/>
      <c r="DYM30" s="3"/>
      <c r="DYN30" s="3"/>
      <c r="DYO30" s="3"/>
      <c r="DYP30" s="3"/>
      <c r="DYQ30" s="3"/>
      <c r="DYR30" s="3"/>
      <c r="DYS30" s="3"/>
      <c r="DYT30" s="3"/>
      <c r="DYU30" s="3"/>
      <c r="DYV30" s="3"/>
      <c r="DYW30" s="3"/>
      <c r="DYX30" s="3"/>
      <c r="DYY30" s="3"/>
      <c r="DYZ30" s="3"/>
      <c r="DZA30" s="3"/>
      <c r="DZB30" s="3"/>
      <c r="DZC30" s="3"/>
      <c r="DZD30" s="3"/>
      <c r="DZE30" s="3"/>
      <c r="DZF30" s="3"/>
      <c r="DZG30" s="3"/>
      <c r="DZH30" s="3"/>
      <c r="DZI30" s="3"/>
      <c r="DZJ30" s="3"/>
      <c r="DZK30" s="3"/>
      <c r="DZL30" s="3"/>
      <c r="DZM30" s="3"/>
      <c r="DZN30" s="3"/>
      <c r="DZO30" s="3"/>
      <c r="DZP30" s="3"/>
      <c r="DZQ30" s="3"/>
      <c r="DZR30" s="3"/>
      <c r="DZS30" s="3"/>
      <c r="DZT30" s="3"/>
      <c r="DZU30" s="3"/>
      <c r="DZV30" s="3"/>
      <c r="DZW30" s="3"/>
      <c r="DZX30" s="3"/>
      <c r="DZY30" s="3"/>
      <c r="DZZ30" s="3"/>
      <c r="EAA30" s="3"/>
      <c r="EAB30" s="3"/>
      <c r="EAC30" s="3"/>
      <c r="EAD30" s="3"/>
      <c r="EAE30" s="3"/>
      <c r="EAF30" s="3"/>
      <c r="EAG30" s="3"/>
      <c r="EAH30" s="3"/>
      <c r="EAI30" s="3"/>
      <c r="EAJ30" s="3"/>
      <c r="EAK30" s="3"/>
      <c r="EAL30" s="3"/>
      <c r="EAM30" s="3"/>
      <c r="EAN30" s="3"/>
      <c r="EAO30" s="3"/>
      <c r="EAP30" s="3"/>
      <c r="EAQ30" s="3"/>
      <c r="EAR30" s="3"/>
      <c r="EAS30" s="3"/>
      <c r="EAT30" s="3"/>
      <c r="EAU30" s="3"/>
      <c r="EAV30" s="3"/>
      <c r="EAW30" s="3"/>
      <c r="EAX30" s="3"/>
      <c r="EAY30" s="3"/>
      <c r="EAZ30" s="3"/>
      <c r="EBA30" s="3"/>
      <c r="EBB30" s="3"/>
      <c r="EBC30" s="3"/>
      <c r="EBD30" s="3"/>
      <c r="EBE30" s="3"/>
      <c r="EBF30" s="3"/>
      <c r="EBG30" s="3"/>
      <c r="EBH30" s="3"/>
      <c r="EBI30" s="3"/>
      <c r="EBJ30" s="3"/>
      <c r="EBK30" s="3"/>
      <c r="EBL30" s="3"/>
      <c r="EBM30" s="3"/>
      <c r="EBN30" s="3"/>
      <c r="EBO30" s="3"/>
      <c r="EBP30" s="3"/>
      <c r="EBQ30" s="3"/>
      <c r="EBR30" s="3"/>
      <c r="EBS30" s="3"/>
      <c r="EBT30" s="3"/>
      <c r="EBU30" s="3"/>
      <c r="EBV30" s="3"/>
      <c r="EBW30" s="3"/>
      <c r="EBX30" s="3"/>
      <c r="EBY30" s="3"/>
      <c r="EBZ30" s="3"/>
      <c r="ECA30" s="3"/>
      <c r="ECB30" s="3"/>
      <c r="ECC30" s="3"/>
      <c r="ECD30" s="3"/>
      <c r="ECE30" s="3"/>
      <c r="ECF30" s="3"/>
      <c r="ECG30" s="3"/>
      <c r="ECH30" s="3"/>
      <c r="ECI30" s="3"/>
      <c r="ECJ30" s="3"/>
      <c r="ECK30" s="3"/>
      <c r="ECL30" s="3"/>
      <c r="ECM30" s="3"/>
      <c r="ECN30" s="3"/>
      <c r="ECO30" s="3"/>
      <c r="ECP30" s="3"/>
      <c r="ECQ30" s="3"/>
      <c r="ECR30" s="3"/>
      <c r="ECS30" s="3"/>
      <c r="ECT30" s="3"/>
      <c r="ECU30" s="3"/>
      <c r="ECV30" s="3"/>
      <c r="ECW30" s="3"/>
      <c r="ECX30" s="3"/>
      <c r="ECY30" s="3"/>
      <c r="ECZ30" s="3"/>
      <c r="EDA30" s="3"/>
      <c r="EDB30" s="3"/>
      <c r="EDC30" s="3"/>
      <c r="EDD30" s="3"/>
      <c r="EDE30" s="3"/>
      <c r="EDF30" s="3"/>
      <c r="EDG30" s="3"/>
      <c r="EDH30" s="3"/>
      <c r="EDI30" s="3"/>
      <c r="EDJ30" s="3"/>
      <c r="EDK30" s="3"/>
      <c r="EDL30" s="3"/>
      <c r="EDM30" s="3"/>
      <c r="EDN30" s="3"/>
      <c r="EDO30" s="3"/>
      <c r="EDP30" s="3"/>
      <c r="EDQ30" s="3"/>
      <c r="EDR30" s="3"/>
      <c r="EDS30" s="3"/>
      <c r="EDT30" s="3"/>
      <c r="EDU30" s="3"/>
      <c r="EDV30" s="3"/>
      <c r="EDW30" s="3"/>
      <c r="EDX30" s="3"/>
      <c r="EDY30" s="3"/>
      <c r="EDZ30" s="3"/>
      <c r="EEA30" s="3"/>
      <c r="EEB30" s="3"/>
      <c r="EEC30" s="3"/>
      <c r="EED30" s="3"/>
      <c r="EEE30" s="3"/>
      <c r="EEF30" s="3"/>
      <c r="EEG30" s="3"/>
      <c r="EEH30" s="3"/>
      <c r="EEI30" s="3"/>
      <c r="EEJ30" s="3"/>
      <c r="EEK30" s="3"/>
      <c r="EEL30" s="3"/>
      <c r="EEM30" s="3"/>
      <c r="EEN30" s="3"/>
      <c r="EEO30" s="3"/>
      <c r="EEP30" s="3"/>
      <c r="EEQ30" s="3"/>
      <c r="EER30" s="3"/>
      <c r="EES30" s="3"/>
      <c r="EET30" s="3"/>
      <c r="EEU30" s="3"/>
      <c r="EEV30" s="3"/>
      <c r="EEW30" s="3"/>
      <c r="EEX30" s="3"/>
      <c r="EEY30" s="3"/>
      <c r="EEZ30" s="3"/>
      <c r="EFA30" s="3"/>
      <c r="EFB30" s="3"/>
      <c r="EFC30" s="3"/>
      <c r="EFD30" s="3"/>
      <c r="EFE30" s="3"/>
      <c r="EFF30" s="3"/>
      <c r="EFG30" s="3"/>
      <c r="EFH30" s="3"/>
      <c r="EFI30" s="3"/>
      <c r="EFJ30" s="3"/>
      <c r="EFK30" s="3"/>
      <c r="EFL30" s="3"/>
      <c r="EFM30" s="3"/>
      <c r="EFN30" s="3"/>
      <c r="EFO30" s="3"/>
      <c r="EFP30" s="3"/>
      <c r="EFQ30" s="3"/>
      <c r="EFR30" s="3"/>
      <c r="EFS30" s="3"/>
      <c r="EFT30" s="3"/>
      <c r="EFU30" s="3"/>
      <c r="EFV30" s="3"/>
      <c r="EFW30" s="3"/>
      <c r="EFX30" s="3"/>
      <c r="EFY30" s="3"/>
      <c r="EFZ30" s="3"/>
      <c r="EGA30" s="3"/>
      <c r="EGB30" s="3"/>
      <c r="EGC30" s="3"/>
      <c r="EGD30" s="3"/>
      <c r="EGE30" s="3"/>
      <c r="EGF30" s="3"/>
      <c r="EGG30" s="3"/>
      <c r="EGH30" s="3"/>
      <c r="EGI30" s="3"/>
      <c r="EGJ30" s="3"/>
      <c r="EGK30" s="3"/>
      <c r="EGL30" s="3"/>
      <c r="EGM30" s="3"/>
      <c r="EGN30" s="3"/>
      <c r="EGO30" s="3"/>
      <c r="EGP30" s="3"/>
      <c r="EGQ30" s="3"/>
      <c r="EGR30" s="3"/>
      <c r="EGS30" s="3"/>
      <c r="EGT30" s="3"/>
      <c r="EGU30" s="3"/>
      <c r="EGV30" s="3"/>
      <c r="EGW30" s="3"/>
      <c r="EGX30" s="3"/>
      <c r="EGY30" s="3"/>
      <c r="EGZ30" s="3"/>
      <c r="EHA30" s="3"/>
      <c r="EHB30" s="3"/>
      <c r="EHC30" s="3"/>
      <c r="EHD30" s="3"/>
      <c r="EHE30" s="3"/>
      <c r="EHF30" s="3"/>
      <c r="EHG30" s="3"/>
      <c r="EHH30" s="3"/>
      <c r="EHI30" s="3"/>
      <c r="EHJ30" s="3"/>
      <c r="EHK30" s="3"/>
      <c r="EHL30" s="3"/>
      <c r="EHM30" s="3"/>
      <c r="EHN30" s="3"/>
      <c r="EHO30" s="3"/>
      <c r="EHP30" s="3"/>
      <c r="EHQ30" s="3"/>
      <c r="EHR30" s="3"/>
      <c r="EHS30" s="3"/>
      <c r="EHT30" s="3"/>
      <c r="EHU30" s="3"/>
      <c r="EHV30" s="3"/>
      <c r="EHW30" s="3"/>
      <c r="EHX30" s="3"/>
      <c r="EHY30" s="3"/>
      <c r="EHZ30" s="3"/>
      <c r="EIA30" s="3"/>
      <c r="EIB30" s="3"/>
      <c r="EIC30" s="3"/>
      <c r="EID30" s="3"/>
      <c r="EIE30" s="3"/>
      <c r="EIF30" s="3"/>
      <c r="EIG30" s="3"/>
      <c r="EIH30" s="3"/>
      <c r="EII30" s="3"/>
      <c r="EIJ30" s="3"/>
      <c r="EIK30" s="3"/>
      <c r="EIL30" s="3"/>
      <c r="EIM30" s="3"/>
      <c r="EIN30" s="3"/>
      <c r="EIO30" s="3"/>
      <c r="EIP30" s="3"/>
      <c r="EIQ30" s="3"/>
      <c r="EIR30" s="3"/>
      <c r="EIS30" s="3"/>
      <c r="EIT30" s="3"/>
      <c r="EIU30" s="3"/>
      <c r="EIV30" s="3"/>
      <c r="EIW30" s="3"/>
      <c r="EIX30" s="3"/>
      <c r="EIY30" s="3"/>
      <c r="EIZ30" s="3"/>
      <c r="EJA30" s="3"/>
      <c r="EJB30" s="3"/>
      <c r="EJC30" s="3"/>
      <c r="EJD30" s="3"/>
      <c r="EJE30" s="3"/>
      <c r="EJF30" s="3"/>
      <c r="EJG30" s="3"/>
      <c r="EJH30" s="3"/>
      <c r="EJI30" s="3"/>
      <c r="EJJ30" s="3"/>
      <c r="EJK30" s="3"/>
      <c r="EJL30" s="3"/>
      <c r="EJM30" s="3"/>
      <c r="EJN30" s="3"/>
      <c r="EJO30" s="3"/>
      <c r="EJP30" s="3"/>
      <c r="EJQ30" s="3"/>
      <c r="EJR30" s="3"/>
      <c r="EJS30" s="3"/>
      <c r="EJT30" s="3"/>
      <c r="EJU30" s="3"/>
      <c r="EJV30" s="3"/>
      <c r="EJW30" s="3"/>
      <c r="EJX30" s="3"/>
      <c r="EJY30" s="3"/>
      <c r="EJZ30" s="3"/>
      <c r="EKA30" s="3"/>
      <c r="EKB30" s="3"/>
      <c r="EKC30" s="3"/>
      <c r="EKD30" s="3"/>
      <c r="EKE30" s="3"/>
      <c r="EKF30" s="3"/>
      <c r="EKG30" s="3"/>
      <c r="EKH30" s="3"/>
      <c r="EKI30" s="3"/>
      <c r="EKJ30" s="3"/>
      <c r="EKK30" s="3"/>
      <c r="EKL30" s="3"/>
      <c r="EKM30" s="3"/>
      <c r="EKN30" s="3"/>
      <c r="EKO30" s="3"/>
      <c r="EKP30" s="3"/>
      <c r="EKQ30" s="3"/>
      <c r="EKR30" s="3"/>
      <c r="EKS30" s="3"/>
      <c r="EKT30" s="3"/>
      <c r="EKU30" s="3"/>
      <c r="EKV30" s="3"/>
      <c r="EKW30" s="3"/>
      <c r="EKX30" s="3"/>
      <c r="EKY30" s="3"/>
      <c r="EKZ30" s="3"/>
      <c r="ELA30" s="3"/>
      <c r="ELB30" s="3"/>
      <c r="ELC30" s="3"/>
      <c r="ELD30" s="3"/>
      <c r="ELE30" s="3"/>
      <c r="ELF30" s="3"/>
      <c r="ELG30" s="3"/>
      <c r="ELH30" s="3"/>
      <c r="ELI30" s="3"/>
      <c r="ELJ30" s="3"/>
      <c r="ELK30" s="3"/>
      <c r="ELL30" s="3"/>
      <c r="ELM30" s="3"/>
      <c r="ELN30" s="3"/>
      <c r="ELO30" s="3"/>
      <c r="ELP30" s="3"/>
      <c r="ELQ30" s="3"/>
      <c r="ELR30" s="3"/>
      <c r="ELS30" s="3"/>
      <c r="ELT30" s="3"/>
      <c r="ELU30" s="3"/>
      <c r="ELV30" s="3"/>
      <c r="ELW30" s="3"/>
      <c r="ELX30" s="3"/>
      <c r="ELY30" s="3"/>
      <c r="ELZ30" s="3"/>
      <c r="EMA30" s="3"/>
      <c r="EMB30" s="3"/>
      <c r="EMC30" s="3"/>
      <c r="EMD30" s="3"/>
      <c r="EME30" s="3"/>
      <c r="EMF30" s="3"/>
      <c r="EMG30" s="3"/>
      <c r="EMH30" s="3"/>
      <c r="EMI30" s="3"/>
      <c r="EMJ30" s="3"/>
      <c r="EMK30" s="3"/>
      <c r="EML30" s="3"/>
      <c r="EMM30" s="3"/>
      <c r="EMN30" s="3"/>
      <c r="EMO30" s="3"/>
      <c r="EMP30" s="3"/>
      <c r="EMQ30" s="3"/>
      <c r="EMR30" s="3"/>
      <c r="EMS30" s="3"/>
      <c r="EMT30" s="3"/>
      <c r="EMU30" s="3"/>
      <c r="EMV30" s="3"/>
      <c r="EMW30" s="3"/>
      <c r="EMX30" s="3"/>
      <c r="EMY30" s="3"/>
      <c r="EMZ30" s="3"/>
      <c r="ENA30" s="3"/>
      <c r="ENB30" s="3"/>
      <c r="ENC30" s="3"/>
      <c r="END30" s="3"/>
      <c r="ENE30" s="3"/>
      <c r="ENF30" s="3"/>
      <c r="ENG30" s="3"/>
      <c r="ENH30" s="3"/>
      <c r="ENI30" s="3"/>
      <c r="ENJ30" s="3"/>
      <c r="ENK30" s="3"/>
      <c r="ENL30" s="3"/>
      <c r="ENM30" s="3"/>
      <c r="ENN30" s="3"/>
      <c r="ENO30" s="3"/>
      <c r="ENP30" s="3"/>
      <c r="ENQ30" s="3"/>
      <c r="ENR30" s="3"/>
      <c r="ENS30" s="3"/>
      <c r="ENT30" s="3"/>
      <c r="ENU30" s="3"/>
      <c r="ENV30" s="3"/>
      <c r="ENW30" s="3"/>
      <c r="ENX30" s="3"/>
      <c r="ENY30" s="3"/>
      <c r="ENZ30" s="3"/>
      <c r="EOA30" s="3"/>
      <c r="EOB30" s="3"/>
      <c r="EOC30" s="3"/>
      <c r="EOD30" s="3"/>
      <c r="EOE30" s="3"/>
      <c r="EOF30" s="3"/>
      <c r="EOG30" s="3"/>
      <c r="EOH30" s="3"/>
      <c r="EOI30" s="3"/>
      <c r="EOJ30" s="3"/>
      <c r="EOK30" s="3"/>
      <c r="EOL30" s="3"/>
      <c r="EOM30" s="3"/>
      <c r="EON30" s="3"/>
      <c r="EOO30" s="3"/>
      <c r="EOP30" s="3"/>
      <c r="EOQ30" s="3"/>
      <c r="EOR30" s="3"/>
      <c r="EOS30" s="3"/>
      <c r="EOT30" s="3"/>
      <c r="EOU30" s="3"/>
      <c r="EOV30" s="3"/>
      <c r="EOW30" s="3"/>
      <c r="EOX30" s="3"/>
      <c r="EOY30" s="3"/>
      <c r="EOZ30" s="3"/>
      <c r="EPA30" s="3"/>
      <c r="EPB30" s="3"/>
      <c r="EPC30" s="3"/>
      <c r="EPD30" s="3"/>
      <c r="EPE30" s="3"/>
      <c r="EPF30" s="3"/>
      <c r="EPG30" s="3"/>
      <c r="EPH30" s="3"/>
      <c r="EPI30" s="3"/>
      <c r="EPJ30" s="3"/>
      <c r="EPK30" s="3"/>
      <c r="EPL30" s="3"/>
      <c r="EPM30" s="3"/>
      <c r="EPN30" s="3"/>
      <c r="EPO30" s="3"/>
      <c r="EPP30" s="3"/>
      <c r="EPQ30" s="3"/>
      <c r="EPR30" s="3"/>
      <c r="EPS30" s="3"/>
      <c r="EPT30" s="3"/>
      <c r="EPU30" s="3"/>
      <c r="EPV30" s="3"/>
      <c r="EPW30" s="3"/>
      <c r="EPX30" s="3"/>
      <c r="EPY30" s="3"/>
      <c r="EPZ30" s="3"/>
      <c r="EQA30" s="3"/>
      <c r="EQB30" s="3"/>
      <c r="EQC30" s="3"/>
      <c r="EQD30" s="3"/>
      <c r="EQE30" s="3"/>
      <c r="EQF30" s="3"/>
      <c r="EQG30" s="3"/>
      <c r="EQH30" s="3"/>
      <c r="EQI30" s="3"/>
      <c r="EQJ30" s="3"/>
      <c r="EQK30" s="3"/>
      <c r="EQL30" s="3"/>
      <c r="EQM30" s="3"/>
      <c r="EQN30" s="3"/>
      <c r="EQO30" s="3"/>
      <c r="EQP30" s="3"/>
      <c r="EQQ30" s="3"/>
      <c r="EQR30" s="3"/>
      <c r="EQS30" s="3"/>
      <c r="EQT30" s="3"/>
      <c r="EQU30" s="3"/>
      <c r="EQV30" s="3"/>
      <c r="EQW30" s="3"/>
      <c r="EQX30" s="3"/>
      <c r="EQY30" s="3"/>
      <c r="EQZ30" s="3"/>
      <c r="ERA30" s="3"/>
      <c r="ERB30" s="3"/>
      <c r="ERC30" s="3"/>
      <c r="ERD30" s="3"/>
      <c r="ERE30" s="3"/>
      <c r="ERF30" s="3"/>
      <c r="ERG30" s="3"/>
      <c r="ERH30" s="3"/>
      <c r="ERI30" s="3"/>
      <c r="ERJ30" s="3"/>
      <c r="ERK30" s="3"/>
      <c r="ERL30" s="3"/>
      <c r="ERM30" s="3"/>
      <c r="ERN30" s="3"/>
      <c r="ERO30" s="3"/>
      <c r="ERP30" s="3"/>
      <c r="ERQ30" s="3"/>
      <c r="ERR30" s="3"/>
      <c r="ERS30" s="3"/>
      <c r="ERT30" s="3"/>
      <c r="ERU30" s="3"/>
      <c r="ERV30" s="3"/>
      <c r="ERW30" s="3"/>
      <c r="ERX30" s="3"/>
      <c r="ERY30" s="3"/>
      <c r="ERZ30" s="3"/>
      <c r="ESA30" s="3"/>
      <c r="ESB30" s="3"/>
      <c r="ESC30" s="3"/>
      <c r="ESD30" s="3"/>
      <c r="ESE30" s="3"/>
      <c r="ESF30" s="3"/>
      <c r="ESG30" s="3"/>
      <c r="ESH30" s="3"/>
      <c r="ESI30" s="3"/>
      <c r="ESJ30" s="3"/>
      <c r="ESK30" s="3"/>
      <c r="ESL30" s="3"/>
      <c r="ESM30" s="3"/>
      <c r="ESN30" s="3"/>
      <c r="ESO30" s="3"/>
      <c r="ESP30" s="3"/>
      <c r="ESQ30" s="3"/>
      <c r="ESR30" s="3"/>
      <c r="ESS30" s="3"/>
      <c r="EST30" s="3"/>
      <c r="ESU30" s="3"/>
      <c r="ESV30" s="3"/>
      <c r="ESW30" s="3"/>
      <c r="ESX30" s="3"/>
      <c r="ESY30" s="3"/>
      <c r="ESZ30" s="3"/>
      <c r="ETA30" s="3"/>
      <c r="ETB30" s="3"/>
      <c r="ETC30" s="3"/>
      <c r="ETD30" s="3"/>
      <c r="ETE30" s="3"/>
      <c r="ETF30" s="3"/>
      <c r="ETG30" s="3"/>
      <c r="ETH30" s="3"/>
      <c r="ETI30" s="3"/>
      <c r="ETJ30" s="3"/>
      <c r="ETK30" s="3"/>
      <c r="ETL30" s="3"/>
      <c r="ETM30" s="3"/>
      <c r="ETN30" s="3"/>
      <c r="ETO30" s="3"/>
      <c r="ETP30" s="3"/>
      <c r="ETQ30" s="3"/>
      <c r="ETR30" s="3"/>
      <c r="ETS30" s="3"/>
      <c r="ETT30" s="3"/>
      <c r="ETU30" s="3"/>
      <c r="ETV30" s="3"/>
      <c r="ETW30" s="3"/>
      <c r="ETX30" s="3"/>
      <c r="ETY30" s="3"/>
      <c r="ETZ30" s="3"/>
      <c r="EUA30" s="3"/>
      <c r="EUB30" s="3"/>
      <c r="EUC30" s="3"/>
      <c r="EUD30" s="3"/>
      <c r="EUE30" s="3"/>
      <c r="EUF30" s="3"/>
      <c r="EUG30" s="3"/>
      <c r="EUH30" s="3"/>
      <c r="EUI30" s="3"/>
      <c r="EUJ30" s="3"/>
      <c r="EUK30" s="3"/>
      <c r="EUL30" s="3"/>
      <c r="EUM30" s="3"/>
      <c r="EUN30" s="3"/>
      <c r="EUO30" s="3"/>
      <c r="EUP30" s="3"/>
      <c r="EUQ30" s="3"/>
      <c r="EUR30" s="3"/>
      <c r="EUS30" s="3"/>
      <c r="EUT30" s="3"/>
      <c r="EUU30" s="3"/>
      <c r="EUV30" s="3"/>
      <c r="EUW30" s="3"/>
      <c r="EUX30" s="3"/>
      <c r="EUY30" s="3"/>
      <c r="EUZ30" s="3"/>
      <c r="EVA30" s="3"/>
      <c r="EVB30" s="3"/>
      <c r="EVC30" s="3"/>
      <c r="EVD30" s="3"/>
      <c r="EVE30" s="3"/>
      <c r="EVF30" s="3"/>
      <c r="EVG30" s="3"/>
      <c r="EVH30" s="3"/>
      <c r="EVI30" s="3"/>
      <c r="EVJ30" s="3"/>
      <c r="EVK30" s="3"/>
      <c r="EVL30" s="3"/>
      <c r="EVM30" s="3"/>
      <c r="EVN30" s="3"/>
      <c r="EVO30" s="3"/>
      <c r="EVP30" s="3"/>
      <c r="EVQ30" s="3"/>
      <c r="EVR30" s="3"/>
      <c r="EVS30" s="3"/>
      <c r="EVT30" s="3"/>
      <c r="EVU30" s="3"/>
      <c r="EVV30" s="3"/>
      <c r="EVW30" s="3"/>
      <c r="EVX30" s="3"/>
      <c r="EVY30" s="3"/>
      <c r="EVZ30" s="3"/>
      <c r="EWA30" s="3"/>
      <c r="EWB30" s="3"/>
      <c r="EWC30" s="3"/>
      <c r="EWD30" s="3"/>
      <c r="EWE30" s="3"/>
      <c r="EWF30" s="3"/>
      <c r="EWG30" s="3"/>
      <c r="EWH30" s="3"/>
      <c r="EWI30" s="3"/>
      <c r="EWJ30" s="3"/>
      <c r="EWK30" s="3"/>
      <c r="EWL30" s="3"/>
      <c r="EWM30" s="3"/>
      <c r="EWN30" s="3"/>
      <c r="EWO30" s="3"/>
      <c r="EWP30" s="3"/>
      <c r="EWQ30" s="3"/>
      <c r="EWR30" s="3"/>
      <c r="EWS30" s="3"/>
      <c r="EWT30" s="3"/>
      <c r="EWU30" s="3"/>
      <c r="EWV30" s="3"/>
      <c r="EWW30" s="3"/>
      <c r="EWX30" s="3"/>
      <c r="EWY30" s="3"/>
      <c r="EWZ30" s="3"/>
      <c r="EXA30" s="3"/>
      <c r="EXB30" s="3"/>
      <c r="EXC30" s="3"/>
      <c r="EXD30" s="3"/>
      <c r="EXE30" s="3"/>
      <c r="EXF30" s="3"/>
      <c r="EXG30" s="3"/>
      <c r="EXH30" s="3"/>
      <c r="EXI30" s="3"/>
      <c r="EXJ30" s="3"/>
      <c r="EXK30" s="3"/>
      <c r="EXL30" s="3"/>
      <c r="EXM30" s="3"/>
      <c r="EXN30" s="3"/>
      <c r="EXO30" s="3"/>
      <c r="EXP30" s="3"/>
      <c r="EXQ30" s="3"/>
      <c r="EXR30" s="3"/>
      <c r="EXS30" s="3"/>
      <c r="EXT30" s="3"/>
      <c r="EXU30" s="3"/>
      <c r="EXV30" s="3"/>
      <c r="EXW30" s="3"/>
      <c r="EXX30" s="3"/>
      <c r="EXY30" s="3"/>
      <c r="EXZ30" s="3"/>
      <c r="EYA30" s="3"/>
      <c r="EYB30" s="3"/>
      <c r="EYC30" s="3"/>
      <c r="EYD30" s="3"/>
      <c r="EYE30" s="3"/>
      <c r="EYF30" s="3"/>
      <c r="EYG30" s="3"/>
      <c r="EYH30" s="3"/>
      <c r="EYI30" s="3"/>
      <c r="EYJ30" s="3"/>
      <c r="EYK30" s="3"/>
      <c r="EYL30" s="3"/>
      <c r="EYM30" s="3"/>
      <c r="EYN30" s="3"/>
      <c r="EYO30" s="3"/>
      <c r="EYP30" s="3"/>
      <c r="EYQ30" s="3"/>
      <c r="EYR30" s="3"/>
      <c r="EYS30" s="3"/>
      <c r="EYT30" s="3"/>
      <c r="EYU30" s="3"/>
      <c r="EYV30" s="3"/>
      <c r="EYW30" s="3"/>
      <c r="EYX30" s="3"/>
      <c r="EYY30" s="3"/>
      <c r="EYZ30" s="3"/>
      <c r="EZA30" s="3"/>
      <c r="EZB30" s="3"/>
      <c r="EZC30" s="3"/>
      <c r="EZD30" s="3"/>
      <c r="EZE30" s="3"/>
      <c r="EZF30" s="3"/>
      <c r="EZG30" s="3"/>
      <c r="EZH30" s="3"/>
      <c r="EZI30" s="3"/>
      <c r="EZJ30" s="3"/>
      <c r="EZK30" s="3"/>
      <c r="EZL30" s="3"/>
      <c r="EZM30" s="3"/>
      <c r="EZN30" s="3"/>
      <c r="EZO30" s="3"/>
      <c r="EZP30" s="3"/>
      <c r="EZQ30" s="3"/>
      <c r="EZR30" s="3"/>
      <c r="EZS30" s="3"/>
      <c r="EZT30" s="3"/>
      <c r="EZU30" s="3"/>
      <c r="EZV30" s="3"/>
      <c r="EZW30" s="3"/>
      <c r="EZX30" s="3"/>
      <c r="EZY30" s="3"/>
      <c r="EZZ30" s="3"/>
      <c r="FAA30" s="3"/>
      <c r="FAB30" s="3"/>
      <c r="FAC30" s="3"/>
      <c r="FAD30" s="3"/>
      <c r="FAE30" s="3"/>
      <c r="FAF30" s="3"/>
      <c r="FAG30" s="3"/>
      <c r="FAH30" s="3"/>
      <c r="FAI30" s="3"/>
      <c r="FAJ30" s="3"/>
      <c r="FAK30" s="3"/>
      <c r="FAL30" s="3"/>
      <c r="FAM30" s="3"/>
      <c r="FAN30" s="3"/>
      <c r="FAO30" s="3"/>
      <c r="FAP30" s="3"/>
      <c r="FAQ30" s="3"/>
      <c r="FAR30" s="3"/>
      <c r="FAS30" s="3"/>
      <c r="FAT30" s="3"/>
      <c r="FAU30" s="3"/>
      <c r="FAV30" s="3"/>
      <c r="FAW30" s="3"/>
      <c r="FAX30" s="3"/>
      <c r="FAY30" s="3"/>
      <c r="FAZ30" s="3"/>
      <c r="FBA30" s="3"/>
      <c r="FBB30" s="3"/>
      <c r="FBC30" s="3"/>
      <c r="FBD30" s="3"/>
      <c r="FBE30" s="3"/>
      <c r="FBF30" s="3"/>
      <c r="FBG30" s="3"/>
      <c r="FBH30" s="3"/>
      <c r="FBI30" s="3"/>
      <c r="FBJ30" s="3"/>
      <c r="FBK30" s="3"/>
      <c r="FBL30" s="3"/>
      <c r="FBM30" s="3"/>
      <c r="FBN30" s="3"/>
      <c r="FBO30" s="3"/>
      <c r="FBP30" s="3"/>
      <c r="FBQ30" s="3"/>
      <c r="FBR30" s="3"/>
      <c r="FBS30" s="3"/>
      <c r="FBT30" s="3"/>
      <c r="FBU30" s="3"/>
      <c r="FBV30" s="3"/>
      <c r="FBW30" s="3"/>
      <c r="FBX30" s="3"/>
      <c r="FBY30" s="3"/>
      <c r="FBZ30" s="3"/>
      <c r="FCA30" s="3"/>
      <c r="FCB30" s="3"/>
      <c r="FCC30" s="3"/>
      <c r="FCD30" s="3"/>
      <c r="FCE30" s="3"/>
      <c r="FCF30" s="3"/>
      <c r="FCG30" s="3"/>
      <c r="FCH30" s="3"/>
      <c r="FCI30" s="3"/>
      <c r="FCJ30" s="3"/>
      <c r="FCK30" s="3"/>
      <c r="FCL30" s="3"/>
      <c r="FCM30" s="3"/>
      <c r="FCN30" s="3"/>
      <c r="FCO30" s="3"/>
      <c r="FCP30" s="3"/>
      <c r="FCQ30" s="3"/>
      <c r="FCR30" s="3"/>
      <c r="FCS30" s="3"/>
      <c r="FCT30" s="3"/>
      <c r="FCU30" s="3"/>
      <c r="FCV30" s="3"/>
      <c r="FCW30" s="3"/>
      <c r="FCX30" s="3"/>
      <c r="FCY30" s="3"/>
      <c r="FCZ30" s="3"/>
      <c r="FDA30" s="3"/>
      <c r="FDB30" s="3"/>
      <c r="FDC30" s="3"/>
      <c r="FDD30" s="3"/>
      <c r="FDE30" s="3"/>
      <c r="FDF30" s="3"/>
      <c r="FDG30" s="3"/>
      <c r="FDH30" s="3"/>
      <c r="FDI30" s="3"/>
      <c r="FDJ30" s="3"/>
      <c r="FDK30" s="3"/>
      <c r="FDL30" s="3"/>
      <c r="FDM30" s="3"/>
      <c r="FDN30" s="3"/>
      <c r="FDO30" s="3"/>
      <c r="FDP30" s="3"/>
      <c r="FDQ30" s="3"/>
      <c r="FDR30" s="3"/>
      <c r="FDS30" s="3"/>
      <c r="FDT30" s="3"/>
      <c r="FDU30" s="3"/>
      <c r="FDV30" s="3"/>
      <c r="FDW30" s="3"/>
      <c r="FDX30" s="3"/>
      <c r="FDY30" s="3"/>
      <c r="FDZ30" s="3"/>
      <c r="FEA30" s="3"/>
      <c r="FEB30" s="3"/>
      <c r="FEC30" s="3"/>
      <c r="FED30" s="3"/>
      <c r="FEE30" s="3"/>
      <c r="FEF30" s="3"/>
      <c r="FEG30" s="3"/>
      <c r="FEH30" s="3"/>
      <c r="FEI30" s="3"/>
      <c r="FEJ30" s="3"/>
      <c r="FEK30" s="3"/>
      <c r="FEL30" s="3"/>
      <c r="FEM30" s="3"/>
      <c r="FEN30" s="3"/>
      <c r="FEO30" s="3"/>
      <c r="FEP30" s="3"/>
      <c r="FEQ30" s="3"/>
      <c r="FER30" s="3"/>
      <c r="FES30" s="3"/>
      <c r="FET30" s="3"/>
      <c r="FEU30" s="3"/>
      <c r="FEV30" s="3"/>
      <c r="FEW30" s="3"/>
      <c r="FEX30" s="3"/>
      <c r="FEY30" s="3"/>
      <c r="FEZ30" s="3"/>
      <c r="FFA30" s="3"/>
      <c r="FFB30" s="3"/>
      <c r="FFC30" s="3"/>
      <c r="FFD30" s="3"/>
      <c r="FFE30" s="3"/>
      <c r="FFF30" s="3"/>
      <c r="FFG30" s="3"/>
      <c r="FFH30" s="3"/>
      <c r="FFI30" s="3"/>
      <c r="FFJ30" s="3"/>
      <c r="FFK30" s="3"/>
      <c r="FFL30" s="3"/>
      <c r="FFM30" s="3"/>
      <c r="FFN30" s="3"/>
      <c r="FFO30" s="3"/>
      <c r="FFP30" s="3"/>
      <c r="FFQ30" s="3"/>
      <c r="FFR30" s="3"/>
      <c r="FFS30" s="3"/>
      <c r="FFT30" s="3"/>
      <c r="FFU30" s="3"/>
      <c r="FFV30" s="3"/>
      <c r="FFW30" s="3"/>
      <c r="FFX30" s="3"/>
      <c r="FFY30" s="3"/>
      <c r="FFZ30" s="3"/>
      <c r="FGA30" s="3"/>
      <c r="FGB30" s="3"/>
      <c r="FGC30" s="3"/>
      <c r="FGD30" s="3"/>
      <c r="FGE30" s="3"/>
      <c r="FGF30" s="3"/>
      <c r="FGG30" s="3"/>
      <c r="FGH30" s="3"/>
      <c r="FGI30" s="3"/>
      <c r="FGJ30" s="3"/>
      <c r="FGK30" s="3"/>
      <c r="FGL30" s="3"/>
      <c r="FGM30" s="3"/>
      <c r="FGN30" s="3"/>
      <c r="FGO30" s="3"/>
      <c r="FGP30" s="3"/>
      <c r="FGQ30" s="3"/>
      <c r="FGR30" s="3"/>
      <c r="FGS30" s="3"/>
      <c r="FGT30" s="3"/>
      <c r="FGU30" s="3"/>
      <c r="FGV30" s="3"/>
      <c r="FGW30" s="3"/>
      <c r="FGX30" s="3"/>
      <c r="FGY30" s="3"/>
      <c r="FGZ30" s="3"/>
      <c r="FHA30" s="3"/>
      <c r="FHB30" s="3"/>
      <c r="FHC30" s="3"/>
      <c r="FHD30" s="3"/>
      <c r="FHE30" s="3"/>
      <c r="FHF30" s="3"/>
      <c r="FHG30" s="3"/>
      <c r="FHH30" s="3"/>
      <c r="FHI30" s="3"/>
      <c r="FHJ30" s="3"/>
      <c r="FHK30" s="3"/>
      <c r="FHL30" s="3"/>
      <c r="FHM30" s="3"/>
      <c r="FHN30" s="3"/>
      <c r="FHO30" s="3"/>
      <c r="FHP30" s="3"/>
      <c r="FHQ30" s="3"/>
      <c r="FHR30" s="3"/>
      <c r="FHS30" s="3"/>
      <c r="FHT30" s="3"/>
      <c r="FHU30" s="3"/>
      <c r="FHV30" s="3"/>
      <c r="FHW30" s="3"/>
      <c r="FHX30" s="3"/>
      <c r="FHY30" s="3"/>
      <c r="FHZ30" s="3"/>
      <c r="FIA30" s="3"/>
      <c r="FIB30" s="3"/>
      <c r="FIC30" s="3"/>
      <c r="FID30" s="3"/>
      <c r="FIE30" s="3"/>
      <c r="FIF30" s="3"/>
      <c r="FIG30" s="3"/>
      <c r="FIH30" s="3"/>
      <c r="FII30" s="3"/>
      <c r="FIJ30" s="3"/>
      <c r="FIK30" s="3"/>
      <c r="FIL30" s="3"/>
      <c r="FIM30" s="3"/>
      <c r="FIN30" s="3"/>
      <c r="FIO30" s="3"/>
      <c r="FIP30" s="3"/>
      <c r="FIQ30" s="3"/>
      <c r="FIR30" s="3"/>
      <c r="FIS30" s="3"/>
      <c r="FIT30" s="3"/>
      <c r="FIU30" s="3"/>
      <c r="FIV30" s="3"/>
      <c r="FIW30" s="3"/>
      <c r="FIX30" s="3"/>
      <c r="FIY30" s="3"/>
      <c r="FIZ30" s="3"/>
      <c r="FJA30" s="3"/>
      <c r="FJB30" s="3"/>
      <c r="FJC30" s="3"/>
      <c r="FJD30" s="3"/>
      <c r="FJE30" s="3"/>
      <c r="FJF30" s="3"/>
      <c r="FJG30" s="3"/>
      <c r="FJH30" s="3"/>
      <c r="FJI30" s="3"/>
      <c r="FJJ30" s="3"/>
      <c r="FJK30" s="3"/>
      <c r="FJL30" s="3"/>
      <c r="FJM30" s="3"/>
      <c r="FJN30" s="3"/>
      <c r="FJO30" s="3"/>
      <c r="FJP30" s="3"/>
      <c r="FJQ30" s="3"/>
      <c r="FJR30" s="3"/>
      <c r="FJS30" s="3"/>
      <c r="FJT30" s="3"/>
      <c r="FJU30" s="3"/>
      <c r="FJV30" s="3"/>
      <c r="FJW30" s="3"/>
      <c r="FJX30" s="3"/>
      <c r="FJY30" s="3"/>
      <c r="FJZ30" s="3"/>
      <c r="FKA30" s="3"/>
      <c r="FKB30" s="3"/>
      <c r="FKC30" s="3"/>
      <c r="FKD30" s="3"/>
      <c r="FKE30" s="3"/>
      <c r="FKF30" s="3"/>
      <c r="FKG30" s="3"/>
      <c r="FKH30" s="3"/>
      <c r="FKI30" s="3"/>
      <c r="FKJ30" s="3"/>
      <c r="FKK30" s="3"/>
      <c r="FKL30" s="3"/>
      <c r="FKM30" s="3"/>
      <c r="FKN30" s="3"/>
      <c r="FKO30" s="3"/>
      <c r="FKP30" s="3"/>
      <c r="FKQ30" s="3"/>
      <c r="FKR30" s="3"/>
      <c r="FKS30" s="3"/>
      <c r="FKT30" s="3"/>
      <c r="FKU30" s="3"/>
      <c r="FKV30" s="3"/>
      <c r="FKW30" s="3"/>
      <c r="FKX30" s="3"/>
      <c r="FKY30" s="3"/>
      <c r="FKZ30" s="3"/>
      <c r="FLA30" s="3"/>
      <c r="FLB30" s="3"/>
      <c r="FLC30" s="3"/>
      <c r="FLD30" s="3"/>
      <c r="FLE30" s="3"/>
      <c r="FLF30" s="3"/>
      <c r="FLG30" s="3"/>
      <c r="FLH30" s="3"/>
      <c r="FLI30" s="3"/>
      <c r="FLJ30" s="3"/>
      <c r="FLK30" s="3"/>
      <c r="FLL30" s="3"/>
      <c r="FLM30" s="3"/>
      <c r="FLN30" s="3"/>
      <c r="FLO30" s="3"/>
      <c r="FLP30" s="3"/>
      <c r="FLQ30" s="3"/>
      <c r="FLR30" s="3"/>
      <c r="FLS30" s="3"/>
      <c r="FLT30" s="3"/>
      <c r="FLU30" s="3"/>
      <c r="FLV30" s="3"/>
      <c r="FLW30" s="3"/>
      <c r="FLX30" s="3"/>
      <c r="FLY30" s="3"/>
      <c r="FLZ30" s="3"/>
      <c r="FMA30" s="3"/>
      <c r="FMB30" s="3"/>
      <c r="FMC30" s="3"/>
      <c r="FMD30" s="3"/>
      <c r="FME30" s="3"/>
      <c r="FMF30" s="3"/>
      <c r="FMG30" s="3"/>
      <c r="FMH30" s="3"/>
      <c r="FMI30" s="3"/>
      <c r="FMJ30" s="3"/>
      <c r="FMK30" s="3"/>
      <c r="FML30" s="3"/>
      <c r="FMM30" s="3"/>
      <c r="FMN30" s="3"/>
      <c r="FMO30" s="3"/>
      <c r="FMP30" s="3"/>
      <c r="FMQ30" s="3"/>
      <c r="FMR30" s="3"/>
      <c r="FMS30" s="3"/>
      <c r="FMT30" s="3"/>
      <c r="FMU30" s="3"/>
      <c r="FMV30" s="3"/>
      <c r="FMW30" s="3"/>
      <c r="FMX30" s="3"/>
      <c r="FMY30" s="3"/>
      <c r="FMZ30" s="3"/>
      <c r="FNA30" s="3"/>
      <c r="FNB30" s="3"/>
      <c r="FNC30" s="3"/>
      <c r="FND30" s="3"/>
      <c r="FNE30" s="3"/>
      <c r="FNF30" s="3"/>
      <c r="FNG30" s="3"/>
      <c r="FNH30" s="3"/>
      <c r="FNI30" s="3"/>
      <c r="FNJ30" s="3"/>
      <c r="FNK30" s="3"/>
      <c r="FNL30" s="3"/>
      <c r="FNM30" s="3"/>
      <c r="FNN30" s="3"/>
      <c r="FNO30" s="3"/>
      <c r="FNP30" s="3"/>
      <c r="FNQ30" s="3"/>
      <c r="FNR30" s="3"/>
      <c r="FNS30" s="3"/>
      <c r="FNT30" s="3"/>
      <c r="FNU30" s="3"/>
      <c r="FNV30" s="3"/>
      <c r="FNW30" s="3"/>
      <c r="FNX30" s="3"/>
      <c r="FNY30" s="3"/>
      <c r="FNZ30" s="3"/>
      <c r="FOA30" s="3"/>
      <c r="FOB30" s="3"/>
      <c r="FOC30" s="3"/>
      <c r="FOD30" s="3"/>
      <c r="FOE30" s="3"/>
      <c r="FOF30" s="3"/>
      <c r="FOG30" s="3"/>
      <c r="FOH30" s="3"/>
      <c r="FOI30" s="3"/>
      <c r="FOJ30" s="3"/>
      <c r="FOK30" s="3"/>
      <c r="FOL30" s="3"/>
      <c r="FOM30" s="3"/>
      <c r="FON30" s="3"/>
      <c r="FOO30" s="3"/>
      <c r="FOP30" s="3"/>
      <c r="FOQ30" s="3"/>
      <c r="FOR30" s="3"/>
      <c r="FOS30" s="3"/>
      <c r="FOT30" s="3"/>
      <c r="FOU30" s="3"/>
      <c r="FOV30" s="3"/>
      <c r="FOW30" s="3"/>
      <c r="FOX30" s="3"/>
      <c r="FOY30" s="3"/>
      <c r="FOZ30" s="3"/>
      <c r="FPA30" s="3"/>
      <c r="FPB30" s="3"/>
      <c r="FPC30" s="3"/>
      <c r="FPD30" s="3"/>
      <c r="FPE30" s="3"/>
      <c r="FPF30" s="3"/>
      <c r="FPG30" s="3"/>
      <c r="FPH30" s="3"/>
      <c r="FPI30" s="3"/>
      <c r="FPJ30" s="3"/>
      <c r="FPK30" s="3"/>
      <c r="FPL30" s="3"/>
      <c r="FPM30" s="3"/>
      <c r="FPN30" s="3"/>
      <c r="FPO30" s="3"/>
      <c r="FPP30" s="3"/>
      <c r="FPQ30" s="3"/>
      <c r="FPR30" s="3"/>
      <c r="FPS30" s="3"/>
      <c r="FPT30" s="3"/>
      <c r="FPU30" s="3"/>
      <c r="FPV30" s="3"/>
      <c r="FPW30" s="3"/>
      <c r="FPX30" s="3"/>
      <c r="FPY30" s="3"/>
      <c r="FPZ30" s="3"/>
      <c r="FQA30" s="3"/>
      <c r="FQB30" s="3"/>
      <c r="FQC30" s="3"/>
      <c r="FQD30" s="3"/>
      <c r="FQE30" s="3"/>
      <c r="FQF30" s="3"/>
      <c r="FQG30" s="3"/>
      <c r="FQH30" s="3"/>
      <c r="FQI30" s="3"/>
      <c r="FQJ30" s="3"/>
      <c r="FQK30" s="3"/>
      <c r="FQL30" s="3"/>
      <c r="FQM30" s="3"/>
      <c r="FQN30" s="3"/>
      <c r="FQO30" s="3"/>
      <c r="FQP30" s="3"/>
      <c r="FQQ30" s="3"/>
      <c r="FQR30" s="3"/>
      <c r="FQS30" s="3"/>
      <c r="FQT30" s="3"/>
      <c r="FQU30" s="3"/>
      <c r="FQV30" s="3"/>
      <c r="FQW30" s="3"/>
      <c r="FQX30" s="3"/>
      <c r="FQY30" s="3"/>
      <c r="FQZ30" s="3"/>
      <c r="FRA30" s="3"/>
      <c r="FRB30" s="3"/>
      <c r="FRC30" s="3"/>
      <c r="FRD30" s="3"/>
      <c r="FRE30" s="3"/>
      <c r="FRF30" s="3"/>
      <c r="FRG30" s="3"/>
      <c r="FRH30" s="3"/>
      <c r="FRI30" s="3"/>
      <c r="FRJ30" s="3"/>
      <c r="FRK30" s="3"/>
      <c r="FRL30" s="3"/>
      <c r="FRM30" s="3"/>
      <c r="FRN30" s="3"/>
      <c r="FRO30" s="3"/>
      <c r="FRP30" s="3"/>
      <c r="FRQ30" s="3"/>
      <c r="FRR30" s="3"/>
      <c r="FRS30" s="3"/>
      <c r="FRT30" s="3"/>
      <c r="FRU30" s="3"/>
      <c r="FRV30" s="3"/>
      <c r="FRW30" s="3"/>
      <c r="FRX30" s="3"/>
      <c r="FRY30" s="3"/>
      <c r="FRZ30" s="3"/>
      <c r="FSA30" s="3"/>
      <c r="FSB30" s="3"/>
      <c r="FSC30" s="3"/>
      <c r="FSD30" s="3"/>
      <c r="FSE30" s="3"/>
      <c r="FSF30" s="3"/>
      <c r="FSG30" s="3"/>
      <c r="FSH30" s="3"/>
      <c r="FSI30" s="3"/>
      <c r="FSJ30" s="3"/>
      <c r="FSK30" s="3"/>
      <c r="FSL30" s="3"/>
      <c r="FSM30" s="3"/>
      <c r="FSN30" s="3"/>
      <c r="FSO30" s="3"/>
      <c r="FSP30" s="3"/>
      <c r="FSQ30" s="3"/>
      <c r="FSR30" s="3"/>
      <c r="FSS30" s="3"/>
      <c r="FST30" s="3"/>
      <c r="FSU30" s="3"/>
      <c r="FSV30" s="3"/>
      <c r="FSW30" s="3"/>
      <c r="FSX30" s="3"/>
      <c r="FSY30" s="3"/>
      <c r="FSZ30" s="3"/>
      <c r="FTA30" s="3"/>
      <c r="FTB30" s="3"/>
      <c r="FTC30" s="3"/>
      <c r="FTD30" s="3"/>
      <c r="FTE30" s="3"/>
      <c r="FTF30" s="3"/>
      <c r="FTG30" s="3"/>
      <c r="FTH30" s="3"/>
      <c r="FTI30" s="3"/>
      <c r="FTJ30" s="3"/>
      <c r="FTK30" s="3"/>
      <c r="FTL30" s="3"/>
      <c r="FTM30" s="3"/>
      <c r="FTN30" s="3"/>
      <c r="FTO30" s="3"/>
      <c r="FTP30" s="3"/>
      <c r="FTQ30" s="3"/>
      <c r="FTR30" s="3"/>
      <c r="FTS30" s="3"/>
      <c r="FTT30" s="3"/>
      <c r="FTU30" s="3"/>
      <c r="FTV30" s="3"/>
      <c r="FTW30" s="3"/>
      <c r="FTX30" s="3"/>
      <c r="FTY30" s="3"/>
      <c r="FTZ30" s="3"/>
      <c r="FUA30" s="3"/>
      <c r="FUB30" s="3"/>
      <c r="FUC30" s="3"/>
      <c r="FUD30" s="3"/>
      <c r="FUE30" s="3"/>
      <c r="FUF30" s="3"/>
      <c r="FUG30" s="3"/>
      <c r="FUH30" s="3"/>
      <c r="FUI30" s="3"/>
      <c r="FUJ30" s="3"/>
      <c r="FUK30" s="3"/>
      <c r="FUL30" s="3"/>
      <c r="FUM30" s="3"/>
      <c r="FUN30" s="3"/>
      <c r="FUO30" s="3"/>
      <c r="FUP30" s="3"/>
      <c r="FUQ30" s="3"/>
      <c r="FUR30" s="3"/>
      <c r="FUS30" s="3"/>
      <c r="FUT30" s="3"/>
      <c r="FUU30" s="3"/>
      <c r="FUV30" s="3"/>
      <c r="FUW30" s="3"/>
      <c r="FUX30" s="3"/>
      <c r="FUY30" s="3"/>
      <c r="FUZ30" s="3"/>
      <c r="FVA30" s="3"/>
      <c r="FVB30" s="3"/>
      <c r="FVC30" s="3"/>
      <c r="FVD30" s="3"/>
      <c r="FVE30" s="3"/>
      <c r="FVF30" s="3"/>
      <c r="FVG30" s="3"/>
      <c r="FVH30" s="3"/>
      <c r="FVI30" s="3"/>
      <c r="FVJ30" s="3"/>
      <c r="FVK30" s="3"/>
      <c r="FVL30" s="3"/>
      <c r="FVM30" s="3"/>
      <c r="FVN30" s="3"/>
      <c r="FVO30" s="3"/>
      <c r="FVP30" s="3"/>
      <c r="FVQ30" s="3"/>
      <c r="FVR30" s="3"/>
      <c r="FVS30" s="3"/>
      <c r="FVT30" s="3"/>
      <c r="FVU30" s="3"/>
      <c r="FVV30" s="3"/>
      <c r="FVW30" s="3"/>
      <c r="FVX30" s="3"/>
      <c r="FVY30" s="3"/>
      <c r="FVZ30" s="3"/>
      <c r="FWA30" s="3"/>
      <c r="FWB30" s="3"/>
      <c r="FWC30" s="3"/>
      <c r="FWD30" s="3"/>
      <c r="FWE30" s="3"/>
      <c r="FWF30" s="3"/>
      <c r="FWG30" s="3"/>
      <c r="FWH30" s="3"/>
      <c r="FWI30" s="3"/>
      <c r="FWJ30" s="3"/>
      <c r="FWK30" s="3"/>
      <c r="FWL30" s="3"/>
      <c r="FWM30" s="3"/>
      <c r="FWN30" s="3"/>
      <c r="FWO30" s="3"/>
      <c r="FWP30" s="3"/>
      <c r="FWQ30" s="3"/>
      <c r="FWR30" s="3"/>
      <c r="FWS30" s="3"/>
      <c r="FWT30" s="3"/>
      <c r="FWU30" s="3"/>
      <c r="FWV30" s="3"/>
      <c r="FWW30" s="3"/>
      <c r="FWX30" s="3"/>
      <c r="FWY30" s="3"/>
      <c r="FWZ30" s="3"/>
      <c r="FXA30" s="3"/>
      <c r="FXB30" s="3"/>
      <c r="FXC30" s="3"/>
      <c r="FXD30" s="3"/>
      <c r="FXE30" s="3"/>
      <c r="FXF30" s="3"/>
      <c r="FXG30" s="3"/>
      <c r="FXH30" s="3"/>
      <c r="FXI30" s="3"/>
      <c r="FXJ30" s="3"/>
      <c r="FXK30" s="3"/>
      <c r="FXL30" s="3"/>
      <c r="FXM30" s="3"/>
      <c r="FXN30" s="3"/>
      <c r="FXO30" s="3"/>
      <c r="FXP30" s="3"/>
      <c r="FXQ30" s="3"/>
      <c r="FXR30" s="3"/>
      <c r="FXS30" s="3"/>
      <c r="FXT30" s="3"/>
      <c r="FXU30" s="3"/>
      <c r="FXV30" s="3"/>
      <c r="FXW30" s="3"/>
      <c r="FXX30" s="3"/>
      <c r="FXY30" s="3"/>
      <c r="FXZ30" s="3"/>
      <c r="FYA30" s="3"/>
      <c r="FYB30" s="3"/>
      <c r="FYC30" s="3"/>
      <c r="FYD30" s="3"/>
      <c r="FYE30" s="3"/>
      <c r="FYF30" s="3"/>
      <c r="FYG30" s="3"/>
      <c r="FYH30" s="3"/>
      <c r="FYI30" s="3"/>
      <c r="FYJ30" s="3"/>
      <c r="FYK30" s="3"/>
      <c r="FYL30" s="3"/>
      <c r="FYM30" s="3"/>
      <c r="FYN30" s="3"/>
      <c r="FYO30" s="3"/>
      <c r="FYP30" s="3"/>
      <c r="FYQ30" s="3"/>
      <c r="FYR30" s="3"/>
      <c r="FYS30" s="3"/>
      <c r="FYT30" s="3"/>
      <c r="FYU30" s="3"/>
      <c r="FYV30" s="3"/>
      <c r="FYW30" s="3"/>
      <c r="FYX30" s="3"/>
      <c r="FYY30" s="3"/>
      <c r="FYZ30" s="3"/>
      <c r="FZA30" s="3"/>
      <c r="FZB30" s="3"/>
      <c r="FZC30" s="3"/>
      <c r="FZD30" s="3"/>
      <c r="FZE30" s="3"/>
      <c r="FZF30" s="3"/>
      <c r="FZG30" s="3"/>
      <c r="FZH30" s="3"/>
      <c r="FZI30" s="3"/>
      <c r="FZJ30" s="3"/>
      <c r="FZK30" s="3"/>
      <c r="FZL30" s="3"/>
      <c r="FZM30" s="3"/>
      <c r="FZN30" s="3"/>
      <c r="FZO30" s="3"/>
      <c r="FZP30" s="3"/>
      <c r="FZQ30" s="3"/>
      <c r="FZR30" s="3"/>
      <c r="FZS30" s="3"/>
      <c r="FZT30" s="3"/>
      <c r="FZU30" s="3"/>
      <c r="FZV30" s="3"/>
      <c r="FZW30" s="3"/>
      <c r="FZX30" s="3"/>
      <c r="FZY30" s="3"/>
      <c r="FZZ30" s="3"/>
      <c r="GAA30" s="3"/>
      <c r="GAB30" s="3"/>
      <c r="GAC30" s="3"/>
      <c r="GAD30" s="3"/>
      <c r="GAE30" s="3"/>
      <c r="GAF30" s="3"/>
      <c r="GAG30" s="3"/>
      <c r="GAH30" s="3"/>
      <c r="GAI30" s="3"/>
      <c r="GAJ30" s="3"/>
      <c r="GAK30" s="3"/>
      <c r="GAL30" s="3"/>
      <c r="GAM30" s="3"/>
      <c r="GAN30" s="3"/>
      <c r="GAO30" s="3"/>
      <c r="GAP30" s="3"/>
      <c r="GAQ30" s="3"/>
      <c r="GAR30" s="3"/>
      <c r="GAS30" s="3"/>
      <c r="GAT30" s="3"/>
      <c r="GAU30" s="3"/>
      <c r="GAV30" s="3"/>
      <c r="GAW30" s="3"/>
      <c r="GAX30" s="3"/>
      <c r="GAY30" s="3"/>
      <c r="GAZ30" s="3"/>
      <c r="GBA30" s="3"/>
      <c r="GBB30" s="3"/>
      <c r="GBC30" s="3"/>
      <c r="GBD30" s="3"/>
      <c r="GBE30" s="3"/>
      <c r="GBF30" s="3"/>
      <c r="GBG30" s="3"/>
      <c r="GBH30" s="3"/>
      <c r="GBI30" s="3"/>
      <c r="GBJ30" s="3"/>
      <c r="GBK30" s="3"/>
      <c r="GBL30" s="3"/>
      <c r="GBM30" s="3"/>
      <c r="GBN30" s="3"/>
      <c r="GBO30" s="3"/>
      <c r="GBP30" s="3"/>
      <c r="GBQ30" s="3"/>
      <c r="GBR30" s="3"/>
      <c r="GBS30" s="3"/>
      <c r="GBT30" s="3"/>
      <c r="GBU30" s="3"/>
      <c r="GBV30" s="3"/>
      <c r="GBW30" s="3"/>
      <c r="GBX30" s="3"/>
      <c r="GBY30" s="3"/>
      <c r="GBZ30" s="3"/>
      <c r="GCA30" s="3"/>
      <c r="GCB30" s="3"/>
      <c r="GCC30" s="3"/>
      <c r="GCD30" s="3"/>
      <c r="GCE30" s="3"/>
      <c r="GCF30" s="3"/>
      <c r="GCG30" s="3"/>
      <c r="GCH30" s="3"/>
      <c r="GCI30" s="3"/>
      <c r="GCJ30" s="3"/>
      <c r="GCK30" s="3"/>
      <c r="GCL30" s="3"/>
      <c r="GCM30" s="3"/>
      <c r="GCN30" s="3"/>
      <c r="GCO30" s="3"/>
      <c r="GCP30" s="3"/>
      <c r="GCQ30" s="3"/>
      <c r="GCR30" s="3"/>
      <c r="GCS30" s="3"/>
      <c r="GCT30" s="3"/>
      <c r="GCU30" s="3"/>
      <c r="GCV30" s="3"/>
      <c r="GCW30" s="3"/>
      <c r="GCX30" s="3"/>
      <c r="GCY30" s="3"/>
      <c r="GCZ30" s="3"/>
      <c r="GDA30" s="3"/>
      <c r="GDB30" s="3"/>
      <c r="GDC30" s="3"/>
      <c r="GDD30" s="3"/>
      <c r="GDE30" s="3"/>
      <c r="GDF30" s="3"/>
      <c r="GDG30" s="3"/>
      <c r="GDH30" s="3"/>
      <c r="GDI30" s="3"/>
      <c r="GDJ30" s="3"/>
      <c r="GDK30" s="3"/>
      <c r="GDL30" s="3"/>
      <c r="GDM30" s="3"/>
      <c r="GDN30" s="3"/>
      <c r="GDO30" s="3"/>
      <c r="GDP30" s="3"/>
      <c r="GDQ30" s="3"/>
      <c r="GDR30" s="3"/>
      <c r="GDS30" s="3"/>
      <c r="GDT30" s="3"/>
      <c r="GDU30" s="3"/>
      <c r="GDV30" s="3"/>
      <c r="GDW30" s="3"/>
      <c r="GDX30" s="3"/>
      <c r="GDY30" s="3"/>
      <c r="GDZ30" s="3"/>
      <c r="GEA30" s="3"/>
      <c r="GEB30" s="3"/>
      <c r="GEC30" s="3"/>
      <c r="GED30" s="3"/>
      <c r="GEE30" s="3"/>
      <c r="GEF30" s="3"/>
      <c r="GEG30" s="3"/>
      <c r="GEH30" s="3"/>
      <c r="GEI30" s="3"/>
      <c r="GEJ30" s="3"/>
      <c r="GEK30" s="3"/>
      <c r="GEL30" s="3"/>
      <c r="GEM30" s="3"/>
      <c r="GEN30" s="3"/>
      <c r="GEO30" s="3"/>
      <c r="GEP30" s="3"/>
      <c r="GEQ30" s="3"/>
      <c r="GER30" s="3"/>
      <c r="GES30" s="3"/>
      <c r="GET30" s="3"/>
      <c r="GEU30" s="3"/>
      <c r="GEV30" s="3"/>
      <c r="GEW30" s="3"/>
      <c r="GEX30" s="3"/>
      <c r="GEY30" s="3"/>
      <c r="GEZ30" s="3"/>
      <c r="GFA30" s="3"/>
      <c r="GFB30" s="3"/>
      <c r="GFC30" s="3"/>
      <c r="GFD30" s="3"/>
      <c r="GFE30" s="3"/>
      <c r="GFF30" s="3"/>
      <c r="GFG30" s="3"/>
      <c r="GFH30" s="3"/>
      <c r="GFI30" s="3"/>
      <c r="GFJ30" s="3"/>
      <c r="GFK30" s="3"/>
      <c r="GFL30" s="3"/>
      <c r="GFM30" s="3"/>
      <c r="GFN30" s="3"/>
      <c r="GFO30" s="3"/>
      <c r="GFP30" s="3"/>
      <c r="GFQ30" s="3"/>
      <c r="GFR30" s="3"/>
      <c r="GFS30" s="3"/>
      <c r="GFT30" s="3"/>
      <c r="GFU30" s="3"/>
      <c r="GFV30" s="3"/>
      <c r="GFW30" s="3"/>
      <c r="GFX30" s="3"/>
      <c r="GFY30" s="3"/>
      <c r="GFZ30" s="3"/>
      <c r="GGA30" s="3"/>
      <c r="GGB30" s="3"/>
      <c r="GGC30" s="3"/>
      <c r="GGD30" s="3"/>
      <c r="GGE30" s="3"/>
      <c r="GGF30" s="3"/>
      <c r="GGG30" s="3"/>
      <c r="GGH30" s="3"/>
      <c r="GGI30" s="3"/>
      <c r="GGJ30" s="3"/>
      <c r="GGK30" s="3"/>
      <c r="GGL30" s="3"/>
      <c r="GGM30" s="3"/>
      <c r="GGN30" s="3"/>
      <c r="GGO30" s="3"/>
      <c r="GGP30" s="3"/>
      <c r="GGQ30" s="3"/>
      <c r="GGR30" s="3"/>
      <c r="GGS30" s="3"/>
      <c r="GGT30" s="3"/>
      <c r="GGU30" s="3"/>
      <c r="GGV30" s="3"/>
      <c r="GGW30" s="3"/>
      <c r="GGX30" s="3"/>
      <c r="GGY30" s="3"/>
      <c r="GGZ30" s="3"/>
      <c r="GHA30" s="3"/>
      <c r="GHB30" s="3"/>
      <c r="GHC30" s="3"/>
      <c r="GHD30" s="3"/>
      <c r="GHE30" s="3"/>
      <c r="GHF30" s="3"/>
      <c r="GHG30" s="3"/>
      <c r="GHH30" s="3"/>
      <c r="GHI30" s="3"/>
      <c r="GHJ30" s="3"/>
      <c r="GHK30" s="3"/>
      <c r="GHL30" s="3"/>
      <c r="GHM30" s="3"/>
      <c r="GHN30" s="3"/>
      <c r="GHO30" s="3"/>
      <c r="GHP30" s="3"/>
      <c r="GHQ30" s="3"/>
      <c r="GHR30" s="3"/>
      <c r="GHS30" s="3"/>
      <c r="GHT30" s="3"/>
      <c r="GHU30" s="3"/>
      <c r="GHV30" s="3"/>
      <c r="GHW30" s="3"/>
      <c r="GHX30" s="3"/>
      <c r="GHY30" s="3"/>
      <c r="GHZ30" s="3"/>
      <c r="GIA30" s="3"/>
      <c r="GIB30" s="3"/>
      <c r="GIC30" s="3"/>
      <c r="GID30" s="3"/>
      <c r="GIE30" s="3"/>
      <c r="GIF30" s="3"/>
      <c r="GIG30" s="3"/>
      <c r="GIH30" s="3"/>
      <c r="GII30" s="3"/>
      <c r="GIJ30" s="3"/>
      <c r="GIK30" s="3"/>
      <c r="GIL30" s="3"/>
      <c r="GIM30" s="3"/>
      <c r="GIN30" s="3"/>
      <c r="GIO30" s="3"/>
      <c r="GIP30" s="3"/>
      <c r="GIQ30" s="3"/>
      <c r="GIR30" s="3"/>
      <c r="GIS30" s="3"/>
      <c r="GIT30" s="3"/>
      <c r="GIU30" s="3"/>
      <c r="GIV30" s="3"/>
      <c r="GIW30" s="3"/>
      <c r="GIX30" s="3"/>
      <c r="GIY30" s="3"/>
      <c r="GIZ30" s="3"/>
      <c r="GJA30" s="3"/>
      <c r="GJB30" s="3"/>
      <c r="GJC30" s="3"/>
      <c r="GJD30" s="3"/>
      <c r="GJE30" s="3"/>
      <c r="GJF30" s="3"/>
      <c r="GJG30" s="3"/>
      <c r="GJH30" s="3"/>
      <c r="GJI30" s="3"/>
      <c r="GJJ30" s="3"/>
      <c r="GJK30" s="3"/>
      <c r="GJL30" s="3"/>
      <c r="GJM30" s="3"/>
      <c r="GJN30" s="3"/>
      <c r="GJO30" s="3"/>
      <c r="GJP30" s="3"/>
      <c r="GJQ30" s="3"/>
      <c r="GJR30" s="3"/>
      <c r="GJS30" s="3"/>
      <c r="GJT30" s="3"/>
      <c r="GJU30" s="3"/>
      <c r="GJV30" s="3"/>
      <c r="GJW30" s="3"/>
      <c r="GJX30" s="3"/>
      <c r="GJY30" s="3"/>
      <c r="GJZ30" s="3"/>
      <c r="GKA30" s="3"/>
      <c r="GKB30" s="3"/>
      <c r="GKC30" s="3"/>
      <c r="GKD30" s="3"/>
      <c r="GKE30" s="3"/>
      <c r="GKF30" s="3"/>
      <c r="GKG30" s="3"/>
      <c r="GKH30" s="3"/>
      <c r="GKI30" s="3"/>
      <c r="GKJ30" s="3"/>
      <c r="GKK30" s="3"/>
      <c r="GKL30" s="3"/>
      <c r="GKM30" s="3"/>
      <c r="GKN30" s="3"/>
      <c r="GKO30" s="3"/>
      <c r="GKP30" s="3"/>
      <c r="GKQ30" s="3"/>
      <c r="GKR30" s="3"/>
      <c r="GKS30" s="3"/>
      <c r="GKT30" s="3"/>
      <c r="GKU30" s="3"/>
      <c r="GKV30" s="3"/>
      <c r="GKW30" s="3"/>
      <c r="GKX30" s="3"/>
      <c r="GKY30" s="3"/>
      <c r="GKZ30" s="3"/>
      <c r="GLA30" s="3"/>
      <c r="GLB30" s="3"/>
      <c r="GLC30" s="3"/>
      <c r="GLD30" s="3"/>
      <c r="GLE30" s="3"/>
      <c r="GLF30" s="3"/>
      <c r="GLG30" s="3"/>
      <c r="GLH30" s="3"/>
      <c r="GLI30" s="3"/>
      <c r="GLJ30" s="3"/>
      <c r="GLK30" s="3"/>
      <c r="GLL30" s="3"/>
      <c r="GLM30" s="3"/>
      <c r="GLN30" s="3"/>
      <c r="GLO30" s="3"/>
      <c r="GLP30" s="3"/>
      <c r="GLQ30" s="3"/>
      <c r="GLR30" s="3"/>
      <c r="GLS30" s="3"/>
      <c r="GLT30" s="3"/>
      <c r="GLU30" s="3"/>
      <c r="GLV30" s="3"/>
      <c r="GLW30" s="3"/>
      <c r="GLX30" s="3"/>
      <c r="GLY30" s="3"/>
      <c r="GLZ30" s="3"/>
      <c r="GMA30" s="3"/>
      <c r="GMB30" s="3"/>
      <c r="GMC30" s="3"/>
      <c r="GMD30" s="3"/>
      <c r="GME30" s="3"/>
      <c r="GMF30" s="3"/>
      <c r="GMG30" s="3"/>
      <c r="GMH30" s="3"/>
      <c r="GMI30" s="3"/>
      <c r="GMJ30" s="3"/>
      <c r="GMK30" s="3"/>
      <c r="GML30" s="3"/>
      <c r="GMM30" s="3"/>
      <c r="GMN30" s="3"/>
      <c r="GMO30" s="3"/>
      <c r="GMP30" s="3"/>
      <c r="GMQ30" s="3"/>
      <c r="GMR30" s="3"/>
      <c r="GMS30" s="3"/>
      <c r="GMT30" s="3"/>
      <c r="GMU30" s="3"/>
      <c r="GMV30" s="3"/>
      <c r="GMW30" s="3"/>
      <c r="GMX30" s="3"/>
      <c r="GMY30" s="3"/>
      <c r="GMZ30" s="3"/>
      <c r="GNA30" s="3"/>
      <c r="GNB30" s="3"/>
      <c r="GNC30" s="3"/>
      <c r="GND30" s="3"/>
      <c r="GNE30" s="3"/>
      <c r="GNF30" s="3"/>
      <c r="GNG30" s="3"/>
      <c r="GNH30" s="3"/>
      <c r="GNI30" s="3"/>
      <c r="GNJ30" s="3"/>
      <c r="GNK30" s="3"/>
      <c r="GNL30" s="3"/>
      <c r="GNM30" s="3"/>
      <c r="GNN30" s="3"/>
      <c r="GNO30" s="3"/>
      <c r="GNP30" s="3"/>
      <c r="GNQ30" s="3"/>
      <c r="GNR30" s="3"/>
      <c r="GNS30" s="3"/>
      <c r="GNT30" s="3"/>
      <c r="GNU30" s="3"/>
      <c r="GNV30" s="3"/>
      <c r="GNW30" s="3"/>
      <c r="GNX30" s="3"/>
      <c r="GNY30" s="3"/>
      <c r="GNZ30" s="3"/>
      <c r="GOA30" s="3"/>
      <c r="GOB30" s="3"/>
      <c r="GOC30" s="3"/>
      <c r="GOD30" s="3"/>
      <c r="GOE30" s="3"/>
      <c r="GOF30" s="3"/>
      <c r="GOG30" s="3"/>
      <c r="GOH30" s="3"/>
      <c r="GOI30" s="3"/>
      <c r="GOJ30" s="3"/>
      <c r="GOK30" s="3"/>
      <c r="GOL30" s="3"/>
      <c r="GOM30" s="3"/>
      <c r="GON30" s="3"/>
      <c r="GOO30" s="3"/>
      <c r="GOP30" s="3"/>
      <c r="GOQ30" s="3"/>
      <c r="GOR30" s="3"/>
      <c r="GOS30" s="3"/>
      <c r="GOT30" s="3"/>
      <c r="GOU30" s="3"/>
      <c r="GOV30" s="3"/>
      <c r="GOW30" s="3"/>
      <c r="GOX30" s="3"/>
      <c r="GOY30" s="3"/>
      <c r="GOZ30" s="3"/>
      <c r="GPA30" s="3"/>
      <c r="GPB30" s="3"/>
      <c r="GPC30" s="3"/>
      <c r="GPD30" s="3"/>
      <c r="GPE30" s="3"/>
      <c r="GPF30" s="3"/>
      <c r="GPG30" s="3"/>
      <c r="GPH30" s="3"/>
      <c r="GPI30" s="3"/>
      <c r="GPJ30" s="3"/>
      <c r="GPK30" s="3"/>
      <c r="GPL30" s="3"/>
      <c r="GPM30" s="3"/>
      <c r="GPN30" s="3"/>
      <c r="GPO30" s="3"/>
      <c r="GPP30" s="3"/>
      <c r="GPQ30" s="3"/>
      <c r="GPR30" s="3"/>
      <c r="GPS30" s="3"/>
      <c r="GPT30" s="3"/>
      <c r="GPU30" s="3"/>
      <c r="GPV30" s="3"/>
      <c r="GPW30" s="3"/>
      <c r="GPX30" s="3"/>
      <c r="GPY30" s="3"/>
      <c r="GPZ30" s="3"/>
      <c r="GQA30" s="3"/>
      <c r="GQB30" s="3"/>
      <c r="GQC30" s="3"/>
      <c r="GQD30" s="3"/>
      <c r="GQE30" s="3"/>
      <c r="GQF30" s="3"/>
      <c r="GQG30" s="3"/>
      <c r="GQH30" s="3"/>
      <c r="GQI30" s="3"/>
      <c r="GQJ30" s="3"/>
      <c r="GQK30" s="3"/>
      <c r="GQL30" s="3"/>
      <c r="GQM30" s="3"/>
      <c r="GQN30" s="3"/>
      <c r="GQO30" s="3"/>
      <c r="GQP30" s="3"/>
      <c r="GQQ30" s="3"/>
      <c r="GQR30" s="3"/>
      <c r="GQS30" s="3"/>
      <c r="GQT30" s="3"/>
      <c r="GQU30" s="3"/>
      <c r="GQV30" s="3"/>
      <c r="GQW30" s="3"/>
      <c r="GQX30" s="3"/>
      <c r="GQY30" s="3"/>
      <c r="GQZ30" s="3"/>
      <c r="GRA30" s="3"/>
      <c r="GRB30" s="3"/>
      <c r="GRC30" s="3"/>
      <c r="GRD30" s="3"/>
      <c r="GRE30" s="3"/>
      <c r="GRF30" s="3"/>
      <c r="GRG30" s="3"/>
      <c r="GRH30" s="3"/>
      <c r="GRI30" s="3"/>
      <c r="GRJ30" s="3"/>
      <c r="GRK30" s="3"/>
      <c r="GRL30" s="3"/>
      <c r="GRM30" s="3"/>
      <c r="GRN30" s="3"/>
      <c r="GRO30" s="3"/>
      <c r="GRP30" s="3"/>
      <c r="GRQ30" s="3"/>
      <c r="GRR30" s="3"/>
      <c r="GRS30" s="3"/>
      <c r="GRT30" s="3"/>
      <c r="GRU30" s="3"/>
      <c r="GRV30" s="3"/>
      <c r="GRW30" s="3"/>
      <c r="GRX30" s="3"/>
      <c r="GRY30" s="3"/>
      <c r="GRZ30" s="3"/>
      <c r="GSA30" s="3"/>
      <c r="GSB30" s="3"/>
      <c r="GSC30" s="3"/>
      <c r="GSD30" s="3"/>
      <c r="GSE30" s="3"/>
      <c r="GSF30" s="3"/>
      <c r="GSG30" s="3"/>
      <c r="GSH30" s="3"/>
      <c r="GSI30" s="3"/>
      <c r="GSJ30" s="3"/>
      <c r="GSK30" s="3"/>
      <c r="GSL30" s="3"/>
      <c r="GSM30" s="3"/>
      <c r="GSN30" s="3"/>
      <c r="GSO30" s="3"/>
      <c r="GSP30" s="3"/>
      <c r="GSQ30" s="3"/>
      <c r="GSR30" s="3"/>
      <c r="GSS30" s="3"/>
      <c r="GST30" s="3"/>
      <c r="GSU30" s="3"/>
      <c r="GSV30" s="3"/>
      <c r="GSW30" s="3"/>
      <c r="GSX30" s="3"/>
      <c r="GSY30" s="3"/>
      <c r="GSZ30" s="3"/>
      <c r="GTA30" s="3"/>
      <c r="GTB30" s="3"/>
      <c r="GTC30" s="3"/>
      <c r="GTD30" s="3"/>
      <c r="GTE30" s="3"/>
      <c r="GTF30" s="3"/>
      <c r="GTG30" s="3"/>
      <c r="GTH30" s="3"/>
      <c r="GTI30" s="3"/>
      <c r="GTJ30" s="3"/>
      <c r="GTK30" s="3"/>
      <c r="GTL30" s="3"/>
      <c r="GTM30" s="3"/>
      <c r="GTN30" s="3"/>
      <c r="GTO30" s="3"/>
      <c r="GTP30" s="3"/>
      <c r="GTQ30" s="3"/>
      <c r="GTR30" s="3"/>
      <c r="GTS30" s="3"/>
      <c r="GTT30" s="3"/>
      <c r="GTU30" s="3"/>
      <c r="GTV30" s="3"/>
      <c r="GTW30" s="3"/>
      <c r="GTX30" s="3"/>
      <c r="GTY30" s="3"/>
      <c r="GTZ30" s="3"/>
      <c r="GUA30" s="3"/>
      <c r="GUB30" s="3"/>
      <c r="GUC30" s="3"/>
      <c r="GUD30" s="3"/>
      <c r="GUE30" s="3"/>
      <c r="GUF30" s="3"/>
      <c r="GUG30" s="3"/>
      <c r="GUH30" s="3"/>
      <c r="GUI30" s="3"/>
      <c r="GUJ30" s="3"/>
      <c r="GUK30" s="3"/>
      <c r="GUL30" s="3"/>
      <c r="GUM30" s="3"/>
      <c r="GUN30" s="3"/>
      <c r="GUO30" s="3"/>
      <c r="GUP30" s="3"/>
      <c r="GUQ30" s="3"/>
      <c r="GUR30" s="3"/>
      <c r="GUS30" s="3"/>
      <c r="GUT30" s="3"/>
      <c r="GUU30" s="3"/>
      <c r="GUV30" s="3"/>
      <c r="GUW30" s="3"/>
      <c r="GUX30" s="3"/>
      <c r="GUY30" s="3"/>
      <c r="GUZ30" s="3"/>
      <c r="GVA30" s="3"/>
      <c r="GVB30" s="3"/>
      <c r="GVC30" s="3"/>
      <c r="GVD30" s="3"/>
      <c r="GVE30" s="3"/>
      <c r="GVF30" s="3"/>
      <c r="GVG30" s="3"/>
      <c r="GVH30" s="3"/>
      <c r="GVI30" s="3"/>
      <c r="GVJ30" s="3"/>
      <c r="GVK30" s="3"/>
      <c r="GVL30" s="3"/>
      <c r="GVM30" s="3"/>
      <c r="GVN30" s="3"/>
      <c r="GVO30" s="3"/>
      <c r="GVP30" s="3"/>
      <c r="GVQ30" s="3"/>
      <c r="GVR30" s="3"/>
      <c r="GVS30" s="3"/>
      <c r="GVT30" s="3"/>
      <c r="GVU30" s="3"/>
      <c r="GVV30" s="3"/>
      <c r="GVW30" s="3"/>
      <c r="GVX30" s="3"/>
      <c r="GVY30" s="3"/>
      <c r="GVZ30" s="3"/>
      <c r="GWA30" s="3"/>
      <c r="GWB30" s="3"/>
      <c r="GWC30" s="3"/>
      <c r="GWD30" s="3"/>
      <c r="GWE30" s="3"/>
      <c r="GWF30" s="3"/>
      <c r="GWG30" s="3"/>
      <c r="GWH30" s="3"/>
      <c r="GWI30" s="3"/>
      <c r="GWJ30" s="3"/>
      <c r="GWK30" s="3"/>
      <c r="GWL30" s="3"/>
      <c r="GWM30" s="3"/>
      <c r="GWN30" s="3"/>
      <c r="GWO30" s="3"/>
      <c r="GWP30" s="3"/>
      <c r="GWQ30" s="3"/>
      <c r="GWR30" s="3"/>
      <c r="GWS30" s="3"/>
      <c r="GWT30" s="3"/>
      <c r="GWU30" s="3"/>
      <c r="GWV30" s="3"/>
      <c r="GWW30" s="3"/>
      <c r="GWX30" s="3"/>
      <c r="GWY30" s="3"/>
      <c r="GWZ30" s="3"/>
      <c r="GXA30" s="3"/>
      <c r="GXB30" s="3"/>
      <c r="GXC30" s="3"/>
      <c r="GXD30" s="3"/>
      <c r="GXE30" s="3"/>
      <c r="GXF30" s="3"/>
      <c r="GXG30" s="3"/>
      <c r="GXH30" s="3"/>
      <c r="GXI30" s="3"/>
      <c r="GXJ30" s="3"/>
      <c r="GXK30" s="3"/>
      <c r="GXL30" s="3"/>
      <c r="GXM30" s="3"/>
      <c r="GXN30" s="3"/>
      <c r="GXO30" s="3"/>
      <c r="GXP30" s="3"/>
      <c r="GXQ30" s="3"/>
      <c r="GXR30" s="3"/>
      <c r="GXS30" s="3"/>
      <c r="GXT30" s="3"/>
      <c r="GXU30" s="3"/>
      <c r="GXV30" s="3"/>
      <c r="GXW30" s="3"/>
      <c r="GXX30" s="3"/>
      <c r="GXY30" s="3"/>
      <c r="GXZ30" s="3"/>
      <c r="GYA30" s="3"/>
      <c r="GYB30" s="3"/>
      <c r="GYC30" s="3"/>
      <c r="GYD30" s="3"/>
      <c r="GYE30" s="3"/>
      <c r="GYF30" s="3"/>
      <c r="GYG30" s="3"/>
      <c r="GYH30" s="3"/>
      <c r="GYI30" s="3"/>
      <c r="GYJ30" s="3"/>
      <c r="GYK30" s="3"/>
      <c r="GYL30" s="3"/>
      <c r="GYM30" s="3"/>
      <c r="GYN30" s="3"/>
      <c r="GYO30" s="3"/>
      <c r="GYP30" s="3"/>
      <c r="GYQ30" s="3"/>
      <c r="GYR30" s="3"/>
      <c r="GYS30" s="3"/>
      <c r="GYT30" s="3"/>
      <c r="GYU30" s="3"/>
      <c r="GYV30" s="3"/>
      <c r="GYW30" s="3"/>
      <c r="GYX30" s="3"/>
      <c r="GYY30" s="3"/>
      <c r="GYZ30" s="3"/>
      <c r="GZA30" s="3"/>
      <c r="GZB30" s="3"/>
      <c r="GZC30" s="3"/>
      <c r="GZD30" s="3"/>
      <c r="GZE30" s="3"/>
      <c r="GZF30" s="3"/>
      <c r="GZG30" s="3"/>
      <c r="GZH30" s="3"/>
      <c r="GZI30" s="3"/>
      <c r="GZJ30" s="3"/>
      <c r="GZK30" s="3"/>
      <c r="GZL30" s="3"/>
      <c r="GZM30" s="3"/>
      <c r="GZN30" s="3"/>
      <c r="GZO30" s="3"/>
      <c r="GZP30" s="3"/>
      <c r="GZQ30" s="3"/>
      <c r="GZR30" s="3"/>
      <c r="GZS30" s="3"/>
      <c r="GZT30" s="3"/>
      <c r="GZU30" s="3"/>
      <c r="GZV30" s="3"/>
      <c r="GZW30" s="3"/>
      <c r="GZX30" s="3"/>
      <c r="GZY30" s="3"/>
      <c r="GZZ30" s="3"/>
      <c r="HAA30" s="3"/>
      <c r="HAB30" s="3"/>
      <c r="HAC30" s="3"/>
      <c r="HAD30" s="3"/>
      <c r="HAE30" s="3"/>
      <c r="HAF30" s="3"/>
      <c r="HAG30" s="3"/>
      <c r="HAH30" s="3"/>
      <c r="HAI30" s="3"/>
      <c r="HAJ30" s="3"/>
      <c r="HAK30" s="3"/>
      <c r="HAL30" s="3"/>
      <c r="HAM30" s="3"/>
      <c r="HAN30" s="3"/>
      <c r="HAO30" s="3"/>
      <c r="HAP30" s="3"/>
      <c r="HAQ30" s="3"/>
      <c r="HAR30" s="3"/>
      <c r="HAS30" s="3"/>
      <c r="HAT30" s="3"/>
      <c r="HAU30" s="3"/>
      <c r="HAV30" s="3"/>
      <c r="HAW30" s="3"/>
      <c r="HAX30" s="3"/>
      <c r="HAY30" s="3"/>
      <c r="HAZ30" s="3"/>
      <c r="HBA30" s="3"/>
      <c r="HBB30" s="3"/>
      <c r="HBC30" s="3"/>
      <c r="HBD30" s="3"/>
      <c r="HBE30" s="3"/>
      <c r="HBF30" s="3"/>
      <c r="HBG30" s="3"/>
      <c r="HBH30" s="3"/>
      <c r="HBI30" s="3"/>
      <c r="HBJ30" s="3"/>
      <c r="HBK30" s="3"/>
      <c r="HBL30" s="3"/>
      <c r="HBM30" s="3"/>
      <c r="HBN30" s="3"/>
      <c r="HBO30" s="3"/>
      <c r="HBP30" s="3"/>
      <c r="HBQ30" s="3"/>
      <c r="HBR30" s="3"/>
      <c r="HBS30" s="3"/>
      <c r="HBT30" s="3"/>
      <c r="HBU30" s="3"/>
      <c r="HBV30" s="3"/>
      <c r="HBW30" s="3"/>
      <c r="HBX30" s="3"/>
      <c r="HBY30" s="3"/>
      <c r="HBZ30" s="3"/>
      <c r="HCA30" s="3"/>
      <c r="HCB30" s="3"/>
      <c r="HCC30" s="3"/>
      <c r="HCD30" s="3"/>
      <c r="HCE30" s="3"/>
      <c r="HCF30" s="3"/>
      <c r="HCG30" s="3"/>
      <c r="HCH30" s="3"/>
      <c r="HCI30" s="3"/>
      <c r="HCJ30" s="3"/>
      <c r="HCK30" s="3"/>
      <c r="HCL30" s="3"/>
      <c r="HCM30" s="3"/>
      <c r="HCN30" s="3"/>
      <c r="HCO30" s="3"/>
      <c r="HCP30" s="3"/>
      <c r="HCQ30" s="3"/>
      <c r="HCR30" s="3"/>
      <c r="HCS30" s="3"/>
      <c r="HCT30" s="3"/>
      <c r="HCU30" s="3"/>
      <c r="HCV30" s="3"/>
      <c r="HCW30" s="3"/>
      <c r="HCX30" s="3"/>
      <c r="HCY30" s="3"/>
      <c r="HCZ30" s="3"/>
      <c r="HDA30" s="3"/>
      <c r="HDB30" s="3"/>
      <c r="HDC30" s="3"/>
      <c r="HDD30" s="3"/>
      <c r="HDE30" s="3"/>
      <c r="HDF30" s="3"/>
      <c r="HDG30" s="3"/>
      <c r="HDH30" s="3"/>
      <c r="HDI30" s="3"/>
      <c r="HDJ30" s="3"/>
      <c r="HDK30" s="3"/>
      <c r="HDL30" s="3"/>
      <c r="HDM30" s="3"/>
      <c r="HDN30" s="3"/>
      <c r="HDO30" s="3"/>
      <c r="HDP30" s="3"/>
      <c r="HDQ30" s="3"/>
      <c r="HDR30" s="3"/>
      <c r="HDS30" s="3"/>
      <c r="HDT30" s="3"/>
      <c r="HDU30" s="3"/>
      <c r="HDV30" s="3"/>
      <c r="HDW30" s="3"/>
      <c r="HDX30" s="3"/>
      <c r="HDY30" s="3"/>
      <c r="HDZ30" s="3"/>
      <c r="HEA30" s="3"/>
      <c r="HEB30" s="3"/>
      <c r="HEC30" s="3"/>
      <c r="HED30" s="3"/>
      <c r="HEE30" s="3"/>
      <c r="HEF30" s="3"/>
      <c r="HEG30" s="3"/>
      <c r="HEH30" s="3"/>
      <c r="HEI30" s="3"/>
      <c r="HEJ30" s="3"/>
      <c r="HEK30" s="3"/>
      <c r="HEL30" s="3"/>
      <c r="HEM30" s="3"/>
      <c r="HEN30" s="3"/>
      <c r="HEO30" s="3"/>
      <c r="HEP30" s="3"/>
      <c r="HEQ30" s="3"/>
      <c r="HER30" s="3"/>
      <c r="HES30" s="3"/>
      <c r="HET30" s="3"/>
      <c r="HEU30" s="3"/>
      <c r="HEV30" s="3"/>
      <c r="HEW30" s="3"/>
      <c r="HEX30" s="3"/>
      <c r="HEY30" s="3"/>
      <c r="HEZ30" s="3"/>
      <c r="HFA30" s="3"/>
      <c r="HFB30" s="3"/>
      <c r="HFC30" s="3"/>
      <c r="HFD30" s="3"/>
      <c r="HFE30" s="3"/>
      <c r="HFF30" s="3"/>
      <c r="HFG30" s="3"/>
      <c r="HFH30" s="3"/>
      <c r="HFI30" s="3"/>
      <c r="HFJ30" s="3"/>
      <c r="HFK30" s="3"/>
      <c r="HFL30" s="3"/>
      <c r="HFM30" s="3"/>
      <c r="HFN30" s="3"/>
      <c r="HFO30" s="3"/>
      <c r="HFP30" s="3"/>
      <c r="HFQ30" s="3"/>
      <c r="HFR30" s="3"/>
      <c r="HFS30" s="3"/>
      <c r="HFT30" s="3"/>
      <c r="HFU30" s="3"/>
      <c r="HFV30" s="3"/>
      <c r="HFW30" s="3"/>
      <c r="HFX30" s="3"/>
      <c r="HFY30" s="3"/>
      <c r="HFZ30" s="3"/>
      <c r="HGA30" s="3"/>
      <c r="HGB30" s="3"/>
      <c r="HGC30" s="3"/>
      <c r="HGD30" s="3"/>
      <c r="HGE30" s="3"/>
      <c r="HGF30" s="3"/>
      <c r="HGG30" s="3"/>
      <c r="HGH30" s="3"/>
      <c r="HGI30" s="3"/>
      <c r="HGJ30" s="3"/>
      <c r="HGK30" s="3"/>
      <c r="HGL30" s="3"/>
      <c r="HGM30" s="3"/>
      <c r="HGN30" s="3"/>
      <c r="HGO30" s="3"/>
      <c r="HGP30" s="3"/>
      <c r="HGQ30" s="3"/>
      <c r="HGR30" s="3"/>
      <c r="HGS30" s="3"/>
      <c r="HGT30" s="3"/>
      <c r="HGU30" s="3"/>
      <c r="HGV30" s="3"/>
      <c r="HGW30" s="3"/>
      <c r="HGX30" s="3"/>
      <c r="HGY30" s="3"/>
      <c r="HGZ30" s="3"/>
      <c r="HHA30" s="3"/>
      <c r="HHB30" s="3"/>
      <c r="HHC30" s="3"/>
      <c r="HHD30" s="3"/>
      <c r="HHE30" s="3"/>
      <c r="HHF30" s="3"/>
      <c r="HHG30" s="3"/>
      <c r="HHH30" s="3"/>
      <c r="HHI30" s="3"/>
      <c r="HHJ30" s="3"/>
      <c r="HHK30" s="3"/>
      <c r="HHL30" s="3"/>
      <c r="HHM30" s="3"/>
      <c r="HHN30" s="3"/>
      <c r="HHO30" s="3"/>
      <c r="HHP30" s="3"/>
      <c r="HHQ30" s="3"/>
      <c r="HHR30" s="3"/>
      <c r="HHS30" s="3"/>
      <c r="HHT30" s="3"/>
      <c r="HHU30" s="3"/>
      <c r="HHV30" s="3"/>
      <c r="HHW30" s="3"/>
      <c r="HHX30" s="3"/>
      <c r="HHY30" s="3"/>
      <c r="HHZ30" s="3"/>
      <c r="HIA30" s="3"/>
      <c r="HIB30" s="3"/>
      <c r="HIC30" s="3"/>
      <c r="HID30" s="3"/>
      <c r="HIE30" s="3"/>
      <c r="HIF30" s="3"/>
      <c r="HIG30" s="3"/>
      <c r="HIH30" s="3"/>
      <c r="HII30" s="3"/>
      <c r="HIJ30" s="3"/>
      <c r="HIK30" s="3"/>
      <c r="HIL30" s="3"/>
      <c r="HIM30" s="3"/>
      <c r="HIN30" s="3"/>
      <c r="HIO30" s="3"/>
      <c r="HIP30" s="3"/>
      <c r="HIQ30" s="3"/>
      <c r="HIR30" s="3"/>
      <c r="HIS30" s="3"/>
      <c r="HIT30" s="3"/>
      <c r="HIU30" s="3"/>
      <c r="HIV30" s="3"/>
      <c r="HIW30" s="3"/>
      <c r="HIX30" s="3"/>
      <c r="HIY30" s="3"/>
      <c r="HIZ30" s="3"/>
      <c r="HJA30" s="3"/>
      <c r="HJB30" s="3"/>
      <c r="HJC30" s="3"/>
      <c r="HJD30" s="3"/>
      <c r="HJE30" s="3"/>
      <c r="HJF30" s="3"/>
      <c r="HJG30" s="3"/>
      <c r="HJH30" s="3"/>
      <c r="HJI30" s="3"/>
      <c r="HJJ30" s="3"/>
      <c r="HJK30" s="3"/>
      <c r="HJL30" s="3"/>
      <c r="HJM30" s="3"/>
      <c r="HJN30" s="3"/>
      <c r="HJO30" s="3"/>
      <c r="HJP30" s="3"/>
      <c r="HJQ30" s="3"/>
      <c r="HJR30" s="3"/>
      <c r="HJS30" s="3"/>
      <c r="HJT30" s="3"/>
      <c r="HJU30" s="3"/>
      <c r="HJV30" s="3"/>
      <c r="HJW30" s="3"/>
      <c r="HJX30" s="3"/>
      <c r="HJY30" s="3"/>
      <c r="HJZ30" s="3"/>
      <c r="HKA30" s="3"/>
      <c r="HKB30" s="3"/>
      <c r="HKC30" s="3"/>
      <c r="HKD30" s="3"/>
      <c r="HKE30" s="3"/>
      <c r="HKF30" s="3"/>
      <c r="HKG30" s="3"/>
      <c r="HKH30" s="3"/>
      <c r="HKI30" s="3"/>
      <c r="HKJ30" s="3"/>
      <c r="HKK30" s="3"/>
      <c r="HKL30" s="3"/>
      <c r="HKM30" s="3"/>
      <c r="HKN30" s="3"/>
      <c r="HKO30" s="3"/>
      <c r="HKP30" s="3"/>
      <c r="HKQ30" s="3"/>
      <c r="HKR30" s="3"/>
      <c r="HKS30" s="3"/>
      <c r="HKT30" s="3"/>
      <c r="HKU30" s="3"/>
      <c r="HKV30" s="3"/>
      <c r="HKW30" s="3"/>
      <c r="HKX30" s="3"/>
      <c r="HKY30" s="3"/>
      <c r="HKZ30" s="3"/>
      <c r="HLA30" s="3"/>
      <c r="HLB30" s="3"/>
      <c r="HLC30" s="3"/>
      <c r="HLD30" s="3"/>
      <c r="HLE30" s="3"/>
      <c r="HLF30" s="3"/>
      <c r="HLG30" s="3"/>
      <c r="HLH30" s="3"/>
      <c r="HLI30" s="3"/>
      <c r="HLJ30" s="3"/>
      <c r="HLK30" s="3"/>
      <c r="HLL30" s="3"/>
      <c r="HLM30" s="3"/>
      <c r="HLN30" s="3"/>
      <c r="HLO30" s="3"/>
      <c r="HLP30" s="3"/>
      <c r="HLQ30" s="3"/>
      <c r="HLR30" s="3"/>
      <c r="HLS30" s="3"/>
      <c r="HLT30" s="3"/>
      <c r="HLU30" s="3"/>
      <c r="HLV30" s="3"/>
      <c r="HLW30" s="3"/>
      <c r="HLX30" s="3"/>
      <c r="HLY30" s="3"/>
      <c r="HLZ30" s="3"/>
      <c r="HMA30" s="3"/>
      <c r="HMB30" s="3"/>
      <c r="HMC30" s="3"/>
      <c r="HMD30" s="3"/>
      <c r="HME30" s="3"/>
      <c r="HMF30" s="3"/>
      <c r="HMG30" s="3"/>
      <c r="HMH30" s="3"/>
      <c r="HMI30" s="3"/>
      <c r="HMJ30" s="3"/>
      <c r="HMK30" s="3"/>
      <c r="HML30" s="3"/>
      <c r="HMM30" s="3"/>
      <c r="HMN30" s="3"/>
      <c r="HMO30" s="3"/>
      <c r="HMP30" s="3"/>
      <c r="HMQ30" s="3"/>
      <c r="HMR30" s="3"/>
      <c r="HMS30" s="3"/>
      <c r="HMT30" s="3"/>
      <c r="HMU30" s="3"/>
      <c r="HMV30" s="3"/>
      <c r="HMW30" s="3"/>
      <c r="HMX30" s="3"/>
      <c r="HMY30" s="3"/>
      <c r="HMZ30" s="3"/>
      <c r="HNA30" s="3"/>
      <c r="HNB30" s="3"/>
      <c r="HNC30" s="3"/>
      <c r="HND30" s="3"/>
      <c r="HNE30" s="3"/>
      <c r="HNF30" s="3"/>
      <c r="HNG30" s="3"/>
      <c r="HNH30" s="3"/>
      <c r="HNI30" s="3"/>
      <c r="HNJ30" s="3"/>
      <c r="HNK30" s="3"/>
      <c r="HNL30" s="3"/>
      <c r="HNM30" s="3"/>
      <c r="HNN30" s="3"/>
      <c r="HNO30" s="3"/>
      <c r="HNP30" s="3"/>
      <c r="HNQ30" s="3"/>
      <c r="HNR30" s="3"/>
      <c r="HNS30" s="3"/>
      <c r="HNT30" s="3"/>
      <c r="HNU30" s="3"/>
      <c r="HNV30" s="3"/>
      <c r="HNW30" s="3"/>
      <c r="HNX30" s="3"/>
      <c r="HNY30" s="3"/>
      <c r="HNZ30" s="3"/>
      <c r="HOA30" s="3"/>
      <c r="HOB30" s="3"/>
      <c r="HOC30" s="3"/>
      <c r="HOD30" s="3"/>
      <c r="HOE30" s="3"/>
      <c r="HOF30" s="3"/>
      <c r="HOG30" s="3"/>
      <c r="HOH30" s="3"/>
      <c r="HOI30" s="3"/>
      <c r="HOJ30" s="3"/>
      <c r="HOK30" s="3"/>
      <c r="HOL30" s="3"/>
      <c r="HOM30" s="3"/>
      <c r="HON30" s="3"/>
      <c r="HOO30" s="3"/>
      <c r="HOP30" s="3"/>
      <c r="HOQ30" s="3"/>
      <c r="HOR30" s="3"/>
      <c r="HOS30" s="3"/>
      <c r="HOT30" s="3"/>
      <c r="HOU30" s="3"/>
      <c r="HOV30" s="3"/>
      <c r="HOW30" s="3"/>
      <c r="HOX30" s="3"/>
      <c r="HOY30" s="3"/>
      <c r="HOZ30" s="3"/>
      <c r="HPA30" s="3"/>
      <c r="HPB30" s="3"/>
      <c r="HPC30" s="3"/>
      <c r="HPD30" s="3"/>
      <c r="HPE30" s="3"/>
      <c r="HPF30" s="3"/>
      <c r="HPG30" s="3"/>
      <c r="HPH30" s="3"/>
      <c r="HPI30" s="3"/>
      <c r="HPJ30" s="3"/>
      <c r="HPK30" s="3"/>
      <c r="HPL30" s="3"/>
      <c r="HPM30" s="3"/>
      <c r="HPN30" s="3"/>
      <c r="HPO30" s="3"/>
      <c r="HPP30" s="3"/>
      <c r="HPQ30" s="3"/>
      <c r="HPR30" s="3"/>
      <c r="HPS30" s="3"/>
      <c r="HPT30" s="3"/>
      <c r="HPU30" s="3"/>
      <c r="HPV30" s="3"/>
      <c r="HPW30" s="3"/>
      <c r="HPX30" s="3"/>
      <c r="HPY30" s="3"/>
      <c r="HPZ30" s="3"/>
      <c r="HQA30" s="3"/>
      <c r="HQB30" s="3"/>
      <c r="HQC30" s="3"/>
      <c r="HQD30" s="3"/>
      <c r="HQE30" s="3"/>
      <c r="HQF30" s="3"/>
      <c r="HQG30" s="3"/>
      <c r="HQH30" s="3"/>
      <c r="HQI30" s="3"/>
      <c r="HQJ30" s="3"/>
      <c r="HQK30" s="3"/>
      <c r="HQL30" s="3"/>
      <c r="HQM30" s="3"/>
      <c r="HQN30" s="3"/>
      <c r="HQO30" s="3"/>
      <c r="HQP30" s="3"/>
      <c r="HQQ30" s="3"/>
      <c r="HQR30" s="3"/>
      <c r="HQS30" s="3"/>
      <c r="HQT30" s="3"/>
      <c r="HQU30" s="3"/>
      <c r="HQV30" s="3"/>
      <c r="HQW30" s="3"/>
      <c r="HQX30" s="3"/>
      <c r="HQY30" s="3"/>
      <c r="HQZ30" s="3"/>
      <c r="HRA30" s="3"/>
      <c r="HRB30" s="3"/>
      <c r="HRC30" s="3"/>
      <c r="HRD30" s="3"/>
      <c r="HRE30" s="3"/>
      <c r="HRF30" s="3"/>
      <c r="HRG30" s="3"/>
      <c r="HRH30" s="3"/>
      <c r="HRI30" s="3"/>
      <c r="HRJ30" s="3"/>
      <c r="HRK30" s="3"/>
      <c r="HRL30" s="3"/>
      <c r="HRM30" s="3"/>
      <c r="HRN30" s="3"/>
      <c r="HRO30" s="3"/>
      <c r="HRP30" s="3"/>
      <c r="HRQ30" s="3"/>
      <c r="HRR30" s="3"/>
      <c r="HRS30" s="3"/>
      <c r="HRT30" s="3"/>
      <c r="HRU30" s="3"/>
      <c r="HRV30" s="3"/>
      <c r="HRW30" s="3"/>
      <c r="HRX30" s="3"/>
      <c r="HRY30" s="3"/>
      <c r="HRZ30" s="3"/>
      <c r="HSA30" s="3"/>
      <c r="HSB30" s="3"/>
      <c r="HSC30" s="3"/>
      <c r="HSD30" s="3"/>
      <c r="HSE30" s="3"/>
      <c r="HSF30" s="3"/>
      <c r="HSG30" s="3"/>
      <c r="HSH30" s="3"/>
      <c r="HSI30" s="3"/>
      <c r="HSJ30" s="3"/>
      <c r="HSK30" s="3"/>
      <c r="HSL30" s="3"/>
      <c r="HSM30" s="3"/>
      <c r="HSN30" s="3"/>
      <c r="HSO30" s="3"/>
      <c r="HSP30" s="3"/>
      <c r="HSQ30" s="3"/>
      <c r="HSR30" s="3"/>
      <c r="HSS30" s="3"/>
      <c r="HST30" s="3"/>
      <c r="HSU30" s="3"/>
      <c r="HSV30" s="3"/>
      <c r="HSW30" s="3"/>
      <c r="HSX30" s="3"/>
      <c r="HSY30" s="3"/>
      <c r="HSZ30" s="3"/>
      <c r="HTA30" s="3"/>
      <c r="HTB30" s="3"/>
      <c r="HTC30" s="3"/>
      <c r="HTD30" s="3"/>
      <c r="HTE30" s="3"/>
      <c r="HTF30" s="3"/>
      <c r="HTG30" s="3"/>
      <c r="HTH30" s="3"/>
      <c r="HTI30" s="3"/>
      <c r="HTJ30" s="3"/>
      <c r="HTK30" s="3"/>
      <c r="HTL30" s="3"/>
      <c r="HTM30" s="3"/>
      <c r="HTN30" s="3"/>
      <c r="HTO30" s="3"/>
      <c r="HTP30" s="3"/>
      <c r="HTQ30" s="3"/>
      <c r="HTR30" s="3"/>
      <c r="HTS30" s="3"/>
      <c r="HTT30" s="3"/>
      <c r="HTU30" s="3"/>
      <c r="HTV30" s="3"/>
      <c r="HTW30" s="3"/>
      <c r="HTX30" s="3"/>
      <c r="HTY30" s="3"/>
      <c r="HTZ30" s="3"/>
      <c r="HUA30" s="3"/>
      <c r="HUB30" s="3"/>
      <c r="HUC30" s="3"/>
      <c r="HUD30" s="3"/>
      <c r="HUE30" s="3"/>
      <c r="HUF30" s="3"/>
      <c r="HUG30" s="3"/>
      <c r="HUH30" s="3"/>
      <c r="HUI30" s="3"/>
      <c r="HUJ30" s="3"/>
      <c r="HUK30" s="3"/>
      <c r="HUL30" s="3"/>
      <c r="HUM30" s="3"/>
      <c r="HUN30" s="3"/>
      <c r="HUO30" s="3"/>
      <c r="HUP30" s="3"/>
      <c r="HUQ30" s="3"/>
      <c r="HUR30" s="3"/>
      <c r="HUS30" s="3"/>
      <c r="HUT30" s="3"/>
      <c r="HUU30" s="3"/>
      <c r="HUV30" s="3"/>
      <c r="HUW30" s="3"/>
      <c r="HUX30" s="3"/>
      <c r="HUY30" s="3"/>
      <c r="HUZ30" s="3"/>
      <c r="HVA30" s="3"/>
      <c r="HVB30" s="3"/>
      <c r="HVC30" s="3"/>
      <c r="HVD30" s="3"/>
      <c r="HVE30" s="3"/>
      <c r="HVF30" s="3"/>
      <c r="HVG30" s="3"/>
      <c r="HVH30" s="3"/>
      <c r="HVI30" s="3"/>
      <c r="HVJ30" s="3"/>
      <c r="HVK30" s="3"/>
      <c r="HVL30" s="3"/>
      <c r="HVM30" s="3"/>
      <c r="HVN30" s="3"/>
      <c r="HVO30" s="3"/>
      <c r="HVP30" s="3"/>
      <c r="HVQ30" s="3"/>
      <c r="HVR30" s="3"/>
      <c r="HVS30" s="3"/>
      <c r="HVT30" s="3"/>
      <c r="HVU30" s="3"/>
      <c r="HVV30" s="3"/>
      <c r="HVW30" s="3"/>
      <c r="HVX30" s="3"/>
      <c r="HVY30" s="3"/>
      <c r="HVZ30" s="3"/>
      <c r="HWA30" s="3"/>
      <c r="HWB30" s="3"/>
      <c r="HWC30" s="3"/>
      <c r="HWD30" s="3"/>
      <c r="HWE30" s="3"/>
      <c r="HWF30" s="3"/>
      <c r="HWG30" s="3"/>
      <c r="HWH30" s="3"/>
      <c r="HWI30" s="3"/>
      <c r="HWJ30" s="3"/>
      <c r="HWK30" s="3"/>
      <c r="HWL30" s="3"/>
      <c r="HWM30" s="3"/>
      <c r="HWN30" s="3"/>
      <c r="HWO30" s="3"/>
      <c r="HWP30" s="3"/>
      <c r="HWQ30" s="3"/>
      <c r="HWR30" s="3"/>
      <c r="HWS30" s="3"/>
      <c r="HWT30" s="3"/>
      <c r="HWU30" s="3"/>
      <c r="HWV30" s="3"/>
      <c r="HWW30" s="3"/>
      <c r="HWX30" s="3"/>
      <c r="HWY30" s="3"/>
      <c r="HWZ30" s="3"/>
      <c r="HXA30" s="3"/>
      <c r="HXB30" s="3"/>
      <c r="HXC30" s="3"/>
      <c r="HXD30" s="3"/>
      <c r="HXE30" s="3"/>
      <c r="HXF30" s="3"/>
      <c r="HXG30" s="3"/>
      <c r="HXH30" s="3"/>
      <c r="HXI30" s="3"/>
      <c r="HXJ30" s="3"/>
      <c r="HXK30" s="3"/>
      <c r="HXL30" s="3"/>
      <c r="HXM30" s="3"/>
      <c r="HXN30" s="3"/>
      <c r="HXO30" s="3"/>
      <c r="HXP30" s="3"/>
      <c r="HXQ30" s="3"/>
      <c r="HXR30" s="3"/>
      <c r="HXS30" s="3"/>
      <c r="HXT30" s="3"/>
      <c r="HXU30" s="3"/>
      <c r="HXV30" s="3"/>
      <c r="HXW30" s="3"/>
      <c r="HXX30" s="3"/>
      <c r="HXY30" s="3"/>
      <c r="HXZ30" s="3"/>
      <c r="HYA30" s="3"/>
      <c r="HYB30" s="3"/>
      <c r="HYC30" s="3"/>
      <c r="HYD30" s="3"/>
      <c r="HYE30" s="3"/>
      <c r="HYF30" s="3"/>
      <c r="HYG30" s="3"/>
      <c r="HYH30" s="3"/>
      <c r="HYI30" s="3"/>
      <c r="HYJ30" s="3"/>
      <c r="HYK30" s="3"/>
      <c r="HYL30" s="3"/>
      <c r="HYM30" s="3"/>
      <c r="HYN30" s="3"/>
      <c r="HYO30" s="3"/>
      <c r="HYP30" s="3"/>
      <c r="HYQ30" s="3"/>
      <c r="HYR30" s="3"/>
      <c r="HYS30" s="3"/>
      <c r="HYT30" s="3"/>
      <c r="HYU30" s="3"/>
      <c r="HYV30" s="3"/>
      <c r="HYW30" s="3"/>
      <c r="HYX30" s="3"/>
      <c r="HYY30" s="3"/>
      <c r="HYZ30" s="3"/>
      <c r="HZA30" s="3"/>
      <c r="HZB30" s="3"/>
      <c r="HZC30" s="3"/>
      <c r="HZD30" s="3"/>
      <c r="HZE30" s="3"/>
      <c r="HZF30" s="3"/>
      <c r="HZG30" s="3"/>
      <c r="HZH30" s="3"/>
      <c r="HZI30" s="3"/>
      <c r="HZJ30" s="3"/>
      <c r="HZK30" s="3"/>
      <c r="HZL30" s="3"/>
      <c r="HZM30" s="3"/>
      <c r="HZN30" s="3"/>
      <c r="HZO30" s="3"/>
      <c r="HZP30" s="3"/>
      <c r="HZQ30" s="3"/>
      <c r="HZR30" s="3"/>
      <c r="HZS30" s="3"/>
      <c r="HZT30" s="3"/>
      <c r="HZU30" s="3"/>
      <c r="HZV30" s="3"/>
      <c r="HZW30" s="3"/>
      <c r="HZX30" s="3"/>
      <c r="HZY30" s="3"/>
      <c r="HZZ30" s="3"/>
      <c r="IAA30" s="3"/>
      <c r="IAB30" s="3"/>
      <c r="IAC30" s="3"/>
      <c r="IAD30" s="3"/>
      <c r="IAE30" s="3"/>
      <c r="IAF30" s="3"/>
      <c r="IAG30" s="3"/>
      <c r="IAH30" s="3"/>
      <c r="IAI30" s="3"/>
      <c r="IAJ30" s="3"/>
      <c r="IAK30" s="3"/>
      <c r="IAL30" s="3"/>
      <c r="IAM30" s="3"/>
      <c r="IAN30" s="3"/>
      <c r="IAO30" s="3"/>
      <c r="IAP30" s="3"/>
      <c r="IAQ30" s="3"/>
      <c r="IAR30" s="3"/>
      <c r="IAS30" s="3"/>
      <c r="IAT30" s="3"/>
      <c r="IAU30" s="3"/>
      <c r="IAV30" s="3"/>
      <c r="IAW30" s="3"/>
      <c r="IAX30" s="3"/>
      <c r="IAY30" s="3"/>
      <c r="IAZ30" s="3"/>
      <c r="IBA30" s="3"/>
      <c r="IBB30" s="3"/>
      <c r="IBC30" s="3"/>
      <c r="IBD30" s="3"/>
      <c r="IBE30" s="3"/>
      <c r="IBF30" s="3"/>
      <c r="IBG30" s="3"/>
      <c r="IBH30" s="3"/>
      <c r="IBI30" s="3"/>
      <c r="IBJ30" s="3"/>
      <c r="IBK30" s="3"/>
      <c r="IBL30" s="3"/>
      <c r="IBM30" s="3"/>
      <c r="IBN30" s="3"/>
      <c r="IBO30" s="3"/>
      <c r="IBP30" s="3"/>
      <c r="IBQ30" s="3"/>
      <c r="IBR30" s="3"/>
      <c r="IBS30" s="3"/>
      <c r="IBT30" s="3"/>
      <c r="IBU30" s="3"/>
      <c r="IBV30" s="3"/>
      <c r="IBW30" s="3"/>
      <c r="IBX30" s="3"/>
      <c r="IBY30" s="3"/>
      <c r="IBZ30" s="3"/>
      <c r="ICA30" s="3"/>
      <c r="ICB30" s="3"/>
      <c r="ICC30" s="3"/>
      <c r="ICD30" s="3"/>
      <c r="ICE30" s="3"/>
      <c r="ICF30" s="3"/>
      <c r="ICG30" s="3"/>
      <c r="ICH30" s="3"/>
      <c r="ICI30" s="3"/>
      <c r="ICJ30" s="3"/>
      <c r="ICK30" s="3"/>
      <c r="ICL30" s="3"/>
      <c r="ICM30" s="3"/>
      <c r="ICN30" s="3"/>
      <c r="ICO30" s="3"/>
      <c r="ICP30" s="3"/>
      <c r="ICQ30" s="3"/>
      <c r="ICR30" s="3"/>
      <c r="ICS30" s="3"/>
      <c r="ICT30" s="3"/>
      <c r="ICU30" s="3"/>
      <c r="ICV30" s="3"/>
      <c r="ICW30" s="3"/>
      <c r="ICX30" s="3"/>
      <c r="ICY30" s="3"/>
      <c r="ICZ30" s="3"/>
      <c r="IDA30" s="3"/>
      <c r="IDB30" s="3"/>
      <c r="IDC30" s="3"/>
      <c r="IDD30" s="3"/>
      <c r="IDE30" s="3"/>
      <c r="IDF30" s="3"/>
      <c r="IDG30" s="3"/>
      <c r="IDH30" s="3"/>
      <c r="IDI30" s="3"/>
      <c r="IDJ30" s="3"/>
      <c r="IDK30" s="3"/>
      <c r="IDL30" s="3"/>
      <c r="IDM30" s="3"/>
      <c r="IDN30" s="3"/>
      <c r="IDO30" s="3"/>
      <c r="IDP30" s="3"/>
      <c r="IDQ30" s="3"/>
      <c r="IDR30" s="3"/>
      <c r="IDS30" s="3"/>
      <c r="IDT30" s="3"/>
      <c r="IDU30" s="3"/>
      <c r="IDV30" s="3"/>
      <c r="IDW30" s="3"/>
      <c r="IDX30" s="3"/>
      <c r="IDY30" s="3"/>
      <c r="IDZ30" s="3"/>
      <c r="IEA30" s="3"/>
      <c r="IEB30" s="3"/>
      <c r="IEC30" s="3"/>
      <c r="IED30" s="3"/>
      <c r="IEE30" s="3"/>
      <c r="IEF30" s="3"/>
      <c r="IEG30" s="3"/>
      <c r="IEH30" s="3"/>
      <c r="IEI30" s="3"/>
      <c r="IEJ30" s="3"/>
      <c r="IEK30" s="3"/>
      <c r="IEL30" s="3"/>
      <c r="IEM30" s="3"/>
      <c r="IEN30" s="3"/>
      <c r="IEO30" s="3"/>
      <c r="IEP30" s="3"/>
      <c r="IEQ30" s="3"/>
      <c r="IER30" s="3"/>
      <c r="IES30" s="3"/>
      <c r="IET30" s="3"/>
      <c r="IEU30" s="3"/>
      <c r="IEV30" s="3"/>
      <c r="IEW30" s="3"/>
      <c r="IEX30" s="3"/>
      <c r="IEY30" s="3"/>
      <c r="IEZ30" s="3"/>
      <c r="IFA30" s="3"/>
      <c r="IFB30" s="3"/>
      <c r="IFC30" s="3"/>
      <c r="IFD30" s="3"/>
      <c r="IFE30" s="3"/>
      <c r="IFF30" s="3"/>
      <c r="IFG30" s="3"/>
      <c r="IFH30" s="3"/>
      <c r="IFI30" s="3"/>
      <c r="IFJ30" s="3"/>
      <c r="IFK30" s="3"/>
      <c r="IFL30" s="3"/>
      <c r="IFM30" s="3"/>
      <c r="IFN30" s="3"/>
      <c r="IFO30" s="3"/>
      <c r="IFP30" s="3"/>
      <c r="IFQ30" s="3"/>
      <c r="IFR30" s="3"/>
      <c r="IFS30" s="3"/>
      <c r="IFT30" s="3"/>
      <c r="IFU30" s="3"/>
      <c r="IFV30" s="3"/>
      <c r="IFW30" s="3"/>
      <c r="IFX30" s="3"/>
      <c r="IFY30" s="3"/>
      <c r="IFZ30" s="3"/>
      <c r="IGA30" s="3"/>
      <c r="IGB30" s="3"/>
      <c r="IGC30" s="3"/>
      <c r="IGD30" s="3"/>
      <c r="IGE30" s="3"/>
      <c r="IGF30" s="3"/>
      <c r="IGG30" s="3"/>
      <c r="IGH30" s="3"/>
      <c r="IGI30" s="3"/>
      <c r="IGJ30" s="3"/>
      <c r="IGK30" s="3"/>
      <c r="IGL30" s="3"/>
      <c r="IGM30" s="3"/>
      <c r="IGN30" s="3"/>
      <c r="IGO30" s="3"/>
      <c r="IGP30" s="3"/>
      <c r="IGQ30" s="3"/>
      <c r="IGR30" s="3"/>
      <c r="IGS30" s="3"/>
      <c r="IGT30" s="3"/>
      <c r="IGU30" s="3"/>
      <c r="IGV30" s="3"/>
      <c r="IGW30" s="3"/>
      <c r="IGX30" s="3"/>
      <c r="IGY30" s="3"/>
      <c r="IGZ30" s="3"/>
      <c r="IHA30" s="3"/>
      <c r="IHB30" s="3"/>
      <c r="IHC30" s="3"/>
      <c r="IHD30" s="3"/>
      <c r="IHE30" s="3"/>
      <c r="IHF30" s="3"/>
      <c r="IHG30" s="3"/>
      <c r="IHH30" s="3"/>
      <c r="IHI30" s="3"/>
      <c r="IHJ30" s="3"/>
      <c r="IHK30" s="3"/>
      <c r="IHL30" s="3"/>
      <c r="IHM30" s="3"/>
      <c r="IHN30" s="3"/>
      <c r="IHO30" s="3"/>
      <c r="IHP30" s="3"/>
      <c r="IHQ30" s="3"/>
      <c r="IHR30" s="3"/>
      <c r="IHS30" s="3"/>
      <c r="IHT30" s="3"/>
      <c r="IHU30" s="3"/>
      <c r="IHV30" s="3"/>
      <c r="IHW30" s="3"/>
      <c r="IHX30" s="3"/>
      <c r="IHY30" s="3"/>
      <c r="IHZ30" s="3"/>
      <c r="IIA30" s="3"/>
      <c r="IIB30" s="3"/>
      <c r="IIC30" s="3"/>
      <c r="IID30" s="3"/>
      <c r="IIE30" s="3"/>
      <c r="IIF30" s="3"/>
      <c r="IIG30" s="3"/>
      <c r="IIH30" s="3"/>
      <c r="III30" s="3"/>
      <c r="IIJ30" s="3"/>
      <c r="IIK30" s="3"/>
      <c r="IIL30" s="3"/>
      <c r="IIM30" s="3"/>
      <c r="IIN30" s="3"/>
      <c r="IIO30" s="3"/>
      <c r="IIP30" s="3"/>
      <c r="IIQ30" s="3"/>
      <c r="IIR30" s="3"/>
      <c r="IIS30" s="3"/>
      <c r="IIT30" s="3"/>
      <c r="IIU30" s="3"/>
      <c r="IIV30" s="3"/>
      <c r="IIW30" s="3"/>
      <c r="IIX30" s="3"/>
      <c r="IIY30" s="3"/>
      <c r="IIZ30" s="3"/>
      <c r="IJA30" s="3"/>
      <c r="IJB30" s="3"/>
      <c r="IJC30" s="3"/>
      <c r="IJD30" s="3"/>
      <c r="IJE30" s="3"/>
      <c r="IJF30" s="3"/>
      <c r="IJG30" s="3"/>
      <c r="IJH30" s="3"/>
      <c r="IJI30" s="3"/>
      <c r="IJJ30" s="3"/>
      <c r="IJK30" s="3"/>
      <c r="IJL30" s="3"/>
      <c r="IJM30" s="3"/>
      <c r="IJN30" s="3"/>
      <c r="IJO30" s="3"/>
      <c r="IJP30" s="3"/>
      <c r="IJQ30" s="3"/>
      <c r="IJR30" s="3"/>
      <c r="IJS30" s="3"/>
      <c r="IJT30" s="3"/>
      <c r="IJU30" s="3"/>
      <c r="IJV30" s="3"/>
      <c r="IJW30" s="3"/>
      <c r="IJX30" s="3"/>
      <c r="IJY30" s="3"/>
      <c r="IJZ30" s="3"/>
      <c r="IKA30" s="3"/>
      <c r="IKB30" s="3"/>
      <c r="IKC30" s="3"/>
      <c r="IKD30" s="3"/>
      <c r="IKE30" s="3"/>
      <c r="IKF30" s="3"/>
      <c r="IKG30" s="3"/>
      <c r="IKH30" s="3"/>
      <c r="IKI30" s="3"/>
      <c r="IKJ30" s="3"/>
      <c r="IKK30" s="3"/>
      <c r="IKL30" s="3"/>
      <c r="IKM30" s="3"/>
      <c r="IKN30" s="3"/>
      <c r="IKO30" s="3"/>
      <c r="IKP30" s="3"/>
      <c r="IKQ30" s="3"/>
      <c r="IKR30" s="3"/>
      <c r="IKS30" s="3"/>
      <c r="IKT30" s="3"/>
      <c r="IKU30" s="3"/>
      <c r="IKV30" s="3"/>
      <c r="IKW30" s="3"/>
      <c r="IKX30" s="3"/>
      <c r="IKY30" s="3"/>
      <c r="IKZ30" s="3"/>
      <c r="ILA30" s="3"/>
      <c r="ILB30" s="3"/>
      <c r="ILC30" s="3"/>
      <c r="ILD30" s="3"/>
      <c r="ILE30" s="3"/>
      <c r="ILF30" s="3"/>
      <c r="ILG30" s="3"/>
      <c r="ILH30" s="3"/>
      <c r="ILI30" s="3"/>
      <c r="ILJ30" s="3"/>
      <c r="ILK30" s="3"/>
      <c r="ILL30" s="3"/>
      <c r="ILM30" s="3"/>
      <c r="ILN30" s="3"/>
      <c r="ILO30" s="3"/>
      <c r="ILP30" s="3"/>
      <c r="ILQ30" s="3"/>
      <c r="ILR30" s="3"/>
      <c r="ILS30" s="3"/>
      <c r="ILT30" s="3"/>
      <c r="ILU30" s="3"/>
      <c r="ILV30" s="3"/>
      <c r="ILW30" s="3"/>
      <c r="ILX30" s="3"/>
      <c r="ILY30" s="3"/>
      <c r="ILZ30" s="3"/>
      <c r="IMA30" s="3"/>
      <c r="IMB30" s="3"/>
      <c r="IMC30" s="3"/>
      <c r="IMD30" s="3"/>
      <c r="IME30" s="3"/>
      <c r="IMF30" s="3"/>
      <c r="IMG30" s="3"/>
      <c r="IMH30" s="3"/>
      <c r="IMI30" s="3"/>
      <c r="IMJ30" s="3"/>
      <c r="IMK30" s="3"/>
      <c r="IML30" s="3"/>
      <c r="IMM30" s="3"/>
      <c r="IMN30" s="3"/>
      <c r="IMO30" s="3"/>
      <c r="IMP30" s="3"/>
      <c r="IMQ30" s="3"/>
      <c r="IMR30" s="3"/>
      <c r="IMS30" s="3"/>
      <c r="IMT30" s="3"/>
      <c r="IMU30" s="3"/>
      <c r="IMV30" s="3"/>
      <c r="IMW30" s="3"/>
      <c r="IMX30" s="3"/>
      <c r="IMY30" s="3"/>
      <c r="IMZ30" s="3"/>
      <c r="INA30" s="3"/>
      <c r="INB30" s="3"/>
      <c r="INC30" s="3"/>
      <c r="IND30" s="3"/>
      <c r="INE30" s="3"/>
      <c r="INF30" s="3"/>
      <c r="ING30" s="3"/>
      <c r="INH30" s="3"/>
      <c r="INI30" s="3"/>
      <c r="INJ30" s="3"/>
      <c r="INK30" s="3"/>
      <c r="INL30" s="3"/>
      <c r="INM30" s="3"/>
      <c r="INN30" s="3"/>
      <c r="INO30" s="3"/>
      <c r="INP30" s="3"/>
      <c r="INQ30" s="3"/>
      <c r="INR30" s="3"/>
      <c r="INS30" s="3"/>
      <c r="INT30" s="3"/>
      <c r="INU30" s="3"/>
      <c r="INV30" s="3"/>
      <c r="INW30" s="3"/>
      <c r="INX30" s="3"/>
      <c r="INY30" s="3"/>
      <c r="INZ30" s="3"/>
      <c r="IOA30" s="3"/>
      <c r="IOB30" s="3"/>
      <c r="IOC30" s="3"/>
      <c r="IOD30" s="3"/>
      <c r="IOE30" s="3"/>
      <c r="IOF30" s="3"/>
      <c r="IOG30" s="3"/>
      <c r="IOH30" s="3"/>
      <c r="IOI30" s="3"/>
      <c r="IOJ30" s="3"/>
      <c r="IOK30" s="3"/>
      <c r="IOL30" s="3"/>
      <c r="IOM30" s="3"/>
      <c r="ION30" s="3"/>
      <c r="IOO30" s="3"/>
      <c r="IOP30" s="3"/>
      <c r="IOQ30" s="3"/>
      <c r="IOR30" s="3"/>
      <c r="IOS30" s="3"/>
      <c r="IOT30" s="3"/>
      <c r="IOU30" s="3"/>
      <c r="IOV30" s="3"/>
      <c r="IOW30" s="3"/>
      <c r="IOX30" s="3"/>
      <c r="IOY30" s="3"/>
      <c r="IOZ30" s="3"/>
      <c r="IPA30" s="3"/>
      <c r="IPB30" s="3"/>
      <c r="IPC30" s="3"/>
      <c r="IPD30" s="3"/>
      <c r="IPE30" s="3"/>
      <c r="IPF30" s="3"/>
      <c r="IPG30" s="3"/>
      <c r="IPH30" s="3"/>
      <c r="IPI30" s="3"/>
      <c r="IPJ30" s="3"/>
      <c r="IPK30" s="3"/>
      <c r="IPL30" s="3"/>
      <c r="IPM30" s="3"/>
      <c r="IPN30" s="3"/>
      <c r="IPO30" s="3"/>
      <c r="IPP30" s="3"/>
      <c r="IPQ30" s="3"/>
      <c r="IPR30" s="3"/>
      <c r="IPS30" s="3"/>
      <c r="IPT30" s="3"/>
      <c r="IPU30" s="3"/>
      <c r="IPV30" s="3"/>
      <c r="IPW30" s="3"/>
      <c r="IPX30" s="3"/>
      <c r="IPY30" s="3"/>
      <c r="IPZ30" s="3"/>
      <c r="IQA30" s="3"/>
      <c r="IQB30" s="3"/>
      <c r="IQC30" s="3"/>
      <c r="IQD30" s="3"/>
      <c r="IQE30" s="3"/>
      <c r="IQF30" s="3"/>
      <c r="IQG30" s="3"/>
      <c r="IQH30" s="3"/>
      <c r="IQI30" s="3"/>
      <c r="IQJ30" s="3"/>
      <c r="IQK30" s="3"/>
      <c r="IQL30" s="3"/>
      <c r="IQM30" s="3"/>
      <c r="IQN30" s="3"/>
      <c r="IQO30" s="3"/>
      <c r="IQP30" s="3"/>
      <c r="IQQ30" s="3"/>
      <c r="IQR30" s="3"/>
      <c r="IQS30" s="3"/>
      <c r="IQT30" s="3"/>
      <c r="IQU30" s="3"/>
      <c r="IQV30" s="3"/>
      <c r="IQW30" s="3"/>
      <c r="IQX30" s="3"/>
      <c r="IQY30" s="3"/>
      <c r="IQZ30" s="3"/>
      <c r="IRA30" s="3"/>
      <c r="IRB30" s="3"/>
      <c r="IRC30" s="3"/>
      <c r="IRD30" s="3"/>
      <c r="IRE30" s="3"/>
      <c r="IRF30" s="3"/>
      <c r="IRG30" s="3"/>
      <c r="IRH30" s="3"/>
      <c r="IRI30" s="3"/>
      <c r="IRJ30" s="3"/>
      <c r="IRK30" s="3"/>
      <c r="IRL30" s="3"/>
      <c r="IRM30" s="3"/>
      <c r="IRN30" s="3"/>
      <c r="IRO30" s="3"/>
      <c r="IRP30" s="3"/>
      <c r="IRQ30" s="3"/>
      <c r="IRR30" s="3"/>
      <c r="IRS30" s="3"/>
      <c r="IRT30" s="3"/>
      <c r="IRU30" s="3"/>
      <c r="IRV30" s="3"/>
      <c r="IRW30" s="3"/>
      <c r="IRX30" s="3"/>
      <c r="IRY30" s="3"/>
      <c r="IRZ30" s="3"/>
      <c r="ISA30" s="3"/>
      <c r="ISB30" s="3"/>
      <c r="ISC30" s="3"/>
      <c r="ISD30" s="3"/>
      <c r="ISE30" s="3"/>
      <c r="ISF30" s="3"/>
      <c r="ISG30" s="3"/>
      <c r="ISH30" s="3"/>
      <c r="ISI30" s="3"/>
      <c r="ISJ30" s="3"/>
      <c r="ISK30" s="3"/>
      <c r="ISL30" s="3"/>
      <c r="ISM30" s="3"/>
      <c r="ISN30" s="3"/>
      <c r="ISO30" s="3"/>
      <c r="ISP30" s="3"/>
      <c r="ISQ30" s="3"/>
      <c r="ISR30" s="3"/>
      <c r="ISS30" s="3"/>
      <c r="IST30" s="3"/>
      <c r="ISU30" s="3"/>
      <c r="ISV30" s="3"/>
      <c r="ISW30" s="3"/>
      <c r="ISX30" s="3"/>
      <c r="ISY30" s="3"/>
      <c r="ISZ30" s="3"/>
      <c r="ITA30" s="3"/>
      <c r="ITB30" s="3"/>
      <c r="ITC30" s="3"/>
      <c r="ITD30" s="3"/>
      <c r="ITE30" s="3"/>
      <c r="ITF30" s="3"/>
      <c r="ITG30" s="3"/>
      <c r="ITH30" s="3"/>
      <c r="ITI30" s="3"/>
      <c r="ITJ30" s="3"/>
      <c r="ITK30" s="3"/>
      <c r="ITL30" s="3"/>
      <c r="ITM30" s="3"/>
      <c r="ITN30" s="3"/>
      <c r="ITO30" s="3"/>
      <c r="ITP30" s="3"/>
      <c r="ITQ30" s="3"/>
      <c r="ITR30" s="3"/>
      <c r="ITS30" s="3"/>
      <c r="ITT30" s="3"/>
      <c r="ITU30" s="3"/>
      <c r="ITV30" s="3"/>
      <c r="ITW30" s="3"/>
      <c r="ITX30" s="3"/>
      <c r="ITY30" s="3"/>
      <c r="ITZ30" s="3"/>
      <c r="IUA30" s="3"/>
      <c r="IUB30" s="3"/>
      <c r="IUC30" s="3"/>
      <c r="IUD30" s="3"/>
      <c r="IUE30" s="3"/>
      <c r="IUF30" s="3"/>
      <c r="IUG30" s="3"/>
      <c r="IUH30" s="3"/>
      <c r="IUI30" s="3"/>
      <c r="IUJ30" s="3"/>
      <c r="IUK30" s="3"/>
      <c r="IUL30" s="3"/>
      <c r="IUM30" s="3"/>
      <c r="IUN30" s="3"/>
      <c r="IUO30" s="3"/>
      <c r="IUP30" s="3"/>
      <c r="IUQ30" s="3"/>
      <c r="IUR30" s="3"/>
      <c r="IUS30" s="3"/>
      <c r="IUT30" s="3"/>
      <c r="IUU30" s="3"/>
      <c r="IUV30" s="3"/>
      <c r="IUW30" s="3"/>
      <c r="IUX30" s="3"/>
      <c r="IUY30" s="3"/>
      <c r="IUZ30" s="3"/>
      <c r="IVA30" s="3"/>
      <c r="IVB30" s="3"/>
      <c r="IVC30" s="3"/>
      <c r="IVD30" s="3"/>
      <c r="IVE30" s="3"/>
      <c r="IVF30" s="3"/>
      <c r="IVG30" s="3"/>
      <c r="IVH30" s="3"/>
      <c r="IVI30" s="3"/>
      <c r="IVJ30" s="3"/>
      <c r="IVK30" s="3"/>
      <c r="IVL30" s="3"/>
      <c r="IVM30" s="3"/>
      <c r="IVN30" s="3"/>
      <c r="IVO30" s="3"/>
      <c r="IVP30" s="3"/>
      <c r="IVQ30" s="3"/>
      <c r="IVR30" s="3"/>
      <c r="IVS30" s="3"/>
      <c r="IVT30" s="3"/>
      <c r="IVU30" s="3"/>
      <c r="IVV30" s="3"/>
      <c r="IVW30" s="3"/>
      <c r="IVX30" s="3"/>
      <c r="IVY30" s="3"/>
      <c r="IVZ30" s="3"/>
      <c r="IWA30" s="3"/>
      <c r="IWB30" s="3"/>
      <c r="IWC30" s="3"/>
      <c r="IWD30" s="3"/>
      <c r="IWE30" s="3"/>
      <c r="IWF30" s="3"/>
      <c r="IWG30" s="3"/>
      <c r="IWH30" s="3"/>
      <c r="IWI30" s="3"/>
      <c r="IWJ30" s="3"/>
      <c r="IWK30" s="3"/>
      <c r="IWL30" s="3"/>
      <c r="IWM30" s="3"/>
      <c r="IWN30" s="3"/>
      <c r="IWO30" s="3"/>
      <c r="IWP30" s="3"/>
      <c r="IWQ30" s="3"/>
      <c r="IWR30" s="3"/>
      <c r="IWS30" s="3"/>
      <c r="IWT30" s="3"/>
      <c r="IWU30" s="3"/>
      <c r="IWV30" s="3"/>
      <c r="IWW30" s="3"/>
      <c r="IWX30" s="3"/>
      <c r="IWY30" s="3"/>
      <c r="IWZ30" s="3"/>
      <c r="IXA30" s="3"/>
      <c r="IXB30" s="3"/>
      <c r="IXC30" s="3"/>
      <c r="IXD30" s="3"/>
      <c r="IXE30" s="3"/>
      <c r="IXF30" s="3"/>
      <c r="IXG30" s="3"/>
      <c r="IXH30" s="3"/>
      <c r="IXI30" s="3"/>
      <c r="IXJ30" s="3"/>
      <c r="IXK30" s="3"/>
      <c r="IXL30" s="3"/>
      <c r="IXM30" s="3"/>
      <c r="IXN30" s="3"/>
      <c r="IXO30" s="3"/>
      <c r="IXP30" s="3"/>
      <c r="IXQ30" s="3"/>
      <c r="IXR30" s="3"/>
      <c r="IXS30" s="3"/>
      <c r="IXT30" s="3"/>
      <c r="IXU30" s="3"/>
      <c r="IXV30" s="3"/>
      <c r="IXW30" s="3"/>
      <c r="IXX30" s="3"/>
      <c r="IXY30" s="3"/>
      <c r="IXZ30" s="3"/>
      <c r="IYA30" s="3"/>
      <c r="IYB30" s="3"/>
      <c r="IYC30" s="3"/>
      <c r="IYD30" s="3"/>
      <c r="IYE30" s="3"/>
      <c r="IYF30" s="3"/>
      <c r="IYG30" s="3"/>
      <c r="IYH30" s="3"/>
      <c r="IYI30" s="3"/>
      <c r="IYJ30" s="3"/>
      <c r="IYK30" s="3"/>
      <c r="IYL30" s="3"/>
      <c r="IYM30" s="3"/>
      <c r="IYN30" s="3"/>
      <c r="IYO30" s="3"/>
      <c r="IYP30" s="3"/>
      <c r="IYQ30" s="3"/>
      <c r="IYR30" s="3"/>
      <c r="IYS30" s="3"/>
      <c r="IYT30" s="3"/>
      <c r="IYU30" s="3"/>
      <c r="IYV30" s="3"/>
      <c r="IYW30" s="3"/>
      <c r="IYX30" s="3"/>
      <c r="IYY30" s="3"/>
      <c r="IYZ30" s="3"/>
      <c r="IZA30" s="3"/>
      <c r="IZB30" s="3"/>
      <c r="IZC30" s="3"/>
      <c r="IZD30" s="3"/>
      <c r="IZE30" s="3"/>
      <c r="IZF30" s="3"/>
      <c r="IZG30" s="3"/>
      <c r="IZH30" s="3"/>
      <c r="IZI30" s="3"/>
      <c r="IZJ30" s="3"/>
      <c r="IZK30" s="3"/>
      <c r="IZL30" s="3"/>
      <c r="IZM30" s="3"/>
      <c r="IZN30" s="3"/>
      <c r="IZO30" s="3"/>
      <c r="IZP30" s="3"/>
      <c r="IZQ30" s="3"/>
      <c r="IZR30" s="3"/>
      <c r="IZS30" s="3"/>
      <c r="IZT30" s="3"/>
      <c r="IZU30" s="3"/>
      <c r="IZV30" s="3"/>
      <c r="IZW30" s="3"/>
      <c r="IZX30" s="3"/>
      <c r="IZY30" s="3"/>
      <c r="IZZ30" s="3"/>
      <c r="JAA30" s="3"/>
      <c r="JAB30" s="3"/>
      <c r="JAC30" s="3"/>
      <c r="JAD30" s="3"/>
      <c r="JAE30" s="3"/>
      <c r="JAF30" s="3"/>
      <c r="JAG30" s="3"/>
      <c r="JAH30" s="3"/>
      <c r="JAI30" s="3"/>
      <c r="JAJ30" s="3"/>
      <c r="JAK30" s="3"/>
      <c r="JAL30" s="3"/>
      <c r="JAM30" s="3"/>
      <c r="JAN30" s="3"/>
      <c r="JAO30" s="3"/>
      <c r="JAP30" s="3"/>
      <c r="JAQ30" s="3"/>
      <c r="JAR30" s="3"/>
      <c r="JAS30" s="3"/>
      <c r="JAT30" s="3"/>
      <c r="JAU30" s="3"/>
      <c r="JAV30" s="3"/>
      <c r="JAW30" s="3"/>
      <c r="JAX30" s="3"/>
      <c r="JAY30" s="3"/>
      <c r="JAZ30" s="3"/>
      <c r="JBA30" s="3"/>
      <c r="JBB30" s="3"/>
      <c r="JBC30" s="3"/>
      <c r="JBD30" s="3"/>
      <c r="JBE30" s="3"/>
      <c r="JBF30" s="3"/>
      <c r="JBG30" s="3"/>
      <c r="JBH30" s="3"/>
      <c r="JBI30" s="3"/>
      <c r="JBJ30" s="3"/>
      <c r="JBK30" s="3"/>
      <c r="JBL30" s="3"/>
      <c r="JBM30" s="3"/>
      <c r="JBN30" s="3"/>
      <c r="JBO30" s="3"/>
      <c r="JBP30" s="3"/>
      <c r="JBQ30" s="3"/>
      <c r="JBR30" s="3"/>
      <c r="JBS30" s="3"/>
      <c r="JBT30" s="3"/>
      <c r="JBU30" s="3"/>
      <c r="JBV30" s="3"/>
      <c r="JBW30" s="3"/>
      <c r="JBX30" s="3"/>
      <c r="JBY30" s="3"/>
      <c r="JBZ30" s="3"/>
      <c r="JCA30" s="3"/>
      <c r="JCB30" s="3"/>
      <c r="JCC30" s="3"/>
      <c r="JCD30" s="3"/>
      <c r="JCE30" s="3"/>
      <c r="JCF30" s="3"/>
      <c r="JCG30" s="3"/>
      <c r="JCH30" s="3"/>
      <c r="JCI30" s="3"/>
      <c r="JCJ30" s="3"/>
      <c r="JCK30" s="3"/>
      <c r="JCL30" s="3"/>
      <c r="JCM30" s="3"/>
      <c r="JCN30" s="3"/>
      <c r="JCO30" s="3"/>
      <c r="JCP30" s="3"/>
      <c r="JCQ30" s="3"/>
      <c r="JCR30" s="3"/>
      <c r="JCS30" s="3"/>
      <c r="JCT30" s="3"/>
      <c r="JCU30" s="3"/>
      <c r="JCV30" s="3"/>
      <c r="JCW30" s="3"/>
      <c r="JCX30" s="3"/>
      <c r="JCY30" s="3"/>
      <c r="JCZ30" s="3"/>
      <c r="JDA30" s="3"/>
      <c r="JDB30" s="3"/>
      <c r="JDC30" s="3"/>
      <c r="JDD30" s="3"/>
      <c r="JDE30" s="3"/>
      <c r="JDF30" s="3"/>
      <c r="JDG30" s="3"/>
      <c r="JDH30" s="3"/>
      <c r="JDI30" s="3"/>
      <c r="JDJ30" s="3"/>
      <c r="JDK30" s="3"/>
      <c r="JDL30" s="3"/>
      <c r="JDM30" s="3"/>
      <c r="JDN30" s="3"/>
      <c r="JDO30" s="3"/>
      <c r="JDP30" s="3"/>
      <c r="JDQ30" s="3"/>
      <c r="JDR30" s="3"/>
      <c r="JDS30" s="3"/>
      <c r="JDT30" s="3"/>
      <c r="JDU30" s="3"/>
      <c r="JDV30" s="3"/>
      <c r="JDW30" s="3"/>
      <c r="JDX30" s="3"/>
      <c r="JDY30" s="3"/>
      <c r="JDZ30" s="3"/>
      <c r="JEA30" s="3"/>
      <c r="JEB30" s="3"/>
      <c r="JEC30" s="3"/>
      <c r="JED30" s="3"/>
      <c r="JEE30" s="3"/>
      <c r="JEF30" s="3"/>
      <c r="JEG30" s="3"/>
      <c r="JEH30" s="3"/>
      <c r="JEI30" s="3"/>
      <c r="JEJ30" s="3"/>
      <c r="JEK30" s="3"/>
      <c r="JEL30" s="3"/>
      <c r="JEM30" s="3"/>
      <c r="JEN30" s="3"/>
      <c r="JEO30" s="3"/>
      <c r="JEP30" s="3"/>
      <c r="JEQ30" s="3"/>
      <c r="JER30" s="3"/>
      <c r="JES30" s="3"/>
      <c r="JET30" s="3"/>
      <c r="JEU30" s="3"/>
      <c r="JEV30" s="3"/>
      <c r="JEW30" s="3"/>
      <c r="JEX30" s="3"/>
      <c r="JEY30" s="3"/>
      <c r="JEZ30" s="3"/>
      <c r="JFA30" s="3"/>
      <c r="JFB30" s="3"/>
      <c r="JFC30" s="3"/>
      <c r="JFD30" s="3"/>
      <c r="JFE30" s="3"/>
      <c r="JFF30" s="3"/>
      <c r="JFG30" s="3"/>
      <c r="JFH30" s="3"/>
      <c r="JFI30" s="3"/>
      <c r="JFJ30" s="3"/>
      <c r="JFK30" s="3"/>
      <c r="JFL30" s="3"/>
      <c r="JFM30" s="3"/>
      <c r="JFN30" s="3"/>
      <c r="JFO30" s="3"/>
      <c r="JFP30" s="3"/>
      <c r="JFQ30" s="3"/>
      <c r="JFR30" s="3"/>
      <c r="JFS30" s="3"/>
      <c r="JFT30" s="3"/>
      <c r="JFU30" s="3"/>
      <c r="JFV30" s="3"/>
      <c r="JFW30" s="3"/>
      <c r="JFX30" s="3"/>
      <c r="JFY30" s="3"/>
      <c r="JFZ30" s="3"/>
      <c r="JGA30" s="3"/>
      <c r="JGB30" s="3"/>
      <c r="JGC30" s="3"/>
      <c r="JGD30" s="3"/>
      <c r="JGE30" s="3"/>
      <c r="JGF30" s="3"/>
      <c r="JGG30" s="3"/>
      <c r="JGH30" s="3"/>
      <c r="JGI30" s="3"/>
      <c r="JGJ30" s="3"/>
      <c r="JGK30" s="3"/>
      <c r="JGL30" s="3"/>
      <c r="JGM30" s="3"/>
      <c r="JGN30" s="3"/>
      <c r="JGO30" s="3"/>
      <c r="JGP30" s="3"/>
      <c r="JGQ30" s="3"/>
      <c r="JGR30" s="3"/>
      <c r="JGS30" s="3"/>
      <c r="JGT30" s="3"/>
      <c r="JGU30" s="3"/>
      <c r="JGV30" s="3"/>
      <c r="JGW30" s="3"/>
      <c r="JGX30" s="3"/>
      <c r="JGY30" s="3"/>
      <c r="JGZ30" s="3"/>
      <c r="JHA30" s="3"/>
      <c r="JHB30" s="3"/>
      <c r="JHC30" s="3"/>
      <c r="JHD30" s="3"/>
      <c r="JHE30" s="3"/>
      <c r="JHF30" s="3"/>
      <c r="JHG30" s="3"/>
      <c r="JHH30" s="3"/>
      <c r="JHI30" s="3"/>
      <c r="JHJ30" s="3"/>
      <c r="JHK30" s="3"/>
      <c r="JHL30" s="3"/>
      <c r="JHM30" s="3"/>
      <c r="JHN30" s="3"/>
      <c r="JHO30" s="3"/>
      <c r="JHP30" s="3"/>
      <c r="JHQ30" s="3"/>
      <c r="JHR30" s="3"/>
      <c r="JHS30" s="3"/>
      <c r="JHT30" s="3"/>
      <c r="JHU30" s="3"/>
      <c r="JHV30" s="3"/>
      <c r="JHW30" s="3"/>
      <c r="JHX30" s="3"/>
      <c r="JHY30" s="3"/>
      <c r="JHZ30" s="3"/>
      <c r="JIA30" s="3"/>
      <c r="JIB30" s="3"/>
      <c r="JIC30" s="3"/>
      <c r="JID30" s="3"/>
      <c r="JIE30" s="3"/>
      <c r="JIF30" s="3"/>
      <c r="JIG30" s="3"/>
      <c r="JIH30" s="3"/>
      <c r="JII30" s="3"/>
      <c r="JIJ30" s="3"/>
      <c r="JIK30" s="3"/>
      <c r="JIL30" s="3"/>
      <c r="JIM30" s="3"/>
      <c r="JIN30" s="3"/>
      <c r="JIO30" s="3"/>
      <c r="JIP30" s="3"/>
      <c r="JIQ30" s="3"/>
      <c r="JIR30" s="3"/>
      <c r="JIS30" s="3"/>
      <c r="JIT30" s="3"/>
      <c r="JIU30" s="3"/>
      <c r="JIV30" s="3"/>
      <c r="JIW30" s="3"/>
      <c r="JIX30" s="3"/>
      <c r="JIY30" s="3"/>
      <c r="JIZ30" s="3"/>
      <c r="JJA30" s="3"/>
      <c r="JJB30" s="3"/>
      <c r="JJC30" s="3"/>
      <c r="JJD30" s="3"/>
      <c r="JJE30" s="3"/>
      <c r="JJF30" s="3"/>
      <c r="JJG30" s="3"/>
      <c r="JJH30" s="3"/>
      <c r="JJI30" s="3"/>
      <c r="JJJ30" s="3"/>
      <c r="JJK30" s="3"/>
      <c r="JJL30" s="3"/>
      <c r="JJM30" s="3"/>
      <c r="JJN30" s="3"/>
      <c r="JJO30" s="3"/>
      <c r="JJP30" s="3"/>
      <c r="JJQ30" s="3"/>
      <c r="JJR30" s="3"/>
      <c r="JJS30" s="3"/>
      <c r="JJT30" s="3"/>
      <c r="JJU30" s="3"/>
      <c r="JJV30" s="3"/>
      <c r="JJW30" s="3"/>
      <c r="JJX30" s="3"/>
      <c r="JJY30" s="3"/>
      <c r="JJZ30" s="3"/>
      <c r="JKA30" s="3"/>
      <c r="JKB30" s="3"/>
      <c r="JKC30" s="3"/>
      <c r="JKD30" s="3"/>
      <c r="JKE30" s="3"/>
      <c r="JKF30" s="3"/>
      <c r="JKG30" s="3"/>
      <c r="JKH30" s="3"/>
      <c r="JKI30" s="3"/>
      <c r="JKJ30" s="3"/>
      <c r="JKK30" s="3"/>
      <c r="JKL30" s="3"/>
      <c r="JKM30" s="3"/>
      <c r="JKN30" s="3"/>
      <c r="JKO30" s="3"/>
      <c r="JKP30" s="3"/>
      <c r="JKQ30" s="3"/>
      <c r="JKR30" s="3"/>
      <c r="JKS30" s="3"/>
      <c r="JKT30" s="3"/>
      <c r="JKU30" s="3"/>
      <c r="JKV30" s="3"/>
      <c r="JKW30" s="3"/>
      <c r="JKX30" s="3"/>
      <c r="JKY30" s="3"/>
      <c r="JKZ30" s="3"/>
      <c r="JLA30" s="3"/>
      <c r="JLB30" s="3"/>
      <c r="JLC30" s="3"/>
      <c r="JLD30" s="3"/>
      <c r="JLE30" s="3"/>
      <c r="JLF30" s="3"/>
      <c r="JLG30" s="3"/>
      <c r="JLH30" s="3"/>
      <c r="JLI30" s="3"/>
      <c r="JLJ30" s="3"/>
      <c r="JLK30" s="3"/>
      <c r="JLL30" s="3"/>
      <c r="JLM30" s="3"/>
      <c r="JLN30" s="3"/>
      <c r="JLO30" s="3"/>
      <c r="JLP30" s="3"/>
      <c r="JLQ30" s="3"/>
      <c r="JLR30" s="3"/>
      <c r="JLS30" s="3"/>
      <c r="JLT30" s="3"/>
      <c r="JLU30" s="3"/>
      <c r="JLV30" s="3"/>
      <c r="JLW30" s="3"/>
      <c r="JLX30" s="3"/>
      <c r="JLY30" s="3"/>
      <c r="JLZ30" s="3"/>
      <c r="JMA30" s="3"/>
      <c r="JMB30" s="3"/>
      <c r="JMC30" s="3"/>
      <c r="JMD30" s="3"/>
      <c r="JME30" s="3"/>
      <c r="JMF30" s="3"/>
      <c r="JMG30" s="3"/>
      <c r="JMH30" s="3"/>
      <c r="JMI30" s="3"/>
      <c r="JMJ30" s="3"/>
      <c r="JMK30" s="3"/>
      <c r="JML30" s="3"/>
      <c r="JMM30" s="3"/>
      <c r="JMN30" s="3"/>
      <c r="JMO30" s="3"/>
      <c r="JMP30" s="3"/>
      <c r="JMQ30" s="3"/>
      <c r="JMR30" s="3"/>
      <c r="JMS30" s="3"/>
      <c r="JMT30" s="3"/>
      <c r="JMU30" s="3"/>
      <c r="JMV30" s="3"/>
      <c r="JMW30" s="3"/>
      <c r="JMX30" s="3"/>
      <c r="JMY30" s="3"/>
      <c r="JMZ30" s="3"/>
      <c r="JNA30" s="3"/>
      <c r="JNB30" s="3"/>
      <c r="JNC30" s="3"/>
      <c r="JND30" s="3"/>
      <c r="JNE30" s="3"/>
      <c r="JNF30" s="3"/>
      <c r="JNG30" s="3"/>
      <c r="JNH30" s="3"/>
      <c r="JNI30" s="3"/>
      <c r="JNJ30" s="3"/>
      <c r="JNK30" s="3"/>
      <c r="JNL30" s="3"/>
      <c r="JNM30" s="3"/>
      <c r="JNN30" s="3"/>
      <c r="JNO30" s="3"/>
      <c r="JNP30" s="3"/>
      <c r="JNQ30" s="3"/>
      <c r="JNR30" s="3"/>
      <c r="JNS30" s="3"/>
      <c r="JNT30" s="3"/>
      <c r="JNU30" s="3"/>
      <c r="JNV30" s="3"/>
      <c r="JNW30" s="3"/>
      <c r="JNX30" s="3"/>
      <c r="JNY30" s="3"/>
      <c r="JNZ30" s="3"/>
      <c r="JOA30" s="3"/>
      <c r="JOB30" s="3"/>
      <c r="JOC30" s="3"/>
      <c r="JOD30" s="3"/>
      <c r="JOE30" s="3"/>
      <c r="JOF30" s="3"/>
      <c r="JOG30" s="3"/>
      <c r="JOH30" s="3"/>
      <c r="JOI30" s="3"/>
      <c r="JOJ30" s="3"/>
      <c r="JOK30" s="3"/>
      <c r="JOL30" s="3"/>
      <c r="JOM30" s="3"/>
      <c r="JON30" s="3"/>
      <c r="JOO30" s="3"/>
      <c r="JOP30" s="3"/>
      <c r="JOQ30" s="3"/>
      <c r="JOR30" s="3"/>
      <c r="JOS30" s="3"/>
      <c r="JOT30" s="3"/>
      <c r="JOU30" s="3"/>
      <c r="JOV30" s="3"/>
      <c r="JOW30" s="3"/>
      <c r="JOX30" s="3"/>
      <c r="JOY30" s="3"/>
      <c r="JOZ30" s="3"/>
      <c r="JPA30" s="3"/>
      <c r="JPB30" s="3"/>
      <c r="JPC30" s="3"/>
      <c r="JPD30" s="3"/>
      <c r="JPE30" s="3"/>
      <c r="JPF30" s="3"/>
      <c r="JPG30" s="3"/>
      <c r="JPH30" s="3"/>
      <c r="JPI30" s="3"/>
      <c r="JPJ30" s="3"/>
      <c r="JPK30" s="3"/>
      <c r="JPL30" s="3"/>
      <c r="JPM30" s="3"/>
      <c r="JPN30" s="3"/>
      <c r="JPO30" s="3"/>
      <c r="JPP30" s="3"/>
      <c r="JPQ30" s="3"/>
      <c r="JPR30" s="3"/>
      <c r="JPS30" s="3"/>
      <c r="JPT30" s="3"/>
      <c r="JPU30" s="3"/>
      <c r="JPV30" s="3"/>
      <c r="JPW30" s="3"/>
      <c r="JPX30" s="3"/>
      <c r="JPY30" s="3"/>
      <c r="JPZ30" s="3"/>
      <c r="JQA30" s="3"/>
      <c r="JQB30" s="3"/>
      <c r="JQC30" s="3"/>
      <c r="JQD30" s="3"/>
      <c r="JQE30" s="3"/>
      <c r="JQF30" s="3"/>
      <c r="JQG30" s="3"/>
      <c r="JQH30" s="3"/>
      <c r="JQI30" s="3"/>
      <c r="JQJ30" s="3"/>
      <c r="JQK30" s="3"/>
      <c r="JQL30" s="3"/>
      <c r="JQM30" s="3"/>
      <c r="JQN30" s="3"/>
      <c r="JQO30" s="3"/>
      <c r="JQP30" s="3"/>
      <c r="JQQ30" s="3"/>
      <c r="JQR30" s="3"/>
      <c r="JQS30" s="3"/>
      <c r="JQT30" s="3"/>
      <c r="JQU30" s="3"/>
      <c r="JQV30" s="3"/>
      <c r="JQW30" s="3"/>
      <c r="JQX30" s="3"/>
      <c r="JQY30" s="3"/>
      <c r="JQZ30" s="3"/>
      <c r="JRA30" s="3"/>
      <c r="JRB30" s="3"/>
      <c r="JRC30" s="3"/>
      <c r="JRD30" s="3"/>
      <c r="JRE30" s="3"/>
      <c r="JRF30" s="3"/>
      <c r="JRG30" s="3"/>
      <c r="JRH30" s="3"/>
      <c r="JRI30" s="3"/>
      <c r="JRJ30" s="3"/>
      <c r="JRK30" s="3"/>
      <c r="JRL30" s="3"/>
      <c r="JRM30" s="3"/>
      <c r="JRN30" s="3"/>
      <c r="JRO30" s="3"/>
      <c r="JRP30" s="3"/>
      <c r="JRQ30" s="3"/>
      <c r="JRR30" s="3"/>
      <c r="JRS30" s="3"/>
      <c r="JRT30" s="3"/>
      <c r="JRU30" s="3"/>
      <c r="JRV30" s="3"/>
      <c r="JRW30" s="3"/>
      <c r="JRX30" s="3"/>
      <c r="JRY30" s="3"/>
      <c r="JRZ30" s="3"/>
      <c r="JSA30" s="3"/>
      <c r="JSB30" s="3"/>
      <c r="JSC30" s="3"/>
      <c r="JSD30" s="3"/>
      <c r="JSE30" s="3"/>
      <c r="JSF30" s="3"/>
      <c r="JSG30" s="3"/>
      <c r="JSH30" s="3"/>
      <c r="JSI30" s="3"/>
      <c r="JSJ30" s="3"/>
      <c r="JSK30" s="3"/>
      <c r="JSL30" s="3"/>
      <c r="JSM30" s="3"/>
      <c r="JSN30" s="3"/>
      <c r="JSO30" s="3"/>
      <c r="JSP30" s="3"/>
      <c r="JSQ30" s="3"/>
      <c r="JSR30" s="3"/>
      <c r="JSS30" s="3"/>
      <c r="JST30" s="3"/>
      <c r="JSU30" s="3"/>
      <c r="JSV30" s="3"/>
      <c r="JSW30" s="3"/>
      <c r="JSX30" s="3"/>
      <c r="JSY30" s="3"/>
      <c r="JSZ30" s="3"/>
      <c r="JTA30" s="3"/>
      <c r="JTB30" s="3"/>
      <c r="JTC30" s="3"/>
      <c r="JTD30" s="3"/>
      <c r="JTE30" s="3"/>
      <c r="JTF30" s="3"/>
      <c r="JTG30" s="3"/>
      <c r="JTH30" s="3"/>
      <c r="JTI30" s="3"/>
      <c r="JTJ30" s="3"/>
      <c r="JTK30" s="3"/>
      <c r="JTL30" s="3"/>
      <c r="JTM30" s="3"/>
      <c r="JTN30" s="3"/>
      <c r="JTO30" s="3"/>
      <c r="JTP30" s="3"/>
      <c r="JTQ30" s="3"/>
      <c r="JTR30" s="3"/>
      <c r="JTS30" s="3"/>
      <c r="JTT30" s="3"/>
      <c r="JTU30" s="3"/>
      <c r="JTV30" s="3"/>
      <c r="JTW30" s="3"/>
      <c r="JTX30" s="3"/>
      <c r="JTY30" s="3"/>
      <c r="JTZ30" s="3"/>
      <c r="JUA30" s="3"/>
      <c r="JUB30" s="3"/>
      <c r="JUC30" s="3"/>
      <c r="JUD30" s="3"/>
      <c r="JUE30" s="3"/>
      <c r="JUF30" s="3"/>
      <c r="JUG30" s="3"/>
      <c r="JUH30" s="3"/>
      <c r="JUI30" s="3"/>
      <c r="JUJ30" s="3"/>
      <c r="JUK30" s="3"/>
      <c r="JUL30" s="3"/>
      <c r="JUM30" s="3"/>
      <c r="JUN30" s="3"/>
      <c r="JUO30" s="3"/>
      <c r="JUP30" s="3"/>
      <c r="JUQ30" s="3"/>
      <c r="JUR30" s="3"/>
      <c r="JUS30" s="3"/>
      <c r="JUT30" s="3"/>
      <c r="JUU30" s="3"/>
      <c r="JUV30" s="3"/>
      <c r="JUW30" s="3"/>
      <c r="JUX30" s="3"/>
      <c r="JUY30" s="3"/>
      <c r="JUZ30" s="3"/>
      <c r="JVA30" s="3"/>
      <c r="JVB30" s="3"/>
      <c r="JVC30" s="3"/>
      <c r="JVD30" s="3"/>
      <c r="JVE30" s="3"/>
      <c r="JVF30" s="3"/>
      <c r="JVG30" s="3"/>
      <c r="JVH30" s="3"/>
      <c r="JVI30" s="3"/>
      <c r="JVJ30" s="3"/>
      <c r="JVK30" s="3"/>
      <c r="JVL30" s="3"/>
      <c r="JVM30" s="3"/>
      <c r="JVN30" s="3"/>
      <c r="JVO30" s="3"/>
      <c r="JVP30" s="3"/>
      <c r="JVQ30" s="3"/>
      <c r="JVR30" s="3"/>
      <c r="JVS30" s="3"/>
      <c r="JVT30" s="3"/>
      <c r="JVU30" s="3"/>
      <c r="JVV30" s="3"/>
      <c r="JVW30" s="3"/>
      <c r="JVX30" s="3"/>
      <c r="JVY30" s="3"/>
      <c r="JVZ30" s="3"/>
      <c r="JWA30" s="3"/>
      <c r="JWB30" s="3"/>
      <c r="JWC30" s="3"/>
      <c r="JWD30" s="3"/>
      <c r="JWE30" s="3"/>
      <c r="JWF30" s="3"/>
      <c r="JWG30" s="3"/>
      <c r="JWH30" s="3"/>
      <c r="JWI30" s="3"/>
      <c r="JWJ30" s="3"/>
      <c r="JWK30" s="3"/>
      <c r="JWL30" s="3"/>
      <c r="JWM30" s="3"/>
      <c r="JWN30" s="3"/>
      <c r="JWO30" s="3"/>
      <c r="JWP30" s="3"/>
      <c r="JWQ30" s="3"/>
      <c r="JWR30" s="3"/>
      <c r="JWS30" s="3"/>
      <c r="JWT30" s="3"/>
      <c r="JWU30" s="3"/>
      <c r="JWV30" s="3"/>
      <c r="JWW30" s="3"/>
      <c r="JWX30" s="3"/>
      <c r="JWY30" s="3"/>
      <c r="JWZ30" s="3"/>
      <c r="JXA30" s="3"/>
      <c r="JXB30" s="3"/>
      <c r="JXC30" s="3"/>
      <c r="JXD30" s="3"/>
      <c r="JXE30" s="3"/>
      <c r="JXF30" s="3"/>
      <c r="JXG30" s="3"/>
      <c r="JXH30" s="3"/>
      <c r="JXI30" s="3"/>
      <c r="JXJ30" s="3"/>
      <c r="JXK30" s="3"/>
      <c r="JXL30" s="3"/>
      <c r="JXM30" s="3"/>
      <c r="JXN30" s="3"/>
      <c r="JXO30" s="3"/>
      <c r="JXP30" s="3"/>
      <c r="JXQ30" s="3"/>
      <c r="JXR30" s="3"/>
      <c r="JXS30" s="3"/>
      <c r="JXT30" s="3"/>
      <c r="JXU30" s="3"/>
      <c r="JXV30" s="3"/>
      <c r="JXW30" s="3"/>
      <c r="JXX30" s="3"/>
      <c r="JXY30" s="3"/>
      <c r="JXZ30" s="3"/>
      <c r="JYA30" s="3"/>
      <c r="JYB30" s="3"/>
      <c r="JYC30" s="3"/>
      <c r="JYD30" s="3"/>
      <c r="JYE30" s="3"/>
      <c r="JYF30" s="3"/>
      <c r="JYG30" s="3"/>
      <c r="JYH30" s="3"/>
      <c r="JYI30" s="3"/>
      <c r="JYJ30" s="3"/>
      <c r="JYK30" s="3"/>
      <c r="JYL30" s="3"/>
      <c r="JYM30" s="3"/>
      <c r="JYN30" s="3"/>
      <c r="JYO30" s="3"/>
      <c r="JYP30" s="3"/>
      <c r="JYQ30" s="3"/>
      <c r="JYR30" s="3"/>
      <c r="JYS30" s="3"/>
      <c r="JYT30" s="3"/>
      <c r="JYU30" s="3"/>
      <c r="JYV30" s="3"/>
      <c r="JYW30" s="3"/>
      <c r="JYX30" s="3"/>
      <c r="JYY30" s="3"/>
      <c r="JYZ30" s="3"/>
      <c r="JZA30" s="3"/>
      <c r="JZB30" s="3"/>
      <c r="JZC30" s="3"/>
      <c r="JZD30" s="3"/>
      <c r="JZE30" s="3"/>
      <c r="JZF30" s="3"/>
      <c r="JZG30" s="3"/>
      <c r="JZH30" s="3"/>
      <c r="JZI30" s="3"/>
      <c r="JZJ30" s="3"/>
      <c r="JZK30" s="3"/>
      <c r="JZL30" s="3"/>
      <c r="JZM30" s="3"/>
      <c r="JZN30" s="3"/>
      <c r="JZO30" s="3"/>
      <c r="JZP30" s="3"/>
      <c r="JZQ30" s="3"/>
      <c r="JZR30" s="3"/>
      <c r="JZS30" s="3"/>
      <c r="JZT30" s="3"/>
      <c r="JZU30" s="3"/>
      <c r="JZV30" s="3"/>
      <c r="JZW30" s="3"/>
      <c r="JZX30" s="3"/>
      <c r="JZY30" s="3"/>
      <c r="JZZ30" s="3"/>
      <c r="KAA30" s="3"/>
      <c r="KAB30" s="3"/>
      <c r="KAC30" s="3"/>
      <c r="KAD30" s="3"/>
      <c r="KAE30" s="3"/>
      <c r="KAF30" s="3"/>
      <c r="KAG30" s="3"/>
      <c r="KAH30" s="3"/>
      <c r="KAI30" s="3"/>
      <c r="KAJ30" s="3"/>
      <c r="KAK30" s="3"/>
      <c r="KAL30" s="3"/>
      <c r="KAM30" s="3"/>
      <c r="KAN30" s="3"/>
      <c r="KAO30" s="3"/>
      <c r="KAP30" s="3"/>
      <c r="KAQ30" s="3"/>
      <c r="KAR30" s="3"/>
      <c r="KAS30" s="3"/>
      <c r="KAT30" s="3"/>
      <c r="KAU30" s="3"/>
      <c r="KAV30" s="3"/>
      <c r="KAW30" s="3"/>
      <c r="KAX30" s="3"/>
      <c r="KAY30" s="3"/>
      <c r="KAZ30" s="3"/>
      <c r="KBA30" s="3"/>
      <c r="KBB30" s="3"/>
      <c r="KBC30" s="3"/>
      <c r="KBD30" s="3"/>
      <c r="KBE30" s="3"/>
      <c r="KBF30" s="3"/>
      <c r="KBG30" s="3"/>
      <c r="KBH30" s="3"/>
      <c r="KBI30" s="3"/>
      <c r="KBJ30" s="3"/>
      <c r="KBK30" s="3"/>
      <c r="KBL30" s="3"/>
      <c r="KBM30" s="3"/>
      <c r="KBN30" s="3"/>
      <c r="KBO30" s="3"/>
      <c r="KBP30" s="3"/>
      <c r="KBQ30" s="3"/>
      <c r="KBR30" s="3"/>
      <c r="KBS30" s="3"/>
      <c r="KBT30" s="3"/>
      <c r="KBU30" s="3"/>
      <c r="KBV30" s="3"/>
      <c r="KBW30" s="3"/>
      <c r="KBX30" s="3"/>
      <c r="KBY30" s="3"/>
      <c r="KBZ30" s="3"/>
      <c r="KCA30" s="3"/>
      <c r="KCB30" s="3"/>
      <c r="KCC30" s="3"/>
      <c r="KCD30" s="3"/>
      <c r="KCE30" s="3"/>
      <c r="KCF30" s="3"/>
      <c r="KCG30" s="3"/>
      <c r="KCH30" s="3"/>
      <c r="KCI30" s="3"/>
      <c r="KCJ30" s="3"/>
      <c r="KCK30" s="3"/>
      <c r="KCL30" s="3"/>
      <c r="KCM30" s="3"/>
      <c r="KCN30" s="3"/>
      <c r="KCO30" s="3"/>
      <c r="KCP30" s="3"/>
      <c r="KCQ30" s="3"/>
      <c r="KCR30" s="3"/>
      <c r="KCS30" s="3"/>
      <c r="KCT30" s="3"/>
      <c r="KCU30" s="3"/>
      <c r="KCV30" s="3"/>
      <c r="KCW30" s="3"/>
      <c r="KCX30" s="3"/>
      <c r="KCY30" s="3"/>
      <c r="KCZ30" s="3"/>
      <c r="KDA30" s="3"/>
      <c r="KDB30" s="3"/>
      <c r="KDC30" s="3"/>
      <c r="KDD30" s="3"/>
      <c r="KDE30" s="3"/>
      <c r="KDF30" s="3"/>
      <c r="KDG30" s="3"/>
      <c r="KDH30" s="3"/>
      <c r="KDI30" s="3"/>
      <c r="KDJ30" s="3"/>
      <c r="KDK30" s="3"/>
      <c r="KDL30" s="3"/>
      <c r="KDM30" s="3"/>
      <c r="KDN30" s="3"/>
      <c r="KDO30" s="3"/>
      <c r="KDP30" s="3"/>
      <c r="KDQ30" s="3"/>
      <c r="KDR30" s="3"/>
      <c r="KDS30" s="3"/>
      <c r="KDT30" s="3"/>
      <c r="KDU30" s="3"/>
      <c r="KDV30" s="3"/>
      <c r="KDW30" s="3"/>
      <c r="KDX30" s="3"/>
      <c r="KDY30" s="3"/>
      <c r="KDZ30" s="3"/>
      <c r="KEA30" s="3"/>
      <c r="KEB30" s="3"/>
      <c r="KEC30" s="3"/>
      <c r="KED30" s="3"/>
      <c r="KEE30" s="3"/>
      <c r="KEF30" s="3"/>
      <c r="KEG30" s="3"/>
      <c r="KEH30" s="3"/>
      <c r="KEI30" s="3"/>
      <c r="KEJ30" s="3"/>
      <c r="KEK30" s="3"/>
      <c r="KEL30" s="3"/>
      <c r="KEM30" s="3"/>
      <c r="KEN30" s="3"/>
      <c r="KEO30" s="3"/>
      <c r="KEP30" s="3"/>
      <c r="KEQ30" s="3"/>
      <c r="KER30" s="3"/>
      <c r="KES30" s="3"/>
      <c r="KET30" s="3"/>
      <c r="KEU30" s="3"/>
      <c r="KEV30" s="3"/>
      <c r="KEW30" s="3"/>
      <c r="KEX30" s="3"/>
      <c r="KEY30" s="3"/>
      <c r="KEZ30" s="3"/>
      <c r="KFA30" s="3"/>
      <c r="KFB30" s="3"/>
      <c r="KFC30" s="3"/>
      <c r="KFD30" s="3"/>
      <c r="KFE30" s="3"/>
      <c r="KFF30" s="3"/>
      <c r="KFG30" s="3"/>
      <c r="KFH30" s="3"/>
      <c r="KFI30" s="3"/>
      <c r="KFJ30" s="3"/>
      <c r="KFK30" s="3"/>
      <c r="KFL30" s="3"/>
      <c r="KFM30" s="3"/>
      <c r="KFN30" s="3"/>
      <c r="KFO30" s="3"/>
      <c r="KFP30" s="3"/>
      <c r="KFQ30" s="3"/>
      <c r="KFR30" s="3"/>
      <c r="KFS30" s="3"/>
      <c r="KFT30" s="3"/>
      <c r="KFU30" s="3"/>
      <c r="KFV30" s="3"/>
      <c r="KFW30" s="3"/>
      <c r="KFX30" s="3"/>
      <c r="KFY30" s="3"/>
      <c r="KFZ30" s="3"/>
      <c r="KGA30" s="3"/>
      <c r="KGB30" s="3"/>
      <c r="KGC30" s="3"/>
      <c r="KGD30" s="3"/>
      <c r="KGE30" s="3"/>
      <c r="KGF30" s="3"/>
      <c r="KGG30" s="3"/>
      <c r="KGH30" s="3"/>
      <c r="KGI30" s="3"/>
      <c r="KGJ30" s="3"/>
      <c r="KGK30" s="3"/>
      <c r="KGL30" s="3"/>
      <c r="KGM30" s="3"/>
      <c r="KGN30" s="3"/>
      <c r="KGO30" s="3"/>
      <c r="KGP30" s="3"/>
      <c r="KGQ30" s="3"/>
      <c r="KGR30" s="3"/>
      <c r="KGS30" s="3"/>
      <c r="KGT30" s="3"/>
      <c r="KGU30" s="3"/>
      <c r="KGV30" s="3"/>
      <c r="KGW30" s="3"/>
      <c r="KGX30" s="3"/>
      <c r="KGY30" s="3"/>
      <c r="KGZ30" s="3"/>
      <c r="KHA30" s="3"/>
      <c r="KHB30" s="3"/>
      <c r="KHC30" s="3"/>
      <c r="KHD30" s="3"/>
      <c r="KHE30" s="3"/>
      <c r="KHF30" s="3"/>
      <c r="KHG30" s="3"/>
      <c r="KHH30" s="3"/>
      <c r="KHI30" s="3"/>
      <c r="KHJ30" s="3"/>
      <c r="KHK30" s="3"/>
      <c r="KHL30" s="3"/>
      <c r="KHM30" s="3"/>
      <c r="KHN30" s="3"/>
      <c r="KHO30" s="3"/>
      <c r="KHP30" s="3"/>
      <c r="KHQ30" s="3"/>
      <c r="KHR30" s="3"/>
      <c r="KHS30" s="3"/>
      <c r="KHT30" s="3"/>
      <c r="KHU30" s="3"/>
      <c r="KHV30" s="3"/>
      <c r="KHW30" s="3"/>
      <c r="KHX30" s="3"/>
      <c r="KHY30" s="3"/>
      <c r="KHZ30" s="3"/>
      <c r="KIA30" s="3"/>
      <c r="KIB30" s="3"/>
      <c r="KIC30" s="3"/>
      <c r="KID30" s="3"/>
      <c r="KIE30" s="3"/>
      <c r="KIF30" s="3"/>
      <c r="KIG30" s="3"/>
      <c r="KIH30" s="3"/>
      <c r="KII30" s="3"/>
      <c r="KIJ30" s="3"/>
      <c r="KIK30" s="3"/>
      <c r="KIL30" s="3"/>
      <c r="KIM30" s="3"/>
      <c r="KIN30" s="3"/>
      <c r="KIO30" s="3"/>
      <c r="KIP30" s="3"/>
      <c r="KIQ30" s="3"/>
      <c r="KIR30" s="3"/>
      <c r="KIS30" s="3"/>
      <c r="KIT30" s="3"/>
      <c r="KIU30" s="3"/>
      <c r="KIV30" s="3"/>
      <c r="KIW30" s="3"/>
      <c r="KIX30" s="3"/>
      <c r="KIY30" s="3"/>
      <c r="KIZ30" s="3"/>
      <c r="KJA30" s="3"/>
      <c r="KJB30" s="3"/>
      <c r="KJC30" s="3"/>
      <c r="KJD30" s="3"/>
      <c r="KJE30" s="3"/>
      <c r="KJF30" s="3"/>
      <c r="KJG30" s="3"/>
      <c r="KJH30" s="3"/>
      <c r="KJI30" s="3"/>
      <c r="KJJ30" s="3"/>
      <c r="KJK30" s="3"/>
      <c r="KJL30" s="3"/>
      <c r="KJM30" s="3"/>
      <c r="KJN30" s="3"/>
      <c r="KJO30" s="3"/>
      <c r="KJP30" s="3"/>
      <c r="KJQ30" s="3"/>
      <c r="KJR30" s="3"/>
      <c r="KJS30" s="3"/>
      <c r="KJT30" s="3"/>
      <c r="KJU30" s="3"/>
      <c r="KJV30" s="3"/>
      <c r="KJW30" s="3"/>
      <c r="KJX30" s="3"/>
      <c r="KJY30" s="3"/>
      <c r="KJZ30" s="3"/>
      <c r="KKA30" s="3"/>
      <c r="KKB30" s="3"/>
      <c r="KKC30" s="3"/>
      <c r="KKD30" s="3"/>
      <c r="KKE30" s="3"/>
      <c r="KKF30" s="3"/>
      <c r="KKG30" s="3"/>
      <c r="KKH30" s="3"/>
      <c r="KKI30" s="3"/>
      <c r="KKJ30" s="3"/>
      <c r="KKK30" s="3"/>
      <c r="KKL30" s="3"/>
      <c r="KKM30" s="3"/>
      <c r="KKN30" s="3"/>
      <c r="KKO30" s="3"/>
      <c r="KKP30" s="3"/>
      <c r="KKQ30" s="3"/>
      <c r="KKR30" s="3"/>
      <c r="KKS30" s="3"/>
      <c r="KKT30" s="3"/>
      <c r="KKU30" s="3"/>
      <c r="KKV30" s="3"/>
      <c r="KKW30" s="3"/>
      <c r="KKX30" s="3"/>
      <c r="KKY30" s="3"/>
      <c r="KKZ30" s="3"/>
      <c r="KLA30" s="3"/>
      <c r="KLB30" s="3"/>
      <c r="KLC30" s="3"/>
      <c r="KLD30" s="3"/>
      <c r="KLE30" s="3"/>
      <c r="KLF30" s="3"/>
      <c r="KLG30" s="3"/>
      <c r="KLH30" s="3"/>
      <c r="KLI30" s="3"/>
      <c r="KLJ30" s="3"/>
      <c r="KLK30" s="3"/>
      <c r="KLL30" s="3"/>
      <c r="KLM30" s="3"/>
      <c r="KLN30" s="3"/>
      <c r="KLO30" s="3"/>
      <c r="KLP30" s="3"/>
      <c r="KLQ30" s="3"/>
      <c r="KLR30" s="3"/>
      <c r="KLS30" s="3"/>
      <c r="KLT30" s="3"/>
      <c r="KLU30" s="3"/>
      <c r="KLV30" s="3"/>
      <c r="KLW30" s="3"/>
      <c r="KLX30" s="3"/>
      <c r="KLY30" s="3"/>
      <c r="KLZ30" s="3"/>
      <c r="KMA30" s="3"/>
      <c r="KMB30" s="3"/>
      <c r="KMC30" s="3"/>
      <c r="KMD30" s="3"/>
      <c r="KME30" s="3"/>
      <c r="KMF30" s="3"/>
      <c r="KMG30" s="3"/>
      <c r="KMH30" s="3"/>
      <c r="KMI30" s="3"/>
      <c r="KMJ30" s="3"/>
      <c r="KMK30" s="3"/>
      <c r="KML30" s="3"/>
      <c r="KMM30" s="3"/>
      <c r="KMN30" s="3"/>
      <c r="KMO30" s="3"/>
      <c r="KMP30" s="3"/>
      <c r="KMQ30" s="3"/>
      <c r="KMR30" s="3"/>
      <c r="KMS30" s="3"/>
      <c r="KMT30" s="3"/>
      <c r="KMU30" s="3"/>
      <c r="KMV30" s="3"/>
      <c r="KMW30" s="3"/>
      <c r="KMX30" s="3"/>
      <c r="KMY30" s="3"/>
      <c r="KMZ30" s="3"/>
      <c r="KNA30" s="3"/>
      <c r="KNB30" s="3"/>
      <c r="KNC30" s="3"/>
      <c r="KND30" s="3"/>
      <c r="KNE30" s="3"/>
      <c r="KNF30" s="3"/>
      <c r="KNG30" s="3"/>
      <c r="KNH30" s="3"/>
      <c r="KNI30" s="3"/>
      <c r="KNJ30" s="3"/>
      <c r="KNK30" s="3"/>
      <c r="KNL30" s="3"/>
      <c r="KNM30" s="3"/>
      <c r="KNN30" s="3"/>
      <c r="KNO30" s="3"/>
      <c r="KNP30" s="3"/>
      <c r="KNQ30" s="3"/>
      <c r="KNR30" s="3"/>
      <c r="KNS30" s="3"/>
      <c r="KNT30" s="3"/>
      <c r="KNU30" s="3"/>
      <c r="KNV30" s="3"/>
      <c r="KNW30" s="3"/>
      <c r="KNX30" s="3"/>
      <c r="KNY30" s="3"/>
      <c r="KNZ30" s="3"/>
      <c r="KOA30" s="3"/>
      <c r="KOB30" s="3"/>
      <c r="KOC30" s="3"/>
      <c r="KOD30" s="3"/>
      <c r="KOE30" s="3"/>
      <c r="KOF30" s="3"/>
      <c r="KOG30" s="3"/>
      <c r="KOH30" s="3"/>
      <c r="KOI30" s="3"/>
      <c r="KOJ30" s="3"/>
      <c r="KOK30" s="3"/>
      <c r="KOL30" s="3"/>
      <c r="KOM30" s="3"/>
      <c r="KON30" s="3"/>
      <c r="KOO30" s="3"/>
      <c r="KOP30" s="3"/>
      <c r="KOQ30" s="3"/>
      <c r="KOR30" s="3"/>
      <c r="KOS30" s="3"/>
      <c r="KOT30" s="3"/>
      <c r="KOU30" s="3"/>
      <c r="KOV30" s="3"/>
      <c r="KOW30" s="3"/>
      <c r="KOX30" s="3"/>
      <c r="KOY30" s="3"/>
      <c r="KOZ30" s="3"/>
      <c r="KPA30" s="3"/>
      <c r="KPB30" s="3"/>
      <c r="KPC30" s="3"/>
      <c r="KPD30" s="3"/>
      <c r="KPE30" s="3"/>
      <c r="KPF30" s="3"/>
      <c r="KPG30" s="3"/>
      <c r="KPH30" s="3"/>
      <c r="KPI30" s="3"/>
      <c r="KPJ30" s="3"/>
      <c r="KPK30" s="3"/>
      <c r="KPL30" s="3"/>
      <c r="KPM30" s="3"/>
      <c r="KPN30" s="3"/>
      <c r="KPO30" s="3"/>
      <c r="KPP30" s="3"/>
      <c r="KPQ30" s="3"/>
      <c r="KPR30" s="3"/>
      <c r="KPS30" s="3"/>
      <c r="KPT30" s="3"/>
      <c r="KPU30" s="3"/>
      <c r="KPV30" s="3"/>
      <c r="KPW30" s="3"/>
      <c r="KPX30" s="3"/>
      <c r="KPY30" s="3"/>
      <c r="KPZ30" s="3"/>
      <c r="KQA30" s="3"/>
      <c r="KQB30" s="3"/>
      <c r="KQC30" s="3"/>
      <c r="KQD30" s="3"/>
      <c r="KQE30" s="3"/>
      <c r="KQF30" s="3"/>
      <c r="KQG30" s="3"/>
      <c r="KQH30" s="3"/>
      <c r="KQI30" s="3"/>
      <c r="KQJ30" s="3"/>
      <c r="KQK30" s="3"/>
      <c r="KQL30" s="3"/>
      <c r="KQM30" s="3"/>
      <c r="KQN30" s="3"/>
      <c r="KQO30" s="3"/>
      <c r="KQP30" s="3"/>
      <c r="KQQ30" s="3"/>
      <c r="KQR30" s="3"/>
      <c r="KQS30" s="3"/>
      <c r="KQT30" s="3"/>
      <c r="KQU30" s="3"/>
      <c r="KQV30" s="3"/>
      <c r="KQW30" s="3"/>
      <c r="KQX30" s="3"/>
      <c r="KQY30" s="3"/>
      <c r="KQZ30" s="3"/>
      <c r="KRA30" s="3"/>
      <c r="KRB30" s="3"/>
      <c r="KRC30" s="3"/>
      <c r="KRD30" s="3"/>
      <c r="KRE30" s="3"/>
      <c r="KRF30" s="3"/>
      <c r="KRG30" s="3"/>
      <c r="KRH30" s="3"/>
      <c r="KRI30" s="3"/>
      <c r="KRJ30" s="3"/>
      <c r="KRK30" s="3"/>
      <c r="KRL30" s="3"/>
      <c r="KRM30" s="3"/>
      <c r="KRN30" s="3"/>
    </row>
    <row r="31" spans="1:7918" s="172" customFormat="1">
      <c r="A31" s="26" t="e">
        <f t="shared" si="0"/>
        <v>#REF!</v>
      </c>
      <c r="B31" s="388" t="s">
        <v>528</v>
      </c>
      <c r="C31" s="223" t="s">
        <v>608</v>
      </c>
      <c r="D31" s="386" t="s">
        <v>528</v>
      </c>
      <c r="E31" s="173" t="str">
        <f>VLOOKUP(B31,distribucion!B$9:FK$225,2,0)</f>
        <v>Empacadora Liquidos</v>
      </c>
      <c r="F31" s="221">
        <f>VLOOKUP($B31,'Nomina Unhesa'!$B$4:$AB$209,4,0)</f>
        <v>18</v>
      </c>
      <c r="G31" s="229">
        <f>VLOOKUP($B31,'Nomina Unhesa'!$B$4:$AB$209,6,0)</f>
        <v>1899.83</v>
      </c>
      <c r="H31" s="229">
        <f>VLOOKUP($B31,'Nomina Unhesa'!$B$4:$AB$209,7,0)</f>
        <v>600</v>
      </c>
      <c r="I31" s="229">
        <f>VLOOKUP($B31,'Nomina Unhesa'!$B$4:$AB$209,9,0)</f>
        <v>4</v>
      </c>
      <c r="J31" s="234">
        <f>VLOOKUP($B31,'Nomina Unhesa'!$B$4:$AB$209,10,0)</f>
        <v>79.16</v>
      </c>
      <c r="K31" s="229">
        <f>VLOOKUP($B31,'Nomina Unhesa'!$B$4:$AB$209,11,0)</f>
        <v>0</v>
      </c>
      <c r="L31" s="229">
        <f>VLOOKUP($B31,'Nomina Unhesa'!$B$4:$AB$209,12,0)</f>
        <v>0</v>
      </c>
      <c r="M31" s="229">
        <f>VLOOKUP($B31,'Nomina Unhesa'!$B$4:$AB$209,14,0)</f>
        <v>0</v>
      </c>
      <c r="N31" s="234">
        <f>VLOOKUP($B31,'Nomina Unhesa'!$B$4:$AB$209,15,0)</f>
        <v>2578.9899999999998</v>
      </c>
      <c r="O31" s="234">
        <f>VLOOKUP($B31,'Nomina Unhesa'!$B$4:$AB$209,16,0)</f>
        <v>95.59</v>
      </c>
      <c r="P31" s="234">
        <f>VLOOKUP($B31,'Nomina Unhesa'!$B$4:$AB$209,17,0)</f>
        <v>16.600000000000001</v>
      </c>
      <c r="Q31" s="234">
        <f>VLOOKUP($B31,'Nomina Unhesa'!$B$4:$AB$209,18,0)</f>
        <v>0</v>
      </c>
      <c r="R31" s="234">
        <f>VLOOKUP($B31,'Nomina Unhesa'!$B$4:$AB$209,19,0)</f>
        <v>0</v>
      </c>
      <c r="S31" s="234">
        <f>VLOOKUP($B31,'Nomina Unhesa'!$B$4:$AB$209,20,0)</f>
        <v>0</v>
      </c>
      <c r="T31" s="234">
        <f>VLOOKUP($B31,'Nomina Unhesa'!$B$4:$AB$209,21,0)</f>
        <v>0</v>
      </c>
      <c r="U31" s="234">
        <f>VLOOKUP($B31,'Nomina Unhesa'!$B$4:$AB$209,22,0)</f>
        <v>0</v>
      </c>
      <c r="V31" s="234">
        <f>ROUND((VLOOKUP($B31,'Nomina Unhesa'!$B$4:$AB$209,23,0)),2)</f>
        <v>50</v>
      </c>
      <c r="W31" s="234">
        <f>VLOOKUP($B31,'Nomina Unhesa'!$B$4:$AB$209,24,0)</f>
        <v>162.19</v>
      </c>
      <c r="X31" s="234">
        <f>VLOOKUP(B31,'Nomina Unhesa'!$B$9:$Z$163,25,FALSE)</f>
        <v>2416.7999999999997</v>
      </c>
      <c r="Y31" s="234">
        <f>ROUND((VLOOKUP(B31,'Nomina Unhesa'!$B$9:$AB$157,26,FALSE)),2)</f>
        <v>1631.72</v>
      </c>
      <c r="Z31" s="219">
        <f>VLOOKUP(B31,'Nomina Unhesa'!$B$9:$AB$158,27,FALSE)</f>
        <v>785.0799999999997</v>
      </c>
      <c r="AA31" s="444"/>
      <c r="AB31" s="389">
        <f>+IFERROR(VLOOKUP(B31,'Nomina Unhesa'!B52:D195,3,0),"")</f>
        <v>1978.99</v>
      </c>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c r="MU31" s="3"/>
      <c r="MV31" s="3"/>
      <c r="MW31" s="3"/>
      <c r="MX31" s="3"/>
      <c r="MY31" s="3"/>
      <c r="MZ31" s="3"/>
      <c r="NA31" s="3"/>
      <c r="NB31" s="3"/>
      <c r="NC31" s="3"/>
      <c r="ND31" s="3"/>
      <c r="NE31" s="3"/>
      <c r="NF31" s="3"/>
      <c r="NG31" s="3"/>
      <c r="NH31" s="3"/>
      <c r="NI31" s="3"/>
      <c r="NJ31" s="3"/>
      <c r="NK31" s="3"/>
      <c r="NL31" s="3"/>
      <c r="NM31" s="3"/>
      <c r="NN31" s="3"/>
      <c r="NO31" s="3"/>
      <c r="NP31" s="3"/>
      <c r="NQ31" s="3"/>
      <c r="NR31" s="3"/>
      <c r="NS31" s="3"/>
      <c r="NT31" s="3"/>
      <c r="NU31" s="3"/>
      <c r="NV31" s="3"/>
      <c r="NW31" s="3"/>
      <c r="NX31" s="3"/>
      <c r="NY31" s="3"/>
      <c r="NZ31" s="3"/>
      <c r="OA31" s="3"/>
      <c r="OB31" s="3"/>
      <c r="OC31" s="3"/>
      <c r="OD31" s="3"/>
      <c r="OE31" s="3"/>
      <c r="OF31" s="3"/>
      <c r="OG31" s="3"/>
      <c r="OH31" s="3"/>
      <c r="OI31" s="3"/>
      <c r="OJ31" s="3"/>
      <c r="OK31" s="3"/>
      <c r="OL31" s="3"/>
      <c r="OM31" s="3"/>
      <c r="ON31" s="3"/>
      <c r="OO31" s="3"/>
      <c r="OP31" s="3"/>
      <c r="OQ31" s="3"/>
      <c r="OR31" s="3"/>
      <c r="OS31" s="3"/>
      <c r="OT31" s="3"/>
      <c r="OU31" s="3"/>
      <c r="OV31" s="3"/>
      <c r="OW31" s="3"/>
      <c r="OX31" s="3"/>
      <c r="OY31" s="3"/>
      <c r="OZ31" s="3"/>
      <c r="PA31" s="3"/>
      <c r="PB31" s="3"/>
      <c r="PC31" s="3"/>
      <c r="PD31" s="3"/>
      <c r="PE31" s="3"/>
      <c r="PF31" s="3"/>
      <c r="PG31" s="3"/>
      <c r="PH31" s="3"/>
      <c r="PI31" s="3"/>
      <c r="PJ31" s="3"/>
      <c r="PK31" s="3"/>
      <c r="PL31" s="3"/>
      <c r="PM31" s="3"/>
      <c r="PN31" s="3"/>
      <c r="PO31" s="3"/>
      <c r="PP31" s="3"/>
      <c r="PQ31" s="3"/>
      <c r="PR31" s="3"/>
      <c r="PS31" s="3"/>
      <c r="PT31" s="3"/>
      <c r="PU31" s="3"/>
      <c r="PV31" s="3"/>
      <c r="PW31" s="3"/>
      <c r="PX31" s="3"/>
      <c r="PY31" s="3"/>
      <c r="PZ31" s="3"/>
      <c r="QA31" s="3"/>
      <c r="QB31" s="3"/>
      <c r="QC31" s="3"/>
      <c r="QD31" s="3"/>
      <c r="QE31" s="3"/>
      <c r="QF31" s="3"/>
      <c r="QG31" s="3"/>
      <c r="QH31" s="3"/>
      <c r="QI31" s="3"/>
      <c r="QJ31" s="3"/>
      <c r="QK31" s="3"/>
      <c r="QL31" s="3"/>
      <c r="QM31" s="3"/>
      <c r="QN31" s="3"/>
      <c r="QO31" s="3"/>
      <c r="QP31" s="3"/>
      <c r="QQ31" s="3"/>
      <c r="QR31" s="3"/>
      <c r="QS31" s="3"/>
      <c r="QT31" s="3"/>
      <c r="QU31" s="3"/>
      <c r="QV31" s="3"/>
      <c r="QW31" s="3"/>
      <c r="QX31" s="3"/>
      <c r="QY31" s="3"/>
      <c r="QZ31" s="3"/>
      <c r="RA31" s="3"/>
      <c r="RB31" s="3"/>
      <c r="RC31" s="3"/>
      <c r="RD31" s="3"/>
      <c r="RE31" s="3"/>
      <c r="RF31" s="3"/>
      <c r="RG31" s="3"/>
      <c r="RH31" s="3"/>
      <c r="RI31" s="3"/>
      <c r="RJ31" s="3"/>
      <c r="RK31" s="3"/>
      <c r="RL31" s="3"/>
      <c r="RM31" s="3"/>
      <c r="RN31" s="3"/>
      <c r="RO31" s="3"/>
      <c r="RP31" s="3"/>
      <c r="RQ31" s="3"/>
      <c r="RR31" s="3"/>
      <c r="RS31" s="3"/>
      <c r="RT31" s="3"/>
      <c r="RU31" s="3"/>
      <c r="RV31" s="3"/>
      <c r="RW31" s="3"/>
      <c r="RX31" s="3"/>
      <c r="RY31" s="3"/>
      <c r="RZ31" s="3"/>
      <c r="SA31" s="3"/>
      <c r="SB31" s="3"/>
      <c r="SC31" s="3"/>
      <c r="SD31" s="3"/>
      <c r="SE31" s="3"/>
      <c r="SF31" s="3"/>
      <c r="SG31" s="3"/>
      <c r="SH31" s="3"/>
      <c r="SI31" s="3"/>
      <c r="SJ31" s="3"/>
      <c r="SK31" s="3"/>
      <c r="SL31" s="3"/>
      <c r="SM31" s="3"/>
      <c r="SN31" s="3"/>
      <c r="SO31" s="3"/>
      <c r="SP31" s="3"/>
      <c r="SQ31" s="3"/>
      <c r="SR31" s="3"/>
      <c r="SS31" s="3"/>
      <c r="ST31" s="3"/>
      <c r="SU31" s="3"/>
      <c r="SV31" s="3"/>
      <c r="SW31" s="3"/>
      <c r="SX31" s="3"/>
      <c r="SY31" s="3"/>
      <c r="SZ31" s="3"/>
      <c r="TA31" s="3"/>
      <c r="TB31" s="3"/>
      <c r="TC31" s="3"/>
      <c r="TD31" s="3"/>
      <c r="TE31" s="3"/>
      <c r="TF31" s="3"/>
      <c r="TG31" s="3"/>
      <c r="TH31" s="3"/>
      <c r="TI31" s="3"/>
      <c r="TJ31" s="3"/>
      <c r="TK31" s="3"/>
      <c r="TL31" s="3"/>
      <c r="TM31" s="3"/>
      <c r="TN31" s="3"/>
      <c r="TO31" s="3"/>
      <c r="TP31" s="3"/>
      <c r="TQ31" s="3"/>
      <c r="TR31" s="3"/>
      <c r="TS31" s="3"/>
      <c r="TT31" s="3"/>
      <c r="TU31" s="3"/>
      <c r="TV31" s="3"/>
      <c r="TW31" s="3"/>
      <c r="TX31" s="3"/>
      <c r="TY31" s="3"/>
      <c r="TZ31" s="3"/>
      <c r="UA31" s="3"/>
      <c r="UB31" s="3"/>
      <c r="UC31" s="3"/>
      <c r="UD31" s="3"/>
      <c r="UE31" s="3"/>
      <c r="UF31" s="3"/>
      <c r="UG31" s="3"/>
      <c r="UH31" s="3"/>
      <c r="UI31" s="3"/>
      <c r="UJ31" s="3"/>
      <c r="UK31" s="3"/>
      <c r="UL31" s="3"/>
      <c r="UM31" s="3"/>
      <c r="UN31" s="3"/>
      <c r="UO31" s="3"/>
      <c r="UP31" s="3"/>
      <c r="UQ31" s="3"/>
      <c r="UR31" s="3"/>
      <c r="US31" s="3"/>
      <c r="UT31" s="3"/>
      <c r="UU31" s="3"/>
      <c r="UV31" s="3"/>
      <c r="UW31" s="3"/>
      <c r="UX31" s="3"/>
      <c r="UY31" s="3"/>
      <c r="UZ31" s="3"/>
      <c r="VA31" s="3"/>
      <c r="VB31" s="3"/>
      <c r="VC31" s="3"/>
      <c r="VD31" s="3"/>
      <c r="VE31" s="3"/>
      <c r="VF31" s="3"/>
      <c r="VG31" s="3"/>
      <c r="VH31" s="3"/>
      <c r="VI31" s="3"/>
      <c r="VJ31" s="3"/>
      <c r="VK31" s="3"/>
      <c r="VL31" s="3"/>
      <c r="VM31" s="3"/>
      <c r="VN31" s="3"/>
      <c r="VO31" s="3"/>
      <c r="VP31" s="3"/>
      <c r="VQ31" s="3"/>
      <c r="VR31" s="3"/>
      <c r="VS31" s="3"/>
      <c r="VT31" s="3"/>
      <c r="VU31" s="3"/>
      <c r="VV31" s="3"/>
      <c r="VW31" s="3"/>
      <c r="VX31" s="3"/>
      <c r="VY31" s="3"/>
      <c r="VZ31" s="3"/>
      <c r="WA31" s="3"/>
      <c r="WB31" s="3"/>
      <c r="WC31" s="3"/>
      <c r="WD31" s="3"/>
      <c r="WE31" s="3"/>
      <c r="WF31" s="3"/>
      <c r="WG31" s="3"/>
      <c r="WH31" s="3"/>
      <c r="WI31" s="3"/>
      <c r="WJ31" s="3"/>
      <c r="WK31" s="3"/>
      <c r="WL31" s="3"/>
      <c r="WM31" s="3"/>
      <c r="WN31" s="3"/>
      <c r="WO31" s="3"/>
      <c r="WP31" s="3"/>
      <c r="WQ31" s="3"/>
      <c r="WR31" s="3"/>
      <c r="WS31" s="3"/>
      <c r="WT31" s="3"/>
      <c r="WU31" s="3"/>
      <c r="WV31" s="3"/>
      <c r="WW31" s="3"/>
      <c r="WX31" s="3"/>
      <c r="WY31" s="3"/>
      <c r="WZ31" s="3"/>
      <c r="XA31" s="3"/>
      <c r="XB31" s="3"/>
      <c r="XC31" s="3"/>
      <c r="XD31" s="3"/>
      <c r="XE31" s="3"/>
      <c r="XF31" s="3"/>
      <c r="XG31" s="3"/>
      <c r="XH31" s="3"/>
      <c r="XI31" s="3"/>
      <c r="XJ31" s="3"/>
      <c r="XK31" s="3"/>
      <c r="XL31" s="3"/>
      <c r="XM31" s="3"/>
      <c r="XN31" s="3"/>
      <c r="XO31" s="3"/>
      <c r="XP31" s="3"/>
      <c r="XQ31" s="3"/>
      <c r="XR31" s="3"/>
      <c r="XS31" s="3"/>
      <c r="XT31" s="3"/>
      <c r="XU31" s="3"/>
      <c r="XV31" s="3"/>
      <c r="XW31" s="3"/>
      <c r="XX31" s="3"/>
      <c r="XY31" s="3"/>
      <c r="XZ31" s="3"/>
      <c r="YA31" s="3"/>
      <c r="YB31" s="3"/>
      <c r="YC31" s="3"/>
      <c r="YD31" s="3"/>
      <c r="YE31" s="3"/>
      <c r="YF31" s="3"/>
      <c r="YG31" s="3"/>
      <c r="YH31" s="3"/>
      <c r="YI31" s="3"/>
      <c r="YJ31" s="3"/>
      <c r="YK31" s="3"/>
      <c r="YL31" s="3"/>
      <c r="YM31" s="3"/>
      <c r="YN31" s="3"/>
      <c r="YO31" s="3"/>
      <c r="YP31" s="3"/>
      <c r="YQ31" s="3"/>
      <c r="YR31" s="3"/>
      <c r="YS31" s="3"/>
      <c r="YT31" s="3"/>
      <c r="YU31" s="3"/>
      <c r="YV31" s="3"/>
      <c r="YW31" s="3"/>
      <c r="YX31" s="3"/>
      <c r="YY31" s="3"/>
      <c r="YZ31" s="3"/>
      <c r="ZA31" s="3"/>
      <c r="ZB31" s="3"/>
      <c r="ZC31" s="3"/>
      <c r="ZD31" s="3"/>
      <c r="ZE31" s="3"/>
      <c r="ZF31" s="3"/>
      <c r="ZG31" s="3"/>
      <c r="ZH31" s="3"/>
      <c r="ZI31" s="3"/>
      <c r="ZJ31" s="3"/>
      <c r="ZK31" s="3"/>
      <c r="ZL31" s="3"/>
      <c r="ZM31" s="3"/>
      <c r="ZN31" s="3"/>
      <c r="ZO31" s="3"/>
      <c r="ZP31" s="3"/>
      <c r="ZQ31" s="3"/>
      <c r="ZR31" s="3"/>
      <c r="ZS31" s="3"/>
      <c r="ZT31" s="3"/>
      <c r="ZU31" s="3"/>
      <c r="ZV31" s="3"/>
      <c r="ZW31" s="3"/>
      <c r="ZX31" s="3"/>
      <c r="ZY31" s="3"/>
      <c r="ZZ31" s="3"/>
      <c r="AAA31" s="3"/>
      <c r="AAB31" s="3"/>
      <c r="AAC31" s="3"/>
      <c r="AAD31" s="3"/>
      <c r="AAE31" s="3"/>
      <c r="AAF31" s="3"/>
      <c r="AAG31" s="3"/>
      <c r="AAH31" s="3"/>
      <c r="AAI31" s="3"/>
      <c r="AAJ31" s="3"/>
      <c r="AAK31" s="3"/>
      <c r="AAL31" s="3"/>
      <c r="AAM31" s="3"/>
      <c r="AAN31" s="3"/>
      <c r="AAO31" s="3"/>
      <c r="AAP31" s="3"/>
      <c r="AAQ31" s="3"/>
      <c r="AAR31" s="3"/>
      <c r="AAS31" s="3"/>
      <c r="AAT31" s="3"/>
      <c r="AAU31" s="3"/>
      <c r="AAV31" s="3"/>
      <c r="AAW31" s="3"/>
      <c r="AAX31" s="3"/>
      <c r="AAY31" s="3"/>
      <c r="AAZ31" s="3"/>
      <c r="ABA31" s="3"/>
      <c r="ABB31" s="3"/>
      <c r="ABC31" s="3"/>
      <c r="ABD31" s="3"/>
      <c r="ABE31" s="3"/>
      <c r="ABF31" s="3"/>
      <c r="ABG31" s="3"/>
      <c r="ABH31" s="3"/>
      <c r="ABI31" s="3"/>
      <c r="ABJ31" s="3"/>
      <c r="ABK31" s="3"/>
      <c r="ABL31" s="3"/>
      <c r="ABM31" s="3"/>
      <c r="ABN31" s="3"/>
      <c r="ABO31" s="3"/>
      <c r="ABP31" s="3"/>
      <c r="ABQ31" s="3"/>
      <c r="ABR31" s="3"/>
      <c r="ABS31" s="3"/>
      <c r="ABT31" s="3"/>
      <c r="ABU31" s="3"/>
      <c r="ABV31" s="3"/>
      <c r="ABW31" s="3"/>
      <c r="ABX31" s="3"/>
      <c r="ABY31" s="3"/>
      <c r="ABZ31" s="3"/>
      <c r="ACA31" s="3"/>
      <c r="ACB31" s="3"/>
      <c r="ACC31" s="3"/>
      <c r="ACD31" s="3"/>
      <c r="ACE31" s="3"/>
      <c r="ACF31" s="3"/>
      <c r="ACG31" s="3"/>
      <c r="ACH31" s="3"/>
      <c r="ACI31" s="3"/>
      <c r="ACJ31" s="3"/>
      <c r="ACK31" s="3"/>
      <c r="ACL31" s="3"/>
      <c r="ACM31" s="3"/>
      <c r="ACN31" s="3"/>
      <c r="ACO31" s="3"/>
      <c r="ACP31" s="3"/>
      <c r="ACQ31" s="3"/>
      <c r="ACR31" s="3"/>
      <c r="ACS31" s="3"/>
      <c r="ACT31" s="3"/>
      <c r="ACU31" s="3"/>
      <c r="ACV31" s="3"/>
      <c r="ACW31" s="3"/>
      <c r="ACX31" s="3"/>
      <c r="ACY31" s="3"/>
      <c r="ACZ31" s="3"/>
      <c r="ADA31" s="3"/>
      <c r="ADB31" s="3"/>
      <c r="ADC31" s="3"/>
      <c r="ADD31" s="3"/>
      <c r="ADE31" s="3"/>
      <c r="ADF31" s="3"/>
      <c r="ADG31" s="3"/>
      <c r="ADH31" s="3"/>
      <c r="ADI31" s="3"/>
      <c r="ADJ31" s="3"/>
      <c r="ADK31" s="3"/>
      <c r="ADL31" s="3"/>
      <c r="ADM31" s="3"/>
      <c r="ADN31" s="3"/>
      <c r="ADO31" s="3"/>
      <c r="ADP31" s="3"/>
      <c r="ADQ31" s="3"/>
      <c r="ADR31" s="3"/>
      <c r="ADS31" s="3"/>
      <c r="ADT31" s="3"/>
      <c r="ADU31" s="3"/>
      <c r="ADV31" s="3"/>
      <c r="ADW31" s="3"/>
      <c r="ADX31" s="3"/>
      <c r="ADY31" s="3"/>
      <c r="ADZ31" s="3"/>
      <c r="AEA31" s="3"/>
      <c r="AEB31" s="3"/>
      <c r="AEC31" s="3"/>
      <c r="AED31" s="3"/>
      <c r="AEE31" s="3"/>
      <c r="AEF31" s="3"/>
      <c r="AEG31" s="3"/>
      <c r="AEH31" s="3"/>
      <c r="AEI31" s="3"/>
      <c r="AEJ31" s="3"/>
      <c r="AEK31" s="3"/>
      <c r="AEL31" s="3"/>
      <c r="AEM31" s="3"/>
      <c r="AEN31" s="3"/>
      <c r="AEO31" s="3"/>
      <c r="AEP31" s="3"/>
      <c r="AEQ31" s="3"/>
      <c r="AER31" s="3"/>
      <c r="AES31" s="3"/>
      <c r="AET31" s="3"/>
      <c r="AEU31" s="3"/>
      <c r="AEV31" s="3"/>
      <c r="AEW31" s="3"/>
      <c r="AEX31" s="3"/>
      <c r="AEY31" s="3"/>
      <c r="AEZ31" s="3"/>
      <c r="AFA31" s="3"/>
      <c r="AFB31" s="3"/>
      <c r="AFC31" s="3"/>
      <c r="AFD31" s="3"/>
      <c r="AFE31" s="3"/>
      <c r="AFF31" s="3"/>
      <c r="AFG31" s="3"/>
      <c r="AFH31" s="3"/>
      <c r="AFI31" s="3"/>
      <c r="AFJ31" s="3"/>
      <c r="AFK31" s="3"/>
      <c r="AFL31" s="3"/>
      <c r="AFM31" s="3"/>
      <c r="AFN31" s="3"/>
      <c r="AFO31" s="3"/>
      <c r="AFP31" s="3"/>
      <c r="AFQ31" s="3"/>
      <c r="AFR31" s="3"/>
      <c r="AFS31" s="3"/>
      <c r="AFT31" s="3"/>
      <c r="AFU31" s="3"/>
      <c r="AFV31" s="3"/>
      <c r="AFW31" s="3"/>
      <c r="AFX31" s="3"/>
      <c r="AFY31" s="3"/>
      <c r="AFZ31" s="3"/>
      <c r="AGA31" s="3"/>
      <c r="AGB31" s="3"/>
      <c r="AGC31" s="3"/>
      <c r="AGD31" s="3"/>
      <c r="AGE31" s="3"/>
      <c r="AGF31" s="3"/>
      <c r="AGG31" s="3"/>
      <c r="AGH31" s="3"/>
      <c r="AGI31" s="3"/>
      <c r="AGJ31" s="3"/>
      <c r="AGK31" s="3"/>
      <c r="AGL31" s="3"/>
      <c r="AGM31" s="3"/>
      <c r="AGN31" s="3"/>
      <c r="AGO31" s="3"/>
      <c r="AGP31" s="3"/>
      <c r="AGQ31" s="3"/>
      <c r="AGR31" s="3"/>
      <c r="AGS31" s="3"/>
      <c r="AGT31" s="3"/>
      <c r="AGU31" s="3"/>
      <c r="AGV31" s="3"/>
      <c r="AGW31" s="3"/>
      <c r="AGX31" s="3"/>
      <c r="AGY31" s="3"/>
      <c r="AGZ31" s="3"/>
      <c r="AHA31" s="3"/>
      <c r="AHB31" s="3"/>
      <c r="AHC31" s="3"/>
      <c r="AHD31" s="3"/>
      <c r="AHE31" s="3"/>
      <c r="AHF31" s="3"/>
      <c r="AHG31" s="3"/>
      <c r="AHH31" s="3"/>
      <c r="AHI31" s="3"/>
      <c r="AHJ31" s="3"/>
      <c r="AHK31" s="3"/>
      <c r="AHL31" s="3"/>
      <c r="AHM31" s="3"/>
      <c r="AHN31" s="3"/>
      <c r="AHO31" s="3"/>
      <c r="AHP31" s="3"/>
      <c r="AHQ31" s="3"/>
      <c r="AHR31" s="3"/>
      <c r="AHS31" s="3"/>
      <c r="AHT31" s="3"/>
      <c r="AHU31" s="3"/>
      <c r="AHV31" s="3"/>
      <c r="AHW31" s="3"/>
      <c r="AHX31" s="3"/>
      <c r="AHY31" s="3"/>
      <c r="AHZ31" s="3"/>
      <c r="AIA31" s="3"/>
      <c r="AIB31" s="3"/>
      <c r="AIC31" s="3"/>
      <c r="AID31" s="3"/>
      <c r="AIE31" s="3"/>
      <c r="AIF31" s="3"/>
      <c r="AIG31" s="3"/>
      <c r="AIH31" s="3"/>
      <c r="AII31" s="3"/>
      <c r="AIJ31" s="3"/>
      <c r="AIK31" s="3"/>
      <c r="AIL31" s="3"/>
      <c r="AIM31" s="3"/>
      <c r="AIN31" s="3"/>
      <c r="AIO31" s="3"/>
      <c r="AIP31" s="3"/>
      <c r="AIQ31" s="3"/>
      <c r="AIR31" s="3"/>
      <c r="AIS31" s="3"/>
      <c r="AIT31" s="3"/>
      <c r="AIU31" s="3"/>
      <c r="AIV31" s="3"/>
      <c r="AIW31" s="3"/>
      <c r="AIX31" s="3"/>
      <c r="AIY31" s="3"/>
      <c r="AIZ31" s="3"/>
      <c r="AJA31" s="3"/>
      <c r="AJB31" s="3"/>
      <c r="AJC31" s="3"/>
      <c r="AJD31" s="3"/>
      <c r="AJE31" s="3"/>
      <c r="AJF31" s="3"/>
      <c r="AJG31" s="3"/>
      <c r="AJH31" s="3"/>
      <c r="AJI31" s="3"/>
      <c r="AJJ31" s="3"/>
      <c r="AJK31" s="3"/>
      <c r="AJL31" s="3"/>
      <c r="AJM31" s="3"/>
      <c r="AJN31" s="3"/>
      <c r="AJO31" s="3"/>
      <c r="AJP31" s="3"/>
      <c r="AJQ31" s="3"/>
      <c r="AJR31" s="3"/>
      <c r="AJS31" s="3"/>
      <c r="AJT31" s="3"/>
      <c r="AJU31" s="3"/>
      <c r="AJV31" s="3"/>
      <c r="AJW31" s="3"/>
      <c r="AJX31" s="3"/>
      <c r="AJY31" s="3"/>
      <c r="AJZ31" s="3"/>
      <c r="AKA31" s="3"/>
      <c r="AKB31" s="3"/>
      <c r="AKC31" s="3"/>
      <c r="AKD31" s="3"/>
      <c r="AKE31" s="3"/>
      <c r="AKF31" s="3"/>
      <c r="AKG31" s="3"/>
      <c r="AKH31" s="3"/>
      <c r="AKI31" s="3"/>
      <c r="AKJ31" s="3"/>
      <c r="AKK31" s="3"/>
      <c r="AKL31" s="3"/>
      <c r="AKM31" s="3"/>
      <c r="AKN31" s="3"/>
      <c r="AKO31" s="3"/>
      <c r="AKP31" s="3"/>
      <c r="AKQ31" s="3"/>
      <c r="AKR31" s="3"/>
      <c r="AKS31" s="3"/>
      <c r="AKT31" s="3"/>
      <c r="AKU31" s="3"/>
      <c r="AKV31" s="3"/>
      <c r="AKW31" s="3"/>
      <c r="AKX31" s="3"/>
      <c r="AKY31" s="3"/>
      <c r="AKZ31" s="3"/>
      <c r="ALA31" s="3"/>
      <c r="ALB31" s="3"/>
      <c r="ALC31" s="3"/>
      <c r="ALD31" s="3"/>
      <c r="ALE31" s="3"/>
      <c r="ALF31" s="3"/>
      <c r="ALG31" s="3"/>
      <c r="ALH31" s="3"/>
      <c r="ALI31" s="3"/>
      <c r="ALJ31" s="3"/>
      <c r="ALK31" s="3"/>
      <c r="ALL31" s="3"/>
      <c r="ALM31" s="3"/>
      <c r="ALN31" s="3"/>
      <c r="ALO31" s="3"/>
      <c r="ALP31" s="3"/>
      <c r="ALQ31" s="3"/>
      <c r="ALR31" s="3"/>
      <c r="ALS31" s="3"/>
      <c r="ALT31" s="3"/>
      <c r="ALU31" s="3"/>
      <c r="ALV31" s="3"/>
      <c r="ALW31" s="3"/>
      <c r="ALX31" s="3"/>
      <c r="ALY31" s="3"/>
      <c r="ALZ31" s="3"/>
      <c r="AMA31" s="3"/>
      <c r="AMB31" s="3"/>
      <c r="AMC31" s="3"/>
      <c r="AMD31" s="3"/>
      <c r="AME31" s="3"/>
      <c r="AMF31" s="3"/>
      <c r="AMG31" s="3"/>
      <c r="AMH31" s="3"/>
      <c r="AMI31" s="3"/>
      <c r="AMJ31" s="3"/>
      <c r="AMK31" s="3"/>
      <c r="AML31" s="3"/>
      <c r="AMM31" s="3"/>
      <c r="AMN31" s="3"/>
      <c r="AMO31" s="3"/>
      <c r="AMP31" s="3"/>
      <c r="AMQ31" s="3"/>
      <c r="AMR31" s="3"/>
      <c r="AMS31" s="3"/>
      <c r="AMT31" s="3"/>
      <c r="AMU31" s="3"/>
      <c r="AMV31" s="3"/>
      <c r="AMW31" s="3"/>
      <c r="AMX31" s="3"/>
      <c r="AMY31" s="3"/>
      <c r="AMZ31" s="3"/>
      <c r="ANA31" s="3"/>
      <c r="ANB31" s="3"/>
      <c r="ANC31" s="3"/>
      <c r="AND31" s="3"/>
      <c r="ANE31" s="3"/>
      <c r="ANF31" s="3"/>
      <c r="ANG31" s="3"/>
      <c r="ANH31" s="3"/>
      <c r="ANI31" s="3"/>
      <c r="ANJ31" s="3"/>
      <c r="ANK31" s="3"/>
      <c r="ANL31" s="3"/>
      <c r="ANM31" s="3"/>
      <c r="ANN31" s="3"/>
      <c r="ANO31" s="3"/>
      <c r="ANP31" s="3"/>
      <c r="ANQ31" s="3"/>
      <c r="ANR31" s="3"/>
      <c r="ANS31" s="3"/>
      <c r="ANT31" s="3"/>
      <c r="ANU31" s="3"/>
      <c r="ANV31" s="3"/>
      <c r="ANW31" s="3"/>
      <c r="ANX31" s="3"/>
      <c r="ANY31" s="3"/>
      <c r="ANZ31" s="3"/>
      <c r="AOA31" s="3"/>
      <c r="AOB31" s="3"/>
      <c r="AOC31" s="3"/>
      <c r="AOD31" s="3"/>
      <c r="AOE31" s="3"/>
      <c r="AOF31" s="3"/>
      <c r="AOG31" s="3"/>
      <c r="AOH31" s="3"/>
      <c r="AOI31" s="3"/>
      <c r="AOJ31" s="3"/>
      <c r="AOK31" s="3"/>
      <c r="AOL31" s="3"/>
      <c r="AOM31" s="3"/>
      <c r="AON31" s="3"/>
      <c r="AOO31" s="3"/>
      <c r="AOP31" s="3"/>
      <c r="AOQ31" s="3"/>
      <c r="AOR31" s="3"/>
      <c r="AOS31" s="3"/>
      <c r="AOT31" s="3"/>
      <c r="AOU31" s="3"/>
      <c r="AOV31" s="3"/>
      <c r="AOW31" s="3"/>
      <c r="AOX31" s="3"/>
      <c r="AOY31" s="3"/>
      <c r="AOZ31" s="3"/>
      <c r="APA31" s="3"/>
      <c r="APB31" s="3"/>
      <c r="APC31" s="3"/>
      <c r="APD31" s="3"/>
      <c r="APE31" s="3"/>
      <c r="APF31" s="3"/>
      <c r="APG31" s="3"/>
      <c r="APH31" s="3"/>
      <c r="API31" s="3"/>
      <c r="APJ31" s="3"/>
      <c r="APK31" s="3"/>
      <c r="APL31" s="3"/>
      <c r="APM31" s="3"/>
      <c r="APN31" s="3"/>
      <c r="APO31" s="3"/>
      <c r="APP31" s="3"/>
      <c r="APQ31" s="3"/>
      <c r="APR31" s="3"/>
      <c r="APS31" s="3"/>
      <c r="APT31" s="3"/>
      <c r="APU31" s="3"/>
      <c r="APV31" s="3"/>
      <c r="APW31" s="3"/>
      <c r="APX31" s="3"/>
      <c r="APY31" s="3"/>
      <c r="APZ31" s="3"/>
      <c r="AQA31" s="3"/>
      <c r="AQB31" s="3"/>
      <c r="AQC31" s="3"/>
      <c r="AQD31" s="3"/>
      <c r="AQE31" s="3"/>
      <c r="AQF31" s="3"/>
      <c r="AQG31" s="3"/>
      <c r="AQH31" s="3"/>
      <c r="AQI31" s="3"/>
      <c r="AQJ31" s="3"/>
      <c r="AQK31" s="3"/>
      <c r="AQL31" s="3"/>
      <c r="AQM31" s="3"/>
      <c r="AQN31" s="3"/>
      <c r="AQO31" s="3"/>
      <c r="AQP31" s="3"/>
      <c r="AQQ31" s="3"/>
      <c r="AQR31" s="3"/>
      <c r="AQS31" s="3"/>
      <c r="AQT31" s="3"/>
      <c r="AQU31" s="3"/>
      <c r="AQV31" s="3"/>
      <c r="AQW31" s="3"/>
      <c r="AQX31" s="3"/>
      <c r="AQY31" s="3"/>
      <c r="AQZ31" s="3"/>
      <c r="ARA31" s="3"/>
      <c r="ARB31" s="3"/>
      <c r="ARC31" s="3"/>
      <c r="ARD31" s="3"/>
      <c r="ARE31" s="3"/>
      <c r="ARF31" s="3"/>
      <c r="ARG31" s="3"/>
      <c r="ARH31" s="3"/>
      <c r="ARI31" s="3"/>
      <c r="ARJ31" s="3"/>
      <c r="ARK31" s="3"/>
      <c r="ARL31" s="3"/>
      <c r="ARM31" s="3"/>
      <c r="ARN31" s="3"/>
      <c r="ARO31" s="3"/>
      <c r="ARP31" s="3"/>
      <c r="ARQ31" s="3"/>
      <c r="ARR31" s="3"/>
      <c r="ARS31" s="3"/>
      <c r="ART31" s="3"/>
      <c r="ARU31" s="3"/>
      <c r="ARV31" s="3"/>
      <c r="ARW31" s="3"/>
      <c r="ARX31" s="3"/>
      <c r="ARY31" s="3"/>
      <c r="ARZ31" s="3"/>
      <c r="ASA31" s="3"/>
      <c r="ASB31" s="3"/>
      <c r="ASC31" s="3"/>
      <c r="ASD31" s="3"/>
      <c r="ASE31" s="3"/>
      <c r="ASF31" s="3"/>
      <c r="ASG31" s="3"/>
      <c r="ASH31" s="3"/>
      <c r="ASI31" s="3"/>
      <c r="ASJ31" s="3"/>
      <c r="ASK31" s="3"/>
      <c r="ASL31" s="3"/>
      <c r="ASM31" s="3"/>
      <c r="ASN31" s="3"/>
      <c r="ASO31" s="3"/>
      <c r="ASP31" s="3"/>
      <c r="ASQ31" s="3"/>
      <c r="ASR31" s="3"/>
      <c r="ASS31" s="3"/>
      <c r="AST31" s="3"/>
      <c r="ASU31" s="3"/>
      <c r="ASV31" s="3"/>
      <c r="ASW31" s="3"/>
      <c r="ASX31" s="3"/>
      <c r="ASY31" s="3"/>
      <c r="ASZ31" s="3"/>
      <c r="ATA31" s="3"/>
      <c r="ATB31" s="3"/>
      <c r="ATC31" s="3"/>
      <c r="ATD31" s="3"/>
      <c r="ATE31" s="3"/>
      <c r="ATF31" s="3"/>
      <c r="ATG31" s="3"/>
      <c r="ATH31" s="3"/>
      <c r="ATI31" s="3"/>
      <c r="ATJ31" s="3"/>
      <c r="ATK31" s="3"/>
      <c r="ATL31" s="3"/>
      <c r="ATM31" s="3"/>
      <c r="ATN31" s="3"/>
      <c r="ATO31" s="3"/>
      <c r="ATP31" s="3"/>
      <c r="ATQ31" s="3"/>
      <c r="ATR31" s="3"/>
      <c r="ATS31" s="3"/>
      <c r="ATT31" s="3"/>
      <c r="ATU31" s="3"/>
      <c r="ATV31" s="3"/>
      <c r="ATW31" s="3"/>
      <c r="ATX31" s="3"/>
      <c r="ATY31" s="3"/>
      <c r="ATZ31" s="3"/>
      <c r="AUA31" s="3"/>
      <c r="AUB31" s="3"/>
      <c r="AUC31" s="3"/>
      <c r="AUD31" s="3"/>
      <c r="AUE31" s="3"/>
      <c r="AUF31" s="3"/>
      <c r="AUG31" s="3"/>
      <c r="AUH31" s="3"/>
      <c r="AUI31" s="3"/>
      <c r="AUJ31" s="3"/>
      <c r="AUK31" s="3"/>
      <c r="AUL31" s="3"/>
      <c r="AUM31" s="3"/>
      <c r="AUN31" s="3"/>
      <c r="AUO31" s="3"/>
      <c r="AUP31" s="3"/>
      <c r="AUQ31" s="3"/>
      <c r="AUR31" s="3"/>
      <c r="AUS31" s="3"/>
      <c r="AUT31" s="3"/>
      <c r="AUU31" s="3"/>
      <c r="AUV31" s="3"/>
      <c r="AUW31" s="3"/>
      <c r="AUX31" s="3"/>
      <c r="AUY31" s="3"/>
      <c r="AUZ31" s="3"/>
      <c r="AVA31" s="3"/>
      <c r="AVB31" s="3"/>
      <c r="AVC31" s="3"/>
      <c r="AVD31" s="3"/>
      <c r="AVE31" s="3"/>
      <c r="AVF31" s="3"/>
      <c r="AVG31" s="3"/>
      <c r="AVH31" s="3"/>
      <c r="AVI31" s="3"/>
      <c r="AVJ31" s="3"/>
      <c r="AVK31" s="3"/>
      <c r="AVL31" s="3"/>
      <c r="AVM31" s="3"/>
      <c r="AVN31" s="3"/>
      <c r="AVO31" s="3"/>
      <c r="AVP31" s="3"/>
      <c r="AVQ31" s="3"/>
      <c r="AVR31" s="3"/>
      <c r="AVS31" s="3"/>
      <c r="AVT31" s="3"/>
      <c r="AVU31" s="3"/>
      <c r="AVV31" s="3"/>
      <c r="AVW31" s="3"/>
      <c r="AVX31" s="3"/>
      <c r="AVY31" s="3"/>
      <c r="AVZ31" s="3"/>
      <c r="AWA31" s="3"/>
      <c r="AWB31" s="3"/>
      <c r="AWC31" s="3"/>
      <c r="AWD31" s="3"/>
      <c r="AWE31" s="3"/>
      <c r="AWF31" s="3"/>
      <c r="AWG31" s="3"/>
      <c r="AWH31" s="3"/>
      <c r="AWI31" s="3"/>
      <c r="AWJ31" s="3"/>
      <c r="AWK31" s="3"/>
      <c r="AWL31" s="3"/>
      <c r="AWM31" s="3"/>
      <c r="AWN31" s="3"/>
      <c r="AWO31" s="3"/>
      <c r="AWP31" s="3"/>
      <c r="AWQ31" s="3"/>
      <c r="AWR31" s="3"/>
      <c r="AWS31" s="3"/>
      <c r="AWT31" s="3"/>
      <c r="AWU31" s="3"/>
      <c r="AWV31" s="3"/>
      <c r="AWW31" s="3"/>
      <c r="AWX31" s="3"/>
      <c r="AWY31" s="3"/>
      <c r="AWZ31" s="3"/>
      <c r="AXA31" s="3"/>
      <c r="AXB31" s="3"/>
      <c r="AXC31" s="3"/>
      <c r="AXD31" s="3"/>
      <c r="AXE31" s="3"/>
      <c r="AXF31" s="3"/>
      <c r="AXG31" s="3"/>
      <c r="AXH31" s="3"/>
      <c r="AXI31" s="3"/>
      <c r="AXJ31" s="3"/>
      <c r="AXK31" s="3"/>
      <c r="AXL31" s="3"/>
      <c r="AXM31" s="3"/>
      <c r="AXN31" s="3"/>
      <c r="AXO31" s="3"/>
      <c r="AXP31" s="3"/>
      <c r="AXQ31" s="3"/>
      <c r="AXR31" s="3"/>
      <c r="AXS31" s="3"/>
      <c r="AXT31" s="3"/>
      <c r="AXU31" s="3"/>
      <c r="AXV31" s="3"/>
      <c r="AXW31" s="3"/>
      <c r="AXX31" s="3"/>
      <c r="AXY31" s="3"/>
      <c r="AXZ31" s="3"/>
      <c r="AYA31" s="3"/>
      <c r="AYB31" s="3"/>
      <c r="AYC31" s="3"/>
      <c r="AYD31" s="3"/>
      <c r="AYE31" s="3"/>
      <c r="AYF31" s="3"/>
      <c r="AYG31" s="3"/>
      <c r="AYH31" s="3"/>
      <c r="AYI31" s="3"/>
      <c r="AYJ31" s="3"/>
      <c r="AYK31" s="3"/>
      <c r="AYL31" s="3"/>
      <c r="AYM31" s="3"/>
      <c r="AYN31" s="3"/>
      <c r="AYO31" s="3"/>
      <c r="AYP31" s="3"/>
      <c r="AYQ31" s="3"/>
      <c r="AYR31" s="3"/>
      <c r="AYS31" s="3"/>
      <c r="AYT31" s="3"/>
      <c r="AYU31" s="3"/>
      <c r="AYV31" s="3"/>
      <c r="AYW31" s="3"/>
      <c r="AYX31" s="3"/>
      <c r="AYY31" s="3"/>
      <c r="AYZ31" s="3"/>
      <c r="AZA31" s="3"/>
      <c r="AZB31" s="3"/>
      <c r="AZC31" s="3"/>
      <c r="AZD31" s="3"/>
      <c r="AZE31" s="3"/>
      <c r="AZF31" s="3"/>
      <c r="AZG31" s="3"/>
      <c r="AZH31" s="3"/>
      <c r="AZI31" s="3"/>
      <c r="AZJ31" s="3"/>
      <c r="AZK31" s="3"/>
      <c r="AZL31" s="3"/>
      <c r="AZM31" s="3"/>
      <c r="AZN31" s="3"/>
      <c r="AZO31" s="3"/>
      <c r="AZP31" s="3"/>
      <c r="AZQ31" s="3"/>
      <c r="AZR31" s="3"/>
      <c r="AZS31" s="3"/>
      <c r="AZT31" s="3"/>
      <c r="AZU31" s="3"/>
      <c r="AZV31" s="3"/>
      <c r="AZW31" s="3"/>
      <c r="AZX31" s="3"/>
      <c r="AZY31" s="3"/>
      <c r="AZZ31" s="3"/>
      <c r="BAA31" s="3"/>
      <c r="BAB31" s="3"/>
      <c r="BAC31" s="3"/>
      <c r="BAD31" s="3"/>
      <c r="BAE31" s="3"/>
      <c r="BAF31" s="3"/>
      <c r="BAG31" s="3"/>
      <c r="BAH31" s="3"/>
      <c r="BAI31" s="3"/>
      <c r="BAJ31" s="3"/>
      <c r="BAK31" s="3"/>
      <c r="BAL31" s="3"/>
      <c r="BAM31" s="3"/>
      <c r="BAN31" s="3"/>
      <c r="BAO31" s="3"/>
      <c r="BAP31" s="3"/>
      <c r="BAQ31" s="3"/>
      <c r="BAR31" s="3"/>
      <c r="BAS31" s="3"/>
      <c r="BAT31" s="3"/>
      <c r="BAU31" s="3"/>
      <c r="BAV31" s="3"/>
      <c r="BAW31" s="3"/>
      <c r="BAX31" s="3"/>
      <c r="BAY31" s="3"/>
      <c r="BAZ31" s="3"/>
      <c r="BBA31" s="3"/>
      <c r="BBB31" s="3"/>
      <c r="BBC31" s="3"/>
      <c r="BBD31" s="3"/>
      <c r="BBE31" s="3"/>
      <c r="BBF31" s="3"/>
      <c r="BBG31" s="3"/>
      <c r="BBH31" s="3"/>
      <c r="BBI31" s="3"/>
      <c r="BBJ31" s="3"/>
      <c r="BBK31" s="3"/>
      <c r="BBL31" s="3"/>
      <c r="BBM31" s="3"/>
      <c r="BBN31" s="3"/>
      <c r="BBO31" s="3"/>
      <c r="BBP31" s="3"/>
      <c r="BBQ31" s="3"/>
      <c r="BBR31" s="3"/>
      <c r="BBS31" s="3"/>
      <c r="BBT31" s="3"/>
      <c r="BBU31" s="3"/>
      <c r="BBV31" s="3"/>
      <c r="BBW31" s="3"/>
      <c r="BBX31" s="3"/>
      <c r="BBY31" s="3"/>
      <c r="BBZ31" s="3"/>
      <c r="BCA31" s="3"/>
      <c r="BCB31" s="3"/>
      <c r="BCC31" s="3"/>
      <c r="BCD31" s="3"/>
      <c r="BCE31" s="3"/>
      <c r="BCF31" s="3"/>
      <c r="BCG31" s="3"/>
      <c r="BCH31" s="3"/>
      <c r="BCI31" s="3"/>
      <c r="BCJ31" s="3"/>
      <c r="BCK31" s="3"/>
      <c r="BCL31" s="3"/>
      <c r="BCM31" s="3"/>
      <c r="BCN31" s="3"/>
      <c r="BCO31" s="3"/>
      <c r="BCP31" s="3"/>
      <c r="BCQ31" s="3"/>
      <c r="BCR31" s="3"/>
      <c r="BCS31" s="3"/>
      <c r="BCT31" s="3"/>
      <c r="BCU31" s="3"/>
      <c r="BCV31" s="3"/>
      <c r="BCW31" s="3"/>
      <c r="BCX31" s="3"/>
      <c r="BCY31" s="3"/>
      <c r="BCZ31" s="3"/>
      <c r="BDA31" s="3"/>
      <c r="BDB31" s="3"/>
      <c r="BDC31" s="3"/>
      <c r="BDD31" s="3"/>
      <c r="BDE31" s="3"/>
      <c r="BDF31" s="3"/>
      <c r="BDG31" s="3"/>
      <c r="BDH31" s="3"/>
      <c r="BDI31" s="3"/>
      <c r="BDJ31" s="3"/>
      <c r="BDK31" s="3"/>
      <c r="BDL31" s="3"/>
      <c r="BDM31" s="3"/>
      <c r="BDN31" s="3"/>
      <c r="BDO31" s="3"/>
      <c r="BDP31" s="3"/>
      <c r="BDQ31" s="3"/>
      <c r="BDR31" s="3"/>
      <c r="BDS31" s="3"/>
      <c r="BDT31" s="3"/>
      <c r="BDU31" s="3"/>
      <c r="BDV31" s="3"/>
      <c r="BDW31" s="3"/>
      <c r="BDX31" s="3"/>
      <c r="BDY31" s="3"/>
      <c r="BDZ31" s="3"/>
      <c r="BEA31" s="3"/>
      <c r="BEB31" s="3"/>
      <c r="BEC31" s="3"/>
      <c r="BED31" s="3"/>
      <c r="BEE31" s="3"/>
      <c r="BEF31" s="3"/>
      <c r="BEG31" s="3"/>
      <c r="BEH31" s="3"/>
      <c r="BEI31" s="3"/>
      <c r="BEJ31" s="3"/>
      <c r="BEK31" s="3"/>
      <c r="BEL31" s="3"/>
      <c r="BEM31" s="3"/>
      <c r="BEN31" s="3"/>
      <c r="BEO31" s="3"/>
      <c r="BEP31" s="3"/>
      <c r="BEQ31" s="3"/>
      <c r="BER31" s="3"/>
      <c r="BES31" s="3"/>
      <c r="BET31" s="3"/>
      <c r="BEU31" s="3"/>
      <c r="BEV31" s="3"/>
      <c r="BEW31" s="3"/>
      <c r="BEX31" s="3"/>
      <c r="BEY31" s="3"/>
      <c r="BEZ31" s="3"/>
      <c r="BFA31" s="3"/>
      <c r="BFB31" s="3"/>
      <c r="BFC31" s="3"/>
      <c r="BFD31" s="3"/>
      <c r="BFE31" s="3"/>
      <c r="BFF31" s="3"/>
      <c r="BFG31" s="3"/>
      <c r="BFH31" s="3"/>
      <c r="BFI31" s="3"/>
      <c r="BFJ31" s="3"/>
      <c r="BFK31" s="3"/>
      <c r="BFL31" s="3"/>
      <c r="BFM31" s="3"/>
      <c r="BFN31" s="3"/>
      <c r="BFO31" s="3"/>
      <c r="BFP31" s="3"/>
      <c r="BFQ31" s="3"/>
      <c r="BFR31" s="3"/>
      <c r="BFS31" s="3"/>
      <c r="BFT31" s="3"/>
      <c r="BFU31" s="3"/>
      <c r="BFV31" s="3"/>
      <c r="BFW31" s="3"/>
      <c r="BFX31" s="3"/>
      <c r="BFY31" s="3"/>
      <c r="BFZ31" s="3"/>
      <c r="BGA31" s="3"/>
      <c r="BGB31" s="3"/>
      <c r="BGC31" s="3"/>
      <c r="BGD31" s="3"/>
      <c r="BGE31" s="3"/>
      <c r="BGF31" s="3"/>
      <c r="BGG31" s="3"/>
      <c r="BGH31" s="3"/>
      <c r="BGI31" s="3"/>
      <c r="BGJ31" s="3"/>
      <c r="BGK31" s="3"/>
      <c r="BGL31" s="3"/>
      <c r="BGM31" s="3"/>
      <c r="BGN31" s="3"/>
      <c r="BGO31" s="3"/>
      <c r="BGP31" s="3"/>
      <c r="BGQ31" s="3"/>
      <c r="BGR31" s="3"/>
      <c r="BGS31" s="3"/>
      <c r="BGT31" s="3"/>
      <c r="BGU31" s="3"/>
      <c r="BGV31" s="3"/>
      <c r="BGW31" s="3"/>
      <c r="BGX31" s="3"/>
      <c r="BGY31" s="3"/>
      <c r="BGZ31" s="3"/>
      <c r="BHA31" s="3"/>
      <c r="BHB31" s="3"/>
      <c r="BHC31" s="3"/>
      <c r="BHD31" s="3"/>
      <c r="BHE31" s="3"/>
      <c r="BHF31" s="3"/>
      <c r="BHG31" s="3"/>
      <c r="BHH31" s="3"/>
      <c r="BHI31" s="3"/>
      <c r="BHJ31" s="3"/>
      <c r="BHK31" s="3"/>
      <c r="BHL31" s="3"/>
      <c r="BHM31" s="3"/>
      <c r="BHN31" s="3"/>
      <c r="BHO31" s="3"/>
      <c r="BHP31" s="3"/>
      <c r="BHQ31" s="3"/>
      <c r="BHR31" s="3"/>
      <c r="BHS31" s="3"/>
      <c r="BHT31" s="3"/>
      <c r="BHU31" s="3"/>
      <c r="BHV31" s="3"/>
      <c r="BHW31" s="3"/>
      <c r="BHX31" s="3"/>
      <c r="BHY31" s="3"/>
      <c r="BHZ31" s="3"/>
      <c r="BIA31" s="3"/>
      <c r="BIB31" s="3"/>
      <c r="BIC31" s="3"/>
      <c r="BID31" s="3"/>
      <c r="BIE31" s="3"/>
      <c r="BIF31" s="3"/>
      <c r="BIG31" s="3"/>
      <c r="BIH31" s="3"/>
      <c r="BII31" s="3"/>
      <c r="BIJ31" s="3"/>
      <c r="BIK31" s="3"/>
      <c r="BIL31" s="3"/>
      <c r="BIM31" s="3"/>
      <c r="BIN31" s="3"/>
      <c r="BIO31" s="3"/>
      <c r="BIP31" s="3"/>
      <c r="BIQ31" s="3"/>
      <c r="BIR31" s="3"/>
      <c r="BIS31" s="3"/>
      <c r="BIT31" s="3"/>
      <c r="BIU31" s="3"/>
      <c r="BIV31" s="3"/>
      <c r="BIW31" s="3"/>
      <c r="BIX31" s="3"/>
      <c r="BIY31" s="3"/>
      <c r="BIZ31" s="3"/>
      <c r="BJA31" s="3"/>
      <c r="BJB31" s="3"/>
      <c r="BJC31" s="3"/>
      <c r="BJD31" s="3"/>
      <c r="BJE31" s="3"/>
      <c r="BJF31" s="3"/>
      <c r="BJG31" s="3"/>
      <c r="BJH31" s="3"/>
      <c r="BJI31" s="3"/>
      <c r="BJJ31" s="3"/>
      <c r="BJK31" s="3"/>
      <c r="BJL31" s="3"/>
      <c r="BJM31" s="3"/>
      <c r="BJN31" s="3"/>
      <c r="BJO31" s="3"/>
      <c r="BJP31" s="3"/>
      <c r="BJQ31" s="3"/>
      <c r="BJR31" s="3"/>
      <c r="BJS31" s="3"/>
      <c r="BJT31" s="3"/>
      <c r="BJU31" s="3"/>
      <c r="BJV31" s="3"/>
      <c r="BJW31" s="3"/>
      <c r="BJX31" s="3"/>
      <c r="BJY31" s="3"/>
      <c r="BJZ31" s="3"/>
      <c r="BKA31" s="3"/>
      <c r="BKB31" s="3"/>
      <c r="BKC31" s="3"/>
      <c r="BKD31" s="3"/>
      <c r="BKE31" s="3"/>
      <c r="BKF31" s="3"/>
      <c r="BKG31" s="3"/>
      <c r="BKH31" s="3"/>
      <c r="BKI31" s="3"/>
      <c r="BKJ31" s="3"/>
      <c r="BKK31" s="3"/>
      <c r="BKL31" s="3"/>
      <c r="BKM31" s="3"/>
      <c r="BKN31" s="3"/>
      <c r="BKO31" s="3"/>
      <c r="BKP31" s="3"/>
      <c r="BKQ31" s="3"/>
      <c r="BKR31" s="3"/>
      <c r="BKS31" s="3"/>
      <c r="BKT31" s="3"/>
      <c r="BKU31" s="3"/>
      <c r="BKV31" s="3"/>
      <c r="BKW31" s="3"/>
      <c r="BKX31" s="3"/>
      <c r="BKY31" s="3"/>
      <c r="BKZ31" s="3"/>
      <c r="BLA31" s="3"/>
      <c r="BLB31" s="3"/>
      <c r="BLC31" s="3"/>
      <c r="BLD31" s="3"/>
      <c r="BLE31" s="3"/>
      <c r="BLF31" s="3"/>
      <c r="BLG31" s="3"/>
      <c r="BLH31" s="3"/>
      <c r="BLI31" s="3"/>
      <c r="BLJ31" s="3"/>
      <c r="BLK31" s="3"/>
      <c r="BLL31" s="3"/>
      <c r="BLM31" s="3"/>
      <c r="BLN31" s="3"/>
      <c r="BLO31" s="3"/>
      <c r="BLP31" s="3"/>
      <c r="BLQ31" s="3"/>
      <c r="BLR31" s="3"/>
      <c r="BLS31" s="3"/>
      <c r="BLT31" s="3"/>
      <c r="BLU31" s="3"/>
      <c r="BLV31" s="3"/>
      <c r="BLW31" s="3"/>
      <c r="BLX31" s="3"/>
      <c r="BLY31" s="3"/>
      <c r="BLZ31" s="3"/>
      <c r="BMA31" s="3"/>
      <c r="BMB31" s="3"/>
      <c r="BMC31" s="3"/>
      <c r="BMD31" s="3"/>
      <c r="BME31" s="3"/>
      <c r="BMF31" s="3"/>
      <c r="BMG31" s="3"/>
      <c r="BMH31" s="3"/>
      <c r="BMI31" s="3"/>
      <c r="BMJ31" s="3"/>
      <c r="BMK31" s="3"/>
      <c r="BML31" s="3"/>
      <c r="BMM31" s="3"/>
      <c r="BMN31" s="3"/>
      <c r="BMO31" s="3"/>
      <c r="BMP31" s="3"/>
      <c r="BMQ31" s="3"/>
      <c r="BMR31" s="3"/>
      <c r="BMS31" s="3"/>
      <c r="BMT31" s="3"/>
      <c r="BMU31" s="3"/>
      <c r="BMV31" s="3"/>
      <c r="BMW31" s="3"/>
      <c r="BMX31" s="3"/>
      <c r="BMY31" s="3"/>
      <c r="BMZ31" s="3"/>
      <c r="BNA31" s="3"/>
      <c r="BNB31" s="3"/>
      <c r="BNC31" s="3"/>
      <c r="BND31" s="3"/>
      <c r="BNE31" s="3"/>
      <c r="BNF31" s="3"/>
      <c r="BNG31" s="3"/>
      <c r="BNH31" s="3"/>
      <c r="BNI31" s="3"/>
      <c r="BNJ31" s="3"/>
      <c r="BNK31" s="3"/>
      <c r="BNL31" s="3"/>
      <c r="BNM31" s="3"/>
      <c r="BNN31" s="3"/>
      <c r="BNO31" s="3"/>
      <c r="BNP31" s="3"/>
      <c r="BNQ31" s="3"/>
      <c r="BNR31" s="3"/>
      <c r="BNS31" s="3"/>
      <c r="BNT31" s="3"/>
      <c r="BNU31" s="3"/>
      <c r="BNV31" s="3"/>
      <c r="BNW31" s="3"/>
      <c r="BNX31" s="3"/>
      <c r="BNY31" s="3"/>
      <c r="BNZ31" s="3"/>
      <c r="BOA31" s="3"/>
      <c r="BOB31" s="3"/>
      <c r="BOC31" s="3"/>
      <c r="BOD31" s="3"/>
      <c r="BOE31" s="3"/>
      <c r="BOF31" s="3"/>
      <c r="BOG31" s="3"/>
      <c r="BOH31" s="3"/>
      <c r="BOI31" s="3"/>
      <c r="BOJ31" s="3"/>
      <c r="BOK31" s="3"/>
      <c r="BOL31" s="3"/>
      <c r="BOM31" s="3"/>
      <c r="BON31" s="3"/>
      <c r="BOO31" s="3"/>
      <c r="BOP31" s="3"/>
      <c r="BOQ31" s="3"/>
      <c r="BOR31" s="3"/>
      <c r="BOS31" s="3"/>
      <c r="BOT31" s="3"/>
      <c r="BOU31" s="3"/>
      <c r="BOV31" s="3"/>
      <c r="BOW31" s="3"/>
      <c r="BOX31" s="3"/>
      <c r="BOY31" s="3"/>
      <c r="BOZ31" s="3"/>
      <c r="BPA31" s="3"/>
      <c r="BPB31" s="3"/>
      <c r="BPC31" s="3"/>
      <c r="BPD31" s="3"/>
      <c r="BPE31" s="3"/>
      <c r="BPF31" s="3"/>
      <c r="BPG31" s="3"/>
      <c r="BPH31" s="3"/>
      <c r="BPI31" s="3"/>
      <c r="BPJ31" s="3"/>
      <c r="BPK31" s="3"/>
      <c r="BPL31" s="3"/>
      <c r="BPM31" s="3"/>
      <c r="BPN31" s="3"/>
      <c r="BPO31" s="3"/>
      <c r="BPP31" s="3"/>
      <c r="BPQ31" s="3"/>
      <c r="BPR31" s="3"/>
      <c r="BPS31" s="3"/>
      <c r="BPT31" s="3"/>
      <c r="BPU31" s="3"/>
      <c r="BPV31" s="3"/>
      <c r="BPW31" s="3"/>
      <c r="BPX31" s="3"/>
      <c r="BPY31" s="3"/>
      <c r="BPZ31" s="3"/>
      <c r="BQA31" s="3"/>
      <c r="BQB31" s="3"/>
      <c r="BQC31" s="3"/>
      <c r="BQD31" s="3"/>
      <c r="BQE31" s="3"/>
      <c r="BQF31" s="3"/>
      <c r="BQG31" s="3"/>
      <c r="BQH31" s="3"/>
      <c r="BQI31" s="3"/>
      <c r="BQJ31" s="3"/>
      <c r="BQK31" s="3"/>
      <c r="BQL31" s="3"/>
      <c r="BQM31" s="3"/>
      <c r="BQN31" s="3"/>
      <c r="BQO31" s="3"/>
      <c r="BQP31" s="3"/>
      <c r="BQQ31" s="3"/>
      <c r="BQR31" s="3"/>
      <c r="BQS31" s="3"/>
      <c r="BQT31" s="3"/>
      <c r="BQU31" s="3"/>
      <c r="BQV31" s="3"/>
      <c r="BQW31" s="3"/>
      <c r="BQX31" s="3"/>
      <c r="BQY31" s="3"/>
      <c r="BQZ31" s="3"/>
      <c r="BRA31" s="3"/>
      <c r="BRB31" s="3"/>
      <c r="BRC31" s="3"/>
      <c r="BRD31" s="3"/>
      <c r="BRE31" s="3"/>
      <c r="BRF31" s="3"/>
      <c r="BRG31" s="3"/>
      <c r="BRH31" s="3"/>
      <c r="BRI31" s="3"/>
      <c r="BRJ31" s="3"/>
      <c r="BRK31" s="3"/>
      <c r="BRL31" s="3"/>
      <c r="BRM31" s="3"/>
      <c r="BRN31" s="3"/>
      <c r="BRO31" s="3"/>
      <c r="BRP31" s="3"/>
      <c r="BRQ31" s="3"/>
      <c r="BRR31" s="3"/>
      <c r="BRS31" s="3"/>
      <c r="BRT31" s="3"/>
      <c r="BRU31" s="3"/>
      <c r="BRV31" s="3"/>
      <c r="BRW31" s="3"/>
      <c r="BRX31" s="3"/>
      <c r="BRY31" s="3"/>
      <c r="BRZ31" s="3"/>
      <c r="BSA31" s="3"/>
      <c r="BSB31" s="3"/>
      <c r="BSC31" s="3"/>
      <c r="BSD31" s="3"/>
      <c r="BSE31" s="3"/>
      <c r="BSF31" s="3"/>
      <c r="BSG31" s="3"/>
      <c r="BSH31" s="3"/>
      <c r="BSI31" s="3"/>
      <c r="BSJ31" s="3"/>
      <c r="BSK31" s="3"/>
      <c r="BSL31" s="3"/>
      <c r="BSM31" s="3"/>
      <c r="BSN31" s="3"/>
      <c r="BSO31" s="3"/>
      <c r="BSP31" s="3"/>
      <c r="BSQ31" s="3"/>
      <c r="BSR31" s="3"/>
      <c r="BSS31" s="3"/>
      <c r="BST31" s="3"/>
      <c r="BSU31" s="3"/>
      <c r="BSV31" s="3"/>
      <c r="BSW31" s="3"/>
      <c r="BSX31" s="3"/>
      <c r="BSY31" s="3"/>
      <c r="BSZ31" s="3"/>
      <c r="BTA31" s="3"/>
      <c r="BTB31" s="3"/>
      <c r="BTC31" s="3"/>
      <c r="BTD31" s="3"/>
      <c r="BTE31" s="3"/>
      <c r="BTF31" s="3"/>
      <c r="BTG31" s="3"/>
      <c r="BTH31" s="3"/>
      <c r="BTI31" s="3"/>
      <c r="BTJ31" s="3"/>
      <c r="BTK31" s="3"/>
      <c r="BTL31" s="3"/>
      <c r="BTM31" s="3"/>
      <c r="BTN31" s="3"/>
      <c r="BTO31" s="3"/>
      <c r="BTP31" s="3"/>
      <c r="BTQ31" s="3"/>
      <c r="BTR31" s="3"/>
      <c r="BTS31" s="3"/>
      <c r="BTT31" s="3"/>
      <c r="BTU31" s="3"/>
      <c r="BTV31" s="3"/>
      <c r="BTW31" s="3"/>
      <c r="BTX31" s="3"/>
      <c r="BTY31" s="3"/>
      <c r="BTZ31" s="3"/>
      <c r="BUA31" s="3"/>
      <c r="BUB31" s="3"/>
      <c r="BUC31" s="3"/>
      <c r="BUD31" s="3"/>
      <c r="BUE31" s="3"/>
      <c r="BUF31" s="3"/>
      <c r="BUG31" s="3"/>
      <c r="BUH31" s="3"/>
      <c r="BUI31" s="3"/>
      <c r="BUJ31" s="3"/>
      <c r="BUK31" s="3"/>
      <c r="BUL31" s="3"/>
      <c r="BUM31" s="3"/>
      <c r="BUN31" s="3"/>
      <c r="BUO31" s="3"/>
      <c r="BUP31" s="3"/>
      <c r="BUQ31" s="3"/>
      <c r="BUR31" s="3"/>
      <c r="BUS31" s="3"/>
      <c r="BUT31" s="3"/>
      <c r="BUU31" s="3"/>
      <c r="BUV31" s="3"/>
      <c r="BUW31" s="3"/>
      <c r="BUX31" s="3"/>
      <c r="BUY31" s="3"/>
      <c r="BUZ31" s="3"/>
      <c r="BVA31" s="3"/>
      <c r="BVB31" s="3"/>
      <c r="BVC31" s="3"/>
      <c r="BVD31" s="3"/>
      <c r="BVE31" s="3"/>
      <c r="BVF31" s="3"/>
      <c r="BVG31" s="3"/>
      <c r="BVH31" s="3"/>
      <c r="BVI31" s="3"/>
      <c r="BVJ31" s="3"/>
      <c r="BVK31" s="3"/>
      <c r="BVL31" s="3"/>
      <c r="BVM31" s="3"/>
      <c r="BVN31" s="3"/>
      <c r="BVO31" s="3"/>
      <c r="BVP31" s="3"/>
      <c r="BVQ31" s="3"/>
      <c r="BVR31" s="3"/>
      <c r="BVS31" s="3"/>
      <c r="BVT31" s="3"/>
      <c r="BVU31" s="3"/>
      <c r="BVV31" s="3"/>
      <c r="BVW31" s="3"/>
      <c r="BVX31" s="3"/>
      <c r="BVY31" s="3"/>
      <c r="BVZ31" s="3"/>
      <c r="BWA31" s="3"/>
      <c r="BWB31" s="3"/>
      <c r="BWC31" s="3"/>
      <c r="BWD31" s="3"/>
      <c r="BWE31" s="3"/>
      <c r="BWF31" s="3"/>
      <c r="BWG31" s="3"/>
      <c r="BWH31" s="3"/>
      <c r="BWI31" s="3"/>
      <c r="BWJ31" s="3"/>
      <c r="BWK31" s="3"/>
      <c r="BWL31" s="3"/>
      <c r="BWM31" s="3"/>
      <c r="BWN31" s="3"/>
      <c r="BWO31" s="3"/>
      <c r="BWP31" s="3"/>
      <c r="BWQ31" s="3"/>
      <c r="BWR31" s="3"/>
      <c r="BWS31" s="3"/>
      <c r="BWT31" s="3"/>
      <c r="BWU31" s="3"/>
      <c r="BWV31" s="3"/>
      <c r="BWW31" s="3"/>
      <c r="BWX31" s="3"/>
      <c r="BWY31" s="3"/>
      <c r="BWZ31" s="3"/>
      <c r="BXA31" s="3"/>
      <c r="BXB31" s="3"/>
      <c r="BXC31" s="3"/>
      <c r="BXD31" s="3"/>
      <c r="BXE31" s="3"/>
      <c r="BXF31" s="3"/>
      <c r="BXG31" s="3"/>
      <c r="BXH31" s="3"/>
      <c r="BXI31" s="3"/>
      <c r="BXJ31" s="3"/>
      <c r="BXK31" s="3"/>
      <c r="BXL31" s="3"/>
      <c r="BXM31" s="3"/>
      <c r="BXN31" s="3"/>
      <c r="BXO31" s="3"/>
      <c r="BXP31" s="3"/>
      <c r="BXQ31" s="3"/>
      <c r="BXR31" s="3"/>
      <c r="BXS31" s="3"/>
      <c r="BXT31" s="3"/>
      <c r="BXU31" s="3"/>
      <c r="BXV31" s="3"/>
      <c r="BXW31" s="3"/>
      <c r="BXX31" s="3"/>
      <c r="BXY31" s="3"/>
      <c r="BXZ31" s="3"/>
      <c r="BYA31" s="3"/>
      <c r="BYB31" s="3"/>
      <c r="BYC31" s="3"/>
      <c r="BYD31" s="3"/>
      <c r="BYE31" s="3"/>
      <c r="BYF31" s="3"/>
      <c r="BYG31" s="3"/>
      <c r="BYH31" s="3"/>
      <c r="BYI31" s="3"/>
      <c r="BYJ31" s="3"/>
      <c r="BYK31" s="3"/>
      <c r="BYL31" s="3"/>
      <c r="BYM31" s="3"/>
      <c r="BYN31" s="3"/>
      <c r="BYO31" s="3"/>
      <c r="BYP31" s="3"/>
      <c r="BYQ31" s="3"/>
      <c r="BYR31" s="3"/>
      <c r="BYS31" s="3"/>
      <c r="BYT31" s="3"/>
      <c r="BYU31" s="3"/>
      <c r="BYV31" s="3"/>
      <c r="BYW31" s="3"/>
      <c r="BYX31" s="3"/>
      <c r="BYY31" s="3"/>
      <c r="BYZ31" s="3"/>
      <c r="BZA31" s="3"/>
      <c r="BZB31" s="3"/>
      <c r="BZC31" s="3"/>
      <c r="BZD31" s="3"/>
      <c r="BZE31" s="3"/>
      <c r="BZF31" s="3"/>
      <c r="BZG31" s="3"/>
      <c r="BZH31" s="3"/>
      <c r="BZI31" s="3"/>
      <c r="BZJ31" s="3"/>
      <c r="BZK31" s="3"/>
      <c r="BZL31" s="3"/>
      <c r="BZM31" s="3"/>
      <c r="BZN31" s="3"/>
      <c r="BZO31" s="3"/>
      <c r="BZP31" s="3"/>
      <c r="BZQ31" s="3"/>
      <c r="BZR31" s="3"/>
      <c r="BZS31" s="3"/>
      <c r="BZT31" s="3"/>
      <c r="BZU31" s="3"/>
      <c r="BZV31" s="3"/>
      <c r="BZW31" s="3"/>
      <c r="BZX31" s="3"/>
      <c r="BZY31" s="3"/>
      <c r="BZZ31" s="3"/>
      <c r="CAA31" s="3"/>
      <c r="CAB31" s="3"/>
      <c r="CAC31" s="3"/>
      <c r="CAD31" s="3"/>
      <c r="CAE31" s="3"/>
      <c r="CAF31" s="3"/>
      <c r="CAG31" s="3"/>
      <c r="CAH31" s="3"/>
      <c r="CAI31" s="3"/>
      <c r="CAJ31" s="3"/>
      <c r="CAK31" s="3"/>
      <c r="CAL31" s="3"/>
      <c r="CAM31" s="3"/>
      <c r="CAN31" s="3"/>
      <c r="CAO31" s="3"/>
      <c r="CAP31" s="3"/>
      <c r="CAQ31" s="3"/>
      <c r="CAR31" s="3"/>
      <c r="CAS31" s="3"/>
      <c r="CAT31" s="3"/>
      <c r="CAU31" s="3"/>
      <c r="CAV31" s="3"/>
      <c r="CAW31" s="3"/>
      <c r="CAX31" s="3"/>
      <c r="CAY31" s="3"/>
      <c r="CAZ31" s="3"/>
      <c r="CBA31" s="3"/>
      <c r="CBB31" s="3"/>
      <c r="CBC31" s="3"/>
      <c r="CBD31" s="3"/>
      <c r="CBE31" s="3"/>
      <c r="CBF31" s="3"/>
      <c r="CBG31" s="3"/>
      <c r="CBH31" s="3"/>
      <c r="CBI31" s="3"/>
      <c r="CBJ31" s="3"/>
      <c r="CBK31" s="3"/>
      <c r="CBL31" s="3"/>
      <c r="CBM31" s="3"/>
      <c r="CBN31" s="3"/>
      <c r="CBO31" s="3"/>
      <c r="CBP31" s="3"/>
      <c r="CBQ31" s="3"/>
      <c r="CBR31" s="3"/>
      <c r="CBS31" s="3"/>
      <c r="CBT31" s="3"/>
      <c r="CBU31" s="3"/>
      <c r="CBV31" s="3"/>
      <c r="CBW31" s="3"/>
      <c r="CBX31" s="3"/>
      <c r="CBY31" s="3"/>
      <c r="CBZ31" s="3"/>
      <c r="CCA31" s="3"/>
      <c r="CCB31" s="3"/>
      <c r="CCC31" s="3"/>
      <c r="CCD31" s="3"/>
      <c r="CCE31" s="3"/>
      <c r="CCF31" s="3"/>
      <c r="CCG31" s="3"/>
      <c r="CCH31" s="3"/>
      <c r="CCI31" s="3"/>
      <c r="CCJ31" s="3"/>
      <c r="CCK31" s="3"/>
      <c r="CCL31" s="3"/>
      <c r="CCM31" s="3"/>
      <c r="CCN31" s="3"/>
      <c r="CCO31" s="3"/>
      <c r="CCP31" s="3"/>
      <c r="CCQ31" s="3"/>
      <c r="CCR31" s="3"/>
      <c r="CCS31" s="3"/>
      <c r="CCT31" s="3"/>
      <c r="CCU31" s="3"/>
      <c r="CCV31" s="3"/>
      <c r="CCW31" s="3"/>
      <c r="CCX31" s="3"/>
      <c r="CCY31" s="3"/>
      <c r="CCZ31" s="3"/>
      <c r="CDA31" s="3"/>
      <c r="CDB31" s="3"/>
      <c r="CDC31" s="3"/>
      <c r="CDD31" s="3"/>
      <c r="CDE31" s="3"/>
      <c r="CDF31" s="3"/>
      <c r="CDG31" s="3"/>
      <c r="CDH31" s="3"/>
      <c r="CDI31" s="3"/>
      <c r="CDJ31" s="3"/>
      <c r="CDK31" s="3"/>
      <c r="CDL31" s="3"/>
      <c r="CDM31" s="3"/>
      <c r="CDN31" s="3"/>
      <c r="CDO31" s="3"/>
      <c r="CDP31" s="3"/>
      <c r="CDQ31" s="3"/>
      <c r="CDR31" s="3"/>
      <c r="CDS31" s="3"/>
      <c r="CDT31" s="3"/>
      <c r="CDU31" s="3"/>
      <c r="CDV31" s="3"/>
      <c r="CDW31" s="3"/>
      <c r="CDX31" s="3"/>
      <c r="CDY31" s="3"/>
      <c r="CDZ31" s="3"/>
      <c r="CEA31" s="3"/>
      <c r="CEB31" s="3"/>
      <c r="CEC31" s="3"/>
      <c r="CED31" s="3"/>
      <c r="CEE31" s="3"/>
      <c r="CEF31" s="3"/>
      <c r="CEG31" s="3"/>
      <c r="CEH31" s="3"/>
      <c r="CEI31" s="3"/>
      <c r="CEJ31" s="3"/>
      <c r="CEK31" s="3"/>
      <c r="CEL31" s="3"/>
      <c r="CEM31" s="3"/>
      <c r="CEN31" s="3"/>
      <c r="CEO31" s="3"/>
      <c r="CEP31" s="3"/>
      <c r="CEQ31" s="3"/>
      <c r="CER31" s="3"/>
      <c r="CES31" s="3"/>
      <c r="CET31" s="3"/>
      <c r="CEU31" s="3"/>
      <c r="CEV31" s="3"/>
      <c r="CEW31" s="3"/>
      <c r="CEX31" s="3"/>
      <c r="CEY31" s="3"/>
      <c r="CEZ31" s="3"/>
      <c r="CFA31" s="3"/>
      <c r="CFB31" s="3"/>
      <c r="CFC31" s="3"/>
      <c r="CFD31" s="3"/>
      <c r="CFE31" s="3"/>
      <c r="CFF31" s="3"/>
      <c r="CFG31" s="3"/>
      <c r="CFH31" s="3"/>
      <c r="CFI31" s="3"/>
      <c r="CFJ31" s="3"/>
      <c r="CFK31" s="3"/>
      <c r="CFL31" s="3"/>
      <c r="CFM31" s="3"/>
      <c r="CFN31" s="3"/>
      <c r="CFO31" s="3"/>
      <c r="CFP31" s="3"/>
      <c r="CFQ31" s="3"/>
      <c r="CFR31" s="3"/>
      <c r="CFS31" s="3"/>
      <c r="CFT31" s="3"/>
      <c r="CFU31" s="3"/>
      <c r="CFV31" s="3"/>
      <c r="CFW31" s="3"/>
      <c r="CFX31" s="3"/>
      <c r="CFY31" s="3"/>
      <c r="CFZ31" s="3"/>
      <c r="CGA31" s="3"/>
      <c r="CGB31" s="3"/>
      <c r="CGC31" s="3"/>
      <c r="CGD31" s="3"/>
      <c r="CGE31" s="3"/>
      <c r="CGF31" s="3"/>
      <c r="CGG31" s="3"/>
      <c r="CGH31" s="3"/>
      <c r="CGI31" s="3"/>
      <c r="CGJ31" s="3"/>
      <c r="CGK31" s="3"/>
      <c r="CGL31" s="3"/>
      <c r="CGM31" s="3"/>
      <c r="CGN31" s="3"/>
      <c r="CGO31" s="3"/>
      <c r="CGP31" s="3"/>
      <c r="CGQ31" s="3"/>
      <c r="CGR31" s="3"/>
      <c r="CGS31" s="3"/>
      <c r="CGT31" s="3"/>
      <c r="CGU31" s="3"/>
      <c r="CGV31" s="3"/>
      <c r="CGW31" s="3"/>
      <c r="CGX31" s="3"/>
      <c r="CGY31" s="3"/>
      <c r="CGZ31" s="3"/>
      <c r="CHA31" s="3"/>
      <c r="CHB31" s="3"/>
      <c r="CHC31" s="3"/>
      <c r="CHD31" s="3"/>
      <c r="CHE31" s="3"/>
      <c r="CHF31" s="3"/>
      <c r="CHG31" s="3"/>
      <c r="CHH31" s="3"/>
      <c r="CHI31" s="3"/>
      <c r="CHJ31" s="3"/>
      <c r="CHK31" s="3"/>
      <c r="CHL31" s="3"/>
      <c r="CHM31" s="3"/>
      <c r="CHN31" s="3"/>
      <c r="CHO31" s="3"/>
      <c r="CHP31" s="3"/>
      <c r="CHQ31" s="3"/>
      <c r="CHR31" s="3"/>
      <c r="CHS31" s="3"/>
      <c r="CHT31" s="3"/>
      <c r="CHU31" s="3"/>
      <c r="CHV31" s="3"/>
      <c r="CHW31" s="3"/>
      <c r="CHX31" s="3"/>
      <c r="CHY31" s="3"/>
      <c r="CHZ31" s="3"/>
      <c r="CIA31" s="3"/>
      <c r="CIB31" s="3"/>
      <c r="CIC31" s="3"/>
      <c r="CID31" s="3"/>
      <c r="CIE31" s="3"/>
      <c r="CIF31" s="3"/>
      <c r="CIG31" s="3"/>
      <c r="CIH31" s="3"/>
      <c r="CII31" s="3"/>
      <c r="CIJ31" s="3"/>
      <c r="CIK31" s="3"/>
      <c r="CIL31" s="3"/>
      <c r="CIM31" s="3"/>
      <c r="CIN31" s="3"/>
      <c r="CIO31" s="3"/>
      <c r="CIP31" s="3"/>
      <c r="CIQ31" s="3"/>
      <c r="CIR31" s="3"/>
      <c r="CIS31" s="3"/>
      <c r="CIT31" s="3"/>
      <c r="CIU31" s="3"/>
      <c r="CIV31" s="3"/>
      <c r="CIW31" s="3"/>
      <c r="CIX31" s="3"/>
      <c r="CIY31" s="3"/>
      <c r="CIZ31" s="3"/>
      <c r="CJA31" s="3"/>
      <c r="CJB31" s="3"/>
      <c r="CJC31" s="3"/>
      <c r="CJD31" s="3"/>
      <c r="CJE31" s="3"/>
      <c r="CJF31" s="3"/>
      <c r="CJG31" s="3"/>
      <c r="CJH31" s="3"/>
      <c r="CJI31" s="3"/>
      <c r="CJJ31" s="3"/>
      <c r="CJK31" s="3"/>
      <c r="CJL31" s="3"/>
      <c r="CJM31" s="3"/>
      <c r="CJN31" s="3"/>
      <c r="CJO31" s="3"/>
      <c r="CJP31" s="3"/>
      <c r="CJQ31" s="3"/>
      <c r="CJR31" s="3"/>
      <c r="CJS31" s="3"/>
      <c r="CJT31" s="3"/>
      <c r="CJU31" s="3"/>
      <c r="CJV31" s="3"/>
      <c r="CJW31" s="3"/>
      <c r="CJX31" s="3"/>
      <c r="CJY31" s="3"/>
      <c r="CJZ31" s="3"/>
      <c r="CKA31" s="3"/>
      <c r="CKB31" s="3"/>
      <c r="CKC31" s="3"/>
      <c r="CKD31" s="3"/>
      <c r="CKE31" s="3"/>
      <c r="CKF31" s="3"/>
      <c r="CKG31" s="3"/>
      <c r="CKH31" s="3"/>
      <c r="CKI31" s="3"/>
      <c r="CKJ31" s="3"/>
      <c r="CKK31" s="3"/>
      <c r="CKL31" s="3"/>
      <c r="CKM31" s="3"/>
      <c r="CKN31" s="3"/>
      <c r="CKO31" s="3"/>
      <c r="CKP31" s="3"/>
      <c r="CKQ31" s="3"/>
      <c r="CKR31" s="3"/>
      <c r="CKS31" s="3"/>
      <c r="CKT31" s="3"/>
      <c r="CKU31" s="3"/>
      <c r="CKV31" s="3"/>
      <c r="CKW31" s="3"/>
      <c r="CKX31" s="3"/>
      <c r="CKY31" s="3"/>
      <c r="CKZ31" s="3"/>
      <c r="CLA31" s="3"/>
      <c r="CLB31" s="3"/>
      <c r="CLC31" s="3"/>
      <c r="CLD31" s="3"/>
      <c r="CLE31" s="3"/>
      <c r="CLF31" s="3"/>
      <c r="CLG31" s="3"/>
      <c r="CLH31" s="3"/>
      <c r="CLI31" s="3"/>
      <c r="CLJ31" s="3"/>
      <c r="CLK31" s="3"/>
      <c r="CLL31" s="3"/>
      <c r="CLM31" s="3"/>
      <c r="CLN31" s="3"/>
      <c r="CLO31" s="3"/>
      <c r="CLP31" s="3"/>
      <c r="CLQ31" s="3"/>
      <c r="CLR31" s="3"/>
      <c r="CLS31" s="3"/>
      <c r="CLT31" s="3"/>
      <c r="CLU31" s="3"/>
      <c r="CLV31" s="3"/>
      <c r="CLW31" s="3"/>
      <c r="CLX31" s="3"/>
      <c r="CLY31" s="3"/>
      <c r="CLZ31" s="3"/>
      <c r="CMA31" s="3"/>
      <c r="CMB31" s="3"/>
      <c r="CMC31" s="3"/>
      <c r="CMD31" s="3"/>
      <c r="CME31" s="3"/>
      <c r="CMF31" s="3"/>
      <c r="CMG31" s="3"/>
      <c r="CMH31" s="3"/>
      <c r="CMI31" s="3"/>
      <c r="CMJ31" s="3"/>
      <c r="CMK31" s="3"/>
      <c r="CML31" s="3"/>
      <c r="CMM31" s="3"/>
      <c r="CMN31" s="3"/>
      <c r="CMO31" s="3"/>
      <c r="CMP31" s="3"/>
      <c r="CMQ31" s="3"/>
      <c r="CMR31" s="3"/>
      <c r="CMS31" s="3"/>
      <c r="CMT31" s="3"/>
      <c r="CMU31" s="3"/>
      <c r="CMV31" s="3"/>
      <c r="CMW31" s="3"/>
      <c r="CMX31" s="3"/>
      <c r="CMY31" s="3"/>
      <c r="CMZ31" s="3"/>
      <c r="CNA31" s="3"/>
      <c r="CNB31" s="3"/>
      <c r="CNC31" s="3"/>
      <c r="CND31" s="3"/>
      <c r="CNE31" s="3"/>
      <c r="CNF31" s="3"/>
      <c r="CNG31" s="3"/>
      <c r="CNH31" s="3"/>
      <c r="CNI31" s="3"/>
      <c r="CNJ31" s="3"/>
      <c r="CNK31" s="3"/>
      <c r="CNL31" s="3"/>
      <c r="CNM31" s="3"/>
      <c r="CNN31" s="3"/>
      <c r="CNO31" s="3"/>
      <c r="CNP31" s="3"/>
      <c r="CNQ31" s="3"/>
      <c r="CNR31" s="3"/>
      <c r="CNS31" s="3"/>
      <c r="CNT31" s="3"/>
      <c r="CNU31" s="3"/>
      <c r="CNV31" s="3"/>
      <c r="CNW31" s="3"/>
      <c r="CNX31" s="3"/>
      <c r="CNY31" s="3"/>
      <c r="CNZ31" s="3"/>
      <c r="COA31" s="3"/>
      <c r="COB31" s="3"/>
      <c r="COC31" s="3"/>
      <c r="COD31" s="3"/>
      <c r="COE31" s="3"/>
      <c r="COF31" s="3"/>
      <c r="COG31" s="3"/>
      <c r="COH31" s="3"/>
      <c r="COI31" s="3"/>
      <c r="COJ31" s="3"/>
      <c r="COK31" s="3"/>
      <c r="COL31" s="3"/>
      <c r="COM31" s="3"/>
      <c r="CON31" s="3"/>
      <c r="COO31" s="3"/>
      <c r="COP31" s="3"/>
      <c r="COQ31" s="3"/>
      <c r="COR31" s="3"/>
      <c r="COS31" s="3"/>
      <c r="COT31" s="3"/>
      <c r="COU31" s="3"/>
      <c r="COV31" s="3"/>
      <c r="COW31" s="3"/>
      <c r="COX31" s="3"/>
      <c r="COY31" s="3"/>
      <c r="COZ31" s="3"/>
      <c r="CPA31" s="3"/>
      <c r="CPB31" s="3"/>
      <c r="CPC31" s="3"/>
      <c r="CPD31" s="3"/>
      <c r="CPE31" s="3"/>
      <c r="CPF31" s="3"/>
      <c r="CPG31" s="3"/>
      <c r="CPH31" s="3"/>
      <c r="CPI31" s="3"/>
      <c r="CPJ31" s="3"/>
      <c r="CPK31" s="3"/>
      <c r="CPL31" s="3"/>
      <c r="CPM31" s="3"/>
      <c r="CPN31" s="3"/>
      <c r="CPO31" s="3"/>
      <c r="CPP31" s="3"/>
      <c r="CPQ31" s="3"/>
      <c r="CPR31" s="3"/>
      <c r="CPS31" s="3"/>
      <c r="CPT31" s="3"/>
      <c r="CPU31" s="3"/>
      <c r="CPV31" s="3"/>
      <c r="CPW31" s="3"/>
      <c r="CPX31" s="3"/>
      <c r="CPY31" s="3"/>
      <c r="CPZ31" s="3"/>
      <c r="CQA31" s="3"/>
      <c r="CQB31" s="3"/>
      <c r="CQC31" s="3"/>
      <c r="CQD31" s="3"/>
      <c r="CQE31" s="3"/>
      <c r="CQF31" s="3"/>
      <c r="CQG31" s="3"/>
      <c r="CQH31" s="3"/>
      <c r="CQI31" s="3"/>
      <c r="CQJ31" s="3"/>
      <c r="CQK31" s="3"/>
      <c r="CQL31" s="3"/>
      <c r="CQM31" s="3"/>
      <c r="CQN31" s="3"/>
      <c r="CQO31" s="3"/>
      <c r="CQP31" s="3"/>
      <c r="CQQ31" s="3"/>
      <c r="CQR31" s="3"/>
      <c r="CQS31" s="3"/>
      <c r="CQT31" s="3"/>
      <c r="CQU31" s="3"/>
      <c r="CQV31" s="3"/>
      <c r="CQW31" s="3"/>
      <c r="CQX31" s="3"/>
      <c r="CQY31" s="3"/>
      <c r="CQZ31" s="3"/>
      <c r="CRA31" s="3"/>
      <c r="CRB31" s="3"/>
      <c r="CRC31" s="3"/>
      <c r="CRD31" s="3"/>
      <c r="CRE31" s="3"/>
      <c r="CRF31" s="3"/>
      <c r="CRG31" s="3"/>
      <c r="CRH31" s="3"/>
      <c r="CRI31" s="3"/>
      <c r="CRJ31" s="3"/>
      <c r="CRK31" s="3"/>
      <c r="CRL31" s="3"/>
      <c r="CRM31" s="3"/>
      <c r="CRN31" s="3"/>
      <c r="CRO31" s="3"/>
      <c r="CRP31" s="3"/>
      <c r="CRQ31" s="3"/>
      <c r="CRR31" s="3"/>
      <c r="CRS31" s="3"/>
      <c r="CRT31" s="3"/>
      <c r="CRU31" s="3"/>
      <c r="CRV31" s="3"/>
      <c r="CRW31" s="3"/>
      <c r="CRX31" s="3"/>
      <c r="CRY31" s="3"/>
      <c r="CRZ31" s="3"/>
      <c r="CSA31" s="3"/>
      <c r="CSB31" s="3"/>
      <c r="CSC31" s="3"/>
      <c r="CSD31" s="3"/>
      <c r="CSE31" s="3"/>
      <c r="CSF31" s="3"/>
      <c r="CSG31" s="3"/>
      <c r="CSH31" s="3"/>
      <c r="CSI31" s="3"/>
      <c r="CSJ31" s="3"/>
      <c r="CSK31" s="3"/>
      <c r="CSL31" s="3"/>
      <c r="CSM31" s="3"/>
      <c r="CSN31" s="3"/>
      <c r="CSO31" s="3"/>
      <c r="CSP31" s="3"/>
      <c r="CSQ31" s="3"/>
      <c r="CSR31" s="3"/>
      <c r="CSS31" s="3"/>
      <c r="CST31" s="3"/>
      <c r="CSU31" s="3"/>
      <c r="CSV31" s="3"/>
      <c r="CSW31" s="3"/>
      <c r="CSX31" s="3"/>
      <c r="CSY31" s="3"/>
      <c r="CSZ31" s="3"/>
      <c r="CTA31" s="3"/>
      <c r="CTB31" s="3"/>
      <c r="CTC31" s="3"/>
      <c r="CTD31" s="3"/>
      <c r="CTE31" s="3"/>
      <c r="CTF31" s="3"/>
      <c r="CTG31" s="3"/>
      <c r="CTH31" s="3"/>
      <c r="CTI31" s="3"/>
      <c r="CTJ31" s="3"/>
      <c r="CTK31" s="3"/>
      <c r="CTL31" s="3"/>
      <c r="CTM31" s="3"/>
      <c r="CTN31" s="3"/>
      <c r="CTO31" s="3"/>
      <c r="CTP31" s="3"/>
      <c r="CTQ31" s="3"/>
      <c r="CTR31" s="3"/>
      <c r="CTS31" s="3"/>
      <c r="CTT31" s="3"/>
      <c r="CTU31" s="3"/>
      <c r="CTV31" s="3"/>
      <c r="CTW31" s="3"/>
      <c r="CTX31" s="3"/>
      <c r="CTY31" s="3"/>
      <c r="CTZ31" s="3"/>
      <c r="CUA31" s="3"/>
      <c r="CUB31" s="3"/>
      <c r="CUC31" s="3"/>
      <c r="CUD31" s="3"/>
      <c r="CUE31" s="3"/>
      <c r="CUF31" s="3"/>
      <c r="CUG31" s="3"/>
      <c r="CUH31" s="3"/>
      <c r="CUI31" s="3"/>
      <c r="CUJ31" s="3"/>
      <c r="CUK31" s="3"/>
      <c r="CUL31" s="3"/>
      <c r="CUM31" s="3"/>
      <c r="CUN31" s="3"/>
      <c r="CUO31" s="3"/>
      <c r="CUP31" s="3"/>
      <c r="CUQ31" s="3"/>
      <c r="CUR31" s="3"/>
      <c r="CUS31" s="3"/>
      <c r="CUT31" s="3"/>
      <c r="CUU31" s="3"/>
      <c r="CUV31" s="3"/>
      <c r="CUW31" s="3"/>
      <c r="CUX31" s="3"/>
      <c r="CUY31" s="3"/>
      <c r="CUZ31" s="3"/>
      <c r="CVA31" s="3"/>
      <c r="CVB31" s="3"/>
      <c r="CVC31" s="3"/>
      <c r="CVD31" s="3"/>
      <c r="CVE31" s="3"/>
      <c r="CVF31" s="3"/>
      <c r="CVG31" s="3"/>
      <c r="CVH31" s="3"/>
      <c r="CVI31" s="3"/>
      <c r="CVJ31" s="3"/>
      <c r="CVK31" s="3"/>
      <c r="CVL31" s="3"/>
      <c r="CVM31" s="3"/>
      <c r="CVN31" s="3"/>
      <c r="CVO31" s="3"/>
      <c r="CVP31" s="3"/>
      <c r="CVQ31" s="3"/>
      <c r="CVR31" s="3"/>
      <c r="CVS31" s="3"/>
      <c r="CVT31" s="3"/>
      <c r="CVU31" s="3"/>
      <c r="CVV31" s="3"/>
      <c r="CVW31" s="3"/>
      <c r="CVX31" s="3"/>
      <c r="CVY31" s="3"/>
      <c r="CVZ31" s="3"/>
      <c r="CWA31" s="3"/>
      <c r="CWB31" s="3"/>
      <c r="CWC31" s="3"/>
      <c r="CWD31" s="3"/>
      <c r="CWE31" s="3"/>
      <c r="CWF31" s="3"/>
      <c r="CWG31" s="3"/>
      <c r="CWH31" s="3"/>
      <c r="CWI31" s="3"/>
      <c r="CWJ31" s="3"/>
      <c r="CWK31" s="3"/>
      <c r="CWL31" s="3"/>
      <c r="CWM31" s="3"/>
      <c r="CWN31" s="3"/>
      <c r="CWO31" s="3"/>
      <c r="CWP31" s="3"/>
      <c r="CWQ31" s="3"/>
      <c r="CWR31" s="3"/>
      <c r="CWS31" s="3"/>
      <c r="CWT31" s="3"/>
      <c r="CWU31" s="3"/>
      <c r="CWV31" s="3"/>
      <c r="CWW31" s="3"/>
      <c r="CWX31" s="3"/>
      <c r="CWY31" s="3"/>
      <c r="CWZ31" s="3"/>
      <c r="CXA31" s="3"/>
      <c r="CXB31" s="3"/>
      <c r="CXC31" s="3"/>
      <c r="CXD31" s="3"/>
      <c r="CXE31" s="3"/>
      <c r="CXF31" s="3"/>
      <c r="CXG31" s="3"/>
      <c r="CXH31" s="3"/>
      <c r="CXI31" s="3"/>
      <c r="CXJ31" s="3"/>
      <c r="CXK31" s="3"/>
      <c r="CXL31" s="3"/>
      <c r="CXM31" s="3"/>
      <c r="CXN31" s="3"/>
      <c r="CXO31" s="3"/>
      <c r="CXP31" s="3"/>
      <c r="CXQ31" s="3"/>
      <c r="CXR31" s="3"/>
      <c r="CXS31" s="3"/>
      <c r="CXT31" s="3"/>
      <c r="CXU31" s="3"/>
      <c r="CXV31" s="3"/>
      <c r="CXW31" s="3"/>
      <c r="CXX31" s="3"/>
      <c r="CXY31" s="3"/>
      <c r="CXZ31" s="3"/>
      <c r="CYA31" s="3"/>
      <c r="CYB31" s="3"/>
      <c r="CYC31" s="3"/>
      <c r="CYD31" s="3"/>
      <c r="CYE31" s="3"/>
      <c r="CYF31" s="3"/>
      <c r="CYG31" s="3"/>
      <c r="CYH31" s="3"/>
      <c r="CYI31" s="3"/>
      <c r="CYJ31" s="3"/>
      <c r="CYK31" s="3"/>
      <c r="CYL31" s="3"/>
      <c r="CYM31" s="3"/>
      <c r="CYN31" s="3"/>
      <c r="CYO31" s="3"/>
      <c r="CYP31" s="3"/>
      <c r="CYQ31" s="3"/>
      <c r="CYR31" s="3"/>
      <c r="CYS31" s="3"/>
      <c r="CYT31" s="3"/>
      <c r="CYU31" s="3"/>
      <c r="CYV31" s="3"/>
      <c r="CYW31" s="3"/>
      <c r="CYX31" s="3"/>
      <c r="CYY31" s="3"/>
      <c r="CYZ31" s="3"/>
      <c r="CZA31" s="3"/>
      <c r="CZB31" s="3"/>
      <c r="CZC31" s="3"/>
      <c r="CZD31" s="3"/>
      <c r="CZE31" s="3"/>
      <c r="CZF31" s="3"/>
      <c r="CZG31" s="3"/>
      <c r="CZH31" s="3"/>
      <c r="CZI31" s="3"/>
      <c r="CZJ31" s="3"/>
      <c r="CZK31" s="3"/>
      <c r="CZL31" s="3"/>
      <c r="CZM31" s="3"/>
      <c r="CZN31" s="3"/>
      <c r="CZO31" s="3"/>
      <c r="CZP31" s="3"/>
      <c r="CZQ31" s="3"/>
      <c r="CZR31" s="3"/>
      <c r="CZS31" s="3"/>
      <c r="CZT31" s="3"/>
      <c r="CZU31" s="3"/>
      <c r="CZV31" s="3"/>
      <c r="CZW31" s="3"/>
      <c r="CZX31" s="3"/>
      <c r="CZY31" s="3"/>
      <c r="CZZ31" s="3"/>
      <c r="DAA31" s="3"/>
      <c r="DAB31" s="3"/>
      <c r="DAC31" s="3"/>
      <c r="DAD31" s="3"/>
      <c r="DAE31" s="3"/>
      <c r="DAF31" s="3"/>
      <c r="DAG31" s="3"/>
      <c r="DAH31" s="3"/>
      <c r="DAI31" s="3"/>
      <c r="DAJ31" s="3"/>
      <c r="DAK31" s="3"/>
      <c r="DAL31" s="3"/>
      <c r="DAM31" s="3"/>
      <c r="DAN31" s="3"/>
      <c r="DAO31" s="3"/>
      <c r="DAP31" s="3"/>
      <c r="DAQ31" s="3"/>
      <c r="DAR31" s="3"/>
      <c r="DAS31" s="3"/>
      <c r="DAT31" s="3"/>
      <c r="DAU31" s="3"/>
      <c r="DAV31" s="3"/>
      <c r="DAW31" s="3"/>
      <c r="DAX31" s="3"/>
      <c r="DAY31" s="3"/>
      <c r="DAZ31" s="3"/>
      <c r="DBA31" s="3"/>
      <c r="DBB31" s="3"/>
      <c r="DBC31" s="3"/>
      <c r="DBD31" s="3"/>
      <c r="DBE31" s="3"/>
      <c r="DBF31" s="3"/>
      <c r="DBG31" s="3"/>
      <c r="DBH31" s="3"/>
      <c r="DBI31" s="3"/>
      <c r="DBJ31" s="3"/>
      <c r="DBK31" s="3"/>
      <c r="DBL31" s="3"/>
      <c r="DBM31" s="3"/>
      <c r="DBN31" s="3"/>
      <c r="DBO31" s="3"/>
      <c r="DBP31" s="3"/>
      <c r="DBQ31" s="3"/>
      <c r="DBR31" s="3"/>
      <c r="DBS31" s="3"/>
      <c r="DBT31" s="3"/>
      <c r="DBU31" s="3"/>
      <c r="DBV31" s="3"/>
      <c r="DBW31" s="3"/>
      <c r="DBX31" s="3"/>
      <c r="DBY31" s="3"/>
      <c r="DBZ31" s="3"/>
      <c r="DCA31" s="3"/>
      <c r="DCB31" s="3"/>
      <c r="DCC31" s="3"/>
      <c r="DCD31" s="3"/>
      <c r="DCE31" s="3"/>
      <c r="DCF31" s="3"/>
      <c r="DCG31" s="3"/>
      <c r="DCH31" s="3"/>
      <c r="DCI31" s="3"/>
      <c r="DCJ31" s="3"/>
      <c r="DCK31" s="3"/>
      <c r="DCL31" s="3"/>
      <c r="DCM31" s="3"/>
      <c r="DCN31" s="3"/>
      <c r="DCO31" s="3"/>
      <c r="DCP31" s="3"/>
      <c r="DCQ31" s="3"/>
      <c r="DCR31" s="3"/>
      <c r="DCS31" s="3"/>
      <c r="DCT31" s="3"/>
      <c r="DCU31" s="3"/>
      <c r="DCV31" s="3"/>
      <c r="DCW31" s="3"/>
      <c r="DCX31" s="3"/>
      <c r="DCY31" s="3"/>
      <c r="DCZ31" s="3"/>
      <c r="DDA31" s="3"/>
      <c r="DDB31" s="3"/>
      <c r="DDC31" s="3"/>
      <c r="DDD31" s="3"/>
      <c r="DDE31" s="3"/>
      <c r="DDF31" s="3"/>
      <c r="DDG31" s="3"/>
      <c r="DDH31" s="3"/>
      <c r="DDI31" s="3"/>
      <c r="DDJ31" s="3"/>
      <c r="DDK31" s="3"/>
      <c r="DDL31" s="3"/>
      <c r="DDM31" s="3"/>
      <c r="DDN31" s="3"/>
      <c r="DDO31" s="3"/>
      <c r="DDP31" s="3"/>
      <c r="DDQ31" s="3"/>
      <c r="DDR31" s="3"/>
      <c r="DDS31" s="3"/>
      <c r="DDT31" s="3"/>
      <c r="DDU31" s="3"/>
      <c r="DDV31" s="3"/>
      <c r="DDW31" s="3"/>
      <c r="DDX31" s="3"/>
      <c r="DDY31" s="3"/>
      <c r="DDZ31" s="3"/>
      <c r="DEA31" s="3"/>
      <c r="DEB31" s="3"/>
      <c r="DEC31" s="3"/>
      <c r="DED31" s="3"/>
      <c r="DEE31" s="3"/>
      <c r="DEF31" s="3"/>
      <c r="DEG31" s="3"/>
      <c r="DEH31" s="3"/>
      <c r="DEI31" s="3"/>
      <c r="DEJ31" s="3"/>
      <c r="DEK31" s="3"/>
      <c r="DEL31" s="3"/>
      <c r="DEM31" s="3"/>
      <c r="DEN31" s="3"/>
      <c r="DEO31" s="3"/>
      <c r="DEP31" s="3"/>
      <c r="DEQ31" s="3"/>
      <c r="DER31" s="3"/>
      <c r="DES31" s="3"/>
      <c r="DET31" s="3"/>
      <c r="DEU31" s="3"/>
      <c r="DEV31" s="3"/>
      <c r="DEW31" s="3"/>
      <c r="DEX31" s="3"/>
      <c r="DEY31" s="3"/>
      <c r="DEZ31" s="3"/>
      <c r="DFA31" s="3"/>
      <c r="DFB31" s="3"/>
      <c r="DFC31" s="3"/>
      <c r="DFD31" s="3"/>
      <c r="DFE31" s="3"/>
      <c r="DFF31" s="3"/>
      <c r="DFG31" s="3"/>
      <c r="DFH31" s="3"/>
      <c r="DFI31" s="3"/>
      <c r="DFJ31" s="3"/>
      <c r="DFK31" s="3"/>
      <c r="DFL31" s="3"/>
      <c r="DFM31" s="3"/>
      <c r="DFN31" s="3"/>
      <c r="DFO31" s="3"/>
      <c r="DFP31" s="3"/>
      <c r="DFQ31" s="3"/>
      <c r="DFR31" s="3"/>
      <c r="DFS31" s="3"/>
      <c r="DFT31" s="3"/>
      <c r="DFU31" s="3"/>
      <c r="DFV31" s="3"/>
      <c r="DFW31" s="3"/>
      <c r="DFX31" s="3"/>
      <c r="DFY31" s="3"/>
      <c r="DFZ31" s="3"/>
      <c r="DGA31" s="3"/>
      <c r="DGB31" s="3"/>
      <c r="DGC31" s="3"/>
      <c r="DGD31" s="3"/>
      <c r="DGE31" s="3"/>
      <c r="DGF31" s="3"/>
      <c r="DGG31" s="3"/>
      <c r="DGH31" s="3"/>
      <c r="DGI31" s="3"/>
      <c r="DGJ31" s="3"/>
      <c r="DGK31" s="3"/>
      <c r="DGL31" s="3"/>
      <c r="DGM31" s="3"/>
      <c r="DGN31" s="3"/>
      <c r="DGO31" s="3"/>
      <c r="DGP31" s="3"/>
      <c r="DGQ31" s="3"/>
      <c r="DGR31" s="3"/>
      <c r="DGS31" s="3"/>
      <c r="DGT31" s="3"/>
      <c r="DGU31" s="3"/>
      <c r="DGV31" s="3"/>
      <c r="DGW31" s="3"/>
      <c r="DGX31" s="3"/>
      <c r="DGY31" s="3"/>
      <c r="DGZ31" s="3"/>
      <c r="DHA31" s="3"/>
      <c r="DHB31" s="3"/>
      <c r="DHC31" s="3"/>
      <c r="DHD31" s="3"/>
      <c r="DHE31" s="3"/>
      <c r="DHF31" s="3"/>
      <c r="DHG31" s="3"/>
      <c r="DHH31" s="3"/>
      <c r="DHI31" s="3"/>
      <c r="DHJ31" s="3"/>
      <c r="DHK31" s="3"/>
      <c r="DHL31" s="3"/>
      <c r="DHM31" s="3"/>
      <c r="DHN31" s="3"/>
      <c r="DHO31" s="3"/>
      <c r="DHP31" s="3"/>
      <c r="DHQ31" s="3"/>
      <c r="DHR31" s="3"/>
      <c r="DHS31" s="3"/>
      <c r="DHT31" s="3"/>
      <c r="DHU31" s="3"/>
      <c r="DHV31" s="3"/>
      <c r="DHW31" s="3"/>
      <c r="DHX31" s="3"/>
      <c r="DHY31" s="3"/>
      <c r="DHZ31" s="3"/>
      <c r="DIA31" s="3"/>
      <c r="DIB31" s="3"/>
      <c r="DIC31" s="3"/>
      <c r="DID31" s="3"/>
      <c r="DIE31" s="3"/>
      <c r="DIF31" s="3"/>
      <c r="DIG31" s="3"/>
      <c r="DIH31" s="3"/>
      <c r="DII31" s="3"/>
      <c r="DIJ31" s="3"/>
      <c r="DIK31" s="3"/>
      <c r="DIL31" s="3"/>
      <c r="DIM31" s="3"/>
      <c r="DIN31" s="3"/>
      <c r="DIO31" s="3"/>
      <c r="DIP31" s="3"/>
      <c r="DIQ31" s="3"/>
      <c r="DIR31" s="3"/>
      <c r="DIS31" s="3"/>
      <c r="DIT31" s="3"/>
      <c r="DIU31" s="3"/>
      <c r="DIV31" s="3"/>
      <c r="DIW31" s="3"/>
      <c r="DIX31" s="3"/>
      <c r="DIY31" s="3"/>
      <c r="DIZ31" s="3"/>
      <c r="DJA31" s="3"/>
      <c r="DJB31" s="3"/>
      <c r="DJC31" s="3"/>
      <c r="DJD31" s="3"/>
      <c r="DJE31" s="3"/>
      <c r="DJF31" s="3"/>
      <c r="DJG31" s="3"/>
      <c r="DJH31" s="3"/>
      <c r="DJI31" s="3"/>
      <c r="DJJ31" s="3"/>
      <c r="DJK31" s="3"/>
      <c r="DJL31" s="3"/>
      <c r="DJM31" s="3"/>
      <c r="DJN31" s="3"/>
      <c r="DJO31" s="3"/>
      <c r="DJP31" s="3"/>
      <c r="DJQ31" s="3"/>
      <c r="DJR31" s="3"/>
      <c r="DJS31" s="3"/>
      <c r="DJT31" s="3"/>
      <c r="DJU31" s="3"/>
      <c r="DJV31" s="3"/>
      <c r="DJW31" s="3"/>
      <c r="DJX31" s="3"/>
      <c r="DJY31" s="3"/>
      <c r="DJZ31" s="3"/>
      <c r="DKA31" s="3"/>
      <c r="DKB31" s="3"/>
      <c r="DKC31" s="3"/>
      <c r="DKD31" s="3"/>
      <c r="DKE31" s="3"/>
      <c r="DKF31" s="3"/>
      <c r="DKG31" s="3"/>
      <c r="DKH31" s="3"/>
      <c r="DKI31" s="3"/>
      <c r="DKJ31" s="3"/>
      <c r="DKK31" s="3"/>
      <c r="DKL31" s="3"/>
      <c r="DKM31" s="3"/>
      <c r="DKN31" s="3"/>
      <c r="DKO31" s="3"/>
      <c r="DKP31" s="3"/>
      <c r="DKQ31" s="3"/>
      <c r="DKR31" s="3"/>
      <c r="DKS31" s="3"/>
      <c r="DKT31" s="3"/>
      <c r="DKU31" s="3"/>
      <c r="DKV31" s="3"/>
      <c r="DKW31" s="3"/>
      <c r="DKX31" s="3"/>
      <c r="DKY31" s="3"/>
      <c r="DKZ31" s="3"/>
      <c r="DLA31" s="3"/>
      <c r="DLB31" s="3"/>
      <c r="DLC31" s="3"/>
      <c r="DLD31" s="3"/>
      <c r="DLE31" s="3"/>
      <c r="DLF31" s="3"/>
      <c r="DLG31" s="3"/>
      <c r="DLH31" s="3"/>
      <c r="DLI31" s="3"/>
      <c r="DLJ31" s="3"/>
      <c r="DLK31" s="3"/>
      <c r="DLL31" s="3"/>
      <c r="DLM31" s="3"/>
      <c r="DLN31" s="3"/>
      <c r="DLO31" s="3"/>
      <c r="DLP31" s="3"/>
      <c r="DLQ31" s="3"/>
      <c r="DLR31" s="3"/>
      <c r="DLS31" s="3"/>
      <c r="DLT31" s="3"/>
      <c r="DLU31" s="3"/>
      <c r="DLV31" s="3"/>
      <c r="DLW31" s="3"/>
      <c r="DLX31" s="3"/>
      <c r="DLY31" s="3"/>
      <c r="DLZ31" s="3"/>
      <c r="DMA31" s="3"/>
      <c r="DMB31" s="3"/>
      <c r="DMC31" s="3"/>
      <c r="DMD31" s="3"/>
      <c r="DME31" s="3"/>
      <c r="DMF31" s="3"/>
      <c r="DMG31" s="3"/>
      <c r="DMH31" s="3"/>
      <c r="DMI31" s="3"/>
      <c r="DMJ31" s="3"/>
      <c r="DMK31" s="3"/>
      <c r="DML31" s="3"/>
      <c r="DMM31" s="3"/>
      <c r="DMN31" s="3"/>
      <c r="DMO31" s="3"/>
      <c r="DMP31" s="3"/>
      <c r="DMQ31" s="3"/>
      <c r="DMR31" s="3"/>
      <c r="DMS31" s="3"/>
      <c r="DMT31" s="3"/>
      <c r="DMU31" s="3"/>
      <c r="DMV31" s="3"/>
      <c r="DMW31" s="3"/>
      <c r="DMX31" s="3"/>
      <c r="DMY31" s="3"/>
      <c r="DMZ31" s="3"/>
      <c r="DNA31" s="3"/>
      <c r="DNB31" s="3"/>
      <c r="DNC31" s="3"/>
      <c r="DND31" s="3"/>
      <c r="DNE31" s="3"/>
      <c r="DNF31" s="3"/>
      <c r="DNG31" s="3"/>
      <c r="DNH31" s="3"/>
      <c r="DNI31" s="3"/>
      <c r="DNJ31" s="3"/>
      <c r="DNK31" s="3"/>
      <c r="DNL31" s="3"/>
      <c r="DNM31" s="3"/>
      <c r="DNN31" s="3"/>
      <c r="DNO31" s="3"/>
      <c r="DNP31" s="3"/>
      <c r="DNQ31" s="3"/>
      <c r="DNR31" s="3"/>
      <c r="DNS31" s="3"/>
      <c r="DNT31" s="3"/>
      <c r="DNU31" s="3"/>
      <c r="DNV31" s="3"/>
      <c r="DNW31" s="3"/>
      <c r="DNX31" s="3"/>
      <c r="DNY31" s="3"/>
      <c r="DNZ31" s="3"/>
      <c r="DOA31" s="3"/>
      <c r="DOB31" s="3"/>
      <c r="DOC31" s="3"/>
      <c r="DOD31" s="3"/>
      <c r="DOE31" s="3"/>
      <c r="DOF31" s="3"/>
      <c r="DOG31" s="3"/>
      <c r="DOH31" s="3"/>
      <c r="DOI31" s="3"/>
      <c r="DOJ31" s="3"/>
      <c r="DOK31" s="3"/>
      <c r="DOL31" s="3"/>
      <c r="DOM31" s="3"/>
      <c r="DON31" s="3"/>
      <c r="DOO31" s="3"/>
      <c r="DOP31" s="3"/>
      <c r="DOQ31" s="3"/>
      <c r="DOR31" s="3"/>
      <c r="DOS31" s="3"/>
      <c r="DOT31" s="3"/>
      <c r="DOU31" s="3"/>
      <c r="DOV31" s="3"/>
      <c r="DOW31" s="3"/>
      <c r="DOX31" s="3"/>
      <c r="DOY31" s="3"/>
      <c r="DOZ31" s="3"/>
      <c r="DPA31" s="3"/>
      <c r="DPB31" s="3"/>
      <c r="DPC31" s="3"/>
      <c r="DPD31" s="3"/>
      <c r="DPE31" s="3"/>
      <c r="DPF31" s="3"/>
      <c r="DPG31" s="3"/>
      <c r="DPH31" s="3"/>
      <c r="DPI31" s="3"/>
      <c r="DPJ31" s="3"/>
      <c r="DPK31" s="3"/>
      <c r="DPL31" s="3"/>
      <c r="DPM31" s="3"/>
      <c r="DPN31" s="3"/>
      <c r="DPO31" s="3"/>
      <c r="DPP31" s="3"/>
      <c r="DPQ31" s="3"/>
      <c r="DPR31" s="3"/>
      <c r="DPS31" s="3"/>
      <c r="DPT31" s="3"/>
      <c r="DPU31" s="3"/>
      <c r="DPV31" s="3"/>
      <c r="DPW31" s="3"/>
      <c r="DPX31" s="3"/>
      <c r="DPY31" s="3"/>
      <c r="DPZ31" s="3"/>
      <c r="DQA31" s="3"/>
      <c r="DQB31" s="3"/>
      <c r="DQC31" s="3"/>
      <c r="DQD31" s="3"/>
      <c r="DQE31" s="3"/>
      <c r="DQF31" s="3"/>
      <c r="DQG31" s="3"/>
      <c r="DQH31" s="3"/>
      <c r="DQI31" s="3"/>
      <c r="DQJ31" s="3"/>
      <c r="DQK31" s="3"/>
      <c r="DQL31" s="3"/>
      <c r="DQM31" s="3"/>
      <c r="DQN31" s="3"/>
      <c r="DQO31" s="3"/>
      <c r="DQP31" s="3"/>
      <c r="DQQ31" s="3"/>
      <c r="DQR31" s="3"/>
      <c r="DQS31" s="3"/>
      <c r="DQT31" s="3"/>
      <c r="DQU31" s="3"/>
      <c r="DQV31" s="3"/>
      <c r="DQW31" s="3"/>
      <c r="DQX31" s="3"/>
      <c r="DQY31" s="3"/>
      <c r="DQZ31" s="3"/>
      <c r="DRA31" s="3"/>
      <c r="DRB31" s="3"/>
      <c r="DRC31" s="3"/>
      <c r="DRD31" s="3"/>
      <c r="DRE31" s="3"/>
      <c r="DRF31" s="3"/>
      <c r="DRG31" s="3"/>
      <c r="DRH31" s="3"/>
      <c r="DRI31" s="3"/>
      <c r="DRJ31" s="3"/>
      <c r="DRK31" s="3"/>
      <c r="DRL31" s="3"/>
      <c r="DRM31" s="3"/>
      <c r="DRN31" s="3"/>
      <c r="DRO31" s="3"/>
      <c r="DRP31" s="3"/>
      <c r="DRQ31" s="3"/>
      <c r="DRR31" s="3"/>
      <c r="DRS31" s="3"/>
      <c r="DRT31" s="3"/>
      <c r="DRU31" s="3"/>
      <c r="DRV31" s="3"/>
      <c r="DRW31" s="3"/>
      <c r="DRX31" s="3"/>
      <c r="DRY31" s="3"/>
      <c r="DRZ31" s="3"/>
      <c r="DSA31" s="3"/>
      <c r="DSB31" s="3"/>
      <c r="DSC31" s="3"/>
      <c r="DSD31" s="3"/>
      <c r="DSE31" s="3"/>
      <c r="DSF31" s="3"/>
      <c r="DSG31" s="3"/>
      <c r="DSH31" s="3"/>
      <c r="DSI31" s="3"/>
      <c r="DSJ31" s="3"/>
      <c r="DSK31" s="3"/>
      <c r="DSL31" s="3"/>
      <c r="DSM31" s="3"/>
      <c r="DSN31" s="3"/>
      <c r="DSO31" s="3"/>
      <c r="DSP31" s="3"/>
      <c r="DSQ31" s="3"/>
      <c r="DSR31" s="3"/>
      <c r="DSS31" s="3"/>
      <c r="DST31" s="3"/>
      <c r="DSU31" s="3"/>
      <c r="DSV31" s="3"/>
      <c r="DSW31" s="3"/>
      <c r="DSX31" s="3"/>
      <c r="DSY31" s="3"/>
      <c r="DSZ31" s="3"/>
      <c r="DTA31" s="3"/>
      <c r="DTB31" s="3"/>
      <c r="DTC31" s="3"/>
      <c r="DTD31" s="3"/>
      <c r="DTE31" s="3"/>
      <c r="DTF31" s="3"/>
      <c r="DTG31" s="3"/>
      <c r="DTH31" s="3"/>
      <c r="DTI31" s="3"/>
      <c r="DTJ31" s="3"/>
      <c r="DTK31" s="3"/>
      <c r="DTL31" s="3"/>
      <c r="DTM31" s="3"/>
      <c r="DTN31" s="3"/>
      <c r="DTO31" s="3"/>
      <c r="DTP31" s="3"/>
      <c r="DTQ31" s="3"/>
      <c r="DTR31" s="3"/>
      <c r="DTS31" s="3"/>
      <c r="DTT31" s="3"/>
      <c r="DTU31" s="3"/>
      <c r="DTV31" s="3"/>
      <c r="DTW31" s="3"/>
      <c r="DTX31" s="3"/>
      <c r="DTY31" s="3"/>
      <c r="DTZ31" s="3"/>
      <c r="DUA31" s="3"/>
      <c r="DUB31" s="3"/>
      <c r="DUC31" s="3"/>
      <c r="DUD31" s="3"/>
      <c r="DUE31" s="3"/>
      <c r="DUF31" s="3"/>
      <c r="DUG31" s="3"/>
      <c r="DUH31" s="3"/>
      <c r="DUI31" s="3"/>
      <c r="DUJ31" s="3"/>
      <c r="DUK31" s="3"/>
      <c r="DUL31" s="3"/>
      <c r="DUM31" s="3"/>
      <c r="DUN31" s="3"/>
      <c r="DUO31" s="3"/>
      <c r="DUP31" s="3"/>
      <c r="DUQ31" s="3"/>
      <c r="DUR31" s="3"/>
      <c r="DUS31" s="3"/>
      <c r="DUT31" s="3"/>
      <c r="DUU31" s="3"/>
      <c r="DUV31" s="3"/>
      <c r="DUW31" s="3"/>
      <c r="DUX31" s="3"/>
      <c r="DUY31" s="3"/>
      <c r="DUZ31" s="3"/>
      <c r="DVA31" s="3"/>
      <c r="DVB31" s="3"/>
      <c r="DVC31" s="3"/>
      <c r="DVD31" s="3"/>
      <c r="DVE31" s="3"/>
      <c r="DVF31" s="3"/>
      <c r="DVG31" s="3"/>
      <c r="DVH31" s="3"/>
      <c r="DVI31" s="3"/>
      <c r="DVJ31" s="3"/>
      <c r="DVK31" s="3"/>
      <c r="DVL31" s="3"/>
      <c r="DVM31" s="3"/>
      <c r="DVN31" s="3"/>
      <c r="DVO31" s="3"/>
      <c r="DVP31" s="3"/>
      <c r="DVQ31" s="3"/>
      <c r="DVR31" s="3"/>
      <c r="DVS31" s="3"/>
      <c r="DVT31" s="3"/>
      <c r="DVU31" s="3"/>
      <c r="DVV31" s="3"/>
      <c r="DVW31" s="3"/>
      <c r="DVX31" s="3"/>
      <c r="DVY31" s="3"/>
      <c r="DVZ31" s="3"/>
      <c r="DWA31" s="3"/>
      <c r="DWB31" s="3"/>
      <c r="DWC31" s="3"/>
      <c r="DWD31" s="3"/>
      <c r="DWE31" s="3"/>
      <c r="DWF31" s="3"/>
      <c r="DWG31" s="3"/>
      <c r="DWH31" s="3"/>
      <c r="DWI31" s="3"/>
      <c r="DWJ31" s="3"/>
      <c r="DWK31" s="3"/>
      <c r="DWL31" s="3"/>
      <c r="DWM31" s="3"/>
      <c r="DWN31" s="3"/>
      <c r="DWO31" s="3"/>
      <c r="DWP31" s="3"/>
      <c r="DWQ31" s="3"/>
      <c r="DWR31" s="3"/>
      <c r="DWS31" s="3"/>
      <c r="DWT31" s="3"/>
      <c r="DWU31" s="3"/>
      <c r="DWV31" s="3"/>
      <c r="DWW31" s="3"/>
      <c r="DWX31" s="3"/>
      <c r="DWY31" s="3"/>
      <c r="DWZ31" s="3"/>
      <c r="DXA31" s="3"/>
      <c r="DXB31" s="3"/>
      <c r="DXC31" s="3"/>
      <c r="DXD31" s="3"/>
      <c r="DXE31" s="3"/>
      <c r="DXF31" s="3"/>
      <c r="DXG31" s="3"/>
      <c r="DXH31" s="3"/>
      <c r="DXI31" s="3"/>
      <c r="DXJ31" s="3"/>
      <c r="DXK31" s="3"/>
      <c r="DXL31" s="3"/>
      <c r="DXM31" s="3"/>
      <c r="DXN31" s="3"/>
      <c r="DXO31" s="3"/>
      <c r="DXP31" s="3"/>
      <c r="DXQ31" s="3"/>
      <c r="DXR31" s="3"/>
      <c r="DXS31" s="3"/>
      <c r="DXT31" s="3"/>
      <c r="DXU31" s="3"/>
      <c r="DXV31" s="3"/>
      <c r="DXW31" s="3"/>
      <c r="DXX31" s="3"/>
      <c r="DXY31" s="3"/>
      <c r="DXZ31" s="3"/>
      <c r="DYA31" s="3"/>
      <c r="DYB31" s="3"/>
      <c r="DYC31" s="3"/>
      <c r="DYD31" s="3"/>
      <c r="DYE31" s="3"/>
      <c r="DYF31" s="3"/>
      <c r="DYG31" s="3"/>
      <c r="DYH31" s="3"/>
      <c r="DYI31" s="3"/>
      <c r="DYJ31" s="3"/>
      <c r="DYK31" s="3"/>
      <c r="DYL31" s="3"/>
      <c r="DYM31" s="3"/>
      <c r="DYN31" s="3"/>
      <c r="DYO31" s="3"/>
      <c r="DYP31" s="3"/>
      <c r="DYQ31" s="3"/>
      <c r="DYR31" s="3"/>
      <c r="DYS31" s="3"/>
      <c r="DYT31" s="3"/>
      <c r="DYU31" s="3"/>
      <c r="DYV31" s="3"/>
      <c r="DYW31" s="3"/>
      <c r="DYX31" s="3"/>
      <c r="DYY31" s="3"/>
      <c r="DYZ31" s="3"/>
      <c r="DZA31" s="3"/>
      <c r="DZB31" s="3"/>
      <c r="DZC31" s="3"/>
      <c r="DZD31" s="3"/>
      <c r="DZE31" s="3"/>
      <c r="DZF31" s="3"/>
      <c r="DZG31" s="3"/>
      <c r="DZH31" s="3"/>
      <c r="DZI31" s="3"/>
      <c r="DZJ31" s="3"/>
      <c r="DZK31" s="3"/>
      <c r="DZL31" s="3"/>
      <c r="DZM31" s="3"/>
      <c r="DZN31" s="3"/>
      <c r="DZO31" s="3"/>
      <c r="DZP31" s="3"/>
      <c r="DZQ31" s="3"/>
      <c r="DZR31" s="3"/>
      <c r="DZS31" s="3"/>
      <c r="DZT31" s="3"/>
      <c r="DZU31" s="3"/>
      <c r="DZV31" s="3"/>
      <c r="DZW31" s="3"/>
      <c r="DZX31" s="3"/>
      <c r="DZY31" s="3"/>
      <c r="DZZ31" s="3"/>
      <c r="EAA31" s="3"/>
      <c r="EAB31" s="3"/>
      <c r="EAC31" s="3"/>
      <c r="EAD31" s="3"/>
      <c r="EAE31" s="3"/>
      <c r="EAF31" s="3"/>
      <c r="EAG31" s="3"/>
      <c r="EAH31" s="3"/>
      <c r="EAI31" s="3"/>
      <c r="EAJ31" s="3"/>
      <c r="EAK31" s="3"/>
      <c r="EAL31" s="3"/>
      <c r="EAM31" s="3"/>
      <c r="EAN31" s="3"/>
      <c r="EAO31" s="3"/>
      <c r="EAP31" s="3"/>
      <c r="EAQ31" s="3"/>
      <c r="EAR31" s="3"/>
      <c r="EAS31" s="3"/>
      <c r="EAT31" s="3"/>
      <c r="EAU31" s="3"/>
      <c r="EAV31" s="3"/>
      <c r="EAW31" s="3"/>
      <c r="EAX31" s="3"/>
      <c r="EAY31" s="3"/>
      <c r="EAZ31" s="3"/>
      <c r="EBA31" s="3"/>
      <c r="EBB31" s="3"/>
      <c r="EBC31" s="3"/>
      <c r="EBD31" s="3"/>
      <c r="EBE31" s="3"/>
      <c r="EBF31" s="3"/>
      <c r="EBG31" s="3"/>
      <c r="EBH31" s="3"/>
      <c r="EBI31" s="3"/>
      <c r="EBJ31" s="3"/>
      <c r="EBK31" s="3"/>
      <c r="EBL31" s="3"/>
      <c r="EBM31" s="3"/>
      <c r="EBN31" s="3"/>
      <c r="EBO31" s="3"/>
      <c r="EBP31" s="3"/>
      <c r="EBQ31" s="3"/>
      <c r="EBR31" s="3"/>
      <c r="EBS31" s="3"/>
      <c r="EBT31" s="3"/>
      <c r="EBU31" s="3"/>
      <c r="EBV31" s="3"/>
      <c r="EBW31" s="3"/>
      <c r="EBX31" s="3"/>
      <c r="EBY31" s="3"/>
      <c r="EBZ31" s="3"/>
      <c r="ECA31" s="3"/>
      <c r="ECB31" s="3"/>
      <c r="ECC31" s="3"/>
      <c r="ECD31" s="3"/>
      <c r="ECE31" s="3"/>
      <c r="ECF31" s="3"/>
      <c r="ECG31" s="3"/>
      <c r="ECH31" s="3"/>
      <c r="ECI31" s="3"/>
      <c r="ECJ31" s="3"/>
      <c r="ECK31" s="3"/>
      <c r="ECL31" s="3"/>
      <c r="ECM31" s="3"/>
      <c r="ECN31" s="3"/>
      <c r="ECO31" s="3"/>
      <c r="ECP31" s="3"/>
      <c r="ECQ31" s="3"/>
      <c r="ECR31" s="3"/>
      <c r="ECS31" s="3"/>
      <c r="ECT31" s="3"/>
      <c r="ECU31" s="3"/>
      <c r="ECV31" s="3"/>
      <c r="ECW31" s="3"/>
      <c r="ECX31" s="3"/>
      <c r="ECY31" s="3"/>
      <c r="ECZ31" s="3"/>
      <c r="EDA31" s="3"/>
      <c r="EDB31" s="3"/>
      <c r="EDC31" s="3"/>
      <c r="EDD31" s="3"/>
      <c r="EDE31" s="3"/>
      <c r="EDF31" s="3"/>
      <c r="EDG31" s="3"/>
      <c r="EDH31" s="3"/>
      <c r="EDI31" s="3"/>
      <c r="EDJ31" s="3"/>
      <c r="EDK31" s="3"/>
      <c r="EDL31" s="3"/>
      <c r="EDM31" s="3"/>
      <c r="EDN31" s="3"/>
      <c r="EDO31" s="3"/>
      <c r="EDP31" s="3"/>
      <c r="EDQ31" s="3"/>
      <c r="EDR31" s="3"/>
      <c r="EDS31" s="3"/>
      <c r="EDT31" s="3"/>
      <c r="EDU31" s="3"/>
      <c r="EDV31" s="3"/>
      <c r="EDW31" s="3"/>
      <c r="EDX31" s="3"/>
      <c r="EDY31" s="3"/>
      <c r="EDZ31" s="3"/>
      <c r="EEA31" s="3"/>
      <c r="EEB31" s="3"/>
      <c r="EEC31" s="3"/>
      <c r="EED31" s="3"/>
      <c r="EEE31" s="3"/>
      <c r="EEF31" s="3"/>
      <c r="EEG31" s="3"/>
      <c r="EEH31" s="3"/>
      <c r="EEI31" s="3"/>
      <c r="EEJ31" s="3"/>
      <c r="EEK31" s="3"/>
      <c r="EEL31" s="3"/>
      <c r="EEM31" s="3"/>
      <c r="EEN31" s="3"/>
      <c r="EEO31" s="3"/>
      <c r="EEP31" s="3"/>
      <c r="EEQ31" s="3"/>
      <c r="EER31" s="3"/>
      <c r="EES31" s="3"/>
      <c r="EET31" s="3"/>
      <c r="EEU31" s="3"/>
      <c r="EEV31" s="3"/>
      <c r="EEW31" s="3"/>
      <c r="EEX31" s="3"/>
      <c r="EEY31" s="3"/>
      <c r="EEZ31" s="3"/>
      <c r="EFA31" s="3"/>
      <c r="EFB31" s="3"/>
      <c r="EFC31" s="3"/>
      <c r="EFD31" s="3"/>
      <c r="EFE31" s="3"/>
      <c r="EFF31" s="3"/>
      <c r="EFG31" s="3"/>
      <c r="EFH31" s="3"/>
      <c r="EFI31" s="3"/>
      <c r="EFJ31" s="3"/>
      <c r="EFK31" s="3"/>
      <c r="EFL31" s="3"/>
      <c r="EFM31" s="3"/>
      <c r="EFN31" s="3"/>
      <c r="EFO31" s="3"/>
      <c r="EFP31" s="3"/>
      <c r="EFQ31" s="3"/>
      <c r="EFR31" s="3"/>
      <c r="EFS31" s="3"/>
      <c r="EFT31" s="3"/>
      <c r="EFU31" s="3"/>
      <c r="EFV31" s="3"/>
      <c r="EFW31" s="3"/>
      <c r="EFX31" s="3"/>
      <c r="EFY31" s="3"/>
      <c r="EFZ31" s="3"/>
      <c r="EGA31" s="3"/>
      <c r="EGB31" s="3"/>
      <c r="EGC31" s="3"/>
      <c r="EGD31" s="3"/>
      <c r="EGE31" s="3"/>
      <c r="EGF31" s="3"/>
      <c r="EGG31" s="3"/>
      <c r="EGH31" s="3"/>
      <c r="EGI31" s="3"/>
      <c r="EGJ31" s="3"/>
      <c r="EGK31" s="3"/>
      <c r="EGL31" s="3"/>
      <c r="EGM31" s="3"/>
      <c r="EGN31" s="3"/>
      <c r="EGO31" s="3"/>
      <c r="EGP31" s="3"/>
      <c r="EGQ31" s="3"/>
      <c r="EGR31" s="3"/>
      <c r="EGS31" s="3"/>
      <c r="EGT31" s="3"/>
      <c r="EGU31" s="3"/>
      <c r="EGV31" s="3"/>
      <c r="EGW31" s="3"/>
      <c r="EGX31" s="3"/>
      <c r="EGY31" s="3"/>
      <c r="EGZ31" s="3"/>
      <c r="EHA31" s="3"/>
      <c r="EHB31" s="3"/>
      <c r="EHC31" s="3"/>
      <c r="EHD31" s="3"/>
      <c r="EHE31" s="3"/>
      <c r="EHF31" s="3"/>
      <c r="EHG31" s="3"/>
      <c r="EHH31" s="3"/>
      <c r="EHI31" s="3"/>
      <c r="EHJ31" s="3"/>
      <c r="EHK31" s="3"/>
      <c r="EHL31" s="3"/>
      <c r="EHM31" s="3"/>
      <c r="EHN31" s="3"/>
      <c r="EHO31" s="3"/>
      <c r="EHP31" s="3"/>
      <c r="EHQ31" s="3"/>
      <c r="EHR31" s="3"/>
      <c r="EHS31" s="3"/>
      <c r="EHT31" s="3"/>
      <c r="EHU31" s="3"/>
      <c r="EHV31" s="3"/>
      <c r="EHW31" s="3"/>
      <c r="EHX31" s="3"/>
      <c r="EHY31" s="3"/>
      <c r="EHZ31" s="3"/>
      <c r="EIA31" s="3"/>
      <c r="EIB31" s="3"/>
      <c r="EIC31" s="3"/>
      <c r="EID31" s="3"/>
      <c r="EIE31" s="3"/>
      <c r="EIF31" s="3"/>
      <c r="EIG31" s="3"/>
      <c r="EIH31" s="3"/>
      <c r="EII31" s="3"/>
      <c r="EIJ31" s="3"/>
      <c r="EIK31" s="3"/>
      <c r="EIL31" s="3"/>
      <c r="EIM31" s="3"/>
      <c r="EIN31" s="3"/>
      <c r="EIO31" s="3"/>
      <c r="EIP31" s="3"/>
      <c r="EIQ31" s="3"/>
      <c r="EIR31" s="3"/>
      <c r="EIS31" s="3"/>
      <c r="EIT31" s="3"/>
      <c r="EIU31" s="3"/>
      <c r="EIV31" s="3"/>
      <c r="EIW31" s="3"/>
      <c r="EIX31" s="3"/>
      <c r="EIY31" s="3"/>
      <c r="EIZ31" s="3"/>
      <c r="EJA31" s="3"/>
      <c r="EJB31" s="3"/>
      <c r="EJC31" s="3"/>
      <c r="EJD31" s="3"/>
      <c r="EJE31" s="3"/>
      <c r="EJF31" s="3"/>
      <c r="EJG31" s="3"/>
      <c r="EJH31" s="3"/>
      <c r="EJI31" s="3"/>
      <c r="EJJ31" s="3"/>
      <c r="EJK31" s="3"/>
      <c r="EJL31" s="3"/>
      <c r="EJM31" s="3"/>
      <c r="EJN31" s="3"/>
      <c r="EJO31" s="3"/>
      <c r="EJP31" s="3"/>
      <c r="EJQ31" s="3"/>
      <c r="EJR31" s="3"/>
      <c r="EJS31" s="3"/>
      <c r="EJT31" s="3"/>
      <c r="EJU31" s="3"/>
      <c r="EJV31" s="3"/>
      <c r="EJW31" s="3"/>
      <c r="EJX31" s="3"/>
      <c r="EJY31" s="3"/>
      <c r="EJZ31" s="3"/>
      <c r="EKA31" s="3"/>
      <c r="EKB31" s="3"/>
      <c r="EKC31" s="3"/>
      <c r="EKD31" s="3"/>
      <c r="EKE31" s="3"/>
      <c r="EKF31" s="3"/>
      <c r="EKG31" s="3"/>
      <c r="EKH31" s="3"/>
      <c r="EKI31" s="3"/>
      <c r="EKJ31" s="3"/>
      <c r="EKK31" s="3"/>
      <c r="EKL31" s="3"/>
      <c r="EKM31" s="3"/>
      <c r="EKN31" s="3"/>
      <c r="EKO31" s="3"/>
      <c r="EKP31" s="3"/>
      <c r="EKQ31" s="3"/>
      <c r="EKR31" s="3"/>
      <c r="EKS31" s="3"/>
      <c r="EKT31" s="3"/>
      <c r="EKU31" s="3"/>
      <c r="EKV31" s="3"/>
      <c r="EKW31" s="3"/>
      <c r="EKX31" s="3"/>
      <c r="EKY31" s="3"/>
      <c r="EKZ31" s="3"/>
      <c r="ELA31" s="3"/>
      <c r="ELB31" s="3"/>
      <c r="ELC31" s="3"/>
      <c r="ELD31" s="3"/>
      <c r="ELE31" s="3"/>
      <c r="ELF31" s="3"/>
      <c r="ELG31" s="3"/>
      <c r="ELH31" s="3"/>
      <c r="ELI31" s="3"/>
      <c r="ELJ31" s="3"/>
      <c r="ELK31" s="3"/>
      <c r="ELL31" s="3"/>
      <c r="ELM31" s="3"/>
      <c r="ELN31" s="3"/>
      <c r="ELO31" s="3"/>
      <c r="ELP31" s="3"/>
      <c r="ELQ31" s="3"/>
      <c r="ELR31" s="3"/>
      <c r="ELS31" s="3"/>
      <c r="ELT31" s="3"/>
      <c r="ELU31" s="3"/>
      <c r="ELV31" s="3"/>
      <c r="ELW31" s="3"/>
      <c r="ELX31" s="3"/>
      <c r="ELY31" s="3"/>
      <c r="ELZ31" s="3"/>
      <c r="EMA31" s="3"/>
      <c r="EMB31" s="3"/>
      <c r="EMC31" s="3"/>
      <c r="EMD31" s="3"/>
      <c r="EME31" s="3"/>
      <c r="EMF31" s="3"/>
      <c r="EMG31" s="3"/>
      <c r="EMH31" s="3"/>
      <c r="EMI31" s="3"/>
      <c r="EMJ31" s="3"/>
      <c r="EMK31" s="3"/>
      <c r="EML31" s="3"/>
      <c r="EMM31" s="3"/>
      <c r="EMN31" s="3"/>
      <c r="EMO31" s="3"/>
      <c r="EMP31" s="3"/>
      <c r="EMQ31" s="3"/>
      <c r="EMR31" s="3"/>
      <c r="EMS31" s="3"/>
      <c r="EMT31" s="3"/>
      <c r="EMU31" s="3"/>
      <c r="EMV31" s="3"/>
      <c r="EMW31" s="3"/>
      <c r="EMX31" s="3"/>
      <c r="EMY31" s="3"/>
      <c r="EMZ31" s="3"/>
      <c r="ENA31" s="3"/>
      <c r="ENB31" s="3"/>
      <c r="ENC31" s="3"/>
      <c r="END31" s="3"/>
      <c r="ENE31" s="3"/>
      <c r="ENF31" s="3"/>
      <c r="ENG31" s="3"/>
      <c r="ENH31" s="3"/>
      <c r="ENI31" s="3"/>
      <c r="ENJ31" s="3"/>
      <c r="ENK31" s="3"/>
      <c r="ENL31" s="3"/>
      <c r="ENM31" s="3"/>
      <c r="ENN31" s="3"/>
      <c r="ENO31" s="3"/>
      <c r="ENP31" s="3"/>
      <c r="ENQ31" s="3"/>
      <c r="ENR31" s="3"/>
      <c r="ENS31" s="3"/>
      <c r="ENT31" s="3"/>
      <c r="ENU31" s="3"/>
      <c r="ENV31" s="3"/>
      <c r="ENW31" s="3"/>
      <c r="ENX31" s="3"/>
      <c r="ENY31" s="3"/>
      <c r="ENZ31" s="3"/>
      <c r="EOA31" s="3"/>
      <c r="EOB31" s="3"/>
      <c r="EOC31" s="3"/>
      <c r="EOD31" s="3"/>
      <c r="EOE31" s="3"/>
      <c r="EOF31" s="3"/>
      <c r="EOG31" s="3"/>
      <c r="EOH31" s="3"/>
      <c r="EOI31" s="3"/>
      <c r="EOJ31" s="3"/>
      <c r="EOK31" s="3"/>
      <c r="EOL31" s="3"/>
      <c r="EOM31" s="3"/>
      <c r="EON31" s="3"/>
      <c r="EOO31" s="3"/>
      <c r="EOP31" s="3"/>
      <c r="EOQ31" s="3"/>
      <c r="EOR31" s="3"/>
      <c r="EOS31" s="3"/>
      <c r="EOT31" s="3"/>
      <c r="EOU31" s="3"/>
      <c r="EOV31" s="3"/>
      <c r="EOW31" s="3"/>
      <c r="EOX31" s="3"/>
      <c r="EOY31" s="3"/>
      <c r="EOZ31" s="3"/>
      <c r="EPA31" s="3"/>
      <c r="EPB31" s="3"/>
      <c r="EPC31" s="3"/>
      <c r="EPD31" s="3"/>
      <c r="EPE31" s="3"/>
      <c r="EPF31" s="3"/>
      <c r="EPG31" s="3"/>
      <c r="EPH31" s="3"/>
      <c r="EPI31" s="3"/>
      <c r="EPJ31" s="3"/>
      <c r="EPK31" s="3"/>
      <c r="EPL31" s="3"/>
      <c r="EPM31" s="3"/>
      <c r="EPN31" s="3"/>
      <c r="EPO31" s="3"/>
      <c r="EPP31" s="3"/>
      <c r="EPQ31" s="3"/>
      <c r="EPR31" s="3"/>
      <c r="EPS31" s="3"/>
      <c r="EPT31" s="3"/>
      <c r="EPU31" s="3"/>
      <c r="EPV31" s="3"/>
      <c r="EPW31" s="3"/>
      <c r="EPX31" s="3"/>
      <c r="EPY31" s="3"/>
      <c r="EPZ31" s="3"/>
      <c r="EQA31" s="3"/>
      <c r="EQB31" s="3"/>
      <c r="EQC31" s="3"/>
      <c r="EQD31" s="3"/>
      <c r="EQE31" s="3"/>
      <c r="EQF31" s="3"/>
      <c r="EQG31" s="3"/>
      <c r="EQH31" s="3"/>
      <c r="EQI31" s="3"/>
      <c r="EQJ31" s="3"/>
      <c r="EQK31" s="3"/>
      <c r="EQL31" s="3"/>
      <c r="EQM31" s="3"/>
      <c r="EQN31" s="3"/>
      <c r="EQO31" s="3"/>
      <c r="EQP31" s="3"/>
      <c r="EQQ31" s="3"/>
      <c r="EQR31" s="3"/>
      <c r="EQS31" s="3"/>
      <c r="EQT31" s="3"/>
      <c r="EQU31" s="3"/>
      <c r="EQV31" s="3"/>
      <c r="EQW31" s="3"/>
      <c r="EQX31" s="3"/>
      <c r="EQY31" s="3"/>
      <c r="EQZ31" s="3"/>
      <c r="ERA31" s="3"/>
      <c r="ERB31" s="3"/>
      <c r="ERC31" s="3"/>
      <c r="ERD31" s="3"/>
      <c r="ERE31" s="3"/>
      <c r="ERF31" s="3"/>
      <c r="ERG31" s="3"/>
      <c r="ERH31" s="3"/>
      <c r="ERI31" s="3"/>
      <c r="ERJ31" s="3"/>
      <c r="ERK31" s="3"/>
      <c r="ERL31" s="3"/>
      <c r="ERM31" s="3"/>
      <c r="ERN31" s="3"/>
      <c r="ERO31" s="3"/>
      <c r="ERP31" s="3"/>
      <c r="ERQ31" s="3"/>
      <c r="ERR31" s="3"/>
      <c r="ERS31" s="3"/>
      <c r="ERT31" s="3"/>
      <c r="ERU31" s="3"/>
      <c r="ERV31" s="3"/>
      <c r="ERW31" s="3"/>
      <c r="ERX31" s="3"/>
      <c r="ERY31" s="3"/>
      <c r="ERZ31" s="3"/>
      <c r="ESA31" s="3"/>
      <c r="ESB31" s="3"/>
      <c r="ESC31" s="3"/>
      <c r="ESD31" s="3"/>
      <c r="ESE31" s="3"/>
      <c r="ESF31" s="3"/>
      <c r="ESG31" s="3"/>
      <c r="ESH31" s="3"/>
      <c r="ESI31" s="3"/>
      <c r="ESJ31" s="3"/>
      <c r="ESK31" s="3"/>
      <c r="ESL31" s="3"/>
      <c r="ESM31" s="3"/>
      <c r="ESN31" s="3"/>
      <c r="ESO31" s="3"/>
      <c r="ESP31" s="3"/>
      <c r="ESQ31" s="3"/>
      <c r="ESR31" s="3"/>
      <c r="ESS31" s="3"/>
      <c r="EST31" s="3"/>
      <c r="ESU31" s="3"/>
      <c r="ESV31" s="3"/>
      <c r="ESW31" s="3"/>
      <c r="ESX31" s="3"/>
      <c r="ESY31" s="3"/>
      <c r="ESZ31" s="3"/>
      <c r="ETA31" s="3"/>
      <c r="ETB31" s="3"/>
      <c r="ETC31" s="3"/>
      <c r="ETD31" s="3"/>
      <c r="ETE31" s="3"/>
      <c r="ETF31" s="3"/>
      <c r="ETG31" s="3"/>
      <c r="ETH31" s="3"/>
      <c r="ETI31" s="3"/>
      <c r="ETJ31" s="3"/>
      <c r="ETK31" s="3"/>
      <c r="ETL31" s="3"/>
      <c r="ETM31" s="3"/>
      <c r="ETN31" s="3"/>
      <c r="ETO31" s="3"/>
      <c r="ETP31" s="3"/>
      <c r="ETQ31" s="3"/>
      <c r="ETR31" s="3"/>
      <c r="ETS31" s="3"/>
      <c r="ETT31" s="3"/>
      <c r="ETU31" s="3"/>
      <c r="ETV31" s="3"/>
      <c r="ETW31" s="3"/>
      <c r="ETX31" s="3"/>
      <c r="ETY31" s="3"/>
      <c r="ETZ31" s="3"/>
      <c r="EUA31" s="3"/>
      <c r="EUB31" s="3"/>
      <c r="EUC31" s="3"/>
      <c r="EUD31" s="3"/>
      <c r="EUE31" s="3"/>
      <c r="EUF31" s="3"/>
      <c r="EUG31" s="3"/>
      <c r="EUH31" s="3"/>
      <c r="EUI31" s="3"/>
      <c r="EUJ31" s="3"/>
      <c r="EUK31" s="3"/>
      <c r="EUL31" s="3"/>
      <c r="EUM31" s="3"/>
      <c r="EUN31" s="3"/>
      <c r="EUO31" s="3"/>
      <c r="EUP31" s="3"/>
      <c r="EUQ31" s="3"/>
      <c r="EUR31" s="3"/>
      <c r="EUS31" s="3"/>
      <c r="EUT31" s="3"/>
      <c r="EUU31" s="3"/>
      <c r="EUV31" s="3"/>
      <c r="EUW31" s="3"/>
      <c r="EUX31" s="3"/>
      <c r="EUY31" s="3"/>
      <c r="EUZ31" s="3"/>
      <c r="EVA31" s="3"/>
      <c r="EVB31" s="3"/>
      <c r="EVC31" s="3"/>
      <c r="EVD31" s="3"/>
      <c r="EVE31" s="3"/>
      <c r="EVF31" s="3"/>
      <c r="EVG31" s="3"/>
      <c r="EVH31" s="3"/>
      <c r="EVI31" s="3"/>
      <c r="EVJ31" s="3"/>
      <c r="EVK31" s="3"/>
      <c r="EVL31" s="3"/>
      <c r="EVM31" s="3"/>
      <c r="EVN31" s="3"/>
      <c r="EVO31" s="3"/>
      <c r="EVP31" s="3"/>
      <c r="EVQ31" s="3"/>
      <c r="EVR31" s="3"/>
      <c r="EVS31" s="3"/>
      <c r="EVT31" s="3"/>
      <c r="EVU31" s="3"/>
      <c r="EVV31" s="3"/>
      <c r="EVW31" s="3"/>
      <c r="EVX31" s="3"/>
      <c r="EVY31" s="3"/>
      <c r="EVZ31" s="3"/>
      <c r="EWA31" s="3"/>
      <c r="EWB31" s="3"/>
      <c r="EWC31" s="3"/>
      <c r="EWD31" s="3"/>
      <c r="EWE31" s="3"/>
      <c r="EWF31" s="3"/>
      <c r="EWG31" s="3"/>
      <c r="EWH31" s="3"/>
      <c r="EWI31" s="3"/>
      <c r="EWJ31" s="3"/>
      <c r="EWK31" s="3"/>
      <c r="EWL31" s="3"/>
      <c r="EWM31" s="3"/>
      <c r="EWN31" s="3"/>
      <c r="EWO31" s="3"/>
      <c r="EWP31" s="3"/>
      <c r="EWQ31" s="3"/>
      <c r="EWR31" s="3"/>
      <c r="EWS31" s="3"/>
      <c r="EWT31" s="3"/>
      <c r="EWU31" s="3"/>
      <c r="EWV31" s="3"/>
      <c r="EWW31" s="3"/>
      <c r="EWX31" s="3"/>
      <c r="EWY31" s="3"/>
      <c r="EWZ31" s="3"/>
      <c r="EXA31" s="3"/>
      <c r="EXB31" s="3"/>
      <c r="EXC31" s="3"/>
      <c r="EXD31" s="3"/>
      <c r="EXE31" s="3"/>
      <c r="EXF31" s="3"/>
      <c r="EXG31" s="3"/>
      <c r="EXH31" s="3"/>
      <c r="EXI31" s="3"/>
      <c r="EXJ31" s="3"/>
      <c r="EXK31" s="3"/>
      <c r="EXL31" s="3"/>
      <c r="EXM31" s="3"/>
      <c r="EXN31" s="3"/>
      <c r="EXO31" s="3"/>
      <c r="EXP31" s="3"/>
      <c r="EXQ31" s="3"/>
      <c r="EXR31" s="3"/>
      <c r="EXS31" s="3"/>
      <c r="EXT31" s="3"/>
      <c r="EXU31" s="3"/>
      <c r="EXV31" s="3"/>
      <c r="EXW31" s="3"/>
      <c r="EXX31" s="3"/>
      <c r="EXY31" s="3"/>
      <c r="EXZ31" s="3"/>
      <c r="EYA31" s="3"/>
      <c r="EYB31" s="3"/>
      <c r="EYC31" s="3"/>
      <c r="EYD31" s="3"/>
      <c r="EYE31" s="3"/>
      <c r="EYF31" s="3"/>
      <c r="EYG31" s="3"/>
      <c r="EYH31" s="3"/>
      <c r="EYI31" s="3"/>
      <c r="EYJ31" s="3"/>
      <c r="EYK31" s="3"/>
      <c r="EYL31" s="3"/>
      <c r="EYM31" s="3"/>
      <c r="EYN31" s="3"/>
      <c r="EYO31" s="3"/>
      <c r="EYP31" s="3"/>
      <c r="EYQ31" s="3"/>
      <c r="EYR31" s="3"/>
      <c r="EYS31" s="3"/>
      <c r="EYT31" s="3"/>
      <c r="EYU31" s="3"/>
      <c r="EYV31" s="3"/>
      <c r="EYW31" s="3"/>
      <c r="EYX31" s="3"/>
      <c r="EYY31" s="3"/>
      <c r="EYZ31" s="3"/>
      <c r="EZA31" s="3"/>
      <c r="EZB31" s="3"/>
      <c r="EZC31" s="3"/>
      <c r="EZD31" s="3"/>
      <c r="EZE31" s="3"/>
      <c r="EZF31" s="3"/>
      <c r="EZG31" s="3"/>
      <c r="EZH31" s="3"/>
      <c r="EZI31" s="3"/>
      <c r="EZJ31" s="3"/>
      <c r="EZK31" s="3"/>
      <c r="EZL31" s="3"/>
      <c r="EZM31" s="3"/>
      <c r="EZN31" s="3"/>
      <c r="EZO31" s="3"/>
      <c r="EZP31" s="3"/>
      <c r="EZQ31" s="3"/>
      <c r="EZR31" s="3"/>
      <c r="EZS31" s="3"/>
      <c r="EZT31" s="3"/>
      <c r="EZU31" s="3"/>
      <c r="EZV31" s="3"/>
      <c r="EZW31" s="3"/>
      <c r="EZX31" s="3"/>
      <c r="EZY31" s="3"/>
      <c r="EZZ31" s="3"/>
      <c r="FAA31" s="3"/>
      <c r="FAB31" s="3"/>
      <c r="FAC31" s="3"/>
      <c r="FAD31" s="3"/>
      <c r="FAE31" s="3"/>
      <c r="FAF31" s="3"/>
      <c r="FAG31" s="3"/>
      <c r="FAH31" s="3"/>
      <c r="FAI31" s="3"/>
      <c r="FAJ31" s="3"/>
      <c r="FAK31" s="3"/>
      <c r="FAL31" s="3"/>
      <c r="FAM31" s="3"/>
      <c r="FAN31" s="3"/>
      <c r="FAO31" s="3"/>
      <c r="FAP31" s="3"/>
      <c r="FAQ31" s="3"/>
      <c r="FAR31" s="3"/>
      <c r="FAS31" s="3"/>
      <c r="FAT31" s="3"/>
      <c r="FAU31" s="3"/>
      <c r="FAV31" s="3"/>
      <c r="FAW31" s="3"/>
      <c r="FAX31" s="3"/>
      <c r="FAY31" s="3"/>
      <c r="FAZ31" s="3"/>
      <c r="FBA31" s="3"/>
      <c r="FBB31" s="3"/>
      <c r="FBC31" s="3"/>
      <c r="FBD31" s="3"/>
      <c r="FBE31" s="3"/>
      <c r="FBF31" s="3"/>
      <c r="FBG31" s="3"/>
      <c r="FBH31" s="3"/>
      <c r="FBI31" s="3"/>
      <c r="FBJ31" s="3"/>
      <c r="FBK31" s="3"/>
      <c r="FBL31" s="3"/>
      <c r="FBM31" s="3"/>
      <c r="FBN31" s="3"/>
      <c r="FBO31" s="3"/>
      <c r="FBP31" s="3"/>
      <c r="FBQ31" s="3"/>
      <c r="FBR31" s="3"/>
      <c r="FBS31" s="3"/>
      <c r="FBT31" s="3"/>
      <c r="FBU31" s="3"/>
      <c r="FBV31" s="3"/>
      <c r="FBW31" s="3"/>
      <c r="FBX31" s="3"/>
      <c r="FBY31" s="3"/>
      <c r="FBZ31" s="3"/>
      <c r="FCA31" s="3"/>
      <c r="FCB31" s="3"/>
      <c r="FCC31" s="3"/>
      <c r="FCD31" s="3"/>
      <c r="FCE31" s="3"/>
      <c r="FCF31" s="3"/>
      <c r="FCG31" s="3"/>
      <c r="FCH31" s="3"/>
      <c r="FCI31" s="3"/>
      <c r="FCJ31" s="3"/>
      <c r="FCK31" s="3"/>
      <c r="FCL31" s="3"/>
      <c r="FCM31" s="3"/>
      <c r="FCN31" s="3"/>
      <c r="FCO31" s="3"/>
      <c r="FCP31" s="3"/>
      <c r="FCQ31" s="3"/>
      <c r="FCR31" s="3"/>
      <c r="FCS31" s="3"/>
      <c r="FCT31" s="3"/>
      <c r="FCU31" s="3"/>
      <c r="FCV31" s="3"/>
      <c r="FCW31" s="3"/>
      <c r="FCX31" s="3"/>
      <c r="FCY31" s="3"/>
      <c r="FCZ31" s="3"/>
      <c r="FDA31" s="3"/>
      <c r="FDB31" s="3"/>
      <c r="FDC31" s="3"/>
      <c r="FDD31" s="3"/>
      <c r="FDE31" s="3"/>
      <c r="FDF31" s="3"/>
      <c r="FDG31" s="3"/>
      <c r="FDH31" s="3"/>
      <c r="FDI31" s="3"/>
      <c r="FDJ31" s="3"/>
      <c r="FDK31" s="3"/>
      <c r="FDL31" s="3"/>
      <c r="FDM31" s="3"/>
      <c r="FDN31" s="3"/>
      <c r="FDO31" s="3"/>
      <c r="FDP31" s="3"/>
      <c r="FDQ31" s="3"/>
      <c r="FDR31" s="3"/>
      <c r="FDS31" s="3"/>
      <c r="FDT31" s="3"/>
      <c r="FDU31" s="3"/>
      <c r="FDV31" s="3"/>
      <c r="FDW31" s="3"/>
      <c r="FDX31" s="3"/>
      <c r="FDY31" s="3"/>
      <c r="FDZ31" s="3"/>
      <c r="FEA31" s="3"/>
      <c r="FEB31" s="3"/>
      <c r="FEC31" s="3"/>
      <c r="FED31" s="3"/>
      <c r="FEE31" s="3"/>
      <c r="FEF31" s="3"/>
      <c r="FEG31" s="3"/>
      <c r="FEH31" s="3"/>
      <c r="FEI31" s="3"/>
      <c r="FEJ31" s="3"/>
      <c r="FEK31" s="3"/>
      <c r="FEL31" s="3"/>
      <c r="FEM31" s="3"/>
      <c r="FEN31" s="3"/>
      <c r="FEO31" s="3"/>
      <c r="FEP31" s="3"/>
      <c r="FEQ31" s="3"/>
      <c r="FER31" s="3"/>
      <c r="FES31" s="3"/>
      <c r="FET31" s="3"/>
      <c r="FEU31" s="3"/>
      <c r="FEV31" s="3"/>
      <c r="FEW31" s="3"/>
      <c r="FEX31" s="3"/>
      <c r="FEY31" s="3"/>
      <c r="FEZ31" s="3"/>
      <c r="FFA31" s="3"/>
      <c r="FFB31" s="3"/>
      <c r="FFC31" s="3"/>
      <c r="FFD31" s="3"/>
      <c r="FFE31" s="3"/>
      <c r="FFF31" s="3"/>
      <c r="FFG31" s="3"/>
      <c r="FFH31" s="3"/>
      <c r="FFI31" s="3"/>
      <c r="FFJ31" s="3"/>
      <c r="FFK31" s="3"/>
      <c r="FFL31" s="3"/>
      <c r="FFM31" s="3"/>
      <c r="FFN31" s="3"/>
      <c r="FFO31" s="3"/>
      <c r="FFP31" s="3"/>
      <c r="FFQ31" s="3"/>
      <c r="FFR31" s="3"/>
      <c r="FFS31" s="3"/>
      <c r="FFT31" s="3"/>
      <c r="FFU31" s="3"/>
      <c r="FFV31" s="3"/>
      <c r="FFW31" s="3"/>
      <c r="FFX31" s="3"/>
      <c r="FFY31" s="3"/>
      <c r="FFZ31" s="3"/>
      <c r="FGA31" s="3"/>
      <c r="FGB31" s="3"/>
      <c r="FGC31" s="3"/>
      <c r="FGD31" s="3"/>
      <c r="FGE31" s="3"/>
      <c r="FGF31" s="3"/>
      <c r="FGG31" s="3"/>
      <c r="FGH31" s="3"/>
      <c r="FGI31" s="3"/>
      <c r="FGJ31" s="3"/>
      <c r="FGK31" s="3"/>
      <c r="FGL31" s="3"/>
      <c r="FGM31" s="3"/>
      <c r="FGN31" s="3"/>
      <c r="FGO31" s="3"/>
      <c r="FGP31" s="3"/>
      <c r="FGQ31" s="3"/>
      <c r="FGR31" s="3"/>
      <c r="FGS31" s="3"/>
      <c r="FGT31" s="3"/>
      <c r="FGU31" s="3"/>
      <c r="FGV31" s="3"/>
      <c r="FGW31" s="3"/>
      <c r="FGX31" s="3"/>
      <c r="FGY31" s="3"/>
      <c r="FGZ31" s="3"/>
      <c r="FHA31" s="3"/>
      <c r="FHB31" s="3"/>
      <c r="FHC31" s="3"/>
      <c r="FHD31" s="3"/>
      <c r="FHE31" s="3"/>
      <c r="FHF31" s="3"/>
      <c r="FHG31" s="3"/>
      <c r="FHH31" s="3"/>
      <c r="FHI31" s="3"/>
      <c r="FHJ31" s="3"/>
      <c r="FHK31" s="3"/>
      <c r="FHL31" s="3"/>
      <c r="FHM31" s="3"/>
      <c r="FHN31" s="3"/>
      <c r="FHO31" s="3"/>
      <c r="FHP31" s="3"/>
      <c r="FHQ31" s="3"/>
      <c r="FHR31" s="3"/>
      <c r="FHS31" s="3"/>
      <c r="FHT31" s="3"/>
      <c r="FHU31" s="3"/>
      <c r="FHV31" s="3"/>
      <c r="FHW31" s="3"/>
      <c r="FHX31" s="3"/>
      <c r="FHY31" s="3"/>
      <c r="FHZ31" s="3"/>
      <c r="FIA31" s="3"/>
      <c r="FIB31" s="3"/>
      <c r="FIC31" s="3"/>
      <c r="FID31" s="3"/>
      <c r="FIE31" s="3"/>
      <c r="FIF31" s="3"/>
      <c r="FIG31" s="3"/>
      <c r="FIH31" s="3"/>
      <c r="FII31" s="3"/>
      <c r="FIJ31" s="3"/>
      <c r="FIK31" s="3"/>
      <c r="FIL31" s="3"/>
      <c r="FIM31" s="3"/>
      <c r="FIN31" s="3"/>
      <c r="FIO31" s="3"/>
      <c r="FIP31" s="3"/>
      <c r="FIQ31" s="3"/>
      <c r="FIR31" s="3"/>
      <c r="FIS31" s="3"/>
      <c r="FIT31" s="3"/>
      <c r="FIU31" s="3"/>
      <c r="FIV31" s="3"/>
      <c r="FIW31" s="3"/>
      <c r="FIX31" s="3"/>
      <c r="FIY31" s="3"/>
      <c r="FIZ31" s="3"/>
      <c r="FJA31" s="3"/>
      <c r="FJB31" s="3"/>
      <c r="FJC31" s="3"/>
      <c r="FJD31" s="3"/>
      <c r="FJE31" s="3"/>
      <c r="FJF31" s="3"/>
      <c r="FJG31" s="3"/>
      <c r="FJH31" s="3"/>
      <c r="FJI31" s="3"/>
      <c r="FJJ31" s="3"/>
      <c r="FJK31" s="3"/>
      <c r="FJL31" s="3"/>
      <c r="FJM31" s="3"/>
      <c r="FJN31" s="3"/>
      <c r="FJO31" s="3"/>
      <c r="FJP31" s="3"/>
      <c r="FJQ31" s="3"/>
      <c r="FJR31" s="3"/>
      <c r="FJS31" s="3"/>
      <c r="FJT31" s="3"/>
      <c r="FJU31" s="3"/>
      <c r="FJV31" s="3"/>
      <c r="FJW31" s="3"/>
      <c r="FJX31" s="3"/>
      <c r="FJY31" s="3"/>
      <c r="FJZ31" s="3"/>
      <c r="FKA31" s="3"/>
      <c r="FKB31" s="3"/>
      <c r="FKC31" s="3"/>
      <c r="FKD31" s="3"/>
      <c r="FKE31" s="3"/>
      <c r="FKF31" s="3"/>
      <c r="FKG31" s="3"/>
      <c r="FKH31" s="3"/>
      <c r="FKI31" s="3"/>
      <c r="FKJ31" s="3"/>
      <c r="FKK31" s="3"/>
      <c r="FKL31" s="3"/>
      <c r="FKM31" s="3"/>
      <c r="FKN31" s="3"/>
      <c r="FKO31" s="3"/>
      <c r="FKP31" s="3"/>
      <c r="FKQ31" s="3"/>
      <c r="FKR31" s="3"/>
      <c r="FKS31" s="3"/>
      <c r="FKT31" s="3"/>
      <c r="FKU31" s="3"/>
      <c r="FKV31" s="3"/>
      <c r="FKW31" s="3"/>
      <c r="FKX31" s="3"/>
      <c r="FKY31" s="3"/>
      <c r="FKZ31" s="3"/>
      <c r="FLA31" s="3"/>
      <c r="FLB31" s="3"/>
      <c r="FLC31" s="3"/>
      <c r="FLD31" s="3"/>
      <c r="FLE31" s="3"/>
      <c r="FLF31" s="3"/>
      <c r="FLG31" s="3"/>
      <c r="FLH31" s="3"/>
      <c r="FLI31" s="3"/>
      <c r="FLJ31" s="3"/>
      <c r="FLK31" s="3"/>
      <c r="FLL31" s="3"/>
      <c r="FLM31" s="3"/>
      <c r="FLN31" s="3"/>
      <c r="FLO31" s="3"/>
      <c r="FLP31" s="3"/>
      <c r="FLQ31" s="3"/>
      <c r="FLR31" s="3"/>
      <c r="FLS31" s="3"/>
      <c r="FLT31" s="3"/>
      <c r="FLU31" s="3"/>
      <c r="FLV31" s="3"/>
      <c r="FLW31" s="3"/>
      <c r="FLX31" s="3"/>
      <c r="FLY31" s="3"/>
      <c r="FLZ31" s="3"/>
      <c r="FMA31" s="3"/>
      <c r="FMB31" s="3"/>
      <c r="FMC31" s="3"/>
      <c r="FMD31" s="3"/>
      <c r="FME31" s="3"/>
      <c r="FMF31" s="3"/>
      <c r="FMG31" s="3"/>
      <c r="FMH31" s="3"/>
      <c r="FMI31" s="3"/>
      <c r="FMJ31" s="3"/>
      <c r="FMK31" s="3"/>
      <c r="FML31" s="3"/>
      <c r="FMM31" s="3"/>
      <c r="FMN31" s="3"/>
      <c r="FMO31" s="3"/>
      <c r="FMP31" s="3"/>
      <c r="FMQ31" s="3"/>
      <c r="FMR31" s="3"/>
      <c r="FMS31" s="3"/>
      <c r="FMT31" s="3"/>
      <c r="FMU31" s="3"/>
      <c r="FMV31" s="3"/>
      <c r="FMW31" s="3"/>
      <c r="FMX31" s="3"/>
      <c r="FMY31" s="3"/>
      <c r="FMZ31" s="3"/>
      <c r="FNA31" s="3"/>
      <c r="FNB31" s="3"/>
      <c r="FNC31" s="3"/>
      <c r="FND31" s="3"/>
      <c r="FNE31" s="3"/>
      <c r="FNF31" s="3"/>
      <c r="FNG31" s="3"/>
      <c r="FNH31" s="3"/>
      <c r="FNI31" s="3"/>
      <c r="FNJ31" s="3"/>
      <c r="FNK31" s="3"/>
      <c r="FNL31" s="3"/>
      <c r="FNM31" s="3"/>
      <c r="FNN31" s="3"/>
      <c r="FNO31" s="3"/>
      <c r="FNP31" s="3"/>
      <c r="FNQ31" s="3"/>
      <c r="FNR31" s="3"/>
      <c r="FNS31" s="3"/>
      <c r="FNT31" s="3"/>
      <c r="FNU31" s="3"/>
      <c r="FNV31" s="3"/>
      <c r="FNW31" s="3"/>
      <c r="FNX31" s="3"/>
      <c r="FNY31" s="3"/>
      <c r="FNZ31" s="3"/>
      <c r="FOA31" s="3"/>
      <c r="FOB31" s="3"/>
      <c r="FOC31" s="3"/>
      <c r="FOD31" s="3"/>
      <c r="FOE31" s="3"/>
      <c r="FOF31" s="3"/>
      <c r="FOG31" s="3"/>
      <c r="FOH31" s="3"/>
      <c r="FOI31" s="3"/>
      <c r="FOJ31" s="3"/>
      <c r="FOK31" s="3"/>
      <c r="FOL31" s="3"/>
      <c r="FOM31" s="3"/>
      <c r="FON31" s="3"/>
      <c r="FOO31" s="3"/>
      <c r="FOP31" s="3"/>
      <c r="FOQ31" s="3"/>
      <c r="FOR31" s="3"/>
      <c r="FOS31" s="3"/>
      <c r="FOT31" s="3"/>
      <c r="FOU31" s="3"/>
      <c r="FOV31" s="3"/>
      <c r="FOW31" s="3"/>
      <c r="FOX31" s="3"/>
      <c r="FOY31" s="3"/>
      <c r="FOZ31" s="3"/>
      <c r="FPA31" s="3"/>
      <c r="FPB31" s="3"/>
      <c r="FPC31" s="3"/>
      <c r="FPD31" s="3"/>
      <c r="FPE31" s="3"/>
      <c r="FPF31" s="3"/>
      <c r="FPG31" s="3"/>
      <c r="FPH31" s="3"/>
      <c r="FPI31" s="3"/>
      <c r="FPJ31" s="3"/>
      <c r="FPK31" s="3"/>
      <c r="FPL31" s="3"/>
      <c r="FPM31" s="3"/>
      <c r="FPN31" s="3"/>
      <c r="FPO31" s="3"/>
      <c r="FPP31" s="3"/>
      <c r="FPQ31" s="3"/>
      <c r="FPR31" s="3"/>
      <c r="FPS31" s="3"/>
      <c r="FPT31" s="3"/>
      <c r="FPU31" s="3"/>
      <c r="FPV31" s="3"/>
      <c r="FPW31" s="3"/>
      <c r="FPX31" s="3"/>
      <c r="FPY31" s="3"/>
      <c r="FPZ31" s="3"/>
      <c r="FQA31" s="3"/>
      <c r="FQB31" s="3"/>
      <c r="FQC31" s="3"/>
      <c r="FQD31" s="3"/>
      <c r="FQE31" s="3"/>
      <c r="FQF31" s="3"/>
      <c r="FQG31" s="3"/>
      <c r="FQH31" s="3"/>
      <c r="FQI31" s="3"/>
      <c r="FQJ31" s="3"/>
      <c r="FQK31" s="3"/>
      <c r="FQL31" s="3"/>
      <c r="FQM31" s="3"/>
      <c r="FQN31" s="3"/>
      <c r="FQO31" s="3"/>
      <c r="FQP31" s="3"/>
      <c r="FQQ31" s="3"/>
      <c r="FQR31" s="3"/>
      <c r="FQS31" s="3"/>
      <c r="FQT31" s="3"/>
      <c r="FQU31" s="3"/>
      <c r="FQV31" s="3"/>
      <c r="FQW31" s="3"/>
      <c r="FQX31" s="3"/>
      <c r="FQY31" s="3"/>
      <c r="FQZ31" s="3"/>
      <c r="FRA31" s="3"/>
      <c r="FRB31" s="3"/>
      <c r="FRC31" s="3"/>
      <c r="FRD31" s="3"/>
      <c r="FRE31" s="3"/>
      <c r="FRF31" s="3"/>
      <c r="FRG31" s="3"/>
      <c r="FRH31" s="3"/>
      <c r="FRI31" s="3"/>
      <c r="FRJ31" s="3"/>
      <c r="FRK31" s="3"/>
      <c r="FRL31" s="3"/>
      <c r="FRM31" s="3"/>
      <c r="FRN31" s="3"/>
      <c r="FRO31" s="3"/>
      <c r="FRP31" s="3"/>
      <c r="FRQ31" s="3"/>
      <c r="FRR31" s="3"/>
      <c r="FRS31" s="3"/>
      <c r="FRT31" s="3"/>
      <c r="FRU31" s="3"/>
      <c r="FRV31" s="3"/>
      <c r="FRW31" s="3"/>
      <c r="FRX31" s="3"/>
      <c r="FRY31" s="3"/>
      <c r="FRZ31" s="3"/>
      <c r="FSA31" s="3"/>
      <c r="FSB31" s="3"/>
      <c r="FSC31" s="3"/>
      <c r="FSD31" s="3"/>
      <c r="FSE31" s="3"/>
      <c r="FSF31" s="3"/>
      <c r="FSG31" s="3"/>
      <c r="FSH31" s="3"/>
      <c r="FSI31" s="3"/>
      <c r="FSJ31" s="3"/>
      <c r="FSK31" s="3"/>
      <c r="FSL31" s="3"/>
      <c r="FSM31" s="3"/>
      <c r="FSN31" s="3"/>
      <c r="FSO31" s="3"/>
      <c r="FSP31" s="3"/>
      <c r="FSQ31" s="3"/>
      <c r="FSR31" s="3"/>
      <c r="FSS31" s="3"/>
      <c r="FST31" s="3"/>
      <c r="FSU31" s="3"/>
      <c r="FSV31" s="3"/>
      <c r="FSW31" s="3"/>
      <c r="FSX31" s="3"/>
      <c r="FSY31" s="3"/>
      <c r="FSZ31" s="3"/>
      <c r="FTA31" s="3"/>
      <c r="FTB31" s="3"/>
      <c r="FTC31" s="3"/>
      <c r="FTD31" s="3"/>
      <c r="FTE31" s="3"/>
      <c r="FTF31" s="3"/>
      <c r="FTG31" s="3"/>
      <c r="FTH31" s="3"/>
      <c r="FTI31" s="3"/>
      <c r="FTJ31" s="3"/>
      <c r="FTK31" s="3"/>
      <c r="FTL31" s="3"/>
      <c r="FTM31" s="3"/>
      <c r="FTN31" s="3"/>
      <c r="FTO31" s="3"/>
      <c r="FTP31" s="3"/>
      <c r="FTQ31" s="3"/>
      <c r="FTR31" s="3"/>
      <c r="FTS31" s="3"/>
      <c r="FTT31" s="3"/>
      <c r="FTU31" s="3"/>
      <c r="FTV31" s="3"/>
      <c r="FTW31" s="3"/>
      <c r="FTX31" s="3"/>
      <c r="FTY31" s="3"/>
      <c r="FTZ31" s="3"/>
      <c r="FUA31" s="3"/>
      <c r="FUB31" s="3"/>
      <c r="FUC31" s="3"/>
      <c r="FUD31" s="3"/>
      <c r="FUE31" s="3"/>
      <c r="FUF31" s="3"/>
      <c r="FUG31" s="3"/>
      <c r="FUH31" s="3"/>
      <c r="FUI31" s="3"/>
      <c r="FUJ31" s="3"/>
      <c r="FUK31" s="3"/>
      <c r="FUL31" s="3"/>
      <c r="FUM31" s="3"/>
      <c r="FUN31" s="3"/>
      <c r="FUO31" s="3"/>
      <c r="FUP31" s="3"/>
      <c r="FUQ31" s="3"/>
      <c r="FUR31" s="3"/>
      <c r="FUS31" s="3"/>
      <c r="FUT31" s="3"/>
      <c r="FUU31" s="3"/>
      <c r="FUV31" s="3"/>
      <c r="FUW31" s="3"/>
      <c r="FUX31" s="3"/>
      <c r="FUY31" s="3"/>
      <c r="FUZ31" s="3"/>
      <c r="FVA31" s="3"/>
      <c r="FVB31" s="3"/>
      <c r="FVC31" s="3"/>
      <c r="FVD31" s="3"/>
      <c r="FVE31" s="3"/>
      <c r="FVF31" s="3"/>
      <c r="FVG31" s="3"/>
      <c r="FVH31" s="3"/>
      <c r="FVI31" s="3"/>
      <c r="FVJ31" s="3"/>
      <c r="FVK31" s="3"/>
      <c r="FVL31" s="3"/>
      <c r="FVM31" s="3"/>
      <c r="FVN31" s="3"/>
      <c r="FVO31" s="3"/>
      <c r="FVP31" s="3"/>
      <c r="FVQ31" s="3"/>
      <c r="FVR31" s="3"/>
      <c r="FVS31" s="3"/>
      <c r="FVT31" s="3"/>
      <c r="FVU31" s="3"/>
      <c r="FVV31" s="3"/>
      <c r="FVW31" s="3"/>
      <c r="FVX31" s="3"/>
      <c r="FVY31" s="3"/>
      <c r="FVZ31" s="3"/>
      <c r="FWA31" s="3"/>
      <c r="FWB31" s="3"/>
      <c r="FWC31" s="3"/>
      <c r="FWD31" s="3"/>
      <c r="FWE31" s="3"/>
      <c r="FWF31" s="3"/>
      <c r="FWG31" s="3"/>
      <c r="FWH31" s="3"/>
      <c r="FWI31" s="3"/>
      <c r="FWJ31" s="3"/>
      <c r="FWK31" s="3"/>
      <c r="FWL31" s="3"/>
      <c r="FWM31" s="3"/>
      <c r="FWN31" s="3"/>
      <c r="FWO31" s="3"/>
      <c r="FWP31" s="3"/>
      <c r="FWQ31" s="3"/>
      <c r="FWR31" s="3"/>
      <c r="FWS31" s="3"/>
      <c r="FWT31" s="3"/>
      <c r="FWU31" s="3"/>
      <c r="FWV31" s="3"/>
      <c r="FWW31" s="3"/>
      <c r="FWX31" s="3"/>
      <c r="FWY31" s="3"/>
      <c r="FWZ31" s="3"/>
      <c r="FXA31" s="3"/>
      <c r="FXB31" s="3"/>
      <c r="FXC31" s="3"/>
      <c r="FXD31" s="3"/>
      <c r="FXE31" s="3"/>
      <c r="FXF31" s="3"/>
      <c r="FXG31" s="3"/>
      <c r="FXH31" s="3"/>
      <c r="FXI31" s="3"/>
      <c r="FXJ31" s="3"/>
      <c r="FXK31" s="3"/>
      <c r="FXL31" s="3"/>
      <c r="FXM31" s="3"/>
      <c r="FXN31" s="3"/>
      <c r="FXO31" s="3"/>
      <c r="FXP31" s="3"/>
      <c r="FXQ31" s="3"/>
      <c r="FXR31" s="3"/>
      <c r="FXS31" s="3"/>
      <c r="FXT31" s="3"/>
      <c r="FXU31" s="3"/>
      <c r="FXV31" s="3"/>
      <c r="FXW31" s="3"/>
      <c r="FXX31" s="3"/>
      <c r="FXY31" s="3"/>
      <c r="FXZ31" s="3"/>
      <c r="FYA31" s="3"/>
      <c r="FYB31" s="3"/>
      <c r="FYC31" s="3"/>
      <c r="FYD31" s="3"/>
      <c r="FYE31" s="3"/>
      <c r="FYF31" s="3"/>
      <c r="FYG31" s="3"/>
      <c r="FYH31" s="3"/>
      <c r="FYI31" s="3"/>
      <c r="FYJ31" s="3"/>
      <c r="FYK31" s="3"/>
      <c r="FYL31" s="3"/>
      <c r="FYM31" s="3"/>
      <c r="FYN31" s="3"/>
      <c r="FYO31" s="3"/>
      <c r="FYP31" s="3"/>
      <c r="FYQ31" s="3"/>
      <c r="FYR31" s="3"/>
      <c r="FYS31" s="3"/>
      <c r="FYT31" s="3"/>
      <c r="FYU31" s="3"/>
      <c r="FYV31" s="3"/>
      <c r="FYW31" s="3"/>
      <c r="FYX31" s="3"/>
      <c r="FYY31" s="3"/>
      <c r="FYZ31" s="3"/>
      <c r="FZA31" s="3"/>
      <c r="FZB31" s="3"/>
      <c r="FZC31" s="3"/>
      <c r="FZD31" s="3"/>
      <c r="FZE31" s="3"/>
      <c r="FZF31" s="3"/>
      <c r="FZG31" s="3"/>
      <c r="FZH31" s="3"/>
      <c r="FZI31" s="3"/>
      <c r="FZJ31" s="3"/>
      <c r="FZK31" s="3"/>
      <c r="FZL31" s="3"/>
      <c r="FZM31" s="3"/>
      <c r="FZN31" s="3"/>
      <c r="FZO31" s="3"/>
      <c r="FZP31" s="3"/>
      <c r="FZQ31" s="3"/>
      <c r="FZR31" s="3"/>
      <c r="FZS31" s="3"/>
      <c r="FZT31" s="3"/>
      <c r="FZU31" s="3"/>
      <c r="FZV31" s="3"/>
      <c r="FZW31" s="3"/>
      <c r="FZX31" s="3"/>
      <c r="FZY31" s="3"/>
      <c r="FZZ31" s="3"/>
      <c r="GAA31" s="3"/>
      <c r="GAB31" s="3"/>
      <c r="GAC31" s="3"/>
      <c r="GAD31" s="3"/>
      <c r="GAE31" s="3"/>
      <c r="GAF31" s="3"/>
      <c r="GAG31" s="3"/>
      <c r="GAH31" s="3"/>
      <c r="GAI31" s="3"/>
      <c r="GAJ31" s="3"/>
      <c r="GAK31" s="3"/>
      <c r="GAL31" s="3"/>
      <c r="GAM31" s="3"/>
      <c r="GAN31" s="3"/>
      <c r="GAO31" s="3"/>
      <c r="GAP31" s="3"/>
      <c r="GAQ31" s="3"/>
      <c r="GAR31" s="3"/>
      <c r="GAS31" s="3"/>
      <c r="GAT31" s="3"/>
      <c r="GAU31" s="3"/>
      <c r="GAV31" s="3"/>
      <c r="GAW31" s="3"/>
      <c r="GAX31" s="3"/>
      <c r="GAY31" s="3"/>
      <c r="GAZ31" s="3"/>
      <c r="GBA31" s="3"/>
      <c r="GBB31" s="3"/>
      <c r="GBC31" s="3"/>
      <c r="GBD31" s="3"/>
      <c r="GBE31" s="3"/>
      <c r="GBF31" s="3"/>
      <c r="GBG31" s="3"/>
      <c r="GBH31" s="3"/>
      <c r="GBI31" s="3"/>
      <c r="GBJ31" s="3"/>
      <c r="GBK31" s="3"/>
      <c r="GBL31" s="3"/>
      <c r="GBM31" s="3"/>
      <c r="GBN31" s="3"/>
      <c r="GBO31" s="3"/>
      <c r="GBP31" s="3"/>
      <c r="GBQ31" s="3"/>
      <c r="GBR31" s="3"/>
      <c r="GBS31" s="3"/>
      <c r="GBT31" s="3"/>
      <c r="GBU31" s="3"/>
      <c r="GBV31" s="3"/>
      <c r="GBW31" s="3"/>
      <c r="GBX31" s="3"/>
      <c r="GBY31" s="3"/>
      <c r="GBZ31" s="3"/>
      <c r="GCA31" s="3"/>
      <c r="GCB31" s="3"/>
      <c r="GCC31" s="3"/>
      <c r="GCD31" s="3"/>
      <c r="GCE31" s="3"/>
      <c r="GCF31" s="3"/>
      <c r="GCG31" s="3"/>
      <c r="GCH31" s="3"/>
      <c r="GCI31" s="3"/>
      <c r="GCJ31" s="3"/>
      <c r="GCK31" s="3"/>
      <c r="GCL31" s="3"/>
      <c r="GCM31" s="3"/>
      <c r="GCN31" s="3"/>
      <c r="GCO31" s="3"/>
      <c r="GCP31" s="3"/>
      <c r="GCQ31" s="3"/>
      <c r="GCR31" s="3"/>
      <c r="GCS31" s="3"/>
      <c r="GCT31" s="3"/>
      <c r="GCU31" s="3"/>
      <c r="GCV31" s="3"/>
      <c r="GCW31" s="3"/>
      <c r="GCX31" s="3"/>
      <c r="GCY31" s="3"/>
      <c r="GCZ31" s="3"/>
      <c r="GDA31" s="3"/>
      <c r="GDB31" s="3"/>
      <c r="GDC31" s="3"/>
      <c r="GDD31" s="3"/>
      <c r="GDE31" s="3"/>
      <c r="GDF31" s="3"/>
      <c r="GDG31" s="3"/>
      <c r="GDH31" s="3"/>
      <c r="GDI31" s="3"/>
      <c r="GDJ31" s="3"/>
      <c r="GDK31" s="3"/>
      <c r="GDL31" s="3"/>
      <c r="GDM31" s="3"/>
      <c r="GDN31" s="3"/>
      <c r="GDO31" s="3"/>
      <c r="GDP31" s="3"/>
      <c r="GDQ31" s="3"/>
      <c r="GDR31" s="3"/>
      <c r="GDS31" s="3"/>
      <c r="GDT31" s="3"/>
      <c r="GDU31" s="3"/>
      <c r="GDV31" s="3"/>
      <c r="GDW31" s="3"/>
      <c r="GDX31" s="3"/>
      <c r="GDY31" s="3"/>
      <c r="GDZ31" s="3"/>
      <c r="GEA31" s="3"/>
      <c r="GEB31" s="3"/>
      <c r="GEC31" s="3"/>
      <c r="GED31" s="3"/>
      <c r="GEE31" s="3"/>
      <c r="GEF31" s="3"/>
      <c r="GEG31" s="3"/>
      <c r="GEH31" s="3"/>
      <c r="GEI31" s="3"/>
      <c r="GEJ31" s="3"/>
      <c r="GEK31" s="3"/>
      <c r="GEL31" s="3"/>
      <c r="GEM31" s="3"/>
      <c r="GEN31" s="3"/>
      <c r="GEO31" s="3"/>
      <c r="GEP31" s="3"/>
      <c r="GEQ31" s="3"/>
      <c r="GER31" s="3"/>
      <c r="GES31" s="3"/>
      <c r="GET31" s="3"/>
      <c r="GEU31" s="3"/>
      <c r="GEV31" s="3"/>
      <c r="GEW31" s="3"/>
      <c r="GEX31" s="3"/>
      <c r="GEY31" s="3"/>
      <c r="GEZ31" s="3"/>
      <c r="GFA31" s="3"/>
      <c r="GFB31" s="3"/>
      <c r="GFC31" s="3"/>
      <c r="GFD31" s="3"/>
      <c r="GFE31" s="3"/>
      <c r="GFF31" s="3"/>
      <c r="GFG31" s="3"/>
      <c r="GFH31" s="3"/>
      <c r="GFI31" s="3"/>
      <c r="GFJ31" s="3"/>
      <c r="GFK31" s="3"/>
      <c r="GFL31" s="3"/>
      <c r="GFM31" s="3"/>
      <c r="GFN31" s="3"/>
      <c r="GFO31" s="3"/>
      <c r="GFP31" s="3"/>
      <c r="GFQ31" s="3"/>
      <c r="GFR31" s="3"/>
      <c r="GFS31" s="3"/>
      <c r="GFT31" s="3"/>
      <c r="GFU31" s="3"/>
      <c r="GFV31" s="3"/>
      <c r="GFW31" s="3"/>
      <c r="GFX31" s="3"/>
      <c r="GFY31" s="3"/>
      <c r="GFZ31" s="3"/>
      <c r="GGA31" s="3"/>
      <c r="GGB31" s="3"/>
      <c r="GGC31" s="3"/>
      <c r="GGD31" s="3"/>
      <c r="GGE31" s="3"/>
      <c r="GGF31" s="3"/>
      <c r="GGG31" s="3"/>
      <c r="GGH31" s="3"/>
      <c r="GGI31" s="3"/>
      <c r="GGJ31" s="3"/>
      <c r="GGK31" s="3"/>
      <c r="GGL31" s="3"/>
      <c r="GGM31" s="3"/>
      <c r="GGN31" s="3"/>
      <c r="GGO31" s="3"/>
      <c r="GGP31" s="3"/>
      <c r="GGQ31" s="3"/>
      <c r="GGR31" s="3"/>
      <c r="GGS31" s="3"/>
      <c r="GGT31" s="3"/>
      <c r="GGU31" s="3"/>
      <c r="GGV31" s="3"/>
      <c r="GGW31" s="3"/>
      <c r="GGX31" s="3"/>
      <c r="GGY31" s="3"/>
      <c r="GGZ31" s="3"/>
      <c r="GHA31" s="3"/>
      <c r="GHB31" s="3"/>
      <c r="GHC31" s="3"/>
      <c r="GHD31" s="3"/>
      <c r="GHE31" s="3"/>
      <c r="GHF31" s="3"/>
      <c r="GHG31" s="3"/>
      <c r="GHH31" s="3"/>
      <c r="GHI31" s="3"/>
      <c r="GHJ31" s="3"/>
      <c r="GHK31" s="3"/>
      <c r="GHL31" s="3"/>
      <c r="GHM31" s="3"/>
      <c r="GHN31" s="3"/>
      <c r="GHO31" s="3"/>
      <c r="GHP31" s="3"/>
      <c r="GHQ31" s="3"/>
      <c r="GHR31" s="3"/>
      <c r="GHS31" s="3"/>
      <c r="GHT31" s="3"/>
      <c r="GHU31" s="3"/>
      <c r="GHV31" s="3"/>
      <c r="GHW31" s="3"/>
      <c r="GHX31" s="3"/>
      <c r="GHY31" s="3"/>
      <c r="GHZ31" s="3"/>
      <c r="GIA31" s="3"/>
      <c r="GIB31" s="3"/>
      <c r="GIC31" s="3"/>
      <c r="GID31" s="3"/>
      <c r="GIE31" s="3"/>
      <c r="GIF31" s="3"/>
      <c r="GIG31" s="3"/>
      <c r="GIH31" s="3"/>
      <c r="GII31" s="3"/>
      <c r="GIJ31" s="3"/>
      <c r="GIK31" s="3"/>
      <c r="GIL31" s="3"/>
      <c r="GIM31" s="3"/>
      <c r="GIN31" s="3"/>
      <c r="GIO31" s="3"/>
      <c r="GIP31" s="3"/>
      <c r="GIQ31" s="3"/>
      <c r="GIR31" s="3"/>
      <c r="GIS31" s="3"/>
      <c r="GIT31" s="3"/>
      <c r="GIU31" s="3"/>
      <c r="GIV31" s="3"/>
      <c r="GIW31" s="3"/>
      <c r="GIX31" s="3"/>
      <c r="GIY31" s="3"/>
      <c r="GIZ31" s="3"/>
      <c r="GJA31" s="3"/>
      <c r="GJB31" s="3"/>
      <c r="GJC31" s="3"/>
      <c r="GJD31" s="3"/>
      <c r="GJE31" s="3"/>
      <c r="GJF31" s="3"/>
      <c r="GJG31" s="3"/>
      <c r="GJH31" s="3"/>
      <c r="GJI31" s="3"/>
      <c r="GJJ31" s="3"/>
      <c r="GJK31" s="3"/>
      <c r="GJL31" s="3"/>
      <c r="GJM31" s="3"/>
      <c r="GJN31" s="3"/>
      <c r="GJO31" s="3"/>
      <c r="GJP31" s="3"/>
      <c r="GJQ31" s="3"/>
      <c r="GJR31" s="3"/>
      <c r="GJS31" s="3"/>
      <c r="GJT31" s="3"/>
      <c r="GJU31" s="3"/>
      <c r="GJV31" s="3"/>
      <c r="GJW31" s="3"/>
      <c r="GJX31" s="3"/>
      <c r="GJY31" s="3"/>
      <c r="GJZ31" s="3"/>
      <c r="GKA31" s="3"/>
      <c r="GKB31" s="3"/>
      <c r="GKC31" s="3"/>
      <c r="GKD31" s="3"/>
      <c r="GKE31" s="3"/>
      <c r="GKF31" s="3"/>
      <c r="GKG31" s="3"/>
      <c r="GKH31" s="3"/>
      <c r="GKI31" s="3"/>
      <c r="GKJ31" s="3"/>
      <c r="GKK31" s="3"/>
      <c r="GKL31" s="3"/>
      <c r="GKM31" s="3"/>
      <c r="GKN31" s="3"/>
      <c r="GKO31" s="3"/>
      <c r="GKP31" s="3"/>
      <c r="GKQ31" s="3"/>
      <c r="GKR31" s="3"/>
      <c r="GKS31" s="3"/>
      <c r="GKT31" s="3"/>
      <c r="GKU31" s="3"/>
      <c r="GKV31" s="3"/>
      <c r="GKW31" s="3"/>
      <c r="GKX31" s="3"/>
      <c r="GKY31" s="3"/>
      <c r="GKZ31" s="3"/>
      <c r="GLA31" s="3"/>
      <c r="GLB31" s="3"/>
      <c r="GLC31" s="3"/>
      <c r="GLD31" s="3"/>
      <c r="GLE31" s="3"/>
      <c r="GLF31" s="3"/>
      <c r="GLG31" s="3"/>
      <c r="GLH31" s="3"/>
      <c r="GLI31" s="3"/>
      <c r="GLJ31" s="3"/>
      <c r="GLK31" s="3"/>
      <c r="GLL31" s="3"/>
      <c r="GLM31" s="3"/>
      <c r="GLN31" s="3"/>
      <c r="GLO31" s="3"/>
      <c r="GLP31" s="3"/>
      <c r="GLQ31" s="3"/>
      <c r="GLR31" s="3"/>
      <c r="GLS31" s="3"/>
      <c r="GLT31" s="3"/>
      <c r="GLU31" s="3"/>
      <c r="GLV31" s="3"/>
      <c r="GLW31" s="3"/>
      <c r="GLX31" s="3"/>
      <c r="GLY31" s="3"/>
      <c r="GLZ31" s="3"/>
      <c r="GMA31" s="3"/>
      <c r="GMB31" s="3"/>
      <c r="GMC31" s="3"/>
      <c r="GMD31" s="3"/>
      <c r="GME31" s="3"/>
      <c r="GMF31" s="3"/>
      <c r="GMG31" s="3"/>
      <c r="GMH31" s="3"/>
      <c r="GMI31" s="3"/>
      <c r="GMJ31" s="3"/>
      <c r="GMK31" s="3"/>
      <c r="GML31" s="3"/>
      <c r="GMM31" s="3"/>
      <c r="GMN31" s="3"/>
      <c r="GMO31" s="3"/>
      <c r="GMP31" s="3"/>
      <c r="GMQ31" s="3"/>
      <c r="GMR31" s="3"/>
      <c r="GMS31" s="3"/>
      <c r="GMT31" s="3"/>
      <c r="GMU31" s="3"/>
      <c r="GMV31" s="3"/>
      <c r="GMW31" s="3"/>
      <c r="GMX31" s="3"/>
      <c r="GMY31" s="3"/>
      <c r="GMZ31" s="3"/>
      <c r="GNA31" s="3"/>
      <c r="GNB31" s="3"/>
      <c r="GNC31" s="3"/>
      <c r="GND31" s="3"/>
      <c r="GNE31" s="3"/>
      <c r="GNF31" s="3"/>
      <c r="GNG31" s="3"/>
      <c r="GNH31" s="3"/>
      <c r="GNI31" s="3"/>
      <c r="GNJ31" s="3"/>
      <c r="GNK31" s="3"/>
      <c r="GNL31" s="3"/>
      <c r="GNM31" s="3"/>
      <c r="GNN31" s="3"/>
      <c r="GNO31" s="3"/>
      <c r="GNP31" s="3"/>
      <c r="GNQ31" s="3"/>
      <c r="GNR31" s="3"/>
      <c r="GNS31" s="3"/>
      <c r="GNT31" s="3"/>
      <c r="GNU31" s="3"/>
      <c r="GNV31" s="3"/>
      <c r="GNW31" s="3"/>
      <c r="GNX31" s="3"/>
      <c r="GNY31" s="3"/>
      <c r="GNZ31" s="3"/>
      <c r="GOA31" s="3"/>
      <c r="GOB31" s="3"/>
      <c r="GOC31" s="3"/>
      <c r="GOD31" s="3"/>
      <c r="GOE31" s="3"/>
      <c r="GOF31" s="3"/>
      <c r="GOG31" s="3"/>
      <c r="GOH31" s="3"/>
      <c r="GOI31" s="3"/>
      <c r="GOJ31" s="3"/>
      <c r="GOK31" s="3"/>
      <c r="GOL31" s="3"/>
      <c r="GOM31" s="3"/>
      <c r="GON31" s="3"/>
      <c r="GOO31" s="3"/>
      <c r="GOP31" s="3"/>
      <c r="GOQ31" s="3"/>
      <c r="GOR31" s="3"/>
      <c r="GOS31" s="3"/>
      <c r="GOT31" s="3"/>
      <c r="GOU31" s="3"/>
      <c r="GOV31" s="3"/>
      <c r="GOW31" s="3"/>
      <c r="GOX31" s="3"/>
      <c r="GOY31" s="3"/>
      <c r="GOZ31" s="3"/>
      <c r="GPA31" s="3"/>
      <c r="GPB31" s="3"/>
      <c r="GPC31" s="3"/>
      <c r="GPD31" s="3"/>
      <c r="GPE31" s="3"/>
      <c r="GPF31" s="3"/>
      <c r="GPG31" s="3"/>
      <c r="GPH31" s="3"/>
      <c r="GPI31" s="3"/>
      <c r="GPJ31" s="3"/>
      <c r="GPK31" s="3"/>
      <c r="GPL31" s="3"/>
      <c r="GPM31" s="3"/>
      <c r="GPN31" s="3"/>
      <c r="GPO31" s="3"/>
      <c r="GPP31" s="3"/>
      <c r="GPQ31" s="3"/>
      <c r="GPR31" s="3"/>
      <c r="GPS31" s="3"/>
      <c r="GPT31" s="3"/>
      <c r="GPU31" s="3"/>
      <c r="GPV31" s="3"/>
      <c r="GPW31" s="3"/>
      <c r="GPX31" s="3"/>
      <c r="GPY31" s="3"/>
      <c r="GPZ31" s="3"/>
      <c r="GQA31" s="3"/>
      <c r="GQB31" s="3"/>
      <c r="GQC31" s="3"/>
      <c r="GQD31" s="3"/>
      <c r="GQE31" s="3"/>
      <c r="GQF31" s="3"/>
      <c r="GQG31" s="3"/>
      <c r="GQH31" s="3"/>
      <c r="GQI31" s="3"/>
      <c r="GQJ31" s="3"/>
      <c r="GQK31" s="3"/>
      <c r="GQL31" s="3"/>
      <c r="GQM31" s="3"/>
      <c r="GQN31" s="3"/>
      <c r="GQO31" s="3"/>
      <c r="GQP31" s="3"/>
      <c r="GQQ31" s="3"/>
      <c r="GQR31" s="3"/>
      <c r="GQS31" s="3"/>
      <c r="GQT31" s="3"/>
      <c r="GQU31" s="3"/>
      <c r="GQV31" s="3"/>
      <c r="GQW31" s="3"/>
      <c r="GQX31" s="3"/>
      <c r="GQY31" s="3"/>
      <c r="GQZ31" s="3"/>
      <c r="GRA31" s="3"/>
      <c r="GRB31" s="3"/>
      <c r="GRC31" s="3"/>
      <c r="GRD31" s="3"/>
      <c r="GRE31" s="3"/>
      <c r="GRF31" s="3"/>
      <c r="GRG31" s="3"/>
      <c r="GRH31" s="3"/>
      <c r="GRI31" s="3"/>
      <c r="GRJ31" s="3"/>
      <c r="GRK31" s="3"/>
      <c r="GRL31" s="3"/>
      <c r="GRM31" s="3"/>
      <c r="GRN31" s="3"/>
      <c r="GRO31" s="3"/>
      <c r="GRP31" s="3"/>
      <c r="GRQ31" s="3"/>
      <c r="GRR31" s="3"/>
      <c r="GRS31" s="3"/>
      <c r="GRT31" s="3"/>
      <c r="GRU31" s="3"/>
      <c r="GRV31" s="3"/>
      <c r="GRW31" s="3"/>
      <c r="GRX31" s="3"/>
      <c r="GRY31" s="3"/>
      <c r="GRZ31" s="3"/>
      <c r="GSA31" s="3"/>
      <c r="GSB31" s="3"/>
      <c r="GSC31" s="3"/>
      <c r="GSD31" s="3"/>
      <c r="GSE31" s="3"/>
      <c r="GSF31" s="3"/>
      <c r="GSG31" s="3"/>
      <c r="GSH31" s="3"/>
      <c r="GSI31" s="3"/>
      <c r="GSJ31" s="3"/>
      <c r="GSK31" s="3"/>
      <c r="GSL31" s="3"/>
      <c r="GSM31" s="3"/>
      <c r="GSN31" s="3"/>
      <c r="GSO31" s="3"/>
      <c r="GSP31" s="3"/>
      <c r="GSQ31" s="3"/>
      <c r="GSR31" s="3"/>
      <c r="GSS31" s="3"/>
      <c r="GST31" s="3"/>
      <c r="GSU31" s="3"/>
      <c r="GSV31" s="3"/>
      <c r="GSW31" s="3"/>
      <c r="GSX31" s="3"/>
      <c r="GSY31" s="3"/>
      <c r="GSZ31" s="3"/>
      <c r="GTA31" s="3"/>
      <c r="GTB31" s="3"/>
      <c r="GTC31" s="3"/>
      <c r="GTD31" s="3"/>
      <c r="GTE31" s="3"/>
      <c r="GTF31" s="3"/>
      <c r="GTG31" s="3"/>
      <c r="GTH31" s="3"/>
      <c r="GTI31" s="3"/>
      <c r="GTJ31" s="3"/>
      <c r="GTK31" s="3"/>
      <c r="GTL31" s="3"/>
      <c r="GTM31" s="3"/>
      <c r="GTN31" s="3"/>
      <c r="GTO31" s="3"/>
      <c r="GTP31" s="3"/>
      <c r="GTQ31" s="3"/>
      <c r="GTR31" s="3"/>
      <c r="GTS31" s="3"/>
      <c r="GTT31" s="3"/>
      <c r="GTU31" s="3"/>
      <c r="GTV31" s="3"/>
      <c r="GTW31" s="3"/>
      <c r="GTX31" s="3"/>
      <c r="GTY31" s="3"/>
      <c r="GTZ31" s="3"/>
      <c r="GUA31" s="3"/>
      <c r="GUB31" s="3"/>
      <c r="GUC31" s="3"/>
      <c r="GUD31" s="3"/>
      <c r="GUE31" s="3"/>
      <c r="GUF31" s="3"/>
      <c r="GUG31" s="3"/>
      <c r="GUH31" s="3"/>
      <c r="GUI31" s="3"/>
      <c r="GUJ31" s="3"/>
      <c r="GUK31" s="3"/>
      <c r="GUL31" s="3"/>
      <c r="GUM31" s="3"/>
      <c r="GUN31" s="3"/>
      <c r="GUO31" s="3"/>
      <c r="GUP31" s="3"/>
      <c r="GUQ31" s="3"/>
      <c r="GUR31" s="3"/>
      <c r="GUS31" s="3"/>
      <c r="GUT31" s="3"/>
      <c r="GUU31" s="3"/>
      <c r="GUV31" s="3"/>
      <c r="GUW31" s="3"/>
      <c r="GUX31" s="3"/>
      <c r="GUY31" s="3"/>
      <c r="GUZ31" s="3"/>
      <c r="GVA31" s="3"/>
      <c r="GVB31" s="3"/>
      <c r="GVC31" s="3"/>
      <c r="GVD31" s="3"/>
      <c r="GVE31" s="3"/>
      <c r="GVF31" s="3"/>
      <c r="GVG31" s="3"/>
      <c r="GVH31" s="3"/>
      <c r="GVI31" s="3"/>
      <c r="GVJ31" s="3"/>
      <c r="GVK31" s="3"/>
      <c r="GVL31" s="3"/>
      <c r="GVM31" s="3"/>
      <c r="GVN31" s="3"/>
      <c r="GVO31" s="3"/>
      <c r="GVP31" s="3"/>
      <c r="GVQ31" s="3"/>
      <c r="GVR31" s="3"/>
      <c r="GVS31" s="3"/>
      <c r="GVT31" s="3"/>
      <c r="GVU31" s="3"/>
      <c r="GVV31" s="3"/>
      <c r="GVW31" s="3"/>
      <c r="GVX31" s="3"/>
      <c r="GVY31" s="3"/>
      <c r="GVZ31" s="3"/>
      <c r="GWA31" s="3"/>
      <c r="GWB31" s="3"/>
      <c r="GWC31" s="3"/>
      <c r="GWD31" s="3"/>
      <c r="GWE31" s="3"/>
      <c r="GWF31" s="3"/>
      <c r="GWG31" s="3"/>
      <c r="GWH31" s="3"/>
      <c r="GWI31" s="3"/>
      <c r="GWJ31" s="3"/>
      <c r="GWK31" s="3"/>
      <c r="GWL31" s="3"/>
      <c r="GWM31" s="3"/>
      <c r="GWN31" s="3"/>
      <c r="GWO31" s="3"/>
      <c r="GWP31" s="3"/>
      <c r="GWQ31" s="3"/>
      <c r="GWR31" s="3"/>
      <c r="GWS31" s="3"/>
      <c r="GWT31" s="3"/>
      <c r="GWU31" s="3"/>
      <c r="GWV31" s="3"/>
      <c r="GWW31" s="3"/>
      <c r="GWX31" s="3"/>
      <c r="GWY31" s="3"/>
      <c r="GWZ31" s="3"/>
      <c r="GXA31" s="3"/>
      <c r="GXB31" s="3"/>
      <c r="GXC31" s="3"/>
      <c r="GXD31" s="3"/>
      <c r="GXE31" s="3"/>
      <c r="GXF31" s="3"/>
      <c r="GXG31" s="3"/>
      <c r="GXH31" s="3"/>
      <c r="GXI31" s="3"/>
      <c r="GXJ31" s="3"/>
      <c r="GXK31" s="3"/>
      <c r="GXL31" s="3"/>
      <c r="GXM31" s="3"/>
      <c r="GXN31" s="3"/>
      <c r="GXO31" s="3"/>
      <c r="GXP31" s="3"/>
      <c r="GXQ31" s="3"/>
      <c r="GXR31" s="3"/>
      <c r="GXS31" s="3"/>
      <c r="GXT31" s="3"/>
      <c r="GXU31" s="3"/>
      <c r="GXV31" s="3"/>
      <c r="GXW31" s="3"/>
      <c r="GXX31" s="3"/>
      <c r="GXY31" s="3"/>
      <c r="GXZ31" s="3"/>
      <c r="GYA31" s="3"/>
      <c r="GYB31" s="3"/>
      <c r="GYC31" s="3"/>
      <c r="GYD31" s="3"/>
      <c r="GYE31" s="3"/>
      <c r="GYF31" s="3"/>
      <c r="GYG31" s="3"/>
      <c r="GYH31" s="3"/>
      <c r="GYI31" s="3"/>
      <c r="GYJ31" s="3"/>
      <c r="GYK31" s="3"/>
      <c r="GYL31" s="3"/>
      <c r="GYM31" s="3"/>
      <c r="GYN31" s="3"/>
      <c r="GYO31" s="3"/>
      <c r="GYP31" s="3"/>
      <c r="GYQ31" s="3"/>
      <c r="GYR31" s="3"/>
      <c r="GYS31" s="3"/>
      <c r="GYT31" s="3"/>
      <c r="GYU31" s="3"/>
      <c r="GYV31" s="3"/>
      <c r="GYW31" s="3"/>
      <c r="GYX31" s="3"/>
      <c r="GYY31" s="3"/>
      <c r="GYZ31" s="3"/>
      <c r="GZA31" s="3"/>
      <c r="GZB31" s="3"/>
      <c r="GZC31" s="3"/>
      <c r="GZD31" s="3"/>
      <c r="GZE31" s="3"/>
      <c r="GZF31" s="3"/>
      <c r="GZG31" s="3"/>
      <c r="GZH31" s="3"/>
      <c r="GZI31" s="3"/>
      <c r="GZJ31" s="3"/>
      <c r="GZK31" s="3"/>
      <c r="GZL31" s="3"/>
      <c r="GZM31" s="3"/>
      <c r="GZN31" s="3"/>
      <c r="GZO31" s="3"/>
      <c r="GZP31" s="3"/>
      <c r="GZQ31" s="3"/>
      <c r="GZR31" s="3"/>
      <c r="GZS31" s="3"/>
      <c r="GZT31" s="3"/>
      <c r="GZU31" s="3"/>
      <c r="GZV31" s="3"/>
      <c r="GZW31" s="3"/>
      <c r="GZX31" s="3"/>
      <c r="GZY31" s="3"/>
      <c r="GZZ31" s="3"/>
      <c r="HAA31" s="3"/>
      <c r="HAB31" s="3"/>
      <c r="HAC31" s="3"/>
      <c r="HAD31" s="3"/>
      <c r="HAE31" s="3"/>
      <c r="HAF31" s="3"/>
      <c r="HAG31" s="3"/>
      <c r="HAH31" s="3"/>
      <c r="HAI31" s="3"/>
      <c r="HAJ31" s="3"/>
      <c r="HAK31" s="3"/>
      <c r="HAL31" s="3"/>
      <c r="HAM31" s="3"/>
      <c r="HAN31" s="3"/>
      <c r="HAO31" s="3"/>
      <c r="HAP31" s="3"/>
      <c r="HAQ31" s="3"/>
      <c r="HAR31" s="3"/>
      <c r="HAS31" s="3"/>
      <c r="HAT31" s="3"/>
      <c r="HAU31" s="3"/>
      <c r="HAV31" s="3"/>
      <c r="HAW31" s="3"/>
      <c r="HAX31" s="3"/>
      <c r="HAY31" s="3"/>
      <c r="HAZ31" s="3"/>
      <c r="HBA31" s="3"/>
      <c r="HBB31" s="3"/>
      <c r="HBC31" s="3"/>
      <c r="HBD31" s="3"/>
      <c r="HBE31" s="3"/>
      <c r="HBF31" s="3"/>
      <c r="HBG31" s="3"/>
      <c r="HBH31" s="3"/>
      <c r="HBI31" s="3"/>
      <c r="HBJ31" s="3"/>
      <c r="HBK31" s="3"/>
      <c r="HBL31" s="3"/>
      <c r="HBM31" s="3"/>
      <c r="HBN31" s="3"/>
      <c r="HBO31" s="3"/>
      <c r="HBP31" s="3"/>
      <c r="HBQ31" s="3"/>
      <c r="HBR31" s="3"/>
      <c r="HBS31" s="3"/>
      <c r="HBT31" s="3"/>
      <c r="HBU31" s="3"/>
      <c r="HBV31" s="3"/>
      <c r="HBW31" s="3"/>
      <c r="HBX31" s="3"/>
      <c r="HBY31" s="3"/>
      <c r="HBZ31" s="3"/>
      <c r="HCA31" s="3"/>
      <c r="HCB31" s="3"/>
      <c r="HCC31" s="3"/>
      <c r="HCD31" s="3"/>
      <c r="HCE31" s="3"/>
      <c r="HCF31" s="3"/>
      <c r="HCG31" s="3"/>
      <c r="HCH31" s="3"/>
      <c r="HCI31" s="3"/>
      <c r="HCJ31" s="3"/>
      <c r="HCK31" s="3"/>
      <c r="HCL31" s="3"/>
      <c r="HCM31" s="3"/>
      <c r="HCN31" s="3"/>
      <c r="HCO31" s="3"/>
      <c r="HCP31" s="3"/>
      <c r="HCQ31" s="3"/>
      <c r="HCR31" s="3"/>
      <c r="HCS31" s="3"/>
      <c r="HCT31" s="3"/>
      <c r="HCU31" s="3"/>
      <c r="HCV31" s="3"/>
      <c r="HCW31" s="3"/>
      <c r="HCX31" s="3"/>
      <c r="HCY31" s="3"/>
      <c r="HCZ31" s="3"/>
      <c r="HDA31" s="3"/>
      <c r="HDB31" s="3"/>
      <c r="HDC31" s="3"/>
      <c r="HDD31" s="3"/>
      <c r="HDE31" s="3"/>
      <c r="HDF31" s="3"/>
      <c r="HDG31" s="3"/>
      <c r="HDH31" s="3"/>
      <c r="HDI31" s="3"/>
      <c r="HDJ31" s="3"/>
      <c r="HDK31" s="3"/>
      <c r="HDL31" s="3"/>
      <c r="HDM31" s="3"/>
      <c r="HDN31" s="3"/>
      <c r="HDO31" s="3"/>
      <c r="HDP31" s="3"/>
      <c r="HDQ31" s="3"/>
      <c r="HDR31" s="3"/>
      <c r="HDS31" s="3"/>
      <c r="HDT31" s="3"/>
      <c r="HDU31" s="3"/>
      <c r="HDV31" s="3"/>
      <c r="HDW31" s="3"/>
      <c r="HDX31" s="3"/>
      <c r="HDY31" s="3"/>
      <c r="HDZ31" s="3"/>
      <c r="HEA31" s="3"/>
      <c r="HEB31" s="3"/>
      <c r="HEC31" s="3"/>
      <c r="HED31" s="3"/>
      <c r="HEE31" s="3"/>
      <c r="HEF31" s="3"/>
      <c r="HEG31" s="3"/>
      <c r="HEH31" s="3"/>
      <c r="HEI31" s="3"/>
      <c r="HEJ31" s="3"/>
      <c r="HEK31" s="3"/>
      <c r="HEL31" s="3"/>
      <c r="HEM31" s="3"/>
      <c r="HEN31" s="3"/>
      <c r="HEO31" s="3"/>
      <c r="HEP31" s="3"/>
      <c r="HEQ31" s="3"/>
      <c r="HER31" s="3"/>
      <c r="HES31" s="3"/>
      <c r="HET31" s="3"/>
      <c r="HEU31" s="3"/>
      <c r="HEV31" s="3"/>
      <c r="HEW31" s="3"/>
      <c r="HEX31" s="3"/>
      <c r="HEY31" s="3"/>
      <c r="HEZ31" s="3"/>
      <c r="HFA31" s="3"/>
      <c r="HFB31" s="3"/>
      <c r="HFC31" s="3"/>
      <c r="HFD31" s="3"/>
      <c r="HFE31" s="3"/>
      <c r="HFF31" s="3"/>
      <c r="HFG31" s="3"/>
      <c r="HFH31" s="3"/>
      <c r="HFI31" s="3"/>
      <c r="HFJ31" s="3"/>
      <c r="HFK31" s="3"/>
      <c r="HFL31" s="3"/>
      <c r="HFM31" s="3"/>
      <c r="HFN31" s="3"/>
      <c r="HFO31" s="3"/>
      <c r="HFP31" s="3"/>
      <c r="HFQ31" s="3"/>
      <c r="HFR31" s="3"/>
      <c r="HFS31" s="3"/>
      <c r="HFT31" s="3"/>
      <c r="HFU31" s="3"/>
      <c r="HFV31" s="3"/>
      <c r="HFW31" s="3"/>
      <c r="HFX31" s="3"/>
      <c r="HFY31" s="3"/>
      <c r="HFZ31" s="3"/>
      <c r="HGA31" s="3"/>
      <c r="HGB31" s="3"/>
      <c r="HGC31" s="3"/>
      <c r="HGD31" s="3"/>
      <c r="HGE31" s="3"/>
      <c r="HGF31" s="3"/>
      <c r="HGG31" s="3"/>
      <c r="HGH31" s="3"/>
      <c r="HGI31" s="3"/>
      <c r="HGJ31" s="3"/>
      <c r="HGK31" s="3"/>
      <c r="HGL31" s="3"/>
      <c r="HGM31" s="3"/>
      <c r="HGN31" s="3"/>
      <c r="HGO31" s="3"/>
      <c r="HGP31" s="3"/>
      <c r="HGQ31" s="3"/>
      <c r="HGR31" s="3"/>
      <c r="HGS31" s="3"/>
      <c r="HGT31" s="3"/>
      <c r="HGU31" s="3"/>
      <c r="HGV31" s="3"/>
      <c r="HGW31" s="3"/>
      <c r="HGX31" s="3"/>
      <c r="HGY31" s="3"/>
      <c r="HGZ31" s="3"/>
      <c r="HHA31" s="3"/>
      <c r="HHB31" s="3"/>
      <c r="HHC31" s="3"/>
      <c r="HHD31" s="3"/>
      <c r="HHE31" s="3"/>
      <c r="HHF31" s="3"/>
      <c r="HHG31" s="3"/>
      <c r="HHH31" s="3"/>
      <c r="HHI31" s="3"/>
      <c r="HHJ31" s="3"/>
      <c r="HHK31" s="3"/>
      <c r="HHL31" s="3"/>
      <c r="HHM31" s="3"/>
      <c r="HHN31" s="3"/>
      <c r="HHO31" s="3"/>
      <c r="HHP31" s="3"/>
      <c r="HHQ31" s="3"/>
      <c r="HHR31" s="3"/>
      <c r="HHS31" s="3"/>
      <c r="HHT31" s="3"/>
      <c r="HHU31" s="3"/>
      <c r="HHV31" s="3"/>
      <c r="HHW31" s="3"/>
      <c r="HHX31" s="3"/>
      <c r="HHY31" s="3"/>
      <c r="HHZ31" s="3"/>
      <c r="HIA31" s="3"/>
      <c r="HIB31" s="3"/>
      <c r="HIC31" s="3"/>
      <c r="HID31" s="3"/>
      <c r="HIE31" s="3"/>
      <c r="HIF31" s="3"/>
      <c r="HIG31" s="3"/>
      <c r="HIH31" s="3"/>
      <c r="HII31" s="3"/>
      <c r="HIJ31" s="3"/>
      <c r="HIK31" s="3"/>
      <c r="HIL31" s="3"/>
      <c r="HIM31" s="3"/>
      <c r="HIN31" s="3"/>
      <c r="HIO31" s="3"/>
      <c r="HIP31" s="3"/>
      <c r="HIQ31" s="3"/>
      <c r="HIR31" s="3"/>
      <c r="HIS31" s="3"/>
      <c r="HIT31" s="3"/>
      <c r="HIU31" s="3"/>
      <c r="HIV31" s="3"/>
      <c r="HIW31" s="3"/>
      <c r="HIX31" s="3"/>
      <c r="HIY31" s="3"/>
      <c r="HIZ31" s="3"/>
      <c r="HJA31" s="3"/>
      <c r="HJB31" s="3"/>
      <c r="HJC31" s="3"/>
      <c r="HJD31" s="3"/>
      <c r="HJE31" s="3"/>
      <c r="HJF31" s="3"/>
      <c r="HJG31" s="3"/>
      <c r="HJH31" s="3"/>
      <c r="HJI31" s="3"/>
      <c r="HJJ31" s="3"/>
      <c r="HJK31" s="3"/>
      <c r="HJL31" s="3"/>
      <c r="HJM31" s="3"/>
      <c r="HJN31" s="3"/>
      <c r="HJO31" s="3"/>
      <c r="HJP31" s="3"/>
      <c r="HJQ31" s="3"/>
      <c r="HJR31" s="3"/>
      <c r="HJS31" s="3"/>
      <c r="HJT31" s="3"/>
      <c r="HJU31" s="3"/>
      <c r="HJV31" s="3"/>
      <c r="HJW31" s="3"/>
      <c r="HJX31" s="3"/>
      <c r="HJY31" s="3"/>
      <c r="HJZ31" s="3"/>
      <c r="HKA31" s="3"/>
      <c r="HKB31" s="3"/>
      <c r="HKC31" s="3"/>
      <c r="HKD31" s="3"/>
      <c r="HKE31" s="3"/>
      <c r="HKF31" s="3"/>
      <c r="HKG31" s="3"/>
      <c r="HKH31" s="3"/>
      <c r="HKI31" s="3"/>
      <c r="HKJ31" s="3"/>
      <c r="HKK31" s="3"/>
      <c r="HKL31" s="3"/>
      <c r="HKM31" s="3"/>
      <c r="HKN31" s="3"/>
      <c r="HKO31" s="3"/>
      <c r="HKP31" s="3"/>
      <c r="HKQ31" s="3"/>
      <c r="HKR31" s="3"/>
      <c r="HKS31" s="3"/>
      <c r="HKT31" s="3"/>
      <c r="HKU31" s="3"/>
      <c r="HKV31" s="3"/>
      <c r="HKW31" s="3"/>
      <c r="HKX31" s="3"/>
      <c r="HKY31" s="3"/>
      <c r="HKZ31" s="3"/>
      <c r="HLA31" s="3"/>
      <c r="HLB31" s="3"/>
      <c r="HLC31" s="3"/>
      <c r="HLD31" s="3"/>
      <c r="HLE31" s="3"/>
      <c r="HLF31" s="3"/>
      <c r="HLG31" s="3"/>
      <c r="HLH31" s="3"/>
      <c r="HLI31" s="3"/>
      <c r="HLJ31" s="3"/>
      <c r="HLK31" s="3"/>
      <c r="HLL31" s="3"/>
      <c r="HLM31" s="3"/>
      <c r="HLN31" s="3"/>
      <c r="HLO31" s="3"/>
      <c r="HLP31" s="3"/>
      <c r="HLQ31" s="3"/>
      <c r="HLR31" s="3"/>
      <c r="HLS31" s="3"/>
      <c r="HLT31" s="3"/>
      <c r="HLU31" s="3"/>
      <c r="HLV31" s="3"/>
      <c r="HLW31" s="3"/>
      <c r="HLX31" s="3"/>
      <c r="HLY31" s="3"/>
      <c r="HLZ31" s="3"/>
      <c r="HMA31" s="3"/>
      <c r="HMB31" s="3"/>
      <c r="HMC31" s="3"/>
      <c r="HMD31" s="3"/>
      <c r="HME31" s="3"/>
      <c r="HMF31" s="3"/>
      <c r="HMG31" s="3"/>
      <c r="HMH31" s="3"/>
      <c r="HMI31" s="3"/>
      <c r="HMJ31" s="3"/>
      <c r="HMK31" s="3"/>
      <c r="HML31" s="3"/>
      <c r="HMM31" s="3"/>
      <c r="HMN31" s="3"/>
      <c r="HMO31" s="3"/>
      <c r="HMP31" s="3"/>
      <c r="HMQ31" s="3"/>
      <c r="HMR31" s="3"/>
      <c r="HMS31" s="3"/>
      <c r="HMT31" s="3"/>
      <c r="HMU31" s="3"/>
      <c r="HMV31" s="3"/>
      <c r="HMW31" s="3"/>
      <c r="HMX31" s="3"/>
      <c r="HMY31" s="3"/>
      <c r="HMZ31" s="3"/>
      <c r="HNA31" s="3"/>
      <c r="HNB31" s="3"/>
      <c r="HNC31" s="3"/>
      <c r="HND31" s="3"/>
      <c r="HNE31" s="3"/>
      <c r="HNF31" s="3"/>
      <c r="HNG31" s="3"/>
      <c r="HNH31" s="3"/>
      <c r="HNI31" s="3"/>
      <c r="HNJ31" s="3"/>
      <c r="HNK31" s="3"/>
      <c r="HNL31" s="3"/>
      <c r="HNM31" s="3"/>
      <c r="HNN31" s="3"/>
      <c r="HNO31" s="3"/>
      <c r="HNP31" s="3"/>
      <c r="HNQ31" s="3"/>
      <c r="HNR31" s="3"/>
      <c r="HNS31" s="3"/>
      <c r="HNT31" s="3"/>
      <c r="HNU31" s="3"/>
      <c r="HNV31" s="3"/>
      <c r="HNW31" s="3"/>
      <c r="HNX31" s="3"/>
      <c r="HNY31" s="3"/>
      <c r="HNZ31" s="3"/>
      <c r="HOA31" s="3"/>
      <c r="HOB31" s="3"/>
      <c r="HOC31" s="3"/>
      <c r="HOD31" s="3"/>
      <c r="HOE31" s="3"/>
      <c r="HOF31" s="3"/>
      <c r="HOG31" s="3"/>
      <c r="HOH31" s="3"/>
      <c r="HOI31" s="3"/>
      <c r="HOJ31" s="3"/>
      <c r="HOK31" s="3"/>
      <c r="HOL31" s="3"/>
      <c r="HOM31" s="3"/>
      <c r="HON31" s="3"/>
      <c r="HOO31" s="3"/>
      <c r="HOP31" s="3"/>
      <c r="HOQ31" s="3"/>
      <c r="HOR31" s="3"/>
      <c r="HOS31" s="3"/>
      <c r="HOT31" s="3"/>
      <c r="HOU31" s="3"/>
      <c r="HOV31" s="3"/>
      <c r="HOW31" s="3"/>
      <c r="HOX31" s="3"/>
      <c r="HOY31" s="3"/>
      <c r="HOZ31" s="3"/>
      <c r="HPA31" s="3"/>
      <c r="HPB31" s="3"/>
      <c r="HPC31" s="3"/>
      <c r="HPD31" s="3"/>
      <c r="HPE31" s="3"/>
      <c r="HPF31" s="3"/>
      <c r="HPG31" s="3"/>
      <c r="HPH31" s="3"/>
      <c r="HPI31" s="3"/>
      <c r="HPJ31" s="3"/>
      <c r="HPK31" s="3"/>
      <c r="HPL31" s="3"/>
      <c r="HPM31" s="3"/>
      <c r="HPN31" s="3"/>
      <c r="HPO31" s="3"/>
      <c r="HPP31" s="3"/>
      <c r="HPQ31" s="3"/>
      <c r="HPR31" s="3"/>
      <c r="HPS31" s="3"/>
      <c r="HPT31" s="3"/>
      <c r="HPU31" s="3"/>
      <c r="HPV31" s="3"/>
      <c r="HPW31" s="3"/>
      <c r="HPX31" s="3"/>
      <c r="HPY31" s="3"/>
      <c r="HPZ31" s="3"/>
      <c r="HQA31" s="3"/>
      <c r="HQB31" s="3"/>
      <c r="HQC31" s="3"/>
      <c r="HQD31" s="3"/>
      <c r="HQE31" s="3"/>
      <c r="HQF31" s="3"/>
      <c r="HQG31" s="3"/>
      <c r="HQH31" s="3"/>
      <c r="HQI31" s="3"/>
      <c r="HQJ31" s="3"/>
      <c r="HQK31" s="3"/>
      <c r="HQL31" s="3"/>
      <c r="HQM31" s="3"/>
      <c r="HQN31" s="3"/>
      <c r="HQO31" s="3"/>
      <c r="HQP31" s="3"/>
      <c r="HQQ31" s="3"/>
      <c r="HQR31" s="3"/>
      <c r="HQS31" s="3"/>
      <c r="HQT31" s="3"/>
      <c r="HQU31" s="3"/>
      <c r="HQV31" s="3"/>
      <c r="HQW31" s="3"/>
      <c r="HQX31" s="3"/>
      <c r="HQY31" s="3"/>
      <c r="HQZ31" s="3"/>
      <c r="HRA31" s="3"/>
      <c r="HRB31" s="3"/>
      <c r="HRC31" s="3"/>
      <c r="HRD31" s="3"/>
      <c r="HRE31" s="3"/>
      <c r="HRF31" s="3"/>
      <c r="HRG31" s="3"/>
      <c r="HRH31" s="3"/>
      <c r="HRI31" s="3"/>
      <c r="HRJ31" s="3"/>
      <c r="HRK31" s="3"/>
      <c r="HRL31" s="3"/>
      <c r="HRM31" s="3"/>
      <c r="HRN31" s="3"/>
      <c r="HRO31" s="3"/>
      <c r="HRP31" s="3"/>
      <c r="HRQ31" s="3"/>
      <c r="HRR31" s="3"/>
      <c r="HRS31" s="3"/>
      <c r="HRT31" s="3"/>
      <c r="HRU31" s="3"/>
      <c r="HRV31" s="3"/>
      <c r="HRW31" s="3"/>
      <c r="HRX31" s="3"/>
      <c r="HRY31" s="3"/>
      <c r="HRZ31" s="3"/>
      <c r="HSA31" s="3"/>
      <c r="HSB31" s="3"/>
      <c r="HSC31" s="3"/>
      <c r="HSD31" s="3"/>
      <c r="HSE31" s="3"/>
      <c r="HSF31" s="3"/>
      <c r="HSG31" s="3"/>
      <c r="HSH31" s="3"/>
      <c r="HSI31" s="3"/>
      <c r="HSJ31" s="3"/>
      <c r="HSK31" s="3"/>
      <c r="HSL31" s="3"/>
      <c r="HSM31" s="3"/>
      <c r="HSN31" s="3"/>
      <c r="HSO31" s="3"/>
      <c r="HSP31" s="3"/>
      <c r="HSQ31" s="3"/>
      <c r="HSR31" s="3"/>
      <c r="HSS31" s="3"/>
      <c r="HST31" s="3"/>
      <c r="HSU31" s="3"/>
      <c r="HSV31" s="3"/>
      <c r="HSW31" s="3"/>
      <c r="HSX31" s="3"/>
      <c r="HSY31" s="3"/>
      <c r="HSZ31" s="3"/>
      <c r="HTA31" s="3"/>
      <c r="HTB31" s="3"/>
      <c r="HTC31" s="3"/>
      <c r="HTD31" s="3"/>
      <c r="HTE31" s="3"/>
      <c r="HTF31" s="3"/>
      <c r="HTG31" s="3"/>
      <c r="HTH31" s="3"/>
      <c r="HTI31" s="3"/>
      <c r="HTJ31" s="3"/>
      <c r="HTK31" s="3"/>
      <c r="HTL31" s="3"/>
      <c r="HTM31" s="3"/>
      <c r="HTN31" s="3"/>
      <c r="HTO31" s="3"/>
      <c r="HTP31" s="3"/>
      <c r="HTQ31" s="3"/>
      <c r="HTR31" s="3"/>
      <c r="HTS31" s="3"/>
      <c r="HTT31" s="3"/>
      <c r="HTU31" s="3"/>
      <c r="HTV31" s="3"/>
      <c r="HTW31" s="3"/>
      <c r="HTX31" s="3"/>
      <c r="HTY31" s="3"/>
      <c r="HTZ31" s="3"/>
      <c r="HUA31" s="3"/>
      <c r="HUB31" s="3"/>
      <c r="HUC31" s="3"/>
      <c r="HUD31" s="3"/>
      <c r="HUE31" s="3"/>
      <c r="HUF31" s="3"/>
      <c r="HUG31" s="3"/>
      <c r="HUH31" s="3"/>
      <c r="HUI31" s="3"/>
      <c r="HUJ31" s="3"/>
      <c r="HUK31" s="3"/>
      <c r="HUL31" s="3"/>
      <c r="HUM31" s="3"/>
      <c r="HUN31" s="3"/>
      <c r="HUO31" s="3"/>
      <c r="HUP31" s="3"/>
      <c r="HUQ31" s="3"/>
      <c r="HUR31" s="3"/>
      <c r="HUS31" s="3"/>
      <c r="HUT31" s="3"/>
      <c r="HUU31" s="3"/>
      <c r="HUV31" s="3"/>
      <c r="HUW31" s="3"/>
      <c r="HUX31" s="3"/>
      <c r="HUY31" s="3"/>
      <c r="HUZ31" s="3"/>
      <c r="HVA31" s="3"/>
      <c r="HVB31" s="3"/>
      <c r="HVC31" s="3"/>
      <c r="HVD31" s="3"/>
      <c r="HVE31" s="3"/>
      <c r="HVF31" s="3"/>
      <c r="HVG31" s="3"/>
      <c r="HVH31" s="3"/>
      <c r="HVI31" s="3"/>
      <c r="HVJ31" s="3"/>
      <c r="HVK31" s="3"/>
      <c r="HVL31" s="3"/>
      <c r="HVM31" s="3"/>
      <c r="HVN31" s="3"/>
      <c r="HVO31" s="3"/>
      <c r="HVP31" s="3"/>
      <c r="HVQ31" s="3"/>
      <c r="HVR31" s="3"/>
      <c r="HVS31" s="3"/>
      <c r="HVT31" s="3"/>
      <c r="HVU31" s="3"/>
      <c r="HVV31" s="3"/>
      <c r="HVW31" s="3"/>
      <c r="HVX31" s="3"/>
      <c r="HVY31" s="3"/>
      <c r="HVZ31" s="3"/>
      <c r="HWA31" s="3"/>
      <c r="HWB31" s="3"/>
      <c r="HWC31" s="3"/>
      <c r="HWD31" s="3"/>
      <c r="HWE31" s="3"/>
      <c r="HWF31" s="3"/>
      <c r="HWG31" s="3"/>
      <c r="HWH31" s="3"/>
      <c r="HWI31" s="3"/>
      <c r="HWJ31" s="3"/>
      <c r="HWK31" s="3"/>
      <c r="HWL31" s="3"/>
      <c r="HWM31" s="3"/>
      <c r="HWN31" s="3"/>
      <c r="HWO31" s="3"/>
      <c r="HWP31" s="3"/>
      <c r="HWQ31" s="3"/>
      <c r="HWR31" s="3"/>
      <c r="HWS31" s="3"/>
      <c r="HWT31" s="3"/>
      <c r="HWU31" s="3"/>
      <c r="HWV31" s="3"/>
      <c r="HWW31" s="3"/>
      <c r="HWX31" s="3"/>
      <c r="HWY31" s="3"/>
      <c r="HWZ31" s="3"/>
      <c r="HXA31" s="3"/>
      <c r="HXB31" s="3"/>
      <c r="HXC31" s="3"/>
      <c r="HXD31" s="3"/>
      <c r="HXE31" s="3"/>
      <c r="HXF31" s="3"/>
      <c r="HXG31" s="3"/>
      <c r="HXH31" s="3"/>
      <c r="HXI31" s="3"/>
      <c r="HXJ31" s="3"/>
      <c r="HXK31" s="3"/>
      <c r="HXL31" s="3"/>
      <c r="HXM31" s="3"/>
      <c r="HXN31" s="3"/>
      <c r="HXO31" s="3"/>
      <c r="HXP31" s="3"/>
      <c r="HXQ31" s="3"/>
      <c r="HXR31" s="3"/>
      <c r="HXS31" s="3"/>
      <c r="HXT31" s="3"/>
      <c r="HXU31" s="3"/>
      <c r="HXV31" s="3"/>
      <c r="HXW31" s="3"/>
      <c r="HXX31" s="3"/>
      <c r="HXY31" s="3"/>
      <c r="HXZ31" s="3"/>
      <c r="HYA31" s="3"/>
      <c r="HYB31" s="3"/>
      <c r="HYC31" s="3"/>
      <c r="HYD31" s="3"/>
      <c r="HYE31" s="3"/>
      <c r="HYF31" s="3"/>
      <c r="HYG31" s="3"/>
      <c r="HYH31" s="3"/>
      <c r="HYI31" s="3"/>
      <c r="HYJ31" s="3"/>
      <c r="HYK31" s="3"/>
      <c r="HYL31" s="3"/>
      <c r="HYM31" s="3"/>
      <c r="HYN31" s="3"/>
      <c r="HYO31" s="3"/>
      <c r="HYP31" s="3"/>
      <c r="HYQ31" s="3"/>
      <c r="HYR31" s="3"/>
      <c r="HYS31" s="3"/>
      <c r="HYT31" s="3"/>
      <c r="HYU31" s="3"/>
      <c r="HYV31" s="3"/>
      <c r="HYW31" s="3"/>
      <c r="HYX31" s="3"/>
      <c r="HYY31" s="3"/>
      <c r="HYZ31" s="3"/>
      <c r="HZA31" s="3"/>
      <c r="HZB31" s="3"/>
      <c r="HZC31" s="3"/>
      <c r="HZD31" s="3"/>
      <c r="HZE31" s="3"/>
      <c r="HZF31" s="3"/>
      <c r="HZG31" s="3"/>
      <c r="HZH31" s="3"/>
      <c r="HZI31" s="3"/>
      <c r="HZJ31" s="3"/>
      <c r="HZK31" s="3"/>
      <c r="HZL31" s="3"/>
      <c r="HZM31" s="3"/>
      <c r="HZN31" s="3"/>
      <c r="HZO31" s="3"/>
      <c r="HZP31" s="3"/>
      <c r="HZQ31" s="3"/>
      <c r="HZR31" s="3"/>
      <c r="HZS31" s="3"/>
      <c r="HZT31" s="3"/>
      <c r="HZU31" s="3"/>
      <c r="HZV31" s="3"/>
      <c r="HZW31" s="3"/>
      <c r="HZX31" s="3"/>
      <c r="HZY31" s="3"/>
      <c r="HZZ31" s="3"/>
      <c r="IAA31" s="3"/>
      <c r="IAB31" s="3"/>
      <c r="IAC31" s="3"/>
      <c r="IAD31" s="3"/>
      <c r="IAE31" s="3"/>
      <c r="IAF31" s="3"/>
      <c r="IAG31" s="3"/>
      <c r="IAH31" s="3"/>
      <c r="IAI31" s="3"/>
      <c r="IAJ31" s="3"/>
      <c r="IAK31" s="3"/>
      <c r="IAL31" s="3"/>
      <c r="IAM31" s="3"/>
      <c r="IAN31" s="3"/>
      <c r="IAO31" s="3"/>
      <c r="IAP31" s="3"/>
      <c r="IAQ31" s="3"/>
      <c r="IAR31" s="3"/>
      <c r="IAS31" s="3"/>
      <c r="IAT31" s="3"/>
      <c r="IAU31" s="3"/>
      <c r="IAV31" s="3"/>
      <c r="IAW31" s="3"/>
      <c r="IAX31" s="3"/>
      <c r="IAY31" s="3"/>
      <c r="IAZ31" s="3"/>
      <c r="IBA31" s="3"/>
      <c r="IBB31" s="3"/>
      <c r="IBC31" s="3"/>
      <c r="IBD31" s="3"/>
      <c r="IBE31" s="3"/>
      <c r="IBF31" s="3"/>
      <c r="IBG31" s="3"/>
      <c r="IBH31" s="3"/>
      <c r="IBI31" s="3"/>
      <c r="IBJ31" s="3"/>
      <c r="IBK31" s="3"/>
      <c r="IBL31" s="3"/>
      <c r="IBM31" s="3"/>
      <c r="IBN31" s="3"/>
      <c r="IBO31" s="3"/>
      <c r="IBP31" s="3"/>
      <c r="IBQ31" s="3"/>
      <c r="IBR31" s="3"/>
      <c r="IBS31" s="3"/>
      <c r="IBT31" s="3"/>
      <c r="IBU31" s="3"/>
      <c r="IBV31" s="3"/>
      <c r="IBW31" s="3"/>
      <c r="IBX31" s="3"/>
      <c r="IBY31" s="3"/>
      <c r="IBZ31" s="3"/>
      <c r="ICA31" s="3"/>
      <c r="ICB31" s="3"/>
      <c r="ICC31" s="3"/>
      <c r="ICD31" s="3"/>
      <c r="ICE31" s="3"/>
      <c r="ICF31" s="3"/>
      <c r="ICG31" s="3"/>
      <c r="ICH31" s="3"/>
      <c r="ICI31" s="3"/>
      <c r="ICJ31" s="3"/>
      <c r="ICK31" s="3"/>
      <c r="ICL31" s="3"/>
      <c r="ICM31" s="3"/>
      <c r="ICN31" s="3"/>
      <c r="ICO31" s="3"/>
      <c r="ICP31" s="3"/>
      <c r="ICQ31" s="3"/>
      <c r="ICR31" s="3"/>
      <c r="ICS31" s="3"/>
      <c r="ICT31" s="3"/>
      <c r="ICU31" s="3"/>
      <c r="ICV31" s="3"/>
      <c r="ICW31" s="3"/>
      <c r="ICX31" s="3"/>
      <c r="ICY31" s="3"/>
      <c r="ICZ31" s="3"/>
      <c r="IDA31" s="3"/>
      <c r="IDB31" s="3"/>
      <c r="IDC31" s="3"/>
      <c r="IDD31" s="3"/>
      <c r="IDE31" s="3"/>
      <c r="IDF31" s="3"/>
      <c r="IDG31" s="3"/>
      <c r="IDH31" s="3"/>
      <c r="IDI31" s="3"/>
      <c r="IDJ31" s="3"/>
      <c r="IDK31" s="3"/>
      <c r="IDL31" s="3"/>
      <c r="IDM31" s="3"/>
      <c r="IDN31" s="3"/>
      <c r="IDO31" s="3"/>
      <c r="IDP31" s="3"/>
      <c r="IDQ31" s="3"/>
      <c r="IDR31" s="3"/>
      <c r="IDS31" s="3"/>
      <c r="IDT31" s="3"/>
      <c r="IDU31" s="3"/>
      <c r="IDV31" s="3"/>
      <c r="IDW31" s="3"/>
      <c r="IDX31" s="3"/>
      <c r="IDY31" s="3"/>
      <c r="IDZ31" s="3"/>
      <c r="IEA31" s="3"/>
      <c r="IEB31" s="3"/>
      <c r="IEC31" s="3"/>
      <c r="IED31" s="3"/>
      <c r="IEE31" s="3"/>
      <c r="IEF31" s="3"/>
      <c r="IEG31" s="3"/>
      <c r="IEH31" s="3"/>
      <c r="IEI31" s="3"/>
      <c r="IEJ31" s="3"/>
      <c r="IEK31" s="3"/>
      <c r="IEL31" s="3"/>
      <c r="IEM31" s="3"/>
      <c r="IEN31" s="3"/>
      <c r="IEO31" s="3"/>
      <c r="IEP31" s="3"/>
      <c r="IEQ31" s="3"/>
      <c r="IER31" s="3"/>
      <c r="IES31" s="3"/>
      <c r="IET31" s="3"/>
      <c r="IEU31" s="3"/>
      <c r="IEV31" s="3"/>
      <c r="IEW31" s="3"/>
      <c r="IEX31" s="3"/>
      <c r="IEY31" s="3"/>
      <c r="IEZ31" s="3"/>
      <c r="IFA31" s="3"/>
      <c r="IFB31" s="3"/>
      <c r="IFC31" s="3"/>
      <c r="IFD31" s="3"/>
      <c r="IFE31" s="3"/>
      <c r="IFF31" s="3"/>
      <c r="IFG31" s="3"/>
      <c r="IFH31" s="3"/>
      <c r="IFI31" s="3"/>
      <c r="IFJ31" s="3"/>
      <c r="IFK31" s="3"/>
      <c r="IFL31" s="3"/>
      <c r="IFM31" s="3"/>
      <c r="IFN31" s="3"/>
      <c r="IFO31" s="3"/>
      <c r="IFP31" s="3"/>
      <c r="IFQ31" s="3"/>
      <c r="IFR31" s="3"/>
      <c r="IFS31" s="3"/>
      <c r="IFT31" s="3"/>
      <c r="IFU31" s="3"/>
      <c r="IFV31" s="3"/>
      <c r="IFW31" s="3"/>
      <c r="IFX31" s="3"/>
      <c r="IFY31" s="3"/>
      <c r="IFZ31" s="3"/>
      <c r="IGA31" s="3"/>
      <c r="IGB31" s="3"/>
      <c r="IGC31" s="3"/>
      <c r="IGD31" s="3"/>
      <c r="IGE31" s="3"/>
      <c r="IGF31" s="3"/>
      <c r="IGG31" s="3"/>
      <c r="IGH31" s="3"/>
      <c r="IGI31" s="3"/>
      <c r="IGJ31" s="3"/>
      <c r="IGK31" s="3"/>
      <c r="IGL31" s="3"/>
      <c r="IGM31" s="3"/>
      <c r="IGN31" s="3"/>
      <c r="IGO31" s="3"/>
      <c r="IGP31" s="3"/>
      <c r="IGQ31" s="3"/>
      <c r="IGR31" s="3"/>
      <c r="IGS31" s="3"/>
      <c r="IGT31" s="3"/>
      <c r="IGU31" s="3"/>
      <c r="IGV31" s="3"/>
      <c r="IGW31" s="3"/>
      <c r="IGX31" s="3"/>
      <c r="IGY31" s="3"/>
      <c r="IGZ31" s="3"/>
      <c r="IHA31" s="3"/>
      <c r="IHB31" s="3"/>
      <c r="IHC31" s="3"/>
      <c r="IHD31" s="3"/>
      <c r="IHE31" s="3"/>
      <c r="IHF31" s="3"/>
      <c r="IHG31" s="3"/>
      <c r="IHH31" s="3"/>
      <c r="IHI31" s="3"/>
      <c r="IHJ31" s="3"/>
      <c r="IHK31" s="3"/>
      <c r="IHL31" s="3"/>
      <c r="IHM31" s="3"/>
      <c r="IHN31" s="3"/>
      <c r="IHO31" s="3"/>
      <c r="IHP31" s="3"/>
      <c r="IHQ31" s="3"/>
      <c r="IHR31" s="3"/>
      <c r="IHS31" s="3"/>
      <c r="IHT31" s="3"/>
      <c r="IHU31" s="3"/>
      <c r="IHV31" s="3"/>
      <c r="IHW31" s="3"/>
      <c r="IHX31" s="3"/>
      <c r="IHY31" s="3"/>
      <c r="IHZ31" s="3"/>
      <c r="IIA31" s="3"/>
      <c r="IIB31" s="3"/>
      <c r="IIC31" s="3"/>
      <c r="IID31" s="3"/>
      <c r="IIE31" s="3"/>
      <c r="IIF31" s="3"/>
      <c r="IIG31" s="3"/>
      <c r="IIH31" s="3"/>
      <c r="III31" s="3"/>
      <c r="IIJ31" s="3"/>
      <c r="IIK31" s="3"/>
      <c r="IIL31" s="3"/>
      <c r="IIM31" s="3"/>
      <c r="IIN31" s="3"/>
      <c r="IIO31" s="3"/>
      <c r="IIP31" s="3"/>
      <c r="IIQ31" s="3"/>
      <c r="IIR31" s="3"/>
      <c r="IIS31" s="3"/>
      <c r="IIT31" s="3"/>
      <c r="IIU31" s="3"/>
      <c r="IIV31" s="3"/>
      <c r="IIW31" s="3"/>
      <c r="IIX31" s="3"/>
      <c r="IIY31" s="3"/>
      <c r="IIZ31" s="3"/>
      <c r="IJA31" s="3"/>
      <c r="IJB31" s="3"/>
      <c r="IJC31" s="3"/>
      <c r="IJD31" s="3"/>
      <c r="IJE31" s="3"/>
      <c r="IJF31" s="3"/>
      <c r="IJG31" s="3"/>
      <c r="IJH31" s="3"/>
      <c r="IJI31" s="3"/>
      <c r="IJJ31" s="3"/>
      <c r="IJK31" s="3"/>
      <c r="IJL31" s="3"/>
      <c r="IJM31" s="3"/>
      <c r="IJN31" s="3"/>
      <c r="IJO31" s="3"/>
      <c r="IJP31" s="3"/>
      <c r="IJQ31" s="3"/>
      <c r="IJR31" s="3"/>
      <c r="IJS31" s="3"/>
      <c r="IJT31" s="3"/>
      <c r="IJU31" s="3"/>
      <c r="IJV31" s="3"/>
      <c r="IJW31" s="3"/>
      <c r="IJX31" s="3"/>
      <c r="IJY31" s="3"/>
      <c r="IJZ31" s="3"/>
      <c r="IKA31" s="3"/>
      <c r="IKB31" s="3"/>
      <c r="IKC31" s="3"/>
      <c r="IKD31" s="3"/>
      <c r="IKE31" s="3"/>
      <c r="IKF31" s="3"/>
      <c r="IKG31" s="3"/>
      <c r="IKH31" s="3"/>
      <c r="IKI31" s="3"/>
      <c r="IKJ31" s="3"/>
      <c r="IKK31" s="3"/>
      <c r="IKL31" s="3"/>
      <c r="IKM31" s="3"/>
      <c r="IKN31" s="3"/>
      <c r="IKO31" s="3"/>
      <c r="IKP31" s="3"/>
      <c r="IKQ31" s="3"/>
      <c r="IKR31" s="3"/>
      <c r="IKS31" s="3"/>
      <c r="IKT31" s="3"/>
      <c r="IKU31" s="3"/>
      <c r="IKV31" s="3"/>
      <c r="IKW31" s="3"/>
      <c r="IKX31" s="3"/>
      <c r="IKY31" s="3"/>
      <c r="IKZ31" s="3"/>
      <c r="ILA31" s="3"/>
      <c r="ILB31" s="3"/>
      <c r="ILC31" s="3"/>
      <c r="ILD31" s="3"/>
      <c r="ILE31" s="3"/>
      <c r="ILF31" s="3"/>
      <c r="ILG31" s="3"/>
      <c r="ILH31" s="3"/>
      <c r="ILI31" s="3"/>
      <c r="ILJ31" s="3"/>
      <c r="ILK31" s="3"/>
      <c r="ILL31" s="3"/>
      <c r="ILM31" s="3"/>
      <c r="ILN31" s="3"/>
      <c r="ILO31" s="3"/>
      <c r="ILP31" s="3"/>
      <c r="ILQ31" s="3"/>
      <c r="ILR31" s="3"/>
      <c r="ILS31" s="3"/>
      <c r="ILT31" s="3"/>
      <c r="ILU31" s="3"/>
      <c r="ILV31" s="3"/>
      <c r="ILW31" s="3"/>
      <c r="ILX31" s="3"/>
      <c r="ILY31" s="3"/>
      <c r="ILZ31" s="3"/>
      <c r="IMA31" s="3"/>
      <c r="IMB31" s="3"/>
      <c r="IMC31" s="3"/>
      <c r="IMD31" s="3"/>
      <c r="IME31" s="3"/>
      <c r="IMF31" s="3"/>
      <c r="IMG31" s="3"/>
      <c r="IMH31" s="3"/>
      <c r="IMI31" s="3"/>
      <c r="IMJ31" s="3"/>
      <c r="IMK31" s="3"/>
      <c r="IML31" s="3"/>
      <c r="IMM31" s="3"/>
      <c r="IMN31" s="3"/>
      <c r="IMO31" s="3"/>
      <c r="IMP31" s="3"/>
      <c r="IMQ31" s="3"/>
      <c r="IMR31" s="3"/>
      <c r="IMS31" s="3"/>
      <c r="IMT31" s="3"/>
      <c r="IMU31" s="3"/>
      <c r="IMV31" s="3"/>
      <c r="IMW31" s="3"/>
      <c r="IMX31" s="3"/>
      <c r="IMY31" s="3"/>
      <c r="IMZ31" s="3"/>
      <c r="INA31" s="3"/>
      <c r="INB31" s="3"/>
      <c r="INC31" s="3"/>
      <c r="IND31" s="3"/>
      <c r="INE31" s="3"/>
      <c r="INF31" s="3"/>
      <c r="ING31" s="3"/>
      <c r="INH31" s="3"/>
      <c r="INI31" s="3"/>
      <c r="INJ31" s="3"/>
      <c r="INK31" s="3"/>
      <c r="INL31" s="3"/>
      <c r="INM31" s="3"/>
      <c r="INN31" s="3"/>
      <c r="INO31" s="3"/>
      <c r="INP31" s="3"/>
      <c r="INQ31" s="3"/>
      <c r="INR31" s="3"/>
      <c r="INS31" s="3"/>
      <c r="INT31" s="3"/>
      <c r="INU31" s="3"/>
      <c r="INV31" s="3"/>
      <c r="INW31" s="3"/>
      <c r="INX31" s="3"/>
      <c r="INY31" s="3"/>
      <c r="INZ31" s="3"/>
      <c r="IOA31" s="3"/>
      <c r="IOB31" s="3"/>
      <c r="IOC31" s="3"/>
      <c r="IOD31" s="3"/>
      <c r="IOE31" s="3"/>
      <c r="IOF31" s="3"/>
      <c r="IOG31" s="3"/>
      <c r="IOH31" s="3"/>
      <c r="IOI31" s="3"/>
      <c r="IOJ31" s="3"/>
      <c r="IOK31" s="3"/>
      <c r="IOL31" s="3"/>
      <c r="IOM31" s="3"/>
      <c r="ION31" s="3"/>
      <c r="IOO31" s="3"/>
      <c r="IOP31" s="3"/>
      <c r="IOQ31" s="3"/>
      <c r="IOR31" s="3"/>
      <c r="IOS31" s="3"/>
      <c r="IOT31" s="3"/>
      <c r="IOU31" s="3"/>
      <c r="IOV31" s="3"/>
      <c r="IOW31" s="3"/>
      <c r="IOX31" s="3"/>
      <c r="IOY31" s="3"/>
      <c r="IOZ31" s="3"/>
      <c r="IPA31" s="3"/>
      <c r="IPB31" s="3"/>
      <c r="IPC31" s="3"/>
      <c r="IPD31" s="3"/>
      <c r="IPE31" s="3"/>
      <c r="IPF31" s="3"/>
      <c r="IPG31" s="3"/>
      <c r="IPH31" s="3"/>
      <c r="IPI31" s="3"/>
      <c r="IPJ31" s="3"/>
      <c r="IPK31" s="3"/>
      <c r="IPL31" s="3"/>
      <c r="IPM31" s="3"/>
      <c r="IPN31" s="3"/>
      <c r="IPO31" s="3"/>
      <c r="IPP31" s="3"/>
      <c r="IPQ31" s="3"/>
      <c r="IPR31" s="3"/>
      <c r="IPS31" s="3"/>
      <c r="IPT31" s="3"/>
      <c r="IPU31" s="3"/>
      <c r="IPV31" s="3"/>
      <c r="IPW31" s="3"/>
      <c r="IPX31" s="3"/>
      <c r="IPY31" s="3"/>
      <c r="IPZ31" s="3"/>
      <c r="IQA31" s="3"/>
      <c r="IQB31" s="3"/>
      <c r="IQC31" s="3"/>
      <c r="IQD31" s="3"/>
      <c r="IQE31" s="3"/>
      <c r="IQF31" s="3"/>
      <c r="IQG31" s="3"/>
      <c r="IQH31" s="3"/>
      <c r="IQI31" s="3"/>
      <c r="IQJ31" s="3"/>
      <c r="IQK31" s="3"/>
      <c r="IQL31" s="3"/>
      <c r="IQM31" s="3"/>
      <c r="IQN31" s="3"/>
      <c r="IQO31" s="3"/>
      <c r="IQP31" s="3"/>
      <c r="IQQ31" s="3"/>
      <c r="IQR31" s="3"/>
      <c r="IQS31" s="3"/>
      <c r="IQT31" s="3"/>
      <c r="IQU31" s="3"/>
      <c r="IQV31" s="3"/>
      <c r="IQW31" s="3"/>
      <c r="IQX31" s="3"/>
      <c r="IQY31" s="3"/>
      <c r="IQZ31" s="3"/>
      <c r="IRA31" s="3"/>
      <c r="IRB31" s="3"/>
      <c r="IRC31" s="3"/>
      <c r="IRD31" s="3"/>
      <c r="IRE31" s="3"/>
      <c r="IRF31" s="3"/>
      <c r="IRG31" s="3"/>
      <c r="IRH31" s="3"/>
      <c r="IRI31" s="3"/>
      <c r="IRJ31" s="3"/>
      <c r="IRK31" s="3"/>
      <c r="IRL31" s="3"/>
      <c r="IRM31" s="3"/>
      <c r="IRN31" s="3"/>
      <c r="IRO31" s="3"/>
      <c r="IRP31" s="3"/>
      <c r="IRQ31" s="3"/>
      <c r="IRR31" s="3"/>
      <c r="IRS31" s="3"/>
      <c r="IRT31" s="3"/>
      <c r="IRU31" s="3"/>
      <c r="IRV31" s="3"/>
      <c r="IRW31" s="3"/>
      <c r="IRX31" s="3"/>
      <c r="IRY31" s="3"/>
      <c r="IRZ31" s="3"/>
      <c r="ISA31" s="3"/>
      <c r="ISB31" s="3"/>
      <c r="ISC31" s="3"/>
      <c r="ISD31" s="3"/>
      <c r="ISE31" s="3"/>
      <c r="ISF31" s="3"/>
      <c r="ISG31" s="3"/>
      <c r="ISH31" s="3"/>
      <c r="ISI31" s="3"/>
      <c r="ISJ31" s="3"/>
      <c r="ISK31" s="3"/>
      <c r="ISL31" s="3"/>
      <c r="ISM31" s="3"/>
      <c r="ISN31" s="3"/>
      <c r="ISO31" s="3"/>
      <c r="ISP31" s="3"/>
      <c r="ISQ31" s="3"/>
      <c r="ISR31" s="3"/>
      <c r="ISS31" s="3"/>
      <c r="IST31" s="3"/>
      <c r="ISU31" s="3"/>
      <c r="ISV31" s="3"/>
      <c r="ISW31" s="3"/>
      <c r="ISX31" s="3"/>
      <c r="ISY31" s="3"/>
      <c r="ISZ31" s="3"/>
      <c r="ITA31" s="3"/>
      <c r="ITB31" s="3"/>
      <c r="ITC31" s="3"/>
      <c r="ITD31" s="3"/>
      <c r="ITE31" s="3"/>
      <c r="ITF31" s="3"/>
      <c r="ITG31" s="3"/>
      <c r="ITH31" s="3"/>
      <c r="ITI31" s="3"/>
      <c r="ITJ31" s="3"/>
      <c r="ITK31" s="3"/>
      <c r="ITL31" s="3"/>
      <c r="ITM31" s="3"/>
      <c r="ITN31" s="3"/>
      <c r="ITO31" s="3"/>
      <c r="ITP31" s="3"/>
      <c r="ITQ31" s="3"/>
      <c r="ITR31" s="3"/>
      <c r="ITS31" s="3"/>
      <c r="ITT31" s="3"/>
      <c r="ITU31" s="3"/>
      <c r="ITV31" s="3"/>
      <c r="ITW31" s="3"/>
      <c r="ITX31" s="3"/>
      <c r="ITY31" s="3"/>
      <c r="ITZ31" s="3"/>
      <c r="IUA31" s="3"/>
      <c r="IUB31" s="3"/>
      <c r="IUC31" s="3"/>
      <c r="IUD31" s="3"/>
      <c r="IUE31" s="3"/>
      <c r="IUF31" s="3"/>
      <c r="IUG31" s="3"/>
      <c r="IUH31" s="3"/>
      <c r="IUI31" s="3"/>
      <c r="IUJ31" s="3"/>
      <c r="IUK31" s="3"/>
      <c r="IUL31" s="3"/>
      <c r="IUM31" s="3"/>
      <c r="IUN31" s="3"/>
      <c r="IUO31" s="3"/>
      <c r="IUP31" s="3"/>
      <c r="IUQ31" s="3"/>
      <c r="IUR31" s="3"/>
      <c r="IUS31" s="3"/>
      <c r="IUT31" s="3"/>
      <c r="IUU31" s="3"/>
      <c r="IUV31" s="3"/>
      <c r="IUW31" s="3"/>
      <c r="IUX31" s="3"/>
      <c r="IUY31" s="3"/>
      <c r="IUZ31" s="3"/>
      <c r="IVA31" s="3"/>
      <c r="IVB31" s="3"/>
      <c r="IVC31" s="3"/>
      <c r="IVD31" s="3"/>
      <c r="IVE31" s="3"/>
      <c r="IVF31" s="3"/>
      <c r="IVG31" s="3"/>
      <c r="IVH31" s="3"/>
      <c r="IVI31" s="3"/>
      <c r="IVJ31" s="3"/>
      <c r="IVK31" s="3"/>
      <c r="IVL31" s="3"/>
      <c r="IVM31" s="3"/>
      <c r="IVN31" s="3"/>
      <c r="IVO31" s="3"/>
      <c r="IVP31" s="3"/>
      <c r="IVQ31" s="3"/>
      <c r="IVR31" s="3"/>
      <c r="IVS31" s="3"/>
      <c r="IVT31" s="3"/>
      <c r="IVU31" s="3"/>
      <c r="IVV31" s="3"/>
      <c r="IVW31" s="3"/>
      <c r="IVX31" s="3"/>
      <c r="IVY31" s="3"/>
      <c r="IVZ31" s="3"/>
      <c r="IWA31" s="3"/>
      <c r="IWB31" s="3"/>
      <c r="IWC31" s="3"/>
      <c r="IWD31" s="3"/>
      <c r="IWE31" s="3"/>
      <c r="IWF31" s="3"/>
      <c r="IWG31" s="3"/>
      <c r="IWH31" s="3"/>
      <c r="IWI31" s="3"/>
      <c r="IWJ31" s="3"/>
      <c r="IWK31" s="3"/>
      <c r="IWL31" s="3"/>
      <c r="IWM31" s="3"/>
      <c r="IWN31" s="3"/>
      <c r="IWO31" s="3"/>
      <c r="IWP31" s="3"/>
      <c r="IWQ31" s="3"/>
      <c r="IWR31" s="3"/>
      <c r="IWS31" s="3"/>
      <c r="IWT31" s="3"/>
      <c r="IWU31" s="3"/>
      <c r="IWV31" s="3"/>
      <c r="IWW31" s="3"/>
      <c r="IWX31" s="3"/>
      <c r="IWY31" s="3"/>
      <c r="IWZ31" s="3"/>
      <c r="IXA31" s="3"/>
      <c r="IXB31" s="3"/>
      <c r="IXC31" s="3"/>
      <c r="IXD31" s="3"/>
      <c r="IXE31" s="3"/>
      <c r="IXF31" s="3"/>
      <c r="IXG31" s="3"/>
      <c r="IXH31" s="3"/>
      <c r="IXI31" s="3"/>
      <c r="IXJ31" s="3"/>
      <c r="IXK31" s="3"/>
      <c r="IXL31" s="3"/>
      <c r="IXM31" s="3"/>
      <c r="IXN31" s="3"/>
      <c r="IXO31" s="3"/>
      <c r="IXP31" s="3"/>
      <c r="IXQ31" s="3"/>
      <c r="IXR31" s="3"/>
      <c r="IXS31" s="3"/>
      <c r="IXT31" s="3"/>
      <c r="IXU31" s="3"/>
      <c r="IXV31" s="3"/>
      <c r="IXW31" s="3"/>
      <c r="IXX31" s="3"/>
      <c r="IXY31" s="3"/>
      <c r="IXZ31" s="3"/>
      <c r="IYA31" s="3"/>
      <c r="IYB31" s="3"/>
      <c r="IYC31" s="3"/>
      <c r="IYD31" s="3"/>
      <c r="IYE31" s="3"/>
      <c r="IYF31" s="3"/>
      <c r="IYG31" s="3"/>
      <c r="IYH31" s="3"/>
      <c r="IYI31" s="3"/>
      <c r="IYJ31" s="3"/>
      <c r="IYK31" s="3"/>
      <c r="IYL31" s="3"/>
      <c r="IYM31" s="3"/>
      <c r="IYN31" s="3"/>
      <c r="IYO31" s="3"/>
      <c r="IYP31" s="3"/>
      <c r="IYQ31" s="3"/>
      <c r="IYR31" s="3"/>
      <c r="IYS31" s="3"/>
      <c r="IYT31" s="3"/>
      <c r="IYU31" s="3"/>
      <c r="IYV31" s="3"/>
      <c r="IYW31" s="3"/>
      <c r="IYX31" s="3"/>
      <c r="IYY31" s="3"/>
      <c r="IYZ31" s="3"/>
      <c r="IZA31" s="3"/>
      <c r="IZB31" s="3"/>
      <c r="IZC31" s="3"/>
      <c r="IZD31" s="3"/>
      <c r="IZE31" s="3"/>
      <c r="IZF31" s="3"/>
      <c r="IZG31" s="3"/>
      <c r="IZH31" s="3"/>
      <c r="IZI31" s="3"/>
      <c r="IZJ31" s="3"/>
      <c r="IZK31" s="3"/>
      <c r="IZL31" s="3"/>
      <c r="IZM31" s="3"/>
      <c r="IZN31" s="3"/>
      <c r="IZO31" s="3"/>
      <c r="IZP31" s="3"/>
      <c r="IZQ31" s="3"/>
      <c r="IZR31" s="3"/>
      <c r="IZS31" s="3"/>
      <c r="IZT31" s="3"/>
      <c r="IZU31" s="3"/>
      <c r="IZV31" s="3"/>
      <c r="IZW31" s="3"/>
      <c r="IZX31" s="3"/>
      <c r="IZY31" s="3"/>
      <c r="IZZ31" s="3"/>
      <c r="JAA31" s="3"/>
      <c r="JAB31" s="3"/>
      <c r="JAC31" s="3"/>
      <c r="JAD31" s="3"/>
      <c r="JAE31" s="3"/>
      <c r="JAF31" s="3"/>
      <c r="JAG31" s="3"/>
      <c r="JAH31" s="3"/>
      <c r="JAI31" s="3"/>
      <c r="JAJ31" s="3"/>
      <c r="JAK31" s="3"/>
      <c r="JAL31" s="3"/>
      <c r="JAM31" s="3"/>
      <c r="JAN31" s="3"/>
      <c r="JAO31" s="3"/>
      <c r="JAP31" s="3"/>
      <c r="JAQ31" s="3"/>
      <c r="JAR31" s="3"/>
      <c r="JAS31" s="3"/>
      <c r="JAT31" s="3"/>
      <c r="JAU31" s="3"/>
      <c r="JAV31" s="3"/>
      <c r="JAW31" s="3"/>
      <c r="JAX31" s="3"/>
      <c r="JAY31" s="3"/>
      <c r="JAZ31" s="3"/>
      <c r="JBA31" s="3"/>
      <c r="JBB31" s="3"/>
      <c r="JBC31" s="3"/>
      <c r="JBD31" s="3"/>
      <c r="JBE31" s="3"/>
      <c r="JBF31" s="3"/>
      <c r="JBG31" s="3"/>
      <c r="JBH31" s="3"/>
      <c r="JBI31" s="3"/>
      <c r="JBJ31" s="3"/>
      <c r="JBK31" s="3"/>
      <c r="JBL31" s="3"/>
      <c r="JBM31" s="3"/>
      <c r="JBN31" s="3"/>
      <c r="JBO31" s="3"/>
      <c r="JBP31" s="3"/>
      <c r="JBQ31" s="3"/>
      <c r="JBR31" s="3"/>
      <c r="JBS31" s="3"/>
      <c r="JBT31" s="3"/>
      <c r="JBU31" s="3"/>
      <c r="JBV31" s="3"/>
      <c r="JBW31" s="3"/>
      <c r="JBX31" s="3"/>
      <c r="JBY31" s="3"/>
      <c r="JBZ31" s="3"/>
      <c r="JCA31" s="3"/>
      <c r="JCB31" s="3"/>
      <c r="JCC31" s="3"/>
      <c r="JCD31" s="3"/>
      <c r="JCE31" s="3"/>
      <c r="JCF31" s="3"/>
      <c r="JCG31" s="3"/>
      <c r="JCH31" s="3"/>
      <c r="JCI31" s="3"/>
      <c r="JCJ31" s="3"/>
      <c r="JCK31" s="3"/>
      <c r="JCL31" s="3"/>
      <c r="JCM31" s="3"/>
      <c r="JCN31" s="3"/>
      <c r="JCO31" s="3"/>
      <c r="JCP31" s="3"/>
      <c r="JCQ31" s="3"/>
      <c r="JCR31" s="3"/>
      <c r="JCS31" s="3"/>
      <c r="JCT31" s="3"/>
      <c r="JCU31" s="3"/>
      <c r="JCV31" s="3"/>
      <c r="JCW31" s="3"/>
      <c r="JCX31" s="3"/>
      <c r="JCY31" s="3"/>
      <c r="JCZ31" s="3"/>
      <c r="JDA31" s="3"/>
      <c r="JDB31" s="3"/>
      <c r="JDC31" s="3"/>
      <c r="JDD31" s="3"/>
      <c r="JDE31" s="3"/>
      <c r="JDF31" s="3"/>
      <c r="JDG31" s="3"/>
      <c r="JDH31" s="3"/>
      <c r="JDI31" s="3"/>
      <c r="JDJ31" s="3"/>
      <c r="JDK31" s="3"/>
      <c r="JDL31" s="3"/>
      <c r="JDM31" s="3"/>
      <c r="JDN31" s="3"/>
      <c r="JDO31" s="3"/>
      <c r="JDP31" s="3"/>
      <c r="JDQ31" s="3"/>
      <c r="JDR31" s="3"/>
      <c r="JDS31" s="3"/>
      <c r="JDT31" s="3"/>
      <c r="JDU31" s="3"/>
      <c r="JDV31" s="3"/>
      <c r="JDW31" s="3"/>
      <c r="JDX31" s="3"/>
      <c r="JDY31" s="3"/>
      <c r="JDZ31" s="3"/>
      <c r="JEA31" s="3"/>
      <c r="JEB31" s="3"/>
      <c r="JEC31" s="3"/>
      <c r="JED31" s="3"/>
      <c r="JEE31" s="3"/>
      <c r="JEF31" s="3"/>
      <c r="JEG31" s="3"/>
      <c r="JEH31" s="3"/>
      <c r="JEI31" s="3"/>
      <c r="JEJ31" s="3"/>
      <c r="JEK31" s="3"/>
      <c r="JEL31" s="3"/>
      <c r="JEM31" s="3"/>
      <c r="JEN31" s="3"/>
      <c r="JEO31" s="3"/>
      <c r="JEP31" s="3"/>
      <c r="JEQ31" s="3"/>
      <c r="JER31" s="3"/>
      <c r="JES31" s="3"/>
      <c r="JET31" s="3"/>
      <c r="JEU31" s="3"/>
      <c r="JEV31" s="3"/>
      <c r="JEW31" s="3"/>
      <c r="JEX31" s="3"/>
      <c r="JEY31" s="3"/>
      <c r="JEZ31" s="3"/>
      <c r="JFA31" s="3"/>
      <c r="JFB31" s="3"/>
      <c r="JFC31" s="3"/>
      <c r="JFD31" s="3"/>
      <c r="JFE31" s="3"/>
      <c r="JFF31" s="3"/>
      <c r="JFG31" s="3"/>
      <c r="JFH31" s="3"/>
      <c r="JFI31" s="3"/>
      <c r="JFJ31" s="3"/>
      <c r="JFK31" s="3"/>
      <c r="JFL31" s="3"/>
      <c r="JFM31" s="3"/>
      <c r="JFN31" s="3"/>
      <c r="JFO31" s="3"/>
      <c r="JFP31" s="3"/>
      <c r="JFQ31" s="3"/>
      <c r="JFR31" s="3"/>
      <c r="JFS31" s="3"/>
      <c r="JFT31" s="3"/>
      <c r="JFU31" s="3"/>
      <c r="JFV31" s="3"/>
      <c r="JFW31" s="3"/>
      <c r="JFX31" s="3"/>
      <c r="JFY31" s="3"/>
      <c r="JFZ31" s="3"/>
      <c r="JGA31" s="3"/>
      <c r="JGB31" s="3"/>
      <c r="JGC31" s="3"/>
      <c r="JGD31" s="3"/>
      <c r="JGE31" s="3"/>
      <c r="JGF31" s="3"/>
      <c r="JGG31" s="3"/>
      <c r="JGH31" s="3"/>
      <c r="JGI31" s="3"/>
      <c r="JGJ31" s="3"/>
      <c r="JGK31" s="3"/>
      <c r="JGL31" s="3"/>
      <c r="JGM31" s="3"/>
      <c r="JGN31" s="3"/>
      <c r="JGO31" s="3"/>
      <c r="JGP31" s="3"/>
      <c r="JGQ31" s="3"/>
      <c r="JGR31" s="3"/>
      <c r="JGS31" s="3"/>
      <c r="JGT31" s="3"/>
      <c r="JGU31" s="3"/>
      <c r="JGV31" s="3"/>
      <c r="JGW31" s="3"/>
      <c r="JGX31" s="3"/>
      <c r="JGY31" s="3"/>
      <c r="JGZ31" s="3"/>
      <c r="JHA31" s="3"/>
      <c r="JHB31" s="3"/>
      <c r="JHC31" s="3"/>
      <c r="JHD31" s="3"/>
      <c r="JHE31" s="3"/>
      <c r="JHF31" s="3"/>
      <c r="JHG31" s="3"/>
      <c r="JHH31" s="3"/>
      <c r="JHI31" s="3"/>
      <c r="JHJ31" s="3"/>
      <c r="JHK31" s="3"/>
      <c r="JHL31" s="3"/>
      <c r="JHM31" s="3"/>
      <c r="JHN31" s="3"/>
      <c r="JHO31" s="3"/>
      <c r="JHP31" s="3"/>
      <c r="JHQ31" s="3"/>
      <c r="JHR31" s="3"/>
      <c r="JHS31" s="3"/>
      <c r="JHT31" s="3"/>
      <c r="JHU31" s="3"/>
      <c r="JHV31" s="3"/>
      <c r="JHW31" s="3"/>
      <c r="JHX31" s="3"/>
      <c r="JHY31" s="3"/>
      <c r="JHZ31" s="3"/>
      <c r="JIA31" s="3"/>
      <c r="JIB31" s="3"/>
      <c r="JIC31" s="3"/>
      <c r="JID31" s="3"/>
      <c r="JIE31" s="3"/>
      <c r="JIF31" s="3"/>
      <c r="JIG31" s="3"/>
      <c r="JIH31" s="3"/>
      <c r="JII31" s="3"/>
      <c r="JIJ31" s="3"/>
      <c r="JIK31" s="3"/>
      <c r="JIL31" s="3"/>
      <c r="JIM31" s="3"/>
      <c r="JIN31" s="3"/>
      <c r="JIO31" s="3"/>
      <c r="JIP31" s="3"/>
      <c r="JIQ31" s="3"/>
      <c r="JIR31" s="3"/>
      <c r="JIS31" s="3"/>
      <c r="JIT31" s="3"/>
      <c r="JIU31" s="3"/>
      <c r="JIV31" s="3"/>
      <c r="JIW31" s="3"/>
      <c r="JIX31" s="3"/>
      <c r="JIY31" s="3"/>
      <c r="JIZ31" s="3"/>
      <c r="JJA31" s="3"/>
      <c r="JJB31" s="3"/>
      <c r="JJC31" s="3"/>
      <c r="JJD31" s="3"/>
      <c r="JJE31" s="3"/>
      <c r="JJF31" s="3"/>
      <c r="JJG31" s="3"/>
      <c r="JJH31" s="3"/>
      <c r="JJI31" s="3"/>
      <c r="JJJ31" s="3"/>
      <c r="JJK31" s="3"/>
      <c r="JJL31" s="3"/>
      <c r="JJM31" s="3"/>
      <c r="JJN31" s="3"/>
      <c r="JJO31" s="3"/>
      <c r="JJP31" s="3"/>
      <c r="JJQ31" s="3"/>
      <c r="JJR31" s="3"/>
      <c r="JJS31" s="3"/>
      <c r="JJT31" s="3"/>
      <c r="JJU31" s="3"/>
      <c r="JJV31" s="3"/>
      <c r="JJW31" s="3"/>
      <c r="JJX31" s="3"/>
      <c r="JJY31" s="3"/>
      <c r="JJZ31" s="3"/>
      <c r="JKA31" s="3"/>
      <c r="JKB31" s="3"/>
      <c r="JKC31" s="3"/>
      <c r="JKD31" s="3"/>
      <c r="JKE31" s="3"/>
      <c r="JKF31" s="3"/>
      <c r="JKG31" s="3"/>
      <c r="JKH31" s="3"/>
      <c r="JKI31" s="3"/>
      <c r="JKJ31" s="3"/>
      <c r="JKK31" s="3"/>
      <c r="JKL31" s="3"/>
      <c r="JKM31" s="3"/>
      <c r="JKN31" s="3"/>
      <c r="JKO31" s="3"/>
      <c r="JKP31" s="3"/>
      <c r="JKQ31" s="3"/>
      <c r="JKR31" s="3"/>
      <c r="JKS31" s="3"/>
      <c r="JKT31" s="3"/>
      <c r="JKU31" s="3"/>
      <c r="JKV31" s="3"/>
      <c r="JKW31" s="3"/>
      <c r="JKX31" s="3"/>
      <c r="JKY31" s="3"/>
      <c r="JKZ31" s="3"/>
      <c r="JLA31" s="3"/>
      <c r="JLB31" s="3"/>
      <c r="JLC31" s="3"/>
      <c r="JLD31" s="3"/>
      <c r="JLE31" s="3"/>
      <c r="JLF31" s="3"/>
      <c r="JLG31" s="3"/>
      <c r="JLH31" s="3"/>
      <c r="JLI31" s="3"/>
      <c r="JLJ31" s="3"/>
      <c r="JLK31" s="3"/>
      <c r="JLL31" s="3"/>
      <c r="JLM31" s="3"/>
      <c r="JLN31" s="3"/>
      <c r="JLO31" s="3"/>
      <c r="JLP31" s="3"/>
      <c r="JLQ31" s="3"/>
      <c r="JLR31" s="3"/>
      <c r="JLS31" s="3"/>
      <c r="JLT31" s="3"/>
      <c r="JLU31" s="3"/>
      <c r="JLV31" s="3"/>
      <c r="JLW31" s="3"/>
      <c r="JLX31" s="3"/>
      <c r="JLY31" s="3"/>
      <c r="JLZ31" s="3"/>
      <c r="JMA31" s="3"/>
      <c r="JMB31" s="3"/>
      <c r="JMC31" s="3"/>
      <c r="JMD31" s="3"/>
      <c r="JME31" s="3"/>
      <c r="JMF31" s="3"/>
      <c r="JMG31" s="3"/>
      <c r="JMH31" s="3"/>
      <c r="JMI31" s="3"/>
      <c r="JMJ31" s="3"/>
      <c r="JMK31" s="3"/>
      <c r="JML31" s="3"/>
      <c r="JMM31" s="3"/>
      <c r="JMN31" s="3"/>
      <c r="JMO31" s="3"/>
      <c r="JMP31" s="3"/>
      <c r="JMQ31" s="3"/>
      <c r="JMR31" s="3"/>
      <c r="JMS31" s="3"/>
      <c r="JMT31" s="3"/>
      <c r="JMU31" s="3"/>
      <c r="JMV31" s="3"/>
      <c r="JMW31" s="3"/>
      <c r="JMX31" s="3"/>
      <c r="JMY31" s="3"/>
      <c r="JMZ31" s="3"/>
      <c r="JNA31" s="3"/>
      <c r="JNB31" s="3"/>
      <c r="JNC31" s="3"/>
      <c r="JND31" s="3"/>
      <c r="JNE31" s="3"/>
      <c r="JNF31" s="3"/>
      <c r="JNG31" s="3"/>
      <c r="JNH31" s="3"/>
      <c r="JNI31" s="3"/>
      <c r="JNJ31" s="3"/>
      <c r="JNK31" s="3"/>
      <c r="JNL31" s="3"/>
      <c r="JNM31" s="3"/>
      <c r="JNN31" s="3"/>
      <c r="JNO31" s="3"/>
      <c r="JNP31" s="3"/>
      <c r="JNQ31" s="3"/>
      <c r="JNR31" s="3"/>
      <c r="JNS31" s="3"/>
      <c r="JNT31" s="3"/>
      <c r="JNU31" s="3"/>
      <c r="JNV31" s="3"/>
      <c r="JNW31" s="3"/>
      <c r="JNX31" s="3"/>
      <c r="JNY31" s="3"/>
      <c r="JNZ31" s="3"/>
      <c r="JOA31" s="3"/>
      <c r="JOB31" s="3"/>
      <c r="JOC31" s="3"/>
      <c r="JOD31" s="3"/>
      <c r="JOE31" s="3"/>
      <c r="JOF31" s="3"/>
      <c r="JOG31" s="3"/>
      <c r="JOH31" s="3"/>
      <c r="JOI31" s="3"/>
      <c r="JOJ31" s="3"/>
      <c r="JOK31" s="3"/>
      <c r="JOL31" s="3"/>
      <c r="JOM31" s="3"/>
      <c r="JON31" s="3"/>
      <c r="JOO31" s="3"/>
      <c r="JOP31" s="3"/>
      <c r="JOQ31" s="3"/>
      <c r="JOR31" s="3"/>
      <c r="JOS31" s="3"/>
      <c r="JOT31" s="3"/>
      <c r="JOU31" s="3"/>
      <c r="JOV31" s="3"/>
      <c r="JOW31" s="3"/>
      <c r="JOX31" s="3"/>
      <c r="JOY31" s="3"/>
      <c r="JOZ31" s="3"/>
      <c r="JPA31" s="3"/>
      <c r="JPB31" s="3"/>
      <c r="JPC31" s="3"/>
      <c r="JPD31" s="3"/>
      <c r="JPE31" s="3"/>
      <c r="JPF31" s="3"/>
      <c r="JPG31" s="3"/>
      <c r="JPH31" s="3"/>
      <c r="JPI31" s="3"/>
      <c r="JPJ31" s="3"/>
      <c r="JPK31" s="3"/>
      <c r="JPL31" s="3"/>
      <c r="JPM31" s="3"/>
      <c r="JPN31" s="3"/>
      <c r="JPO31" s="3"/>
      <c r="JPP31" s="3"/>
      <c r="JPQ31" s="3"/>
      <c r="JPR31" s="3"/>
      <c r="JPS31" s="3"/>
      <c r="JPT31" s="3"/>
      <c r="JPU31" s="3"/>
      <c r="JPV31" s="3"/>
      <c r="JPW31" s="3"/>
      <c r="JPX31" s="3"/>
      <c r="JPY31" s="3"/>
      <c r="JPZ31" s="3"/>
      <c r="JQA31" s="3"/>
      <c r="JQB31" s="3"/>
      <c r="JQC31" s="3"/>
      <c r="JQD31" s="3"/>
      <c r="JQE31" s="3"/>
      <c r="JQF31" s="3"/>
      <c r="JQG31" s="3"/>
      <c r="JQH31" s="3"/>
      <c r="JQI31" s="3"/>
      <c r="JQJ31" s="3"/>
      <c r="JQK31" s="3"/>
      <c r="JQL31" s="3"/>
      <c r="JQM31" s="3"/>
      <c r="JQN31" s="3"/>
      <c r="JQO31" s="3"/>
      <c r="JQP31" s="3"/>
      <c r="JQQ31" s="3"/>
      <c r="JQR31" s="3"/>
      <c r="JQS31" s="3"/>
      <c r="JQT31" s="3"/>
      <c r="JQU31" s="3"/>
      <c r="JQV31" s="3"/>
      <c r="JQW31" s="3"/>
      <c r="JQX31" s="3"/>
      <c r="JQY31" s="3"/>
      <c r="JQZ31" s="3"/>
      <c r="JRA31" s="3"/>
      <c r="JRB31" s="3"/>
      <c r="JRC31" s="3"/>
      <c r="JRD31" s="3"/>
      <c r="JRE31" s="3"/>
      <c r="JRF31" s="3"/>
      <c r="JRG31" s="3"/>
      <c r="JRH31" s="3"/>
      <c r="JRI31" s="3"/>
      <c r="JRJ31" s="3"/>
      <c r="JRK31" s="3"/>
      <c r="JRL31" s="3"/>
      <c r="JRM31" s="3"/>
      <c r="JRN31" s="3"/>
      <c r="JRO31" s="3"/>
      <c r="JRP31" s="3"/>
      <c r="JRQ31" s="3"/>
      <c r="JRR31" s="3"/>
      <c r="JRS31" s="3"/>
      <c r="JRT31" s="3"/>
      <c r="JRU31" s="3"/>
      <c r="JRV31" s="3"/>
      <c r="JRW31" s="3"/>
      <c r="JRX31" s="3"/>
      <c r="JRY31" s="3"/>
      <c r="JRZ31" s="3"/>
      <c r="JSA31" s="3"/>
      <c r="JSB31" s="3"/>
      <c r="JSC31" s="3"/>
      <c r="JSD31" s="3"/>
      <c r="JSE31" s="3"/>
      <c r="JSF31" s="3"/>
      <c r="JSG31" s="3"/>
      <c r="JSH31" s="3"/>
      <c r="JSI31" s="3"/>
      <c r="JSJ31" s="3"/>
      <c r="JSK31" s="3"/>
      <c r="JSL31" s="3"/>
      <c r="JSM31" s="3"/>
      <c r="JSN31" s="3"/>
      <c r="JSO31" s="3"/>
      <c r="JSP31" s="3"/>
      <c r="JSQ31" s="3"/>
      <c r="JSR31" s="3"/>
      <c r="JSS31" s="3"/>
      <c r="JST31" s="3"/>
      <c r="JSU31" s="3"/>
      <c r="JSV31" s="3"/>
      <c r="JSW31" s="3"/>
      <c r="JSX31" s="3"/>
      <c r="JSY31" s="3"/>
      <c r="JSZ31" s="3"/>
      <c r="JTA31" s="3"/>
      <c r="JTB31" s="3"/>
      <c r="JTC31" s="3"/>
      <c r="JTD31" s="3"/>
      <c r="JTE31" s="3"/>
      <c r="JTF31" s="3"/>
      <c r="JTG31" s="3"/>
      <c r="JTH31" s="3"/>
      <c r="JTI31" s="3"/>
      <c r="JTJ31" s="3"/>
      <c r="JTK31" s="3"/>
      <c r="JTL31" s="3"/>
      <c r="JTM31" s="3"/>
      <c r="JTN31" s="3"/>
      <c r="JTO31" s="3"/>
      <c r="JTP31" s="3"/>
      <c r="JTQ31" s="3"/>
      <c r="JTR31" s="3"/>
      <c r="JTS31" s="3"/>
      <c r="JTT31" s="3"/>
      <c r="JTU31" s="3"/>
      <c r="JTV31" s="3"/>
      <c r="JTW31" s="3"/>
      <c r="JTX31" s="3"/>
      <c r="JTY31" s="3"/>
      <c r="JTZ31" s="3"/>
      <c r="JUA31" s="3"/>
      <c r="JUB31" s="3"/>
      <c r="JUC31" s="3"/>
      <c r="JUD31" s="3"/>
      <c r="JUE31" s="3"/>
      <c r="JUF31" s="3"/>
      <c r="JUG31" s="3"/>
      <c r="JUH31" s="3"/>
      <c r="JUI31" s="3"/>
      <c r="JUJ31" s="3"/>
      <c r="JUK31" s="3"/>
      <c r="JUL31" s="3"/>
      <c r="JUM31" s="3"/>
      <c r="JUN31" s="3"/>
      <c r="JUO31" s="3"/>
      <c r="JUP31" s="3"/>
      <c r="JUQ31" s="3"/>
      <c r="JUR31" s="3"/>
      <c r="JUS31" s="3"/>
      <c r="JUT31" s="3"/>
      <c r="JUU31" s="3"/>
      <c r="JUV31" s="3"/>
      <c r="JUW31" s="3"/>
      <c r="JUX31" s="3"/>
      <c r="JUY31" s="3"/>
      <c r="JUZ31" s="3"/>
      <c r="JVA31" s="3"/>
      <c r="JVB31" s="3"/>
      <c r="JVC31" s="3"/>
      <c r="JVD31" s="3"/>
      <c r="JVE31" s="3"/>
      <c r="JVF31" s="3"/>
      <c r="JVG31" s="3"/>
      <c r="JVH31" s="3"/>
      <c r="JVI31" s="3"/>
      <c r="JVJ31" s="3"/>
      <c r="JVK31" s="3"/>
      <c r="JVL31" s="3"/>
      <c r="JVM31" s="3"/>
      <c r="JVN31" s="3"/>
      <c r="JVO31" s="3"/>
      <c r="JVP31" s="3"/>
      <c r="JVQ31" s="3"/>
      <c r="JVR31" s="3"/>
      <c r="JVS31" s="3"/>
      <c r="JVT31" s="3"/>
      <c r="JVU31" s="3"/>
      <c r="JVV31" s="3"/>
      <c r="JVW31" s="3"/>
      <c r="JVX31" s="3"/>
      <c r="JVY31" s="3"/>
      <c r="JVZ31" s="3"/>
      <c r="JWA31" s="3"/>
      <c r="JWB31" s="3"/>
      <c r="JWC31" s="3"/>
      <c r="JWD31" s="3"/>
      <c r="JWE31" s="3"/>
      <c r="JWF31" s="3"/>
      <c r="JWG31" s="3"/>
      <c r="JWH31" s="3"/>
      <c r="JWI31" s="3"/>
      <c r="JWJ31" s="3"/>
      <c r="JWK31" s="3"/>
      <c r="JWL31" s="3"/>
      <c r="JWM31" s="3"/>
      <c r="JWN31" s="3"/>
      <c r="JWO31" s="3"/>
      <c r="JWP31" s="3"/>
      <c r="JWQ31" s="3"/>
      <c r="JWR31" s="3"/>
      <c r="JWS31" s="3"/>
      <c r="JWT31" s="3"/>
      <c r="JWU31" s="3"/>
      <c r="JWV31" s="3"/>
      <c r="JWW31" s="3"/>
      <c r="JWX31" s="3"/>
      <c r="JWY31" s="3"/>
      <c r="JWZ31" s="3"/>
      <c r="JXA31" s="3"/>
      <c r="JXB31" s="3"/>
      <c r="JXC31" s="3"/>
      <c r="JXD31" s="3"/>
      <c r="JXE31" s="3"/>
      <c r="JXF31" s="3"/>
      <c r="JXG31" s="3"/>
      <c r="JXH31" s="3"/>
      <c r="JXI31" s="3"/>
      <c r="JXJ31" s="3"/>
      <c r="JXK31" s="3"/>
      <c r="JXL31" s="3"/>
      <c r="JXM31" s="3"/>
      <c r="JXN31" s="3"/>
      <c r="JXO31" s="3"/>
      <c r="JXP31" s="3"/>
      <c r="JXQ31" s="3"/>
      <c r="JXR31" s="3"/>
      <c r="JXS31" s="3"/>
      <c r="JXT31" s="3"/>
      <c r="JXU31" s="3"/>
      <c r="JXV31" s="3"/>
      <c r="JXW31" s="3"/>
      <c r="JXX31" s="3"/>
      <c r="JXY31" s="3"/>
      <c r="JXZ31" s="3"/>
      <c r="JYA31" s="3"/>
      <c r="JYB31" s="3"/>
      <c r="JYC31" s="3"/>
      <c r="JYD31" s="3"/>
      <c r="JYE31" s="3"/>
      <c r="JYF31" s="3"/>
      <c r="JYG31" s="3"/>
      <c r="JYH31" s="3"/>
      <c r="JYI31" s="3"/>
      <c r="JYJ31" s="3"/>
      <c r="JYK31" s="3"/>
      <c r="JYL31" s="3"/>
      <c r="JYM31" s="3"/>
      <c r="JYN31" s="3"/>
      <c r="JYO31" s="3"/>
      <c r="JYP31" s="3"/>
      <c r="JYQ31" s="3"/>
      <c r="JYR31" s="3"/>
      <c r="JYS31" s="3"/>
      <c r="JYT31" s="3"/>
      <c r="JYU31" s="3"/>
      <c r="JYV31" s="3"/>
      <c r="JYW31" s="3"/>
      <c r="JYX31" s="3"/>
      <c r="JYY31" s="3"/>
      <c r="JYZ31" s="3"/>
      <c r="JZA31" s="3"/>
      <c r="JZB31" s="3"/>
      <c r="JZC31" s="3"/>
      <c r="JZD31" s="3"/>
      <c r="JZE31" s="3"/>
      <c r="JZF31" s="3"/>
      <c r="JZG31" s="3"/>
      <c r="JZH31" s="3"/>
      <c r="JZI31" s="3"/>
      <c r="JZJ31" s="3"/>
      <c r="JZK31" s="3"/>
      <c r="JZL31" s="3"/>
      <c r="JZM31" s="3"/>
      <c r="JZN31" s="3"/>
      <c r="JZO31" s="3"/>
      <c r="JZP31" s="3"/>
      <c r="JZQ31" s="3"/>
      <c r="JZR31" s="3"/>
      <c r="JZS31" s="3"/>
      <c r="JZT31" s="3"/>
      <c r="JZU31" s="3"/>
      <c r="JZV31" s="3"/>
      <c r="JZW31" s="3"/>
      <c r="JZX31" s="3"/>
      <c r="JZY31" s="3"/>
      <c r="JZZ31" s="3"/>
      <c r="KAA31" s="3"/>
      <c r="KAB31" s="3"/>
      <c r="KAC31" s="3"/>
      <c r="KAD31" s="3"/>
      <c r="KAE31" s="3"/>
      <c r="KAF31" s="3"/>
      <c r="KAG31" s="3"/>
      <c r="KAH31" s="3"/>
      <c r="KAI31" s="3"/>
      <c r="KAJ31" s="3"/>
      <c r="KAK31" s="3"/>
      <c r="KAL31" s="3"/>
      <c r="KAM31" s="3"/>
      <c r="KAN31" s="3"/>
      <c r="KAO31" s="3"/>
      <c r="KAP31" s="3"/>
      <c r="KAQ31" s="3"/>
      <c r="KAR31" s="3"/>
      <c r="KAS31" s="3"/>
      <c r="KAT31" s="3"/>
      <c r="KAU31" s="3"/>
      <c r="KAV31" s="3"/>
      <c r="KAW31" s="3"/>
      <c r="KAX31" s="3"/>
      <c r="KAY31" s="3"/>
      <c r="KAZ31" s="3"/>
      <c r="KBA31" s="3"/>
      <c r="KBB31" s="3"/>
      <c r="KBC31" s="3"/>
      <c r="KBD31" s="3"/>
      <c r="KBE31" s="3"/>
      <c r="KBF31" s="3"/>
      <c r="KBG31" s="3"/>
      <c r="KBH31" s="3"/>
      <c r="KBI31" s="3"/>
      <c r="KBJ31" s="3"/>
      <c r="KBK31" s="3"/>
      <c r="KBL31" s="3"/>
      <c r="KBM31" s="3"/>
      <c r="KBN31" s="3"/>
      <c r="KBO31" s="3"/>
      <c r="KBP31" s="3"/>
      <c r="KBQ31" s="3"/>
      <c r="KBR31" s="3"/>
      <c r="KBS31" s="3"/>
      <c r="KBT31" s="3"/>
      <c r="KBU31" s="3"/>
      <c r="KBV31" s="3"/>
      <c r="KBW31" s="3"/>
      <c r="KBX31" s="3"/>
      <c r="KBY31" s="3"/>
      <c r="KBZ31" s="3"/>
      <c r="KCA31" s="3"/>
      <c r="KCB31" s="3"/>
      <c r="KCC31" s="3"/>
      <c r="KCD31" s="3"/>
      <c r="KCE31" s="3"/>
      <c r="KCF31" s="3"/>
      <c r="KCG31" s="3"/>
      <c r="KCH31" s="3"/>
      <c r="KCI31" s="3"/>
      <c r="KCJ31" s="3"/>
      <c r="KCK31" s="3"/>
      <c r="KCL31" s="3"/>
      <c r="KCM31" s="3"/>
      <c r="KCN31" s="3"/>
      <c r="KCO31" s="3"/>
      <c r="KCP31" s="3"/>
      <c r="KCQ31" s="3"/>
      <c r="KCR31" s="3"/>
      <c r="KCS31" s="3"/>
      <c r="KCT31" s="3"/>
      <c r="KCU31" s="3"/>
      <c r="KCV31" s="3"/>
      <c r="KCW31" s="3"/>
      <c r="KCX31" s="3"/>
      <c r="KCY31" s="3"/>
      <c r="KCZ31" s="3"/>
      <c r="KDA31" s="3"/>
      <c r="KDB31" s="3"/>
      <c r="KDC31" s="3"/>
      <c r="KDD31" s="3"/>
      <c r="KDE31" s="3"/>
      <c r="KDF31" s="3"/>
      <c r="KDG31" s="3"/>
      <c r="KDH31" s="3"/>
      <c r="KDI31" s="3"/>
      <c r="KDJ31" s="3"/>
      <c r="KDK31" s="3"/>
      <c r="KDL31" s="3"/>
      <c r="KDM31" s="3"/>
      <c r="KDN31" s="3"/>
      <c r="KDO31" s="3"/>
      <c r="KDP31" s="3"/>
      <c r="KDQ31" s="3"/>
      <c r="KDR31" s="3"/>
      <c r="KDS31" s="3"/>
      <c r="KDT31" s="3"/>
      <c r="KDU31" s="3"/>
      <c r="KDV31" s="3"/>
      <c r="KDW31" s="3"/>
      <c r="KDX31" s="3"/>
      <c r="KDY31" s="3"/>
      <c r="KDZ31" s="3"/>
      <c r="KEA31" s="3"/>
      <c r="KEB31" s="3"/>
      <c r="KEC31" s="3"/>
      <c r="KED31" s="3"/>
      <c r="KEE31" s="3"/>
      <c r="KEF31" s="3"/>
      <c r="KEG31" s="3"/>
      <c r="KEH31" s="3"/>
      <c r="KEI31" s="3"/>
      <c r="KEJ31" s="3"/>
      <c r="KEK31" s="3"/>
      <c r="KEL31" s="3"/>
      <c r="KEM31" s="3"/>
      <c r="KEN31" s="3"/>
      <c r="KEO31" s="3"/>
      <c r="KEP31" s="3"/>
      <c r="KEQ31" s="3"/>
      <c r="KER31" s="3"/>
      <c r="KES31" s="3"/>
      <c r="KET31" s="3"/>
      <c r="KEU31" s="3"/>
      <c r="KEV31" s="3"/>
      <c r="KEW31" s="3"/>
      <c r="KEX31" s="3"/>
      <c r="KEY31" s="3"/>
      <c r="KEZ31" s="3"/>
      <c r="KFA31" s="3"/>
      <c r="KFB31" s="3"/>
      <c r="KFC31" s="3"/>
      <c r="KFD31" s="3"/>
      <c r="KFE31" s="3"/>
      <c r="KFF31" s="3"/>
      <c r="KFG31" s="3"/>
      <c r="KFH31" s="3"/>
      <c r="KFI31" s="3"/>
      <c r="KFJ31" s="3"/>
      <c r="KFK31" s="3"/>
      <c r="KFL31" s="3"/>
      <c r="KFM31" s="3"/>
      <c r="KFN31" s="3"/>
      <c r="KFO31" s="3"/>
      <c r="KFP31" s="3"/>
      <c r="KFQ31" s="3"/>
      <c r="KFR31" s="3"/>
      <c r="KFS31" s="3"/>
      <c r="KFT31" s="3"/>
      <c r="KFU31" s="3"/>
      <c r="KFV31" s="3"/>
      <c r="KFW31" s="3"/>
      <c r="KFX31" s="3"/>
      <c r="KFY31" s="3"/>
      <c r="KFZ31" s="3"/>
      <c r="KGA31" s="3"/>
      <c r="KGB31" s="3"/>
      <c r="KGC31" s="3"/>
      <c r="KGD31" s="3"/>
      <c r="KGE31" s="3"/>
      <c r="KGF31" s="3"/>
      <c r="KGG31" s="3"/>
      <c r="KGH31" s="3"/>
      <c r="KGI31" s="3"/>
      <c r="KGJ31" s="3"/>
      <c r="KGK31" s="3"/>
      <c r="KGL31" s="3"/>
      <c r="KGM31" s="3"/>
      <c r="KGN31" s="3"/>
      <c r="KGO31" s="3"/>
      <c r="KGP31" s="3"/>
      <c r="KGQ31" s="3"/>
      <c r="KGR31" s="3"/>
      <c r="KGS31" s="3"/>
      <c r="KGT31" s="3"/>
      <c r="KGU31" s="3"/>
      <c r="KGV31" s="3"/>
      <c r="KGW31" s="3"/>
      <c r="KGX31" s="3"/>
      <c r="KGY31" s="3"/>
      <c r="KGZ31" s="3"/>
      <c r="KHA31" s="3"/>
      <c r="KHB31" s="3"/>
      <c r="KHC31" s="3"/>
      <c r="KHD31" s="3"/>
      <c r="KHE31" s="3"/>
      <c r="KHF31" s="3"/>
      <c r="KHG31" s="3"/>
      <c r="KHH31" s="3"/>
      <c r="KHI31" s="3"/>
      <c r="KHJ31" s="3"/>
      <c r="KHK31" s="3"/>
      <c r="KHL31" s="3"/>
      <c r="KHM31" s="3"/>
      <c r="KHN31" s="3"/>
      <c r="KHO31" s="3"/>
      <c r="KHP31" s="3"/>
      <c r="KHQ31" s="3"/>
      <c r="KHR31" s="3"/>
      <c r="KHS31" s="3"/>
      <c r="KHT31" s="3"/>
      <c r="KHU31" s="3"/>
      <c r="KHV31" s="3"/>
      <c r="KHW31" s="3"/>
      <c r="KHX31" s="3"/>
      <c r="KHY31" s="3"/>
      <c r="KHZ31" s="3"/>
      <c r="KIA31" s="3"/>
      <c r="KIB31" s="3"/>
      <c r="KIC31" s="3"/>
      <c r="KID31" s="3"/>
      <c r="KIE31" s="3"/>
      <c r="KIF31" s="3"/>
      <c r="KIG31" s="3"/>
      <c r="KIH31" s="3"/>
      <c r="KII31" s="3"/>
      <c r="KIJ31" s="3"/>
      <c r="KIK31" s="3"/>
      <c r="KIL31" s="3"/>
      <c r="KIM31" s="3"/>
      <c r="KIN31" s="3"/>
      <c r="KIO31" s="3"/>
      <c r="KIP31" s="3"/>
      <c r="KIQ31" s="3"/>
      <c r="KIR31" s="3"/>
      <c r="KIS31" s="3"/>
      <c r="KIT31" s="3"/>
      <c r="KIU31" s="3"/>
      <c r="KIV31" s="3"/>
      <c r="KIW31" s="3"/>
      <c r="KIX31" s="3"/>
      <c r="KIY31" s="3"/>
      <c r="KIZ31" s="3"/>
      <c r="KJA31" s="3"/>
      <c r="KJB31" s="3"/>
      <c r="KJC31" s="3"/>
      <c r="KJD31" s="3"/>
      <c r="KJE31" s="3"/>
      <c r="KJF31" s="3"/>
      <c r="KJG31" s="3"/>
      <c r="KJH31" s="3"/>
      <c r="KJI31" s="3"/>
      <c r="KJJ31" s="3"/>
      <c r="KJK31" s="3"/>
      <c r="KJL31" s="3"/>
      <c r="KJM31" s="3"/>
      <c r="KJN31" s="3"/>
      <c r="KJO31" s="3"/>
      <c r="KJP31" s="3"/>
      <c r="KJQ31" s="3"/>
      <c r="KJR31" s="3"/>
      <c r="KJS31" s="3"/>
      <c r="KJT31" s="3"/>
      <c r="KJU31" s="3"/>
      <c r="KJV31" s="3"/>
      <c r="KJW31" s="3"/>
      <c r="KJX31" s="3"/>
      <c r="KJY31" s="3"/>
      <c r="KJZ31" s="3"/>
      <c r="KKA31" s="3"/>
      <c r="KKB31" s="3"/>
      <c r="KKC31" s="3"/>
      <c r="KKD31" s="3"/>
      <c r="KKE31" s="3"/>
      <c r="KKF31" s="3"/>
      <c r="KKG31" s="3"/>
      <c r="KKH31" s="3"/>
      <c r="KKI31" s="3"/>
      <c r="KKJ31" s="3"/>
      <c r="KKK31" s="3"/>
      <c r="KKL31" s="3"/>
      <c r="KKM31" s="3"/>
      <c r="KKN31" s="3"/>
      <c r="KKO31" s="3"/>
      <c r="KKP31" s="3"/>
      <c r="KKQ31" s="3"/>
      <c r="KKR31" s="3"/>
      <c r="KKS31" s="3"/>
      <c r="KKT31" s="3"/>
      <c r="KKU31" s="3"/>
      <c r="KKV31" s="3"/>
      <c r="KKW31" s="3"/>
      <c r="KKX31" s="3"/>
      <c r="KKY31" s="3"/>
      <c r="KKZ31" s="3"/>
      <c r="KLA31" s="3"/>
      <c r="KLB31" s="3"/>
      <c r="KLC31" s="3"/>
      <c r="KLD31" s="3"/>
      <c r="KLE31" s="3"/>
      <c r="KLF31" s="3"/>
      <c r="KLG31" s="3"/>
      <c r="KLH31" s="3"/>
      <c r="KLI31" s="3"/>
      <c r="KLJ31" s="3"/>
      <c r="KLK31" s="3"/>
      <c r="KLL31" s="3"/>
      <c r="KLM31" s="3"/>
      <c r="KLN31" s="3"/>
      <c r="KLO31" s="3"/>
      <c r="KLP31" s="3"/>
      <c r="KLQ31" s="3"/>
      <c r="KLR31" s="3"/>
      <c r="KLS31" s="3"/>
      <c r="KLT31" s="3"/>
      <c r="KLU31" s="3"/>
      <c r="KLV31" s="3"/>
      <c r="KLW31" s="3"/>
      <c r="KLX31" s="3"/>
      <c r="KLY31" s="3"/>
      <c r="KLZ31" s="3"/>
      <c r="KMA31" s="3"/>
      <c r="KMB31" s="3"/>
      <c r="KMC31" s="3"/>
      <c r="KMD31" s="3"/>
      <c r="KME31" s="3"/>
      <c r="KMF31" s="3"/>
      <c r="KMG31" s="3"/>
      <c r="KMH31" s="3"/>
      <c r="KMI31" s="3"/>
      <c r="KMJ31" s="3"/>
      <c r="KMK31" s="3"/>
      <c r="KML31" s="3"/>
      <c r="KMM31" s="3"/>
      <c r="KMN31" s="3"/>
      <c r="KMO31" s="3"/>
      <c r="KMP31" s="3"/>
      <c r="KMQ31" s="3"/>
      <c r="KMR31" s="3"/>
      <c r="KMS31" s="3"/>
      <c r="KMT31" s="3"/>
      <c r="KMU31" s="3"/>
      <c r="KMV31" s="3"/>
      <c r="KMW31" s="3"/>
      <c r="KMX31" s="3"/>
      <c r="KMY31" s="3"/>
      <c r="KMZ31" s="3"/>
      <c r="KNA31" s="3"/>
      <c r="KNB31" s="3"/>
      <c r="KNC31" s="3"/>
      <c r="KND31" s="3"/>
      <c r="KNE31" s="3"/>
      <c r="KNF31" s="3"/>
      <c r="KNG31" s="3"/>
      <c r="KNH31" s="3"/>
      <c r="KNI31" s="3"/>
      <c r="KNJ31" s="3"/>
      <c r="KNK31" s="3"/>
      <c r="KNL31" s="3"/>
      <c r="KNM31" s="3"/>
      <c r="KNN31" s="3"/>
      <c r="KNO31" s="3"/>
      <c r="KNP31" s="3"/>
      <c r="KNQ31" s="3"/>
      <c r="KNR31" s="3"/>
      <c r="KNS31" s="3"/>
      <c r="KNT31" s="3"/>
      <c r="KNU31" s="3"/>
      <c r="KNV31" s="3"/>
      <c r="KNW31" s="3"/>
      <c r="KNX31" s="3"/>
      <c r="KNY31" s="3"/>
      <c r="KNZ31" s="3"/>
      <c r="KOA31" s="3"/>
      <c r="KOB31" s="3"/>
      <c r="KOC31" s="3"/>
      <c r="KOD31" s="3"/>
      <c r="KOE31" s="3"/>
      <c r="KOF31" s="3"/>
      <c r="KOG31" s="3"/>
      <c r="KOH31" s="3"/>
      <c r="KOI31" s="3"/>
      <c r="KOJ31" s="3"/>
      <c r="KOK31" s="3"/>
      <c r="KOL31" s="3"/>
      <c r="KOM31" s="3"/>
      <c r="KON31" s="3"/>
      <c r="KOO31" s="3"/>
      <c r="KOP31" s="3"/>
      <c r="KOQ31" s="3"/>
      <c r="KOR31" s="3"/>
      <c r="KOS31" s="3"/>
      <c r="KOT31" s="3"/>
      <c r="KOU31" s="3"/>
      <c r="KOV31" s="3"/>
      <c r="KOW31" s="3"/>
      <c r="KOX31" s="3"/>
      <c r="KOY31" s="3"/>
      <c r="KOZ31" s="3"/>
      <c r="KPA31" s="3"/>
      <c r="KPB31" s="3"/>
      <c r="KPC31" s="3"/>
      <c r="KPD31" s="3"/>
      <c r="KPE31" s="3"/>
      <c r="KPF31" s="3"/>
      <c r="KPG31" s="3"/>
      <c r="KPH31" s="3"/>
      <c r="KPI31" s="3"/>
      <c r="KPJ31" s="3"/>
      <c r="KPK31" s="3"/>
      <c r="KPL31" s="3"/>
      <c r="KPM31" s="3"/>
      <c r="KPN31" s="3"/>
      <c r="KPO31" s="3"/>
      <c r="KPP31" s="3"/>
      <c r="KPQ31" s="3"/>
      <c r="KPR31" s="3"/>
      <c r="KPS31" s="3"/>
      <c r="KPT31" s="3"/>
      <c r="KPU31" s="3"/>
      <c r="KPV31" s="3"/>
      <c r="KPW31" s="3"/>
      <c r="KPX31" s="3"/>
      <c r="KPY31" s="3"/>
      <c r="KPZ31" s="3"/>
      <c r="KQA31" s="3"/>
      <c r="KQB31" s="3"/>
      <c r="KQC31" s="3"/>
      <c r="KQD31" s="3"/>
      <c r="KQE31" s="3"/>
      <c r="KQF31" s="3"/>
      <c r="KQG31" s="3"/>
      <c r="KQH31" s="3"/>
      <c r="KQI31" s="3"/>
      <c r="KQJ31" s="3"/>
      <c r="KQK31" s="3"/>
      <c r="KQL31" s="3"/>
      <c r="KQM31" s="3"/>
      <c r="KQN31" s="3"/>
      <c r="KQO31" s="3"/>
      <c r="KQP31" s="3"/>
      <c r="KQQ31" s="3"/>
      <c r="KQR31" s="3"/>
      <c r="KQS31" s="3"/>
      <c r="KQT31" s="3"/>
      <c r="KQU31" s="3"/>
      <c r="KQV31" s="3"/>
      <c r="KQW31" s="3"/>
      <c r="KQX31" s="3"/>
      <c r="KQY31" s="3"/>
      <c r="KQZ31" s="3"/>
      <c r="KRA31" s="3"/>
      <c r="KRB31" s="3"/>
      <c r="KRC31" s="3"/>
      <c r="KRD31" s="3"/>
      <c r="KRE31" s="3"/>
      <c r="KRF31" s="3"/>
      <c r="KRG31" s="3"/>
      <c r="KRH31" s="3"/>
      <c r="KRI31" s="3"/>
      <c r="KRJ31" s="3"/>
      <c r="KRK31" s="3"/>
      <c r="KRL31" s="3"/>
      <c r="KRM31" s="3"/>
      <c r="KRN31" s="3"/>
    </row>
    <row r="32" spans="1:7918" s="248" customFormat="1">
      <c r="A32" s="26" t="e">
        <f t="shared" si="0"/>
        <v>#REF!</v>
      </c>
      <c r="B32" s="388" t="s">
        <v>519</v>
      </c>
      <c r="C32" s="334" t="s">
        <v>602</v>
      </c>
      <c r="D32" s="386" t="s">
        <v>519</v>
      </c>
      <c r="E32" s="173" t="str">
        <f>VLOOKUP(B32,distribucion!B$9:FK$225,2,0)</f>
        <v>Operario  Liquidos</v>
      </c>
      <c r="F32" s="221">
        <f>VLOOKUP($B32,'Nomina Unhesa'!$B$4:$AB$209,4,0)</f>
        <v>30</v>
      </c>
      <c r="G32" s="229">
        <f>VLOOKUP($B32,'Nomina Unhesa'!$B$4:$AB$209,6,0)</f>
        <v>3166.38</v>
      </c>
      <c r="H32" s="229">
        <f>VLOOKUP($B32,'Nomina Unhesa'!$B$4:$AB$209,7,0)</f>
        <v>1600</v>
      </c>
      <c r="I32" s="229">
        <f>VLOOKUP($B32,'Nomina Unhesa'!$B$4:$AB$209,9,0)</f>
        <v>29</v>
      </c>
      <c r="J32" s="234">
        <f>VLOOKUP($B32,'Nomina Unhesa'!$B$4:$AB$209,10,0)</f>
        <v>573.91</v>
      </c>
      <c r="K32" s="229">
        <f>VLOOKUP($B32,'Nomina Unhesa'!$B$4:$AB$209,11,0)</f>
        <v>0</v>
      </c>
      <c r="L32" s="229">
        <f>VLOOKUP($B32,'Nomina Unhesa'!$B$4:$AB$209,12,0)</f>
        <v>0</v>
      </c>
      <c r="M32" s="229">
        <f>VLOOKUP($B32,'Nomina Unhesa'!$B$4:$AB$209,14,0)</f>
        <v>0</v>
      </c>
      <c r="N32" s="234">
        <f>VLOOKUP($B32,'Nomina Unhesa'!$B$4:$AB$209,15,0)</f>
        <v>5340.29</v>
      </c>
      <c r="O32" s="234">
        <f>VLOOKUP($B32,'Nomina Unhesa'!$B$4:$AB$209,16,0)</f>
        <v>180.66</v>
      </c>
      <c r="P32" s="234">
        <f>VLOOKUP($B32,'Nomina Unhesa'!$B$4:$AB$209,17,0)</f>
        <v>98.52</v>
      </c>
      <c r="Q32" s="234">
        <f>VLOOKUP($B32,'Nomina Unhesa'!$B$4:$AB$209,18,0)</f>
        <v>623.4</v>
      </c>
      <c r="R32" s="234">
        <f>VLOOKUP($B32,'Nomina Unhesa'!$B$4:$AB$209,19,0)</f>
        <v>0</v>
      </c>
      <c r="S32" s="234">
        <f>VLOOKUP($B32,'Nomina Unhesa'!$B$4:$AB$209,20,0)</f>
        <v>0</v>
      </c>
      <c r="T32" s="234">
        <f>VLOOKUP($B32,'Nomina Unhesa'!$B$4:$AB$209,21,0)</f>
        <v>0</v>
      </c>
      <c r="U32" s="234">
        <f>VLOOKUP($B32,'Nomina Unhesa'!$B$4:$AB$209,22,0)</f>
        <v>0</v>
      </c>
      <c r="V32" s="234">
        <f>ROUND((VLOOKUP($B32,'Nomina Unhesa'!$B$4:$AB$209,23,0)),2)</f>
        <v>50</v>
      </c>
      <c r="W32" s="234">
        <f>VLOOKUP($B32,'Nomina Unhesa'!$B$4:$AB$209,24,0)</f>
        <v>952.57999999999993</v>
      </c>
      <c r="X32" s="234">
        <f>VLOOKUP(B32,'Nomina Unhesa'!$B$9:$Z$163,25,FALSE)</f>
        <v>4387.71</v>
      </c>
      <c r="Y32" s="234">
        <f>ROUND((VLOOKUP(B32,'Nomina Unhesa'!$B$9:$AB$157,26,FALSE)),2)</f>
        <v>1320.02</v>
      </c>
      <c r="Z32" s="219">
        <f>VLOOKUP(B32,'Nomina Unhesa'!$B$9:$AB$158,27,FALSE)</f>
        <v>3067.69</v>
      </c>
      <c r="AA32" s="444"/>
      <c r="AB32" s="389">
        <f>+IFERROR(VLOOKUP(B32,'Nomina Unhesa'!B52:D196,3,0),"")</f>
        <v>3740.29</v>
      </c>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c r="KS32" s="3"/>
      <c r="KT32" s="3"/>
      <c r="KU32" s="3"/>
      <c r="KV32" s="3"/>
      <c r="KW32" s="3"/>
      <c r="KX32" s="3"/>
      <c r="KY32" s="3"/>
      <c r="KZ32" s="3"/>
      <c r="LA32" s="3"/>
      <c r="LB32" s="3"/>
      <c r="LC32" s="3"/>
      <c r="LD32" s="3"/>
      <c r="LE32" s="3"/>
      <c r="LF32" s="3"/>
      <c r="LG32" s="3"/>
      <c r="LH32" s="3"/>
      <c r="LI32" s="3"/>
      <c r="LJ32" s="3"/>
      <c r="LK32" s="3"/>
      <c r="LL32" s="3"/>
      <c r="LM32" s="3"/>
      <c r="LN32" s="3"/>
      <c r="LO32" s="3"/>
      <c r="LP32" s="3"/>
      <c r="LQ32" s="3"/>
      <c r="LR32" s="3"/>
      <c r="LS32" s="3"/>
      <c r="LT32" s="3"/>
      <c r="LU32" s="3"/>
      <c r="LV32" s="3"/>
      <c r="LW32" s="3"/>
      <c r="LX32" s="3"/>
      <c r="LY32" s="3"/>
      <c r="LZ32" s="3"/>
      <c r="MA32" s="3"/>
      <c r="MB32" s="3"/>
      <c r="MC32" s="3"/>
      <c r="MD32" s="3"/>
      <c r="ME32" s="3"/>
      <c r="MF32" s="3"/>
      <c r="MG32" s="3"/>
      <c r="MH32" s="3"/>
      <c r="MI32" s="3"/>
      <c r="MJ32" s="3"/>
      <c r="MK32" s="3"/>
      <c r="ML32" s="3"/>
      <c r="MM32" s="3"/>
      <c r="MN32" s="3"/>
      <c r="MO32" s="3"/>
      <c r="MP32" s="3"/>
      <c r="MQ32" s="3"/>
      <c r="MR32" s="3"/>
      <c r="MS32" s="3"/>
      <c r="MT32" s="3"/>
      <c r="MU32" s="3"/>
      <c r="MV32" s="3"/>
      <c r="MW32" s="3"/>
      <c r="MX32" s="3"/>
      <c r="MY32" s="3"/>
      <c r="MZ32" s="3"/>
      <c r="NA32" s="3"/>
      <c r="NB32" s="3"/>
      <c r="NC32" s="3"/>
      <c r="ND32" s="3"/>
      <c r="NE32" s="3"/>
      <c r="NF32" s="3"/>
      <c r="NG32" s="3"/>
      <c r="NH32" s="3"/>
      <c r="NI32" s="3"/>
      <c r="NJ32" s="3"/>
      <c r="NK32" s="3"/>
      <c r="NL32" s="3"/>
      <c r="NM32" s="3"/>
      <c r="NN32" s="3"/>
      <c r="NO32" s="3"/>
      <c r="NP32" s="3"/>
      <c r="NQ32" s="3"/>
      <c r="NR32" s="3"/>
      <c r="NS32" s="3"/>
      <c r="NT32" s="3"/>
      <c r="NU32" s="3"/>
      <c r="NV32" s="3"/>
      <c r="NW32" s="3"/>
      <c r="NX32" s="3"/>
      <c r="NY32" s="3"/>
      <c r="NZ32" s="3"/>
      <c r="OA32" s="3"/>
      <c r="OB32" s="3"/>
      <c r="OC32" s="3"/>
      <c r="OD32" s="3"/>
      <c r="OE32" s="3"/>
      <c r="OF32" s="3"/>
      <c r="OG32" s="3"/>
      <c r="OH32" s="3"/>
      <c r="OI32" s="3"/>
      <c r="OJ32" s="3"/>
      <c r="OK32" s="3"/>
      <c r="OL32" s="3"/>
      <c r="OM32" s="3"/>
      <c r="ON32" s="3"/>
      <c r="OO32" s="3"/>
      <c r="OP32" s="3"/>
      <c r="OQ32" s="3"/>
      <c r="OR32" s="3"/>
      <c r="OS32" s="3"/>
      <c r="OT32" s="3"/>
      <c r="OU32" s="3"/>
      <c r="OV32" s="3"/>
      <c r="OW32" s="3"/>
      <c r="OX32" s="3"/>
      <c r="OY32" s="3"/>
      <c r="OZ32" s="3"/>
      <c r="PA32" s="3"/>
      <c r="PB32" s="3"/>
      <c r="PC32" s="3"/>
      <c r="PD32" s="3"/>
      <c r="PE32" s="3"/>
      <c r="PF32" s="3"/>
      <c r="PG32" s="3"/>
      <c r="PH32" s="3"/>
      <c r="PI32" s="3"/>
      <c r="PJ32" s="3"/>
      <c r="PK32" s="3"/>
      <c r="PL32" s="3"/>
      <c r="PM32" s="3"/>
      <c r="PN32" s="3"/>
      <c r="PO32" s="3"/>
      <c r="PP32" s="3"/>
      <c r="PQ32" s="3"/>
      <c r="PR32" s="3"/>
      <c r="PS32" s="3"/>
      <c r="PT32" s="3"/>
      <c r="PU32" s="3"/>
      <c r="PV32" s="3"/>
      <c r="PW32" s="3"/>
      <c r="PX32" s="3"/>
      <c r="PY32" s="3"/>
      <c r="PZ32" s="3"/>
      <c r="QA32" s="3"/>
      <c r="QB32" s="3"/>
      <c r="QC32" s="3"/>
      <c r="QD32" s="3"/>
      <c r="QE32" s="3"/>
      <c r="QF32" s="3"/>
      <c r="QG32" s="3"/>
      <c r="QH32" s="3"/>
      <c r="QI32" s="3"/>
      <c r="QJ32" s="3"/>
      <c r="QK32" s="3"/>
      <c r="QL32" s="3"/>
      <c r="QM32" s="3"/>
      <c r="QN32" s="3"/>
      <c r="QO32" s="3"/>
      <c r="QP32" s="3"/>
      <c r="QQ32" s="3"/>
      <c r="QR32" s="3"/>
      <c r="QS32" s="3"/>
      <c r="QT32" s="3"/>
      <c r="QU32" s="3"/>
      <c r="QV32" s="3"/>
      <c r="QW32" s="3"/>
      <c r="QX32" s="3"/>
      <c r="QY32" s="3"/>
      <c r="QZ32" s="3"/>
      <c r="RA32" s="3"/>
      <c r="RB32" s="3"/>
      <c r="RC32" s="3"/>
      <c r="RD32" s="3"/>
      <c r="RE32" s="3"/>
      <c r="RF32" s="3"/>
      <c r="RG32" s="3"/>
      <c r="RH32" s="3"/>
      <c r="RI32" s="3"/>
      <c r="RJ32" s="3"/>
      <c r="RK32" s="3"/>
      <c r="RL32" s="3"/>
      <c r="RM32" s="3"/>
      <c r="RN32" s="3"/>
      <c r="RO32" s="3"/>
      <c r="RP32" s="3"/>
      <c r="RQ32" s="3"/>
      <c r="RR32" s="3"/>
      <c r="RS32" s="3"/>
      <c r="RT32" s="3"/>
      <c r="RU32" s="3"/>
      <c r="RV32" s="3"/>
      <c r="RW32" s="3"/>
      <c r="RX32" s="3"/>
      <c r="RY32" s="3"/>
      <c r="RZ32" s="3"/>
      <c r="SA32" s="3"/>
      <c r="SB32" s="3"/>
      <c r="SC32" s="3"/>
      <c r="SD32" s="3"/>
      <c r="SE32" s="3"/>
      <c r="SF32" s="3"/>
      <c r="SG32" s="3"/>
      <c r="SH32" s="3"/>
      <c r="SI32" s="3"/>
      <c r="SJ32" s="3"/>
      <c r="SK32" s="3"/>
      <c r="SL32" s="3"/>
      <c r="SM32" s="3"/>
      <c r="SN32" s="3"/>
      <c r="SO32" s="3"/>
      <c r="SP32" s="3"/>
      <c r="SQ32" s="3"/>
      <c r="SR32" s="3"/>
      <c r="SS32" s="3"/>
      <c r="ST32" s="3"/>
      <c r="SU32" s="3"/>
      <c r="SV32" s="3"/>
      <c r="SW32" s="3"/>
      <c r="SX32" s="3"/>
      <c r="SY32" s="3"/>
      <c r="SZ32" s="3"/>
      <c r="TA32" s="3"/>
      <c r="TB32" s="3"/>
      <c r="TC32" s="3"/>
      <c r="TD32" s="3"/>
      <c r="TE32" s="3"/>
      <c r="TF32" s="3"/>
      <c r="TG32" s="3"/>
      <c r="TH32" s="3"/>
      <c r="TI32" s="3"/>
      <c r="TJ32" s="3"/>
      <c r="TK32" s="3"/>
      <c r="TL32" s="3"/>
      <c r="TM32" s="3"/>
      <c r="TN32" s="3"/>
      <c r="TO32" s="3"/>
      <c r="TP32" s="3"/>
      <c r="TQ32" s="3"/>
      <c r="TR32" s="3"/>
      <c r="TS32" s="3"/>
      <c r="TT32" s="3"/>
      <c r="TU32" s="3"/>
      <c r="TV32" s="3"/>
      <c r="TW32" s="3"/>
      <c r="TX32" s="3"/>
      <c r="TY32" s="3"/>
      <c r="TZ32" s="3"/>
      <c r="UA32" s="3"/>
      <c r="UB32" s="3"/>
      <c r="UC32" s="3"/>
      <c r="UD32" s="3"/>
      <c r="UE32" s="3"/>
      <c r="UF32" s="3"/>
      <c r="UG32" s="3"/>
      <c r="UH32" s="3"/>
      <c r="UI32" s="3"/>
      <c r="UJ32" s="3"/>
      <c r="UK32" s="3"/>
      <c r="UL32" s="3"/>
      <c r="UM32" s="3"/>
      <c r="UN32" s="3"/>
      <c r="UO32" s="3"/>
      <c r="UP32" s="3"/>
      <c r="UQ32" s="3"/>
      <c r="UR32" s="3"/>
      <c r="US32" s="3"/>
      <c r="UT32" s="3"/>
      <c r="UU32" s="3"/>
      <c r="UV32" s="3"/>
      <c r="UW32" s="3"/>
      <c r="UX32" s="3"/>
      <c r="UY32" s="3"/>
      <c r="UZ32" s="3"/>
      <c r="VA32" s="3"/>
      <c r="VB32" s="3"/>
      <c r="VC32" s="3"/>
      <c r="VD32" s="3"/>
      <c r="VE32" s="3"/>
      <c r="VF32" s="3"/>
      <c r="VG32" s="3"/>
      <c r="VH32" s="3"/>
      <c r="VI32" s="3"/>
      <c r="VJ32" s="3"/>
      <c r="VK32" s="3"/>
      <c r="VL32" s="3"/>
      <c r="VM32" s="3"/>
      <c r="VN32" s="3"/>
      <c r="VO32" s="3"/>
      <c r="VP32" s="3"/>
      <c r="VQ32" s="3"/>
      <c r="VR32" s="3"/>
      <c r="VS32" s="3"/>
      <c r="VT32" s="3"/>
      <c r="VU32" s="3"/>
      <c r="VV32" s="3"/>
      <c r="VW32" s="3"/>
      <c r="VX32" s="3"/>
      <c r="VY32" s="3"/>
      <c r="VZ32" s="3"/>
      <c r="WA32" s="3"/>
      <c r="WB32" s="3"/>
      <c r="WC32" s="3"/>
      <c r="WD32" s="3"/>
      <c r="WE32" s="3"/>
      <c r="WF32" s="3"/>
      <c r="WG32" s="3"/>
      <c r="WH32" s="3"/>
      <c r="WI32" s="3"/>
      <c r="WJ32" s="3"/>
      <c r="WK32" s="3"/>
      <c r="WL32" s="3"/>
      <c r="WM32" s="3"/>
      <c r="WN32" s="3"/>
      <c r="WO32" s="3"/>
      <c r="WP32" s="3"/>
      <c r="WQ32" s="3"/>
      <c r="WR32" s="3"/>
      <c r="WS32" s="3"/>
      <c r="WT32" s="3"/>
      <c r="WU32" s="3"/>
      <c r="WV32" s="3"/>
      <c r="WW32" s="3"/>
      <c r="WX32" s="3"/>
      <c r="WY32" s="3"/>
      <c r="WZ32" s="3"/>
      <c r="XA32" s="3"/>
      <c r="XB32" s="3"/>
      <c r="XC32" s="3"/>
      <c r="XD32" s="3"/>
      <c r="XE32" s="3"/>
      <c r="XF32" s="3"/>
      <c r="XG32" s="3"/>
      <c r="XH32" s="3"/>
      <c r="XI32" s="3"/>
      <c r="XJ32" s="3"/>
      <c r="XK32" s="3"/>
      <c r="XL32" s="3"/>
      <c r="XM32" s="3"/>
      <c r="XN32" s="3"/>
      <c r="XO32" s="3"/>
      <c r="XP32" s="3"/>
      <c r="XQ32" s="3"/>
      <c r="XR32" s="3"/>
      <c r="XS32" s="3"/>
      <c r="XT32" s="3"/>
      <c r="XU32" s="3"/>
      <c r="XV32" s="3"/>
      <c r="XW32" s="3"/>
      <c r="XX32" s="3"/>
      <c r="XY32" s="3"/>
      <c r="XZ32" s="3"/>
      <c r="YA32" s="3"/>
      <c r="YB32" s="3"/>
      <c r="YC32" s="3"/>
      <c r="YD32" s="3"/>
      <c r="YE32" s="3"/>
      <c r="YF32" s="3"/>
      <c r="YG32" s="3"/>
      <c r="YH32" s="3"/>
      <c r="YI32" s="3"/>
      <c r="YJ32" s="3"/>
      <c r="YK32" s="3"/>
      <c r="YL32" s="3"/>
      <c r="YM32" s="3"/>
      <c r="YN32" s="3"/>
      <c r="YO32" s="3"/>
      <c r="YP32" s="3"/>
      <c r="YQ32" s="3"/>
      <c r="YR32" s="3"/>
      <c r="YS32" s="3"/>
      <c r="YT32" s="3"/>
      <c r="YU32" s="3"/>
      <c r="YV32" s="3"/>
      <c r="YW32" s="3"/>
      <c r="YX32" s="3"/>
      <c r="YY32" s="3"/>
      <c r="YZ32" s="3"/>
      <c r="ZA32" s="3"/>
      <c r="ZB32" s="3"/>
      <c r="ZC32" s="3"/>
      <c r="ZD32" s="3"/>
      <c r="ZE32" s="3"/>
      <c r="ZF32" s="3"/>
      <c r="ZG32" s="3"/>
      <c r="ZH32" s="3"/>
      <c r="ZI32" s="3"/>
      <c r="ZJ32" s="3"/>
      <c r="ZK32" s="3"/>
      <c r="ZL32" s="3"/>
      <c r="ZM32" s="3"/>
      <c r="ZN32" s="3"/>
      <c r="ZO32" s="3"/>
      <c r="ZP32" s="3"/>
      <c r="ZQ32" s="3"/>
      <c r="ZR32" s="3"/>
      <c r="ZS32" s="3"/>
      <c r="ZT32" s="3"/>
      <c r="ZU32" s="3"/>
      <c r="ZV32" s="3"/>
      <c r="ZW32" s="3"/>
      <c r="ZX32" s="3"/>
      <c r="ZY32" s="3"/>
      <c r="ZZ32" s="3"/>
      <c r="AAA32" s="3"/>
      <c r="AAB32" s="3"/>
      <c r="AAC32" s="3"/>
      <c r="AAD32" s="3"/>
      <c r="AAE32" s="3"/>
      <c r="AAF32" s="3"/>
      <c r="AAG32" s="3"/>
      <c r="AAH32" s="3"/>
      <c r="AAI32" s="3"/>
      <c r="AAJ32" s="3"/>
      <c r="AAK32" s="3"/>
      <c r="AAL32" s="3"/>
      <c r="AAM32" s="3"/>
      <c r="AAN32" s="3"/>
      <c r="AAO32" s="3"/>
      <c r="AAP32" s="3"/>
      <c r="AAQ32" s="3"/>
      <c r="AAR32" s="3"/>
      <c r="AAS32" s="3"/>
      <c r="AAT32" s="3"/>
      <c r="AAU32" s="3"/>
      <c r="AAV32" s="3"/>
      <c r="AAW32" s="3"/>
      <c r="AAX32" s="3"/>
      <c r="AAY32" s="3"/>
      <c r="AAZ32" s="3"/>
      <c r="ABA32" s="3"/>
      <c r="ABB32" s="3"/>
      <c r="ABC32" s="3"/>
      <c r="ABD32" s="3"/>
      <c r="ABE32" s="3"/>
      <c r="ABF32" s="3"/>
      <c r="ABG32" s="3"/>
      <c r="ABH32" s="3"/>
      <c r="ABI32" s="3"/>
      <c r="ABJ32" s="3"/>
      <c r="ABK32" s="3"/>
      <c r="ABL32" s="3"/>
      <c r="ABM32" s="3"/>
      <c r="ABN32" s="3"/>
      <c r="ABO32" s="3"/>
      <c r="ABP32" s="3"/>
      <c r="ABQ32" s="3"/>
      <c r="ABR32" s="3"/>
      <c r="ABS32" s="3"/>
      <c r="ABT32" s="3"/>
      <c r="ABU32" s="3"/>
      <c r="ABV32" s="3"/>
      <c r="ABW32" s="3"/>
      <c r="ABX32" s="3"/>
      <c r="ABY32" s="3"/>
      <c r="ABZ32" s="3"/>
      <c r="ACA32" s="3"/>
      <c r="ACB32" s="3"/>
      <c r="ACC32" s="3"/>
      <c r="ACD32" s="3"/>
      <c r="ACE32" s="3"/>
      <c r="ACF32" s="3"/>
      <c r="ACG32" s="3"/>
      <c r="ACH32" s="3"/>
      <c r="ACI32" s="3"/>
      <c r="ACJ32" s="3"/>
      <c r="ACK32" s="3"/>
      <c r="ACL32" s="3"/>
      <c r="ACM32" s="3"/>
      <c r="ACN32" s="3"/>
      <c r="ACO32" s="3"/>
      <c r="ACP32" s="3"/>
      <c r="ACQ32" s="3"/>
      <c r="ACR32" s="3"/>
      <c r="ACS32" s="3"/>
      <c r="ACT32" s="3"/>
      <c r="ACU32" s="3"/>
      <c r="ACV32" s="3"/>
      <c r="ACW32" s="3"/>
      <c r="ACX32" s="3"/>
      <c r="ACY32" s="3"/>
      <c r="ACZ32" s="3"/>
      <c r="ADA32" s="3"/>
      <c r="ADB32" s="3"/>
      <c r="ADC32" s="3"/>
      <c r="ADD32" s="3"/>
      <c r="ADE32" s="3"/>
      <c r="ADF32" s="3"/>
      <c r="ADG32" s="3"/>
      <c r="ADH32" s="3"/>
      <c r="ADI32" s="3"/>
      <c r="ADJ32" s="3"/>
      <c r="ADK32" s="3"/>
      <c r="ADL32" s="3"/>
      <c r="ADM32" s="3"/>
      <c r="ADN32" s="3"/>
      <c r="ADO32" s="3"/>
      <c r="ADP32" s="3"/>
      <c r="ADQ32" s="3"/>
      <c r="ADR32" s="3"/>
      <c r="ADS32" s="3"/>
      <c r="ADT32" s="3"/>
      <c r="ADU32" s="3"/>
      <c r="ADV32" s="3"/>
      <c r="ADW32" s="3"/>
      <c r="ADX32" s="3"/>
      <c r="ADY32" s="3"/>
      <c r="ADZ32" s="3"/>
      <c r="AEA32" s="3"/>
      <c r="AEB32" s="3"/>
      <c r="AEC32" s="3"/>
      <c r="AED32" s="3"/>
      <c r="AEE32" s="3"/>
      <c r="AEF32" s="3"/>
      <c r="AEG32" s="3"/>
      <c r="AEH32" s="3"/>
      <c r="AEI32" s="3"/>
      <c r="AEJ32" s="3"/>
      <c r="AEK32" s="3"/>
      <c r="AEL32" s="3"/>
      <c r="AEM32" s="3"/>
      <c r="AEN32" s="3"/>
      <c r="AEO32" s="3"/>
      <c r="AEP32" s="3"/>
      <c r="AEQ32" s="3"/>
      <c r="AER32" s="3"/>
      <c r="AES32" s="3"/>
      <c r="AET32" s="3"/>
      <c r="AEU32" s="3"/>
      <c r="AEV32" s="3"/>
      <c r="AEW32" s="3"/>
      <c r="AEX32" s="3"/>
      <c r="AEY32" s="3"/>
      <c r="AEZ32" s="3"/>
      <c r="AFA32" s="3"/>
      <c r="AFB32" s="3"/>
      <c r="AFC32" s="3"/>
      <c r="AFD32" s="3"/>
      <c r="AFE32" s="3"/>
      <c r="AFF32" s="3"/>
      <c r="AFG32" s="3"/>
      <c r="AFH32" s="3"/>
      <c r="AFI32" s="3"/>
      <c r="AFJ32" s="3"/>
      <c r="AFK32" s="3"/>
      <c r="AFL32" s="3"/>
      <c r="AFM32" s="3"/>
      <c r="AFN32" s="3"/>
      <c r="AFO32" s="3"/>
      <c r="AFP32" s="3"/>
      <c r="AFQ32" s="3"/>
      <c r="AFR32" s="3"/>
      <c r="AFS32" s="3"/>
      <c r="AFT32" s="3"/>
      <c r="AFU32" s="3"/>
      <c r="AFV32" s="3"/>
      <c r="AFW32" s="3"/>
      <c r="AFX32" s="3"/>
      <c r="AFY32" s="3"/>
      <c r="AFZ32" s="3"/>
      <c r="AGA32" s="3"/>
      <c r="AGB32" s="3"/>
      <c r="AGC32" s="3"/>
      <c r="AGD32" s="3"/>
      <c r="AGE32" s="3"/>
      <c r="AGF32" s="3"/>
      <c r="AGG32" s="3"/>
      <c r="AGH32" s="3"/>
      <c r="AGI32" s="3"/>
      <c r="AGJ32" s="3"/>
      <c r="AGK32" s="3"/>
      <c r="AGL32" s="3"/>
      <c r="AGM32" s="3"/>
      <c r="AGN32" s="3"/>
      <c r="AGO32" s="3"/>
      <c r="AGP32" s="3"/>
      <c r="AGQ32" s="3"/>
      <c r="AGR32" s="3"/>
      <c r="AGS32" s="3"/>
      <c r="AGT32" s="3"/>
      <c r="AGU32" s="3"/>
      <c r="AGV32" s="3"/>
      <c r="AGW32" s="3"/>
      <c r="AGX32" s="3"/>
      <c r="AGY32" s="3"/>
      <c r="AGZ32" s="3"/>
      <c r="AHA32" s="3"/>
      <c r="AHB32" s="3"/>
      <c r="AHC32" s="3"/>
      <c r="AHD32" s="3"/>
      <c r="AHE32" s="3"/>
      <c r="AHF32" s="3"/>
      <c r="AHG32" s="3"/>
      <c r="AHH32" s="3"/>
      <c r="AHI32" s="3"/>
      <c r="AHJ32" s="3"/>
      <c r="AHK32" s="3"/>
      <c r="AHL32" s="3"/>
      <c r="AHM32" s="3"/>
      <c r="AHN32" s="3"/>
      <c r="AHO32" s="3"/>
      <c r="AHP32" s="3"/>
      <c r="AHQ32" s="3"/>
      <c r="AHR32" s="3"/>
      <c r="AHS32" s="3"/>
      <c r="AHT32" s="3"/>
      <c r="AHU32" s="3"/>
      <c r="AHV32" s="3"/>
      <c r="AHW32" s="3"/>
      <c r="AHX32" s="3"/>
      <c r="AHY32" s="3"/>
      <c r="AHZ32" s="3"/>
      <c r="AIA32" s="3"/>
      <c r="AIB32" s="3"/>
      <c r="AIC32" s="3"/>
      <c r="AID32" s="3"/>
      <c r="AIE32" s="3"/>
      <c r="AIF32" s="3"/>
      <c r="AIG32" s="3"/>
      <c r="AIH32" s="3"/>
      <c r="AII32" s="3"/>
      <c r="AIJ32" s="3"/>
      <c r="AIK32" s="3"/>
      <c r="AIL32" s="3"/>
      <c r="AIM32" s="3"/>
      <c r="AIN32" s="3"/>
      <c r="AIO32" s="3"/>
      <c r="AIP32" s="3"/>
      <c r="AIQ32" s="3"/>
      <c r="AIR32" s="3"/>
      <c r="AIS32" s="3"/>
      <c r="AIT32" s="3"/>
      <c r="AIU32" s="3"/>
      <c r="AIV32" s="3"/>
      <c r="AIW32" s="3"/>
      <c r="AIX32" s="3"/>
      <c r="AIY32" s="3"/>
      <c r="AIZ32" s="3"/>
      <c r="AJA32" s="3"/>
      <c r="AJB32" s="3"/>
      <c r="AJC32" s="3"/>
      <c r="AJD32" s="3"/>
      <c r="AJE32" s="3"/>
      <c r="AJF32" s="3"/>
      <c r="AJG32" s="3"/>
      <c r="AJH32" s="3"/>
      <c r="AJI32" s="3"/>
      <c r="AJJ32" s="3"/>
      <c r="AJK32" s="3"/>
      <c r="AJL32" s="3"/>
      <c r="AJM32" s="3"/>
      <c r="AJN32" s="3"/>
      <c r="AJO32" s="3"/>
      <c r="AJP32" s="3"/>
      <c r="AJQ32" s="3"/>
      <c r="AJR32" s="3"/>
      <c r="AJS32" s="3"/>
      <c r="AJT32" s="3"/>
      <c r="AJU32" s="3"/>
      <c r="AJV32" s="3"/>
      <c r="AJW32" s="3"/>
      <c r="AJX32" s="3"/>
      <c r="AJY32" s="3"/>
      <c r="AJZ32" s="3"/>
      <c r="AKA32" s="3"/>
      <c r="AKB32" s="3"/>
      <c r="AKC32" s="3"/>
      <c r="AKD32" s="3"/>
      <c r="AKE32" s="3"/>
      <c r="AKF32" s="3"/>
      <c r="AKG32" s="3"/>
      <c r="AKH32" s="3"/>
      <c r="AKI32" s="3"/>
      <c r="AKJ32" s="3"/>
      <c r="AKK32" s="3"/>
      <c r="AKL32" s="3"/>
      <c r="AKM32" s="3"/>
      <c r="AKN32" s="3"/>
      <c r="AKO32" s="3"/>
      <c r="AKP32" s="3"/>
      <c r="AKQ32" s="3"/>
      <c r="AKR32" s="3"/>
      <c r="AKS32" s="3"/>
      <c r="AKT32" s="3"/>
      <c r="AKU32" s="3"/>
      <c r="AKV32" s="3"/>
      <c r="AKW32" s="3"/>
      <c r="AKX32" s="3"/>
      <c r="AKY32" s="3"/>
      <c r="AKZ32" s="3"/>
      <c r="ALA32" s="3"/>
      <c r="ALB32" s="3"/>
      <c r="ALC32" s="3"/>
      <c r="ALD32" s="3"/>
      <c r="ALE32" s="3"/>
      <c r="ALF32" s="3"/>
      <c r="ALG32" s="3"/>
      <c r="ALH32" s="3"/>
      <c r="ALI32" s="3"/>
      <c r="ALJ32" s="3"/>
      <c r="ALK32" s="3"/>
      <c r="ALL32" s="3"/>
      <c r="ALM32" s="3"/>
      <c r="ALN32" s="3"/>
      <c r="ALO32" s="3"/>
      <c r="ALP32" s="3"/>
      <c r="ALQ32" s="3"/>
      <c r="ALR32" s="3"/>
      <c r="ALS32" s="3"/>
      <c r="ALT32" s="3"/>
      <c r="ALU32" s="3"/>
      <c r="ALV32" s="3"/>
      <c r="ALW32" s="3"/>
      <c r="ALX32" s="3"/>
      <c r="ALY32" s="3"/>
      <c r="ALZ32" s="3"/>
      <c r="AMA32" s="3"/>
      <c r="AMB32" s="3"/>
      <c r="AMC32" s="3"/>
      <c r="AMD32" s="3"/>
      <c r="AME32" s="3"/>
      <c r="AMF32" s="3"/>
      <c r="AMG32" s="3"/>
      <c r="AMH32" s="3"/>
      <c r="AMI32" s="3"/>
      <c r="AMJ32" s="3"/>
      <c r="AMK32" s="3"/>
      <c r="AML32" s="3"/>
      <c r="AMM32" s="3"/>
      <c r="AMN32" s="3"/>
      <c r="AMO32" s="3"/>
      <c r="AMP32" s="3"/>
      <c r="AMQ32" s="3"/>
      <c r="AMR32" s="3"/>
      <c r="AMS32" s="3"/>
      <c r="AMT32" s="3"/>
      <c r="AMU32" s="3"/>
      <c r="AMV32" s="3"/>
      <c r="AMW32" s="3"/>
      <c r="AMX32" s="3"/>
      <c r="AMY32" s="3"/>
      <c r="AMZ32" s="3"/>
      <c r="ANA32" s="3"/>
      <c r="ANB32" s="3"/>
      <c r="ANC32" s="3"/>
      <c r="AND32" s="3"/>
      <c r="ANE32" s="3"/>
      <c r="ANF32" s="3"/>
      <c r="ANG32" s="3"/>
      <c r="ANH32" s="3"/>
      <c r="ANI32" s="3"/>
      <c r="ANJ32" s="3"/>
      <c r="ANK32" s="3"/>
      <c r="ANL32" s="3"/>
      <c r="ANM32" s="3"/>
      <c r="ANN32" s="3"/>
      <c r="ANO32" s="3"/>
      <c r="ANP32" s="3"/>
      <c r="ANQ32" s="3"/>
      <c r="ANR32" s="3"/>
      <c r="ANS32" s="3"/>
      <c r="ANT32" s="3"/>
      <c r="ANU32" s="3"/>
      <c r="ANV32" s="3"/>
      <c r="ANW32" s="3"/>
      <c r="ANX32" s="3"/>
      <c r="ANY32" s="3"/>
      <c r="ANZ32" s="3"/>
      <c r="AOA32" s="3"/>
      <c r="AOB32" s="3"/>
      <c r="AOC32" s="3"/>
      <c r="AOD32" s="3"/>
      <c r="AOE32" s="3"/>
      <c r="AOF32" s="3"/>
      <c r="AOG32" s="3"/>
      <c r="AOH32" s="3"/>
      <c r="AOI32" s="3"/>
      <c r="AOJ32" s="3"/>
      <c r="AOK32" s="3"/>
      <c r="AOL32" s="3"/>
      <c r="AOM32" s="3"/>
      <c r="AON32" s="3"/>
      <c r="AOO32" s="3"/>
      <c r="AOP32" s="3"/>
      <c r="AOQ32" s="3"/>
      <c r="AOR32" s="3"/>
      <c r="AOS32" s="3"/>
      <c r="AOT32" s="3"/>
      <c r="AOU32" s="3"/>
      <c r="AOV32" s="3"/>
      <c r="AOW32" s="3"/>
      <c r="AOX32" s="3"/>
      <c r="AOY32" s="3"/>
      <c r="AOZ32" s="3"/>
      <c r="APA32" s="3"/>
      <c r="APB32" s="3"/>
      <c r="APC32" s="3"/>
      <c r="APD32" s="3"/>
      <c r="APE32" s="3"/>
      <c r="APF32" s="3"/>
      <c r="APG32" s="3"/>
      <c r="APH32" s="3"/>
      <c r="API32" s="3"/>
      <c r="APJ32" s="3"/>
      <c r="APK32" s="3"/>
      <c r="APL32" s="3"/>
      <c r="APM32" s="3"/>
      <c r="APN32" s="3"/>
      <c r="APO32" s="3"/>
      <c r="APP32" s="3"/>
      <c r="APQ32" s="3"/>
      <c r="APR32" s="3"/>
      <c r="APS32" s="3"/>
      <c r="APT32" s="3"/>
      <c r="APU32" s="3"/>
      <c r="APV32" s="3"/>
      <c r="APW32" s="3"/>
      <c r="APX32" s="3"/>
      <c r="APY32" s="3"/>
      <c r="APZ32" s="3"/>
      <c r="AQA32" s="3"/>
      <c r="AQB32" s="3"/>
      <c r="AQC32" s="3"/>
      <c r="AQD32" s="3"/>
      <c r="AQE32" s="3"/>
      <c r="AQF32" s="3"/>
      <c r="AQG32" s="3"/>
      <c r="AQH32" s="3"/>
      <c r="AQI32" s="3"/>
      <c r="AQJ32" s="3"/>
      <c r="AQK32" s="3"/>
      <c r="AQL32" s="3"/>
      <c r="AQM32" s="3"/>
      <c r="AQN32" s="3"/>
      <c r="AQO32" s="3"/>
      <c r="AQP32" s="3"/>
      <c r="AQQ32" s="3"/>
      <c r="AQR32" s="3"/>
      <c r="AQS32" s="3"/>
      <c r="AQT32" s="3"/>
      <c r="AQU32" s="3"/>
      <c r="AQV32" s="3"/>
      <c r="AQW32" s="3"/>
      <c r="AQX32" s="3"/>
      <c r="AQY32" s="3"/>
      <c r="AQZ32" s="3"/>
      <c r="ARA32" s="3"/>
      <c r="ARB32" s="3"/>
      <c r="ARC32" s="3"/>
      <c r="ARD32" s="3"/>
      <c r="ARE32" s="3"/>
      <c r="ARF32" s="3"/>
      <c r="ARG32" s="3"/>
      <c r="ARH32" s="3"/>
      <c r="ARI32" s="3"/>
      <c r="ARJ32" s="3"/>
      <c r="ARK32" s="3"/>
      <c r="ARL32" s="3"/>
      <c r="ARM32" s="3"/>
      <c r="ARN32" s="3"/>
      <c r="ARO32" s="3"/>
      <c r="ARP32" s="3"/>
      <c r="ARQ32" s="3"/>
      <c r="ARR32" s="3"/>
      <c r="ARS32" s="3"/>
      <c r="ART32" s="3"/>
      <c r="ARU32" s="3"/>
      <c r="ARV32" s="3"/>
      <c r="ARW32" s="3"/>
      <c r="ARX32" s="3"/>
      <c r="ARY32" s="3"/>
      <c r="ARZ32" s="3"/>
      <c r="ASA32" s="3"/>
      <c r="ASB32" s="3"/>
      <c r="ASC32" s="3"/>
      <c r="ASD32" s="3"/>
      <c r="ASE32" s="3"/>
      <c r="ASF32" s="3"/>
      <c r="ASG32" s="3"/>
      <c r="ASH32" s="3"/>
      <c r="ASI32" s="3"/>
      <c r="ASJ32" s="3"/>
      <c r="ASK32" s="3"/>
      <c r="ASL32" s="3"/>
      <c r="ASM32" s="3"/>
      <c r="ASN32" s="3"/>
      <c r="ASO32" s="3"/>
      <c r="ASP32" s="3"/>
      <c r="ASQ32" s="3"/>
      <c r="ASR32" s="3"/>
      <c r="ASS32" s="3"/>
      <c r="AST32" s="3"/>
      <c r="ASU32" s="3"/>
      <c r="ASV32" s="3"/>
      <c r="ASW32" s="3"/>
      <c r="ASX32" s="3"/>
      <c r="ASY32" s="3"/>
      <c r="ASZ32" s="3"/>
      <c r="ATA32" s="3"/>
      <c r="ATB32" s="3"/>
      <c r="ATC32" s="3"/>
      <c r="ATD32" s="3"/>
      <c r="ATE32" s="3"/>
      <c r="ATF32" s="3"/>
      <c r="ATG32" s="3"/>
      <c r="ATH32" s="3"/>
      <c r="ATI32" s="3"/>
      <c r="ATJ32" s="3"/>
      <c r="ATK32" s="3"/>
      <c r="ATL32" s="3"/>
      <c r="ATM32" s="3"/>
      <c r="ATN32" s="3"/>
      <c r="ATO32" s="3"/>
      <c r="ATP32" s="3"/>
      <c r="ATQ32" s="3"/>
      <c r="ATR32" s="3"/>
      <c r="ATS32" s="3"/>
      <c r="ATT32" s="3"/>
      <c r="ATU32" s="3"/>
      <c r="ATV32" s="3"/>
      <c r="ATW32" s="3"/>
      <c r="ATX32" s="3"/>
      <c r="ATY32" s="3"/>
      <c r="ATZ32" s="3"/>
      <c r="AUA32" s="3"/>
      <c r="AUB32" s="3"/>
      <c r="AUC32" s="3"/>
      <c r="AUD32" s="3"/>
      <c r="AUE32" s="3"/>
      <c r="AUF32" s="3"/>
      <c r="AUG32" s="3"/>
      <c r="AUH32" s="3"/>
      <c r="AUI32" s="3"/>
      <c r="AUJ32" s="3"/>
      <c r="AUK32" s="3"/>
      <c r="AUL32" s="3"/>
      <c r="AUM32" s="3"/>
      <c r="AUN32" s="3"/>
      <c r="AUO32" s="3"/>
      <c r="AUP32" s="3"/>
      <c r="AUQ32" s="3"/>
      <c r="AUR32" s="3"/>
      <c r="AUS32" s="3"/>
      <c r="AUT32" s="3"/>
      <c r="AUU32" s="3"/>
      <c r="AUV32" s="3"/>
      <c r="AUW32" s="3"/>
      <c r="AUX32" s="3"/>
      <c r="AUY32" s="3"/>
      <c r="AUZ32" s="3"/>
      <c r="AVA32" s="3"/>
      <c r="AVB32" s="3"/>
      <c r="AVC32" s="3"/>
      <c r="AVD32" s="3"/>
      <c r="AVE32" s="3"/>
      <c r="AVF32" s="3"/>
      <c r="AVG32" s="3"/>
      <c r="AVH32" s="3"/>
      <c r="AVI32" s="3"/>
      <c r="AVJ32" s="3"/>
      <c r="AVK32" s="3"/>
      <c r="AVL32" s="3"/>
      <c r="AVM32" s="3"/>
      <c r="AVN32" s="3"/>
      <c r="AVO32" s="3"/>
      <c r="AVP32" s="3"/>
      <c r="AVQ32" s="3"/>
      <c r="AVR32" s="3"/>
      <c r="AVS32" s="3"/>
      <c r="AVT32" s="3"/>
      <c r="AVU32" s="3"/>
      <c r="AVV32" s="3"/>
      <c r="AVW32" s="3"/>
      <c r="AVX32" s="3"/>
      <c r="AVY32" s="3"/>
      <c r="AVZ32" s="3"/>
      <c r="AWA32" s="3"/>
      <c r="AWB32" s="3"/>
      <c r="AWC32" s="3"/>
      <c r="AWD32" s="3"/>
      <c r="AWE32" s="3"/>
      <c r="AWF32" s="3"/>
      <c r="AWG32" s="3"/>
      <c r="AWH32" s="3"/>
      <c r="AWI32" s="3"/>
      <c r="AWJ32" s="3"/>
      <c r="AWK32" s="3"/>
      <c r="AWL32" s="3"/>
      <c r="AWM32" s="3"/>
      <c r="AWN32" s="3"/>
      <c r="AWO32" s="3"/>
      <c r="AWP32" s="3"/>
      <c r="AWQ32" s="3"/>
      <c r="AWR32" s="3"/>
      <c r="AWS32" s="3"/>
      <c r="AWT32" s="3"/>
      <c r="AWU32" s="3"/>
      <c r="AWV32" s="3"/>
      <c r="AWW32" s="3"/>
      <c r="AWX32" s="3"/>
      <c r="AWY32" s="3"/>
      <c r="AWZ32" s="3"/>
      <c r="AXA32" s="3"/>
      <c r="AXB32" s="3"/>
      <c r="AXC32" s="3"/>
      <c r="AXD32" s="3"/>
      <c r="AXE32" s="3"/>
      <c r="AXF32" s="3"/>
      <c r="AXG32" s="3"/>
      <c r="AXH32" s="3"/>
      <c r="AXI32" s="3"/>
      <c r="AXJ32" s="3"/>
      <c r="AXK32" s="3"/>
      <c r="AXL32" s="3"/>
      <c r="AXM32" s="3"/>
      <c r="AXN32" s="3"/>
      <c r="AXO32" s="3"/>
      <c r="AXP32" s="3"/>
      <c r="AXQ32" s="3"/>
      <c r="AXR32" s="3"/>
      <c r="AXS32" s="3"/>
      <c r="AXT32" s="3"/>
      <c r="AXU32" s="3"/>
      <c r="AXV32" s="3"/>
      <c r="AXW32" s="3"/>
      <c r="AXX32" s="3"/>
      <c r="AXY32" s="3"/>
      <c r="AXZ32" s="3"/>
      <c r="AYA32" s="3"/>
      <c r="AYB32" s="3"/>
      <c r="AYC32" s="3"/>
      <c r="AYD32" s="3"/>
      <c r="AYE32" s="3"/>
      <c r="AYF32" s="3"/>
      <c r="AYG32" s="3"/>
      <c r="AYH32" s="3"/>
      <c r="AYI32" s="3"/>
      <c r="AYJ32" s="3"/>
      <c r="AYK32" s="3"/>
      <c r="AYL32" s="3"/>
      <c r="AYM32" s="3"/>
      <c r="AYN32" s="3"/>
      <c r="AYO32" s="3"/>
      <c r="AYP32" s="3"/>
      <c r="AYQ32" s="3"/>
      <c r="AYR32" s="3"/>
      <c r="AYS32" s="3"/>
      <c r="AYT32" s="3"/>
      <c r="AYU32" s="3"/>
      <c r="AYV32" s="3"/>
      <c r="AYW32" s="3"/>
      <c r="AYX32" s="3"/>
      <c r="AYY32" s="3"/>
      <c r="AYZ32" s="3"/>
      <c r="AZA32" s="3"/>
      <c r="AZB32" s="3"/>
      <c r="AZC32" s="3"/>
      <c r="AZD32" s="3"/>
      <c r="AZE32" s="3"/>
      <c r="AZF32" s="3"/>
      <c r="AZG32" s="3"/>
      <c r="AZH32" s="3"/>
      <c r="AZI32" s="3"/>
      <c r="AZJ32" s="3"/>
      <c r="AZK32" s="3"/>
      <c r="AZL32" s="3"/>
      <c r="AZM32" s="3"/>
      <c r="AZN32" s="3"/>
      <c r="AZO32" s="3"/>
      <c r="AZP32" s="3"/>
      <c r="AZQ32" s="3"/>
      <c r="AZR32" s="3"/>
      <c r="AZS32" s="3"/>
      <c r="AZT32" s="3"/>
      <c r="AZU32" s="3"/>
      <c r="AZV32" s="3"/>
      <c r="AZW32" s="3"/>
      <c r="AZX32" s="3"/>
      <c r="AZY32" s="3"/>
      <c r="AZZ32" s="3"/>
      <c r="BAA32" s="3"/>
      <c r="BAB32" s="3"/>
      <c r="BAC32" s="3"/>
      <c r="BAD32" s="3"/>
      <c r="BAE32" s="3"/>
      <c r="BAF32" s="3"/>
      <c r="BAG32" s="3"/>
      <c r="BAH32" s="3"/>
      <c r="BAI32" s="3"/>
      <c r="BAJ32" s="3"/>
      <c r="BAK32" s="3"/>
      <c r="BAL32" s="3"/>
      <c r="BAM32" s="3"/>
      <c r="BAN32" s="3"/>
      <c r="BAO32" s="3"/>
      <c r="BAP32" s="3"/>
      <c r="BAQ32" s="3"/>
      <c r="BAR32" s="3"/>
      <c r="BAS32" s="3"/>
      <c r="BAT32" s="3"/>
      <c r="BAU32" s="3"/>
      <c r="BAV32" s="3"/>
      <c r="BAW32" s="3"/>
      <c r="BAX32" s="3"/>
      <c r="BAY32" s="3"/>
      <c r="BAZ32" s="3"/>
      <c r="BBA32" s="3"/>
      <c r="BBB32" s="3"/>
      <c r="BBC32" s="3"/>
      <c r="BBD32" s="3"/>
      <c r="BBE32" s="3"/>
      <c r="BBF32" s="3"/>
      <c r="BBG32" s="3"/>
      <c r="BBH32" s="3"/>
      <c r="BBI32" s="3"/>
      <c r="BBJ32" s="3"/>
      <c r="BBK32" s="3"/>
      <c r="BBL32" s="3"/>
      <c r="BBM32" s="3"/>
      <c r="BBN32" s="3"/>
      <c r="BBO32" s="3"/>
      <c r="BBP32" s="3"/>
      <c r="BBQ32" s="3"/>
      <c r="BBR32" s="3"/>
      <c r="BBS32" s="3"/>
      <c r="BBT32" s="3"/>
      <c r="BBU32" s="3"/>
      <c r="BBV32" s="3"/>
      <c r="BBW32" s="3"/>
      <c r="BBX32" s="3"/>
      <c r="BBY32" s="3"/>
      <c r="BBZ32" s="3"/>
      <c r="BCA32" s="3"/>
      <c r="BCB32" s="3"/>
      <c r="BCC32" s="3"/>
      <c r="BCD32" s="3"/>
      <c r="BCE32" s="3"/>
      <c r="BCF32" s="3"/>
      <c r="BCG32" s="3"/>
      <c r="BCH32" s="3"/>
      <c r="BCI32" s="3"/>
      <c r="BCJ32" s="3"/>
      <c r="BCK32" s="3"/>
      <c r="BCL32" s="3"/>
      <c r="BCM32" s="3"/>
      <c r="BCN32" s="3"/>
      <c r="BCO32" s="3"/>
      <c r="BCP32" s="3"/>
      <c r="BCQ32" s="3"/>
      <c r="BCR32" s="3"/>
      <c r="BCS32" s="3"/>
      <c r="BCT32" s="3"/>
      <c r="BCU32" s="3"/>
      <c r="BCV32" s="3"/>
      <c r="BCW32" s="3"/>
      <c r="BCX32" s="3"/>
      <c r="BCY32" s="3"/>
      <c r="BCZ32" s="3"/>
      <c r="BDA32" s="3"/>
      <c r="BDB32" s="3"/>
      <c r="BDC32" s="3"/>
      <c r="BDD32" s="3"/>
      <c r="BDE32" s="3"/>
      <c r="BDF32" s="3"/>
      <c r="BDG32" s="3"/>
      <c r="BDH32" s="3"/>
      <c r="BDI32" s="3"/>
      <c r="BDJ32" s="3"/>
      <c r="BDK32" s="3"/>
      <c r="BDL32" s="3"/>
      <c r="BDM32" s="3"/>
      <c r="BDN32" s="3"/>
      <c r="BDO32" s="3"/>
      <c r="BDP32" s="3"/>
      <c r="BDQ32" s="3"/>
      <c r="BDR32" s="3"/>
      <c r="BDS32" s="3"/>
      <c r="BDT32" s="3"/>
      <c r="BDU32" s="3"/>
      <c r="BDV32" s="3"/>
      <c r="BDW32" s="3"/>
      <c r="BDX32" s="3"/>
      <c r="BDY32" s="3"/>
      <c r="BDZ32" s="3"/>
      <c r="BEA32" s="3"/>
      <c r="BEB32" s="3"/>
      <c r="BEC32" s="3"/>
      <c r="BED32" s="3"/>
      <c r="BEE32" s="3"/>
      <c r="BEF32" s="3"/>
      <c r="BEG32" s="3"/>
      <c r="BEH32" s="3"/>
      <c r="BEI32" s="3"/>
      <c r="BEJ32" s="3"/>
      <c r="BEK32" s="3"/>
      <c r="BEL32" s="3"/>
      <c r="BEM32" s="3"/>
      <c r="BEN32" s="3"/>
      <c r="BEO32" s="3"/>
      <c r="BEP32" s="3"/>
      <c r="BEQ32" s="3"/>
      <c r="BER32" s="3"/>
      <c r="BES32" s="3"/>
      <c r="BET32" s="3"/>
      <c r="BEU32" s="3"/>
      <c r="BEV32" s="3"/>
      <c r="BEW32" s="3"/>
      <c r="BEX32" s="3"/>
      <c r="BEY32" s="3"/>
      <c r="BEZ32" s="3"/>
      <c r="BFA32" s="3"/>
      <c r="BFB32" s="3"/>
      <c r="BFC32" s="3"/>
      <c r="BFD32" s="3"/>
      <c r="BFE32" s="3"/>
      <c r="BFF32" s="3"/>
      <c r="BFG32" s="3"/>
      <c r="BFH32" s="3"/>
      <c r="BFI32" s="3"/>
      <c r="BFJ32" s="3"/>
      <c r="BFK32" s="3"/>
      <c r="BFL32" s="3"/>
      <c r="BFM32" s="3"/>
      <c r="BFN32" s="3"/>
      <c r="BFO32" s="3"/>
      <c r="BFP32" s="3"/>
      <c r="BFQ32" s="3"/>
      <c r="BFR32" s="3"/>
      <c r="BFS32" s="3"/>
      <c r="BFT32" s="3"/>
      <c r="BFU32" s="3"/>
      <c r="BFV32" s="3"/>
      <c r="BFW32" s="3"/>
      <c r="BFX32" s="3"/>
      <c r="BFY32" s="3"/>
      <c r="BFZ32" s="3"/>
      <c r="BGA32" s="3"/>
      <c r="BGB32" s="3"/>
      <c r="BGC32" s="3"/>
      <c r="BGD32" s="3"/>
      <c r="BGE32" s="3"/>
      <c r="BGF32" s="3"/>
      <c r="BGG32" s="3"/>
      <c r="BGH32" s="3"/>
      <c r="BGI32" s="3"/>
      <c r="BGJ32" s="3"/>
      <c r="BGK32" s="3"/>
      <c r="BGL32" s="3"/>
      <c r="BGM32" s="3"/>
      <c r="BGN32" s="3"/>
      <c r="BGO32" s="3"/>
      <c r="BGP32" s="3"/>
      <c r="BGQ32" s="3"/>
      <c r="BGR32" s="3"/>
      <c r="BGS32" s="3"/>
      <c r="BGT32" s="3"/>
      <c r="BGU32" s="3"/>
      <c r="BGV32" s="3"/>
      <c r="BGW32" s="3"/>
      <c r="BGX32" s="3"/>
      <c r="BGY32" s="3"/>
      <c r="BGZ32" s="3"/>
      <c r="BHA32" s="3"/>
      <c r="BHB32" s="3"/>
      <c r="BHC32" s="3"/>
      <c r="BHD32" s="3"/>
      <c r="BHE32" s="3"/>
      <c r="BHF32" s="3"/>
      <c r="BHG32" s="3"/>
      <c r="BHH32" s="3"/>
      <c r="BHI32" s="3"/>
      <c r="BHJ32" s="3"/>
      <c r="BHK32" s="3"/>
      <c r="BHL32" s="3"/>
      <c r="BHM32" s="3"/>
      <c r="BHN32" s="3"/>
      <c r="BHO32" s="3"/>
      <c r="BHP32" s="3"/>
      <c r="BHQ32" s="3"/>
      <c r="BHR32" s="3"/>
      <c r="BHS32" s="3"/>
      <c r="BHT32" s="3"/>
      <c r="BHU32" s="3"/>
      <c r="BHV32" s="3"/>
      <c r="BHW32" s="3"/>
      <c r="BHX32" s="3"/>
      <c r="BHY32" s="3"/>
      <c r="BHZ32" s="3"/>
      <c r="BIA32" s="3"/>
      <c r="BIB32" s="3"/>
      <c r="BIC32" s="3"/>
      <c r="BID32" s="3"/>
      <c r="BIE32" s="3"/>
      <c r="BIF32" s="3"/>
      <c r="BIG32" s="3"/>
      <c r="BIH32" s="3"/>
      <c r="BII32" s="3"/>
      <c r="BIJ32" s="3"/>
      <c r="BIK32" s="3"/>
      <c r="BIL32" s="3"/>
      <c r="BIM32" s="3"/>
      <c r="BIN32" s="3"/>
      <c r="BIO32" s="3"/>
      <c r="BIP32" s="3"/>
      <c r="BIQ32" s="3"/>
      <c r="BIR32" s="3"/>
      <c r="BIS32" s="3"/>
      <c r="BIT32" s="3"/>
      <c r="BIU32" s="3"/>
      <c r="BIV32" s="3"/>
      <c r="BIW32" s="3"/>
      <c r="BIX32" s="3"/>
      <c r="BIY32" s="3"/>
      <c r="BIZ32" s="3"/>
      <c r="BJA32" s="3"/>
      <c r="BJB32" s="3"/>
      <c r="BJC32" s="3"/>
      <c r="BJD32" s="3"/>
      <c r="BJE32" s="3"/>
      <c r="BJF32" s="3"/>
      <c r="BJG32" s="3"/>
      <c r="BJH32" s="3"/>
      <c r="BJI32" s="3"/>
      <c r="BJJ32" s="3"/>
      <c r="BJK32" s="3"/>
      <c r="BJL32" s="3"/>
      <c r="BJM32" s="3"/>
      <c r="BJN32" s="3"/>
      <c r="BJO32" s="3"/>
      <c r="BJP32" s="3"/>
      <c r="BJQ32" s="3"/>
      <c r="BJR32" s="3"/>
      <c r="BJS32" s="3"/>
      <c r="BJT32" s="3"/>
      <c r="BJU32" s="3"/>
      <c r="BJV32" s="3"/>
      <c r="BJW32" s="3"/>
      <c r="BJX32" s="3"/>
      <c r="BJY32" s="3"/>
      <c r="BJZ32" s="3"/>
      <c r="BKA32" s="3"/>
      <c r="BKB32" s="3"/>
      <c r="BKC32" s="3"/>
      <c r="BKD32" s="3"/>
      <c r="BKE32" s="3"/>
      <c r="BKF32" s="3"/>
      <c r="BKG32" s="3"/>
      <c r="BKH32" s="3"/>
      <c r="BKI32" s="3"/>
      <c r="BKJ32" s="3"/>
      <c r="BKK32" s="3"/>
      <c r="BKL32" s="3"/>
      <c r="BKM32" s="3"/>
      <c r="BKN32" s="3"/>
      <c r="BKO32" s="3"/>
      <c r="BKP32" s="3"/>
      <c r="BKQ32" s="3"/>
      <c r="BKR32" s="3"/>
      <c r="BKS32" s="3"/>
      <c r="BKT32" s="3"/>
      <c r="BKU32" s="3"/>
      <c r="BKV32" s="3"/>
      <c r="BKW32" s="3"/>
      <c r="BKX32" s="3"/>
      <c r="BKY32" s="3"/>
      <c r="BKZ32" s="3"/>
      <c r="BLA32" s="3"/>
      <c r="BLB32" s="3"/>
      <c r="BLC32" s="3"/>
      <c r="BLD32" s="3"/>
      <c r="BLE32" s="3"/>
      <c r="BLF32" s="3"/>
      <c r="BLG32" s="3"/>
      <c r="BLH32" s="3"/>
      <c r="BLI32" s="3"/>
      <c r="BLJ32" s="3"/>
      <c r="BLK32" s="3"/>
      <c r="BLL32" s="3"/>
      <c r="BLM32" s="3"/>
      <c r="BLN32" s="3"/>
      <c r="BLO32" s="3"/>
      <c r="BLP32" s="3"/>
      <c r="BLQ32" s="3"/>
      <c r="BLR32" s="3"/>
      <c r="BLS32" s="3"/>
      <c r="BLT32" s="3"/>
      <c r="BLU32" s="3"/>
      <c r="BLV32" s="3"/>
      <c r="BLW32" s="3"/>
      <c r="BLX32" s="3"/>
      <c r="BLY32" s="3"/>
      <c r="BLZ32" s="3"/>
      <c r="BMA32" s="3"/>
      <c r="BMB32" s="3"/>
      <c r="BMC32" s="3"/>
      <c r="BMD32" s="3"/>
      <c r="BME32" s="3"/>
      <c r="BMF32" s="3"/>
      <c r="BMG32" s="3"/>
      <c r="BMH32" s="3"/>
      <c r="BMI32" s="3"/>
      <c r="BMJ32" s="3"/>
      <c r="BMK32" s="3"/>
      <c r="BML32" s="3"/>
      <c r="BMM32" s="3"/>
      <c r="BMN32" s="3"/>
      <c r="BMO32" s="3"/>
      <c r="BMP32" s="3"/>
      <c r="BMQ32" s="3"/>
      <c r="BMR32" s="3"/>
      <c r="BMS32" s="3"/>
      <c r="BMT32" s="3"/>
      <c r="BMU32" s="3"/>
      <c r="BMV32" s="3"/>
      <c r="BMW32" s="3"/>
      <c r="BMX32" s="3"/>
      <c r="BMY32" s="3"/>
      <c r="BMZ32" s="3"/>
      <c r="BNA32" s="3"/>
      <c r="BNB32" s="3"/>
      <c r="BNC32" s="3"/>
      <c r="BND32" s="3"/>
      <c r="BNE32" s="3"/>
      <c r="BNF32" s="3"/>
      <c r="BNG32" s="3"/>
      <c r="BNH32" s="3"/>
      <c r="BNI32" s="3"/>
      <c r="BNJ32" s="3"/>
      <c r="BNK32" s="3"/>
      <c r="BNL32" s="3"/>
      <c r="BNM32" s="3"/>
      <c r="BNN32" s="3"/>
      <c r="BNO32" s="3"/>
      <c r="BNP32" s="3"/>
      <c r="BNQ32" s="3"/>
      <c r="BNR32" s="3"/>
      <c r="BNS32" s="3"/>
      <c r="BNT32" s="3"/>
      <c r="BNU32" s="3"/>
      <c r="BNV32" s="3"/>
      <c r="BNW32" s="3"/>
      <c r="BNX32" s="3"/>
      <c r="BNY32" s="3"/>
      <c r="BNZ32" s="3"/>
      <c r="BOA32" s="3"/>
      <c r="BOB32" s="3"/>
      <c r="BOC32" s="3"/>
      <c r="BOD32" s="3"/>
      <c r="BOE32" s="3"/>
      <c r="BOF32" s="3"/>
      <c r="BOG32" s="3"/>
      <c r="BOH32" s="3"/>
      <c r="BOI32" s="3"/>
      <c r="BOJ32" s="3"/>
      <c r="BOK32" s="3"/>
      <c r="BOL32" s="3"/>
      <c r="BOM32" s="3"/>
      <c r="BON32" s="3"/>
      <c r="BOO32" s="3"/>
      <c r="BOP32" s="3"/>
      <c r="BOQ32" s="3"/>
      <c r="BOR32" s="3"/>
      <c r="BOS32" s="3"/>
      <c r="BOT32" s="3"/>
      <c r="BOU32" s="3"/>
      <c r="BOV32" s="3"/>
      <c r="BOW32" s="3"/>
      <c r="BOX32" s="3"/>
      <c r="BOY32" s="3"/>
      <c r="BOZ32" s="3"/>
      <c r="BPA32" s="3"/>
      <c r="BPB32" s="3"/>
      <c r="BPC32" s="3"/>
      <c r="BPD32" s="3"/>
      <c r="BPE32" s="3"/>
      <c r="BPF32" s="3"/>
      <c r="BPG32" s="3"/>
      <c r="BPH32" s="3"/>
      <c r="BPI32" s="3"/>
      <c r="BPJ32" s="3"/>
      <c r="BPK32" s="3"/>
      <c r="BPL32" s="3"/>
      <c r="BPM32" s="3"/>
      <c r="BPN32" s="3"/>
      <c r="BPO32" s="3"/>
      <c r="BPP32" s="3"/>
      <c r="BPQ32" s="3"/>
      <c r="BPR32" s="3"/>
      <c r="BPS32" s="3"/>
      <c r="BPT32" s="3"/>
      <c r="BPU32" s="3"/>
      <c r="BPV32" s="3"/>
      <c r="BPW32" s="3"/>
      <c r="BPX32" s="3"/>
      <c r="BPY32" s="3"/>
      <c r="BPZ32" s="3"/>
      <c r="BQA32" s="3"/>
      <c r="BQB32" s="3"/>
      <c r="BQC32" s="3"/>
      <c r="BQD32" s="3"/>
      <c r="BQE32" s="3"/>
      <c r="BQF32" s="3"/>
      <c r="BQG32" s="3"/>
      <c r="BQH32" s="3"/>
      <c r="BQI32" s="3"/>
      <c r="BQJ32" s="3"/>
      <c r="BQK32" s="3"/>
      <c r="BQL32" s="3"/>
      <c r="BQM32" s="3"/>
      <c r="BQN32" s="3"/>
      <c r="BQO32" s="3"/>
      <c r="BQP32" s="3"/>
      <c r="BQQ32" s="3"/>
      <c r="BQR32" s="3"/>
      <c r="BQS32" s="3"/>
      <c r="BQT32" s="3"/>
      <c r="BQU32" s="3"/>
      <c r="BQV32" s="3"/>
      <c r="BQW32" s="3"/>
      <c r="BQX32" s="3"/>
      <c r="BQY32" s="3"/>
      <c r="BQZ32" s="3"/>
      <c r="BRA32" s="3"/>
      <c r="BRB32" s="3"/>
      <c r="BRC32" s="3"/>
      <c r="BRD32" s="3"/>
      <c r="BRE32" s="3"/>
      <c r="BRF32" s="3"/>
      <c r="BRG32" s="3"/>
      <c r="BRH32" s="3"/>
      <c r="BRI32" s="3"/>
      <c r="BRJ32" s="3"/>
      <c r="BRK32" s="3"/>
      <c r="BRL32" s="3"/>
      <c r="BRM32" s="3"/>
      <c r="BRN32" s="3"/>
      <c r="BRO32" s="3"/>
      <c r="BRP32" s="3"/>
      <c r="BRQ32" s="3"/>
      <c r="BRR32" s="3"/>
      <c r="BRS32" s="3"/>
      <c r="BRT32" s="3"/>
      <c r="BRU32" s="3"/>
      <c r="BRV32" s="3"/>
      <c r="BRW32" s="3"/>
      <c r="BRX32" s="3"/>
      <c r="BRY32" s="3"/>
      <c r="BRZ32" s="3"/>
      <c r="BSA32" s="3"/>
      <c r="BSB32" s="3"/>
      <c r="BSC32" s="3"/>
      <c r="BSD32" s="3"/>
      <c r="BSE32" s="3"/>
      <c r="BSF32" s="3"/>
      <c r="BSG32" s="3"/>
      <c r="BSH32" s="3"/>
      <c r="BSI32" s="3"/>
      <c r="BSJ32" s="3"/>
      <c r="BSK32" s="3"/>
      <c r="BSL32" s="3"/>
      <c r="BSM32" s="3"/>
      <c r="BSN32" s="3"/>
      <c r="BSO32" s="3"/>
      <c r="BSP32" s="3"/>
      <c r="BSQ32" s="3"/>
      <c r="BSR32" s="3"/>
      <c r="BSS32" s="3"/>
      <c r="BST32" s="3"/>
      <c r="BSU32" s="3"/>
      <c r="BSV32" s="3"/>
      <c r="BSW32" s="3"/>
      <c r="BSX32" s="3"/>
      <c r="BSY32" s="3"/>
      <c r="BSZ32" s="3"/>
      <c r="BTA32" s="3"/>
      <c r="BTB32" s="3"/>
      <c r="BTC32" s="3"/>
      <c r="BTD32" s="3"/>
      <c r="BTE32" s="3"/>
      <c r="BTF32" s="3"/>
      <c r="BTG32" s="3"/>
      <c r="BTH32" s="3"/>
      <c r="BTI32" s="3"/>
      <c r="BTJ32" s="3"/>
      <c r="BTK32" s="3"/>
      <c r="BTL32" s="3"/>
      <c r="BTM32" s="3"/>
      <c r="BTN32" s="3"/>
      <c r="BTO32" s="3"/>
      <c r="BTP32" s="3"/>
      <c r="BTQ32" s="3"/>
      <c r="BTR32" s="3"/>
      <c r="BTS32" s="3"/>
      <c r="BTT32" s="3"/>
      <c r="BTU32" s="3"/>
      <c r="BTV32" s="3"/>
      <c r="BTW32" s="3"/>
      <c r="BTX32" s="3"/>
      <c r="BTY32" s="3"/>
      <c r="BTZ32" s="3"/>
      <c r="BUA32" s="3"/>
      <c r="BUB32" s="3"/>
      <c r="BUC32" s="3"/>
      <c r="BUD32" s="3"/>
      <c r="BUE32" s="3"/>
      <c r="BUF32" s="3"/>
      <c r="BUG32" s="3"/>
      <c r="BUH32" s="3"/>
      <c r="BUI32" s="3"/>
      <c r="BUJ32" s="3"/>
      <c r="BUK32" s="3"/>
      <c r="BUL32" s="3"/>
      <c r="BUM32" s="3"/>
      <c r="BUN32" s="3"/>
      <c r="BUO32" s="3"/>
      <c r="BUP32" s="3"/>
      <c r="BUQ32" s="3"/>
      <c r="BUR32" s="3"/>
      <c r="BUS32" s="3"/>
      <c r="BUT32" s="3"/>
      <c r="BUU32" s="3"/>
      <c r="BUV32" s="3"/>
      <c r="BUW32" s="3"/>
      <c r="BUX32" s="3"/>
      <c r="BUY32" s="3"/>
      <c r="BUZ32" s="3"/>
      <c r="BVA32" s="3"/>
      <c r="BVB32" s="3"/>
      <c r="BVC32" s="3"/>
      <c r="BVD32" s="3"/>
      <c r="BVE32" s="3"/>
      <c r="BVF32" s="3"/>
      <c r="BVG32" s="3"/>
      <c r="BVH32" s="3"/>
      <c r="BVI32" s="3"/>
      <c r="BVJ32" s="3"/>
      <c r="BVK32" s="3"/>
      <c r="BVL32" s="3"/>
      <c r="BVM32" s="3"/>
      <c r="BVN32" s="3"/>
      <c r="BVO32" s="3"/>
      <c r="BVP32" s="3"/>
      <c r="BVQ32" s="3"/>
      <c r="BVR32" s="3"/>
      <c r="BVS32" s="3"/>
      <c r="BVT32" s="3"/>
      <c r="BVU32" s="3"/>
      <c r="BVV32" s="3"/>
      <c r="BVW32" s="3"/>
      <c r="BVX32" s="3"/>
      <c r="BVY32" s="3"/>
      <c r="BVZ32" s="3"/>
      <c r="BWA32" s="3"/>
      <c r="BWB32" s="3"/>
      <c r="BWC32" s="3"/>
      <c r="BWD32" s="3"/>
      <c r="BWE32" s="3"/>
      <c r="BWF32" s="3"/>
      <c r="BWG32" s="3"/>
      <c r="BWH32" s="3"/>
      <c r="BWI32" s="3"/>
      <c r="BWJ32" s="3"/>
      <c r="BWK32" s="3"/>
      <c r="BWL32" s="3"/>
      <c r="BWM32" s="3"/>
      <c r="BWN32" s="3"/>
      <c r="BWO32" s="3"/>
      <c r="BWP32" s="3"/>
      <c r="BWQ32" s="3"/>
      <c r="BWR32" s="3"/>
      <c r="BWS32" s="3"/>
      <c r="BWT32" s="3"/>
      <c r="BWU32" s="3"/>
      <c r="BWV32" s="3"/>
      <c r="BWW32" s="3"/>
      <c r="BWX32" s="3"/>
      <c r="BWY32" s="3"/>
      <c r="BWZ32" s="3"/>
      <c r="BXA32" s="3"/>
      <c r="BXB32" s="3"/>
      <c r="BXC32" s="3"/>
      <c r="BXD32" s="3"/>
      <c r="BXE32" s="3"/>
      <c r="BXF32" s="3"/>
      <c r="BXG32" s="3"/>
      <c r="BXH32" s="3"/>
      <c r="BXI32" s="3"/>
      <c r="BXJ32" s="3"/>
      <c r="BXK32" s="3"/>
      <c r="BXL32" s="3"/>
      <c r="BXM32" s="3"/>
      <c r="BXN32" s="3"/>
      <c r="BXO32" s="3"/>
      <c r="BXP32" s="3"/>
      <c r="BXQ32" s="3"/>
      <c r="BXR32" s="3"/>
      <c r="BXS32" s="3"/>
      <c r="BXT32" s="3"/>
      <c r="BXU32" s="3"/>
      <c r="BXV32" s="3"/>
      <c r="BXW32" s="3"/>
      <c r="BXX32" s="3"/>
      <c r="BXY32" s="3"/>
      <c r="BXZ32" s="3"/>
      <c r="BYA32" s="3"/>
      <c r="BYB32" s="3"/>
      <c r="BYC32" s="3"/>
      <c r="BYD32" s="3"/>
      <c r="BYE32" s="3"/>
      <c r="BYF32" s="3"/>
      <c r="BYG32" s="3"/>
      <c r="BYH32" s="3"/>
      <c r="BYI32" s="3"/>
      <c r="BYJ32" s="3"/>
      <c r="BYK32" s="3"/>
      <c r="BYL32" s="3"/>
      <c r="BYM32" s="3"/>
      <c r="BYN32" s="3"/>
      <c r="BYO32" s="3"/>
      <c r="BYP32" s="3"/>
      <c r="BYQ32" s="3"/>
      <c r="BYR32" s="3"/>
      <c r="BYS32" s="3"/>
      <c r="BYT32" s="3"/>
      <c r="BYU32" s="3"/>
      <c r="BYV32" s="3"/>
      <c r="BYW32" s="3"/>
      <c r="BYX32" s="3"/>
      <c r="BYY32" s="3"/>
      <c r="BYZ32" s="3"/>
      <c r="BZA32" s="3"/>
      <c r="BZB32" s="3"/>
      <c r="BZC32" s="3"/>
      <c r="BZD32" s="3"/>
      <c r="BZE32" s="3"/>
      <c r="BZF32" s="3"/>
      <c r="BZG32" s="3"/>
      <c r="BZH32" s="3"/>
      <c r="BZI32" s="3"/>
      <c r="BZJ32" s="3"/>
      <c r="BZK32" s="3"/>
      <c r="BZL32" s="3"/>
      <c r="BZM32" s="3"/>
      <c r="BZN32" s="3"/>
      <c r="BZO32" s="3"/>
      <c r="BZP32" s="3"/>
      <c r="BZQ32" s="3"/>
      <c r="BZR32" s="3"/>
      <c r="BZS32" s="3"/>
      <c r="BZT32" s="3"/>
      <c r="BZU32" s="3"/>
      <c r="BZV32" s="3"/>
      <c r="BZW32" s="3"/>
      <c r="BZX32" s="3"/>
      <c r="BZY32" s="3"/>
      <c r="BZZ32" s="3"/>
      <c r="CAA32" s="3"/>
      <c r="CAB32" s="3"/>
      <c r="CAC32" s="3"/>
      <c r="CAD32" s="3"/>
      <c r="CAE32" s="3"/>
      <c r="CAF32" s="3"/>
      <c r="CAG32" s="3"/>
      <c r="CAH32" s="3"/>
      <c r="CAI32" s="3"/>
      <c r="CAJ32" s="3"/>
      <c r="CAK32" s="3"/>
      <c r="CAL32" s="3"/>
      <c r="CAM32" s="3"/>
      <c r="CAN32" s="3"/>
      <c r="CAO32" s="3"/>
      <c r="CAP32" s="3"/>
      <c r="CAQ32" s="3"/>
      <c r="CAR32" s="3"/>
      <c r="CAS32" s="3"/>
      <c r="CAT32" s="3"/>
      <c r="CAU32" s="3"/>
      <c r="CAV32" s="3"/>
      <c r="CAW32" s="3"/>
      <c r="CAX32" s="3"/>
      <c r="CAY32" s="3"/>
      <c r="CAZ32" s="3"/>
      <c r="CBA32" s="3"/>
      <c r="CBB32" s="3"/>
      <c r="CBC32" s="3"/>
      <c r="CBD32" s="3"/>
      <c r="CBE32" s="3"/>
      <c r="CBF32" s="3"/>
      <c r="CBG32" s="3"/>
      <c r="CBH32" s="3"/>
      <c r="CBI32" s="3"/>
      <c r="CBJ32" s="3"/>
      <c r="CBK32" s="3"/>
      <c r="CBL32" s="3"/>
      <c r="CBM32" s="3"/>
      <c r="CBN32" s="3"/>
      <c r="CBO32" s="3"/>
      <c r="CBP32" s="3"/>
      <c r="CBQ32" s="3"/>
      <c r="CBR32" s="3"/>
      <c r="CBS32" s="3"/>
      <c r="CBT32" s="3"/>
      <c r="CBU32" s="3"/>
      <c r="CBV32" s="3"/>
      <c r="CBW32" s="3"/>
      <c r="CBX32" s="3"/>
      <c r="CBY32" s="3"/>
      <c r="CBZ32" s="3"/>
      <c r="CCA32" s="3"/>
      <c r="CCB32" s="3"/>
      <c r="CCC32" s="3"/>
      <c r="CCD32" s="3"/>
      <c r="CCE32" s="3"/>
      <c r="CCF32" s="3"/>
      <c r="CCG32" s="3"/>
      <c r="CCH32" s="3"/>
      <c r="CCI32" s="3"/>
      <c r="CCJ32" s="3"/>
      <c r="CCK32" s="3"/>
      <c r="CCL32" s="3"/>
      <c r="CCM32" s="3"/>
      <c r="CCN32" s="3"/>
      <c r="CCO32" s="3"/>
      <c r="CCP32" s="3"/>
      <c r="CCQ32" s="3"/>
      <c r="CCR32" s="3"/>
      <c r="CCS32" s="3"/>
      <c r="CCT32" s="3"/>
      <c r="CCU32" s="3"/>
      <c r="CCV32" s="3"/>
      <c r="CCW32" s="3"/>
      <c r="CCX32" s="3"/>
      <c r="CCY32" s="3"/>
      <c r="CCZ32" s="3"/>
      <c r="CDA32" s="3"/>
      <c r="CDB32" s="3"/>
      <c r="CDC32" s="3"/>
      <c r="CDD32" s="3"/>
      <c r="CDE32" s="3"/>
      <c r="CDF32" s="3"/>
      <c r="CDG32" s="3"/>
      <c r="CDH32" s="3"/>
      <c r="CDI32" s="3"/>
      <c r="CDJ32" s="3"/>
      <c r="CDK32" s="3"/>
      <c r="CDL32" s="3"/>
      <c r="CDM32" s="3"/>
      <c r="CDN32" s="3"/>
      <c r="CDO32" s="3"/>
      <c r="CDP32" s="3"/>
      <c r="CDQ32" s="3"/>
      <c r="CDR32" s="3"/>
      <c r="CDS32" s="3"/>
      <c r="CDT32" s="3"/>
      <c r="CDU32" s="3"/>
      <c r="CDV32" s="3"/>
      <c r="CDW32" s="3"/>
      <c r="CDX32" s="3"/>
      <c r="CDY32" s="3"/>
      <c r="CDZ32" s="3"/>
      <c r="CEA32" s="3"/>
      <c r="CEB32" s="3"/>
      <c r="CEC32" s="3"/>
      <c r="CED32" s="3"/>
      <c r="CEE32" s="3"/>
      <c r="CEF32" s="3"/>
      <c r="CEG32" s="3"/>
      <c r="CEH32" s="3"/>
      <c r="CEI32" s="3"/>
      <c r="CEJ32" s="3"/>
      <c r="CEK32" s="3"/>
      <c r="CEL32" s="3"/>
      <c r="CEM32" s="3"/>
      <c r="CEN32" s="3"/>
      <c r="CEO32" s="3"/>
      <c r="CEP32" s="3"/>
      <c r="CEQ32" s="3"/>
      <c r="CER32" s="3"/>
      <c r="CES32" s="3"/>
      <c r="CET32" s="3"/>
      <c r="CEU32" s="3"/>
      <c r="CEV32" s="3"/>
      <c r="CEW32" s="3"/>
      <c r="CEX32" s="3"/>
      <c r="CEY32" s="3"/>
      <c r="CEZ32" s="3"/>
      <c r="CFA32" s="3"/>
      <c r="CFB32" s="3"/>
      <c r="CFC32" s="3"/>
      <c r="CFD32" s="3"/>
      <c r="CFE32" s="3"/>
      <c r="CFF32" s="3"/>
      <c r="CFG32" s="3"/>
      <c r="CFH32" s="3"/>
      <c r="CFI32" s="3"/>
      <c r="CFJ32" s="3"/>
      <c r="CFK32" s="3"/>
      <c r="CFL32" s="3"/>
      <c r="CFM32" s="3"/>
      <c r="CFN32" s="3"/>
      <c r="CFO32" s="3"/>
      <c r="CFP32" s="3"/>
      <c r="CFQ32" s="3"/>
      <c r="CFR32" s="3"/>
      <c r="CFS32" s="3"/>
      <c r="CFT32" s="3"/>
      <c r="CFU32" s="3"/>
      <c r="CFV32" s="3"/>
      <c r="CFW32" s="3"/>
      <c r="CFX32" s="3"/>
      <c r="CFY32" s="3"/>
      <c r="CFZ32" s="3"/>
      <c r="CGA32" s="3"/>
      <c r="CGB32" s="3"/>
      <c r="CGC32" s="3"/>
      <c r="CGD32" s="3"/>
      <c r="CGE32" s="3"/>
      <c r="CGF32" s="3"/>
      <c r="CGG32" s="3"/>
      <c r="CGH32" s="3"/>
      <c r="CGI32" s="3"/>
      <c r="CGJ32" s="3"/>
      <c r="CGK32" s="3"/>
      <c r="CGL32" s="3"/>
      <c r="CGM32" s="3"/>
      <c r="CGN32" s="3"/>
      <c r="CGO32" s="3"/>
      <c r="CGP32" s="3"/>
      <c r="CGQ32" s="3"/>
      <c r="CGR32" s="3"/>
      <c r="CGS32" s="3"/>
      <c r="CGT32" s="3"/>
      <c r="CGU32" s="3"/>
      <c r="CGV32" s="3"/>
      <c r="CGW32" s="3"/>
      <c r="CGX32" s="3"/>
      <c r="CGY32" s="3"/>
      <c r="CGZ32" s="3"/>
      <c r="CHA32" s="3"/>
      <c r="CHB32" s="3"/>
      <c r="CHC32" s="3"/>
      <c r="CHD32" s="3"/>
      <c r="CHE32" s="3"/>
      <c r="CHF32" s="3"/>
      <c r="CHG32" s="3"/>
      <c r="CHH32" s="3"/>
      <c r="CHI32" s="3"/>
      <c r="CHJ32" s="3"/>
      <c r="CHK32" s="3"/>
      <c r="CHL32" s="3"/>
      <c r="CHM32" s="3"/>
      <c r="CHN32" s="3"/>
      <c r="CHO32" s="3"/>
      <c r="CHP32" s="3"/>
      <c r="CHQ32" s="3"/>
      <c r="CHR32" s="3"/>
      <c r="CHS32" s="3"/>
      <c r="CHT32" s="3"/>
      <c r="CHU32" s="3"/>
      <c r="CHV32" s="3"/>
      <c r="CHW32" s="3"/>
      <c r="CHX32" s="3"/>
      <c r="CHY32" s="3"/>
      <c r="CHZ32" s="3"/>
      <c r="CIA32" s="3"/>
      <c r="CIB32" s="3"/>
      <c r="CIC32" s="3"/>
      <c r="CID32" s="3"/>
      <c r="CIE32" s="3"/>
      <c r="CIF32" s="3"/>
      <c r="CIG32" s="3"/>
      <c r="CIH32" s="3"/>
      <c r="CII32" s="3"/>
      <c r="CIJ32" s="3"/>
      <c r="CIK32" s="3"/>
      <c r="CIL32" s="3"/>
      <c r="CIM32" s="3"/>
      <c r="CIN32" s="3"/>
      <c r="CIO32" s="3"/>
      <c r="CIP32" s="3"/>
      <c r="CIQ32" s="3"/>
      <c r="CIR32" s="3"/>
      <c r="CIS32" s="3"/>
      <c r="CIT32" s="3"/>
      <c r="CIU32" s="3"/>
      <c r="CIV32" s="3"/>
      <c r="CIW32" s="3"/>
      <c r="CIX32" s="3"/>
      <c r="CIY32" s="3"/>
      <c r="CIZ32" s="3"/>
      <c r="CJA32" s="3"/>
      <c r="CJB32" s="3"/>
      <c r="CJC32" s="3"/>
      <c r="CJD32" s="3"/>
      <c r="CJE32" s="3"/>
      <c r="CJF32" s="3"/>
      <c r="CJG32" s="3"/>
      <c r="CJH32" s="3"/>
      <c r="CJI32" s="3"/>
      <c r="CJJ32" s="3"/>
      <c r="CJK32" s="3"/>
      <c r="CJL32" s="3"/>
      <c r="CJM32" s="3"/>
      <c r="CJN32" s="3"/>
      <c r="CJO32" s="3"/>
      <c r="CJP32" s="3"/>
      <c r="CJQ32" s="3"/>
      <c r="CJR32" s="3"/>
      <c r="CJS32" s="3"/>
      <c r="CJT32" s="3"/>
      <c r="CJU32" s="3"/>
      <c r="CJV32" s="3"/>
      <c r="CJW32" s="3"/>
      <c r="CJX32" s="3"/>
      <c r="CJY32" s="3"/>
      <c r="CJZ32" s="3"/>
      <c r="CKA32" s="3"/>
      <c r="CKB32" s="3"/>
      <c r="CKC32" s="3"/>
      <c r="CKD32" s="3"/>
      <c r="CKE32" s="3"/>
      <c r="CKF32" s="3"/>
      <c r="CKG32" s="3"/>
      <c r="CKH32" s="3"/>
      <c r="CKI32" s="3"/>
      <c r="CKJ32" s="3"/>
      <c r="CKK32" s="3"/>
      <c r="CKL32" s="3"/>
      <c r="CKM32" s="3"/>
      <c r="CKN32" s="3"/>
      <c r="CKO32" s="3"/>
      <c r="CKP32" s="3"/>
      <c r="CKQ32" s="3"/>
      <c r="CKR32" s="3"/>
      <c r="CKS32" s="3"/>
      <c r="CKT32" s="3"/>
      <c r="CKU32" s="3"/>
      <c r="CKV32" s="3"/>
      <c r="CKW32" s="3"/>
      <c r="CKX32" s="3"/>
      <c r="CKY32" s="3"/>
      <c r="CKZ32" s="3"/>
      <c r="CLA32" s="3"/>
      <c r="CLB32" s="3"/>
      <c r="CLC32" s="3"/>
      <c r="CLD32" s="3"/>
      <c r="CLE32" s="3"/>
      <c r="CLF32" s="3"/>
      <c r="CLG32" s="3"/>
      <c r="CLH32" s="3"/>
      <c r="CLI32" s="3"/>
      <c r="CLJ32" s="3"/>
      <c r="CLK32" s="3"/>
      <c r="CLL32" s="3"/>
      <c r="CLM32" s="3"/>
      <c r="CLN32" s="3"/>
      <c r="CLO32" s="3"/>
      <c r="CLP32" s="3"/>
      <c r="CLQ32" s="3"/>
      <c r="CLR32" s="3"/>
      <c r="CLS32" s="3"/>
      <c r="CLT32" s="3"/>
      <c r="CLU32" s="3"/>
      <c r="CLV32" s="3"/>
      <c r="CLW32" s="3"/>
      <c r="CLX32" s="3"/>
      <c r="CLY32" s="3"/>
      <c r="CLZ32" s="3"/>
      <c r="CMA32" s="3"/>
      <c r="CMB32" s="3"/>
      <c r="CMC32" s="3"/>
      <c r="CMD32" s="3"/>
      <c r="CME32" s="3"/>
      <c r="CMF32" s="3"/>
      <c r="CMG32" s="3"/>
      <c r="CMH32" s="3"/>
      <c r="CMI32" s="3"/>
      <c r="CMJ32" s="3"/>
      <c r="CMK32" s="3"/>
      <c r="CML32" s="3"/>
      <c r="CMM32" s="3"/>
      <c r="CMN32" s="3"/>
      <c r="CMO32" s="3"/>
      <c r="CMP32" s="3"/>
      <c r="CMQ32" s="3"/>
      <c r="CMR32" s="3"/>
      <c r="CMS32" s="3"/>
      <c r="CMT32" s="3"/>
      <c r="CMU32" s="3"/>
      <c r="CMV32" s="3"/>
      <c r="CMW32" s="3"/>
      <c r="CMX32" s="3"/>
      <c r="CMY32" s="3"/>
      <c r="CMZ32" s="3"/>
      <c r="CNA32" s="3"/>
      <c r="CNB32" s="3"/>
      <c r="CNC32" s="3"/>
      <c r="CND32" s="3"/>
      <c r="CNE32" s="3"/>
      <c r="CNF32" s="3"/>
      <c r="CNG32" s="3"/>
      <c r="CNH32" s="3"/>
      <c r="CNI32" s="3"/>
      <c r="CNJ32" s="3"/>
      <c r="CNK32" s="3"/>
      <c r="CNL32" s="3"/>
      <c r="CNM32" s="3"/>
      <c r="CNN32" s="3"/>
      <c r="CNO32" s="3"/>
      <c r="CNP32" s="3"/>
      <c r="CNQ32" s="3"/>
      <c r="CNR32" s="3"/>
      <c r="CNS32" s="3"/>
      <c r="CNT32" s="3"/>
      <c r="CNU32" s="3"/>
      <c r="CNV32" s="3"/>
      <c r="CNW32" s="3"/>
      <c r="CNX32" s="3"/>
      <c r="CNY32" s="3"/>
      <c r="CNZ32" s="3"/>
      <c r="COA32" s="3"/>
      <c r="COB32" s="3"/>
      <c r="COC32" s="3"/>
      <c r="COD32" s="3"/>
      <c r="COE32" s="3"/>
      <c r="COF32" s="3"/>
      <c r="COG32" s="3"/>
      <c r="COH32" s="3"/>
      <c r="COI32" s="3"/>
      <c r="COJ32" s="3"/>
      <c r="COK32" s="3"/>
      <c r="COL32" s="3"/>
      <c r="COM32" s="3"/>
      <c r="CON32" s="3"/>
      <c r="COO32" s="3"/>
      <c r="COP32" s="3"/>
      <c r="COQ32" s="3"/>
      <c r="COR32" s="3"/>
      <c r="COS32" s="3"/>
      <c r="COT32" s="3"/>
      <c r="COU32" s="3"/>
      <c r="COV32" s="3"/>
      <c r="COW32" s="3"/>
      <c r="COX32" s="3"/>
      <c r="COY32" s="3"/>
      <c r="COZ32" s="3"/>
      <c r="CPA32" s="3"/>
      <c r="CPB32" s="3"/>
      <c r="CPC32" s="3"/>
      <c r="CPD32" s="3"/>
      <c r="CPE32" s="3"/>
      <c r="CPF32" s="3"/>
      <c r="CPG32" s="3"/>
      <c r="CPH32" s="3"/>
      <c r="CPI32" s="3"/>
      <c r="CPJ32" s="3"/>
      <c r="CPK32" s="3"/>
      <c r="CPL32" s="3"/>
      <c r="CPM32" s="3"/>
      <c r="CPN32" s="3"/>
      <c r="CPO32" s="3"/>
      <c r="CPP32" s="3"/>
      <c r="CPQ32" s="3"/>
      <c r="CPR32" s="3"/>
      <c r="CPS32" s="3"/>
      <c r="CPT32" s="3"/>
      <c r="CPU32" s="3"/>
      <c r="CPV32" s="3"/>
      <c r="CPW32" s="3"/>
      <c r="CPX32" s="3"/>
      <c r="CPY32" s="3"/>
      <c r="CPZ32" s="3"/>
      <c r="CQA32" s="3"/>
      <c r="CQB32" s="3"/>
      <c r="CQC32" s="3"/>
      <c r="CQD32" s="3"/>
      <c r="CQE32" s="3"/>
      <c r="CQF32" s="3"/>
      <c r="CQG32" s="3"/>
      <c r="CQH32" s="3"/>
      <c r="CQI32" s="3"/>
      <c r="CQJ32" s="3"/>
      <c r="CQK32" s="3"/>
      <c r="CQL32" s="3"/>
      <c r="CQM32" s="3"/>
      <c r="CQN32" s="3"/>
      <c r="CQO32" s="3"/>
      <c r="CQP32" s="3"/>
      <c r="CQQ32" s="3"/>
      <c r="CQR32" s="3"/>
      <c r="CQS32" s="3"/>
      <c r="CQT32" s="3"/>
      <c r="CQU32" s="3"/>
      <c r="CQV32" s="3"/>
      <c r="CQW32" s="3"/>
      <c r="CQX32" s="3"/>
      <c r="CQY32" s="3"/>
      <c r="CQZ32" s="3"/>
      <c r="CRA32" s="3"/>
      <c r="CRB32" s="3"/>
      <c r="CRC32" s="3"/>
      <c r="CRD32" s="3"/>
      <c r="CRE32" s="3"/>
      <c r="CRF32" s="3"/>
      <c r="CRG32" s="3"/>
      <c r="CRH32" s="3"/>
      <c r="CRI32" s="3"/>
      <c r="CRJ32" s="3"/>
      <c r="CRK32" s="3"/>
      <c r="CRL32" s="3"/>
      <c r="CRM32" s="3"/>
      <c r="CRN32" s="3"/>
      <c r="CRO32" s="3"/>
      <c r="CRP32" s="3"/>
      <c r="CRQ32" s="3"/>
      <c r="CRR32" s="3"/>
      <c r="CRS32" s="3"/>
      <c r="CRT32" s="3"/>
      <c r="CRU32" s="3"/>
      <c r="CRV32" s="3"/>
      <c r="CRW32" s="3"/>
      <c r="CRX32" s="3"/>
      <c r="CRY32" s="3"/>
      <c r="CRZ32" s="3"/>
      <c r="CSA32" s="3"/>
      <c r="CSB32" s="3"/>
      <c r="CSC32" s="3"/>
      <c r="CSD32" s="3"/>
      <c r="CSE32" s="3"/>
      <c r="CSF32" s="3"/>
      <c r="CSG32" s="3"/>
      <c r="CSH32" s="3"/>
      <c r="CSI32" s="3"/>
      <c r="CSJ32" s="3"/>
      <c r="CSK32" s="3"/>
      <c r="CSL32" s="3"/>
      <c r="CSM32" s="3"/>
      <c r="CSN32" s="3"/>
      <c r="CSO32" s="3"/>
      <c r="CSP32" s="3"/>
      <c r="CSQ32" s="3"/>
      <c r="CSR32" s="3"/>
      <c r="CSS32" s="3"/>
      <c r="CST32" s="3"/>
      <c r="CSU32" s="3"/>
      <c r="CSV32" s="3"/>
      <c r="CSW32" s="3"/>
      <c r="CSX32" s="3"/>
      <c r="CSY32" s="3"/>
      <c r="CSZ32" s="3"/>
      <c r="CTA32" s="3"/>
      <c r="CTB32" s="3"/>
      <c r="CTC32" s="3"/>
      <c r="CTD32" s="3"/>
      <c r="CTE32" s="3"/>
      <c r="CTF32" s="3"/>
      <c r="CTG32" s="3"/>
      <c r="CTH32" s="3"/>
      <c r="CTI32" s="3"/>
      <c r="CTJ32" s="3"/>
      <c r="CTK32" s="3"/>
      <c r="CTL32" s="3"/>
      <c r="CTM32" s="3"/>
      <c r="CTN32" s="3"/>
      <c r="CTO32" s="3"/>
      <c r="CTP32" s="3"/>
      <c r="CTQ32" s="3"/>
      <c r="CTR32" s="3"/>
      <c r="CTS32" s="3"/>
      <c r="CTT32" s="3"/>
      <c r="CTU32" s="3"/>
      <c r="CTV32" s="3"/>
      <c r="CTW32" s="3"/>
      <c r="CTX32" s="3"/>
      <c r="CTY32" s="3"/>
      <c r="CTZ32" s="3"/>
      <c r="CUA32" s="3"/>
      <c r="CUB32" s="3"/>
      <c r="CUC32" s="3"/>
      <c r="CUD32" s="3"/>
      <c r="CUE32" s="3"/>
      <c r="CUF32" s="3"/>
      <c r="CUG32" s="3"/>
      <c r="CUH32" s="3"/>
      <c r="CUI32" s="3"/>
      <c r="CUJ32" s="3"/>
      <c r="CUK32" s="3"/>
      <c r="CUL32" s="3"/>
      <c r="CUM32" s="3"/>
      <c r="CUN32" s="3"/>
      <c r="CUO32" s="3"/>
      <c r="CUP32" s="3"/>
      <c r="CUQ32" s="3"/>
      <c r="CUR32" s="3"/>
      <c r="CUS32" s="3"/>
      <c r="CUT32" s="3"/>
      <c r="CUU32" s="3"/>
      <c r="CUV32" s="3"/>
      <c r="CUW32" s="3"/>
      <c r="CUX32" s="3"/>
      <c r="CUY32" s="3"/>
      <c r="CUZ32" s="3"/>
      <c r="CVA32" s="3"/>
      <c r="CVB32" s="3"/>
      <c r="CVC32" s="3"/>
      <c r="CVD32" s="3"/>
      <c r="CVE32" s="3"/>
      <c r="CVF32" s="3"/>
      <c r="CVG32" s="3"/>
      <c r="CVH32" s="3"/>
      <c r="CVI32" s="3"/>
      <c r="CVJ32" s="3"/>
      <c r="CVK32" s="3"/>
      <c r="CVL32" s="3"/>
      <c r="CVM32" s="3"/>
      <c r="CVN32" s="3"/>
      <c r="CVO32" s="3"/>
      <c r="CVP32" s="3"/>
      <c r="CVQ32" s="3"/>
      <c r="CVR32" s="3"/>
      <c r="CVS32" s="3"/>
      <c r="CVT32" s="3"/>
      <c r="CVU32" s="3"/>
      <c r="CVV32" s="3"/>
      <c r="CVW32" s="3"/>
      <c r="CVX32" s="3"/>
      <c r="CVY32" s="3"/>
      <c r="CVZ32" s="3"/>
      <c r="CWA32" s="3"/>
      <c r="CWB32" s="3"/>
      <c r="CWC32" s="3"/>
      <c r="CWD32" s="3"/>
      <c r="CWE32" s="3"/>
      <c r="CWF32" s="3"/>
      <c r="CWG32" s="3"/>
      <c r="CWH32" s="3"/>
      <c r="CWI32" s="3"/>
      <c r="CWJ32" s="3"/>
      <c r="CWK32" s="3"/>
      <c r="CWL32" s="3"/>
      <c r="CWM32" s="3"/>
      <c r="CWN32" s="3"/>
      <c r="CWO32" s="3"/>
      <c r="CWP32" s="3"/>
      <c r="CWQ32" s="3"/>
      <c r="CWR32" s="3"/>
      <c r="CWS32" s="3"/>
      <c r="CWT32" s="3"/>
      <c r="CWU32" s="3"/>
      <c r="CWV32" s="3"/>
      <c r="CWW32" s="3"/>
      <c r="CWX32" s="3"/>
      <c r="CWY32" s="3"/>
      <c r="CWZ32" s="3"/>
      <c r="CXA32" s="3"/>
      <c r="CXB32" s="3"/>
      <c r="CXC32" s="3"/>
      <c r="CXD32" s="3"/>
      <c r="CXE32" s="3"/>
      <c r="CXF32" s="3"/>
      <c r="CXG32" s="3"/>
      <c r="CXH32" s="3"/>
      <c r="CXI32" s="3"/>
      <c r="CXJ32" s="3"/>
      <c r="CXK32" s="3"/>
      <c r="CXL32" s="3"/>
      <c r="CXM32" s="3"/>
      <c r="CXN32" s="3"/>
      <c r="CXO32" s="3"/>
      <c r="CXP32" s="3"/>
      <c r="CXQ32" s="3"/>
      <c r="CXR32" s="3"/>
      <c r="CXS32" s="3"/>
      <c r="CXT32" s="3"/>
      <c r="CXU32" s="3"/>
      <c r="CXV32" s="3"/>
      <c r="CXW32" s="3"/>
      <c r="CXX32" s="3"/>
      <c r="CXY32" s="3"/>
      <c r="CXZ32" s="3"/>
      <c r="CYA32" s="3"/>
      <c r="CYB32" s="3"/>
      <c r="CYC32" s="3"/>
      <c r="CYD32" s="3"/>
      <c r="CYE32" s="3"/>
      <c r="CYF32" s="3"/>
      <c r="CYG32" s="3"/>
      <c r="CYH32" s="3"/>
      <c r="CYI32" s="3"/>
      <c r="CYJ32" s="3"/>
      <c r="CYK32" s="3"/>
      <c r="CYL32" s="3"/>
      <c r="CYM32" s="3"/>
      <c r="CYN32" s="3"/>
      <c r="CYO32" s="3"/>
      <c r="CYP32" s="3"/>
      <c r="CYQ32" s="3"/>
      <c r="CYR32" s="3"/>
      <c r="CYS32" s="3"/>
      <c r="CYT32" s="3"/>
      <c r="CYU32" s="3"/>
      <c r="CYV32" s="3"/>
      <c r="CYW32" s="3"/>
      <c r="CYX32" s="3"/>
      <c r="CYY32" s="3"/>
      <c r="CYZ32" s="3"/>
      <c r="CZA32" s="3"/>
      <c r="CZB32" s="3"/>
      <c r="CZC32" s="3"/>
      <c r="CZD32" s="3"/>
      <c r="CZE32" s="3"/>
      <c r="CZF32" s="3"/>
      <c r="CZG32" s="3"/>
      <c r="CZH32" s="3"/>
      <c r="CZI32" s="3"/>
      <c r="CZJ32" s="3"/>
      <c r="CZK32" s="3"/>
      <c r="CZL32" s="3"/>
      <c r="CZM32" s="3"/>
      <c r="CZN32" s="3"/>
      <c r="CZO32" s="3"/>
      <c r="CZP32" s="3"/>
      <c r="CZQ32" s="3"/>
      <c r="CZR32" s="3"/>
      <c r="CZS32" s="3"/>
      <c r="CZT32" s="3"/>
      <c r="CZU32" s="3"/>
      <c r="CZV32" s="3"/>
      <c r="CZW32" s="3"/>
      <c r="CZX32" s="3"/>
      <c r="CZY32" s="3"/>
      <c r="CZZ32" s="3"/>
      <c r="DAA32" s="3"/>
      <c r="DAB32" s="3"/>
      <c r="DAC32" s="3"/>
      <c r="DAD32" s="3"/>
      <c r="DAE32" s="3"/>
      <c r="DAF32" s="3"/>
      <c r="DAG32" s="3"/>
      <c r="DAH32" s="3"/>
      <c r="DAI32" s="3"/>
      <c r="DAJ32" s="3"/>
      <c r="DAK32" s="3"/>
      <c r="DAL32" s="3"/>
      <c r="DAM32" s="3"/>
      <c r="DAN32" s="3"/>
      <c r="DAO32" s="3"/>
      <c r="DAP32" s="3"/>
      <c r="DAQ32" s="3"/>
      <c r="DAR32" s="3"/>
      <c r="DAS32" s="3"/>
      <c r="DAT32" s="3"/>
      <c r="DAU32" s="3"/>
      <c r="DAV32" s="3"/>
      <c r="DAW32" s="3"/>
      <c r="DAX32" s="3"/>
      <c r="DAY32" s="3"/>
      <c r="DAZ32" s="3"/>
      <c r="DBA32" s="3"/>
      <c r="DBB32" s="3"/>
      <c r="DBC32" s="3"/>
      <c r="DBD32" s="3"/>
      <c r="DBE32" s="3"/>
      <c r="DBF32" s="3"/>
      <c r="DBG32" s="3"/>
      <c r="DBH32" s="3"/>
      <c r="DBI32" s="3"/>
      <c r="DBJ32" s="3"/>
      <c r="DBK32" s="3"/>
      <c r="DBL32" s="3"/>
      <c r="DBM32" s="3"/>
      <c r="DBN32" s="3"/>
      <c r="DBO32" s="3"/>
      <c r="DBP32" s="3"/>
      <c r="DBQ32" s="3"/>
      <c r="DBR32" s="3"/>
      <c r="DBS32" s="3"/>
      <c r="DBT32" s="3"/>
      <c r="DBU32" s="3"/>
      <c r="DBV32" s="3"/>
      <c r="DBW32" s="3"/>
      <c r="DBX32" s="3"/>
      <c r="DBY32" s="3"/>
      <c r="DBZ32" s="3"/>
      <c r="DCA32" s="3"/>
      <c r="DCB32" s="3"/>
      <c r="DCC32" s="3"/>
      <c r="DCD32" s="3"/>
      <c r="DCE32" s="3"/>
      <c r="DCF32" s="3"/>
      <c r="DCG32" s="3"/>
      <c r="DCH32" s="3"/>
      <c r="DCI32" s="3"/>
      <c r="DCJ32" s="3"/>
      <c r="DCK32" s="3"/>
      <c r="DCL32" s="3"/>
      <c r="DCM32" s="3"/>
      <c r="DCN32" s="3"/>
      <c r="DCO32" s="3"/>
      <c r="DCP32" s="3"/>
      <c r="DCQ32" s="3"/>
      <c r="DCR32" s="3"/>
      <c r="DCS32" s="3"/>
      <c r="DCT32" s="3"/>
      <c r="DCU32" s="3"/>
      <c r="DCV32" s="3"/>
      <c r="DCW32" s="3"/>
      <c r="DCX32" s="3"/>
      <c r="DCY32" s="3"/>
      <c r="DCZ32" s="3"/>
      <c r="DDA32" s="3"/>
      <c r="DDB32" s="3"/>
      <c r="DDC32" s="3"/>
      <c r="DDD32" s="3"/>
      <c r="DDE32" s="3"/>
      <c r="DDF32" s="3"/>
      <c r="DDG32" s="3"/>
      <c r="DDH32" s="3"/>
      <c r="DDI32" s="3"/>
      <c r="DDJ32" s="3"/>
      <c r="DDK32" s="3"/>
      <c r="DDL32" s="3"/>
      <c r="DDM32" s="3"/>
      <c r="DDN32" s="3"/>
      <c r="DDO32" s="3"/>
      <c r="DDP32" s="3"/>
      <c r="DDQ32" s="3"/>
      <c r="DDR32" s="3"/>
      <c r="DDS32" s="3"/>
      <c r="DDT32" s="3"/>
      <c r="DDU32" s="3"/>
      <c r="DDV32" s="3"/>
      <c r="DDW32" s="3"/>
      <c r="DDX32" s="3"/>
      <c r="DDY32" s="3"/>
      <c r="DDZ32" s="3"/>
      <c r="DEA32" s="3"/>
      <c r="DEB32" s="3"/>
      <c r="DEC32" s="3"/>
      <c r="DED32" s="3"/>
      <c r="DEE32" s="3"/>
      <c r="DEF32" s="3"/>
      <c r="DEG32" s="3"/>
      <c r="DEH32" s="3"/>
      <c r="DEI32" s="3"/>
      <c r="DEJ32" s="3"/>
      <c r="DEK32" s="3"/>
      <c r="DEL32" s="3"/>
      <c r="DEM32" s="3"/>
      <c r="DEN32" s="3"/>
      <c r="DEO32" s="3"/>
      <c r="DEP32" s="3"/>
      <c r="DEQ32" s="3"/>
      <c r="DER32" s="3"/>
      <c r="DES32" s="3"/>
      <c r="DET32" s="3"/>
      <c r="DEU32" s="3"/>
      <c r="DEV32" s="3"/>
      <c r="DEW32" s="3"/>
      <c r="DEX32" s="3"/>
      <c r="DEY32" s="3"/>
      <c r="DEZ32" s="3"/>
      <c r="DFA32" s="3"/>
      <c r="DFB32" s="3"/>
      <c r="DFC32" s="3"/>
      <c r="DFD32" s="3"/>
      <c r="DFE32" s="3"/>
      <c r="DFF32" s="3"/>
      <c r="DFG32" s="3"/>
      <c r="DFH32" s="3"/>
      <c r="DFI32" s="3"/>
      <c r="DFJ32" s="3"/>
      <c r="DFK32" s="3"/>
      <c r="DFL32" s="3"/>
      <c r="DFM32" s="3"/>
      <c r="DFN32" s="3"/>
      <c r="DFO32" s="3"/>
      <c r="DFP32" s="3"/>
      <c r="DFQ32" s="3"/>
      <c r="DFR32" s="3"/>
      <c r="DFS32" s="3"/>
      <c r="DFT32" s="3"/>
      <c r="DFU32" s="3"/>
      <c r="DFV32" s="3"/>
      <c r="DFW32" s="3"/>
      <c r="DFX32" s="3"/>
      <c r="DFY32" s="3"/>
      <c r="DFZ32" s="3"/>
      <c r="DGA32" s="3"/>
      <c r="DGB32" s="3"/>
      <c r="DGC32" s="3"/>
      <c r="DGD32" s="3"/>
      <c r="DGE32" s="3"/>
      <c r="DGF32" s="3"/>
      <c r="DGG32" s="3"/>
      <c r="DGH32" s="3"/>
      <c r="DGI32" s="3"/>
      <c r="DGJ32" s="3"/>
      <c r="DGK32" s="3"/>
      <c r="DGL32" s="3"/>
      <c r="DGM32" s="3"/>
      <c r="DGN32" s="3"/>
      <c r="DGO32" s="3"/>
      <c r="DGP32" s="3"/>
      <c r="DGQ32" s="3"/>
      <c r="DGR32" s="3"/>
      <c r="DGS32" s="3"/>
      <c r="DGT32" s="3"/>
      <c r="DGU32" s="3"/>
      <c r="DGV32" s="3"/>
      <c r="DGW32" s="3"/>
      <c r="DGX32" s="3"/>
      <c r="DGY32" s="3"/>
      <c r="DGZ32" s="3"/>
      <c r="DHA32" s="3"/>
      <c r="DHB32" s="3"/>
      <c r="DHC32" s="3"/>
      <c r="DHD32" s="3"/>
      <c r="DHE32" s="3"/>
      <c r="DHF32" s="3"/>
      <c r="DHG32" s="3"/>
      <c r="DHH32" s="3"/>
      <c r="DHI32" s="3"/>
      <c r="DHJ32" s="3"/>
      <c r="DHK32" s="3"/>
      <c r="DHL32" s="3"/>
      <c r="DHM32" s="3"/>
      <c r="DHN32" s="3"/>
      <c r="DHO32" s="3"/>
      <c r="DHP32" s="3"/>
      <c r="DHQ32" s="3"/>
      <c r="DHR32" s="3"/>
      <c r="DHS32" s="3"/>
      <c r="DHT32" s="3"/>
      <c r="DHU32" s="3"/>
      <c r="DHV32" s="3"/>
      <c r="DHW32" s="3"/>
      <c r="DHX32" s="3"/>
      <c r="DHY32" s="3"/>
      <c r="DHZ32" s="3"/>
      <c r="DIA32" s="3"/>
      <c r="DIB32" s="3"/>
      <c r="DIC32" s="3"/>
      <c r="DID32" s="3"/>
      <c r="DIE32" s="3"/>
      <c r="DIF32" s="3"/>
      <c r="DIG32" s="3"/>
      <c r="DIH32" s="3"/>
      <c r="DII32" s="3"/>
      <c r="DIJ32" s="3"/>
      <c r="DIK32" s="3"/>
      <c r="DIL32" s="3"/>
      <c r="DIM32" s="3"/>
      <c r="DIN32" s="3"/>
      <c r="DIO32" s="3"/>
      <c r="DIP32" s="3"/>
      <c r="DIQ32" s="3"/>
      <c r="DIR32" s="3"/>
      <c r="DIS32" s="3"/>
      <c r="DIT32" s="3"/>
      <c r="DIU32" s="3"/>
      <c r="DIV32" s="3"/>
      <c r="DIW32" s="3"/>
      <c r="DIX32" s="3"/>
      <c r="DIY32" s="3"/>
      <c r="DIZ32" s="3"/>
      <c r="DJA32" s="3"/>
      <c r="DJB32" s="3"/>
      <c r="DJC32" s="3"/>
      <c r="DJD32" s="3"/>
      <c r="DJE32" s="3"/>
      <c r="DJF32" s="3"/>
      <c r="DJG32" s="3"/>
      <c r="DJH32" s="3"/>
      <c r="DJI32" s="3"/>
      <c r="DJJ32" s="3"/>
      <c r="DJK32" s="3"/>
      <c r="DJL32" s="3"/>
      <c r="DJM32" s="3"/>
      <c r="DJN32" s="3"/>
      <c r="DJO32" s="3"/>
      <c r="DJP32" s="3"/>
      <c r="DJQ32" s="3"/>
      <c r="DJR32" s="3"/>
      <c r="DJS32" s="3"/>
      <c r="DJT32" s="3"/>
      <c r="DJU32" s="3"/>
      <c r="DJV32" s="3"/>
      <c r="DJW32" s="3"/>
      <c r="DJX32" s="3"/>
      <c r="DJY32" s="3"/>
      <c r="DJZ32" s="3"/>
      <c r="DKA32" s="3"/>
      <c r="DKB32" s="3"/>
      <c r="DKC32" s="3"/>
      <c r="DKD32" s="3"/>
      <c r="DKE32" s="3"/>
      <c r="DKF32" s="3"/>
      <c r="DKG32" s="3"/>
      <c r="DKH32" s="3"/>
      <c r="DKI32" s="3"/>
      <c r="DKJ32" s="3"/>
      <c r="DKK32" s="3"/>
      <c r="DKL32" s="3"/>
      <c r="DKM32" s="3"/>
      <c r="DKN32" s="3"/>
      <c r="DKO32" s="3"/>
      <c r="DKP32" s="3"/>
      <c r="DKQ32" s="3"/>
      <c r="DKR32" s="3"/>
      <c r="DKS32" s="3"/>
      <c r="DKT32" s="3"/>
      <c r="DKU32" s="3"/>
      <c r="DKV32" s="3"/>
      <c r="DKW32" s="3"/>
      <c r="DKX32" s="3"/>
      <c r="DKY32" s="3"/>
      <c r="DKZ32" s="3"/>
      <c r="DLA32" s="3"/>
      <c r="DLB32" s="3"/>
      <c r="DLC32" s="3"/>
      <c r="DLD32" s="3"/>
      <c r="DLE32" s="3"/>
      <c r="DLF32" s="3"/>
      <c r="DLG32" s="3"/>
      <c r="DLH32" s="3"/>
      <c r="DLI32" s="3"/>
      <c r="DLJ32" s="3"/>
      <c r="DLK32" s="3"/>
      <c r="DLL32" s="3"/>
      <c r="DLM32" s="3"/>
      <c r="DLN32" s="3"/>
      <c r="DLO32" s="3"/>
      <c r="DLP32" s="3"/>
      <c r="DLQ32" s="3"/>
      <c r="DLR32" s="3"/>
      <c r="DLS32" s="3"/>
      <c r="DLT32" s="3"/>
      <c r="DLU32" s="3"/>
      <c r="DLV32" s="3"/>
      <c r="DLW32" s="3"/>
      <c r="DLX32" s="3"/>
      <c r="DLY32" s="3"/>
      <c r="DLZ32" s="3"/>
      <c r="DMA32" s="3"/>
      <c r="DMB32" s="3"/>
      <c r="DMC32" s="3"/>
      <c r="DMD32" s="3"/>
      <c r="DME32" s="3"/>
      <c r="DMF32" s="3"/>
      <c r="DMG32" s="3"/>
      <c r="DMH32" s="3"/>
      <c r="DMI32" s="3"/>
      <c r="DMJ32" s="3"/>
      <c r="DMK32" s="3"/>
      <c r="DML32" s="3"/>
      <c r="DMM32" s="3"/>
      <c r="DMN32" s="3"/>
      <c r="DMO32" s="3"/>
      <c r="DMP32" s="3"/>
      <c r="DMQ32" s="3"/>
      <c r="DMR32" s="3"/>
      <c r="DMS32" s="3"/>
      <c r="DMT32" s="3"/>
      <c r="DMU32" s="3"/>
      <c r="DMV32" s="3"/>
      <c r="DMW32" s="3"/>
      <c r="DMX32" s="3"/>
      <c r="DMY32" s="3"/>
      <c r="DMZ32" s="3"/>
      <c r="DNA32" s="3"/>
      <c r="DNB32" s="3"/>
      <c r="DNC32" s="3"/>
      <c r="DND32" s="3"/>
      <c r="DNE32" s="3"/>
      <c r="DNF32" s="3"/>
      <c r="DNG32" s="3"/>
      <c r="DNH32" s="3"/>
      <c r="DNI32" s="3"/>
      <c r="DNJ32" s="3"/>
      <c r="DNK32" s="3"/>
      <c r="DNL32" s="3"/>
      <c r="DNM32" s="3"/>
      <c r="DNN32" s="3"/>
      <c r="DNO32" s="3"/>
      <c r="DNP32" s="3"/>
      <c r="DNQ32" s="3"/>
      <c r="DNR32" s="3"/>
      <c r="DNS32" s="3"/>
      <c r="DNT32" s="3"/>
      <c r="DNU32" s="3"/>
      <c r="DNV32" s="3"/>
      <c r="DNW32" s="3"/>
      <c r="DNX32" s="3"/>
      <c r="DNY32" s="3"/>
      <c r="DNZ32" s="3"/>
      <c r="DOA32" s="3"/>
      <c r="DOB32" s="3"/>
      <c r="DOC32" s="3"/>
      <c r="DOD32" s="3"/>
      <c r="DOE32" s="3"/>
      <c r="DOF32" s="3"/>
      <c r="DOG32" s="3"/>
      <c r="DOH32" s="3"/>
      <c r="DOI32" s="3"/>
      <c r="DOJ32" s="3"/>
      <c r="DOK32" s="3"/>
      <c r="DOL32" s="3"/>
      <c r="DOM32" s="3"/>
      <c r="DON32" s="3"/>
      <c r="DOO32" s="3"/>
      <c r="DOP32" s="3"/>
      <c r="DOQ32" s="3"/>
      <c r="DOR32" s="3"/>
      <c r="DOS32" s="3"/>
      <c r="DOT32" s="3"/>
      <c r="DOU32" s="3"/>
      <c r="DOV32" s="3"/>
      <c r="DOW32" s="3"/>
      <c r="DOX32" s="3"/>
      <c r="DOY32" s="3"/>
      <c r="DOZ32" s="3"/>
      <c r="DPA32" s="3"/>
      <c r="DPB32" s="3"/>
      <c r="DPC32" s="3"/>
      <c r="DPD32" s="3"/>
      <c r="DPE32" s="3"/>
      <c r="DPF32" s="3"/>
      <c r="DPG32" s="3"/>
      <c r="DPH32" s="3"/>
      <c r="DPI32" s="3"/>
      <c r="DPJ32" s="3"/>
      <c r="DPK32" s="3"/>
      <c r="DPL32" s="3"/>
      <c r="DPM32" s="3"/>
      <c r="DPN32" s="3"/>
      <c r="DPO32" s="3"/>
      <c r="DPP32" s="3"/>
      <c r="DPQ32" s="3"/>
      <c r="DPR32" s="3"/>
      <c r="DPS32" s="3"/>
      <c r="DPT32" s="3"/>
      <c r="DPU32" s="3"/>
      <c r="DPV32" s="3"/>
      <c r="DPW32" s="3"/>
      <c r="DPX32" s="3"/>
      <c r="DPY32" s="3"/>
      <c r="DPZ32" s="3"/>
      <c r="DQA32" s="3"/>
      <c r="DQB32" s="3"/>
      <c r="DQC32" s="3"/>
      <c r="DQD32" s="3"/>
      <c r="DQE32" s="3"/>
      <c r="DQF32" s="3"/>
      <c r="DQG32" s="3"/>
      <c r="DQH32" s="3"/>
      <c r="DQI32" s="3"/>
      <c r="DQJ32" s="3"/>
      <c r="DQK32" s="3"/>
      <c r="DQL32" s="3"/>
      <c r="DQM32" s="3"/>
      <c r="DQN32" s="3"/>
      <c r="DQO32" s="3"/>
      <c r="DQP32" s="3"/>
      <c r="DQQ32" s="3"/>
      <c r="DQR32" s="3"/>
      <c r="DQS32" s="3"/>
      <c r="DQT32" s="3"/>
      <c r="DQU32" s="3"/>
      <c r="DQV32" s="3"/>
      <c r="DQW32" s="3"/>
      <c r="DQX32" s="3"/>
      <c r="DQY32" s="3"/>
      <c r="DQZ32" s="3"/>
      <c r="DRA32" s="3"/>
      <c r="DRB32" s="3"/>
      <c r="DRC32" s="3"/>
      <c r="DRD32" s="3"/>
      <c r="DRE32" s="3"/>
      <c r="DRF32" s="3"/>
      <c r="DRG32" s="3"/>
      <c r="DRH32" s="3"/>
      <c r="DRI32" s="3"/>
      <c r="DRJ32" s="3"/>
      <c r="DRK32" s="3"/>
      <c r="DRL32" s="3"/>
      <c r="DRM32" s="3"/>
      <c r="DRN32" s="3"/>
      <c r="DRO32" s="3"/>
      <c r="DRP32" s="3"/>
      <c r="DRQ32" s="3"/>
      <c r="DRR32" s="3"/>
      <c r="DRS32" s="3"/>
      <c r="DRT32" s="3"/>
      <c r="DRU32" s="3"/>
      <c r="DRV32" s="3"/>
      <c r="DRW32" s="3"/>
      <c r="DRX32" s="3"/>
      <c r="DRY32" s="3"/>
      <c r="DRZ32" s="3"/>
      <c r="DSA32" s="3"/>
      <c r="DSB32" s="3"/>
      <c r="DSC32" s="3"/>
      <c r="DSD32" s="3"/>
      <c r="DSE32" s="3"/>
      <c r="DSF32" s="3"/>
      <c r="DSG32" s="3"/>
      <c r="DSH32" s="3"/>
      <c r="DSI32" s="3"/>
      <c r="DSJ32" s="3"/>
      <c r="DSK32" s="3"/>
      <c r="DSL32" s="3"/>
      <c r="DSM32" s="3"/>
      <c r="DSN32" s="3"/>
      <c r="DSO32" s="3"/>
      <c r="DSP32" s="3"/>
      <c r="DSQ32" s="3"/>
      <c r="DSR32" s="3"/>
      <c r="DSS32" s="3"/>
      <c r="DST32" s="3"/>
      <c r="DSU32" s="3"/>
      <c r="DSV32" s="3"/>
      <c r="DSW32" s="3"/>
      <c r="DSX32" s="3"/>
      <c r="DSY32" s="3"/>
      <c r="DSZ32" s="3"/>
      <c r="DTA32" s="3"/>
      <c r="DTB32" s="3"/>
      <c r="DTC32" s="3"/>
      <c r="DTD32" s="3"/>
      <c r="DTE32" s="3"/>
      <c r="DTF32" s="3"/>
      <c r="DTG32" s="3"/>
      <c r="DTH32" s="3"/>
      <c r="DTI32" s="3"/>
      <c r="DTJ32" s="3"/>
      <c r="DTK32" s="3"/>
      <c r="DTL32" s="3"/>
      <c r="DTM32" s="3"/>
      <c r="DTN32" s="3"/>
      <c r="DTO32" s="3"/>
      <c r="DTP32" s="3"/>
      <c r="DTQ32" s="3"/>
      <c r="DTR32" s="3"/>
      <c r="DTS32" s="3"/>
      <c r="DTT32" s="3"/>
      <c r="DTU32" s="3"/>
      <c r="DTV32" s="3"/>
      <c r="DTW32" s="3"/>
      <c r="DTX32" s="3"/>
      <c r="DTY32" s="3"/>
      <c r="DTZ32" s="3"/>
      <c r="DUA32" s="3"/>
      <c r="DUB32" s="3"/>
      <c r="DUC32" s="3"/>
      <c r="DUD32" s="3"/>
      <c r="DUE32" s="3"/>
      <c r="DUF32" s="3"/>
      <c r="DUG32" s="3"/>
      <c r="DUH32" s="3"/>
      <c r="DUI32" s="3"/>
      <c r="DUJ32" s="3"/>
      <c r="DUK32" s="3"/>
      <c r="DUL32" s="3"/>
      <c r="DUM32" s="3"/>
      <c r="DUN32" s="3"/>
      <c r="DUO32" s="3"/>
      <c r="DUP32" s="3"/>
      <c r="DUQ32" s="3"/>
      <c r="DUR32" s="3"/>
      <c r="DUS32" s="3"/>
      <c r="DUT32" s="3"/>
      <c r="DUU32" s="3"/>
      <c r="DUV32" s="3"/>
      <c r="DUW32" s="3"/>
      <c r="DUX32" s="3"/>
      <c r="DUY32" s="3"/>
      <c r="DUZ32" s="3"/>
      <c r="DVA32" s="3"/>
      <c r="DVB32" s="3"/>
      <c r="DVC32" s="3"/>
      <c r="DVD32" s="3"/>
      <c r="DVE32" s="3"/>
      <c r="DVF32" s="3"/>
      <c r="DVG32" s="3"/>
      <c r="DVH32" s="3"/>
      <c r="DVI32" s="3"/>
      <c r="DVJ32" s="3"/>
      <c r="DVK32" s="3"/>
      <c r="DVL32" s="3"/>
      <c r="DVM32" s="3"/>
      <c r="DVN32" s="3"/>
      <c r="DVO32" s="3"/>
      <c r="DVP32" s="3"/>
      <c r="DVQ32" s="3"/>
      <c r="DVR32" s="3"/>
      <c r="DVS32" s="3"/>
      <c r="DVT32" s="3"/>
      <c r="DVU32" s="3"/>
      <c r="DVV32" s="3"/>
      <c r="DVW32" s="3"/>
      <c r="DVX32" s="3"/>
      <c r="DVY32" s="3"/>
      <c r="DVZ32" s="3"/>
      <c r="DWA32" s="3"/>
      <c r="DWB32" s="3"/>
      <c r="DWC32" s="3"/>
      <c r="DWD32" s="3"/>
      <c r="DWE32" s="3"/>
      <c r="DWF32" s="3"/>
      <c r="DWG32" s="3"/>
      <c r="DWH32" s="3"/>
      <c r="DWI32" s="3"/>
      <c r="DWJ32" s="3"/>
      <c r="DWK32" s="3"/>
      <c r="DWL32" s="3"/>
      <c r="DWM32" s="3"/>
      <c r="DWN32" s="3"/>
      <c r="DWO32" s="3"/>
      <c r="DWP32" s="3"/>
      <c r="DWQ32" s="3"/>
      <c r="DWR32" s="3"/>
      <c r="DWS32" s="3"/>
      <c r="DWT32" s="3"/>
      <c r="DWU32" s="3"/>
      <c r="DWV32" s="3"/>
      <c r="DWW32" s="3"/>
      <c r="DWX32" s="3"/>
      <c r="DWY32" s="3"/>
      <c r="DWZ32" s="3"/>
      <c r="DXA32" s="3"/>
      <c r="DXB32" s="3"/>
      <c r="DXC32" s="3"/>
      <c r="DXD32" s="3"/>
      <c r="DXE32" s="3"/>
      <c r="DXF32" s="3"/>
      <c r="DXG32" s="3"/>
      <c r="DXH32" s="3"/>
      <c r="DXI32" s="3"/>
      <c r="DXJ32" s="3"/>
      <c r="DXK32" s="3"/>
      <c r="DXL32" s="3"/>
      <c r="DXM32" s="3"/>
      <c r="DXN32" s="3"/>
      <c r="DXO32" s="3"/>
      <c r="DXP32" s="3"/>
      <c r="DXQ32" s="3"/>
      <c r="DXR32" s="3"/>
      <c r="DXS32" s="3"/>
      <c r="DXT32" s="3"/>
      <c r="DXU32" s="3"/>
      <c r="DXV32" s="3"/>
      <c r="DXW32" s="3"/>
      <c r="DXX32" s="3"/>
      <c r="DXY32" s="3"/>
      <c r="DXZ32" s="3"/>
      <c r="DYA32" s="3"/>
      <c r="DYB32" s="3"/>
      <c r="DYC32" s="3"/>
      <c r="DYD32" s="3"/>
      <c r="DYE32" s="3"/>
      <c r="DYF32" s="3"/>
      <c r="DYG32" s="3"/>
      <c r="DYH32" s="3"/>
      <c r="DYI32" s="3"/>
      <c r="DYJ32" s="3"/>
      <c r="DYK32" s="3"/>
      <c r="DYL32" s="3"/>
      <c r="DYM32" s="3"/>
      <c r="DYN32" s="3"/>
      <c r="DYO32" s="3"/>
      <c r="DYP32" s="3"/>
      <c r="DYQ32" s="3"/>
      <c r="DYR32" s="3"/>
      <c r="DYS32" s="3"/>
      <c r="DYT32" s="3"/>
      <c r="DYU32" s="3"/>
      <c r="DYV32" s="3"/>
      <c r="DYW32" s="3"/>
      <c r="DYX32" s="3"/>
      <c r="DYY32" s="3"/>
      <c r="DYZ32" s="3"/>
      <c r="DZA32" s="3"/>
      <c r="DZB32" s="3"/>
      <c r="DZC32" s="3"/>
      <c r="DZD32" s="3"/>
      <c r="DZE32" s="3"/>
      <c r="DZF32" s="3"/>
      <c r="DZG32" s="3"/>
      <c r="DZH32" s="3"/>
      <c r="DZI32" s="3"/>
      <c r="DZJ32" s="3"/>
      <c r="DZK32" s="3"/>
      <c r="DZL32" s="3"/>
      <c r="DZM32" s="3"/>
      <c r="DZN32" s="3"/>
      <c r="DZO32" s="3"/>
      <c r="DZP32" s="3"/>
      <c r="DZQ32" s="3"/>
      <c r="DZR32" s="3"/>
      <c r="DZS32" s="3"/>
      <c r="DZT32" s="3"/>
      <c r="DZU32" s="3"/>
      <c r="DZV32" s="3"/>
      <c r="DZW32" s="3"/>
      <c r="DZX32" s="3"/>
      <c r="DZY32" s="3"/>
      <c r="DZZ32" s="3"/>
      <c r="EAA32" s="3"/>
      <c r="EAB32" s="3"/>
      <c r="EAC32" s="3"/>
      <c r="EAD32" s="3"/>
      <c r="EAE32" s="3"/>
      <c r="EAF32" s="3"/>
      <c r="EAG32" s="3"/>
      <c r="EAH32" s="3"/>
      <c r="EAI32" s="3"/>
      <c r="EAJ32" s="3"/>
      <c r="EAK32" s="3"/>
      <c r="EAL32" s="3"/>
      <c r="EAM32" s="3"/>
      <c r="EAN32" s="3"/>
      <c r="EAO32" s="3"/>
      <c r="EAP32" s="3"/>
      <c r="EAQ32" s="3"/>
      <c r="EAR32" s="3"/>
      <c r="EAS32" s="3"/>
      <c r="EAT32" s="3"/>
      <c r="EAU32" s="3"/>
      <c r="EAV32" s="3"/>
      <c r="EAW32" s="3"/>
      <c r="EAX32" s="3"/>
      <c r="EAY32" s="3"/>
      <c r="EAZ32" s="3"/>
      <c r="EBA32" s="3"/>
      <c r="EBB32" s="3"/>
      <c r="EBC32" s="3"/>
      <c r="EBD32" s="3"/>
      <c r="EBE32" s="3"/>
      <c r="EBF32" s="3"/>
      <c r="EBG32" s="3"/>
      <c r="EBH32" s="3"/>
      <c r="EBI32" s="3"/>
      <c r="EBJ32" s="3"/>
      <c r="EBK32" s="3"/>
      <c r="EBL32" s="3"/>
      <c r="EBM32" s="3"/>
      <c r="EBN32" s="3"/>
      <c r="EBO32" s="3"/>
      <c r="EBP32" s="3"/>
      <c r="EBQ32" s="3"/>
      <c r="EBR32" s="3"/>
      <c r="EBS32" s="3"/>
      <c r="EBT32" s="3"/>
      <c r="EBU32" s="3"/>
      <c r="EBV32" s="3"/>
      <c r="EBW32" s="3"/>
      <c r="EBX32" s="3"/>
      <c r="EBY32" s="3"/>
      <c r="EBZ32" s="3"/>
      <c r="ECA32" s="3"/>
      <c r="ECB32" s="3"/>
      <c r="ECC32" s="3"/>
      <c r="ECD32" s="3"/>
      <c r="ECE32" s="3"/>
      <c r="ECF32" s="3"/>
      <c r="ECG32" s="3"/>
      <c r="ECH32" s="3"/>
      <c r="ECI32" s="3"/>
      <c r="ECJ32" s="3"/>
      <c r="ECK32" s="3"/>
      <c r="ECL32" s="3"/>
      <c r="ECM32" s="3"/>
      <c r="ECN32" s="3"/>
      <c r="ECO32" s="3"/>
      <c r="ECP32" s="3"/>
      <c r="ECQ32" s="3"/>
      <c r="ECR32" s="3"/>
      <c r="ECS32" s="3"/>
      <c r="ECT32" s="3"/>
      <c r="ECU32" s="3"/>
      <c r="ECV32" s="3"/>
      <c r="ECW32" s="3"/>
      <c r="ECX32" s="3"/>
      <c r="ECY32" s="3"/>
      <c r="ECZ32" s="3"/>
      <c r="EDA32" s="3"/>
      <c r="EDB32" s="3"/>
      <c r="EDC32" s="3"/>
      <c r="EDD32" s="3"/>
      <c r="EDE32" s="3"/>
      <c r="EDF32" s="3"/>
      <c r="EDG32" s="3"/>
      <c r="EDH32" s="3"/>
      <c r="EDI32" s="3"/>
      <c r="EDJ32" s="3"/>
      <c r="EDK32" s="3"/>
      <c r="EDL32" s="3"/>
      <c r="EDM32" s="3"/>
      <c r="EDN32" s="3"/>
      <c r="EDO32" s="3"/>
      <c r="EDP32" s="3"/>
      <c r="EDQ32" s="3"/>
      <c r="EDR32" s="3"/>
      <c r="EDS32" s="3"/>
      <c r="EDT32" s="3"/>
      <c r="EDU32" s="3"/>
      <c r="EDV32" s="3"/>
      <c r="EDW32" s="3"/>
      <c r="EDX32" s="3"/>
      <c r="EDY32" s="3"/>
      <c r="EDZ32" s="3"/>
      <c r="EEA32" s="3"/>
      <c r="EEB32" s="3"/>
      <c r="EEC32" s="3"/>
      <c r="EED32" s="3"/>
      <c r="EEE32" s="3"/>
      <c r="EEF32" s="3"/>
      <c r="EEG32" s="3"/>
      <c r="EEH32" s="3"/>
      <c r="EEI32" s="3"/>
      <c r="EEJ32" s="3"/>
      <c r="EEK32" s="3"/>
      <c r="EEL32" s="3"/>
      <c r="EEM32" s="3"/>
      <c r="EEN32" s="3"/>
      <c r="EEO32" s="3"/>
      <c r="EEP32" s="3"/>
      <c r="EEQ32" s="3"/>
      <c r="EER32" s="3"/>
      <c r="EES32" s="3"/>
      <c r="EET32" s="3"/>
      <c r="EEU32" s="3"/>
      <c r="EEV32" s="3"/>
      <c r="EEW32" s="3"/>
      <c r="EEX32" s="3"/>
      <c r="EEY32" s="3"/>
      <c r="EEZ32" s="3"/>
      <c r="EFA32" s="3"/>
      <c r="EFB32" s="3"/>
      <c r="EFC32" s="3"/>
      <c r="EFD32" s="3"/>
      <c r="EFE32" s="3"/>
      <c r="EFF32" s="3"/>
      <c r="EFG32" s="3"/>
      <c r="EFH32" s="3"/>
      <c r="EFI32" s="3"/>
      <c r="EFJ32" s="3"/>
      <c r="EFK32" s="3"/>
      <c r="EFL32" s="3"/>
      <c r="EFM32" s="3"/>
      <c r="EFN32" s="3"/>
      <c r="EFO32" s="3"/>
      <c r="EFP32" s="3"/>
      <c r="EFQ32" s="3"/>
      <c r="EFR32" s="3"/>
      <c r="EFS32" s="3"/>
      <c r="EFT32" s="3"/>
      <c r="EFU32" s="3"/>
      <c r="EFV32" s="3"/>
      <c r="EFW32" s="3"/>
      <c r="EFX32" s="3"/>
      <c r="EFY32" s="3"/>
      <c r="EFZ32" s="3"/>
      <c r="EGA32" s="3"/>
      <c r="EGB32" s="3"/>
      <c r="EGC32" s="3"/>
      <c r="EGD32" s="3"/>
      <c r="EGE32" s="3"/>
      <c r="EGF32" s="3"/>
      <c r="EGG32" s="3"/>
      <c r="EGH32" s="3"/>
      <c r="EGI32" s="3"/>
      <c r="EGJ32" s="3"/>
      <c r="EGK32" s="3"/>
      <c r="EGL32" s="3"/>
      <c r="EGM32" s="3"/>
      <c r="EGN32" s="3"/>
      <c r="EGO32" s="3"/>
      <c r="EGP32" s="3"/>
      <c r="EGQ32" s="3"/>
      <c r="EGR32" s="3"/>
      <c r="EGS32" s="3"/>
      <c r="EGT32" s="3"/>
      <c r="EGU32" s="3"/>
      <c r="EGV32" s="3"/>
      <c r="EGW32" s="3"/>
      <c r="EGX32" s="3"/>
      <c r="EGY32" s="3"/>
      <c r="EGZ32" s="3"/>
      <c r="EHA32" s="3"/>
      <c r="EHB32" s="3"/>
      <c r="EHC32" s="3"/>
      <c r="EHD32" s="3"/>
      <c r="EHE32" s="3"/>
      <c r="EHF32" s="3"/>
      <c r="EHG32" s="3"/>
      <c r="EHH32" s="3"/>
      <c r="EHI32" s="3"/>
      <c r="EHJ32" s="3"/>
      <c r="EHK32" s="3"/>
      <c r="EHL32" s="3"/>
      <c r="EHM32" s="3"/>
      <c r="EHN32" s="3"/>
      <c r="EHO32" s="3"/>
      <c r="EHP32" s="3"/>
      <c r="EHQ32" s="3"/>
      <c r="EHR32" s="3"/>
      <c r="EHS32" s="3"/>
      <c r="EHT32" s="3"/>
      <c r="EHU32" s="3"/>
      <c r="EHV32" s="3"/>
      <c r="EHW32" s="3"/>
      <c r="EHX32" s="3"/>
      <c r="EHY32" s="3"/>
      <c r="EHZ32" s="3"/>
      <c r="EIA32" s="3"/>
      <c r="EIB32" s="3"/>
      <c r="EIC32" s="3"/>
      <c r="EID32" s="3"/>
      <c r="EIE32" s="3"/>
      <c r="EIF32" s="3"/>
      <c r="EIG32" s="3"/>
      <c r="EIH32" s="3"/>
      <c r="EII32" s="3"/>
      <c r="EIJ32" s="3"/>
      <c r="EIK32" s="3"/>
      <c r="EIL32" s="3"/>
      <c r="EIM32" s="3"/>
      <c r="EIN32" s="3"/>
      <c r="EIO32" s="3"/>
      <c r="EIP32" s="3"/>
      <c r="EIQ32" s="3"/>
      <c r="EIR32" s="3"/>
      <c r="EIS32" s="3"/>
      <c r="EIT32" s="3"/>
      <c r="EIU32" s="3"/>
      <c r="EIV32" s="3"/>
      <c r="EIW32" s="3"/>
      <c r="EIX32" s="3"/>
      <c r="EIY32" s="3"/>
      <c r="EIZ32" s="3"/>
      <c r="EJA32" s="3"/>
      <c r="EJB32" s="3"/>
      <c r="EJC32" s="3"/>
      <c r="EJD32" s="3"/>
      <c r="EJE32" s="3"/>
      <c r="EJF32" s="3"/>
      <c r="EJG32" s="3"/>
      <c r="EJH32" s="3"/>
      <c r="EJI32" s="3"/>
      <c r="EJJ32" s="3"/>
      <c r="EJK32" s="3"/>
      <c r="EJL32" s="3"/>
      <c r="EJM32" s="3"/>
      <c r="EJN32" s="3"/>
      <c r="EJO32" s="3"/>
      <c r="EJP32" s="3"/>
      <c r="EJQ32" s="3"/>
      <c r="EJR32" s="3"/>
      <c r="EJS32" s="3"/>
      <c r="EJT32" s="3"/>
      <c r="EJU32" s="3"/>
      <c r="EJV32" s="3"/>
      <c r="EJW32" s="3"/>
      <c r="EJX32" s="3"/>
      <c r="EJY32" s="3"/>
      <c r="EJZ32" s="3"/>
      <c r="EKA32" s="3"/>
      <c r="EKB32" s="3"/>
      <c r="EKC32" s="3"/>
      <c r="EKD32" s="3"/>
      <c r="EKE32" s="3"/>
      <c r="EKF32" s="3"/>
      <c r="EKG32" s="3"/>
      <c r="EKH32" s="3"/>
      <c r="EKI32" s="3"/>
      <c r="EKJ32" s="3"/>
      <c r="EKK32" s="3"/>
      <c r="EKL32" s="3"/>
      <c r="EKM32" s="3"/>
      <c r="EKN32" s="3"/>
      <c r="EKO32" s="3"/>
      <c r="EKP32" s="3"/>
      <c r="EKQ32" s="3"/>
      <c r="EKR32" s="3"/>
      <c r="EKS32" s="3"/>
      <c r="EKT32" s="3"/>
      <c r="EKU32" s="3"/>
      <c r="EKV32" s="3"/>
      <c r="EKW32" s="3"/>
      <c r="EKX32" s="3"/>
      <c r="EKY32" s="3"/>
      <c r="EKZ32" s="3"/>
      <c r="ELA32" s="3"/>
      <c r="ELB32" s="3"/>
      <c r="ELC32" s="3"/>
      <c r="ELD32" s="3"/>
      <c r="ELE32" s="3"/>
      <c r="ELF32" s="3"/>
      <c r="ELG32" s="3"/>
      <c r="ELH32" s="3"/>
      <c r="ELI32" s="3"/>
      <c r="ELJ32" s="3"/>
      <c r="ELK32" s="3"/>
      <c r="ELL32" s="3"/>
      <c r="ELM32" s="3"/>
      <c r="ELN32" s="3"/>
      <c r="ELO32" s="3"/>
      <c r="ELP32" s="3"/>
      <c r="ELQ32" s="3"/>
      <c r="ELR32" s="3"/>
      <c r="ELS32" s="3"/>
      <c r="ELT32" s="3"/>
      <c r="ELU32" s="3"/>
      <c r="ELV32" s="3"/>
      <c r="ELW32" s="3"/>
      <c r="ELX32" s="3"/>
      <c r="ELY32" s="3"/>
      <c r="ELZ32" s="3"/>
      <c r="EMA32" s="3"/>
      <c r="EMB32" s="3"/>
      <c r="EMC32" s="3"/>
      <c r="EMD32" s="3"/>
      <c r="EME32" s="3"/>
      <c r="EMF32" s="3"/>
      <c r="EMG32" s="3"/>
      <c r="EMH32" s="3"/>
      <c r="EMI32" s="3"/>
      <c r="EMJ32" s="3"/>
      <c r="EMK32" s="3"/>
      <c r="EML32" s="3"/>
      <c r="EMM32" s="3"/>
      <c r="EMN32" s="3"/>
      <c r="EMO32" s="3"/>
      <c r="EMP32" s="3"/>
      <c r="EMQ32" s="3"/>
      <c r="EMR32" s="3"/>
      <c r="EMS32" s="3"/>
      <c r="EMT32" s="3"/>
      <c r="EMU32" s="3"/>
      <c r="EMV32" s="3"/>
      <c r="EMW32" s="3"/>
      <c r="EMX32" s="3"/>
      <c r="EMY32" s="3"/>
      <c r="EMZ32" s="3"/>
      <c r="ENA32" s="3"/>
      <c r="ENB32" s="3"/>
      <c r="ENC32" s="3"/>
      <c r="END32" s="3"/>
      <c r="ENE32" s="3"/>
      <c r="ENF32" s="3"/>
      <c r="ENG32" s="3"/>
      <c r="ENH32" s="3"/>
      <c r="ENI32" s="3"/>
      <c r="ENJ32" s="3"/>
      <c r="ENK32" s="3"/>
      <c r="ENL32" s="3"/>
      <c r="ENM32" s="3"/>
      <c r="ENN32" s="3"/>
      <c r="ENO32" s="3"/>
      <c r="ENP32" s="3"/>
      <c r="ENQ32" s="3"/>
      <c r="ENR32" s="3"/>
      <c r="ENS32" s="3"/>
      <c r="ENT32" s="3"/>
      <c r="ENU32" s="3"/>
      <c r="ENV32" s="3"/>
      <c r="ENW32" s="3"/>
      <c r="ENX32" s="3"/>
      <c r="ENY32" s="3"/>
      <c r="ENZ32" s="3"/>
      <c r="EOA32" s="3"/>
      <c r="EOB32" s="3"/>
      <c r="EOC32" s="3"/>
      <c r="EOD32" s="3"/>
      <c r="EOE32" s="3"/>
      <c r="EOF32" s="3"/>
      <c r="EOG32" s="3"/>
      <c r="EOH32" s="3"/>
      <c r="EOI32" s="3"/>
      <c r="EOJ32" s="3"/>
      <c r="EOK32" s="3"/>
      <c r="EOL32" s="3"/>
      <c r="EOM32" s="3"/>
      <c r="EON32" s="3"/>
      <c r="EOO32" s="3"/>
      <c r="EOP32" s="3"/>
      <c r="EOQ32" s="3"/>
      <c r="EOR32" s="3"/>
      <c r="EOS32" s="3"/>
      <c r="EOT32" s="3"/>
      <c r="EOU32" s="3"/>
      <c r="EOV32" s="3"/>
      <c r="EOW32" s="3"/>
      <c r="EOX32" s="3"/>
      <c r="EOY32" s="3"/>
      <c r="EOZ32" s="3"/>
      <c r="EPA32" s="3"/>
      <c r="EPB32" s="3"/>
      <c r="EPC32" s="3"/>
      <c r="EPD32" s="3"/>
      <c r="EPE32" s="3"/>
      <c r="EPF32" s="3"/>
      <c r="EPG32" s="3"/>
      <c r="EPH32" s="3"/>
      <c r="EPI32" s="3"/>
      <c r="EPJ32" s="3"/>
      <c r="EPK32" s="3"/>
      <c r="EPL32" s="3"/>
      <c r="EPM32" s="3"/>
      <c r="EPN32" s="3"/>
      <c r="EPO32" s="3"/>
      <c r="EPP32" s="3"/>
      <c r="EPQ32" s="3"/>
      <c r="EPR32" s="3"/>
      <c r="EPS32" s="3"/>
      <c r="EPT32" s="3"/>
      <c r="EPU32" s="3"/>
      <c r="EPV32" s="3"/>
      <c r="EPW32" s="3"/>
      <c r="EPX32" s="3"/>
      <c r="EPY32" s="3"/>
      <c r="EPZ32" s="3"/>
      <c r="EQA32" s="3"/>
      <c r="EQB32" s="3"/>
      <c r="EQC32" s="3"/>
      <c r="EQD32" s="3"/>
      <c r="EQE32" s="3"/>
      <c r="EQF32" s="3"/>
      <c r="EQG32" s="3"/>
      <c r="EQH32" s="3"/>
      <c r="EQI32" s="3"/>
      <c r="EQJ32" s="3"/>
      <c r="EQK32" s="3"/>
      <c r="EQL32" s="3"/>
      <c r="EQM32" s="3"/>
      <c r="EQN32" s="3"/>
      <c r="EQO32" s="3"/>
      <c r="EQP32" s="3"/>
      <c r="EQQ32" s="3"/>
      <c r="EQR32" s="3"/>
      <c r="EQS32" s="3"/>
      <c r="EQT32" s="3"/>
      <c r="EQU32" s="3"/>
      <c r="EQV32" s="3"/>
      <c r="EQW32" s="3"/>
      <c r="EQX32" s="3"/>
      <c r="EQY32" s="3"/>
      <c r="EQZ32" s="3"/>
      <c r="ERA32" s="3"/>
      <c r="ERB32" s="3"/>
      <c r="ERC32" s="3"/>
      <c r="ERD32" s="3"/>
      <c r="ERE32" s="3"/>
      <c r="ERF32" s="3"/>
      <c r="ERG32" s="3"/>
      <c r="ERH32" s="3"/>
      <c r="ERI32" s="3"/>
      <c r="ERJ32" s="3"/>
      <c r="ERK32" s="3"/>
      <c r="ERL32" s="3"/>
      <c r="ERM32" s="3"/>
      <c r="ERN32" s="3"/>
      <c r="ERO32" s="3"/>
      <c r="ERP32" s="3"/>
      <c r="ERQ32" s="3"/>
      <c r="ERR32" s="3"/>
      <c r="ERS32" s="3"/>
      <c r="ERT32" s="3"/>
      <c r="ERU32" s="3"/>
      <c r="ERV32" s="3"/>
      <c r="ERW32" s="3"/>
      <c r="ERX32" s="3"/>
      <c r="ERY32" s="3"/>
      <c r="ERZ32" s="3"/>
      <c r="ESA32" s="3"/>
      <c r="ESB32" s="3"/>
      <c r="ESC32" s="3"/>
      <c r="ESD32" s="3"/>
      <c r="ESE32" s="3"/>
      <c r="ESF32" s="3"/>
      <c r="ESG32" s="3"/>
      <c r="ESH32" s="3"/>
      <c r="ESI32" s="3"/>
      <c r="ESJ32" s="3"/>
      <c r="ESK32" s="3"/>
      <c r="ESL32" s="3"/>
      <c r="ESM32" s="3"/>
      <c r="ESN32" s="3"/>
      <c r="ESO32" s="3"/>
      <c r="ESP32" s="3"/>
      <c r="ESQ32" s="3"/>
      <c r="ESR32" s="3"/>
      <c r="ESS32" s="3"/>
      <c r="EST32" s="3"/>
      <c r="ESU32" s="3"/>
      <c r="ESV32" s="3"/>
      <c r="ESW32" s="3"/>
      <c r="ESX32" s="3"/>
      <c r="ESY32" s="3"/>
      <c r="ESZ32" s="3"/>
      <c r="ETA32" s="3"/>
      <c r="ETB32" s="3"/>
      <c r="ETC32" s="3"/>
      <c r="ETD32" s="3"/>
      <c r="ETE32" s="3"/>
      <c r="ETF32" s="3"/>
      <c r="ETG32" s="3"/>
      <c r="ETH32" s="3"/>
      <c r="ETI32" s="3"/>
      <c r="ETJ32" s="3"/>
      <c r="ETK32" s="3"/>
      <c r="ETL32" s="3"/>
      <c r="ETM32" s="3"/>
      <c r="ETN32" s="3"/>
      <c r="ETO32" s="3"/>
      <c r="ETP32" s="3"/>
      <c r="ETQ32" s="3"/>
      <c r="ETR32" s="3"/>
      <c r="ETS32" s="3"/>
      <c r="ETT32" s="3"/>
      <c r="ETU32" s="3"/>
      <c r="ETV32" s="3"/>
      <c r="ETW32" s="3"/>
      <c r="ETX32" s="3"/>
      <c r="ETY32" s="3"/>
      <c r="ETZ32" s="3"/>
      <c r="EUA32" s="3"/>
      <c r="EUB32" s="3"/>
      <c r="EUC32" s="3"/>
      <c r="EUD32" s="3"/>
      <c r="EUE32" s="3"/>
      <c r="EUF32" s="3"/>
      <c r="EUG32" s="3"/>
      <c r="EUH32" s="3"/>
      <c r="EUI32" s="3"/>
      <c r="EUJ32" s="3"/>
      <c r="EUK32" s="3"/>
      <c r="EUL32" s="3"/>
      <c r="EUM32" s="3"/>
      <c r="EUN32" s="3"/>
      <c r="EUO32" s="3"/>
      <c r="EUP32" s="3"/>
      <c r="EUQ32" s="3"/>
      <c r="EUR32" s="3"/>
      <c r="EUS32" s="3"/>
      <c r="EUT32" s="3"/>
      <c r="EUU32" s="3"/>
      <c r="EUV32" s="3"/>
      <c r="EUW32" s="3"/>
      <c r="EUX32" s="3"/>
      <c r="EUY32" s="3"/>
      <c r="EUZ32" s="3"/>
      <c r="EVA32" s="3"/>
      <c r="EVB32" s="3"/>
      <c r="EVC32" s="3"/>
      <c r="EVD32" s="3"/>
      <c r="EVE32" s="3"/>
      <c r="EVF32" s="3"/>
      <c r="EVG32" s="3"/>
      <c r="EVH32" s="3"/>
      <c r="EVI32" s="3"/>
      <c r="EVJ32" s="3"/>
      <c r="EVK32" s="3"/>
      <c r="EVL32" s="3"/>
      <c r="EVM32" s="3"/>
      <c r="EVN32" s="3"/>
      <c r="EVO32" s="3"/>
      <c r="EVP32" s="3"/>
      <c r="EVQ32" s="3"/>
      <c r="EVR32" s="3"/>
      <c r="EVS32" s="3"/>
      <c r="EVT32" s="3"/>
      <c r="EVU32" s="3"/>
      <c r="EVV32" s="3"/>
      <c r="EVW32" s="3"/>
      <c r="EVX32" s="3"/>
      <c r="EVY32" s="3"/>
      <c r="EVZ32" s="3"/>
      <c r="EWA32" s="3"/>
      <c r="EWB32" s="3"/>
      <c r="EWC32" s="3"/>
      <c r="EWD32" s="3"/>
      <c r="EWE32" s="3"/>
      <c r="EWF32" s="3"/>
      <c r="EWG32" s="3"/>
      <c r="EWH32" s="3"/>
      <c r="EWI32" s="3"/>
      <c r="EWJ32" s="3"/>
      <c r="EWK32" s="3"/>
      <c r="EWL32" s="3"/>
      <c r="EWM32" s="3"/>
      <c r="EWN32" s="3"/>
      <c r="EWO32" s="3"/>
      <c r="EWP32" s="3"/>
      <c r="EWQ32" s="3"/>
      <c r="EWR32" s="3"/>
      <c r="EWS32" s="3"/>
      <c r="EWT32" s="3"/>
      <c r="EWU32" s="3"/>
      <c r="EWV32" s="3"/>
      <c r="EWW32" s="3"/>
      <c r="EWX32" s="3"/>
      <c r="EWY32" s="3"/>
      <c r="EWZ32" s="3"/>
      <c r="EXA32" s="3"/>
      <c r="EXB32" s="3"/>
      <c r="EXC32" s="3"/>
      <c r="EXD32" s="3"/>
      <c r="EXE32" s="3"/>
      <c r="EXF32" s="3"/>
      <c r="EXG32" s="3"/>
      <c r="EXH32" s="3"/>
      <c r="EXI32" s="3"/>
      <c r="EXJ32" s="3"/>
      <c r="EXK32" s="3"/>
      <c r="EXL32" s="3"/>
      <c r="EXM32" s="3"/>
      <c r="EXN32" s="3"/>
      <c r="EXO32" s="3"/>
      <c r="EXP32" s="3"/>
      <c r="EXQ32" s="3"/>
      <c r="EXR32" s="3"/>
      <c r="EXS32" s="3"/>
      <c r="EXT32" s="3"/>
      <c r="EXU32" s="3"/>
      <c r="EXV32" s="3"/>
      <c r="EXW32" s="3"/>
      <c r="EXX32" s="3"/>
      <c r="EXY32" s="3"/>
      <c r="EXZ32" s="3"/>
      <c r="EYA32" s="3"/>
      <c r="EYB32" s="3"/>
      <c r="EYC32" s="3"/>
      <c r="EYD32" s="3"/>
      <c r="EYE32" s="3"/>
      <c r="EYF32" s="3"/>
      <c r="EYG32" s="3"/>
      <c r="EYH32" s="3"/>
      <c r="EYI32" s="3"/>
      <c r="EYJ32" s="3"/>
      <c r="EYK32" s="3"/>
      <c r="EYL32" s="3"/>
      <c r="EYM32" s="3"/>
      <c r="EYN32" s="3"/>
      <c r="EYO32" s="3"/>
      <c r="EYP32" s="3"/>
      <c r="EYQ32" s="3"/>
      <c r="EYR32" s="3"/>
      <c r="EYS32" s="3"/>
      <c r="EYT32" s="3"/>
      <c r="EYU32" s="3"/>
      <c r="EYV32" s="3"/>
      <c r="EYW32" s="3"/>
      <c r="EYX32" s="3"/>
      <c r="EYY32" s="3"/>
      <c r="EYZ32" s="3"/>
      <c r="EZA32" s="3"/>
      <c r="EZB32" s="3"/>
      <c r="EZC32" s="3"/>
      <c r="EZD32" s="3"/>
      <c r="EZE32" s="3"/>
      <c r="EZF32" s="3"/>
      <c r="EZG32" s="3"/>
      <c r="EZH32" s="3"/>
      <c r="EZI32" s="3"/>
      <c r="EZJ32" s="3"/>
      <c r="EZK32" s="3"/>
      <c r="EZL32" s="3"/>
      <c r="EZM32" s="3"/>
      <c r="EZN32" s="3"/>
      <c r="EZO32" s="3"/>
      <c r="EZP32" s="3"/>
      <c r="EZQ32" s="3"/>
      <c r="EZR32" s="3"/>
      <c r="EZS32" s="3"/>
      <c r="EZT32" s="3"/>
      <c r="EZU32" s="3"/>
      <c r="EZV32" s="3"/>
      <c r="EZW32" s="3"/>
      <c r="EZX32" s="3"/>
      <c r="EZY32" s="3"/>
      <c r="EZZ32" s="3"/>
      <c r="FAA32" s="3"/>
      <c r="FAB32" s="3"/>
      <c r="FAC32" s="3"/>
      <c r="FAD32" s="3"/>
      <c r="FAE32" s="3"/>
      <c r="FAF32" s="3"/>
      <c r="FAG32" s="3"/>
      <c r="FAH32" s="3"/>
      <c r="FAI32" s="3"/>
      <c r="FAJ32" s="3"/>
      <c r="FAK32" s="3"/>
      <c r="FAL32" s="3"/>
      <c r="FAM32" s="3"/>
      <c r="FAN32" s="3"/>
      <c r="FAO32" s="3"/>
      <c r="FAP32" s="3"/>
      <c r="FAQ32" s="3"/>
      <c r="FAR32" s="3"/>
      <c r="FAS32" s="3"/>
      <c r="FAT32" s="3"/>
      <c r="FAU32" s="3"/>
      <c r="FAV32" s="3"/>
      <c r="FAW32" s="3"/>
      <c r="FAX32" s="3"/>
      <c r="FAY32" s="3"/>
      <c r="FAZ32" s="3"/>
      <c r="FBA32" s="3"/>
      <c r="FBB32" s="3"/>
      <c r="FBC32" s="3"/>
      <c r="FBD32" s="3"/>
      <c r="FBE32" s="3"/>
      <c r="FBF32" s="3"/>
      <c r="FBG32" s="3"/>
      <c r="FBH32" s="3"/>
      <c r="FBI32" s="3"/>
      <c r="FBJ32" s="3"/>
      <c r="FBK32" s="3"/>
      <c r="FBL32" s="3"/>
      <c r="FBM32" s="3"/>
      <c r="FBN32" s="3"/>
      <c r="FBO32" s="3"/>
      <c r="FBP32" s="3"/>
      <c r="FBQ32" s="3"/>
      <c r="FBR32" s="3"/>
      <c r="FBS32" s="3"/>
      <c r="FBT32" s="3"/>
      <c r="FBU32" s="3"/>
      <c r="FBV32" s="3"/>
      <c r="FBW32" s="3"/>
      <c r="FBX32" s="3"/>
      <c r="FBY32" s="3"/>
      <c r="FBZ32" s="3"/>
      <c r="FCA32" s="3"/>
      <c r="FCB32" s="3"/>
      <c r="FCC32" s="3"/>
      <c r="FCD32" s="3"/>
      <c r="FCE32" s="3"/>
      <c r="FCF32" s="3"/>
      <c r="FCG32" s="3"/>
      <c r="FCH32" s="3"/>
      <c r="FCI32" s="3"/>
      <c r="FCJ32" s="3"/>
      <c r="FCK32" s="3"/>
      <c r="FCL32" s="3"/>
      <c r="FCM32" s="3"/>
      <c r="FCN32" s="3"/>
      <c r="FCO32" s="3"/>
      <c r="FCP32" s="3"/>
      <c r="FCQ32" s="3"/>
      <c r="FCR32" s="3"/>
      <c r="FCS32" s="3"/>
      <c r="FCT32" s="3"/>
      <c r="FCU32" s="3"/>
      <c r="FCV32" s="3"/>
      <c r="FCW32" s="3"/>
      <c r="FCX32" s="3"/>
      <c r="FCY32" s="3"/>
      <c r="FCZ32" s="3"/>
      <c r="FDA32" s="3"/>
      <c r="FDB32" s="3"/>
      <c r="FDC32" s="3"/>
      <c r="FDD32" s="3"/>
      <c r="FDE32" s="3"/>
      <c r="FDF32" s="3"/>
      <c r="FDG32" s="3"/>
      <c r="FDH32" s="3"/>
      <c r="FDI32" s="3"/>
      <c r="FDJ32" s="3"/>
      <c r="FDK32" s="3"/>
      <c r="FDL32" s="3"/>
      <c r="FDM32" s="3"/>
      <c r="FDN32" s="3"/>
      <c r="FDO32" s="3"/>
      <c r="FDP32" s="3"/>
      <c r="FDQ32" s="3"/>
      <c r="FDR32" s="3"/>
      <c r="FDS32" s="3"/>
      <c r="FDT32" s="3"/>
      <c r="FDU32" s="3"/>
      <c r="FDV32" s="3"/>
      <c r="FDW32" s="3"/>
      <c r="FDX32" s="3"/>
      <c r="FDY32" s="3"/>
      <c r="FDZ32" s="3"/>
      <c r="FEA32" s="3"/>
      <c r="FEB32" s="3"/>
      <c r="FEC32" s="3"/>
      <c r="FED32" s="3"/>
      <c r="FEE32" s="3"/>
      <c r="FEF32" s="3"/>
      <c r="FEG32" s="3"/>
      <c r="FEH32" s="3"/>
      <c r="FEI32" s="3"/>
      <c r="FEJ32" s="3"/>
      <c r="FEK32" s="3"/>
      <c r="FEL32" s="3"/>
      <c r="FEM32" s="3"/>
      <c r="FEN32" s="3"/>
      <c r="FEO32" s="3"/>
      <c r="FEP32" s="3"/>
      <c r="FEQ32" s="3"/>
      <c r="FER32" s="3"/>
      <c r="FES32" s="3"/>
      <c r="FET32" s="3"/>
      <c r="FEU32" s="3"/>
      <c r="FEV32" s="3"/>
      <c r="FEW32" s="3"/>
      <c r="FEX32" s="3"/>
      <c r="FEY32" s="3"/>
      <c r="FEZ32" s="3"/>
      <c r="FFA32" s="3"/>
      <c r="FFB32" s="3"/>
      <c r="FFC32" s="3"/>
      <c r="FFD32" s="3"/>
      <c r="FFE32" s="3"/>
      <c r="FFF32" s="3"/>
      <c r="FFG32" s="3"/>
      <c r="FFH32" s="3"/>
      <c r="FFI32" s="3"/>
      <c r="FFJ32" s="3"/>
      <c r="FFK32" s="3"/>
      <c r="FFL32" s="3"/>
      <c r="FFM32" s="3"/>
      <c r="FFN32" s="3"/>
      <c r="FFO32" s="3"/>
      <c r="FFP32" s="3"/>
      <c r="FFQ32" s="3"/>
      <c r="FFR32" s="3"/>
      <c r="FFS32" s="3"/>
      <c r="FFT32" s="3"/>
      <c r="FFU32" s="3"/>
      <c r="FFV32" s="3"/>
      <c r="FFW32" s="3"/>
      <c r="FFX32" s="3"/>
      <c r="FFY32" s="3"/>
      <c r="FFZ32" s="3"/>
      <c r="FGA32" s="3"/>
      <c r="FGB32" s="3"/>
      <c r="FGC32" s="3"/>
      <c r="FGD32" s="3"/>
      <c r="FGE32" s="3"/>
      <c r="FGF32" s="3"/>
      <c r="FGG32" s="3"/>
      <c r="FGH32" s="3"/>
      <c r="FGI32" s="3"/>
      <c r="FGJ32" s="3"/>
      <c r="FGK32" s="3"/>
      <c r="FGL32" s="3"/>
      <c r="FGM32" s="3"/>
      <c r="FGN32" s="3"/>
      <c r="FGO32" s="3"/>
      <c r="FGP32" s="3"/>
      <c r="FGQ32" s="3"/>
      <c r="FGR32" s="3"/>
      <c r="FGS32" s="3"/>
      <c r="FGT32" s="3"/>
      <c r="FGU32" s="3"/>
      <c r="FGV32" s="3"/>
      <c r="FGW32" s="3"/>
      <c r="FGX32" s="3"/>
      <c r="FGY32" s="3"/>
      <c r="FGZ32" s="3"/>
      <c r="FHA32" s="3"/>
      <c r="FHB32" s="3"/>
      <c r="FHC32" s="3"/>
      <c r="FHD32" s="3"/>
      <c r="FHE32" s="3"/>
      <c r="FHF32" s="3"/>
      <c r="FHG32" s="3"/>
      <c r="FHH32" s="3"/>
      <c r="FHI32" s="3"/>
      <c r="FHJ32" s="3"/>
      <c r="FHK32" s="3"/>
      <c r="FHL32" s="3"/>
      <c r="FHM32" s="3"/>
      <c r="FHN32" s="3"/>
      <c r="FHO32" s="3"/>
      <c r="FHP32" s="3"/>
      <c r="FHQ32" s="3"/>
      <c r="FHR32" s="3"/>
      <c r="FHS32" s="3"/>
      <c r="FHT32" s="3"/>
      <c r="FHU32" s="3"/>
      <c r="FHV32" s="3"/>
      <c r="FHW32" s="3"/>
      <c r="FHX32" s="3"/>
      <c r="FHY32" s="3"/>
      <c r="FHZ32" s="3"/>
      <c r="FIA32" s="3"/>
      <c r="FIB32" s="3"/>
      <c r="FIC32" s="3"/>
      <c r="FID32" s="3"/>
      <c r="FIE32" s="3"/>
      <c r="FIF32" s="3"/>
      <c r="FIG32" s="3"/>
      <c r="FIH32" s="3"/>
      <c r="FII32" s="3"/>
      <c r="FIJ32" s="3"/>
      <c r="FIK32" s="3"/>
      <c r="FIL32" s="3"/>
      <c r="FIM32" s="3"/>
      <c r="FIN32" s="3"/>
      <c r="FIO32" s="3"/>
      <c r="FIP32" s="3"/>
      <c r="FIQ32" s="3"/>
      <c r="FIR32" s="3"/>
      <c r="FIS32" s="3"/>
      <c r="FIT32" s="3"/>
      <c r="FIU32" s="3"/>
      <c r="FIV32" s="3"/>
      <c r="FIW32" s="3"/>
      <c r="FIX32" s="3"/>
      <c r="FIY32" s="3"/>
      <c r="FIZ32" s="3"/>
      <c r="FJA32" s="3"/>
      <c r="FJB32" s="3"/>
      <c r="FJC32" s="3"/>
      <c r="FJD32" s="3"/>
      <c r="FJE32" s="3"/>
      <c r="FJF32" s="3"/>
      <c r="FJG32" s="3"/>
      <c r="FJH32" s="3"/>
      <c r="FJI32" s="3"/>
      <c r="FJJ32" s="3"/>
      <c r="FJK32" s="3"/>
      <c r="FJL32" s="3"/>
      <c r="FJM32" s="3"/>
      <c r="FJN32" s="3"/>
      <c r="FJO32" s="3"/>
      <c r="FJP32" s="3"/>
      <c r="FJQ32" s="3"/>
      <c r="FJR32" s="3"/>
      <c r="FJS32" s="3"/>
      <c r="FJT32" s="3"/>
      <c r="FJU32" s="3"/>
      <c r="FJV32" s="3"/>
      <c r="FJW32" s="3"/>
      <c r="FJX32" s="3"/>
      <c r="FJY32" s="3"/>
      <c r="FJZ32" s="3"/>
      <c r="FKA32" s="3"/>
      <c r="FKB32" s="3"/>
      <c r="FKC32" s="3"/>
      <c r="FKD32" s="3"/>
      <c r="FKE32" s="3"/>
      <c r="FKF32" s="3"/>
      <c r="FKG32" s="3"/>
      <c r="FKH32" s="3"/>
      <c r="FKI32" s="3"/>
      <c r="FKJ32" s="3"/>
      <c r="FKK32" s="3"/>
      <c r="FKL32" s="3"/>
      <c r="FKM32" s="3"/>
      <c r="FKN32" s="3"/>
      <c r="FKO32" s="3"/>
      <c r="FKP32" s="3"/>
      <c r="FKQ32" s="3"/>
      <c r="FKR32" s="3"/>
      <c r="FKS32" s="3"/>
      <c r="FKT32" s="3"/>
      <c r="FKU32" s="3"/>
      <c r="FKV32" s="3"/>
      <c r="FKW32" s="3"/>
      <c r="FKX32" s="3"/>
      <c r="FKY32" s="3"/>
      <c r="FKZ32" s="3"/>
      <c r="FLA32" s="3"/>
      <c r="FLB32" s="3"/>
      <c r="FLC32" s="3"/>
      <c r="FLD32" s="3"/>
      <c r="FLE32" s="3"/>
      <c r="FLF32" s="3"/>
      <c r="FLG32" s="3"/>
      <c r="FLH32" s="3"/>
      <c r="FLI32" s="3"/>
      <c r="FLJ32" s="3"/>
      <c r="FLK32" s="3"/>
      <c r="FLL32" s="3"/>
      <c r="FLM32" s="3"/>
      <c r="FLN32" s="3"/>
      <c r="FLO32" s="3"/>
      <c r="FLP32" s="3"/>
      <c r="FLQ32" s="3"/>
      <c r="FLR32" s="3"/>
      <c r="FLS32" s="3"/>
      <c r="FLT32" s="3"/>
      <c r="FLU32" s="3"/>
      <c r="FLV32" s="3"/>
      <c r="FLW32" s="3"/>
      <c r="FLX32" s="3"/>
      <c r="FLY32" s="3"/>
      <c r="FLZ32" s="3"/>
      <c r="FMA32" s="3"/>
      <c r="FMB32" s="3"/>
      <c r="FMC32" s="3"/>
      <c r="FMD32" s="3"/>
      <c r="FME32" s="3"/>
      <c r="FMF32" s="3"/>
      <c r="FMG32" s="3"/>
      <c r="FMH32" s="3"/>
      <c r="FMI32" s="3"/>
      <c r="FMJ32" s="3"/>
      <c r="FMK32" s="3"/>
      <c r="FML32" s="3"/>
      <c r="FMM32" s="3"/>
      <c r="FMN32" s="3"/>
      <c r="FMO32" s="3"/>
      <c r="FMP32" s="3"/>
      <c r="FMQ32" s="3"/>
      <c r="FMR32" s="3"/>
      <c r="FMS32" s="3"/>
      <c r="FMT32" s="3"/>
      <c r="FMU32" s="3"/>
      <c r="FMV32" s="3"/>
      <c r="FMW32" s="3"/>
      <c r="FMX32" s="3"/>
      <c r="FMY32" s="3"/>
      <c r="FMZ32" s="3"/>
      <c r="FNA32" s="3"/>
      <c r="FNB32" s="3"/>
      <c r="FNC32" s="3"/>
      <c r="FND32" s="3"/>
      <c r="FNE32" s="3"/>
      <c r="FNF32" s="3"/>
      <c r="FNG32" s="3"/>
      <c r="FNH32" s="3"/>
      <c r="FNI32" s="3"/>
      <c r="FNJ32" s="3"/>
      <c r="FNK32" s="3"/>
      <c r="FNL32" s="3"/>
      <c r="FNM32" s="3"/>
      <c r="FNN32" s="3"/>
      <c r="FNO32" s="3"/>
      <c r="FNP32" s="3"/>
      <c r="FNQ32" s="3"/>
      <c r="FNR32" s="3"/>
      <c r="FNS32" s="3"/>
      <c r="FNT32" s="3"/>
      <c r="FNU32" s="3"/>
      <c r="FNV32" s="3"/>
      <c r="FNW32" s="3"/>
      <c r="FNX32" s="3"/>
      <c r="FNY32" s="3"/>
      <c r="FNZ32" s="3"/>
      <c r="FOA32" s="3"/>
      <c r="FOB32" s="3"/>
      <c r="FOC32" s="3"/>
      <c r="FOD32" s="3"/>
      <c r="FOE32" s="3"/>
      <c r="FOF32" s="3"/>
      <c r="FOG32" s="3"/>
      <c r="FOH32" s="3"/>
      <c r="FOI32" s="3"/>
      <c r="FOJ32" s="3"/>
      <c r="FOK32" s="3"/>
      <c r="FOL32" s="3"/>
      <c r="FOM32" s="3"/>
      <c r="FON32" s="3"/>
      <c r="FOO32" s="3"/>
      <c r="FOP32" s="3"/>
      <c r="FOQ32" s="3"/>
      <c r="FOR32" s="3"/>
      <c r="FOS32" s="3"/>
      <c r="FOT32" s="3"/>
      <c r="FOU32" s="3"/>
      <c r="FOV32" s="3"/>
      <c r="FOW32" s="3"/>
      <c r="FOX32" s="3"/>
      <c r="FOY32" s="3"/>
      <c r="FOZ32" s="3"/>
      <c r="FPA32" s="3"/>
      <c r="FPB32" s="3"/>
      <c r="FPC32" s="3"/>
      <c r="FPD32" s="3"/>
      <c r="FPE32" s="3"/>
      <c r="FPF32" s="3"/>
      <c r="FPG32" s="3"/>
      <c r="FPH32" s="3"/>
      <c r="FPI32" s="3"/>
      <c r="FPJ32" s="3"/>
      <c r="FPK32" s="3"/>
      <c r="FPL32" s="3"/>
      <c r="FPM32" s="3"/>
      <c r="FPN32" s="3"/>
      <c r="FPO32" s="3"/>
      <c r="FPP32" s="3"/>
      <c r="FPQ32" s="3"/>
      <c r="FPR32" s="3"/>
      <c r="FPS32" s="3"/>
      <c r="FPT32" s="3"/>
      <c r="FPU32" s="3"/>
      <c r="FPV32" s="3"/>
      <c r="FPW32" s="3"/>
      <c r="FPX32" s="3"/>
      <c r="FPY32" s="3"/>
      <c r="FPZ32" s="3"/>
      <c r="FQA32" s="3"/>
      <c r="FQB32" s="3"/>
      <c r="FQC32" s="3"/>
      <c r="FQD32" s="3"/>
      <c r="FQE32" s="3"/>
      <c r="FQF32" s="3"/>
      <c r="FQG32" s="3"/>
      <c r="FQH32" s="3"/>
      <c r="FQI32" s="3"/>
      <c r="FQJ32" s="3"/>
      <c r="FQK32" s="3"/>
      <c r="FQL32" s="3"/>
      <c r="FQM32" s="3"/>
      <c r="FQN32" s="3"/>
      <c r="FQO32" s="3"/>
      <c r="FQP32" s="3"/>
      <c r="FQQ32" s="3"/>
      <c r="FQR32" s="3"/>
      <c r="FQS32" s="3"/>
      <c r="FQT32" s="3"/>
      <c r="FQU32" s="3"/>
      <c r="FQV32" s="3"/>
      <c r="FQW32" s="3"/>
      <c r="FQX32" s="3"/>
      <c r="FQY32" s="3"/>
      <c r="FQZ32" s="3"/>
      <c r="FRA32" s="3"/>
      <c r="FRB32" s="3"/>
      <c r="FRC32" s="3"/>
      <c r="FRD32" s="3"/>
      <c r="FRE32" s="3"/>
      <c r="FRF32" s="3"/>
      <c r="FRG32" s="3"/>
      <c r="FRH32" s="3"/>
      <c r="FRI32" s="3"/>
      <c r="FRJ32" s="3"/>
      <c r="FRK32" s="3"/>
      <c r="FRL32" s="3"/>
      <c r="FRM32" s="3"/>
      <c r="FRN32" s="3"/>
      <c r="FRO32" s="3"/>
      <c r="FRP32" s="3"/>
      <c r="FRQ32" s="3"/>
      <c r="FRR32" s="3"/>
      <c r="FRS32" s="3"/>
      <c r="FRT32" s="3"/>
      <c r="FRU32" s="3"/>
      <c r="FRV32" s="3"/>
      <c r="FRW32" s="3"/>
      <c r="FRX32" s="3"/>
      <c r="FRY32" s="3"/>
      <c r="FRZ32" s="3"/>
      <c r="FSA32" s="3"/>
      <c r="FSB32" s="3"/>
      <c r="FSC32" s="3"/>
      <c r="FSD32" s="3"/>
      <c r="FSE32" s="3"/>
      <c r="FSF32" s="3"/>
      <c r="FSG32" s="3"/>
      <c r="FSH32" s="3"/>
      <c r="FSI32" s="3"/>
      <c r="FSJ32" s="3"/>
      <c r="FSK32" s="3"/>
      <c r="FSL32" s="3"/>
      <c r="FSM32" s="3"/>
      <c r="FSN32" s="3"/>
      <c r="FSO32" s="3"/>
      <c r="FSP32" s="3"/>
      <c r="FSQ32" s="3"/>
      <c r="FSR32" s="3"/>
      <c r="FSS32" s="3"/>
      <c r="FST32" s="3"/>
      <c r="FSU32" s="3"/>
      <c r="FSV32" s="3"/>
      <c r="FSW32" s="3"/>
      <c r="FSX32" s="3"/>
      <c r="FSY32" s="3"/>
      <c r="FSZ32" s="3"/>
      <c r="FTA32" s="3"/>
      <c r="FTB32" s="3"/>
      <c r="FTC32" s="3"/>
      <c r="FTD32" s="3"/>
      <c r="FTE32" s="3"/>
      <c r="FTF32" s="3"/>
      <c r="FTG32" s="3"/>
      <c r="FTH32" s="3"/>
      <c r="FTI32" s="3"/>
      <c r="FTJ32" s="3"/>
      <c r="FTK32" s="3"/>
      <c r="FTL32" s="3"/>
      <c r="FTM32" s="3"/>
      <c r="FTN32" s="3"/>
      <c r="FTO32" s="3"/>
      <c r="FTP32" s="3"/>
      <c r="FTQ32" s="3"/>
      <c r="FTR32" s="3"/>
      <c r="FTS32" s="3"/>
      <c r="FTT32" s="3"/>
      <c r="FTU32" s="3"/>
      <c r="FTV32" s="3"/>
      <c r="FTW32" s="3"/>
      <c r="FTX32" s="3"/>
      <c r="FTY32" s="3"/>
      <c r="FTZ32" s="3"/>
      <c r="FUA32" s="3"/>
      <c r="FUB32" s="3"/>
      <c r="FUC32" s="3"/>
      <c r="FUD32" s="3"/>
      <c r="FUE32" s="3"/>
      <c r="FUF32" s="3"/>
      <c r="FUG32" s="3"/>
      <c r="FUH32" s="3"/>
      <c r="FUI32" s="3"/>
      <c r="FUJ32" s="3"/>
      <c r="FUK32" s="3"/>
      <c r="FUL32" s="3"/>
      <c r="FUM32" s="3"/>
      <c r="FUN32" s="3"/>
      <c r="FUO32" s="3"/>
      <c r="FUP32" s="3"/>
      <c r="FUQ32" s="3"/>
      <c r="FUR32" s="3"/>
      <c r="FUS32" s="3"/>
      <c r="FUT32" s="3"/>
      <c r="FUU32" s="3"/>
      <c r="FUV32" s="3"/>
      <c r="FUW32" s="3"/>
      <c r="FUX32" s="3"/>
      <c r="FUY32" s="3"/>
      <c r="FUZ32" s="3"/>
      <c r="FVA32" s="3"/>
      <c r="FVB32" s="3"/>
      <c r="FVC32" s="3"/>
      <c r="FVD32" s="3"/>
      <c r="FVE32" s="3"/>
      <c r="FVF32" s="3"/>
      <c r="FVG32" s="3"/>
      <c r="FVH32" s="3"/>
      <c r="FVI32" s="3"/>
      <c r="FVJ32" s="3"/>
      <c r="FVK32" s="3"/>
      <c r="FVL32" s="3"/>
      <c r="FVM32" s="3"/>
      <c r="FVN32" s="3"/>
      <c r="FVO32" s="3"/>
      <c r="FVP32" s="3"/>
      <c r="FVQ32" s="3"/>
      <c r="FVR32" s="3"/>
      <c r="FVS32" s="3"/>
      <c r="FVT32" s="3"/>
      <c r="FVU32" s="3"/>
      <c r="FVV32" s="3"/>
      <c r="FVW32" s="3"/>
      <c r="FVX32" s="3"/>
      <c r="FVY32" s="3"/>
      <c r="FVZ32" s="3"/>
      <c r="FWA32" s="3"/>
      <c r="FWB32" s="3"/>
      <c r="FWC32" s="3"/>
      <c r="FWD32" s="3"/>
      <c r="FWE32" s="3"/>
      <c r="FWF32" s="3"/>
      <c r="FWG32" s="3"/>
      <c r="FWH32" s="3"/>
      <c r="FWI32" s="3"/>
      <c r="FWJ32" s="3"/>
      <c r="FWK32" s="3"/>
      <c r="FWL32" s="3"/>
      <c r="FWM32" s="3"/>
      <c r="FWN32" s="3"/>
      <c r="FWO32" s="3"/>
      <c r="FWP32" s="3"/>
      <c r="FWQ32" s="3"/>
      <c r="FWR32" s="3"/>
      <c r="FWS32" s="3"/>
      <c r="FWT32" s="3"/>
      <c r="FWU32" s="3"/>
      <c r="FWV32" s="3"/>
      <c r="FWW32" s="3"/>
      <c r="FWX32" s="3"/>
      <c r="FWY32" s="3"/>
      <c r="FWZ32" s="3"/>
      <c r="FXA32" s="3"/>
      <c r="FXB32" s="3"/>
      <c r="FXC32" s="3"/>
      <c r="FXD32" s="3"/>
      <c r="FXE32" s="3"/>
      <c r="FXF32" s="3"/>
      <c r="FXG32" s="3"/>
      <c r="FXH32" s="3"/>
      <c r="FXI32" s="3"/>
      <c r="FXJ32" s="3"/>
      <c r="FXK32" s="3"/>
      <c r="FXL32" s="3"/>
      <c r="FXM32" s="3"/>
      <c r="FXN32" s="3"/>
      <c r="FXO32" s="3"/>
      <c r="FXP32" s="3"/>
      <c r="FXQ32" s="3"/>
      <c r="FXR32" s="3"/>
      <c r="FXS32" s="3"/>
      <c r="FXT32" s="3"/>
      <c r="FXU32" s="3"/>
      <c r="FXV32" s="3"/>
      <c r="FXW32" s="3"/>
      <c r="FXX32" s="3"/>
      <c r="FXY32" s="3"/>
      <c r="FXZ32" s="3"/>
      <c r="FYA32" s="3"/>
      <c r="FYB32" s="3"/>
      <c r="FYC32" s="3"/>
      <c r="FYD32" s="3"/>
      <c r="FYE32" s="3"/>
      <c r="FYF32" s="3"/>
      <c r="FYG32" s="3"/>
      <c r="FYH32" s="3"/>
      <c r="FYI32" s="3"/>
      <c r="FYJ32" s="3"/>
      <c r="FYK32" s="3"/>
      <c r="FYL32" s="3"/>
      <c r="FYM32" s="3"/>
      <c r="FYN32" s="3"/>
      <c r="FYO32" s="3"/>
      <c r="FYP32" s="3"/>
      <c r="FYQ32" s="3"/>
      <c r="FYR32" s="3"/>
      <c r="FYS32" s="3"/>
      <c r="FYT32" s="3"/>
      <c r="FYU32" s="3"/>
      <c r="FYV32" s="3"/>
      <c r="FYW32" s="3"/>
      <c r="FYX32" s="3"/>
      <c r="FYY32" s="3"/>
      <c r="FYZ32" s="3"/>
      <c r="FZA32" s="3"/>
      <c r="FZB32" s="3"/>
      <c r="FZC32" s="3"/>
      <c r="FZD32" s="3"/>
      <c r="FZE32" s="3"/>
      <c r="FZF32" s="3"/>
      <c r="FZG32" s="3"/>
      <c r="FZH32" s="3"/>
      <c r="FZI32" s="3"/>
      <c r="FZJ32" s="3"/>
      <c r="FZK32" s="3"/>
      <c r="FZL32" s="3"/>
      <c r="FZM32" s="3"/>
      <c r="FZN32" s="3"/>
      <c r="FZO32" s="3"/>
      <c r="FZP32" s="3"/>
      <c r="FZQ32" s="3"/>
      <c r="FZR32" s="3"/>
      <c r="FZS32" s="3"/>
      <c r="FZT32" s="3"/>
      <c r="FZU32" s="3"/>
      <c r="FZV32" s="3"/>
      <c r="FZW32" s="3"/>
      <c r="FZX32" s="3"/>
      <c r="FZY32" s="3"/>
      <c r="FZZ32" s="3"/>
      <c r="GAA32" s="3"/>
      <c r="GAB32" s="3"/>
      <c r="GAC32" s="3"/>
      <c r="GAD32" s="3"/>
      <c r="GAE32" s="3"/>
      <c r="GAF32" s="3"/>
      <c r="GAG32" s="3"/>
      <c r="GAH32" s="3"/>
      <c r="GAI32" s="3"/>
      <c r="GAJ32" s="3"/>
      <c r="GAK32" s="3"/>
      <c r="GAL32" s="3"/>
      <c r="GAM32" s="3"/>
      <c r="GAN32" s="3"/>
      <c r="GAO32" s="3"/>
      <c r="GAP32" s="3"/>
      <c r="GAQ32" s="3"/>
      <c r="GAR32" s="3"/>
      <c r="GAS32" s="3"/>
      <c r="GAT32" s="3"/>
      <c r="GAU32" s="3"/>
      <c r="GAV32" s="3"/>
      <c r="GAW32" s="3"/>
      <c r="GAX32" s="3"/>
      <c r="GAY32" s="3"/>
      <c r="GAZ32" s="3"/>
      <c r="GBA32" s="3"/>
      <c r="GBB32" s="3"/>
      <c r="GBC32" s="3"/>
      <c r="GBD32" s="3"/>
      <c r="GBE32" s="3"/>
      <c r="GBF32" s="3"/>
      <c r="GBG32" s="3"/>
      <c r="GBH32" s="3"/>
      <c r="GBI32" s="3"/>
      <c r="GBJ32" s="3"/>
      <c r="GBK32" s="3"/>
      <c r="GBL32" s="3"/>
      <c r="GBM32" s="3"/>
      <c r="GBN32" s="3"/>
      <c r="GBO32" s="3"/>
      <c r="GBP32" s="3"/>
      <c r="GBQ32" s="3"/>
      <c r="GBR32" s="3"/>
      <c r="GBS32" s="3"/>
      <c r="GBT32" s="3"/>
      <c r="GBU32" s="3"/>
      <c r="GBV32" s="3"/>
      <c r="GBW32" s="3"/>
      <c r="GBX32" s="3"/>
      <c r="GBY32" s="3"/>
      <c r="GBZ32" s="3"/>
      <c r="GCA32" s="3"/>
      <c r="GCB32" s="3"/>
      <c r="GCC32" s="3"/>
      <c r="GCD32" s="3"/>
      <c r="GCE32" s="3"/>
      <c r="GCF32" s="3"/>
      <c r="GCG32" s="3"/>
      <c r="GCH32" s="3"/>
      <c r="GCI32" s="3"/>
      <c r="GCJ32" s="3"/>
      <c r="GCK32" s="3"/>
      <c r="GCL32" s="3"/>
      <c r="GCM32" s="3"/>
      <c r="GCN32" s="3"/>
      <c r="GCO32" s="3"/>
      <c r="GCP32" s="3"/>
      <c r="GCQ32" s="3"/>
      <c r="GCR32" s="3"/>
      <c r="GCS32" s="3"/>
      <c r="GCT32" s="3"/>
      <c r="GCU32" s="3"/>
      <c r="GCV32" s="3"/>
      <c r="GCW32" s="3"/>
      <c r="GCX32" s="3"/>
      <c r="GCY32" s="3"/>
      <c r="GCZ32" s="3"/>
      <c r="GDA32" s="3"/>
      <c r="GDB32" s="3"/>
      <c r="GDC32" s="3"/>
      <c r="GDD32" s="3"/>
      <c r="GDE32" s="3"/>
      <c r="GDF32" s="3"/>
      <c r="GDG32" s="3"/>
      <c r="GDH32" s="3"/>
      <c r="GDI32" s="3"/>
      <c r="GDJ32" s="3"/>
      <c r="GDK32" s="3"/>
      <c r="GDL32" s="3"/>
      <c r="GDM32" s="3"/>
      <c r="GDN32" s="3"/>
      <c r="GDO32" s="3"/>
      <c r="GDP32" s="3"/>
      <c r="GDQ32" s="3"/>
      <c r="GDR32" s="3"/>
      <c r="GDS32" s="3"/>
      <c r="GDT32" s="3"/>
      <c r="GDU32" s="3"/>
      <c r="GDV32" s="3"/>
      <c r="GDW32" s="3"/>
      <c r="GDX32" s="3"/>
      <c r="GDY32" s="3"/>
      <c r="GDZ32" s="3"/>
      <c r="GEA32" s="3"/>
      <c r="GEB32" s="3"/>
      <c r="GEC32" s="3"/>
      <c r="GED32" s="3"/>
      <c r="GEE32" s="3"/>
      <c r="GEF32" s="3"/>
      <c r="GEG32" s="3"/>
      <c r="GEH32" s="3"/>
      <c r="GEI32" s="3"/>
      <c r="GEJ32" s="3"/>
      <c r="GEK32" s="3"/>
      <c r="GEL32" s="3"/>
      <c r="GEM32" s="3"/>
      <c r="GEN32" s="3"/>
      <c r="GEO32" s="3"/>
      <c r="GEP32" s="3"/>
      <c r="GEQ32" s="3"/>
      <c r="GER32" s="3"/>
      <c r="GES32" s="3"/>
      <c r="GET32" s="3"/>
      <c r="GEU32" s="3"/>
      <c r="GEV32" s="3"/>
      <c r="GEW32" s="3"/>
      <c r="GEX32" s="3"/>
      <c r="GEY32" s="3"/>
      <c r="GEZ32" s="3"/>
      <c r="GFA32" s="3"/>
      <c r="GFB32" s="3"/>
      <c r="GFC32" s="3"/>
      <c r="GFD32" s="3"/>
      <c r="GFE32" s="3"/>
      <c r="GFF32" s="3"/>
      <c r="GFG32" s="3"/>
      <c r="GFH32" s="3"/>
      <c r="GFI32" s="3"/>
      <c r="GFJ32" s="3"/>
      <c r="GFK32" s="3"/>
      <c r="GFL32" s="3"/>
      <c r="GFM32" s="3"/>
      <c r="GFN32" s="3"/>
      <c r="GFO32" s="3"/>
      <c r="GFP32" s="3"/>
      <c r="GFQ32" s="3"/>
      <c r="GFR32" s="3"/>
      <c r="GFS32" s="3"/>
      <c r="GFT32" s="3"/>
      <c r="GFU32" s="3"/>
      <c r="GFV32" s="3"/>
      <c r="GFW32" s="3"/>
      <c r="GFX32" s="3"/>
      <c r="GFY32" s="3"/>
      <c r="GFZ32" s="3"/>
      <c r="GGA32" s="3"/>
      <c r="GGB32" s="3"/>
      <c r="GGC32" s="3"/>
      <c r="GGD32" s="3"/>
      <c r="GGE32" s="3"/>
      <c r="GGF32" s="3"/>
      <c r="GGG32" s="3"/>
      <c r="GGH32" s="3"/>
      <c r="GGI32" s="3"/>
      <c r="GGJ32" s="3"/>
      <c r="GGK32" s="3"/>
      <c r="GGL32" s="3"/>
      <c r="GGM32" s="3"/>
      <c r="GGN32" s="3"/>
      <c r="GGO32" s="3"/>
      <c r="GGP32" s="3"/>
      <c r="GGQ32" s="3"/>
      <c r="GGR32" s="3"/>
      <c r="GGS32" s="3"/>
      <c r="GGT32" s="3"/>
      <c r="GGU32" s="3"/>
      <c r="GGV32" s="3"/>
      <c r="GGW32" s="3"/>
      <c r="GGX32" s="3"/>
      <c r="GGY32" s="3"/>
      <c r="GGZ32" s="3"/>
      <c r="GHA32" s="3"/>
      <c r="GHB32" s="3"/>
      <c r="GHC32" s="3"/>
      <c r="GHD32" s="3"/>
      <c r="GHE32" s="3"/>
      <c r="GHF32" s="3"/>
      <c r="GHG32" s="3"/>
      <c r="GHH32" s="3"/>
      <c r="GHI32" s="3"/>
      <c r="GHJ32" s="3"/>
      <c r="GHK32" s="3"/>
      <c r="GHL32" s="3"/>
      <c r="GHM32" s="3"/>
      <c r="GHN32" s="3"/>
      <c r="GHO32" s="3"/>
      <c r="GHP32" s="3"/>
      <c r="GHQ32" s="3"/>
      <c r="GHR32" s="3"/>
      <c r="GHS32" s="3"/>
      <c r="GHT32" s="3"/>
      <c r="GHU32" s="3"/>
      <c r="GHV32" s="3"/>
      <c r="GHW32" s="3"/>
      <c r="GHX32" s="3"/>
      <c r="GHY32" s="3"/>
      <c r="GHZ32" s="3"/>
      <c r="GIA32" s="3"/>
      <c r="GIB32" s="3"/>
      <c r="GIC32" s="3"/>
      <c r="GID32" s="3"/>
      <c r="GIE32" s="3"/>
      <c r="GIF32" s="3"/>
      <c r="GIG32" s="3"/>
      <c r="GIH32" s="3"/>
      <c r="GII32" s="3"/>
      <c r="GIJ32" s="3"/>
      <c r="GIK32" s="3"/>
      <c r="GIL32" s="3"/>
      <c r="GIM32" s="3"/>
      <c r="GIN32" s="3"/>
      <c r="GIO32" s="3"/>
      <c r="GIP32" s="3"/>
      <c r="GIQ32" s="3"/>
      <c r="GIR32" s="3"/>
      <c r="GIS32" s="3"/>
      <c r="GIT32" s="3"/>
      <c r="GIU32" s="3"/>
      <c r="GIV32" s="3"/>
      <c r="GIW32" s="3"/>
      <c r="GIX32" s="3"/>
      <c r="GIY32" s="3"/>
      <c r="GIZ32" s="3"/>
      <c r="GJA32" s="3"/>
      <c r="GJB32" s="3"/>
      <c r="GJC32" s="3"/>
      <c r="GJD32" s="3"/>
      <c r="GJE32" s="3"/>
      <c r="GJF32" s="3"/>
      <c r="GJG32" s="3"/>
      <c r="GJH32" s="3"/>
      <c r="GJI32" s="3"/>
      <c r="GJJ32" s="3"/>
      <c r="GJK32" s="3"/>
      <c r="GJL32" s="3"/>
      <c r="GJM32" s="3"/>
      <c r="GJN32" s="3"/>
      <c r="GJO32" s="3"/>
      <c r="GJP32" s="3"/>
      <c r="GJQ32" s="3"/>
      <c r="GJR32" s="3"/>
      <c r="GJS32" s="3"/>
      <c r="GJT32" s="3"/>
      <c r="GJU32" s="3"/>
      <c r="GJV32" s="3"/>
      <c r="GJW32" s="3"/>
      <c r="GJX32" s="3"/>
      <c r="GJY32" s="3"/>
      <c r="GJZ32" s="3"/>
      <c r="GKA32" s="3"/>
      <c r="GKB32" s="3"/>
      <c r="GKC32" s="3"/>
      <c r="GKD32" s="3"/>
      <c r="GKE32" s="3"/>
      <c r="GKF32" s="3"/>
      <c r="GKG32" s="3"/>
      <c r="GKH32" s="3"/>
      <c r="GKI32" s="3"/>
      <c r="GKJ32" s="3"/>
      <c r="GKK32" s="3"/>
      <c r="GKL32" s="3"/>
      <c r="GKM32" s="3"/>
      <c r="GKN32" s="3"/>
      <c r="GKO32" s="3"/>
      <c r="GKP32" s="3"/>
      <c r="GKQ32" s="3"/>
      <c r="GKR32" s="3"/>
      <c r="GKS32" s="3"/>
      <c r="GKT32" s="3"/>
      <c r="GKU32" s="3"/>
      <c r="GKV32" s="3"/>
      <c r="GKW32" s="3"/>
      <c r="GKX32" s="3"/>
      <c r="GKY32" s="3"/>
      <c r="GKZ32" s="3"/>
      <c r="GLA32" s="3"/>
      <c r="GLB32" s="3"/>
      <c r="GLC32" s="3"/>
      <c r="GLD32" s="3"/>
      <c r="GLE32" s="3"/>
      <c r="GLF32" s="3"/>
      <c r="GLG32" s="3"/>
      <c r="GLH32" s="3"/>
      <c r="GLI32" s="3"/>
      <c r="GLJ32" s="3"/>
      <c r="GLK32" s="3"/>
      <c r="GLL32" s="3"/>
      <c r="GLM32" s="3"/>
      <c r="GLN32" s="3"/>
      <c r="GLO32" s="3"/>
      <c r="GLP32" s="3"/>
      <c r="GLQ32" s="3"/>
      <c r="GLR32" s="3"/>
      <c r="GLS32" s="3"/>
      <c r="GLT32" s="3"/>
      <c r="GLU32" s="3"/>
      <c r="GLV32" s="3"/>
      <c r="GLW32" s="3"/>
      <c r="GLX32" s="3"/>
      <c r="GLY32" s="3"/>
      <c r="GLZ32" s="3"/>
      <c r="GMA32" s="3"/>
      <c r="GMB32" s="3"/>
      <c r="GMC32" s="3"/>
      <c r="GMD32" s="3"/>
      <c r="GME32" s="3"/>
      <c r="GMF32" s="3"/>
      <c r="GMG32" s="3"/>
      <c r="GMH32" s="3"/>
      <c r="GMI32" s="3"/>
      <c r="GMJ32" s="3"/>
      <c r="GMK32" s="3"/>
      <c r="GML32" s="3"/>
      <c r="GMM32" s="3"/>
      <c r="GMN32" s="3"/>
      <c r="GMO32" s="3"/>
      <c r="GMP32" s="3"/>
      <c r="GMQ32" s="3"/>
      <c r="GMR32" s="3"/>
      <c r="GMS32" s="3"/>
      <c r="GMT32" s="3"/>
      <c r="GMU32" s="3"/>
      <c r="GMV32" s="3"/>
      <c r="GMW32" s="3"/>
      <c r="GMX32" s="3"/>
      <c r="GMY32" s="3"/>
      <c r="GMZ32" s="3"/>
      <c r="GNA32" s="3"/>
      <c r="GNB32" s="3"/>
      <c r="GNC32" s="3"/>
      <c r="GND32" s="3"/>
      <c r="GNE32" s="3"/>
      <c r="GNF32" s="3"/>
      <c r="GNG32" s="3"/>
      <c r="GNH32" s="3"/>
      <c r="GNI32" s="3"/>
      <c r="GNJ32" s="3"/>
      <c r="GNK32" s="3"/>
      <c r="GNL32" s="3"/>
      <c r="GNM32" s="3"/>
      <c r="GNN32" s="3"/>
      <c r="GNO32" s="3"/>
      <c r="GNP32" s="3"/>
      <c r="GNQ32" s="3"/>
      <c r="GNR32" s="3"/>
      <c r="GNS32" s="3"/>
      <c r="GNT32" s="3"/>
      <c r="GNU32" s="3"/>
      <c r="GNV32" s="3"/>
      <c r="GNW32" s="3"/>
      <c r="GNX32" s="3"/>
      <c r="GNY32" s="3"/>
      <c r="GNZ32" s="3"/>
      <c r="GOA32" s="3"/>
      <c r="GOB32" s="3"/>
      <c r="GOC32" s="3"/>
      <c r="GOD32" s="3"/>
      <c r="GOE32" s="3"/>
      <c r="GOF32" s="3"/>
      <c r="GOG32" s="3"/>
      <c r="GOH32" s="3"/>
      <c r="GOI32" s="3"/>
      <c r="GOJ32" s="3"/>
      <c r="GOK32" s="3"/>
      <c r="GOL32" s="3"/>
      <c r="GOM32" s="3"/>
      <c r="GON32" s="3"/>
      <c r="GOO32" s="3"/>
      <c r="GOP32" s="3"/>
      <c r="GOQ32" s="3"/>
      <c r="GOR32" s="3"/>
      <c r="GOS32" s="3"/>
      <c r="GOT32" s="3"/>
      <c r="GOU32" s="3"/>
      <c r="GOV32" s="3"/>
      <c r="GOW32" s="3"/>
      <c r="GOX32" s="3"/>
      <c r="GOY32" s="3"/>
      <c r="GOZ32" s="3"/>
      <c r="GPA32" s="3"/>
      <c r="GPB32" s="3"/>
      <c r="GPC32" s="3"/>
      <c r="GPD32" s="3"/>
      <c r="GPE32" s="3"/>
      <c r="GPF32" s="3"/>
      <c r="GPG32" s="3"/>
      <c r="GPH32" s="3"/>
      <c r="GPI32" s="3"/>
      <c r="GPJ32" s="3"/>
      <c r="GPK32" s="3"/>
      <c r="GPL32" s="3"/>
      <c r="GPM32" s="3"/>
      <c r="GPN32" s="3"/>
      <c r="GPO32" s="3"/>
      <c r="GPP32" s="3"/>
      <c r="GPQ32" s="3"/>
      <c r="GPR32" s="3"/>
      <c r="GPS32" s="3"/>
      <c r="GPT32" s="3"/>
      <c r="GPU32" s="3"/>
      <c r="GPV32" s="3"/>
      <c r="GPW32" s="3"/>
      <c r="GPX32" s="3"/>
      <c r="GPY32" s="3"/>
      <c r="GPZ32" s="3"/>
      <c r="GQA32" s="3"/>
      <c r="GQB32" s="3"/>
      <c r="GQC32" s="3"/>
      <c r="GQD32" s="3"/>
      <c r="GQE32" s="3"/>
      <c r="GQF32" s="3"/>
      <c r="GQG32" s="3"/>
      <c r="GQH32" s="3"/>
      <c r="GQI32" s="3"/>
      <c r="GQJ32" s="3"/>
      <c r="GQK32" s="3"/>
      <c r="GQL32" s="3"/>
      <c r="GQM32" s="3"/>
      <c r="GQN32" s="3"/>
      <c r="GQO32" s="3"/>
      <c r="GQP32" s="3"/>
      <c r="GQQ32" s="3"/>
      <c r="GQR32" s="3"/>
      <c r="GQS32" s="3"/>
      <c r="GQT32" s="3"/>
      <c r="GQU32" s="3"/>
      <c r="GQV32" s="3"/>
      <c r="GQW32" s="3"/>
      <c r="GQX32" s="3"/>
      <c r="GQY32" s="3"/>
      <c r="GQZ32" s="3"/>
      <c r="GRA32" s="3"/>
      <c r="GRB32" s="3"/>
      <c r="GRC32" s="3"/>
      <c r="GRD32" s="3"/>
      <c r="GRE32" s="3"/>
      <c r="GRF32" s="3"/>
      <c r="GRG32" s="3"/>
      <c r="GRH32" s="3"/>
      <c r="GRI32" s="3"/>
      <c r="GRJ32" s="3"/>
      <c r="GRK32" s="3"/>
      <c r="GRL32" s="3"/>
      <c r="GRM32" s="3"/>
      <c r="GRN32" s="3"/>
      <c r="GRO32" s="3"/>
      <c r="GRP32" s="3"/>
      <c r="GRQ32" s="3"/>
      <c r="GRR32" s="3"/>
      <c r="GRS32" s="3"/>
      <c r="GRT32" s="3"/>
      <c r="GRU32" s="3"/>
      <c r="GRV32" s="3"/>
      <c r="GRW32" s="3"/>
      <c r="GRX32" s="3"/>
      <c r="GRY32" s="3"/>
      <c r="GRZ32" s="3"/>
      <c r="GSA32" s="3"/>
      <c r="GSB32" s="3"/>
      <c r="GSC32" s="3"/>
      <c r="GSD32" s="3"/>
      <c r="GSE32" s="3"/>
      <c r="GSF32" s="3"/>
      <c r="GSG32" s="3"/>
      <c r="GSH32" s="3"/>
      <c r="GSI32" s="3"/>
      <c r="GSJ32" s="3"/>
      <c r="GSK32" s="3"/>
      <c r="GSL32" s="3"/>
      <c r="GSM32" s="3"/>
      <c r="GSN32" s="3"/>
      <c r="GSO32" s="3"/>
      <c r="GSP32" s="3"/>
      <c r="GSQ32" s="3"/>
      <c r="GSR32" s="3"/>
      <c r="GSS32" s="3"/>
      <c r="GST32" s="3"/>
      <c r="GSU32" s="3"/>
      <c r="GSV32" s="3"/>
      <c r="GSW32" s="3"/>
      <c r="GSX32" s="3"/>
      <c r="GSY32" s="3"/>
      <c r="GSZ32" s="3"/>
      <c r="GTA32" s="3"/>
      <c r="GTB32" s="3"/>
      <c r="GTC32" s="3"/>
      <c r="GTD32" s="3"/>
      <c r="GTE32" s="3"/>
      <c r="GTF32" s="3"/>
      <c r="GTG32" s="3"/>
      <c r="GTH32" s="3"/>
      <c r="GTI32" s="3"/>
      <c r="GTJ32" s="3"/>
      <c r="GTK32" s="3"/>
      <c r="GTL32" s="3"/>
      <c r="GTM32" s="3"/>
      <c r="GTN32" s="3"/>
      <c r="GTO32" s="3"/>
      <c r="GTP32" s="3"/>
      <c r="GTQ32" s="3"/>
      <c r="GTR32" s="3"/>
      <c r="GTS32" s="3"/>
      <c r="GTT32" s="3"/>
      <c r="GTU32" s="3"/>
      <c r="GTV32" s="3"/>
      <c r="GTW32" s="3"/>
      <c r="GTX32" s="3"/>
      <c r="GTY32" s="3"/>
      <c r="GTZ32" s="3"/>
      <c r="GUA32" s="3"/>
      <c r="GUB32" s="3"/>
      <c r="GUC32" s="3"/>
      <c r="GUD32" s="3"/>
      <c r="GUE32" s="3"/>
      <c r="GUF32" s="3"/>
      <c r="GUG32" s="3"/>
      <c r="GUH32" s="3"/>
      <c r="GUI32" s="3"/>
      <c r="GUJ32" s="3"/>
      <c r="GUK32" s="3"/>
      <c r="GUL32" s="3"/>
      <c r="GUM32" s="3"/>
      <c r="GUN32" s="3"/>
      <c r="GUO32" s="3"/>
      <c r="GUP32" s="3"/>
      <c r="GUQ32" s="3"/>
      <c r="GUR32" s="3"/>
      <c r="GUS32" s="3"/>
      <c r="GUT32" s="3"/>
      <c r="GUU32" s="3"/>
      <c r="GUV32" s="3"/>
      <c r="GUW32" s="3"/>
      <c r="GUX32" s="3"/>
      <c r="GUY32" s="3"/>
      <c r="GUZ32" s="3"/>
      <c r="GVA32" s="3"/>
      <c r="GVB32" s="3"/>
      <c r="GVC32" s="3"/>
      <c r="GVD32" s="3"/>
      <c r="GVE32" s="3"/>
      <c r="GVF32" s="3"/>
      <c r="GVG32" s="3"/>
      <c r="GVH32" s="3"/>
      <c r="GVI32" s="3"/>
      <c r="GVJ32" s="3"/>
      <c r="GVK32" s="3"/>
      <c r="GVL32" s="3"/>
      <c r="GVM32" s="3"/>
      <c r="GVN32" s="3"/>
      <c r="GVO32" s="3"/>
      <c r="GVP32" s="3"/>
      <c r="GVQ32" s="3"/>
      <c r="GVR32" s="3"/>
      <c r="GVS32" s="3"/>
      <c r="GVT32" s="3"/>
      <c r="GVU32" s="3"/>
      <c r="GVV32" s="3"/>
      <c r="GVW32" s="3"/>
      <c r="GVX32" s="3"/>
      <c r="GVY32" s="3"/>
      <c r="GVZ32" s="3"/>
      <c r="GWA32" s="3"/>
      <c r="GWB32" s="3"/>
      <c r="GWC32" s="3"/>
      <c r="GWD32" s="3"/>
      <c r="GWE32" s="3"/>
      <c r="GWF32" s="3"/>
      <c r="GWG32" s="3"/>
      <c r="GWH32" s="3"/>
      <c r="GWI32" s="3"/>
      <c r="GWJ32" s="3"/>
      <c r="GWK32" s="3"/>
      <c r="GWL32" s="3"/>
      <c r="GWM32" s="3"/>
      <c r="GWN32" s="3"/>
      <c r="GWO32" s="3"/>
      <c r="GWP32" s="3"/>
      <c r="GWQ32" s="3"/>
      <c r="GWR32" s="3"/>
      <c r="GWS32" s="3"/>
      <c r="GWT32" s="3"/>
      <c r="GWU32" s="3"/>
      <c r="GWV32" s="3"/>
      <c r="GWW32" s="3"/>
      <c r="GWX32" s="3"/>
      <c r="GWY32" s="3"/>
      <c r="GWZ32" s="3"/>
      <c r="GXA32" s="3"/>
      <c r="GXB32" s="3"/>
      <c r="GXC32" s="3"/>
      <c r="GXD32" s="3"/>
      <c r="GXE32" s="3"/>
      <c r="GXF32" s="3"/>
      <c r="GXG32" s="3"/>
      <c r="GXH32" s="3"/>
      <c r="GXI32" s="3"/>
      <c r="GXJ32" s="3"/>
      <c r="GXK32" s="3"/>
      <c r="GXL32" s="3"/>
      <c r="GXM32" s="3"/>
      <c r="GXN32" s="3"/>
      <c r="GXO32" s="3"/>
      <c r="GXP32" s="3"/>
      <c r="GXQ32" s="3"/>
      <c r="GXR32" s="3"/>
      <c r="GXS32" s="3"/>
      <c r="GXT32" s="3"/>
      <c r="GXU32" s="3"/>
      <c r="GXV32" s="3"/>
      <c r="GXW32" s="3"/>
      <c r="GXX32" s="3"/>
      <c r="GXY32" s="3"/>
      <c r="GXZ32" s="3"/>
      <c r="GYA32" s="3"/>
      <c r="GYB32" s="3"/>
      <c r="GYC32" s="3"/>
      <c r="GYD32" s="3"/>
      <c r="GYE32" s="3"/>
      <c r="GYF32" s="3"/>
      <c r="GYG32" s="3"/>
      <c r="GYH32" s="3"/>
      <c r="GYI32" s="3"/>
      <c r="GYJ32" s="3"/>
      <c r="GYK32" s="3"/>
      <c r="GYL32" s="3"/>
      <c r="GYM32" s="3"/>
      <c r="GYN32" s="3"/>
      <c r="GYO32" s="3"/>
      <c r="GYP32" s="3"/>
      <c r="GYQ32" s="3"/>
      <c r="GYR32" s="3"/>
      <c r="GYS32" s="3"/>
      <c r="GYT32" s="3"/>
      <c r="GYU32" s="3"/>
      <c r="GYV32" s="3"/>
      <c r="GYW32" s="3"/>
      <c r="GYX32" s="3"/>
      <c r="GYY32" s="3"/>
      <c r="GYZ32" s="3"/>
      <c r="GZA32" s="3"/>
      <c r="GZB32" s="3"/>
      <c r="GZC32" s="3"/>
      <c r="GZD32" s="3"/>
      <c r="GZE32" s="3"/>
      <c r="GZF32" s="3"/>
      <c r="GZG32" s="3"/>
      <c r="GZH32" s="3"/>
      <c r="GZI32" s="3"/>
      <c r="GZJ32" s="3"/>
      <c r="GZK32" s="3"/>
      <c r="GZL32" s="3"/>
      <c r="GZM32" s="3"/>
      <c r="GZN32" s="3"/>
      <c r="GZO32" s="3"/>
      <c r="GZP32" s="3"/>
      <c r="GZQ32" s="3"/>
      <c r="GZR32" s="3"/>
      <c r="GZS32" s="3"/>
      <c r="GZT32" s="3"/>
      <c r="GZU32" s="3"/>
      <c r="GZV32" s="3"/>
      <c r="GZW32" s="3"/>
      <c r="GZX32" s="3"/>
      <c r="GZY32" s="3"/>
      <c r="GZZ32" s="3"/>
      <c r="HAA32" s="3"/>
      <c r="HAB32" s="3"/>
      <c r="HAC32" s="3"/>
      <c r="HAD32" s="3"/>
      <c r="HAE32" s="3"/>
      <c r="HAF32" s="3"/>
      <c r="HAG32" s="3"/>
      <c r="HAH32" s="3"/>
      <c r="HAI32" s="3"/>
      <c r="HAJ32" s="3"/>
      <c r="HAK32" s="3"/>
      <c r="HAL32" s="3"/>
      <c r="HAM32" s="3"/>
      <c r="HAN32" s="3"/>
      <c r="HAO32" s="3"/>
      <c r="HAP32" s="3"/>
      <c r="HAQ32" s="3"/>
      <c r="HAR32" s="3"/>
      <c r="HAS32" s="3"/>
      <c r="HAT32" s="3"/>
      <c r="HAU32" s="3"/>
      <c r="HAV32" s="3"/>
      <c r="HAW32" s="3"/>
      <c r="HAX32" s="3"/>
      <c r="HAY32" s="3"/>
      <c r="HAZ32" s="3"/>
      <c r="HBA32" s="3"/>
      <c r="HBB32" s="3"/>
      <c r="HBC32" s="3"/>
      <c r="HBD32" s="3"/>
      <c r="HBE32" s="3"/>
      <c r="HBF32" s="3"/>
      <c r="HBG32" s="3"/>
      <c r="HBH32" s="3"/>
      <c r="HBI32" s="3"/>
      <c r="HBJ32" s="3"/>
      <c r="HBK32" s="3"/>
      <c r="HBL32" s="3"/>
      <c r="HBM32" s="3"/>
      <c r="HBN32" s="3"/>
      <c r="HBO32" s="3"/>
      <c r="HBP32" s="3"/>
      <c r="HBQ32" s="3"/>
      <c r="HBR32" s="3"/>
      <c r="HBS32" s="3"/>
      <c r="HBT32" s="3"/>
      <c r="HBU32" s="3"/>
      <c r="HBV32" s="3"/>
      <c r="HBW32" s="3"/>
      <c r="HBX32" s="3"/>
      <c r="HBY32" s="3"/>
      <c r="HBZ32" s="3"/>
      <c r="HCA32" s="3"/>
      <c r="HCB32" s="3"/>
      <c r="HCC32" s="3"/>
      <c r="HCD32" s="3"/>
      <c r="HCE32" s="3"/>
      <c r="HCF32" s="3"/>
      <c r="HCG32" s="3"/>
      <c r="HCH32" s="3"/>
      <c r="HCI32" s="3"/>
      <c r="HCJ32" s="3"/>
      <c r="HCK32" s="3"/>
      <c r="HCL32" s="3"/>
      <c r="HCM32" s="3"/>
      <c r="HCN32" s="3"/>
      <c r="HCO32" s="3"/>
      <c r="HCP32" s="3"/>
      <c r="HCQ32" s="3"/>
      <c r="HCR32" s="3"/>
      <c r="HCS32" s="3"/>
      <c r="HCT32" s="3"/>
      <c r="HCU32" s="3"/>
      <c r="HCV32" s="3"/>
      <c r="HCW32" s="3"/>
      <c r="HCX32" s="3"/>
      <c r="HCY32" s="3"/>
      <c r="HCZ32" s="3"/>
      <c r="HDA32" s="3"/>
      <c r="HDB32" s="3"/>
      <c r="HDC32" s="3"/>
      <c r="HDD32" s="3"/>
      <c r="HDE32" s="3"/>
      <c r="HDF32" s="3"/>
      <c r="HDG32" s="3"/>
      <c r="HDH32" s="3"/>
      <c r="HDI32" s="3"/>
      <c r="HDJ32" s="3"/>
      <c r="HDK32" s="3"/>
      <c r="HDL32" s="3"/>
      <c r="HDM32" s="3"/>
      <c r="HDN32" s="3"/>
      <c r="HDO32" s="3"/>
      <c r="HDP32" s="3"/>
      <c r="HDQ32" s="3"/>
      <c r="HDR32" s="3"/>
      <c r="HDS32" s="3"/>
      <c r="HDT32" s="3"/>
      <c r="HDU32" s="3"/>
      <c r="HDV32" s="3"/>
      <c r="HDW32" s="3"/>
      <c r="HDX32" s="3"/>
      <c r="HDY32" s="3"/>
      <c r="HDZ32" s="3"/>
      <c r="HEA32" s="3"/>
      <c r="HEB32" s="3"/>
      <c r="HEC32" s="3"/>
      <c r="HED32" s="3"/>
      <c r="HEE32" s="3"/>
      <c r="HEF32" s="3"/>
      <c r="HEG32" s="3"/>
      <c r="HEH32" s="3"/>
      <c r="HEI32" s="3"/>
      <c r="HEJ32" s="3"/>
      <c r="HEK32" s="3"/>
      <c r="HEL32" s="3"/>
      <c r="HEM32" s="3"/>
      <c r="HEN32" s="3"/>
      <c r="HEO32" s="3"/>
      <c r="HEP32" s="3"/>
      <c r="HEQ32" s="3"/>
      <c r="HER32" s="3"/>
      <c r="HES32" s="3"/>
      <c r="HET32" s="3"/>
      <c r="HEU32" s="3"/>
      <c r="HEV32" s="3"/>
      <c r="HEW32" s="3"/>
      <c r="HEX32" s="3"/>
      <c r="HEY32" s="3"/>
      <c r="HEZ32" s="3"/>
      <c r="HFA32" s="3"/>
      <c r="HFB32" s="3"/>
      <c r="HFC32" s="3"/>
      <c r="HFD32" s="3"/>
      <c r="HFE32" s="3"/>
      <c r="HFF32" s="3"/>
      <c r="HFG32" s="3"/>
      <c r="HFH32" s="3"/>
      <c r="HFI32" s="3"/>
      <c r="HFJ32" s="3"/>
      <c r="HFK32" s="3"/>
      <c r="HFL32" s="3"/>
      <c r="HFM32" s="3"/>
      <c r="HFN32" s="3"/>
      <c r="HFO32" s="3"/>
      <c r="HFP32" s="3"/>
      <c r="HFQ32" s="3"/>
      <c r="HFR32" s="3"/>
      <c r="HFS32" s="3"/>
      <c r="HFT32" s="3"/>
      <c r="HFU32" s="3"/>
      <c r="HFV32" s="3"/>
      <c r="HFW32" s="3"/>
      <c r="HFX32" s="3"/>
      <c r="HFY32" s="3"/>
      <c r="HFZ32" s="3"/>
      <c r="HGA32" s="3"/>
      <c r="HGB32" s="3"/>
      <c r="HGC32" s="3"/>
      <c r="HGD32" s="3"/>
      <c r="HGE32" s="3"/>
      <c r="HGF32" s="3"/>
      <c r="HGG32" s="3"/>
      <c r="HGH32" s="3"/>
      <c r="HGI32" s="3"/>
      <c r="HGJ32" s="3"/>
      <c r="HGK32" s="3"/>
      <c r="HGL32" s="3"/>
      <c r="HGM32" s="3"/>
      <c r="HGN32" s="3"/>
      <c r="HGO32" s="3"/>
      <c r="HGP32" s="3"/>
      <c r="HGQ32" s="3"/>
      <c r="HGR32" s="3"/>
      <c r="HGS32" s="3"/>
      <c r="HGT32" s="3"/>
      <c r="HGU32" s="3"/>
      <c r="HGV32" s="3"/>
      <c r="HGW32" s="3"/>
      <c r="HGX32" s="3"/>
      <c r="HGY32" s="3"/>
      <c r="HGZ32" s="3"/>
      <c r="HHA32" s="3"/>
      <c r="HHB32" s="3"/>
      <c r="HHC32" s="3"/>
      <c r="HHD32" s="3"/>
      <c r="HHE32" s="3"/>
      <c r="HHF32" s="3"/>
      <c r="HHG32" s="3"/>
      <c r="HHH32" s="3"/>
      <c r="HHI32" s="3"/>
      <c r="HHJ32" s="3"/>
      <c r="HHK32" s="3"/>
      <c r="HHL32" s="3"/>
      <c r="HHM32" s="3"/>
      <c r="HHN32" s="3"/>
      <c r="HHO32" s="3"/>
      <c r="HHP32" s="3"/>
      <c r="HHQ32" s="3"/>
      <c r="HHR32" s="3"/>
      <c r="HHS32" s="3"/>
      <c r="HHT32" s="3"/>
      <c r="HHU32" s="3"/>
      <c r="HHV32" s="3"/>
      <c r="HHW32" s="3"/>
      <c r="HHX32" s="3"/>
      <c r="HHY32" s="3"/>
      <c r="HHZ32" s="3"/>
      <c r="HIA32" s="3"/>
      <c r="HIB32" s="3"/>
      <c r="HIC32" s="3"/>
      <c r="HID32" s="3"/>
      <c r="HIE32" s="3"/>
      <c r="HIF32" s="3"/>
      <c r="HIG32" s="3"/>
      <c r="HIH32" s="3"/>
      <c r="HII32" s="3"/>
      <c r="HIJ32" s="3"/>
      <c r="HIK32" s="3"/>
      <c r="HIL32" s="3"/>
      <c r="HIM32" s="3"/>
      <c r="HIN32" s="3"/>
      <c r="HIO32" s="3"/>
      <c r="HIP32" s="3"/>
      <c r="HIQ32" s="3"/>
      <c r="HIR32" s="3"/>
      <c r="HIS32" s="3"/>
      <c r="HIT32" s="3"/>
      <c r="HIU32" s="3"/>
      <c r="HIV32" s="3"/>
      <c r="HIW32" s="3"/>
      <c r="HIX32" s="3"/>
      <c r="HIY32" s="3"/>
      <c r="HIZ32" s="3"/>
      <c r="HJA32" s="3"/>
      <c r="HJB32" s="3"/>
      <c r="HJC32" s="3"/>
      <c r="HJD32" s="3"/>
      <c r="HJE32" s="3"/>
      <c r="HJF32" s="3"/>
      <c r="HJG32" s="3"/>
      <c r="HJH32" s="3"/>
      <c r="HJI32" s="3"/>
      <c r="HJJ32" s="3"/>
      <c r="HJK32" s="3"/>
      <c r="HJL32" s="3"/>
      <c r="HJM32" s="3"/>
      <c r="HJN32" s="3"/>
      <c r="HJO32" s="3"/>
      <c r="HJP32" s="3"/>
      <c r="HJQ32" s="3"/>
      <c r="HJR32" s="3"/>
      <c r="HJS32" s="3"/>
      <c r="HJT32" s="3"/>
      <c r="HJU32" s="3"/>
      <c r="HJV32" s="3"/>
      <c r="HJW32" s="3"/>
      <c r="HJX32" s="3"/>
      <c r="HJY32" s="3"/>
      <c r="HJZ32" s="3"/>
      <c r="HKA32" s="3"/>
      <c r="HKB32" s="3"/>
      <c r="HKC32" s="3"/>
      <c r="HKD32" s="3"/>
      <c r="HKE32" s="3"/>
      <c r="HKF32" s="3"/>
      <c r="HKG32" s="3"/>
      <c r="HKH32" s="3"/>
      <c r="HKI32" s="3"/>
      <c r="HKJ32" s="3"/>
      <c r="HKK32" s="3"/>
      <c r="HKL32" s="3"/>
      <c r="HKM32" s="3"/>
      <c r="HKN32" s="3"/>
      <c r="HKO32" s="3"/>
      <c r="HKP32" s="3"/>
      <c r="HKQ32" s="3"/>
      <c r="HKR32" s="3"/>
      <c r="HKS32" s="3"/>
      <c r="HKT32" s="3"/>
      <c r="HKU32" s="3"/>
      <c r="HKV32" s="3"/>
      <c r="HKW32" s="3"/>
      <c r="HKX32" s="3"/>
      <c r="HKY32" s="3"/>
      <c r="HKZ32" s="3"/>
      <c r="HLA32" s="3"/>
      <c r="HLB32" s="3"/>
      <c r="HLC32" s="3"/>
      <c r="HLD32" s="3"/>
      <c r="HLE32" s="3"/>
      <c r="HLF32" s="3"/>
      <c r="HLG32" s="3"/>
      <c r="HLH32" s="3"/>
      <c r="HLI32" s="3"/>
      <c r="HLJ32" s="3"/>
      <c r="HLK32" s="3"/>
      <c r="HLL32" s="3"/>
      <c r="HLM32" s="3"/>
      <c r="HLN32" s="3"/>
      <c r="HLO32" s="3"/>
      <c r="HLP32" s="3"/>
      <c r="HLQ32" s="3"/>
      <c r="HLR32" s="3"/>
      <c r="HLS32" s="3"/>
      <c r="HLT32" s="3"/>
      <c r="HLU32" s="3"/>
      <c r="HLV32" s="3"/>
      <c r="HLW32" s="3"/>
      <c r="HLX32" s="3"/>
      <c r="HLY32" s="3"/>
      <c r="HLZ32" s="3"/>
      <c r="HMA32" s="3"/>
      <c r="HMB32" s="3"/>
      <c r="HMC32" s="3"/>
      <c r="HMD32" s="3"/>
      <c r="HME32" s="3"/>
      <c r="HMF32" s="3"/>
      <c r="HMG32" s="3"/>
      <c r="HMH32" s="3"/>
      <c r="HMI32" s="3"/>
      <c r="HMJ32" s="3"/>
      <c r="HMK32" s="3"/>
      <c r="HML32" s="3"/>
      <c r="HMM32" s="3"/>
      <c r="HMN32" s="3"/>
      <c r="HMO32" s="3"/>
      <c r="HMP32" s="3"/>
      <c r="HMQ32" s="3"/>
      <c r="HMR32" s="3"/>
      <c r="HMS32" s="3"/>
      <c r="HMT32" s="3"/>
      <c r="HMU32" s="3"/>
      <c r="HMV32" s="3"/>
      <c r="HMW32" s="3"/>
      <c r="HMX32" s="3"/>
      <c r="HMY32" s="3"/>
      <c r="HMZ32" s="3"/>
      <c r="HNA32" s="3"/>
      <c r="HNB32" s="3"/>
      <c r="HNC32" s="3"/>
      <c r="HND32" s="3"/>
      <c r="HNE32" s="3"/>
      <c r="HNF32" s="3"/>
      <c r="HNG32" s="3"/>
      <c r="HNH32" s="3"/>
      <c r="HNI32" s="3"/>
      <c r="HNJ32" s="3"/>
      <c r="HNK32" s="3"/>
      <c r="HNL32" s="3"/>
      <c r="HNM32" s="3"/>
      <c r="HNN32" s="3"/>
      <c r="HNO32" s="3"/>
      <c r="HNP32" s="3"/>
      <c r="HNQ32" s="3"/>
      <c r="HNR32" s="3"/>
      <c r="HNS32" s="3"/>
      <c r="HNT32" s="3"/>
      <c r="HNU32" s="3"/>
      <c r="HNV32" s="3"/>
      <c r="HNW32" s="3"/>
      <c r="HNX32" s="3"/>
      <c r="HNY32" s="3"/>
      <c r="HNZ32" s="3"/>
      <c r="HOA32" s="3"/>
      <c r="HOB32" s="3"/>
      <c r="HOC32" s="3"/>
      <c r="HOD32" s="3"/>
      <c r="HOE32" s="3"/>
      <c r="HOF32" s="3"/>
      <c r="HOG32" s="3"/>
      <c r="HOH32" s="3"/>
      <c r="HOI32" s="3"/>
      <c r="HOJ32" s="3"/>
      <c r="HOK32" s="3"/>
      <c r="HOL32" s="3"/>
      <c r="HOM32" s="3"/>
      <c r="HON32" s="3"/>
      <c r="HOO32" s="3"/>
      <c r="HOP32" s="3"/>
      <c r="HOQ32" s="3"/>
      <c r="HOR32" s="3"/>
      <c r="HOS32" s="3"/>
      <c r="HOT32" s="3"/>
      <c r="HOU32" s="3"/>
      <c r="HOV32" s="3"/>
      <c r="HOW32" s="3"/>
      <c r="HOX32" s="3"/>
      <c r="HOY32" s="3"/>
      <c r="HOZ32" s="3"/>
      <c r="HPA32" s="3"/>
      <c r="HPB32" s="3"/>
      <c r="HPC32" s="3"/>
      <c r="HPD32" s="3"/>
      <c r="HPE32" s="3"/>
      <c r="HPF32" s="3"/>
      <c r="HPG32" s="3"/>
      <c r="HPH32" s="3"/>
      <c r="HPI32" s="3"/>
      <c r="HPJ32" s="3"/>
      <c r="HPK32" s="3"/>
      <c r="HPL32" s="3"/>
      <c r="HPM32" s="3"/>
      <c r="HPN32" s="3"/>
      <c r="HPO32" s="3"/>
      <c r="HPP32" s="3"/>
      <c r="HPQ32" s="3"/>
      <c r="HPR32" s="3"/>
      <c r="HPS32" s="3"/>
      <c r="HPT32" s="3"/>
      <c r="HPU32" s="3"/>
      <c r="HPV32" s="3"/>
      <c r="HPW32" s="3"/>
      <c r="HPX32" s="3"/>
      <c r="HPY32" s="3"/>
      <c r="HPZ32" s="3"/>
      <c r="HQA32" s="3"/>
      <c r="HQB32" s="3"/>
      <c r="HQC32" s="3"/>
      <c r="HQD32" s="3"/>
      <c r="HQE32" s="3"/>
      <c r="HQF32" s="3"/>
      <c r="HQG32" s="3"/>
      <c r="HQH32" s="3"/>
      <c r="HQI32" s="3"/>
      <c r="HQJ32" s="3"/>
      <c r="HQK32" s="3"/>
      <c r="HQL32" s="3"/>
      <c r="HQM32" s="3"/>
      <c r="HQN32" s="3"/>
      <c r="HQO32" s="3"/>
      <c r="HQP32" s="3"/>
      <c r="HQQ32" s="3"/>
      <c r="HQR32" s="3"/>
      <c r="HQS32" s="3"/>
      <c r="HQT32" s="3"/>
      <c r="HQU32" s="3"/>
      <c r="HQV32" s="3"/>
      <c r="HQW32" s="3"/>
      <c r="HQX32" s="3"/>
      <c r="HQY32" s="3"/>
      <c r="HQZ32" s="3"/>
      <c r="HRA32" s="3"/>
      <c r="HRB32" s="3"/>
      <c r="HRC32" s="3"/>
      <c r="HRD32" s="3"/>
      <c r="HRE32" s="3"/>
      <c r="HRF32" s="3"/>
      <c r="HRG32" s="3"/>
      <c r="HRH32" s="3"/>
      <c r="HRI32" s="3"/>
      <c r="HRJ32" s="3"/>
      <c r="HRK32" s="3"/>
      <c r="HRL32" s="3"/>
      <c r="HRM32" s="3"/>
      <c r="HRN32" s="3"/>
      <c r="HRO32" s="3"/>
      <c r="HRP32" s="3"/>
      <c r="HRQ32" s="3"/>
      <c r="HRR32" s="3"/>
      <c r="HRS32" s="3"/>
      <c r="HRT32" s="3"/>
      <c r="HRU32" s="3"/>
      <c r="HRV32" s="3"/>
      <c r="HRW32" s="3"/>
      <c r="HRX32" s="3"/>
      <c r="HRY32" s="3"/>
      <c r="HRZ32" s="3"/>
      <c r="HSA32" s="3"/>
      <c r="HSB32" s="3"/>
      <c r="HSC32" s="3"/>
      <c r="HSD32" s="3"/>
      <c r="HSE32" s="3"/>
      <c r="HSF32" s="3"/>
      <c r="HSG32" s="3"/>
      <c r="HSH32" s="3"/>
      <c r="HSI32" s="3"/>
      <c r="HSJ32" s="3"/>
      <c r="HSK32" s="3"/>
      <c r="HSL32" s="3"/>
      <c r="HSM32" s="3"/>
      <c r="HSN32" s="3"/>
      <c r="HSO32" s="3"/>
      <c r="HSP32" s="3"/>
      <c r="HSQ32" s="3"/>
      <c r="HSR32" s="3"/>
      <c r="HSS32" s="3"/>
      <c r="HST32" s="3"/>
      <c r="HSU32" s="3"/>
      <c r="HSV32" s="3"/>
      <c r="HSW32" s="3"/>
      <c r="HSX32" s="3"/>
      <c r="HSY32" s="3"/>
      <c r="HSZ32" s="3"/>
      <c r="HTA32" s="3"/>
      <c r="HTB32" s="3"/>
      <c r="HTC32" s="3"/>
      <c r="HTD32" s="3"/>
      <c r="HTE32" s="3"/>
      <c r="HTF32" s="3"/>
      <c r="HTG32" s="3"/>
      <c r="HTH32" s="3"/>
      <c r="HTI32" s="3"/>
      <c r="HTJ32" s="3"/>
      <c r="HTK32" s="3"/>
      <c r="HTL32" s="3"/>
      <c r="HTM32" s="3"/>
      <c r="HTN32" s="3"/>
      <c r="HTO32" s="3"/>
      <c r="HTP32" s="3"/>
      <c r="HTQ32" s="3"/>
      <c r="HTR32" s="3"/>
      <c r="HTS32" s="3"/>
      <c r="HTT32" s="3"/>
      <c r="HTU32" s="3"/>
      <c r="HTV32" s="3"/>
      <c r="HTW32" s="3"/>
      <c r="HTX32" s="3"/>
      <c r="HTY32" s="3"/>
      <c r="HTZ32" s="3"/>
      <c r="HUA32" s="3"/>
      <c r="HUB32" s="3"/>
      <c r="HUC32" s="3"/>
      <c r="HUD32" s="3"/>
      <c r="HUE32" s="3"/>
      <c r="HUF32" s="3"/>
      <c r="HUG32" s="3"/>
      <c r="HUH32" s="3"/>
      <c r="HUI32" s="3"/>
      <c r="HUJ32" s="3"/>
      <c r="HUK32" s="3"/>
      <c r="HUL32" s="3"/>
      <c r="HUM32" s="3"/>
      <c r="HUN32" s="3"/>
      <c r="HUO32" s="3"/>
      <c r="HUP32" s="3"/>
      <c r="HUQ32" s="3"/>
      <c r="HUR32" s="3"/>
      <c r="HUS32" s="3"/>
      <c r="HUT32" s="3"/>
      <c r="HUU32" s="3"/>
      <c r="HUV32" s="3"/>
      <c r="HUW32" s="3"/>
      <c r="HUX32" s="3"/>
      <c r="HUY32" s="3"/>
      <c r="HUZ32" s="3"/>
      <c r="HVA32" s="3"/>
      <c r="HVB32" s="3"/>
      <c r="HVC32" s="3"/>
      <c r="HVD32" s="3"/>
      <c r="HVE32" s="3"/>
      <c r="HVF32" s="3"/>
      <c r="HVG32" s="3"/>
      <c r="HVH32" s="3"/>
      <c r="HVI32" s="3"/>
      <c r="HVJ32" s="3"/>
      <c r="HVK32" s="3"/>
      <c r="HVL32" s="3"/>
      <c r="HVM32" s="3"/>
      <c r="HVN32" s="3"/>
      <c r="HVO32" s="3"/>
      <c r="HVP32" s="3"/>
      <c r="HVQ32" s="3"/>
      <c r="HVR32" s="3"/>
      <c r="HVS32" s="3"/>
      <c r="HVT32" s="3"/>
      <c r="HVU32" s="3"/>
      <c r="HVV32" s="3"/>
      <c r="HVW32" s="3"/>
      <c r="HVX32" s="3"/>
      <c r="HVY32" s="3"/>
      <c r="HVZ32" s="3"/>
      <c r="HWA32" s="3"/>
      <c r="HWB32" s="3"/>
      <c r="HWC32" s="3"/>
      <c r="HWD32" s="3"/>
      <c r="HWE32" s="3"/>
      <c r="HWF32" s="3"/>
      <c r="HWG32" s="3"/>
      <c r="HWH32" s="3"/>
      <c r="HWI32" s="3"/>
      <c r="HWJ32" s="3"/>
      <c r="HWK32" s="3"/>
      <c r="HWL32" s="3"/>
      <c r="HWM32" s="3"/>
      <c r="HWN32" s="3"/>
      <c r="HWO32" s="3"/>
      <c r="HWP32" s="3"/>
      <c r="HWQ32" s="3"/>
      <c r="HWR32" s="3"/>
      <c r="HWS32" s="3"/>
      <c r="HWT32" s="3"/>
      <c r="HWU32" s="3"/>
      <c r="HWV32" s="3"/>
      <c r="HWW32" s="3"/>
      <c r="HWX32" s="3"/>
      <c r="HWY32" s="3"/>
      <c r="HWZ32" s="3"/>
      <c r="HXA32" s="3"/>
      <c r="HXB32" s="3"/>
      <c r="HXC32" s="3"/>
      <c r="HXD32" s="3"/>
      <c r="HXE32" s="3"/>
      <c r="HXF32" s="3"/>
      <c r="HXG32" s="3"/>
      <c r="HXH32" s="3"/>
      <c r="HXI32" s="3"/>
      <c r="HXJ32" s="3"/>
      <c r="HXK32" s="3"/>
      <c r="HXL32" s="3"/>
      <c r="HXM32" s="3"/>
      <c r="HXN32" s="3"/>
      <c r="HXO32" s="3"/>
      <c r="HXP32" s="3"/>
      <c r="HXQ32" s="3"/>
      <c r="HXR32" s="3"/>
      <c r="HXS32" s="3"/>
      <c r="HXT32" s="3"/>
      <c r="HXU32" s="3"/>
      <c r="HXV32" s="3"/>
      <c r="HXW32" s="3"/>
      <c r="HXX32" s="3"/>
      <c r="HXY32" s="3"/>
      <c r="HXZ32" s="3"/>
      <c r="HYA32" s="3"/>
      <c r="HYB32" s="3"/>
      <c r="HYC32" s="3"/>
      <c r="HYD32" s="3"/>
      <c r="HYE32" s="3"/>
      <c r="HYF32" s="3"/>
      <c r="HYG32" s="3"/>
      <c r="HYH32" s="3"/>
      <c r="HYI32" s="3"/>
      <c r="HYJ32" s="3"/>
      <c r="HYK32" s="3"/>
      <c r="HYL32" s="3"/>
      <c r="HYM32" s="3"/>
      <c r="HYN32" s="3"/>
      <c r="HYO32" s="3"/>
      <c r="HYP32" s="3"/>
      <c r="HYQ32" s="3"/>
      <c r="HYR32" s="3"/>
      <c r="HYS32" s="3"/>
      <c r="HYT32" s="3"/>
      <c r="HYU32" s="3"/>
      <c r="HYV32" s="3"/>
      <c r="HYW32" s="3"/>
      <c r="HYX32" s="3"/>
      <c r="HYY32" s="3"/>
      <c r="HYZ32" s="3"/>
      <c r="HZA32" s="3"/>
      <c r="HZB32" s="3"/>
      <c r="HZC32" s="3"/>
      <c r="HZD32" s="3"/>
      <c r="HZE32" s="3"/>
      <c r="HZF32" s="3"/>
      <c r="HZG32" s="3"/>
      <c r="HZH32" s="3"/>
      <c r="HZI32" s="3"/>
      <c r="HZJ32" s="3"/>
      <c r="HZK32" s="3"/>
      <c r="HZL32" s="3"/>
      <c r="HZM32" s="3"/>
      <c r="HZN32" s="3"/>
      <c r="HZO32" s="3"/>
      <c r="HZP32" s="3"/>
      <c r="HZQ32" s="3"/>
      <c r="HZR32" s="3"/>
      <c r="HZS32" s="3"/>
      <c r="HZT32" s="3"/>
      <c r="HZU32" s="3"/>
      <c r="HZV32" s="3"/>
      <c r="HZW32" s="3"/>
      <c r="HZX32" s="3"/>
      <c r="HZY32" s="3"/>
      <c r="HZZ32" s="3"/>
      <c r="IAA32" s="3"/>
      <c r="IAB32" s="3"/>
      <c r="IAC32" s="3"/>
      <c r="IAD32" s="3"/>
      <c r="IAE32" s="3"/>
      <c r="IAF32" s="3"/>
      <c r="IAG32" s="3"/>
      <c r="IAH32" s="3"/>
      <c r="IAI32" s="3"/>
      <c r="IAJ32" s="3"/>
      <c r="IAK32" s="3"/>
      <c r="IAL32" s="3"/>
      <c r="IAM32" s="3"/>
      <c r="IAN32" s="3"/>
      <c r="IAO32" s="3"/>
      <c r="IAP32" s="3"/>
      <c r="IAQ32" s="3"/>
      <c r="IAR32" s="3"/>
      <c r="IAS32" s="3"/>
      <c r="IAT32" s="3"/>
      <c r="IAU32" s="3"/>
      <c r="IAV32" s="3"/>
      <c r="IAW32" s="3"/>
      <c r="IAX32" s="3"/>
      <c r="IAY32" s="3"/>
      <c r="IAZ32" s="3"/>
      <c r="IBA32" s="3"/>
      <c r="IBB32" s="3"/>
      <c r="IBC32" s="3"/>
      <c r="IBD32" s="3"/>
      <c r="IBE32" s="3"/>
      <c r="IBF32" s="3"/>
      <c r="IBG32" s="3"/>
      <c r="IBH32" s="3"/>
      <c r="IBI32" s="3"/>
      <c r="IBJ32" s="3"/>
      <c r="IBK32" s="3"/>
      <c r="IBL32" s="3"/>
      <c r="IBM32" s="3"/>
      <c r="IBN32" s="3"/>
      <c r="IBO32" s="3"/>
      <c r="IBP32" s="3"/>
      <c r="IBQ32" s="3"/>
      <c r="IBR32" s="3"/>
      <c r="IBS32" s="3"/>
      <c r="IBT32" s="3"/>
      <c r="IBU32" s="3"/>
      <c r="IBV32" s="3"/>
      <c r="IBW32" s="3"/>
      <c r="IBX32" s="3"/>
      <c r="IBY32" s="3"/>
      <c r="IBZ32" s="3"/>
      <c r="ICA32" s="3"/>
      <c r="ICB32" s="3"/>
      <c r="ICC32" s="3"/>
      <c r="ICD32" s="3"/>
      <c r="ICE32" s="3"/>
      <c r="ICF32" s="3"/>
      <c r="ICG32" s="3"/>
      <c r="ICH32" s="3"/>
      <c r="ICI32" s="3"/>
      <c r="ICJ32" s="3"/>
      <c r="ICK32" s="3"/>
      <c r="ICL32" s="3"/>
      <c r="ICM32" s="3"/>
      <c r="ICN32" s="3"/>
      <c r="ICO32" s="3"/>
      <c r="ICP32" s="3"/>
      <c r="ICQ32" s="3"/>
      <c r="ICR32" s="3"/>
      <c r="ICS32" s="3"/>
      <c r="ICT32" s="3"/>
      <c r="ICU32" s="3"/>
      <c r="ICV32" s="3"/>
      <c r="ICW32" s="3"/>
      <c r="ICX32" s="3"/>
      <c r="ICY32" s="3"/>
      <c r="ICZ32" s="3"/>
      <c r="IDA32" s="3"/>
      <c r="IDB32" s="3"/>
      <c r="IDC32" s="3"/>
      <c r="IDD32" s="3"/>
      <c r="IDE32" s="3"/>
      <c r="IDF32" s="3"/>
      <c r="IDG32" s="3"/>
      <c r="IDH32" s="3"/>
      <c r="IDI32" s="3"/>
      <c r="IDJ32" s="3"/>
      <c r="IDK32" s="3"/>
      <c r="IDL32" s="3"/>
      <c r="IDM32" s="3"/>
      <c r="IDN32" s="3"/>
      <c r="IDO32" s="3"/>
      <c r="IDP32" s="3"/>
      <c r="IDQ32" s="3"/>
      <c r="IDR32" s="3"/>
      <c r="IDS32" s="3"/>
      <c r="IDT32" s="3"/>
      <c r="IDU32" s="3"/>
      <c r="IDV32" s="3"/>
      <c r="IDW32" s="3"/>
      <c r="IDX32" s="3"/>
      <c r="IDY32" s="3"/>
      <c r="IDZ32" s="3"/>
      <c r="IEA32" s="3"/>
      <c r="IEB32" s="3"/>
      <c r="IEC32" s="3"/>
      <c r="IED32" s="3"/>
      <c r="IEE32" s="3"/>
      <c r="IEF32" s="3"/>
      <c r="IEG32" s="3"/>
      <c r="IEH32" s="3"/>
      <c r="IEI32" s="3"/>
      <c r="IEJ32" s="3"/>
      <c r="IEK32" s="3"/>
      <c r="IEL32" s="3"/>
      <c r="IEM32" s="3"/>
      <c r="IEN32" s="3"/>
      <c r="IEO32" s="3"/>
      <c r="IEP32" s="3"/>
      <c r="IEQ32" s="3"/>
      <c r="IER32" s="3"/>
      <c r="IES32" s="3"/>
      <c r="IET32" s="3"/>
      <c r="IEU32" s="3"/>
      <c r="IEV32" s="3"/>
      <c r="IEW32" s="3"/>
      <c r="IEX32" s="3"/>
      <c r="IEY32" s="3"/>
      <c r="IEZ32" s="3"/>
      <c r="IFA32" s="3"/>
      <c r="IFB32" s="3"/>
      <c r="IFC32" s="3"/>
      <c r="IFD32" s="3"/>
      <c r="IFE32" s="3"/>
      <c r="IFF32" s="3"/>
      <c r="IFG32" s="3"/>
      <c r="IFH32" s="3"/>
      <c r="IFI32" s="3"/>
      <c r="IFJ32" s="3"/>
      <c r="IFK32" s="3"/>
      <c r="IFL32" s="3"/>
      <c r="IFM32" s="3"/>
      <c r="IFN32" s="3"/>
      <c r="IFO32" s="3"/>
      <c r="IFP32" s="3"/>
      <c r="IFQ32" s="3"/>
      <c r="IFR32" s="3"/>
      <c r="IFS32" s="3"/>
      <c r="IFT32" s="3"/>
      <c r="IFU32" s="3"/>
      <c r="IFV32" s="3"/>
      <c r="IFW32" s="3"/>
      <c r="IFX32" s="3"/>
      <c r="IFY32" s="3"/>
      <c r="IFZ32" s="3"/>
      <c r="IGA32" s="3"/>
      <c r="IGB32" s="3"/>
      <c r="IGC32" s="3"/>
      <c r="IGD32" s="3"/>
      <c r="IGE32" s="3"/>
      <c r="IGF32" s="3"/>
      <c r="IGG32" s="3"/>
      <c r="IGH32" s="3"/>
      <c r="IGI32" s="3"/>
      <c r="IGJ32" s="3"/>
      <c r="IGK32" s="3"/>
      <c r="IGL32" s="3"/>
      <c r="IGM32" s="3"/>
      <c r="IGN32" s="3"/>
      <c r="IGO32" s="3"/>
      <c r="IGP32" s="3"/>
      <c r="IGQ32" s="3"/>
      <c r="IGR32" s="3"/>
      <c r="IGS32" s="3"/>
      <c r="IGT32" s="3"/>
      <c r="IGU32" s="3"/>
      <c r="IGV32" s="3"/>
      <c r="IGW32" s="3"/>
      <c r="IGX32" s="3"/>
      <c r="IGY32" s="3"/>
      <c r="IGZ32" s="3"/>
      <c r="IHA32" s="3"/>
      <c r="IHB32" s="3"/>
      <c r="IHC32" s="3"/>
      <c r="IHD32" s="3"/>
      <c r="IHE32" s="3"/>
      <c r="IHF32" s="3"/>
      <c r="IHG32" s="3"/>
      <c r="IHH32" s="3"/>
      <c r="IHI32" s="3"/>
      <c r="IHJ32" s="3"/>
      <c r="IHK32" s="3"/>
      <c r="IHL32" s="3"/>
      <c r="IHM32" s="3"/>
      <c r="IHN32" s="3"/>
      <c r="IHO32" s="3"/>
      <c r="IHP32" s="3"/>
      <c r="IHQ32" s="3"/>
      <c r="IHR32" s="3"/>
      <c r="IHS32" s="3"/>
      <c r="IHT32" s="3"/>
      <c r="IHU32" s="3"/>
      <c r="IHV32" s="3"/>
      <c r="IHW32" s="3"/>
      <c r="IHX32" s="3"/>
      <c r="IHY32" s="3"/>
      <c r="IHZ32" s="3"/>
      <c r="IIA32" s="3"/>
      <c r="IIB32" s="3"/>
      <c r="IIC32" s="3"/>
      <c r="IID32" s="3"/>
      <c r="IIE32" s="3"/>
      <c r="IIF32" s="3"/>
      <c r="IIG32" s="3"/>
      <c r="IIH32" s="3"/>
      <c r="III32" s="3"/>
      <c r="IIJ32" s="3"/>
      <c r="IIK32" s="3"/>
      <c r="IIL32" s="3"/>
      <c r="IIM32" s="3"/>
      <c r="IIN32" s="3"/>
      <c r="IIO32" s="3"/>
      <c r="IIP32" s="3"/>
      <c r="IIQ32" s="3"/>
      <c r="IIR32" s="3"/>
      <c r="IIS32" s="3"/>
      <c r="IIT32" s="3"/>
      <c r="IIU32" s="3"/>
      <c r="IIV32" s="3"/>
      <c r="IIW32" s="3"/>
      <c r="IIX32" s="3"/>
      <c r="IIY32" s="3"/>
      <c r="IIZ32" s="3"/>
      <c r="IJA32" s="3"/>
      <c r="IJB32" s="3"/>
      <c r="IJC32" s="3"/>
      <c r="IJD32" s="3"/>
      <c r="IJE32" s="3"/>
      <c r="IJF32" s="3"/>
      <c r="IJG32" s="3"/>
      <c r="IJH32" s="3"/>
      <c r="IJI32" s="3"/>
      <c r="IJJ32" s="3"/>
      <c r="IJK32" s="3"/>
      <c r="IJL32" s="3"/>
      <c r="IJM32" s="3"/>
      <c r="IJN32" s="3"/>
      <c r="IJO32" s="3"/>
      <c r="IJP32" s="3"/>
      <c r="IJQ32" s="3"/>
      <c r="IJR32" s="3"/>
      <c r="IJS32" s="3"/>
      <c r="IJT32" s="3"/>
      <c r="IJU32" s="3"/>
      <c r="IJV32" s="3"/>
      <c r="IJW32" s="3"/>
      <c r="IJX32" s="3"/>
      <c r="IJY32" s="3"/>
      <c r="IJZ32" s="3"/>
      <c r="IKA32" s="3"/>
      <c r="IKB32" s="3"/>
      <c r="IKC32" s="3"/>
      <c r="IKD32" s="3"/>
      <c r="IKE32" s="3"/>
      <c r="IKF32" s="3"/>
      <c r="IKG32" s="3"/>
      <c r="IKH32" s="3"/>
      <c r="IKI32" s="3"/>
      <c r="IKJ32" s="3"/>
      <c r="IKK32" s="3"/>
      <c r="IKL32" s="3"/>
      <c r="IKM32" s="3"/>
      <c r="IKN32" s="3"/>
      <c r="IKO32" s="3"/>
      <c r="IKP32" s="3"/>
      <c r="IKQ32" s="3"/>
      <c r="IKR32" s="3"/>
      <c r="IKS32" s="3"/>
      <c r="IKT32" s="3"/>
      <c r="IKU32" s="3"/>
      <c r="IKV32" s="3"/>
      <c r="IKW32" s="3"/>
      <c r="IKX32" s="3"/>
      <c r="IKY32" s="3"/>
      <c r="IKZ32" s="3"/>
      <c r="ILA32" s="3"/>
      <c r="ILB32" s="3"/>
      <c r="ILC32" s="3"/>
      <c r="ILD32" s="3"/>
      <c r="ILE32" s="3"/>
      <c r="ILF32" s="3"/>
      <c r="ILG32" s="3"/>
      <c r="ILH32" s="3"/>
      <c r="ILI32" s="3"/>
      <c r="ILJ32" s="3"/>
      <c r="ILK32" s="3"/>
      <c r="ILL32" s="3"/>
      <c r="ILM32" s="3"/>
      <c r="ILN32" s="3"/>
      <c r="ILO32" s="3"/>
      <c r="ILP32" s="3"/>
      <c r="ILQ32" s="3"/>
      <c r="ILR32" s="3"/>
      <c r="ILS32" s="3"/>
      <c r="ILT32" s="3"/>
      <c r="ILU32" s="3"/>
      <c r="ILV32" s="3"/>
      <c r="ILW32" s="3"/>
      <c r="ILX32" s="3"/>
      <c r="ILY32" s="3"/>
      <c r="ILZ32" s="3"/>
      <c r="IMA32" s="3"/>
      <c r="IMB32" s="3"/>
      <c r="IMC32" s="3"/>
      <c r="IMD32" s="3"/>
      <c r="IME32" s="3"/>
      <c r="IMF32" s="3"/>
      <c r="IMG32" s="3"/>
      <c r="IMH32" s="3"/>
      <c r="IMI32" s="3"/>
      <c r="IMJ32" s="3"/>
      <c r="IMK32" s="3"/>
      <c r="IML32" s="3"/>
      <c r="IMM32" s="3"/>
      <c r="IMN32" s="3"/>
      <c r="IMO32" s="3"/>
      <c r="IMP32" s="3"/>
      <c r="IMQ32" s="3"/>
      <c r="IMR32" s="3"/>
      <c r="IMS32" s="3"/>
      <c r="IMT32" s="3"/>
      <c r="IMU32" s="3"/>
      <c r="IMV32" s="3"/>
      <c r="IMW32" s="3"/>
      <c r="IMX32" s="3"/>
      <c r="IMY32" s="3"/>
      <c r="IMZ32" s="3"/>
      <c r="INA32" s="3"/>
      <c r="INB32" s="3"/>
      <c r="INC32" s="3"/>
      <c r="IND32" s="3"/>
      <c r="INE32" s="3"/>
      <c r="INF32" s="3"/>
      <c r="ING32" s="3"/>
      <c r="INH32" s="3"/>
      <c r="INI32" s="3"/>
      <c r="INJ32" s="3"/>
      <c r="INK32" s="3"/>
      <c r="INL32" s="3"/>
      <c r="INM32" s="3"/>
      <c r="INN32" s="3"/>
      <c r="INO32" s="3"/>
      <c r="INP32" s="3"/>
      <c r="INQ32" s="3"/>
      <c r="INR32" s="3"/>
      <c r="INS32" s="3"/>
      <c r="INT32" s="3"/>
      <c r="INU32" s="3"/>
      <c r="INV32" s="3"/>
      <c r="INW32" s="3"/>
      <c r="INX32" s="3"/>
      <c r="INY32" s="3"/>
      <c r="INZ32" s="3"/>
      <c r="IOA32" s="3"/>
      <c r="IOB32" s="3"/>
      <c r="IOC32" s="3"/>
      <c r="IOD32" s="3"/>
      <c r="IOE32" s="3"/>
      <c r="IOF32" s="3"/>
      <c r="IOG32" s="3"/>
      <c r="IOH32" s="3"/>
      <c r="IOI32" s="3"/>
      <c r="IOJ32" s="3"/>
      <c r="IOK32" s="3"/>
      <c r="IOL32" s="3"/>
      <c r="IOM32" s="3"/>
      <c r="ION32" s="3"/>
      <c r="IOO32" s="3"/>
      <c r="IOP32" s="3"/>
      <c r="IOQ32" s="3"/>
      <c r="IOR32" s="3"/>
      <c r="IOS32" s="3"/>
      <c r="IOT32" s="3"/>
      <c r="IOU32" s="3"/>
      <c r="IOV32" s="3"/>
      <c r="IOW32" s="3"/>
      <c r="IOX32" s="3"/>
      <c r="IOY32" s="3"/>
      <c r="IOZ32" s="3"/>
      <c r="IPA32" s="3"/>
      <c r="IPB32" s="3"/>
      <c r="IPC32" s="3"/>
      <c r="IPD32" s="3"/>
      <c r="IPE32" s="3"/>
      <c r="IPF32" s="3"/>
      <c r="IPG32" s="3"/>
      <c r="IPH32" s="3"/>
      <c r="IPI32" s="3"/>
      <c r="IPJ32" s="3"/>
      <c r="IPK32" s="3"/>
      <c r="IPL32" s="3"/>
      <c r="IPM32" s="3"/>
      <c r="IPN32" s="3"/>
      <c r="IPO32" s="3"/>
      <c r="IPP32" s="3"/>
      <c r="IPQ32" s="3"/>
      <c r="IPR32" s="3"/>
      <c r="IPS32" s="3"/>
      <c r="IPT32" s="3"/>
      <c r="IPU32" s="3"/>
      <c r="IPV32" s="3"/>
      <c r="IPW32" s="3"/>
      <c r="IPX32" s="3"/>
      <c r="IPY32" s="3"/>
      <c r="IPZ32" s="3"/>
      <c r="IQA32" s="3"/>
      <c r="IQB32" s="3"/>
      <c r="IQC32" s="3"/>
      <c r="IQD32" s="3"/>
      <c r="IQE32" s="3"/>
      <c r="IQF32" s="3"/>
      <c r="IQG32" s="3"/>
      <c r="IQH32" s="3"/>
      <c r="IQI32" s="3"/>
      <c r="IQJ32" s="3"/>
      <c r="IQK32" s="3"/>
      <c r="IQL32" s="3"/>
      <c r="IQM32" s="3"/>
      <c r="IQN32" s="3"/>
      <c r="IQO32" s="3"/>
      <c r="IQP32" s="3"/>
      <c r="IQQ32" s="3"/>
      <c r="IQR32" s="3"/>
      <c r="IQS32" s="3"/>
      <c r="IQT32" s="3"/>
      <c r="IQU32" s="3"/>
      <c r="IQV32" s="3"/>
      <c r="IQW32" s="3"/>
      <c r="IQX32" s="3"/>
      <c r="IQY32" s="3"/>
      <c r="IQZ32" s="3"/>
      <c r="IRA32" s="3"/>
      <c r="IRB32" s="3"/>
      <c r="IRC32" s="3"/>
      <c r="IRD32" s="3"/>
      <c r="IRE32" s="3"/>
      <c r="IRF32" s="3"/>
      <c r="IRG32" s="3"/>
      <c r="IRH32" s="3"/>
      <c r="IRI32" s="3"/>
      <c r="IRJ32" s="3"/>
      <c r="IRK32" s="3"/>
      <c r="IRL32" s="3"/>
      <c r="IRM32" s="3"/>
      <c r="IRN32" s="3"/>
      <c r="IRO32" s="3"/>
      <c r="IRP32" s="3"/>
      <c r="IRQ32" s="3"/>
      <c r="IRR32" s="3"/>
      <c r="IRS32" s="3"/>
      <c r="IRT32" s="3"/>
      <c r="IRU32" s="3"/>
      <c r="IRV32" s="3"/>
      <c r="IRW32" s="3"/>
      <c r="IRX32" s="3"/>
      <c r="IRY32" s="3"/>
      <c r="IRZ32" s="3"/>
      <c r="ISA32" s="3"/>
      <c r="ISB32" s="3"/>
      <c r="ISC32" s="3"/>
      <c r="ISD32" s="3"/>
      <c r="ISE32" s="3"/>
      <c r="ISF32" s="3"/>
      <c r="ISG32" s="3"/>
      <c r="ISH32" s="3"/>
      <c r="ISI32" s="3"/>
      <c r="ISJ32" s="3"/>
      <c r="ISK32" s="3"/>
      <c r="ISL32" s="3"/>
      <c r="ISM32" s="3"/>
      <c r="ISN32" s="3"/>
      <c r="ISO32" s="3"/>
      <c r="ISP32" s="3"/>
      <c r="ISQ32" s="3"/>
      <c r="ISR32" s="3"/>
      <c r="ISS32" s="3"/>
      <c r="IST32" s="3"/>
      <c r="ISU32" s="3"/>
      <c r="ISV32" s="3"/>
      <c r="ISW32" s="3"/>
      <c r="ISX32" s="3"/>
      <c r="ISY32" s="3"/>
      <c r="ISZ32" s="3"/>
      <c r="ITA32" s="3"/>
      <c r="ITB32" s="3"/>
      <c r="ITC32" s="3"/>
      <c r="ITD32" s="3"/>
      <c r="ITE32" s="3"/>
      <c r="ITF32" s="3"/>
      <c r="ITG32" s="3"/>
      <c r="ITH32" s="3"/>
      <c r="ITI32" s="3"/>
      <c r="ITJ32" s="3"/>
      <c r="ITK32" s="3"/>
      <c r="ITL32" s="3"/>
      <c r="ITM32" s="3"/>
      <c r="ITN32" s="3"/>
      <c r="ITO32" s="3"/>
      <c r="ITP32" s="3"/>
      <c r="ITQ32" s="3"/>
      <c r="ITR32" s="3"/>
      <c r="ITS32" s="3"/>
      <c r="ITT32" s="3"/>
      <c r="ITU32" s="3"/>
      <c r="ITV32" s="3"/>
      <c r="ITW32" s="3"/>
      <c r="ITX32" s="3"/>
      <c r="ITY32" s="3"/>
      <c r="ITZ32" s="3"/>
      <c r="IUA32" s="3"/>
      <c r="IUB32" s="3"/>
      <c r="IUC32" s="3"/>
      <c r="IUD32" s="3"/>
      <c r="IUE32" s="3"/>
      <c r="IUF32" s="3"/>
      <c r="IUG32" s="3"/>
      <c r="IUH32" s="3"/>
      <c r="IUI32" s="3"/>
      <c r="IUJ32" s="3"/>
      <c r="IUK32" s="3"/>
      <c r="IUL32" s="3"/>
      <c r="IUM32" s="3"/>
      <c r="IUN32" s="3"/>
      <c r="IUO32" s="3"/>
      <c r="IUP32" s="3"/>
      <c r="IUQ32" s="3"/>
      <c r="IUR32" s="3"/>
      <c r="IUS32" s="3"/>
      <c r="IUT32" s="3"/>
      <c r="IUU32" s="3"/>
      <c r="IUV32" s="3"/>
      <c r="IUW32" s="3"/>
      <c r="IUX32" s="3"/>
      <c r="IUY32" s="3"/>
      <c r="IUZ32" s="3"/>
      <c r="IVA32" s="3"/>
      <c r="IVB32" s="3"/>
      <c r="IVC32" s="3"/>
      <c r="IVD32" s="3"/>
      <c r="IVE32" s="3"/>
      <c r="IVF32" s="3"/>
      <c r="IVG32" s="3"/>
      <c r="IVH32" s="3"/>
      <c r="IVI32" s="3"/>
      <c r="IVJ32" s="3"/>
      <c r="IVK32" s="3"/>
      <c r="IVL32" s="3"/>
      <c r="IVM32" s="3"/>
      <c r="IVN32" s="3"/>
      <c r="IVO32" s="3"/>
      <c r="IVP32" s="3"/>
      <c r="IVQ32" s="3"/>
      <c r="IVR32" s="3"/>
      <c r="IVS32" s="3"/>
      <c r="IVT32" s="3"/>
      <c r="IVU32" s="3"/>
      <c r="IVV32" s="3"/>
      <c r="IVW32" s="3"/>
      <c r="IVX32" s="3"/>
      <c r="IVY32" s="3"/>
      <c r="IVZ32" s="3"/>
      <c r="IWA32" s="3"/>
      <c r="IWB32" s="3"/>
      <c r="IWC32" s="3"/>
      <c r="IWD32" s="3"/>
      <c r="IWE32" s="3"/>
      <c r="IWF32" s="3"/>
      <c r="IWG32" s="3"/>
      <c r="IWH32" s="3"/>
      <c r="IWI32" s="3"/>
      <c r="IWJ32" s="3"/>
      <c r="IWK32" s="3"/>
      <c r="IWL32" s="3"/>
      <c r="IWM32" s="3"/>
      <c r="IWN32" s="3"/>
      <c r="IWO32" s="3"/>
      <c r="IWP32" s="3"/>
      <c r="IWQ32" s="3"/>
      <c r="IWR32" s="3"/>
      <c r="IWS32" s="3"/>
      <c r="IWT32" s="3"/>
      <c r="IWU32" s="3"/>
      <c r="IWV32" s="3"/>
      <c r="IWW32" s="3"/>
      <c r="IWX32" s="3"/>
      <c r="IWY32" s="3"/>
      <c r="IWZ32" s="3"/>
      <c r="IXA32" s="3"/>
      <c r="IXB32" s="3"/>
      <c r="IXC32" s="3"/>
      <c r="IXD32" s="3"/>
      <c r="IXE32" s="3"/>
      <c r="IXF32" s="3"/>
      <c r="IXG32" s="3"/>
      <c r="IXH32" s="3"/>
      <c r="IXI32" s="3"/>
      <c r="IXJ32" s="3"/>
      <c r="IXK32" s="3"/>
      <c r="IXL32" s="3"/>
      <c r="IXM32" s="3"/>
      <c r="IXN32" s="3"/>
      <c r="IXO32" s="3"/>
      <c r="IXP32" s="3"/>
      <c r="IXQ32" s="3"/>
      <c r="IXR32" s="3"/>
      <c r="IXS32" s="3"/>
      <c r="IXT32" s="3"/>
      <c r="IXU32" s="3"/>
      <c r="IXV32" s="3"/>
      <c r="IXW32" s="3"/>
      <c r="IXX32" s="3"/>
      <c r="IXY32" s="3"/>
      <c r="IXZ32" s="3"/>
      <c r="IYA32" s="3"/>
      <c r="IYB32" s="3"/>
      <c r="IYC32" s="3"/>
      <c r="IYD32" s="3"/>
      <c r="IYE32" s="3"/>
      <c r="IYF32" s="3"/>
      <c r="IYG32" s="3"/>
      <c r="IYH32" s="3"/>
      <c r="IYI32" s="3"/>
      <c r="IYJ32" s="3"/>
      <c r="IYK32" s="3"/>
      <c r="IYL32" s="3"/>
      <c r="IYM32" s="3"/>
      <c r="IYN32" s="3"/>
      <c r="IYO32" s="3"/>
      <c r="IYP32" s="3"/>
      <c r="IYQ32" s="3"/>
      <c r="IYR32" s="3"/>
      <c r="IYS32" s="3"/>
      <c r="IYT32" s="3"/>
      <c r="IYU32" s="3"/>
      <c r="IYV32" s="3"/>
      <c r="IYW32" s="3"/>
      <c r="IYX32" s="3"/>
      <c r="IYY32" s="3"/>
      <c r="IYZ32" s="3"/>
      <c r="IZA32" s="3"/>
      <c r="IZB32" s="3"/>
      <c r="IZC32" s="3"/>
      <c r="IZD32" s="3"/>
      <c r="IZE32" s="3"/>
      <c r="IZF32" s="3"/>
      <c r="IZG32" s="3"/>
      <c r="IZH32" s="3"/>
      <c r="IZI32" s="3"/>
      <c r="IZJ32" s="3"/>
      <c r="IZK32" s="3"/>
      <c r="IZL32" s="3"/>
      <c r="IZM32" s="3"/>
      <c r="IZN32" s="3"/>
      <c r="IZO32" s="3"/>
      <c r="IZP32" s="3"/>
      <c r="IZQ32" s="3"/>
      <c r="IZR32" s="3"/>
      <c r="IZS32" s="3"/>
      <c r="IZT32" s="3"/>
      <c r="IZU32" s="3"/>
      <c r="IZV32" s="3"/>
      <c r="IZW32" s="3"/>
      <c r="IZX32" s="3"/>
      <c r="IZY32" s="3"/>
      <c r="IZZ32" s="3"/>
      <c r="JAA32" s="3"/>
      <c r="JAB32" s="3"/>
      <c r="JAC32" s="3"/>
      <c r="JAD32" s="3"/>
      <c r="JAE32" s="3"/>
      <c r="JAF32" s="3"/>
      <c r="JAG32" s="3"/>
      <c r="JAH32" s="3"/>
      <c r="JAI32" s="3"/>
      <c r="JAJ32" s="3"/>
      <c r="JAK32" s="3"/>
      <c r="JAL32" s="3"/>
      <c r="JAM32" s="3"/>
      <c r="JAN32" s="3"/>
      <c r="JAO32" s="3"/>
      <c r="JAP32" s="3"/>
      <c r="JAQ32" s="3"/>
      <c r="JAR32" s="3"/>
      <c r="JAS32" s="3"/>
      <c r="JAT32" s="3"/>
      <c r="JAU32" s="3"/>
      <c r="JAV32" s="3"/>
      <c r="JAW32" s="3"/>
      <c r="JAX32" s="3"/>
      <c r="JAY32" s="3"/>
      <c r="JAZ32" s="3"/>
      <c r="JBA32" s="3"/>
      <c r="JBB32" s="3"/>
      <c r="JBC32" s="3"/>
      <c r="JBD32" s="3"/>
      <c r="JBE32" s="3"/>
      <c r="JBF32" s="3"/>
      <c r="JBG32" s="3"/>
      <c r="JBH32" s="3"/>
      <c r="JBI32" s="3"/>
      <c r="JBJ32" s="3"/>
      <c r="JBK32" s="3"/>
      <c r="JBL32" s="3"/>
      <c r="JBM32" s="3"/>
      <c r="JBN32" s="3"/>
      <c r="JBO32" s="3"/>
      <c r="JBP32" s="3"/>
      <c r="JBQ32" s="3"/>
      <c r="JBR32" s="3"/>
      <c r="JBS32" s="3"/>
      <c r="JBT32" s="3"/>
      <c r="JBU32" s="3"/>
      <c r="JBV32" s="3"/>
      <c r="JBW32" s="3"/>
      <c r="JBX32" s="3"/>
      <c r="JBY32" s="3"/>
      <c r="JBZ32" s="3"/>
      <c r="JCA32" s="3"/>
      <c r="JCB32" s="3"/>
      <c r="JCC32" s="3"/>
      <c r="JCD32" s="3"/>
      <c r="JCE32" s="3"/>
      <c r="JCF32" s="3"/>
      <c r="JCG32" s="3"/>
      <c r="JCH32" s="3"/>
      <c r="JCI32" s="3"/>
      <c r="JCJ32" s="3"/>
      <c r="JCK32" s="3"/>
      <c r="JCL32" s="3"/>
      <c r="JCM32" s="3"/>
      <c r="JCN32" s="3"/>
      <c r="JCO32" s="3"/>
      <c r="JCP32" s="3"/>
      <c r="JCQ32" s="3"/>
      <c r="JCR32" s="3"/>
      <c r="JCS32" s="3"/>
      <c r="JCT32" s="3"/>
      <c r="JCU32" s="3"/>
      <c r="JCV32" s="3"/>
      <c r="JCW32" s="3"/>
      <c r="JCX32" s="3"/>
      <c r="JCY32" s="3"/>
      <c r="JCZ32" s="3"/>
      <c r="JDA32" s="3"/>
      <c r="JDB32" s="3"/>
      <c r="JDC32" s="3"/>
      <c r="JDD32" s="3"/>
      <c r="JDE32" s="3"/>
      <c r="JDF32" s="3"/>
      <c r="JDG32" s="3"/>
      <c r="JDH32" s="3"/>
      <c r="JDI32" s="3"/>
      <c r="JDJ32" s="3"/>
      <c r="JDK32" s="3"/>
      <c r="JDL32" s="3"/>
      <c r="JDM32" s="3"/>
      <c r="JDN32" s="3"/>
      <c r="JDO32" s="3"/>
      <c r="JDP32" s="3"/>
      <c r="JDQ32" s="3"/>
      <c r="JDR32" s="3"/>
      <c r="JDS32" s="3"/>
      <c r="JDT32" s="3"/>
      <c r="JDU32" s="3"/>
      <c r="JDV32" s="3"/>
      <c r="JDW32" s="3"/>
      <c r="JDX32" s="3"/>
      <c r="JDY32" s="3"/>
      <c r="JDZ32" s="3"/>
      <c r="JEA32" s="3"/>
      <c r="JEB32" s="3"/>
      <c r="JEC32" s="3"/>
      <c r="JED32" s="3"/>
      <c r="JEE32" s="3"/>
      <c r="JEF32" s="3"/>
      <c r="JEG32" s="3"/>
      <c r="JEH32" s="3"/>
      <c r="JEI32" s="3"/>
      <c r="JEJ32" s="3"/>
      <c r="JEK32" s="3"/>
      <c r="JEL32" s="3"/>
      <c r="JEM32" s="3"/>
      <c r="JEN32" s="3"/>
      <c r="JEO32" s="3"/>
      <c r="JEP32" s="3"/>
      <c r="JEQ32" s="3"/>
      <c r="JER32" s="3"/>
      <c r="JES32" s="3"/>
      <c r="JET32" s="3"/>
      <c r="JEU32" s="3"/>
      <c r="JEV32" s="3"/>
      <c r="JEW32" s="3"/>
      <c r="JEX32" s="3"/>
      <c r="JEY32" s="3"/>
      <c r="JEZ32" s="3"/>
      <c r="JFA32" s="3"/>
      <c r="JFB32" s="3"/>
      <c r="JFC32" s="3"/>
      <c r="JFD32" s="3"/>
      <c r="JFE32" s="3"/>
      <c r="JFF32" s="3"/>
      <c r="JFG32" s="3"/>
      <c r="JFH32" s="3"/>
      <c r="JFI32" s="3"/>
      <c r="JFJ32" s="3"/>
      <c r="JFK32" s="3"/>
      <c r="JFL32" s="3"/>
      <c r="JFM32" s="3"/>
      <c r="JFN32" s="3"/>
      <c r="JFO32" s="3"/>
      <c r="JFP32" s="3"/>
      <c r="JFQ32" s="3"/>
      <c r="JFR32" s="3"/>
      <c r="JFS32" s="3"/>
      <c r="JFT32" s="3"/>
      <c r="JFU32" s="3"/>
      <c r="JFV32" s="3"/>
      <c r="JFW32" s="3"/>
      <c r="JFX32" s="3"/>
      <c r="JFY32" s="3"/>
      <c r="JFZ32" s="3"/>
      <c r="JGA32" s="3"/>
      <c r="JGB32" s="3"/>
      <c r="JGC32" s="3"/>
      <c r="JGD32" s="3"/>
      <c r="JGE32" s="3"/>
      <c r="JGF32" s="3"/>
      <c r="JGG32" s="3"/>
      <c r="JGH32" s="3"/>
      <c r="JGI32" s="3"/>
      <c r="JGJ32" s="3"/>
      <c r="JGK32" s="3"/>
      <c r="JGL32" s="3"/>
      <c r="JGM32" s="3"/>
      <c r="JGN32" s="3"/>
      <c r="JGO32" s="3"/>
      <c r="JGP32" s="3"/>
      <c r="JGQ32" s="3"/>
      <c r="JGR32" s="3"/>
      <c r="JGS32" s="3"/>
      <c r="JGT32" s="3"/>
      <c r="JGU32" s="3"/>
      <c r="JGV32" s="3"/>
      <c r="JGW32" s="3"/>
      <c r="JGX32" s="3"/>
      <c r="JGY32" s="3"/>
      <c r="JGZ32" s="3"/>
      <c r="JHA32" s="3"/>
      <c r="JHB32" s="3"/>
      <c r="JHC32" s="3"/>
      <c r="JHD32" s="3"/>
      <c r="JHE32" s="3"/>
      <c r="JHF32" s="3"/>
      <c r="JHG32" s="3"/>
      <c r="JHH32" s="3"/>
      <c r="JHI32" s="3"/>
      <c r="JHJ32" s="3"/>
      <c r="JHK32" s="3"/>
      <c r="JHL32" s="3"/>
      <c r="JHM32" s="3"/>
      <c r="JHN32" s="3"/>
      <c r="JHO32" s="3"/>
      <c r="JHP32" s="3"/>
      <c r="JHQ32" s="3"/>
      <c r="JHR32" s="3"/>
      <c r="JHS32" s="3"/>
      <c r="JHT32" s="3"/>
      <c r="JHU32" s="3"/>
      <c r="JHV32" s="3"/>
      <c r="JHW32" s="3"/>
      <c r="JHX32" s="3"/>
      <c r="JHY32" s="3"/>
      <c r="JHZ32" s="3"/>
      <c r="JIA32" s="3"/>
      <c r="JIB32" s="3"/>
      <c r="JIC32" s="3"/>
      <c r="JID32" s="3"/>
      <c r="JIE32" s="3"/>
      <c r="JIF32" s="3"/>
      <c r="JIG32" s="3"/>
      <c r="JIH32" s="3"/>
      <c r="JII32" s="3"/>
      <c r="JIJ32" s="3"/>
      <c r="JIK32" s="3"/>
      <c r="JIL32" s="3"/>
      <c r="JIM32" s="3"/>
      <c r="JIN32" s="3"/>
      <c r="JIO32" s="3"/>
      <c r="JIP32" s="3"/>
      <c r="JIQ32" s="3"/>
      <c r="JIR32" s="3"/>
      <c r="JIS32" s="3"/>
      <c r="JIT32" s="3"/>
      <c r="JIU32" s="3"/>
      <c r="JIV32" s="3"/>
      <c r="JIW32" s="3"/>
      <c r="JIX32" s="3"/>
      <c r="JIY32" s="3"/>
      <c r="JIZ32" s="3"/>
      <c r="JJA32" s="3"/>
      <c r="JJB32" s="3"/>
      <c r="JJC32" s="3"/>
      <c r="JJD32" s="3"/>
      <c r="JJE32" s="3"/>
      <c r="JJF32" s="3"/>
      <c r="JJG32" s="3"/>
      <c r="JJH32" s="3"/>
      <c r="JJI32" s="3"/>
      <c r="JJJ32" s="3"/>
      <c r="JJK32" s="3"/>
      <c r="JJL32" s="3"/>
      <c r="JJM32" s="3"/>
      <c r="JJN32" s="3"/>
      <c r="JJO32" s="3"/>
      <c r="JJP32" s="3"/>
      <c r="JJQ32" s="3"/>
      <c r="JJR32" s="3"/>
      <c r="JJS32" s="3"/>
      <c r="JJT32" s="3"/>
      <c r="JJU32" s="3"/>
      <c r="JJV32" s="3"/>
      <c r="JJW32" s="3"/>
      <c r="JJX32" s="3"/>
      <c r="JJY32" s="3"/>
      <c r="JJZ32" s="3"/>
      <c r="JKA32" s="3"/>
      <c r="JKB32" s="3"/>
      <c r="JKC32" s="3"/>
      <c r="JKD32" s="3"/>
      <c r="JKE32" s="3"/>
      <c r="JKF32" s="3"/>
      <c r="JKG32" s="3"/>
      <c r="JKH32" s="3"/>
      <c r="JKI32" s="3"/>
      <c r="JKJ32" s="3"/>
      <c r="JKK32" s="3"/>
      <c r="JKL32" s="3"/>
      <c r="JKM32" s="3"/>
      <c r="JKN32" s="3"/>
      <c r="JKO32" s="3"/>
      <c r="JKP32" s="3"/>
      <c r="JKQ32" s="3"/>
      <c r="JKR32" s="3"/>
      <c r="JKS32" s="3"/>
      <c r="JKT32" s="3"/>
      <c r="JKU32" s="3"/>
      <c r="JKV32" s="3"/>
      <c r="JKW32" s="3"/>
      <c r="JKX32" s="3"/>
      <c r="JKY32" s="3"/>
      <c r="JKZ32" s="3"/>
      <c r="JLA32" s="3"/>
      <c r="JLB32" s="3"/>
      <c r="JLC32" s="3"/>
      <c r="JLD32" s="3"/>
      <c r="JLE32" s="3"/>
      <c r="JLF32" s="3"/>
      <c r="JLG32" s="3"/>
      <c r="JLH32" s="3"/>
      <c r="JLI32" s="3"/>
      <c r="JLJ32" s="3"/>
      <c r="JLK32" s="3"/>
      <c r="JLL32" s="3"/>
      <c r="JLM32" s="3"/>
      <c r="JLN32" s="3"/>
      <c r="JLO32" s="3"/>
      <c r="JLP32" s="3"/>
      <c r="JLQ32" s="3"/>
      <c r="JLR32" s="3"/>
      <c r="JLS32" s="3"/>
      <c r="JLT32" s="3"/>
      <c r="JLU32" s="3"/>
      <c r="JLV32" s="3"/>
      <c r="JLW32" s="3"/>
      <c r="JLX32" s="3"/>
      <c r="JLY32" s="3"/>
      <c r="JLZ32" s="3"/>
      <c r="JMA32" s="3"/>
      <c r="JMB32" s="3"/>
      <c r="JMC32" s="3"/>
      <c r="JMD32" s="3"/>
      <c r="JME32" s="3"/>
      <c r="JMF32" s="3"/>
      <c r="JMG32" s="3"/>
      <c r="JMH32" s="3"/>
      <c r="JMI32" s="3"/>
      <c r="JMJ32" s="3"/>
      <c r="JMK32" s="3"/>
      <c r="JML32" s="3"/>
      <c r="JMM32" s="3"/>
      <c r="JMN32" s="3"/>
      <c r="JMO32" s="3"/>
      <c r="JMP32" s="3"/>
      <c r="JMQ32" s="3"/>
      <c r="JMR32" s="3"/>
      <c r="JMS32" s="3"/>
      <c r="JMT32" s="3"/>
      <c r="JMU32" s="3"/>
      <c r="JMV32" s="3"/>
      <c r="JMW32" s="3"/>
      <c r="JMX32" s="3"/>
      <c r="JMY32" s="3"/>
      <c r="JMZ32" s="3"/>
      <c r="JNA32" s="3"/>
      <c r="JNB32" s="3"/>
      <c r="JNC32" s="3"/>
      <c r="JND32" s="3"/>
      <c r="JNE32" s="3"/>
      <c r="JNF32" s="3"/>
      <c r="JNG32" s="3"/>
      <c r="JNH32" s="3"/>
      <c r="JNI32" s="3"/>
      <c r="JNJ32" s="3"/>
      <c r="JNK32" s="3"/>
      <c r="JNL32" s="3"/>
      <c r="JNM32" s="3"/>
      <c r="JNN32" s="3"/>
      <c r="JNO32" s="3"/>
      <c r="JNP32" s="3"/>
      <c r="JNQ32" s="3"/>
      <c r="JNR32" s="3"/>
      <c r="JNS32" s="3"/>
      <c r="JNT32" s="3"/>
      <c r="JNU32" s="3"/>
      <c r="JNV32" s="3"/>
      <c r="JNW32" s="3"/>
      <c r="JNX32" s="3"/>
      <c r="JNY32" s="3"/>
      <c r="JNZ32" s="3"/>
      <c r="JOA32" s="3"/>
      <c r="JOB32" s="3"/>
      <c r="JOC32" s="3"/>
      <c r="JOD32" s="3"/>
      <c r="JOE32" s="3"/>
      <c r="JOF32" s="3"/>
      <c r="JOG32" s="3"/>
      <c r="JOH32" s="3"/>
      <c r="JOI32" s="3"/>
      <c r="JOJ32" s="3"/>
      <c r="JOK32" s="3"/>
      <c r="JOL32" s="3"/>
      <c r="JOM32" s="3"/>
      <c r="JON32" s="3"/>
      <c r="JOO32" s="3"/>
      <c r="JOP32" s="3"/>
      <c r="JOQ32" s="3"/>
      <c r="JOR32" s="3"/>
      <c r="JOS32" s="3"/>
      <c r="JOT32" s="3"/>
      <c r="JOU32" s="3"/>
      <c r="JOV32" s="3"/>
      <c r="JOW32" s="3"/>
      <c r="JOX32" s="3"/>
      <c r="JOY32" s="3"/>
      <c r="JOZ32" s="3"/>
      <c r="JPA32" s="3"/>
      <c r="JPB32" s="3"/>
      <c r="JPC32" s="3"/>
      <c r="JPD32" s="3"/>
      <c r="JPE32" s="3"/>
      <c r="JPF32" s="3"/>
      <c r="JPG32" s="3"/>
      <c r="JPH32" s="3"/>
      <c r="JPI32" s="3"/>
      <c r="JPJ32" s="3"/>
      <c r="JPK32" s="3"/>
      <c r="JPL32" s="3"/>
      <c r="JPM32" s="3"/>
      <c r="JPN32" s="3"/>
      <c r="JPO32" s="3"/>
      <c r="JPP32" s="3"/>
      <c r="JPQ32" s="3"/>
      <c r="JPR32" s="3"/>
      <c r="JPS32" s="3"/>
      <c r="JPT32" s="3"/>
      <c r="JPU32" s="3"/>
      <c r="JPV32" s="3"/>
      <c r="JPW32" s="3"/>
      <c r="JPX32" s="3"/>
      <c r="JPY32" s="3"/>
      <c r="JPZ32" s="3"/>
      <c r="JQA32" s="3"/>
      <c r="JQB32" s="3"/>
      <c r="JQC32" s="3"/>
      <c r="JQD32" s="3"/>
      <c r="JQE32" s="3"/>
      <c r="JQF32" s="3"/>
      <c r="JQG32" s="3"/>
      <c r="JQH32" s="3"/>
      <c r="JQI32" s="3"/>
      <c r="JQJ32" s="3"/>
      <c r="JQK32" s="3"/>
      <c r="JQL32" s="3"/>
      <c r="JQM32" s="3"/>
      <c r="JQN32" s="3"/>
      <c r="JQO32" s="3"/>
      <c r="JQP32" s="3"/>
      <c r="JQQ32" s="3"/>
      <c r="JQR32" s="3"/>
      <c r="JQS32" s="3"/>
      <c r="JQT32" s="3"/>
      <c r="JQU32" s="3"/>
      <c r="JQV32" s="3"/>
      <c r="JQW32" s="3"/>
      <c r="JQX32" s="3"/>
      <c r="JQY32" s="3"/>
      <c r="JQZ32" s="3"/>
      <c r="JRA32" s="3"/>
      <c r="JRB32" s="3"/>
      <c r="JRC32" s="3"/>
      <c r="JRD32" s="3"/>
      <c r="JRE32" s="3"/>
      <c r="JRF32" s="3"/>
      <c r="JRG32" s="3"/>
      <c r="JRH32" s="3"/>
      <c r="JRI32" s="3"/>
      <c r="JRJ32" s="3"/>
      <c r="JRK32" s="3"/>
      <c r="JRL32" s="3"/>
      <c r="JRM32" s="3"/>
      <c r="JRN32" s="3"/>
      <c r="JRO32" s="3"/>
      <c r="JRP32" s="3"/>
      <c r="JRQ32" s="3"/>
      <c r="JRR32" s="3"/>
      <c r="JRS32" s="3"/>
      <c r="JRT32" s="3"/>
      <c r="JRU32" s="3"/>
      <c r="JRV32" s="3"/>
      <c r="JRW32" s="3"/>
      <c r="JRX32" s="3"/>
      <c r="JRY32" s="3"/>
      <c r="JRZ32" s="3"/>
      <c r="JSA32" s="3"/>
      <c r="JSB32" s="3"/>
      <c r="JSC32" s="3"/>
      <c r="JSD32" s="3"/>
      <c r="JSE32" s="3"/>
      <c r="JSF32" s="3"/>
      <c r="JSG32" s="3"/>
      <c r="JSH32" s="3"/>
      <c r="JSI32" s="3"/>
      <c r="JSJ32" s="3"/>
      <c r="JSK32" s="3"/>
      <c r="JSL32" s="3"/>
      <c r="JSM32" s="3"/>
      <c r="JSN32" s="3"/>
      <c r="JSO32" s="3"/>
      <c r="JSP32" s="3"/>
      <c r="JSQ32" s="3"/>
      <c r="JSR32" s="3"/>
      <c r="JSS32" s="3"/>
      <c r="JST32" s="3"/>
      <c r="JSU32" s="3"/>
      <c r="JSV32" s="3"/>
      <c r="JSW32" s="3"/>
      <c r="JSX32" s="3"/>
      <c r="JSY32" s="3"/>
      <c r="JSZ32" s="3"/>
      <c r="JTA32" s="3"/>
      <c r="JTB32" s="3"/>
      <c r="JTC32" s="3"/>
      <c r="JTD32" s="3"/>
      <c r="JTE32" s="3"/>
      <c r="JTF32" s="3"/>
      <c r="JTG32" s="3"/>
      <c r="JTH32" s="3"/>
      <c r="JTI32" s="3"/>
      <c r="JTJ32" s="3"/>
      <c r="JTK32" s="3"/>
      <c r="JTL32" s="3"/>
      <c r="JTM32" s="3"/>
      <c r="JTN32" s="3"/>
      <c r="JTO32" s="3"/>
      <c r="JTP32" s="3"/>
      <c r="JTQ32" s="3"/>
      <c r="JTR32" s="3"/>
      <c r="JTS32" s="3"/>
      <c r="JTT32" s="3"/>
      <c r="JTU32" s="3"/>
      <c r="JTV32" s="3"/>
      <c r="JTW32" s="3"/>
      <c r="JTX32" s="3"/>
      <c r="JTY32" s="3"/>
      <c r="JTZ32" s="3"/>
      <c r="JUA32" s="3"/>
      <c r="JUB32" s="3"/>
      <c r="JUC32" s="3"/>
      <c r="JUD32" s="3"/>
      <c r="JUE32" s="3"/>
      <c r="JUF32" s="3"/>
      <c r="JUG32" s="3"/>
      <c r="JUH32" s="3"/>
      <c r="JUI32" s="3"/>
      <c r="JUJ32" s="3"/>
      <c r="JUK32" s="3"/>
      <c r="JUL32" s="3"/>
      <c r="JUM32" s="3"/>
      <c r="JUN32" s="3"/>
      <c r="JUO32" s="3"/>
      <c r="JUP32" s="3"/>
      <c r="JUQ32" s="3"/>
      <c r="JUR32" s="3"/>
      <c r="JUS32" s="3"/>
      <c r="JUT32" s="3"/>
      <c r="JUU32" s="3"/>
      <c r="JUV32" s="3"/>
      <c r="JUW32" s="3"/>
      <c r="JUX32" s="3"/>
      <c r="JUY32" s="3"/>
      <c r="JUZ32" s="3"/>
      <c r="JVA32" s="3"/>
      <c r="JVB32" s="3"/>
      <c r="JVC32" s="3"/>
      <c r="JVD32" s="3"/>
      <c r="JVE32" s="3"/>
      <c r="JVF32" s="3"/>
      <c r="JVG32" s="3"/>
      <c r="JVH32" s="3"/>
      <c r="JVI32" s="3"/>
      <c r="JVJ32" s="3"/>
      <c r="JVK32" s="3"/>
      <c r="JVL32" s="3"/>
      <c r="JVM32" s="3"/>
      <c r="JVN32" s="3"/>
      <c r="JVO32" s="3"/>
      <c r="JVP32" s="3"/>
      <c r="JVQ32" s="3"/>
      <c r="JVR32" s="3"/>
      <c r="JVS32" s="3"/>
      <c r="JVT32" s="3"/>
      <c r="JVU32" s="3"/>
      <c r="JVV32" s="3"/>
      <c r="JVW32" s="3"/>
      <c r="JVX32" s="3"/>
      <c r="JVY32" s="3"/>
      <c r="JVZ32" s="3"/>
      <c r="JWA32" s="3"/>
      <c r="JWB32" s="3"/>
      <c r="JWC32" s="3"/>
      <c r="JWD32" s="3"/>
      <c r="JWE32" s="3"/>
      <c r="JWF32" s="3"/>
      <c r="JWG32" s="3"/>
      <c r="JWH32" s="3"/>
      <c r="JWI32" s="3"/>
      <c r="JWJ32" s="3"/>
      <c r="JWK32" s="3"/>
      <c r="JWL32" s="3"/>
      <c r="JWM32" s="3"/>
      <c r="JWN32" s="3"/>
      <c r="JWO32" s="3"/>
      <c r="JWP32" s="3"/>
      <c r="JWQ32" s="3"/>
      <c r="JWR32" s="3"/>
      <c r="JWS32" s="3"/>
      <c r="JWT32" s="3"/>
      <c r="JWU32" s="3"/>
      <c r="JWV32" s="3"/>
      <c r="JWW32" s="3"/>
      <c r="JWX32" s="3"/>
      <c r="JWY32" s="3"/>
      <c r="JWZ32" s="3"/>
      <c r="JXA32" s="3"/>
      <c r="JXB32" s="3"/>
      <c r="JXC32" s="3"/>
      <c r="JXD32" s="3"/>
      <c r="JXE32" s="3"/>
      <c r="JXF32" s="3"/>
      <c r="JXG32" s="3"/>
      <c r="JXH32" s="3"/>
      <c r="JXI32" s="3"/>
      <c r="JXJ32" s="3"/>
      <c r="JXK32" s="3"/>
      <c r="JXL32" s="3"/>
      <c r="JXM32" s="3"/>
      <c r="JXN32" s="3"/>
      <c r="JXO32" s="3"/>
      <c r="JXP32" s="3"/>
      <c r="JXQ32" s="3"/>
      <c r="JXR32" s="3"/>
      <c r="JXS32" s="3"/>
      <c r="JXT32" s="3"/>
      <c r="JXU32" s="3"/>
      <c r="JXV32" s="3"/>
      <c r="JXW32" s="3"/>
      <c r="JXX32" s="3"/>
      <c r="JXY32" s="3"/>
      <c r="JXZ32" s="3"/>
      <c r="JYA32" s="3"/>
      <c r="JYB32" s="3"/>
      <c r="JYC32" s="3"/>
      <c r="JYD32" s="3"/>
      <c r="JYE32" s="3"/>
      <c r="JYF32" s="3"/>
      <c r="JYG32" s="3"/>
      <c r="JYH32" s="3"/>
      <c r="JYI32" s="3"/>
      <c r="JYJ32" s="3"/>
      <c r="JYK32" s="3"/>
      <c r="JYL32" s="3"/>
      <c r="JYM32" s="3"/>
      <c r="JYN32" s="3"/>
      <c r="JYO32" s="3"/>
      <c r="JYP32" s="3"/>
      <c r="JYQ32" s="3"/>
      <c r="JYR32" s="3"/>
      <c r="JYS32" s="3"/>
      <c r="JYT32" s="3"/>
      <c r="JYU32" s="3"/>
      <c r="JYV32" s="3"/>
      <c r="JYW32" s="3"/>
      <c r="JYX32" s="3"/>
      <c r="JYY32" s="3"/>
      <c r="JYZ32" s="3"/>
      <c r="JZA32" s="3"/>
      <c r="JZB32" s="3"/>
      <c r="JZC32" s="3"/>
      <c r="JZD32" s="3"/>
      <c r="JZE32" s="3"/>
      <c r="JZF32" s="3"/>
      <c r="JZG32" s="3"/>
      <c r="JZH32" s="3"/>
      <c r="JZI32" s="3"/>
      <c r="JZJ32" s="3"/>
      <c r="JZK32" s="3"/>
      <c r="JZL32" s="3"/>
      <c r="JZM32" s="3"/>
      <c r="JZN32" s="3"/>
      <c r="JZO32" s="3"/>
      <c r="JZP32" s="3"/>
      <c r="JZQ32" s="3"/>
      <c r="JZR32" s="3"/>
      <c r="JZS32" s="3"/>
      <c r="JZT32" s="3"/>
      <c r="JZU32" s="3"/>
      <c r="JZV32" s="3"/>
      <c r="JZW32" s="3"/>
      <c r="JZX32" s="3"/>
      <c r="JZY32" s="3"/>
      <c r="JZZ32" s="3"/>
      <c r="KAA32" s="3"/>
      <c r="KAB32" s="3"/>
      <c r="KAC32" s="3"/>
      <c r="KAD32" s="3"/>
      <c r="KAE32" s="3"/>
      <c r="KAF32" s="3"/>
      <c r="KAG32" s="3"/>
      <c r="KAH32" s="3"/>
      <c r="KAI32" s="3"/>
      <c r="KAJ32" s="3"/>
      <c r="KAK32" s="3"/>
      <c r="KAL32" s="3"/>
      <c r="KAM32" s="3"/>
      <c r="KAN32" s="3"/>
      <c r="KAO32" s="3"/>
      <c r="KAP32" s="3"/>
      <c r="KAQ32" s="3"/>
      <c r="KAR32" s="3"/>
      <c r="KAS32" s="3"/>
      <c r="KAT32" s="3"/>
      <c r="KAU32" s="3"/>
      <c r="KAV32" s="3"/>
      <c r="KAW32" s="3"/>
      <c r="KAX32" s="3"/>
      <c r="KAY32" s="3"/>
      <c r="KAZ32" s="3"/>
      <c r="KBA32" s="3"/>
      <c r="KBB32" s="3"/>
      <c r="KBC32" s="3"/>
      <c r="KBD32" s="3"/>
      <c r="KBE32" s="3"/>
      <c r="KBF32" s="3"/>
      <c r="KBG32" s="3"/>
      <c r="KBH32" s="3"/>
      <c r="KBI32" s="3"/>
      <c r="KBJ32" s="3"/>
      <c r="KBK32" s="3"/>
      <c r="KBL32" s="3"/>
      <c r="KBM32" s="3"/>
      <c r="KBN32" s="3"/>
      <c r="KBO32" s="3"/>
      <c r="KBP32" s="3"/>
      <c r="KBQ32" s="3"/>
      <c r="KBR32" s="3"/>
      <c r="KBS32" s="3"/>
      <c r="KBT32" s="3"/>
      <c r="KBU32" s="3"/>
      <c r="KBV32" s="3"/>
      <c r="KBW32" s="3"/>
      <c r="KBX32" s="3"/>
      <c r="KBY32" s="3"/>
      <c r="KBZ32" s="3"/>
      <c r="KCA32" s="3"/>
      <c r="KCB32" s="3"/>
      <c r="KCC32" s="3"/>
      <c r="KCD32" s="3"/>
      <c r="KCE32" s="3"/>
      <c r="KCF32" s="3"/>
      <c r="KCG32" s="3"/>
      <c r="KCH32" s="3"/>
      <c r="KCI32" s="3"/>
      <c r="KCJ32" s="3"/>
      <c r="KCK32" s="3"/>
      <c r="KCL32" s="3"/>
      <c r="KCM32" s="3"/>
      <c r="KCN32" s="3"/>
      <c r="KCO32" s="3"/>
      <c r="KCP32" s="3"/>
      <c r="KCQ32" s="3"/>
      <c r="KCR32" s="3"/>
      <c r="KCS32" s="3"/>
      <c r="KCT32" s="3"/>
      <c r="KCU32" s="3"/>
      <c r="KCV32" s="3"/>
      <c r="KCW32" s="3"/>
      <c r="KCX32" s="3"/>
      <c r="KCY32" s="3"/>
      <c r="KCZ32" s="3"/>
      <c r="KDA32" s="3"/>
      <c r="KDB32" s="3"/>
      <c r="KDC32" s="3"/>
      <c r="KDD32" s="3"/>
      <c r="KDE32" s="3"/>
      <c r="KDF32" s="3"/>
      <c r="KDG32" s="3"/>
      <c r="KDH32" s="3"/>
      <c r="KDI32" s="3"/>
      <c r="KDJ32" s="3"/>
      <c r="KDK32" s="3"/>
      <c r="KDL32" s="3"/>
      <c r="KDM32" s="3"/>
      <c r="KDN32" s="3"/>
      <c r="KDO32" s="3"/>
      <c r="KDP32" s="3"/>
      <c r="KDQ32" s="3"/>
      <c r="KDR32" s="3"/>
      <c r="KDS32" s="3"/>
      <c r="KDT32" s="3"/>
      <c r="KDU32" s="3"/>
      <c r="KDV32" s="3"/>
      <c r="KDW32" s="3"/>
      <c r="KDX32" s="3"/>
      <c r="KDY32" s="3"/>
      <c r="KDZ32" s="3"/>
      <c r="KEA32" s="3"/>
      <c r="KEB32" s="3"/>
      <c r="KEC32" s="3"/>
      <c r="KED32" s="3"/>
      <c r="KEE32" s="3"/>
      <c r="KEF32" s="3"/>
      <c r="KEG32" s="3"/>
      <c r="KEH32" s="3"/>
      <c r="KEI32" s="3"/>
      <c r="KEJ32" s="3"/>
      <c r="KEK32" s="3"/>
      <c r="KEL32" s="3"/>
      <c r="KEM32" s="3"/>
      <c r="KEN32" s="3"/>
      <c r="KEO32" s="3"/>
      <c r="KEP32" s="3"/>
      <c r="KEQ32" s="3"/>
      <c r="KER32" s="3"/>
      <c r="KES32" s="3"/>
      <c r="KET32" s="3"/>
      <c r="KEU32" s="3"/>
      <c r="KEV32" s="3"/>
      <c r="KEW32" s="3"/>
      <c r="KEX32" s="3"/>
      <c r="KEY32" s="3"/>
      <c r="KEZ32" s="3"/>
      <c r="KFA32" s="3"/>
      <c r="KFB32" s="3"/>
      <c r="KFC32" s="3"/>
      <c r="KFD32" s="3"/>
      <c r="KFE32" s="3"/>
      <c r="KFF32" s="3"/>
      <c r="KFG32" s="3"/>
      <c r="KFH32" s="3"/>
      <c r="KFI32" s="3"/>
      <c r="KFJ32" s="3"/>
      <c r="KFK32" s="3"/>
      <c r="KFL32" s="3"/>
      <c r="KFM32" s="3"/>
      <c r="KFN32" s="3"/>
      <c r="KFO32" s="3"/>
      <c r="KFP32" s="3"/>
      <c r="KFQ32" s="3"/>
      <c r="KFR32" s="3"/>
      <c r="KFS32" s="3"/>
      <c r="KFT32" s="3"/>
      <c r="KFU32" s="3"/>
      <c r="KFV32" s="3"/>
      <c r="KFW32" s="3"/>
      <c r="KFX32" s="3"/>
      <c r="KFY32" s="3"/>
      <c r="KFZ32" s="3"/>
      <c r="KGA32" s="3"/>
      <c r="KGB32" s="3"/>
      <c r="KGC32" s="3"/>
      <c r="KGD32" s="3"/>
      <c r="KGE32" s="3"/>
      <c r="KGF32" s="3"/>
      <c r="KGG32" s="3"/>
      <c r="KGH32" s="3"/>
      <c r="KGI32" s="3"/>
      <c r="KGJ32" s="3"/>
      <c r="KGK32" s="3"/>
      <c r="KGL32" s="3"/>
      <c r="KGM32" s="3"/>
      <c r="KGN32" s="3"/>
      <c r="KGO32" s="3"/>
      <c r="KGP32" s="3"/>
      <c r="KGQ32" s="3"/>
      <c r="KGR32" s="3"/>
      <c r="KGS32" s="3"/>
      <c r="KGT32" s="3"/>
      <c r="KGU32" s="3"/>
      <c r="KGV32" s="3"/>
      <c r="KGW32" s="3"/>
      <c r="KGX32" s="3"/>
      <c r="KGY32" s="3"/>
      <c r="KGZ32" s="3"/>
      <c r="KHA32" s="3"/>
      <c r="KHB32" s="3"/>
      <c r="KHC32" s="3"/>
      <c r="KHD32" s="3"/>
      <c r="KHE32" s="3"/>
      <c r="KHF32" s="3"/>
      <c r="KHG32" s="3"/>
      <c r="KHH32" s="3"/>
      <c r="KHI32" s="3"/>
      <c r="KHJ32" s="3"/>
      <c r="KHK32" s="3"/>
      <c r="KHL32" s="3"/>
      <c r="KHM32" s="3"/>
      <c r="KHN32" s="3"/>
      <c r="KHO32" s="3"/>
      <c r="KHP32" s="3"/>
      <c r="KHQ32" s="3"/>
      <c r="KHR32" s="3"/>
      <c r="KHS32" s="3"/>
      <c r="KHT32" s="3"/>
      <c r="KHU32" s="3"/>
      <c r="KHV32" s="3"/>
      <c r="KHW32" s="3"/>
      <c r="KHX32" s="3"/>
      <c r="KHY32" s="3"/>
      <c r="KHZ32" s="3"/>
      <c r="KIA32" s="3"/>
      <c r="KIB32" s="3"/>
      <c r="KIC32" s="3"/>
      <c r="KID32" s="3"/>
      <c r="KIE32" s="3"/>
      <c r="KIF32" s="3"/>
      <c r="KIG32" s="3"/>
      <c r="KIH32" s="3"/>
      <c r="KII32" s="3"/>
      <c r="KIJ32" s="3"/>
      <c r="KIK32" s="3"/>
      <c r="KIL32" s="3"/>
      <c r="KIM32" s="3"/>
      <c r="KIN32" s="3"/>
      <c r="KIO32" s="3"/>
      <c r="KIP32" s="3"/>
      <c r="KIQ32" s="3"/>
      <c r="KIR32" s="3"/>
      <c r="KIS32" s="3"/>
      <c r="KIT32" s="3"/>
      <c r="KIU32" s="3"/>
      <c r="KIV32" s="3"/>
      <c r="KIW32" s="3"/>
      <c r="KIX32" s="3"/>
      <c r="KIY32" s="3"/>
      <c r="KIZ32" s="3"/>
      <c r="KJA32" s="3"/>
      <c r="KJB32" s="3"/>
      <c r="KJC32" s="3"/>
      <c r="KJD32" s="3"/>
      <c r="KJE32" s="3"/>
      <c r="KJF32" s="3"/>
      <c r="KJG32" s="3"/>
      <c r="KJH32" s="3"/>
      <c r="KJI32" s="3"/>
      <c r="KJJ32" s="3"/>
      <c r="KJK32" s="3"/>
      <c r="KJL32" s="3"/>
      <c r="KJM32" s="3"/>
      <c r="KJN32" s="3"/>
      <c r="KJO32" s="3"/>
      <c r="KJP32" s="3"/>
      <c r="KJQ32" s="3"/>
      <c r="KJR32" s="3"/>
      <c r="KJS32" s="3"/>
      <c r="KJT32" s="3"/>
      <c r="KJU32" s="3"/>
      <c r="KJV32" s="3"/>
      <c r="KJW32" s="3"/>
      <c r="KJX32" s="3"/>
      <c r="KJY32" s="3"/>
      <c r="KJZ32" s="3"/>
      <c r="KKA32" s="3"/>
      <c r="KKB32" s="3"/>
      <c r="KKC32" s="3"/>
      <c r="KKD32" s="3"/>
      <c r="KKE32" s="3"/>
      <c r="KKF32" s="3"/>
      <c r="KKG32" s="3"/>
      <c r="KKH32" s="3"/>
      <c r="KKI32" s="3"/>
      <c r="KKJ32" s="3"/>
      <c r="KKK32" s="3"/>
      <c r="KKL32" s="3"/>
      <c r="KKM32" s="3"/>
      <c r="KKN32" s="3"/>
      <c r="KKO32" s="3"/>
      <c r="KKP32" s="3"/>
      <c r="KKQ32" s="3"/>
      <c r="KKR32" s="3"/>
      <c r="KKS32" s="3"/>
      <c r="KKT32" s="3"/>
      <c r="KKU32" s="3"/>
      <c r="KKV32" s="3"/>
      <c r="KKW32" s="3"/>
      <c r="KKX32" s="3"/>
      <c r="KKY32" s="3"/>
      <c r="KKZ32" s="3"/>
      <c r="KLA32" s="3"/>
      <c r="KLB32" s="3"/>
      <c r="KLC32" s="3"/>
      <c r="KLD32" s="3"/>
      <c r="KLE32" s="3"/>
      <c r="KLF32" s="3"/>
      <c r="KLG32" s="3"/>
      <c r="KLH32" s="3"/>
      <c r="KLI32" s="3"/>
      <c r="KLJ32" s="3"/>
      <c r="KLK32" s="3"/>
      <c r="KLL32" s="3"/>
      <c r="KLM32" s="3"/>
      <c r="KLN32" s="3"/>
      <c r="KLO32" s="3"/>
      <c r="KLP32" s="3"/>
      <c r="KLQ32" s="3"/>
      <c r="KLR32" s="3"/>
      <c r="KLS32" s="3"/>
      <c r="KLT32" s="3"/>
      <c r="KLU32" s="3"/>
      <c r="KLV32" s="3"/>
      <c r="KLW32" s="3"/>
      <c r="KLX32" s="3"/>
      <c r="KLY32" s="3"/>
      <c r="KLZ32" s="3"/>
      <c r="KMA32" s="3"/>
      <c r="KMB32" s="3"/>
      <c r="KMC32" s="3"/>
      <c r="KMD32" s="3"/>
      <c r="KME32" s="3"/>
      <c r="KMF32" s="3"/>
      <c r="KMG32" s="3"/>
      <c r="KMH32" s="3"/>
      <c r="KMI32" s="3"/>
      <c r="KMJ32" s="3"/>
      <c r="KMK32" s="3"/>
      <c r="KML32" s="3"/>
      <c r="KMM32" s="3"/>
      <c r="KMN32" s="3"/>
      <c r="KMO32" s="3"/>
      <c r="KMP32" s="3"/>
      <c r="KMQ32" s="3"/>
      <c r="KMR32" s="3"/>
      <c r="KMS32" s="3"/>
      <c r="KMT32" s="3"/>
      <c r="KMU32" s="3"/>
      <c r="KMV32" s="3"/>
      <c r="KMW32" s="3"/>
      <c r="KMX32" s="3"/>
      <c r="KMY32" s="3"/>
      <c r="KMZ32" s="3"/>
      <c r="KNA32" s="3"/>
      <c r="KNB32" s="3"/>
      <c r="KNC32" s="3"/>
      <c r="KND32" s="3"/>
      <c r="KNE32" s="3"/>
      <c r="KNF32" s="3"/>
      <c r="KNG32" s="3"/>
      <c r="KNH32" s="3"/>
      <c r="KNI32" s="3"/>
      <c r="KNJ32" s="3"/>
      <c r="KNK32" s="3"/>
      <c r="KNL32" s="3"/>
      <c r="KNM32" s="3"/>
      <c r="KNN32" s="3"/>
      <c r="KNO32" s="3"/>
      <c r="KNP32" s="3"/>
      <c r="KNQ32" s="3"/>
      <c r="KNR32" s="3"/>
      <c r="KNS32" s="3"/>
      <c r="KNT32" s="3"/>
      <c r="KNU32" s="3"/>
      <c r="KNV32" s="3"/>
      <c r="KNW32" s="3"/>
      <c r="KNX32" s="3"/>
      <c r="KNY32" s="3"/>
      <c r="KNZ32" s="3"/>
      <c r="KOA32" s="3"/>
      <c r="KOB32" s="3"/>
      <c r="KOC32" s="3"/>
      <c r="KOD32" s="3"/>
      <c r="KOE32" s="3"/>
      <c r="KOF32" s="3"/>
      <c r="KOG32" s="3"/>
      <c r="KOH32" s="3"/>
      <c r="KOI32" s="3"/>
      <c r="KOJ32" s="3"/>
      <c r="KOK32" s="3"/>
      <c r="KOL32" s="3"/>
      <c r="KOM32" s="3"/>
      <c r="KON32" s="3"/>
      <c r="KOO32" s="3"/>
      <c r="KOP32" s="3"/>
      <c r="KOQ32" s="3"/>
      <c r="KOR32" s="3"/>
      <c r="KOS32" s="3"/>
      <c r="KOT32" s="3"/>
      <c r="KOU32" s="3"/>
      <c r="KOV32" s="3"/>
      <c r="KOW32" s="3"/>
      <c r="KOX32" s="3"/>
      <c r="KOY32" s="3"/>
      <c r="KOZ32" s="3"/>
      <c r="KPA32" s="3"/>
      <c r="KPB32" s="3"/>
      <c r="KPC32" s="3"/>
      <c r="KPD32" s="3"/>
      <c r="KPE32" s="3"/>
      <c r="KPF32" s="3"/>
      <c r="KPG32" s="3"/>
      <c r="KPH32" s="3"/>
      <c r="KPI32" s="3"/>
      <c r="KPJ32" s="3"/>
      <c r="KPK32" s="3"/>
      <c r="KPL32" s="3"/>
      <c r="KPM32" s="3"/>
      <c r="KPN32" s="3"/>
      <c r="KPO32" s="3"/>
      <c r="KPP32" s="3"/>
      <c r="KPQ32" s="3"/>
      <c r="KPR32" s="3"/>
      <c r="KPS32" s="3"/>
      <c r="KPT32" s="3"/>
      <c r="KPU32" s="3"/>
      <c r="KPV32" s="3"/>
      <c r="KPW32" s="3"/>
      <c r="KPX32" s="3"/>
      <c r="KPY32" s="3"/>
      <c r="KPZ32" s="3"/>
      <c r="KQA32" s="3"/>
      <c r="KQB32" s="3"/>
      <c r="KQC32" s="3"/>
      <c r="KQD32" s="3"/>
      <c r="KQE32" s="3"/>
      <c r="KQF32" s="3"/>
      <c r="KQG32" s="3"/>
      <c r="KQH32" s="3"/>
      <c r="KQI32" s="3"/>
      <c r="KQJ32" s="3"/>
      <c r="KQK32" s="3"/>
      <c r="KQL32" s="3"/>
      <c r="KQM32" s="3"/>
      <c r="KQN32" s="3"/>
      <c r="KQO32" s="3"/>
      <c r="KQP32" s="3"/>
      <c r="KQQ32" s="3"/>
      <c r="KQR32" s="3"/>
      <c r="KQS32" s="3"/>
      <c r="KQT32" s="3"/>
      <c r="KQU32" s="3"/>
      <c r="KQV32" s="3"/>
      <c r="KQW32" s="3"/>
      <c r="KQX32" s="3"/>
      <c r="KQY32" s="3"/>
      <c r="KQZ32" s="3"/>
      <c r="KRA32" s="3"/>
      <c r="KRB32" s="3"/>
      <c r="KRC32" s="3"/>
      <c r="KRD32" s="3"/>
      <c r="KRE32" s="3"/>
      <c r="KRF32" s="3"/>
      <c r="KRG32" s="3"/>
      <c r="KRH32" s="3"/>
      <c r="KRI32" s="3"/>
      <c r="KRJ32" s="3"/>
      <c r="KRK32" s="3"/>
      <c r="KRL32" s="3"/>
      <c r="KRM32" s="3"/>
      <c r="KRN32" s="3"/>
    </row>
    <row r="33" spans="1:7918" s="252" customFormat="1">
      <c r="A33" s="26" t="e">
        <f t="shared" si="0"/>
        <v>#REF!</v>
      </c>
      <c r="B33" s="388" t="s">
        <v>614</v>
      </c>
      <c r="C33" s="368" t="s">
        <v>616</v>
      </c>
      <c r="D33" s="386" t="s">
        <v>614</v>
      </c>
      <c r="E33" s="173" t="str">
        <f>VLOOKUP(B33,distribucion!B$9:FK$225,2,0)</f>
        <v>Auxiliar de Bodega</v>
      </c>
      <c r="F33" s="221">
        <f>VLOOKUP($B33,'Nomina Unhesa'!$B$4:$AB$209,4,0)</f>
        <v>30</v>
      </c>
      <c r="G33" s="229">
        <f>VLOOKUP($B33,'Nomina Unhesa'!$B$4:$AB$209,6,0)</f>
        <v>3166.38</v>
      </c>
      <c r="H33" s="229">
        <f>VLOOKUP($B33,'Nomina Unhesa'!$B$4:$AB$209,7,0)</f>
        <v>700</v>
      </c>
      <c r="I33" s="229">
        <f>VLOOKUP($B33,'Nomina Unhesa'!$B$4:$AB$209,9,0)</f>
        <v>19</v>
      </c>
      <c r="J33" s="234">
        <f>VLOOKUP($B33,'Nomina Unhesa'!$B$4:$AB$209,10,0)</f>
        <v>376.01</v>
      </c>
      <c r="K33" s="229">
        <f>VLOOKUP($B33,'Nomina Unhesa'!$B$4:$AB$209,11,0)</f>
        <v>0</v>
      </c>
      <c r="L33" s="229">
        <f>VLOOKUP($B33,'Nomina Unhesa'!$B$4:$AB$209,12,0)</f>
        <v>0</v>
      </c>
      <c r="M33" s="229">
        <f>VLOOKUP($B33,'Nomina Unhesa'!$B$4:$AB$209,14,0)</f>
        <v>0</v>
      </c>
      <c r="N33" s="234">
        <f>VLOOKUP($B33,'Nomina Unhesa'!$B$4:$AB$209,15,0)</f>
        <v>4242.3900000000003</v>
      </c>
      <c r="O33" s="234">
        <f>VLOOKUP($B33,'Nomina Unhesa'!$B$4:$AB$209,16,0)</f>
        <v>171.1</v>
      </c>
      <c r="P33" s="234">
        <f>VLOOKUP($B33,'Nomina Unhesa'!$B$4:$AB$209,17,0)</f>
        <v>0</v>
      </c>
      <c r="Q33" s="234">
        <f>VLOOKUP($B33,'Nomina Unhesa'!$B$4:$AB$209,18,0)</f>
        <v>0</v>
      </c>
      <c r="R33" s="234">
        <f>VLOOKUP($B33,'Nomina Unhesa'!$B$4:$AB$209,19,0)</f>
        <v>0</v>
      </c>
      <c r="S33" s="234">
        <f>VLOOKUP($B33,'Nomina Unhesa'!$B$4:$AB$209,20,0)</f>
        <v>0</v>
      </c>
      <c r="T33" s="234">
        <f>VLOOKUP($B33,'Nomina Unhesa'!$B$4:$AB$209,21,0)</f>
        <v>0</v>
      </c>
      <c r="U33" s="234">
        <f>VLOOKUP($B33,'Nomina Unhesa'!$B$4:$AB$209,22,0)</f>
        <v>0</v>
      </c>
      <c r="V33" s="234">
        <f>ROUND((VLOOKUP($B33,'Nomina Unhesa'!$B$4:$AB$209,23,0)),2)</f>
        <v>50</v>
      </c>
      <c r="W33" s="234">
        <f>VLOOKUP($B33,'Nomina Unhesa'!$B$4:$AB$209,24,0)</f>
        <v>221.1</v>
      </c>
      <c r="X33" s="234">
        <f>VLOOKUP(B33,'Nomina Unhesa'!$B$9:$Z$163,25,FALSE)</f>
        <v>4021.2900000000004</v>
      </c>
      <c r="Y33" s="255">
        <f>ROUND((VLOOKUP(B33,'Nomina Unhesa'!$B$9:$AB$157,26,FALSE)),2)</f>
        <v>1706.72</v>
      </c>
      <c r="Z33" s="280">
        <f>VLOOKUP(B33,'Nomina Unhesa'!$B$9:$AB$158,27,FALSE)</f>
        <v>2314.5700000000006</v>
      </c>
      <c r="AA33" s="444"/>
      <c r="AB33" s="389">
        <f>+IFERROR(VLOOKUP(B33,'Nomina Unhesa'!B53:D198,3,0),"")</f>
        <v>3542.3900000000003</v>
      </c>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c r="NP33" s="3"/>
      <c r="NQ33" s="3"/>
      <c r="NR33" s="3"/>
      <c r="NS33" s="3"/>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3"/>
      <c r="OV33" s="3"/>
      <c r="OW33" s="3"/>
      <c r="OX33" s="3"/>
      <c r="OY33" s="3"/>
      <c r="OZ33" s="3"/>
      <c r="PA33" s="3"/>
      <c r="PB33" s="3"/>
      <c r="PC33" s="3"/>
      <c r="PD33" s="3"/>
      <c r="PE33" s="3"/>
      <c r="PF33" s="3"/>
      <c r="PG33" s="3"/>
      <c r="PH33" s="3"/>
      <c r="PI33" s="3"/>
      <c r="PJ33" s="3"/>
      <c r="PK33" s="3"/>
      <c r="PL33" s="3"/>
      <c r="PM33" s="3"/>
      <c r="PN33" s="3"/>
      <c r="PO33" s="3"/>
      <c r="PP33" s="3"/>
      <c r="PQ33" s="3"/>
      <c r="PR33" s="3"/>
      <c r="PS33" s="3"/>
      <c r="PT33" s="3"/>
      <c r="PU33" s="3"/>
      <c r="PV33" s="3"/>
      <c r="PW33" s="3"/>
      <c r="PX33" s="3"/>
      <c r="PY33" s="3"/>
      <c r="PZ33" s="3"/>
      <c r="QA33" s="3"/>
      <c r="QB33" s="3"/>
      <c r="QC33" s="3"/>
      <c r="QD33" s="3"/>
      <c r="QE33" s="3"/>
      <c r="QF33" s="3"/>
      <c r="QG33" s="3"/>
      <c r="QH33" s="3"/>
      <c r="QI33" s="3"/>
      <c r="QJ33" s="3"/>
      <c r="QK33" s="3"/>
      <c r="QL33" s="3"/>
      <c r="QM33" s="3"/>
      <c r="QN33" s="3"/>
      <c r="QO33" s="3"/>
      <c r="QP33" s="3"/>
      <c r="QQ33" s="3"/>
      <c r="QR33" s="3"/>
      <c r="QS33" s="3"/>
      <c r="QT33" s="3"/>
      <c r="QU33" s="3"/>
      <c r="QV33" s="3"/>
      <c r="QW33" s="3"/>
      <c r="QX33" s="3"/>
      <c r="QY33" s="3"/>
      <c r="QZ33" s="3"/>
      <c r="RA33" s="3"/>
      <c r="RB33" s="3"/>
      <c r="RC33" s="3"/>
      <c r="RD33" s="3"/>
      <c r="RE33" s="3"/>
      <c r="RF33" s="3"/>
      <c r="RG33" s="3"/>
      <c r="RH33" s="3"/>
      <c r="RI33" s="3"/>
      <c r="RJ33" s="3"/>
      <c r="RK33" s="3"/>
      <c r="RL33" s="3"/>
      <c r="RM33" s="3"/>
      <c r="RN33" s="3"/>
      <c r="RO33" s="3"/>
      <c r="RP33" s="3"/>
      <c r="RQ33" s="3"/>
      <c r="RR33" s="3"/>
      <c r="RS33" s="3"/>
      <c r="RT33" s="3"/>
      <c r="RU33" s="3"/>
      <c r="RV33" s="3"/>
      <c r="RW33" s="3"/>
      <c r="RX33" s="3"/>
      <c r="RY33" s="3"/>
      <c r="RZ33" s="3"/>
      <c r="SA33" s="3"/>
      <c r="SB33" s="3"/>
      <c r="SC33" s="3"/>
      <c r="SD33" s="3"/>
      <c r="SE33" s="3"/>
      <c r="SF33" s="3"/>
      <c r="SG33" s="3"/>
      <c r="SH33" s="3"/>
      <c r="SI33" s="3"/>
      <c r="SJ33" s="3"/>
      <c r="SK33" s="3"/>
      <c r="SL33" s="3"/>
      <c r="SM33" s="3"/>
      <c r="SN33" s="3"/>
      <c r="SO33" s="3"/>
      <c r="SP33" s="3"/>
      <c r="SQ33" s="3"/>
      <c r="SR33" s="3"/>
      <c r="SS33" s="3"/>
      <c r="ST33" s="3"/>
      <c r="SU33" s="3"/>
      <c r="SV33" s="3"/>
      <c r="SW33" s="3"/>
      <c r="SX33" s="3"/>
      <c r="SY33" s="3"/>
      <c r="SZ33" s="3"/>
      <c r="TA33" s="3"/>
      <c r="TB33" s="3"/>
      <c r="TC33" s="3"/>
      <c r="TD33" s="3"/>
      <c r="TE33" s="3"/>
      <c r="TF33" s="3"/>
      <c r="TG33" s="3"/>
      <c r="TH33" s="3"/>
      <c r="TI33" s="3"/>
      <c r="TJ33" s="3"/>
      <c r="TK33" s="3"/>
      <c r="TL33" s="3"/>
      <c r="TM33" s="3"/>
      <c r="TN33" s="3"/>
      <c r="TO33" s="3"/>
      <c r="TP33" s="3"/>
      <c r="TQ33" s="3"/>
      <c r="TR33" s="3"/>
      <c r="TS33" s="3"/>
      <c r="TT33" s="3"/>
      <c r="TU33" s="3"/>
      <c r="TV33" s="3"/>
      <c r="TW33" s="3"/>
      <c r="TX33" s="3"/>
      <c r="TY33" s="3"/>
      <c r="TZ33" s="3"/>
      <c r="UA33" s="3"/>
      <c r="UB33" s="3"/>
      <c r="UC33" s="3"/>
      <c r="UD33" s="3"/>
      <c r="UE33" s="3"/>
      <c r="UF33" s="3"/>
      <c r="UG33" s="3"/>
      <c r="UH33" s="3"/>
      <c r="UI33" s="3"/>
      <c r="UJ33" s="3"/>
      <c r="UK33" s="3"/>
      <c r="UL33" s="3"/>
      <c r="UM33" s="3"/>
      <c r="UN33" s="3"/>
      <c r="UO33" s="3"/>
      <c r="UP33" s="3"/>
      <c r="UQ33" s="3"/>
      <c r="UR33" s="3"/>
      <c r="US33" s="3"/>
      <c r="UT33" s="3"/>
      <c r="UU33" s="3"/>
      <c r="UV33" s="3"/>
      <c r="UW33" s="3"/>
      <c r="UX33" s="3"/>
      <c r="UY33" s="3"/>
      <c r="UZ33" s="3"/>
      <c r="VA33" s="3"/>
      <c r="VB33" s="3"/>
      <c r="VC33" s="3"/>
      <c r="VD33" s="3"/>
      <c r="VE33" s="3"/>
      <c r="VF33" s="3"/>
      <c r="VG33" s="3"/>
      <c r="VH33" s="3"/>
      <c r="VI33" s="3"/>
      <c r="VJ33" s="3"/>
      <c r="VK33" s="3"/>
      <c r="VL33" s="3"/>
      <c r="VM33" s="3"/>
      <c r="VN33" s="3"/>
      <c r="VO33" s="3"/>
      <c r="VP33" s="3"/>
      <c r="VQ33" s="3"/>
      <c r="VR33" s="3"/>
      <c r="VS33" s="3"/>
      <c r="VT33" s="3"/>
      <c r="VU33" s="3"/>
      <c r="VV33" s="3"/>
      <c r="VW33" s="3"/>
      <c r="VX33" s="3"/>
      <c r="VY33" s="3"/>
      <c r="VZ33" s="3"/>
      <c r="WA33" s="3"/>
      <c r="WB33" s="3"/>
      <c r="WC33" s="3"/>
      <c r="WD33" s="3"/>
      <c r="WE33" s="3"/>
      <c r="WF33" s="3"/>
      <c r="WG33" s="3"/>
      <c r="WH33" s="3"/>
      <c r="WI33" s="3"/>
      <c r="WJ33" s="3"/>
      <c r="WK33" s="3"/>
      <c r="WL33" s="3"/>
      <c r="WM33" s="3"/>
      <c r="WN33" s="3"/>
      <c r="WO33" s="3"/>
      <c r="WP33" s="3"/>
      <c r="WQ33" s="3"/>
      <c r="WR33" s="3"/>
      <c r="WS33" s="3"/>
      <c r="WT33" s="3"/>
      <c r="WU33" s="3"/>
      <c r="WV33" s="3"/>
      <c r="WW33" s="3"/>
      <c r="WX33" s="3"/>
      <c r="WY33" s="3"/>
      <c r="WZ33" s="3"/>
      <c r="XA33" s="3"/>
      <c r="XB33" s="3"/>
      <c r="XC33" s="3"/>
      <c r="XD33" s="3"/>
      <c r="XE33" s="3"/>
      <c r="XF33" s="3"/>
      <c r="XG33" s="3"/>
      <c r="XH33" s="3"/>
      <c r="XI33" s="3"/>
      <c r="XJ33" s="3"/>
      <c r="XK33" s="3"/>
      <c r="XL33" s="3"/>
      <c r="XM33" s="3"/>
      <c r="XN33" s="3"/>
      <c r="XO33" s="3"/>
      <c r="XP33" s="3"/>
      <c r="XQ33" s="3"/>
      <c r="XR33" s="3"/>
      <c r="XS33" s="3"/>
      <c r="XT33" s="3"/>
      <c r="XU33" s="3"/>
      <c r="XV33" s="3"/>
      <c r="XW33" s="3"/>
      <c r="XX33" s="3"/>
      <c r="XY33" s="3"/>
      <c r="XZ33" s="3"/>
      <c r="YA33" s="3"/>
      <c r="YB33" s="3"/>
      <c r="YC33" s="3"/>
      <c r="YD33" s="3"/>
      <c r="YE33" s="3"/>
      <c r="YF33" s="3"/>
      <c r="YG33" s="3"/>
      <c r="YH33" s="3"/>
      <c r="YI33" s="3"/>
      <c r="YJ33" s="3"/>
      <c r="YK33" s="3"/>
      <c r="YL33" s="3"/>
      <c r="YM33" s="3"/>
      <c r="YN33" s="3"/>
      <c r="YO33" s="3"/>
      <c r="YP33" s="3"/>
      <c r="YQ33" s="3"/>
      <c r="YR33" s="3"/>
      <c r="YS33" s="3"/>
      <c r="YT33" s="3"/>
      <c r="YU33" s="3"/>
      <c r="YV33" s="3"/>
      <c r="YW33" s="3"/>
      <c r="YX33" s="3"/>
      <c r="YY33" s="3"/>
      <c r="YZ33" s="3"/>
      <c r="ZA33" s="3"/>
      <c r="ZB33" s="3"/>
      <c r="ZC33" s="3"/>
      <c r="ZD33" s="3"/>
      <c r="ZE33" s="3"/>
      <c r="ZF33" s="3"/>
      <c r="ZG33" s="3"/>
      <c r="ZH33" s="3"/>
      <c r="ZI33" s="3"/>
      <c r="ZJ33" s="3"/>
      <c r="ZK33" s="3"/>
      <c r="ZL33" s="3"/>
      <c r="ZM33" s="3"/>
      <c r="ZN33" s="3"/>
      <c r="ZO33" s="3"/>
      <c r="ZP33" s="3"/>
      <c r="ZQ33" s="3"/>
      <c r="ZR33" s="3"/>
      <c r="ZS33" s="3"/>
      <c r="ZT33" s="3"/>
      <c r="ZU33" s="3"/>
      <c r="ZV33" s="3"/>
      <c r="ZW33" s="3"/>
      <c r="ZX33" s="3"/>
      <c r="ZY33" s="3"/>
      <c r="ZZ33" s="3"/>
      <c r="AAA33" s="3"/>
      <c r="AAB33" s="3"/>
      <c r="AAC33" s="3"/>
      <c r="AAD33" s="3"/>
      <c r="AAE33" s="3"/>
      <c r="AAF33" s="3"/>
      <c r="AAG33" s="3"/>
      <c r="AAH33" s="3"/>
      <c r="AAI33" s="3"/>
      <c r="AAJ33" s="3"/>
      <c r="AAK33" s="3"/>
      <c r="AAL33" s="3"/>
      <c r="AAM33" s="3"/>
      <c r="AAN33" s="3"/>
      <c r="AAO33" s="3"/>
      <c r="AAP33" s="3"/>
      <c r="AAQ33" s="3"/>
      <c r="AAR33" s="3"/>
      <c r="AAS33" s="3"/>
      <c r="AAT33" s="3"/>
      <c r="AAU33" s="3"/>
      <c r="AAV33" s="3"/>
      <c r="AAW33" s="3"/>
      <c r="AAX33" s="3"/>
      <c r="AAY33" s="3"/>
      <c r="AAZ33" s="3"/>
      <c r="ABA33" s="3"/>
      <c r="ABB33" s="3"/>
      <c r="ABC33" s="3"/>
      <c r="ABD33" s="3"/>
      <c r="ABE33" s="3"/>
      <c r="ABF33" s="3"/>
      <c r="ABG33" s="3"/>
      <c r="ABH33" s="3"/>
      <c r="ABI33" s="3"/>
      <c r="ABJ33" s="3"/>
      <c r="ABK33" s="3"/>
      <c r="ABL33" s="3"/>
      <c r="ABM33" s="3"/>
      <c r="ABN33" s="3"/>
      <c r="ABO33" s="3"/>
      <c r="ABP33" s="3"/>
      <c r="ABQ33" s="3"/>
      <c r="ABR33" s="3"/>
      <c r="ABS33" s="3"/>
      <c r="ABT33" s="3"/>
      <c r="ABU33" s="3"/>
      <c r="ABV33" s="3"/>
      <c r="ABW33" s="3"/>
      <c r="ABX33" s="3"/>
      <c r="ABY33" s="3"/>
      <c r="ABZ33" s="3"/>
      <c r="ACA33" s="3"/>
      <c r="ACB33" s="3"/>
      <c r="ACC33" s="3"/>
      <c r="ACD33" s="3"/>
      <c r="ACE33" s="3"/>
      <c r="ACF33" s="3"/>
      <c r="ACG33" s="3"/>
      <c r="ACH33" s="3"/>
      <c r="ACI33" s="3"/>
      <c r="ACJ33" s="3"/>
      <c r="ACK33" s="3"/>
      <c r="ACL33" s="3"/>
      <c r="ACM33" s="3"/>
      <c r="ACN33" s="3"/>
      <c r="ACO33" s="3"/>
      <c r="ACP33" s="3"/>
      <c r="ACQ33" s="3"/>
      <c r="ACR33" s="3"/>
      <c r="ACS33" s="3"/>
      <c r="ACT33" s="3"/>
      <c r="ACU33" s="3"/>
      <c r="ACV33" s="3"/>
      <c r="ACW33" s="3"/>
      <c r="ACX33" s="3"/>
      <c r="ACY33" s="3"/>
      <c r="ACZ33" s="3"/>
      <c r="ADA33" s="3"/>
      <c r="ADB33" s="3"/>
      <c r="ADC33" s="3"/>
      <c r="ADD33" s="3"/>
      <c r="ADE33" s="3"/>
      <c r="ADF33" s="3"/>
      <c r="ADG33" s="3"/>
      <c r="ADH33" s="3"/>
      <c r="ADI33" s="3"/>
      <c r="ADJ33" s="3"/>
      <c r="ADK33" s="3"/>
      <c r="ADL33" s="3"/>
      <c r="ADM33" s="3"/>
      <c r="ADN33" s="3"/>
      <c r="ADO33" s="3"/>
      <c r="ADP33" s="3"/>
      <c r="ADQ33" s="3"/>
      <c r="ADR33" s="3"/>
      <c r="ADS33" s="3"/>
      <c r="ADT33" s="3"/>
      <c r="ADU33" s="3"/>
      <c r="ADV33" s="3"/>
      <c r="ADW33" s="3"/>
      <c r="ADX33" s="3"/>
      <c r="ADY33" s="3"/>
      <c r="ADZ33" s="3"/>
      <c r="AEA33" s="3"/>
      <c r="AEB33" s="3"/>
      <c r="AEC33" s="3"/>
      <c r="AED33" s="3"/>
      <c r="AEE33" s="3"/>
      <c r="AEF33" s="3"/>
      <c r="AEG33" s="3"/>
      <c r="AEH33" s="3"/>
      <c r="AEI33" s="3"/>
      <c r="AEJ33" s="3"/>
      <c r="AEK33" s="3"/>
      <c r="AEL33" s="3"/>
      <c r="AEM33" s="3"/>
      <c r="AEN33" s="3"/>
      <c r="AEO33" s="3"/>
      <c r="AEP33" s="3"/>
      <c r="AEQ33" s="3"/>
      <c r="AER33" s="3"/>
      <c r="AES33" s="3"/>
      <c r="AET33" s="3"/>
      <c r="AEU33" s="3"/>
      <c r="AEV33" s="3"/>
      <c r="AEW33" s="3"/>
      <c r="AEX33" s="3"/>
      <c r="AEY33" s="3"/>
      <c r="AEZ33" s="3"/>
      <c r="AFA33" s="3"/>
      <c r="AFB33" s="3"/>
      <c r="AFC33" s="3"/>
      <c r="AFD33" s="3"/>
      <c r="AFE33" s="3"/>
      <c r="AFF33" s="3"/>
      <c r="AFG33" s="3"/>
      <c r="AFH33" s="3"/>
      <c r="AFI33" s="3"/>
      <c r="AFJ33" s="3"/>
      <c r="AFK33" s="3"/>
      <c r="AFL33" s="3"/>
      <c r="AFM33" s="3"/>
      <c r="AFN33" s="3"/>
      <c r="AFO33" s="3"/>
      <c r="AFP33" s="3"/>
      <c r="AFQ33" s="3"/>
      <c r="AFR33" s="3"/>
      <c r="AFS33" s="3"/>
      <c r="AFT33" s="3"/>
      <c r="AFU33" s="3"/>
      <c r="AFV33" s="3"/>
      <c r="AFW33" s="3"/>
      <c r="AFX33" s="3"/>
      <c r="AFY33" s="3"/>
      <c r="AFZ33" s="3"/>
      <c r="AGA33" s="3"/>
      <c r="AGB33" s="3"/>
      <c r="AGC33" s="3"/>
      <c r="AGD33" s="3"/>
      <c r="AGE33" s="3"/>
      <c r="AGF33" s="3"/>
      <c r="AGG33" s="3"/>
      <c r="AGH33" s="3"/>
      <c r="AGI33" s="3"/>
      <c r="AGJ33" s="3"/>
      <c r="AGK33" s="3"/>
      <c r="AGL33" s="3"/>
      <c r="AGM33" s="3"/>
      <c r="AGN33" s="3"/>
      <c r="AGO33" s="3"/>
      <c r="AGP33" s="3"/>
      <c r="AGQ33" s="3"/>
      <c r="AGR33" s="3"/>
      <c r="AGS33" s="3"/>
      <c r="AGT33" s="3"/>
      <c r="AGU33" s="3"/>
      <c r="AGV33" s="3"/>
      <c r="AGW33" s="3"/>
      <c r="AGX33" s="3"/>
      <c r="AGY33" s="3"/>
      <c r="AGZ33" s="3"/>
      <c r="AHA33" s="3"/>
      <c r="AHB33" s="3"/>
      <c r="AHC33" s="3"/>
      <c r="AHD33" s="3"/>
      <c r="AHE33" s="3"/>
      <c r="AHF33" s="3"/>
      <c r="AHG33" s="3"/>
      <c r="AHH33" s="3"/>
      <c r="AHI33" s="3"/>
      <c r="AHJ33" s="3"/>
      <c r="AHK33" s="3"/>
      <c r="AHL33" s="3"/>
      <c r="AHM33" s="3"/>
      <c r="AHN33" s="3"/>
      <c r="AHO33" s="3"/>
      <c r="AHP33" s="3"/>
      <c r="AHQ33" s="3"/>
      <c r="AHR33" s="3"/>
      <c r="AHS33" s="3"/>
      <c r="AHT33" s="3"/>
      <c r="AHU33" s="3"/>
      <c r="AHV33" s="3"/>
      <c r="AHW33" s="3"/>
      <c r="AHX33" s="3"/>
      <c r="AHY33" s="3"/>
      <c r="AHZ33" s="3"/>
      <c r="AIA33" s="3"/>
      <c r="AIB33" s="3"/>
      <c r="AIC33" s="3"/>
      <c r="AID33" s="3"/>
      <c r="AIE33" s="3"/>
      <c r="AIF33" s="3"/>
      <c r="AIG33" s="3"/>
      <c r="AIH33" s="3"/>
      <c r="AII33" s="3"/>
      <c r="AIJ33" s="3"/>
      <c r="AIK33" s="3"/>
      <c r="AIL33" s="3"/>
      <c r="AIM33" s="3"/>
      <c r="AIN33" s="3"/>
      <c r="AIO33" s="3"/>
      <c r="AIP33" s="3"/>
      <c r="AIQ33" s="3"/>
      <c r="AIR33" s="3"/>
      <c r="AIS33" s="3"/>
      <c r="AIT33" s="3"/>
      <c r="AIU33" s="3"/>
      <c r="AIV33" s="3"/>
      <c r="AIW33" s="3"/>
      <c r="AIX33" s="3"/>
      <c r="AIY33" s="3"/>
      <c r="AIZ33" s="3"/>
      <c r="AJA33" s="3"/>
      <c r="AJB33" s="3"/>
      <c r="AJC33" s="3"/>
      <c r="AJD33" s="3"/>
      <c r="AJE33" s="3"/>
      <c r="AJF33" s="3"/>
      <c r="AJG33" s="3"/>
      <c r="AJH33" s="3"/>
      <c r="AJI33" s="3"/>
      <c r="AJJ33" s="3"/>
      <c r="AJK33" s="3"/>
      <c r="AJL33" s="3"/>
      <c r="AJM33" s="3"/>
      <c r="AJN33" s="3"/>
      <c r="AJO33" s="3"/>
      <c r="AJP33" s="3"/>
      <c r="AJQ33" s="3"/>
      <c r="AJR33" s="3"/>
      <c r="AJS33" s="3"/>
      <c r="AJT33" s="3"/>
      <c r="AJU33" s="3"/>
      <c r="AJV33" s="3"/>
      <c r="AJW33" s="3"/>
      <c r="AJX33" s="3"/>
      <c r="AJY33" s="3"/>
      <c r="AJZ33" s="3"/>
      <c r="AKA33" s="3"/>
      <c r="AKB33" s="3"/>
      <c r="AKC33" s="3"/>
      <c r="AKD33" s="3"/>
      <c r="AKE33" s="3"/>
      <c r="AKF33" s="3"/>
      <c r="AKG33" s="3"/>
      <c r="AKH33" s="3"/>
      <c r="AKI33" s="3"/>
      <c r="AKJ33" s="3"/>
      <c r="AKK33" s="3"/>
      <c r="AKL33" s="3"/>
      <c r="AKM33" s="3"/>
      <c r="AKN33" s="3"/>
      <c r="AKO33" s="3"/>
      <c r="AKP33" s="3"/>
      <c r="AKQ33" s="3"/>
      <c r="AKR33" s="3"/>
      <c r="AKS33" s="3"/>
      <c r="AKT33" s="3"/>
      <c r="AKU33" s="3"/>
      <c r="AKV33" s="3"/>
      <c r="AKW33" s="3"/>
      <c r="AKX33" s="3"/>
      <c r="AKY33" s="3"/>
      <c r="AKZ33" s="3"/>
      <c r="ALA33" s="3"/>
      <c r="ALB33" s="3"/>
      <c r="ALC33" s="3"/>
      <c r="ALD33" s="3"/>
      <c r="ALE33" s="3"/>
      <c r="ALF33" s="3"/>
      <c r="ALG33" s="3"/>
      <c r="ALH33" s="3"/>
      <c r="ALI33" s="3"/>
      <c r="ALJ33" s="3"/>
      <c r="ALK33" s="3"/>
      <c r="ALL33" s="3"/>
      <c r="ALM33" s="3"/>
      <c r="ALN33" s="3"/>
      <c r="ALO33" s="3"/>
      <c r="ALP33" s="3"/>
      <c r="ALQ33" s="3"/>
      <c r="ALR33" s="3"/>
      <c r="ALS33" s="3"/>
      <c r="ALT33" s="3"/>
      <c r="ALU33" s="3"/>
      <c r="ALV33" s="3"/>
      <c r="ALW33" s="3"/>
      <c r="ALX33" s="3"/>
      <c r="ALY33" s="3"/>
      <c r="ALZ33" s="3"/>
      <c r="AMA33" s="3"/>
      <c r="AMB33" s="3"/>
      <c r="AMC33" s="3"/>
      <c r="AMD33" s="3"/>
      <c r="AME33" s="3"/>
      <c r="AMF33" s="3"/>
      <c r="AMG33" s="3"/>
      <c r="AMH33" s="3"/>
      <c r="AMI33" s="3"/>
      <c r="AMJ33" s="3"/>
      <c r="AMK33" s="3"/>
      <c r="AML33" s="3"/>
      <c r="AMM33" s="3"/>
      <c r="AMN33" s="3"/>
      <c r="AMO33" s="3"/>
      <c r="AMP33" s="3"/>
      <c r="AMQ33" s="3"/>
      <c r="AMR33" s="3"/>
      <c r="AMS33" s="3"/>
      <c r="AMT33" s="3"/>
      <c r="AMU33" s="3"/>
      <c r="AMV33" s="3"/>
      <c r="AMW33" s="3"/>
      <c r="AMX33" s="3"/>
      <c r="AMY33" s="3"/>
      <c r="AMZ33" s="3"/>
      <c r="ANA33" s="3"/>
      <c r="ANB33" s="3"/>
      <c r="ANC33" s="3"/>
      <c r="AND33" s="3"/>
      <c r="ANE33" s="3"/>
      <c r="ANF33" s="3"/>
      <c r="ANG33" s="3"/>
      <c r="ANH33" s="3"/>
      <c r="ANI33" s="3"/>
      <c r="ANJ33" s="3"/>
      <c r="ANK33" s="3"/>
      <c r="ANL33" s="3"/>
      <c r="ANM33" s="3"/>
      <c r="ANN33" s="3"/>
      <c r="ANO33" s="3"/>
      <c r="ANP33" s="3"/>
      <c r="ANQ33" s="3"/>
      <c r="ANR33" s="3"/>
      <c r="ANS33" s="3"/>
      <c r="ANT33" s="3"/>
      <c r="ANU33" s="3"/>
      <c r="ANV33" s="3"/>
      <c r="ANW33" s="3"/>
      <c r="ANX33" s="3"/>
      <c r="ANY33" s="3"/>
      <c r="ANZ33" s="3"/>
      <c r="AOA33" s="3"/>
      <c r="AOB33" s="3"/>
      <c r="AOC33" s="3"/>
      <c r="AOD33" s="3"/>
      <c r="AOE33" s="3"/>
      <c r="AOF33" s="3"/>
      <c r="AOG33" s="3"/>
      <c r="AOH33" s="3"/>
      <c r="AOI33" s="3"/>
      <c r="AOJ33" s="3"/>
      <c r="AOK33" s="3"/>
      <c r="AOL33" s="3"/>
      <c r="AOM33" s="3"/>
      <c r="AON33" s="3"/>
      <c r="AOO33" s="3"/>
      <c r="AOP33" s="3"/>
      <c r="AOQ33" s="3"/>
      <c r="AOR33" s="3"/>
      <c r="AOS33" s="3"/>
      <c r="AOT33" s="3"/>
      <c r="AOU33" s="3"/>
      <c r="AOV33" s="3"/>
      <c r="AOW33" s="3"/>
      <c r="AOX33" s="3"/>
      <c r="AOY33" s="3"/>
      <c r="AOZ33" s="3"/>
      <c r="APA33" s="3"/>
      <c r="APB33" s="3"/>
      <c r="APC33" s="3"/>
      <c r="APD33" s="3"/>
      <c r="APE33" s="3"/>
      <c r="APF33" s="3"/>
      <c r="APG33" s="3"/>
      <c r="APH33" s="3"/>
      <c r="API33" s="3"/>
      <c r="APJ33" s="3"/>
      <c r="APK33" s="3"/>
      <c r="APL33" s="3"/>
      <c r="APM33" s="3"/>
      <c r="APN33" s="3"/>
      <c r="APO33" s="3"/>
      <c r="APP33" s="3"/>
      <c r="APQ33" s="3"/>
      <c r="APR33" s="3"/>
      <c r="APS33" s="3"/>
      <c r="APT33" s="3"/>
      <c r="APU33" s="3"/>
      <c r="APV33" s="3"/>
      <c r="APW33" s="3"/>
      <c r="APX33" s="3"/>
      <c r="APY33" s="3"/>
      <c r="APZ33" s="3"/>
      <c r="AQA33" s="3"/>
      <c r="AQB33" s="3"/>
      <c r="AQC33" s="3"/>
      <c r="AQD33" s="3"/>
      <c r="AQE33" s="3"/>
      <c r="AQF33" s="3"/>
      <c r="AQG33" s="3"/>
      <c r="AQH33" s="3"/>
      <c r="AQI33" s="3"/>
      <c r="AQJ33" s="3"/>
      <c r="AQK33" s="3"/>
      <c r="AQL33" s="3"/>
      <c r="AQM33" s="3"/>
      <c r="AQN33" s="3"/>
      <c r="AQO33" s="3"/>
      <c r="AQP33" s="3"/>
      <c r="AQQ33" s="3"/>
      <c r="AQR33" s="3"/>
      <c r="AQS33" s="3"/>
      <c r="AQT33" s="3"/>
      <c r="AQU33" s="3"/>
      <c r="AQV33" s="3"/>
      <c r="AQW33" s="3"/>
      <c r="AQX33" s="3"/>
      <c r="AQY33" s="3"/>
      <c r="AQZ33" s="3"/>
      <c r="ARA33" s="3"/>
      <c r="ARB33" s="3"/>
      <c r="ARC33" s="3"/>
      <c r="ARD33" s="3"/>
      <c r="ARE33" s="3"/>
      <c r="ARF33" s="3"/>
      <c r="ARG33" s="3"/>
      <c r="ARH33" s="3"/>
      <c r="ARI33" s="3"/>
      <c r="ARJ33" s="3"/>
      <c r="ARK33" s="3"/>
      <c r="ARL33" s="3"/>
      <c r="ARM33" s="3"/>
      <c r="ARN33" s="3"/>
      <c r="ARO33" s="3"/>
      <c r="ARP33" s="3"/>
      <c r="ARQ33" s="3"/>
      <c r="ARR33" s="3"/>
      <c r="ARS33" s="3"/>
      <c r="ART33" s="3"/>
      <c r="ARU33" s="3"/>
      <c r="ARV33" s="3"/>
      <c r="ARW33" s="3"/>
      <c r="ARX33" s="3"/>
      <c r="ARY33" s="3"/>
      <c r="ARZ33" s="3"/>
      <c r="ASA33" s="3"/>
      <c r="ASB33" s="3"/>
      <c r="ASC33" s="3"/>
      <c r="ASD33" s="3"/>
      <c r="ASE33" s="3"/>
      <c r="ASF33" s="3"/>
      <c r="ASG33" s="3"/>
      <c r="ASH33" s="3"/>
      <c r="ASI33" s="3"/>
      <c r="ASJ33" s="3"/>
      <c r="ASK33" s="3"/>
      <c r="ASL33" s="3"/>
      <c r="ASM33" s="3"/>
      <c r="ASN33" s="3"/>
      <c r="ASO33" s="3"/>
      <c r="ASP33" s="3"/>
      <c r="ASQ33" s="3"/>
      <c r="ASR33" s="3"/>
      <c r="ASS33" s="3"/>
      <c r="AST33" s="3"/>
      <c r="ASU33" s="3"/>
      <c r="ASV33" s="3"/>
      <c r="ASW33" s="3"/>
      <c r="ASX33" s="3"/>
      <c r="ASY33" s="3"/>
      <c r="ASZ33" s="3"/>
      <c r="ATA33" s="3"/>
      <c r="ATB33" s="3"/>
      <c r="ATC33" s="3"/>
      <c r="ATD33" s="3"/>
      <c r="ATE33" s="3"/>
      <c r="ATF33" s="3"/>
      <c r="ATG33" s="3"/>
      <c r="ATH33" s="3"/>
      <c r="ATI33" s="3"/>
      <c r="ATJ33" s="3"/>
      <c r="ATK33" s="3"/>
      <c r="ATL33" s="3"/>
      <c r="ATM33" s="3"/>
      <c r="ATN33" s="3"/>
      <c r="ATO33" s="3"/>
      <c r="ATP33" s="3"/>
      <c r="ATQ33" s="3"/>
      <c r="ATR33" s="3"/>
      <c r="ATS33" s="3"/>
      <c r="ATT33" s="3"/>
      <c r="ATU33" s="3"/>
      <c r="ATV33" s="3"/>
      <c r="ATW33" s="3"/>
      <c r="ATX33" s="3"/>
      <c r="ATY33" s="3"/>
      <c r="ATZ33" s="3"/>
      <c r="AUA33" s="3"/>
      <c r="AUB33" s="3"/>
      <c r="AUC33" s="3"/>
      <c r="AUD33" s="3"/>
      <c r="AUE33" s="3"/>
      <c r="AUF33" s="3"/>
      <c r="AUG33" s="3"/>
      <c r="AUH33" s="3"/>
      <c r="AUI33" s="3"/>
      <c r="AUJ33" s="3"/>
      <c r="AUK33" s="3"/>
      <c r="AUL33" s="3"/>
      <c r="AUM33" s="3"/>
      <c r="AUN33" s="3"/>
      <c r="AUO33" s="3"/>
      <c r="AUP33" s="3"/>
      <c r="AUQ33" s="3"/>
      <c r="AUR33" s="3"/>
      <c r="AUS33" s="3"/>
      <c r="AUT33" s="3"/>
      <c r="AUU33" s="3"/>
      <c r="AUV33" s="3"/>
      <c r="AUW33" s="3"/>
      <c r="AUX33" s="3"/>
      <c r="AUY33" s="3"/>
      <c r="AUZ33" s="3"/>
      <c r="AVA33" s="3"/>
      <c r="AVB33" s="3"/>
      <c r="AVC33" s="3"/>
      <c r="AVD33" s="3"/>
      <c r="AVE33" s="3"/>
      <c r="AVF33" s="3"/>
      <c r="AVG33" s="3"/>
      <c r="AVH33" s="3"/>
      <c r="AVI33" s="3"/>
      <c r="AVJ33" s="3"/>
      <c r="AVK33" s="3"/>
      <c r="AVL33" s="3"/>
      <c r="AVM33" s="3"/>
      <c r="AVN33" s="3"/>
      <c r="AVO33" s="3"/>
      <c r="AVP33" s="3"/>
      <c r="AVQ33" s="3"/>
      <c r="AVR33" s="3"/>
      <c r="AVS33" s="3"/>
      <c r="AVT33" s="3"/>
      <c r="AVU33" s="3"/>
      <c r="AVV33" s="3"/>
      <c r="AVW33" s="3"/>
      <c r="AVX33" s="3"/>
      <c r="AVY33" s="3"/>
      <c r="AVZ33" s="3"/>
      <c r="AWA33" s="3"/>
      <c r="AWB33" s="3"/>
      <c r="AWC33" s="3"/>
      <c r="AWD33" s="3"/>
      <c r="AWE33" s="3"/>
      <c r="AWF33" s="3"/>
      <c r="AWG33" s="3"/>
      <c r="AWH33" s="3"/>
      <c r="AWI33" s="3"/>
      <c r="AWJ33" s="3"/>
      <c r="AWK33" s="3"/>
      <c r="AWL33" s="3"/>
      <c r="AWM33" s="3"/>
      <c r="AWN33" s="3"/>
      <c r="AWO33" s="3"/>
      <c r="AWP33" s="3"/>
      <c r="AWQ33" s="3"/>
      <c r="AWR33" s="3"/>
      <c r="AWS33" s="3"/>
      <c r="AWT33" s="3"/>
      <c r="AWU33" s="3"/>
      <c r="AWV33" s="3"/>
      <c r="AWW33" s="3"/>
      <c r="AWX33" s="3"/>
      <c r="AWY33" s="3"/>
      <c r="AWZ33" s="3"/>
      <c r="AXA33" s="3"/>
      <c r="AXB33" s="3"/>
      <c r="AXC33" s="3"/>
      <c r="AXD33" s="3"/>
      <c r="AXE33" s="3"/>
      <c r="AXF33" s="3"/>
      <c r="AXG33" s="3"/>
      <c r="AXH33" s="3"/>
      <c r="AXI33" s="3"/>
      <c r="AXJ33" s="3"/>
      <c r="AXK33" s="3"/>
      <c r="AXL33" s="3"/>
      <c r="AXM33" s="3"/>
      <c r="AXN33" s="3"/>
      <c r="AXO33" s="3"/>
      <c r="AXP33" s="3"/>
      <c r="AXQ33" s="3"/>
      <c r="AXR33" s="3"/>
      <c r="AXS33" s="3"/>
      <c r="AXT33" s="3"/>
      <c r="AXU33" s="3"/>
      <c r="AXV33" s="3"/>
      <c r="AXW33" s="3"/>
      <c r="AXX33" s="3"/>
      <c r="AXY33" s="3"/>
      <c r="AXZ33" s="3"/>
      <c r="AYA33" s="3"/>
      <c r="AYB33" s="3"/>
      <c r="AYC33" s="3"/>
      <c r="AYD33" s="3"/>
      <c r="AYE33" s="3"/>
      <c r="AYF33" s="3"/>
      <c r="AYG33" s="3"/>
      <c r="AYH33" s="3"/>
      <c r="AYI33" s="3"/>
      <c r="AYJ33" s="3"/>
      <c r="AYK33" s="3"/>
      <c r="AYL33" s="3"/>
      <c r="AYM33" s="3"/>
      <c r="AYN33" s="3"/>
      <c r="AYO33" s="3"/>
      <c r="AYP33" s="3"/>
      <c r="AYQ33" s="3"/>
      <c r="AYR33" s="3"/>
      <c r="AYS33" s="3"/>
      <c r="AYT33" s="3"/>
      <c r="AYU33" s="3"/>
      <c r="AYV33" s="3"/>
      <c r="AYW33" s="3"/>
      <c r="AYX33" s="3"/>
      <c r="AYY33" s="3"/>
      <c r="AYZ33" s="3"/>
      <c r="AZA33" s="3"/>
      <c r="AZB33" s="3"/>
      <c r="AZC33" s="3"/>
      <c r="AZD33" s="3"/>
      <c r="AZE33" s="3"/>
      <c r="AZF33" s="3"/>
      <c r="AZG33" s="3"/>
      <c r="AZH33" s="3"/>
      <c r="AZI33" s="3"/>
      <c r="AZJ33" s="3"/>
      <c r="AZK33" s="3"/>
      <c r="AZL33" s="3"/>
      <c r="AZM33" s="3"/>
      <c r="AZN33" s="3"/>
      <c r="AZO33" s="3"/>
      <c r="AZP33" s="3"/>
      <c r="AZQ33" s="3"/>
      <c r="AZR33" s="3"/>
      <c r="AZS33" s="3"/>
      <c r="AZT33" s="3"/>
      <c r="AZU33" s="3"/>
      <c r="AZV33" s="3"/>
      <c r="AZW33" s="3"/>
      <c r="AZX33" s="3"/>
      <c r="AZY33" s="3"/>
      <c r="AZZ33" s="3"/>
      <c r="BAA33" s="3"/>
      <c r="BAB33" s="3"/>
      <c r="BAC33" s="3"/>
      <c r="BAD33" s="3"/>
      <c r="BAE33" s="3"/>
      <c r="BAF33" s="3"/>
      <c r="BAG33" s="3"/>
      <c r="BAH33" s="3"/>
      <c r="BAI33" s="3"/>
      <c r="BAJ33" s="3"/>
      <c r="BAK33" s="3"/>
      <c r="BAL33" s="3"/>
      <c r="BAM33" s="3"/>
      <c r="BAN33" s="3"/>
      <c r="BAO33" s="3"/>
      <c r="BAP33" s="3"/>
      <c r="BAQ33" s="3"/>
      <c r="BAR33" s="3"/>
      <c r="BAS33" s="3"/>
      <c r="BAT33" s="3"/>
      <c r="BAU33" s="3"/>
      <c r="BAV33" s="3"/>
      <c r="BAW33" s="3"/>
      <c r="BAX33" s="3"/>
      <c r="BAY33" s="3"/>
      <c r="BAZ33" s="3"/>
      <c r="BBA33" s="3"/>
      <c r="BBB33" s="3"/>
      <c r="BBC33" s="3"/>
      <c r="BBD33" s="3"/>
      <c r="BBE33" s="3"/>
      <c r="BBF33" s="3"/>
      <c r="BBG33" s="3"/>
      <c r="BBH33" s="3"/>
      <c r="BBI33" s="3"/>
      <c r="BBJ33" s="3"/>
      <c r="BBK33" s="3"/>
      <c r="BBL33" s="3"/>
      <c r="BBM33" s="3"/>
      <c r="BBN33" s="3"/>
      <c r="BBO33" s="3"/>
      <c r="BBP33" s="3"/>
      <c r="BBQ33" s="3"/>
      <c r="BBR33" s="3"/>
      <c r="BBS33" s="3"/>
      <c r="BBT33" s="3"/>
      <c r="BBU33" s="3"/>
      <c r="BBV33" s="3"/>
      <c r="BBW33" s="3"/>
      <c r="BBX33" s="3"/>
      <c r="BBY33" s="3"/>
      <c r="BBZ33" s="3"/>
      <c r="BCA33" s="3"/>
      <c r="BCB33" s="3"/>
      <c r="BCC33" s="3"/>
      <c r="BCD33" s="3"/>
      <c r="BCE33" s="3"/>
      <c r="BCF33" s="3"/>
      <c r="BCG33" s="3"/>
      <c r="BCH33" s="3"/>
      <c r="BCI33" s="3"/>
      <c r="BCJ33" s="3"/>
      <c r="BCK33" s="3"/>
      <c r="BCL33" s="3"/>
      <c r="BCM33" s="3"/>
      <c r="BCN33" s="3"/>
      <c r="BCO33" s="3"/>
      <c r="BCP33" s="3"/>
      <c r="BCQ33" s="3"/>
      <c r="BCR33" s="3"/>
      <c r="BCS33" s="3"/>
      <c r="BCT33" s="3"/>
      <c r="BCU33" s="3"/>
      <c r="BCV33" s="3"/>
      <c r="BCW33" s="3"/>
      <c r="BCX33" s="3"/>
      <c r="BCY33" s="3"/>
      <c r="BCZ33" s="3"/>
      <c r="BDA33" s="3"/>
      <c r="BDB33" s="3"/>
      <c r="BDC33" s="3"/>
      <c r="BDD33" s="3"/>
      <c r="BDE33" s="3"/>
      <c r="BDF33" s="3"/>
      <c r="BDG33" s="3"/>
      <c r="BDH33" s="3"/>
      <c r="BDI33" s="3"/>
      <c r="BDJ33" s="3"/>
      <c r="BDK33" s="3"/>
      <c r="BDL33" s="3"/>
      <c r="BDM33" s="3"/>
      <c r="BDN33" s="3"/>
      <c r="BDO33" s="3"/>
      <c r="BDP33" s="3"/>
      <c r="BDQ33" s="3"/>
      <c r="BDR33" s="3"/>
      <c r="BDS33" s="3"/>
      <c r="BDT33" s="3"/>
      <c r="BDU33" s="3"/>
      <c r="BDV33" s="3"/>
      <c r="BDW33" s="3"/>
      <c r="BDX33" s="3"/>
      <c r="BDY33" s="3"/>
      <c r="BDZ33" s="3"/>
      <c r="BEA33" s="3"/>
      <c r="BEB33" s="3"/>
      <c r="BEC33" s="3"/>
      <c r="BED33" s="3"/>
      <c r="BEE33" s="3"/>
      <c r="BEF33" s="3"/>
      <c r="BEG33" s="3"/>
      <c r="BEH33" s="3"/>
      <c r="BEI33" s="3"/>
      <c r="BEJ33" s="3"/>
      <c r="BEK33" s="3"/>
      <c r="BEL33" s="3"/>
      <c r="BEM33" s="3"/>
      <c r="BEN33" s="3"/>
      <c r="BEO33" s="3"/>
      <c r="BEP33" s="3"/>
      <c r="BEQ33" s="3"/>
      <c r="BER33" s="3"/>
      <c r="BES33" s="3"/>
      <c r="BET33" s="3"/>
      <c r="BEU33" s="3"/>
      <c r="BEV33" s="3"/>
      <c r="BEW33" s="3"/>
      <c r="BEX33" s="3"/>
      <c r="BEY33" s="3"/>
      <c r="BEZ33" s="3"/>
      <c r="BFA33" s="3"/>
      <c r="BFB33" s="3"/>
      <c r="BFC33" s="3"/>
      <c r="BFD33" s="3"/>
      <c r="BFE33" s="3"/>
      <c r="BFF33" s="3"/>
      <c r="BFG33" s="3"/>
      <c r="BFH33" s="3"/>
      <c r="BFI33" s="3"/>
      <c r="BFJ33" s="3"/>
      <c r="BFK33" s="3"/>
      <c r="BFL33" s="3"/>
      <c r="BFM33" s="3"/>
      <c r="BFN33" s="3"/>
      <c r="BFO33" s="3"/>
      <c r="BFP33" s="3"/>
      <c r="BFQ33" s="3"/>
      <c r="BFR33" s="3"/>
      <c r="BFS33" s="3"/>
      <c r="BFT33" s="3"/>
      <c r="BFU33" s="3"/>
      <c r="BFV33" s="3"/>
      <c r="BFW33" s="3"/>
      <c r="BFX33" s="3"/>
      <c r="BFY33" s="3"/>
      <c r="BFZ33" s="3"/>
      <c r="BGA33" s="3"/>
      <c r="BGB33" s="3"/>
      <c r="BGC33" s="3"/>
      <c r="BGD33" s="3"/>
      <c r="BGE33" s="3"/>
      <c r="BGF33" s="3"/>
      <c r="BGG33" s="3"/>
      <c r="BGH33" s="3"/>
      <c r="BGI33" s="3"/>
      <c r="BGJ33" s="3"/>
      <c r="BGK33" s="3"/>
      <c r="BGL33" s="3"/>
      <c r="BGM33" s="3"/>
      <c r="BGN33" s="3"/>
      <c r="BGO33" s="3"/>
      <c r="BGP33" s="3"/>
      <c r="BGQ33" s="3"/>
      <c r="BGR33" s="3"/>
      <c r="BGS33" s="3"/>
      <c r="BGT33" s="3"/>
      <c r="BGU33" s="3"/>
      <c r="BGV33" s="3"/>
      <c r="BGW33" s="3"/>
      <c r="BGX33" s="3"/>
      <c r="BGY33" s="3"/>
      <c r="BGZ33" s="3"/>
      <c r="BHA33" s="3"/>
      <c r="BHB33" s="3"/>
      <c r="BHC33" s="3"/>
      <c r="BHD33" s="3"/>
      <c r="BHE33" s="3"/>
      <c r="BHF33" s="3"/>
      <c r="BHG33" s="3"/>
      <c r="BHH33" s="3"/>
      <c r="BHI33" s="3"/>
      <c r="BHJ33" s="3"/>
      <c r="BHK33" s="3"/>
      <c r="BHL33" s="3"/>
      <c r="BHM33" s="3"/>
      <c r="BHN33" s="3"/>
      <c r="BHO33" s="3"/>
      <c r="BHP33" s="3"/>
      <c r="BHQ33" s="3"/>
      <c r="BHR33" s="3"/>
      <c r="BHS33" s="3"/>
      <c r="BHT33" s="3"/>
      <c r="BHU33" s="3"/>
      <c r="BHV33" s="3"/>
      <c r="BHW33" s="3"/>
      <c r="BHX33" s="3"/>
      <c r="BHY33" s="3"/>
      <c r="BHZ33" s="3"/>
      <c r="BIA33" s="3"/>
      <c r="BIB33" s="3"/>
      <c r="BIC33" s="3"/>
      <c r="BID33" s="3"/>
      <c r="BIE33" s="3"/>
      <c r="BIF33" s="3"/>
      <c r="BIG33" s="3"/>
      <c r="BIH33" s="3"/>
      <c r="BII33" s="3"/>
      <c r="BIJ33" s="3"/>
      <c r="BIK33" s="3"/>
      <c r="BIL33" s="3"/>
      <c r="BIM33" s="3"/>
      <c r="BIN33" s="3"/>
      <c r="BIO33" s="3"/>
      <c r="BIP33" s="3"/>
      <c r="BIQ33" s="3"/>
      <c r="BIR33" s="3"/>
      <c r="BIS33" s="3"/>
      <c r="BIT33" s="3"/>
      <c r="BIU33" s="3"/>
      <c r="BIV33" s="3"/>
      <c r="BIW33" s="3"/>
      <c r="BIX33" s="3"/>
      <c r="BIY33" s="3"/>
      <c r="BIZ33" s="3"/>
      <c r="BJA33" s="3"/>
      <c r="BJB33" s="3"/>
      <c r="BJC33" s="3"/>
      <c r="BJD33" s="3"/>
      <c r="BJE33" s="3"/>
      <c r="BJF33" s="3"/>
      <c r="BJG33" s="3"/>
      <c r="BJH33" s="3"/>
      <c r="BJI33" s="3"/>
      <c r="BJJ33" s="3"/>
      <c r="BJK33" s="3"/>
      <c r="BJL33" s="3"/>
      <c r="BJM33" s="3"/>
      <c r="BJN33" s="3"/>
      <c r="BJO33" s="3"/>
      <c r="BJP33" s="3"/>
      <c r="BJQ33" s="3"/>
      <c r="BJR33" s="3"/>
      <c r="BJS33" s="3"/>
      <c r="BJT33" s="3"/>
      <c r="BJU33" s="3"/>
      <c r="BJV33" s="3"/>
      <c r="BJW33" s="3"/>
      <c r="BJX33" s="3"/>
      <c r="BJY33" s="3"/>
      <c r="BJZ33" s="3"/>
      <c r="BKA33" s="3"/>
      <c r="BKB33" s="3"/>
      <c r="BKC33" s="3"/>
      <c r="BKD33" s="3"/>
      <c r="BKE33" s="3"/>
      <c r="BKF33" s="3"/>
      <c r="BKG33" s="3"/>
      <c r="BKH33" s="3"/>
      <c r="BKI33" s="3"/>
      <c r="BKJ33" s="3"/>
      <c r="BKK33" s="3"/>
      <c r="BKL33" s="3"/>
      <c r="BKM33" s="3"/>
      <c r="BKN33" s="3"/>
      <c r="BKO33" s="3"/>
      <c r="BKP33" s="3"/>
      <c r="BKQ33" s="3"/>
      <c r="BKR33" s="3"/>
      <c r="BKS33" s="3"/>
      <c r="BKT33" s="3"/>
      <c r="BKU33" s="3"/>
      <c r="BKV33" s="3"/>
      <c r="BKW33" s="3"/>
      <c r="BKX33" s="3"/>
      <c r="BKY33" s="3"/>
      <c r="BKZ33" s="3"/>
      <c r="BLA33" s="3"/>
      <c r="BLB33" s="3"/>
      <c r="BLC33" s="3"/>
      <c r="BLD33" s="3"/>
      <c r="BLE33" s="3"/>
      <c r="BLF33" s="3"/>
      <c r="BLG33" s="3"/>
      <c r="BLH33" s="3"/>
      <c r="BLI33" s="3"/>
      <c r="BLJ33" s="3"/>
      <c r="BLK33" s="3"/>
      <c r="BLL33" s="3"/>
      <c r="BLM33" s="3"/>
      <c r="BLN33" s="3"/>
      <c r="BLO33" s="3"/>
      <c r="BLP33" s="3"/>
      <c r="BLQ33" s="3"/>
      <c r="BLR33" s="3"/>
      <c r="BLS33" s="3"/>
      <c r="BLT33" s="3"/>
      <c r="BLU33" s="3"/>
      <c r="BLV33" s="3"/>
      <c r="BLW33" s="3"/>
      <c r="BLX33" s="3"/>
      <c r="BLY33" s="3"/>
      <c r="BLZ33" s="3"/>
      <c r="BMA33" s="3"/>
      <c r="BMB33" s="3"/>
      <c r="BMC33" s="3"/>
      <c r="BMD33" s="3"/>
      <c r="BME33" s="3"/>
      <c r="BMF33" s="3"/>
      <c r="BMG33" s="3"/>
      <c r="BMH33" s="3"/>
      <c r="BMI33" s="3"/>
      <c r="BMJ33" s="3"/>
      <c r="BMK33" s="3"/>
      <c r="BML33" s="3"/>
      <c r="BMM33" s="3"/>
      <c r="BMN33" s="3"/>
      <c r="BMO33" s="3"/>
      <c r="BMP33" s="3"/>
      <c r="BMQ33" s="3"/>
      <c r="BMR33" s="3"/>
      <c r="BMS33" s="3"/>
      <c r="BMT33" s="3"/>
      <c r="BMU33" s="3"/>
      <c r="BMV33" s="3"/>
      <c r="BMW33" s="3"/>
      <c r="BMX33" s="3"/>
      <c r="BMY33" s="3"/>
      <c r="BMZ33" s="3"/>
      <c r="BNA33" s="3"/>
      <c r="BNB33" s="3"/>
      <c r="BNC33" s="3"/>
      <c r="BND33" s="3"/>
      <c r="BNE33" s="3"/>
      <c r="BNF33" s="3"/>
      <c r="BNG33" s="3"/>
      <c r="BNH33" s="3"/>
      <c r="BNI33" s="3"/>
      <c r="BNJ33" s="3"/>
      <c r="BNK33" s="3"/>
      <c r="BNL33" s="3"/>
      <c r="BNM33" s="3"/>
      <c r="BNN33" s="3"/>
      <c r="BNO33" s="3"/>
      <c r="BNP33" s="3"/>
      <c r="BNQ33" s="3"/>
      <c r="BNR33" s="3"/>
      <c r="BNS33" s="3"/>
      <c r="BNT33" s="3"/>
      <c r="BNU33" s="3"/>
      <c r="BNV33" s="3"/>
      <c r="BNW33" s="3"/>
      <c r="BNX33" s="3"/>
      <c r="BNY33" s="3"/>
      <c r="BNZ33" s="3"/>
      <c r="BOA33" s="3"/>
      <c r="BOB33" s="3"/>
      <c r="BOC33" s="3"/>
      <c r="BOD33" s="3"/>
      <c r="BOE33" s="3"/>
      <c r="BOF33" s="3"/>
      <c r="BOG33" s="3"/>
      <c r="BOH33" s="3"/>
      <c r="BOI33" s="3"/>
      <c r="BOJ33" s="3"/>
      <c r="BOK33" s="3"/>
      <c r="BOL33" s="3"/>
      <c r="BOM33" s="3"/>
      <c r="BON33" s="3"/>
      <c r="BOO33" s="3"/>
      <c r="BOP33" s="3"/>
      <c r="BOQ33" s="3"/>
      <c r="BOR33" s="3"/>
      <c r="BOS33" s="3"/>
      <c r="BOT33" s="3"/>
      <c r="BOU33" s="3"/>
      <c r="BOV33" s="3"/>
      <c r="BOW33" s="3"/>
      <c r="BOX33" s="3"/>
      <c r="BOY33" s="3"/>
      <c r="BOZ33" s="3"/>
      <c r="BPA33" s="3"/>
      <c r="BPB33" s="3"/>
      <c r="BPC33" s="3"/>
      <c r="BPD33" s="3"/>
      <c r="BPE33" s="3"/>
      <c r="BPF33" s="3"/>
      <c r="BPG33" s="3"/>
      <c r="BPH33" s="3"/>
      <c r="BPI33" s="3"/>
      <c r="BPJ33" s="3"/>
      <c r="BPK33" s="3"/>
      <c r="BPL33" s="3"/>
      <c r="BPM33" s="3"/>
      <c r="BPN33" s="3"/>
      <c r="BPO33" s="3"/>
      <c r="BPP33" s="3"/>
      <c r="BPQ33" s="3"/>
      <c r="BPR33" s="3"/>
      <c r="BPS33" s="3"/>
      <c r="BPT33" s="3"/>
      <c r="BPU33" s="3"/>
      <c r="BPV33" s="3"/>
      <c r="BPW33" s="3"/>
      <c r="BPX33" s="3"/>
      <c r="BPY33" s="3"/>
      <c r="BPZ33" s="3"/>
      <c r="BQA33" s="3"/>
      <c r="BQB33" s="3"/>
      <c r="BQC33" s="3"/>
      <c r="BQD33" s="3"/>
      <c r="BQE33" s="3"/>
      <c r="BQF33" s="3"/>
      <c r="BQG33" s="3"/>
      <c r="BQH33" s="3"/>
      <c r="BQI33" s="3"/>
      <c r="BQJ33" s="3"/>
      <c r="BQK33" s="3"/>
      <c r="BQL33" s="3"/>
      <c r="BQM33" s="3"/>
      <c r="BQN33" s="3"/>
      <c r="BQO33" s="3"/>
      <c r="BQP33" s="3"/>
      <c r="BQQ33" s="3"/>
      <c r="BQR33" s="3"/>
      <c r="BQS33" s="3"/>
      <c r="BQT33" s="3"/>
      <c r="BQU33" s="3"/>
      <c r="BQV33" s="3"/>
      <c r="BQW33" s="3"/>
      <c r="BQX33" s="3"/>
      <c r="BQY33" s="3"/>
      <c r="BQZ33" s="3"/>
      <c r="BRA33" s="3"/>
      <c r="BRB33" s="3"/>
      <c r="BRC33" s="3"/>
      <c r="BRD33" s="3"/>
      <c r="BRE33" s="3"/>
      <c r="BRF33" s="3"/>
      <c r="BRG33" s="3"/>
      <c r="BRH33" s="3"/>
      <c r="BRI33" s="3"/>
      <c r="BRJ33" s="3"/>
      <c r="BRK33" s="3"/>
      <c r="BRL33" s="3"/>
      <c r="BRM33" s="3"/>
      <c r="BRN33" s="3"/>
      <c r="BRO33" s="3"/>
      <c r="BRP33" s="3"/>
      <c r="BRQ33" s="3"/>
      <c r="BRR33" s="3"/>
      <c r="BRS33" s="3"/>
      <c r="BRT33" s="3"/>
      <c r="BRU33" s="3"/>
      <c r="BRV33" s="3"/>
      <c r="BRW33" s="3"/>
      <c r="BRX33" s="3"/>
      <c r="BRY33" s="3"/>
      <c r="BRZ33" s="3"/>
      <c r="BSA33" s="3"/>
      <c r="BSB33" s="3"/>
      <c r="BSC33" s="3"/>
      <c r="BSD33" s="3"/>
      <c r="BSE33" s="3"/>
      <c r="BSF33" s="3"/>
      <c r="BSG33" s="3"/>
      <c r="BSH33" s="3"/>
      <c r="BSI33" s="3"/>
      <c r="BSJ33" s="3"/>
      <c r="BSK33" s="3"/>
      <c r="BSL33" s="3"/>
      <c r="BSM33" s="3"/>
      <c r="BSN33" s="3"/>
      <c r="BSO33" s="3"/>
      <c r="BSP33" s="3"/>
      <c r="BSQ33" s="3"/>
      <c r="BSR33" s="3"/>
      <c r="BSS33" s="3"/>
      <c r="BST33" s="3"/>
      <c r="BSU33" s="3"/>
      <c r="BSV33" s="3"/>
      <c r="BSW33" s="3"/>
      <c r="BSX33" s="3"/>
      <c r="BSY33" s="3"/>
      <c r="BSZ33" s="3"/>
      <c r="BTA33" s="3"/>
      <c r="BTB33" s="3"/>
      <c r="BTC33" s="3"/>
      <c r="BTD33" s="3"/>
      <c r="BTE33" s="3"/>
      <c r="BTF33" s="3"/>
      <c r="BTG33" s="3"/>
      <c r="BTH33" s="3"/>
      <c r="BTI33" s="3"/>
      <c r="BTJ33" s="3"/>
      <c r="BTK33" s="3"/>
      <c r="BTL33" s="3"/>
      <c r="BTM33" s="3"/>
      <c r="BTN33" s="3"/>
      <c r="BTO33" s="3"/>
      <c r="BTP33" s="3"/>
      <c r="BTQ33" s="3"/>
      <c r="BTR33" s="3"/>
      <c r="BTS33" s="3"/>
      <c r="BTT33" s="3"/>
      <c r="BTU33" s="3"/>
      <c r="BTV33" s="3"/>
      <c r="BTW33" s="3"/>
      <c r="BTX33" s="3"/>
      <c r="BTY33" s="3"/>
      <c r="BTZ33" s="3"/>
      <c r="BUA33" s="3"/>
      <c r="BUB33" s="3"/>
      <c r="BUC33" s="3"/>
      <c r="BUD33" s="3"/>
      <c r="BUE33" s="3"/>
      <c r="BUF33" s="3"/>
      <c r="BUG33" s="3"/>
      <c r="BUH33" s="3"/>
      <c r="BUI33" s="3"/>
      <c r="BUJ33" s="3"/>
      <c r="BUK33" s="3"/>
      <c r="BUL33" s="3"/>
      <c r="BUM33" s="3"/>
      <c r="BUN33" s="3"/>
      <c r="BUO33" s="3"/>
      <c r="BUP33" s="3"/>
      <c r="BUQ33" s="3"/>
      <c r="BUR33" s="3"/>
      <c r="BUS33" s="3"/>
      <c r="BUT33" s="3"/>
      <c r="BUU33" s="3"/>
      <c r="BUV33" s="3"/>
      <c r="BUW33" s="3"/>
      <c r="BUX33" s="3"/>
      <c r="BUY33" s="3"/>
      <c r="BUZ33" s="3"/>
      <c r="BVA33" s="3"/>
      <c r="BVB33" s="3"/>
      <c r="BVC33" s="3"/>
      <c r="BVD33" s="3"/>
      <c r="BVE33" s="3"/>
      <c r="BVF33" s="3"/>
      <c r="BVG33" s="3"/>
      <c r="BVH33" s="3"/>
      <c r="BVI33" s="3"/>
      <c r="BVJ33" s="3"/>
      <c r="BVK33" s="3"/>
      <c r="BVL33" s="3"/>
      <c r="BVM33" s="3"/>
      <c r="BVN33" s="3"/>
      <c r="BVO33" s="3"/>
      <c r="BVP33" s="3"/>
      <c r="BVQ33" s="3"/>
      <c r="BVR33" s="3"/>
      <c r="BVS33" s="3"/>
      <c r="BVT33" s="3"/>
      <c r="BVU33" s="3"/>
      <c r="BVV33" s="3"/>
      <c r="BVW33" s="3"/>
      <c r="BVX33" s="3"/>
      <c r="BVY33" s="3"/>
      <c r="BVZ33" s="3"/>
      <c r="BWA33" s="3"/>
      <c r="BWB33" s="3"/>
      <c r="BWC33" s="3"/>
      <c r="BWD33" s="3"/>
      <c r="BWE33" s="3"/>
      <c r="BWF33" s="3"/>
      <c r="BWG33" s="3"/>
      <c r="BWH33" s="3"/>
      <c r="BWI33" s="3"/>
      <c r="BWJ33" s="3"/>
      <c r="BWK33" s="3"/>
      <c r="BWL33" s="3"/>
      <c r="BWM33" s="3"/>
      <c r="BWN33" s="3"/>
      <c r="BWO33" s="3"/>
      <c r="BWP33" s="3"/>
      <c r="BWQ33" s="3"/>
      <c r="BWR33" s="3"/>
      <c r="BWS33" s="3"/>
      <c r="BWT33" s="3"/>
      <c r="BWU33" s="3"/>
      <c r="BWV33" s="3"/>
      <c r="BWW33" s="3"/>
      <c r="BWX33" s="3"/>
      <c r="BWY33" s="3"/>
      <c r="BWZ33" s="3"/>
      <c r="BXA33" s="3"/>
      <c r="BXB33" s="3"/>
      <c r="BXC33" s="3"/>
      <c r="BXD33" s="3"/>
      <c r="BXE33" s="3"/>
      <c r="BXF33" s="3"/>
      <c r="BXG33" s="3"/>
      <c r="BXH33" s="3"/>
      <c r="BXI33" s="3"/>
      <c r="BXJ33" s="3"/>
      <c r="BXK33" s="3"/>
      <c r="BXL33" s="3"/>
      <c r="BXM33" s="3"/>
      <c r="BXN33" s="3"/>
      <c r="BXO33" s="3"/>
      <c r="BXP33" s="3"/>
      <c r="BXQ33" s="3"/>
      <c r="BXR33" s="3"/>
      <c r="BXS33" s="3"/>
      <c r="BXT33" s="3"/>
      <c r="BXU33" s="3"/>
      <c r="BXV33" s="3"/>
      <c r="BXW33" s="3"/>
      <c r="BXX33" s="3"/>
      <c r="BXY33" s="3"/>
      <c r="BXZ33" s="3"/>
      <c r="BYA33" s="3"/>
      <c r="BYB33" s="3"/>
      <c r="BYC33" s="3"/>
      <c r="BYD33" s="3"/>
      <c r="BYE33" s="3"/>
      <c r="BYF33" s="3"/>
      <c r="BYG33" s="3"/>
      <c r="BYH33" s="3"/>
      <c r="BYI33" s="3"/>
      <c r="BYJ33" s="3"/>
      <c r="BYK33" s="3"/>
      <c r="BYL33" s="3"/>
      <c r="BYM33" s="3"/>
      <c r="BYN33" s="3"/>
      <c r="BYO33" s="3"/>
      <c r="BYP33" s="3"/>
      <c r="BYQ33" s="3"/>
      <c r="BYR33" s="3"/>
      <c r="BYS33" s="3"/>
      <c r="BYT33" s="3"/>
      <c r="BYU33" s="3"/>
      <c r="BYV33" s="3"/>
      <c r="BYW33" s="3"/>
      <c r="BYX33" s="3"/>
      <c r="BYY33" s="3"/>
      <c r="BYZ33" s="3"/>
      <c r="BZA33" s="3"/>
      <c r="BZB33" s="3"/>
      <c r="BZC33" s="3"/>
      <c r="BZD33" s="3"/>
      <c r="BZE33" s="3"/>
      <c r="BZF33" s="3"/>
      <c r="BZG33" s="3"/>
      <c r="BZH33" s="3"/>
      <c r="BZI33" s="3"/>
      <c r="BZJ33" s="3"/>
      <c r="BZK33" s="3"/>
      <c r="BZL33" s="3"/>
      <c r="BZM33" s="3"/>
      <c r="BZN33" s="3"/>
      <c r="BZO33" s="3"/>
      <c r="BZP33" s="3"/>
      <c r="BZQ33" s="3"/>
      <c r="BZR33" s="3"/>
      <c r="BZS33" s="3"/>
      <c r="BZT33" s="3"/>
      <c r="BZU33" s="3"/>
      <c r="BZV33" s="3"/>
      <c r="BZW33" s="3"/>
      <c r="BZX33" s="3"/>
      <c r="BZY33" s="3"/>
      <c r="BZZ33" s="3"/>
      <c r="CAA33" s="3"/>
      <c r="CAB33" s="3"/>
      <c r="CAC33" s="3"/>
      <c r="CAD33" s="3"/>
      <c r="CAE33" s="3"/>
      <c r="CAF33" s="3"/>
      <c r="CAG33" s="3"/>
      <c r="CAH33" s="3"/>
      <c r="CAI33" s="3"/>
      <c r="CAJ33" s="3"/>
      <c r="CAK33" s="3"/>
      <c r="CAL33" s="3"/>
      <c r="CAM33" s="3"/>
      <c r="CAN33" s="3"/>
      <c r="CAO33" s="3"/>
      <c r="CAP33" s="3"/>
      <c r="CAQ33" s="3"/>
      <c r="CAR33" s="3"/>
      <c r="CAS33" s="3"/>
      <c r="CAT33" s="3"/>
      <c r="CAU33" s="3"/>
      <c r="CAV33" s="3"/>
      <c r="CAW33" s="3"/>
      <c r="CAX33" s="3"/>
      <c r="CAY33" s="3"/>
      <c r="CAZ33" s="3"/>
      <c r="CBA33" s="3"/>
      <c r="CBB33" s="3"/>
      <c r="CBC33" s="3"/>
      <c r="CBD33" s="3"/>
      <c r="CBE33" s="3"/>
      <c r="CBF33" s="3"/>
      <c r="CBG33" s="3"/>
      <c r="CBH33" s="3"/>
      <c r="CBI33" s="3"/>
      <c r="CBJ33" s="3"/>
      <c r="CBK33" s="3"/>
      <c r="CBL33" s="3"/>
      <c r="CBM33" s="3"/>
      <c r="CBN33" s="3"/>
      <c r="CBO33" s="3"/>
      <c r="CBP33" s="3"/>
      <c r="CBQ33" s="3"/>
      <c r="CBR33" s="3"/>
      <c r="CBS33" s="3"/>
      <c r="CBT33" s="3"/>
      <c r="CBU33" s="3"/>
      <c r="CBV33" s="3"/>
      <c r="CBW33" s="3"/>
      <c r="CBX33" s="3"/>
      <c r="CBY33" s="3"/>
      <c r="CBZ33" s="3"/>
      <c r="CCA33" s="3"/>
      <c r="CCB33" s="3"/>
      <c r="CCC33" s="3"/>
      <c r="CCD33" s="3"/>
      <c r="CCE33" s="3"/>
      <c r="CCF33" s="3"/>
      <c r="CCG33" s="3"/>
      <c r="CCH33" s="3"/>
      <c r="CCI33" s="3"/>
      <c r="CCJ33" s="3"/>
      <c r="CCK33" s="3"/>
      <c r="CCL33" s="3"/>
      <c r="CCM33" s="3"/>
      <c r="CCN33" s="3"/>
      <c r="CCO33" s="3"/>
      <c r="CCP33" s="3"/>
      <c r="CCQ33" s="3"/>
      <c r="CCR33" s="3"/>
      <c r="CCS33" s="3"/>
      <c r="CCT33" s="3"/>
      <c r="CCU33" s="3"/>
      <c r="CCV33" s="3"/>
      <c r="CCW33" s="3"/>
      <c r="CCX33" s="3"/>
      <c r="CCY33" s="3"/>
      <c r="CCZ33" s="3"/>
      <c r="CDA33" s="3"/>
      <c r="CDB33" s="3"/>
      <c r="CDC33" s="3"/>
      <c r="CDD33" s="3"/>
      <c r="CDE33" s="3"/>
      <c r="CDF33" s="3"/>
      <c r="CDG33" s="3"/>
      <c r="CDH33" s="3"/>
      <c r="CDI33" s="3"/>
      <c r="CDJ33" s="3"/>
      <c r="CDK33" s="3"/>
      <c r="CDL33" s="3"/>
      <c r="CDM33" s="3"/>
      <c r="CDN33" s="3"/>
      <c r="CDO33" s="3"/>
      <c r="CDP33" s="3"/>
      <c r="CDQ33" s="3"/>
      <c r="CDR33" s="3"/>
      <c r="CDS33" s="3"/>
      <c r="CDT33" s="3"/>
      <c r="CDU33" s="3"/>
      <c r="CDV33" s="3"/>
      <c r="CDW33" s="3"/>
      <c r="CDX33" s="3"/>
      <c r="CDY33" s="3"/>
      <c r="CDZ33" s="3"/>
      <c r="CEA33" s="3"/>
      <c r="CEB33" s="3"/>
      <c r="CEC33" s="3"/>
      <c r="CED33" s="3"/>
      <c r="CEE33" s="3"/>
      <c r="CEF33" s="3"/>
      <c r="CEG33" s="3"/>
      <c r="CEH33" s="3"/>
      <c r="CEI33" s="3"/>
      <c r="CEJ33" s="3"/>
      <c r="CEK33" s="3"/>
      <c r="CEL33" s="3"/>
      <c r="CEM33" s="3"/>
      <c r="CEN33" s="3"/>
      <c r="CEO33" s="3"/>
      <c r="CEP33" s="3"/>
      <c r="CEQ33" s="3"/>
      <c r="CER33" s="3"/>
      <c r="CES33" s="3"/>
      <c r="CET33" s="3"/>
      <c r="CEU33" s="3"/>
      <c r="CEV33" s="3"/>
      <c r="CEW33" s="3"/>
      <c r="CEX33" s="3"/>
      <c r="CEY33" s="3"/>
      <c r="CEZ33" s="3"/>
      <c r="CFA33" s="3"/>
      <c r="CFB33" s="3"/>
      <c r="CFC33" s="3"/>
      <c r="CFD33" s="3"/>
      <c r="CFE33" s="3"/>
      <c r="CFF33" s="3"/>
      <c r="CFG33" s="3"/>
      <c r="CFH33" s="3"/>
      <c r="CFI33" s="3"/>
      <c r="CFJ33" s="3"/>
      <c r="CFK33" s="3"/>
      <c r="CFL33" s="3"/>
      <c r="CFM33" s="3"/>
      <c r="CFN33" s="3"/>
      <c r="CFO33" s="3"/>
      <c r="CFP33" s="3"/>
      <c r="CFQ33" s="3"/>
      <c r="CFR33" s="3"/>
      <c r="CFS33" s="3"/>
      <c r="CFT33" s="3"/>
      <c r="CFU33" s="3"/>
      <c r="CFV33" s="3"/>
      <c r="CFW33" s="3"/>
      <c r="CFX33" s="3"/>
      <c r="CFY33" s="3"/>
      <c r="CFZ33" s="3"/>
      <c r="CGA33" s="3"/>
      <c r="CGB33" s="3"/>
      <c r="CGC33" s="3"/>
      <c r="CGD33" s="3"/>
      <c r="CGE33" s="3"/>
      <c r="CGF33" s="3"/>
      <c r="CGG33" s="3"/>
      <c r="CGH33" s="3"/>
      <c r="CGI33" s="3"/>
      <c r="CGJ33" s="3"/>
      <c r="CGK33" s="3"/>
      <c r="CGL33" s="3"/>
      <c r="CGM33" s="3"/>
      <c r="CGN33" s="3"/>
      <c r="CGO33" s="3"/>
      <c r="CGP33" s="3"/>
      <c r="CGQ33" s="3"/>
      <c r="CGR33" s="3"/>
      <c r="CGS33" s="3"/>
      <c r="CGT33" s="3"/>
      <c r="CGU33" s="3"/>
      <c r="CGV33" s="3"/>
      <c r="CGW33" s="3"/>
      <c r="CGX33" s="3"/>
      <c r="CGY33" s="3"/>
      <c r="CGZ33" s="3"/>
      <c r="CHA33" s="3"/>
      <c r="CHB33" s="3"/>
      <c r="CHC33" s="3"/>
      <c r="CHD33" s="3"/>
      <c r="CHE33" s="3"/>
      <c r="CHF33" s="3"/>
      <c r="CHG33" s="3"/>
      <c r="CHH33" s="3"/>
      <c r="CHI33" s="3"/>
      <c r="CHJ33" s="3"/>
      <c r="CHK33" s="3"/>
      <c r="CHL33" s="3"/>
      <c r="CHM33" s="3"/>
      <c r="CHN33" s="3"/>
      <c r="CHO33" s="3"/>
      <c r="CHP33" s="3"/>
      <c r="CHQ33" s="3"/>
      <c r="CHR33" s="3"/>
      <c r="CHS33" s="3"/>
      <c r="CHT33" s="3"/>
      <c r="CHU33" s="3"/>
      <c r="CHV33" s="3"/>
      <c r="CHW33" s="3"/>
      <c r="CHX33" s="3"/>
      <c r="CHY33" s="3"/>
      <c r="CHZ33" s="3"/>
      <c r="CIA33" s="3"/>
      <c r="CIB33" s="3"/>
      <c r="CIC33" s="3"/>
      <c r="CID33" s="3"/>
      <c r="CIE33" s="3"/>
      <c r="CIF33" s="3"/>
      <c r="CIG33" s="3"/>
      <c r="CIH33" s="3"/>
      <c r="CII33" s="3"/>
      <c r="CIJ33" s="3"/>
      <c r="CIK33" s="3"/>
      <c r="CIL33" s="3"/>
      <c r="CIM33" s="3"/>
      <c r="CIN33" s="3"/>
      <c r="CIO33" s="3"/>
      <c r="CIP33" s="3"/>
      <c r="CIQ33" s="3"/>
      <c r="CIR33" s="3"/>
      <c r="CIS33" s="3"/>
      <c r="CIT33" s="3"/>
      <c r="CIU33" s="3"/>
      <c r="CIV33" s="3"/>
      <c r="CIW33" s="3"/>
      <c r="CIX33" s="3"/>
      <c r="CIY33" s="3"/>
      <c r="CIZ33" s="3"/>
      <c r="CJA33" s="3"/>
      <c r="CJB33" s="3"/>
      <c r="CJC33" s="3"/>
      <c r="CJD33" s="3"/>
      <c r="CJE33" s="3"/>
      <c r="CJF33" s="3"/>
      <c r="CJG33" s="3"/>
      <c r="CJH33" s="3"/>
      <c r="CJI33" s="3"/>
      <c r="CJJ33" s="3"/>
      <c r="CJK33" s="3"/>
      <c r="CJL33" s="3"/>
      <c r="CJM33" s="3"/>
      <c r="CJN33" s="3"/>
      <c r="CJO33" s="3"/>
      <c r="CJP33" s="3"/>
      <c r="CJQ33" s="3"/>
      <c r="CJR33" s="3"/>
      <c r="CJS33" s="3"/>
      <c r="CJT33" s="3"/>
      <c r="CJU33" s="3"/>
      <c r="CJV33" s="3"/>
      <c r="CJW33" s="3"/>
      <c r="CJX33" s="3"/>
      <c r="CJY33" s="3"/>
      <c r="CJZ33" s="3"/>
      <c r="CKA33" s="3"/>
      <c r="CKB33" s="3"/>
      <c r="CKC33" s="3"/>
      <c r="CKD33" s="3"/>
      <c r="CKE33" s="3"/>
      <c r="CKF33" s="3"/>
      <c r="CKG33" s="3"/>
      <c r="CKH33" s="3"/>
      <c r="CKI33" s="3"/>
      <c r="CKJ33" s="3"/>
      <c r="CKK33" s="3"/>
      <c r="CKL33" s="3"/>
      <c r="CKM33" s="3"/>
      <c r="CKN33" s="3"/>
      <c r="CKO33" s="3"/>
      <c r="CKP33" s="3"/>
      <c r="CKQ33" s="3"/>
      <c r="CKR33" s="3"/>
      <c r="CKS33" s="3"/>
      <c r="CKT33" s="3"/>
      <c r="CKU33" s="3"/>
      <c r="CKV33" s="3"/>
      <c r="CKW33" s="3"/>
      <c r="CKX33" s="3"/>
      <c r="CKY33" s="3"/>
      <c r="CKZ33" s="3"/>
      <c r="CLA33" s="3"/>
      <c r="CLB33" s="3"/>
      <c r="CLC33" s="3"/>
      <c r="CLD33" s="3"/>
      <c r="CLE33" s="3"/>
      <c r="CLF33" s="3"/>
      <c r="CLG33" s="3"/>
      <c r="CLH33" s="3"/>
      <c r="CLI33" s="3"/>
      <c r="CLJ33" s="3"/>
      <c r="CLK33" s="3"/>
      <c r="CLL33" s="3"/>
      <c r="CLM33" s="3"/>
      <c r="CLN33" s="3"/>
      <c r="CLO33" s="3"/>
      <c r="CLP33" s="3"/>
      <c r="CLQ33" s="3"/>
      <c r="CLR33" s="3"/>
      <c r="CLS33" s="3"/>
      <c r="CLT33" s="3"/>
      <c r="CLU33" s="3"/>
      <c r="CLV33" s="3"/>
      <c r="CLW33" s="3"/>
      <c r="CLX33" s="3"/>
      <c r="CLY33" s="3"/>
      <c r="CLZ33" s="3"/>
      <c r="CMA33" s="3"/>
      <c r="CMB33" s="3"/>
      <c r="CMC33" s="3"/>
      <c r="CMD33" s="3"/>
      <c r="CME33" s="3"/>
      <c r="CMF33" s="3"/>
      <c r="CMG33" s="3"/>
      <c r="CMH33" s="3"/>
      <c r="CMI33" s="3"/>
      <c r="CMJ33" s="3"/>
      <c r="CMK33" s="3"/>
      <c r="CML33" s="3"/>
      <c r="CMM33" s="3"/>
      <c r="CMN33" s="3"/>
      <c r="CMO33" s="3"/>
      <c r="CMP33" s="3"/>
      <c r="CMQ33" s="3"/>
      <c r="CMR33" s="3"/>
      <c r="CMS33" s="3"/>
      <c r="CMT33" s="3"/>
      <c r="CMU33" s="3"/>
      <c r="CMV33" s="3"/>
      <c r="CMW33" s="3"/>
      <c r="CMX33" s="3"/>
      <c r="CMY33" s="3"/>
      <c r="CMZ33" s="3"/>
      <c r="CNA33" s="3"/>
      <c r="CNB33" s="3"/>
      <c r="CNC33" s="3"/>
      <c r="CND33" s="3"/>
      <c r="CNE33" s="3"/>
      <c r="CNF33" s="3"/>
      <c r="CNG33" s="3"/>
      <c r="CNH33" s="3"/>
      <c r="CNI33" s="3"/>
      <c r="CNJ33" s="3"/>
      <c r="CNK33" s="3"/>
      <c r="CNL33" s="3"/>
      <c r="CNM33" s="3"/>
      <c r="CNN33" s="3"/>
      <c r="CNO33" s="3"/>
      <c r="CNP33" s="3"/>
      <c r="CNQ33" s="3"/>
      <c r="CNR33" s="3"/>
      <c r="CNS33" s="3"/>
      <c r="CNT33" s="3"/>
      <c r="CNU33" s="3"/>
      <c r="CNV33" s="3"/>
      <c r="CNW33" s="3"/>
      <c r="CNX33" s="3"/>
      <c r="CNY33" s="3"/>
      <c r="CNZ33" s="3"/>
      <c r="COA33" s="3"/>
      <c r="COB33" s="3"/>
      <c r="COC33" s="3"/>
      <c r="COD33" s="3"/>
      <c r="COE33" s="3"/>
      <c r="COF33" s="3"/>
      <c r="COG33" s="3"/>
      <c r="COH33" s="3"/>
      <c r="COI33" s="3"/>
      <c r="COJ33" s="3"/>
      <c r="COK33" s="3"/>
      <c r="COL33" s="3"/>
      <c r="COM33" s="3"/>
      <c r="CON33" s="3"/>
      <c r="COO33" s="3"/>
      <c r="COP33" s="3"/>
      <c r="COQ33" s="3"/>
      <c r="COR33" s="3"/>
      <c r="COS33" s="3"/>
      <c r="COT33" s="3"/>
      <c r="COU33" s="3"/>
      <c r="COV33" s="3"/>
      <c r="COW33" s="3"/>
      <c r="COX33" s="3"/>
      <c r="COY33" s="3"/>
      <c r="COZ33" s="3"/>
      <c r="CPA33" s="3"/>
      <c r="CPB33" s="3"/>
      <c r="CPC33" s="3"/>
      <c r="CPD33" s="3"/>
      <c r="CPE33" s="3"/>
      <c r="CPF33" s="3"/>
      <c r="CPG33" s="3"/>
      <c r="CPH33" s="3"/>
      <c r="CPI33" s="3"/>
      <c r="CPJ33" s="3"/>
      <c r="CPK33" s="3"/>
      <c r="CPL33" s="3"/>
      <c r="CPM33" s="3"/>
      <c r="CPN33" s="3"/>
      <c r="CPO33" s="3"/>
      <c r="CPP33" s="3"/>
      <c r="CPQ33" s="3"/>
      <c r="CPR33" s="3"/>
      <c r="CPS33" s="3"/>
      <c r="CPT33" s="3"/>
      <c r="CPU33" s="3"/>
      <c r="CPV33" s="3"/>
      <c r="CPW33" s="3"/>
      <c r="CPX33" s="3"/>
      <c r="CPY33" s="3"/>
      <c r="CPZ33" s="3"/>
      <c r="CQA33" s="3"/>
      <c r="CQB33" s="3"/>
      <c r="CQC33" s="3"/>
      <c r="CQD33" s="3"/>
      <c r="CQE33" s="3"/>
      <c r="CQF33" s="3"/>
      <c r="CQG33" s="3"/>
      <c r="CQH33" s="3"/>
      <c r="CQI33" s="3"/>
      <c r="CQJ33" s="3"/>
      <c r="CQK33" s="3"/>
      <c r="CQL33" s="3"/>
      <c r="CQM33" s="3"/>
      <c r="CQN33" s="3"/>
      <c r="CQO33" s="3"/>
      <c r="CQP33" s="3"/>
      <c r="CQQ33" s="3"/>
      <c r="CQR33" s="3"/>
      <c r="CQS33" s="3"/>
      <c r="CQT33" s="3"/>
      <c r="CQU33" s="3"/>
      <c r="CQV33" s="3"/>
      <c r="CQW33" s="3"/>
      <c r="CQX33" s="3"/>
      <c r="CQY33" s="3"/>
      <c r="CQZ33" s="3"/>
      <c r="CRA33" s="3"/>
      <c r="CRB33" s="3"/>
      <c r="CRC33" s="3"/>
      <c r="CRD33" s="3"/>
      <c r="CRE33" s="3"/>
      <c r="CRF33" s="3"/>
      <c r="CRG33" s="3"/>
      <c r="CRH33" s="3"/>
      <c r="CRI33" s="3"/>
      <c r="CRJ33" s="3"/>
      <c r="CRK33" s="3"/>
      <c r="CRL33" s="3"/>
      <c r="CRM33" s="3"/>
      <c r="CRN33" s="3"/>
      <c r="CRO33" s="3"/>
      <c r="CRP33" s="3"/>
      <c r="CRQ33" s="3"/>
      <c r="CRR33" s="3"/>
      <c r="CRS33" s="3"/>
      <c r="CRT33" s="3"/>
      <c r="CRU33" s="3"/>
      <c r="CRV33" s="3"/>
      <c r="CRW33" s="3"/>
      <c r="CRX33" s="3"/>
      <c r="CRY33" s="3"/>
      <c r="CRZ33" s="3"/>
      <c r="CSA33" s="3"/>
      <c r="CSB33" s="3"/>
      <c r="CSC33" s="3"/>
      <c r="CSD33" s="3"/>
      <c r="CSE33" s="3"/>
      <c r="CSF33" s="3"/>
      <c r="CSG33" s="3"/>
      <c r="CSH33" s="3"/>
      <c r="CSI33" s="3"/>
      <c r="CSJ33" s="3"/>
      <c r="CSK33" s="3"/>
      <c r="CSL33" s="3"/>
      <c r="CSM33" s="3"/>
      <c r="CSN33" s="3"/>
      <c r="CSO33" s="3"/>
      <c r="CSP33" s="3"/>
      <c r="CSQ33" s="3"/>
      <c r="CSR33" s="3"/>
      <c r="CSS33" s="3"/>
      <c r="CST33" s="3"/>
      <c r="CSU33" s="3"/>
      <c r="CSV33" s="3"/>
      <c r="CSW33" s="3"/>
      <c r="CSX33" s="3"/>
      <c r="CSY33" s="3"/>
      <c r="CSZ33" s="3"/>
      <c r="CTA33" s="3"/>
      <c r="CTB33" s="3"/>
      <c r="CTC33" s="3"/>
      <c r="CTD33" s="3"/>
      <c r="CTE33" s="3"/>
      <c r="CTF33" s="3"/>
      <c r="CTG33" s="3"/>
      <c r="CTH33" s="3"/>
      <c r="CTI33" s="3"/>
      <c r="CTJ33" s="3"/>
      <c r="CTK33" s="3"/>
      <c r="CTL33" s="3"/>
      <c r="CTM33" s="3"/>
      <c r="CTN33" s="3"/>
      <c r="CTO33" s="3"/>
      <c r="CTP33" s="3"/>
      <c r="CTQ33" s="3"/>
      <c r="CTR33" s="3"/>
      <c r="CTS33" s="3"/>
      <c r="CTT33" s="3"/>
      <c r="CTU33" s="3"/>
      <c r="CTV33" s="3"/>
      <c r="CTW33" s="3"/>
      <c r="CTX33" s="3"/>
      <c r="CTY33" s="3"/>
      <c r="CTZ33" s="3"/>
      <c r="CUA33" s="3"/>
      <c r="CUB33" s="3"/>
      <c r="CUC33" s="3"/>
      <c r="CUD33" s="3"/>
      <c r="CUE33" s="3"/>
      <c r="CUF33" s="3"/>
      <c r="CUG33" s="3"/>
      <c r="CUH33" s="3"/>
      <c r="CUI33" s="3"/>
      <c r="CUJ33" s="3"/>
      <c r="CUK33" s="3"/>
      <c r="CUL33" s="3"/>
      <c r="CUM33" s="3"/>
      <c r="CUN33" s="3"/>
      <c r="CUO33" s="3"/>
      <c r="CUP33" s="3"/>
      <c r="CUQ33" s="3"/>
      <c r="CUR33" s="3"/>
      <c r="CUS33" s="3"/>
      <c r="CUT33" s="3"/>
      <c r="CUU33" s="3"/>
      <c r="CUV33" s="3"/>
      <c r="CUW33" s="3"/>
      <c r="CUX33" s="3"/>
      <c r="CUY33" s="3"/>
      <c r="CUZ33" s="3"/>
      <c r="CVA33" s="3"/>
      <c r="CVB33" s="3"/>
      <c r="CVC33" s="3"/>
      <c r="CVD33" s="3"/>
      <c r="CVE33" s="3"/>
      <c r="CVF33" s="3"/>
      <c r="CVG33" s="3"/>
      <c r="CVH33" s="3"/>
      <c r="CVI33" s="3"/>
      <c r="CVJ33" s="3"/>
      <c r="CVK33" s="3"/>
      <c r="CVL33" s="3"/>
      <c r="CVM33" s="3"/>
      <c r="CVN33" s="3"/>
      <c r="CVO33" s="3"/>
      <c r="CVP33" s="3"/>
      <c r="CVQ33" s="3"/>
      <c r="CVR33" s="3"/>
      <c r="CVS33" s="3"/>
      <c r="CVT33" s="3"/>
      <c r="CVU33" s="3"/>
      <c r="CVV33" s="3"/>
      <c r="CVW33" s="3"/>
      <c r="CVX33" s="3"/>
      <c r="CVY33" s="3"/>
      <c r="CVZ33" s="3"/>
      <c r="CWA33" s="3"/>
      <c r="CWB33" s="3"/>
      <c r="CWC33" s="3"/>
      <c r="CWD33" s="3"/>
      <c r="CWE33" s="3"/>
      <c r="CWF33" s="3"/>
      <c r="CWG33" s="3"/>
      <c r="CWH33" s="3"/>
      <c r="CWI33" s="3"/>
      <c r="CWJ33" s="3"/>
      <c r="CWK33" s="3"/>
      <c r="CWL33" s="3"/>
      <c r="CWM33" s="3"/>
      <c r="CWN33" s="3"/>
      <c r="CWO33" s="3"/>
      <c r="CWP33" s="3"/>
      <c r="CWQ33" s="3"/>
      <c r="CWR33" s="3"/>
      <c r="CWS33" s="3"/>
      <c r="CWT33" s="3"/>
      <c r="CWU33" s="3"/>
      <c r="CWV33" s="3"/>
      <c r="CWW33" s="3"/>
      <c r="CWX33" s="3"/>
      <c r="CWY33" s="3"/>
      <c r="CWZ33" s="3"/>
      <c r="CXA33" s="3"/>
      <c r="CXB33" s="3"/>
      <c r="CXC33" s="3"/>
      <c r="CXD33" s="3"/>
      <c r="CXE33" s="3"/>
      <c r="CXF33" s="3"/>
      <c r="CXG33" s="3"/>
      <c r="CXH33" s="3"/>
      <c r="CXI33" s="3"/>
      <c r="CXJ33" s="3"/>
      <c r="CXK33" s="3"/>
      <c r="CXL33" s="3"/>
      <c r="CXM33" s="3"/>
      <c r="CXN33" s="3"/>
      <c r="CXO33" s="3"/>
      <c r="CXP33" s="3"/>
      <c r="CXQ33" s="3"/>
      <c r="CXR33" s="3"/>
      <c r="CXS33" s="3"/>
      <c r="CXT33" s="3"/>
      <c r="CXU33" s="3"/>
      <c r="CXV33" s="3"/>
      <c r="CXW33" s="3"/>
      <c r="CXX33" s="3"/>
      <c r="CXY33" s="3"/>
      <c r="CXZ33" s="3"/>
      <c r="CYA33" s="3"/>
      <c r="CYB33" s="3"/>
      <c r="CYC33" s="3"/>
      <c r="CYD33" s="3"/>
      <c r="CYE33" s="3"/>
      <c r="CYF33" s="3"/>
      <c r="CYG33" s="3"/>
      <c r="CYH33" s="3"/>
      <c r="CYI33" s="3"/>
      <c r="CYJ33" s="3"/>
      <c r="CYK33" s="3"/>
      <c r="CYL33" s="3"/>
      <c r="CYM33" s="3"/>
      <c r="CYN33" s="3"/>
      <c r="CYO33" s="3"/>
      <c r="CYP33" s="3"/>
      <c r="CYQ33" s="3"/>
      <c r="CYR33" s="3"/>
      <c r="CYS33" s="3"/>
      <c r="CYT33" s="3"/>
      <c r="CYU33" s="3"/>
      <c r="CYV33" s="3"/>
      <c r="CYW33" s="3"/>
      <c r="CYX33" s="3"/>
      <c r="CYY33" s="3"/>
      <c r="CYZ33" s="3"/>
      <c r="CZA33" s="3"/>
      <c r="CZB33" s="3"/>
      <c r="CZC33" s="3"/>
      <c r="CZD33" s="3"/>
      <c r="CZE33" s="3"/>
      <c r="CZF33" s="3"/>
      <c r="CZG33" s="3"/>
      <c r="CZH33" s="3"/>
      <c r="CZI33" s="3"/>
      <c r="CZJ33" s="3"/>
      <c r="CZK33" s="3"/>
      <c r="CZL33" s="3"/>
      <c r="CZM33" s="3"/>
      <c r="CZN33" s="3"/>
      <c r="CZO33" s="3"/>
      <c r="CZP33" s="3"/>
      <c r="CZQ33" s="3"/>
      <c r="CZR33" s="3"/>
      <c r="CZS33" s="3"/>
      <c r="CZT33" s="3"/>
      <c r="CZU33" s="3"/>
      <c r="CZV33" s="3"/>
      <c r="CZW33" s="3"/>
      <c r="CZX33" s="3"/>
      <c r="CZY33" s="3"/>
      <c r="CZZ33" s="3"/>
      <c r="DAA33" s="3"/>
      <c r="DAB33" s="3"/>
      <c r="DAC33" s="3"/>
      <c r="DAD33" s="3"/>
      <c r="DAE33" s="3"/>
      <c r="DAF33" s="3"/>
      <c r="DAG33" s="3"/>
      <c r="DAH33" s="3"/>
      <c r="DAI33" s="3"/>
      <c r="DAJ33" s="3"/>
      <c r="DAK33" s="3"/>
      <c r="DAL33" s="3"/>
      <c r="DAM33" s="3"/>
      <c r="DAN33" s="3"/>
      <c r="DAO33" s="3"/>
      <c r="DAP33" s="3"/>
      <c r="DAQ33" s="3"/>
      <c r="DAR33" s="3"/>
      <c r="DAS33" s="3"/>
      <c r="DAT33" s="3"/>
      <c r="DAU33" s="3"/>
      <c r="DAV33" s="3"/>
      <c r="DAW33" s="3"/>
      <c r="DAX33" s="3"/>
      <c r="DAY33" s="3"/>
      <c r="DAZ33" s="3"/>
      <c r="DBA33" s="3"/>
      <c r="DBB33" s="3"/>
      <c r="DBC33" s="3"/>
      <c r="DBD33" s="3"/>
      <c r="DBE33" s="3"/>
      <c r="DBF33" s="3"/>
      <c r="DBG33" s="3"/>
      <c r="DBH33" s="3"/>
      <c r="DBI33" s="3"/>
      <c r="DBJ33" s="3"/>
      <c r="DBK33" s="3"/>
      <c r="DBL33" s="3"/>
      <c r="DBM33" s="3"/>
      <c r="DBN33" s="3"/>
      <c r="DBO33" s="3"/>
      <c r="DBP33" s="3"/>
      <c r="DBQ33" s="3"/>
      <c r="DBR33" s="3"/>
      <c r="DBS33" s="3"/>
      <c r="DBT33" s="3"/>
      <c r="DBU33" s="3"/>
      <c r="DBV33" s="3"/>
      <c r="DBW33" s="3"/>
      <c r="DBX33" s="3"/>
      <c r="DBY33" s="3"/>
      <c r="DBZ33" s="3"/>
      <c r="DCA33" s="3"/>
      <c r="DCB33" s="3"/>
      <c r="DCC33" s="3"/>
      <c r="DCD33" s="3"/>
      <c r="DCE33" s="3"/>
      <c r="DCF33" s="3"/>
      <c r="DCG33" s="3"/>
      <c r="DCH33" s="3"/>
      <c r="DCI33" s="3"/>
      <c r="DCJ33" s="3"/>
      <c r="DCK33" s="3"/>
      <c r="DCL33" s="3"/>
      <c r="DCM33" s="3"/>
      <c r="DCN33" s="3"/>
      <c r="DCO33" s="3"/>
      <c r="DCP33" s="3"/>
      <c r="DCQ33" s="3"/>
      <c r="DCR33" s="3"/>
      <c r="DCS33" s="3"/>
      <c r="DCT33" s="3"/>
      <c r="DCU33" s="3"/>
      <c r="DCV33" s="3"/>
      <c r="DCW33" s="3"/>
      <c r="DCX33" s="3"/>
      <c r="DCY33" s="3"/>
      <c r="DCZ33" s="3"/>
      <c r="DDA33" s="3"/>
      <c r="DDB33" s="3"/>
      <c r="DDC33" s="3"/>
      <c r="DDD33" s="3"/>
      <c r="DDE33" s="3"/>
      <c r="DDF33" s="3"/>
      <c r="DDG33" s="3"/>
      <c r="DDH33" s="3"/>
      <c r="DDI33" s="3"/>
      <c r="DDJ33" s="3"/>
      <c r="DDK33" s="3"/>
      <c r="DDL33" s="3"/>
      <c r="DDM33" s="3"/>
      <c r="DDN33" s="3"/>
      <c r="DDO33" s="3"/>
      <c r="DDP33" s="3"/>
      <c r="DDQ33" s="3"/>
      <c r="DDR33" s="3"/>
      <c r="DDS33" s="3"/>
      <c r="DDT33" s="3"/>
      <c r="DDU33" s="3"/>
      <c r="DDV33" s="3"/>
      <c r="DDW33" s="3"/>
      <c r="DDX33" s="3"/>
      <c r="DDY33" s="3"/>
      <c r="DDZ33" s="3"/>
      <c r="DEA33" s="3"/>
      <c r="DEB33" s="3"/>
      <c r="DEC33" s="3"/>
      <c r="DED33" s="3"/>
      <c r="DEE33" s="3"/>
      <c r="DEF33" s="3"/>
      <c r="DEG33" s="3"/>
      <c r="DEH33" s="3"/>
      <c r="DEI33" s="3"/>
      <c r="DEJ33" s="3"/>
      <c r="DEK33" s="3"/>
      <c r="DEL33" s="3"/>
      <c r="DEM33" s="3"/>
      <c r="DEN33" s="3"/>
      <c r="DEO33" s="3"/>
      <c r="DEP33" s="3"/>
      <c r="DEQ33" s="3"/>
      <c r="DER33" s="3"/>
      <c r="DES33" s="3"/>
      <c r="DET33" s="3"/>
      <c r="DEU33" s="3"/>
      <c r="DEV33" s="3"/>
      <c r="DEW33" s="3"/>
      <c r="DEX33" s="3"/>
      <c r="DEY33" s="3"/>
      <c r="DEZ33" s="3"/>
      <c r="DFA33" s="3"/>
      <c r="DFB33" s="3"/>
      <c r="DFC33" s="3"/>
      <c r="DFD33" s="3"/>
      <c r="DFE33" s="3"/>
      <c r="DFF33" s="3"/>
      <c r="DFG33" s="3"/>
      <c r="DFH33" s="3"/>
      <c r="DFI33" s="3"/>
      <c r="DFJ33" s="3"/>
      <c r="DFK33" s="3"/>
      <c r="DFL33" s="3"/>
      <c r="DFM33" s="3"/>
      <c r="DFN33" s="3"/>
      <c r="DFO33" s="3"/>
      <c r="DFP33" s="3"/>
      <c r="DFQ33" s="3"/>
      <c r="DFR33" s="3"/>
      <c r="DFS33" s="3"/>
      <c r="DFT33" s="3"/>
      <c r="DFU33" s="3"/>
      <c r="DFV33" s="3"/>
      <c r="DFW33" s="3"/>
      <c r="DFX33" s="3"/>
      <c r="DFY33" s="3"/>
      <c r="DFZ33" s="3"/>
      <c r="DGA33" s="3"/>
      <c r="DGB33" s="3"/>
      <c r="DGC33" s="3"/>
      <c r="DGD33" s="3"/>
      <c r="DGE33" s="3"/>
      <c r="DGF33" s="3"/>
      <c r="DGG33" s="3"/>
      <c r="DGH33" s="3"/>
      <c r="DGI33" s="3"/>
      <c r="DGJ33" s="3"/>
      <c r="DGK33" s="3"/>
      <c r="DGL33" s="3"/>
      <c r="DGM33" s="3"/>
      <c r="DGN33" s="3"/>
      <c r="DGO33" s="3"/>
      <c r="DGP33" s="3"/>
      <c r="DGQ33" s="3"/>
      <c r="DGR33" s="3"/>
      <c r="DGS33" s="3"/>
      <c r="DGT33" s="3"/>
      <c r="DGU33" s="3"/>
      <c r="DGV33" s="3"/>
      <c r="DGW33" s="3"/>
      <c r="DGX33" s="3"/>
      <c r="DGY33" s="3"/>
      <c r="DGZ33" s="3"/>
      <c r="DHA33" s="3"/>
      <c r="DHB33" s="3"/>
      <c r="DHC33" s="3"/>
      <c r="DHD33" s="3"/>
      <c r="DHE33" s="3"/>
      <c r="DHF33" s="3"/>
      <c r="DHG33" s="3"/>
      <c r="DHH33" s="3"/>
      <c r="DHI33" s="3"/>
      <c r="DHJ33" s="3"/>
      <c r="DHK33" s="3"/>
      <c r="DHL33" s="3"/>
      <c r="DHM33" s="3"/>
      <c r="DHN33" s="3"/>
      <c r="DHO33" s="3"/>
      <c r="DHP33" s="3"/>
      <c r="DHQ33" s="3"/>
      <c r="DHR33" s="3"/>
      <c r="DHS33" s="3"/>
      <c r="DHT33" s="3"/>
      <c r="DHU33" s="3"/>
      <c r="DHV33" s="3"/>
      <c r="DHW33" s="3"/>
      <c r="DHX33" s="3"/>
      <c r="DHY33" s="3"/>
      <c r="DHZ33" s="3"/>
      <c r="DIA33" s="3"/>
      <c r="DIB33" s="3"/>
      <c r="DIC33" s="3"/>
      <c r="DID33" s="3"/>
      <c r="DIE33" s="3"/>
      <c r="DIF33" s="3"/>
      <c r="DIG33" s="3"/>
      <c r="DIH33" s="3"/>
      <c r="DII33" s="3"/>
      <c r="DIJ33" s="3"/>
      <c r="DIK33" s="3"/>
      <c r="DIL33" s="3"/>
      <c r="DIM33" s="3"/>
      <c r="DIN33" s="3"/>
      <c r="DIO33" s="3"/>
      <c r="DIP33" s="3"/>
      <c r="DIQ33" s="3"/>
      <c r="DIR33" s="3"/>
      <c r="DIS33" s="3"/>
      <c r="DIT33" s="3"/>
      <c r="DIU33" s="3"/>
      <c r="DIV33" s="3"/>
      <c r="DIW33" s="3"/>
      <c r="DIX33" s="3"/>
      <c r="DIY33" s="3"/>
      <c r="DIZ33" s="3"/>
      <c r="DJA33" s="3"/>
      <c r="DJB33" s="3"/>
      <c r="DJC33" s="3"/>
      <c r="DJD33" s="3"/>
      <c r="DJE33" s="3"/>
      <c r="DJF33" s="3"/>
      <c r="DJG33" s="3"/>
      <c r="DJH33" s="3"/>
      <c r="DJI33" s="3"/>
      <c r="DJJ33" s="3"/>
      <c r="DJK33" s="3"/>
      <c r="DJL33" s="3"/>
      <c r="DJM33" s="3"/>
      <c r="DJN33" s="3"/>
      <c r="DJO33" s="3"/>
      <c r="DJP33" s="3"/>
      <c r="DJQ33" s="3"/>
      <c r="DJR33" s="3"/>
      <c r="DJS33" s="3"/>
      <c r="DJT33" s="3"/>
      <c r="DJU33" s="3"/>
      <c r="DJV33" s="3"/>
      <c r="DJW33" s="3"/>
      <c r="DJX33" s="3"/>
      <c r="DJY33" s="3"/>
      <c r="DJZ33" s="3"/>
      <c r="DKA33" s="3"/>
      <c r="DKB33" s="3"/>
      <c r="DKC33" s="3"/>
      <c r="DKD33" s="3"/>
      <c r="DKE33" s="3"/>
      <c r="DKF33" s="3"/>
      <c r="DKG33" s="3"/>
      <c r="DKH33" s="3"/>
      <c r="DKI33" s="3"/>
      <c r="DKJ33" s="3"/>
      <c r="DKK33" s="3"/>
      <c r="DKL33" s="3"/>
      <c r="DKM33" s="3"/>
      <c r="DKN33" s="3"/>
      <c r="DKO33" s="3"/>
      <c r="DKP33" s="3"/>
      <c r="DKQ33" s="3"/>
      <c r="DKR33" s="3"/>
      <c r="DKS33" s="3"/>
      <c r="DKT33" s="3"/>
      <c r="DKU33" s="3"/>
      <c r="DKV33" s="3"/>
      <c r="DKW33" s="3"/>
      <c r="DKX33" s="3"/>
      <c r="DKY33" s="3"/>
      <c r="DKZ33" s="3"/>
      <c r="DLA33" s="3"/>
      <c r="DLB33" s="3"/>
      <c r="DLC33" s="3"/>
      <c r="DLD33" s="3"/>
      <c r="DLE33" s="3"/>
      <c r="DLF33" s="3"/>
      <c r="DLG33" s="3"/>
      <c r="DLH33" s="3"/>
      <c r="DLI33" s="3"/>
      <c r="DLJ33" s="3"/>
      <c r="DLK33" s="3"/>
      <c r="DLL33" s="3"/>
      <c r="DLM33" s="3"/>
      <c r="DLN33" s="3"/>
      <c r="DLO33" s="3"/>
      <c r="DLP33" s="3"/>
      <c r="DLQ33" s="3"/>
      <c r="DLR33" s="3"/>
      <c r="DLS33" s="3"/>
      <c r="DLT33" s="3"/>
      <c r="DLU33" s="3"/>
      <c r="DLV33" s="3"/>
      <c r="DLW33" s="3"/>
      <c r="DLX33" s="3"/>
      <c r="DLY33" s="3"/>
      <c r="DLZ33" s="3"/>
      <c r="DMA33" s="3"/>
      <c r="DMB33" s="3"/>
      <c r="DMC33" s="3"/>
      <c r="DMD33" s="3"/>
      <c r="DME33" s="3"/>
      <c r="DMF33" s="3"/>
      <c r="DMG33" s="3"/>
      <c r="DMH33" s="3"/>
      <c r="DMI33" s="3"/>
      <c r="DMJ33" s="3"/>
      <c r="DMK33" s="3"/>
      <c r="DML33" s="3"/>
      <c r="DMM33" s="3"/>
      <c r="DMN33" s="3"/>
      <c r="DMO33" s="3"/>
      <c r="DMP33" s="3"/>
      <c r="DMQ33" s="3"/>
      <c r="DMR33" s="3"/>
      <c r="DMS33" s="3"/>
      <c r="DMT33" s="3"/>
      <c r="DMU33" s="3"/>
      <c r="DMV33" s="3"/>
      <c r="DMW33" s="3"/>
      <c r="DMX33" s="3"/>
      <c r="DMY33" s="3"/>
      <c r="DMZ33" s="3"/>
      <c r="DNA33" s="3"/>
      <c r="DNB33" s="3"/>
      <c r="DNC33" s="3"/>
      <c r="DND33" s="3"/>
      <c r="DNE33" s="3"/>
      <c r="DNF33" s="3"/>
      <c r="DNG33" s="3"/>
      <c r="DNH33" s="3"/>
      <c r="DNI33" s="3"/>
      <c r="DNJ33" s="3"/>
      <c r="DNK33" s="3"/>
      <c r="DNL33" s="3"/>
      <c r="DNM33" s="3"/>
      <c r="DNN33" s="3"/>
      <c r="DNO33" s="3"/>
      <c r="DNP33" s="3"/>
      <c r="DNQ33" s="3"/>
      <c r="DNR33" s="3"/>
      <c r="DNS33" s="3"/>
      <c r="DNT33" s="3"/>
      <c r="DNU33" s="3"/>
      <c r="DNV33" s="3"/>
      <c r="DNW33" s="3"/>
      <c r="DNX33" s="3"/>
      <c r="DNY33" s="3"/>
      <c r="DNZ33" s="3"/>
      <c r="DOA33" s="3"/>
      <c r="DOB33" s="3"/>
      <c r="DOC33" s="3"/>
      <c r="DOD33" s="3"/>
      <c r="DOE33" s="3"/>
      <c r="DOF33" s="3"/>
      <c r="DOG33" s="3"/>
      <c r="DOH33" s="3"/>
      <c r="DOI33" s="3"/>
      <c r="DOJ33" s="3"/>
      <c r="DOK33" s="3"/>
      <c r="DOL33" s="3"/>
      <c r="DOM33" s="3"/>
      <c r="DON33" s="3"/>
      <c r="DOO33" s="3"/>
      <c r="DOP33" s="3"/>
      <c r="DOQ33" s="3"/>
      <c r="DOR33" s="3"/>
      <c r="DOS33" s="3"/>
      <c r="DOT33" s="3"/>
      <c r="DOU33" s="3"/>
      <c r="DOV33" s="3"/>
      <c r="DOW33" s="3"/>
      <c r="DOX33" s="3"/>
      <c r="DOY33" s="3"/>
      <c r="DOZ33" s="3"/>
      <c r="DPA33" s="3"/>
      <c r="DPB33" s="3"/>
      <c r="DPC33" s="3"/>
      <c r="DPD33" s="3"/>
      <c r="DPE33" s="3"/>
      <c r="DPF33" s="3"/>
      <c r="DPG33" s="3"/>
      <c r="DPH33" s="3"/>
      <c r="DPI33" s="3"/>
      <c r="DPJ33" s="3"/>
      <c r="DPK33" s="3"/>
      <c r="DPL33" s="3"/>
      <c r="DPM33" s="3"/>
      <c r="DPN33" s="3"/>
      <c r="DPO33" s="3"/>
      <c r="DPP33" s="3"/>
      <c r="DPQ33" s="3"/>
      <c r="DPR33" s="3"/>
      <c r="DPS33" s="3"/>
      <c r="DPT33" s="3"/>
      <c r="DPU33" s="3"/>
      <c r="DPV33" s="3"/>
      <c r="DPW33" s="3"/>
      <c r="DPX33" s="3"/>
      <c r="DPY33" s="3"/>
      <c r="DPZ33" s="3"/>
      <c r="DQA33" s="3"/>
      <c r="DQB33" s="3"/>
      <c r="DQC33" s="3"/>
      <c r="DQD33" s="3"/>
      <c r="DQE33" s="3"/>
      <c r="DQF33" s="3"/>
      <c r="DQG33" s="3"/>
      <c r="DQH33" s="3"/>
      <c r="DQI33" s="3"/>
      <c r="DQJ33" s="3"/>
      <c r="DQK33" s="3"/>
      <c r="DQL33" s="3"/>
      <c r="DQM33" s="3"/>
      <c r="DQN33" s="3"/>
      <c r="DQO33" s="3"/>
      <c r="DQP33" s="3"/>
      <c r="DQQ33" s="3"/>
      <c r="DQR33" s="3"/>
      <c r="DQS33" s="3"/>
      <c r="DQT33" s="3"/>
      <c r="DQU33" s="3"/>
      <c r="DQV33" s="3"/>
      <c r="DQW33" s="3"/>
      <c r="DQX33" s="3"/>
      <c r="DQY33" s="3"/>
      <c r="DQZ33" s="3"/>
      <c r="DRA33" s="3"/>
      <c r="DRB33" s="3"/>
      <c r="DRC33" s="3"/>
      <c r="DRD33" s="3"/>
      <c r="DRE33" s="3"/>
      <c r="DRF33" s="3"/>
      <c r="DRG33" s="3"/>
      <c r="DRH33" s="3"/>
      <c r="DRI33" s="3"/>
      <c r="DRJ33" s="3"/>
      <c r="DRK33" s="3"/>
      <c r="DRL33" s="3"/>
      <c r="DRM33" s="3"/>
      <c r="DRN33" s="3"/>
      <c r="DRO33" s="3"/>
      <c r="DRP33" s="3"/>
      <c r="DRQ33" s="3"/>
      <c r="DRR33" s="3"/>
      <c r="DRS33" s="3"/>
      <c r="DRT33" s="3"/>
      <c r="DRU33" s="3"/>
      <c r="DRV33" s="3"/>
      <c r="DRW33" s="3"/>
      <c r="DRX33" s="3"/>
      <c r="DRY33" s="3"/>
      <c r="DRZ33" s="3"/>
      <c r="DSA33" s="3"/>
      <c r="DSB33" s="3"/>
      <c r="DSC33" s="3"/>
      <c r="DSD33" s="3"/>
      <c r="DSE33" s="3"/>
      <c r="DSF33" s="3"/>
      <c r="DSG33" s="3"/>
      <c r="DSH33" s="3"/>
      <c r="DSI33" s="3"/>
      <c r="DSJ33" s="3"/>
      <c r="DSK33" s="3"/>
      <c r="DSL33" s="3"/>
      <c r="DSM33" s="3"/>
      <c r="DSN33" s="3"/>
      <c r="DSO33" s="3"/>
      <c r="DSP33" s="3"/>
      <c r="DSQ33" s="3"/>
      <c r="DSR33" s="3"/>
      <c r="DSS33" s="3"/>
      <c r="DST33" s="3"/>
      <c r="DSU33" s="3"/>
      <c r="DSV33" s="3"/>
      <c r="DSW33" s="3"/>
      <c r="DSX33" s="3"/>
      <c r="DSY33" s="3"/>
      <c r="DSZ33" s="3"/>
      <c r="DTA33" s="3"/>
      <c r="DTB33" s="3"/>
      <c r="DTC33" s="3"/>
      <c r="DTD33" s="3"/>
      <c r="DTE33" s="3"/>
      <c r="DTF33" s="3"/>
      <c r="DTG33" s="3"/>
      <c r="DTH33" s="3"/>
      <c r="DTI33" s="3"/>
      <c r="DTJ33" s="3"/>
      <c r="DTK33" s="3"/>
      <c r="DTL33" s="3"/>
      <c r="DTM33" s="3"/>
      <c r="DTN33" s="3"/>
      <c r="DTO33" s="3"/>
      <c r="DTP33" s="3"/>
      <c r="DTQ33" s="3"/>
      <c r="DTR33" s="3"/>
      <c r="DTS33" s="3"/>
      <c r="DTT33" s="3"/>
      <c r="DTU33" s="3"/>
      <c r="DTV33" s="3"/>
      <c r="DTW33" s="3"/>
      <c r="DTX33" s="3"/>
      <c r="DTY33" s="3"/>
      <c r="DTZ33" s="3"/>
      <c r="DUA33" s="3"/>
      <c r="DUB33" s="3"/>
      <c r="DUC33" s="3"/>
      <c r="DUD33" s="3"/>
      <c r="DUE33" s="3"/>
      <c r="DUF33" s="3"/>
      <c r="DUG33" s="3"/>
      <c r="DUH33" s="3"/>
      <c r="DUI33" s="3"/>
      <c r="DUJ33" s="3"/>
      <c r="DUK33" s="3"/>
      <c r="DUL33" s="3"/>
      <c r="DUM33" s="3"/>
      <c r="DUN33" s="3"/>
      <c r="DUO33" s="3"/>
      <c r="DUP33" s="3"/>
      <c r="DUQ33" s="3"/>
      <c r="DUR33" s="3"/>
      <c r="DUS33" s="3"/>
      <c r="DUT33" s="3"/>
      <c r="DUU33" s="3"/>
      <c r="DUV33" s="3"/>
      <c r="DUW33" s="3"/>
      <c r="DUX33" s="3"/>
      <c r="DUY33" s="3"/>
      <c r="DUZ33" s="3"/>
      <c r="DVA33" s="3"/>
      <c r="DVB33" s="3"/>
      <c r="DVC33" s="3"/>
      <c r="DVD33" s="3"/>
      <c r="DVE33" s="3"/>
      <c r="DVF33" s="3"/>
      <c r="DVG33" s="3"/>
      <c r="DVH33" s="3"/>
      <c r="DVI33" s="3"/>
      <c r="DVJ33" s="3"/>
      <c r="DVK33" s="3"/>
      <c r="DVL33" s="3"/>
      <c r="DVM33" s="3"/>
      <c r="DVN33" s="3"/>
      <c r="DVO33" s="3"/>
      <c r="DVP33" s="3"/>
      <c r="DVQ33" s="3"/>
      <c r="DVR33" s="3"/>
      <c r="DVS33" s="3"/>
      <c r="DVT33" s="3"/>
      <c r="DVU33" s="3"/>
      <c r="DVV33" s="3"/>
      <c r="DVW33" s="3"/>
      <c r="DVX33" s="3"/>
      <c r="DVY33" s="3"/>
      <c r="DVZ33" s="3"/>
      <c r="DWA33" s="3"/>
      <c r="DWB33" s="3"/>
      <c r="DWC33" s="3"/>
      <c r="DWD33" s="3"/>
      <c r="DWE33" s="3"/>
      <c r="DWF33" s="3"/>
      <c r="DWG33" s="3"/>
      <c r="DWH33" s="3"/>
      <c r="DWI33" s="3"/>
      <c r="DWJ33" s="3"/>
      <c r="DWK33" s="3"/>
      <c r="DWL33" s="3"/>
      <c r="DWM33" s="3"/>
      <c r="DWN33" s="3"/>
      <c r="DWO33" s="3"/>
      <c r="DWP33" s="3"/>
      <c r="DWQ33" s="3"/>
      <c r="DWR33" s="3"/>
      <c r="DWS33" s="3"/>
      <c r="DWT33" s="3"/>
      <c r="DWU33" s="3"/>
      <c r="DWV33" s="3"/>
      <c r="DWW33" s="3"/>
      <c r="DWX33" s="3"/>
      <c r="DWY33" s="3"/>
      <c r="DWZ33" s="3"/>
      <c r="DXA33" s="3"/>
      <c r="DXB33" s="3"/>
      <c r="DXC33" s="3"/>
      <c r="DXD33" s="3"/>
      <c r="DXE33" s="3"/>
      <c r="DXF33" s="3"/>
      <c r="DXG33" s="3"/>
      <c r="DXH33" s="3"/>
      <c r="DXI33" s="3"/>
      <c r="DXJ33" s="3"/>
      <c r="DXK33" s="3"/>
      <c r="DXL33" s="3"/>
      <c r="DXM33" s="3"/>
      <c r="DXN33" s="3"/>
      <c r="DXO33" s="3"/>
      <c r="DXP33" s="3"/>
      <c r="DXQ33" s="3"/>
      <c r="DXR33" s="3"/>
      <c r="DXS33" s="3"/>
      <c r="DXT33" s="3"/>
      <c r="DXU33" s="3"/>
      <c r="DXV33" s="3"/>
      <c r="DXW33" s="3"/>
      <c r="DXX33" s="3"/>
      <c r="DXY33" s="3"/>
      <c r="DXZ33" s="3"/>
      <c r="DYA33" s="3"/>
      <c r="DYB33" s="3"/>
      <c r="DYC33" s="3"/>
      <c r="DYD33" s="3"/>
      <c r="DYE33" s="3"/>
      <c r="DYF33" s="3"/>
      <c r="DYG33" s="3"/>
      <c r="DYH33" s="3"/>
      <c r="DYI33" s="3"/>
      <c r="DYJ33" s="3"/>
      <c r="DYK33" s="3"/>
      <c r="DYL33" s="3"/>
      <c r="DYM33" s="3"/>
      <c r="DYN33" s="3"/>
      <c r="DYO33" s="3"/>
      <c r="DYP33" s="3"/>
      <c r="DYQ33" s="3"/>
      <c r="DYR33" s="3"/>
      <c r="DYS33" s="3"/>
      <c r="DYT33" s="3"/>
      <c r="DYU33" s="3"/>
      <c r="DYV33" s="3"/>
      <c r="DYW33" s="3"/>
      <c r="DYX33" s="3"/>
      <c r="DYY33" s="3"/>
      <c r="DYZ33" s="3"/>
      <c r="DZA33" s="3"/>
      <c r="DZB33" s="3"/>
      <c r="DZC33" s="3"/>
      <c r="DZD33" s="3"/>
      <c r="DZE33" s="3"/>
      <c r="DZF33" s="3"/>
      <c r="DZG33" s="3"/>
      <c r="DZH33" s="3"/>
      <c r="DZI33" s="3"/>
      <c r="DZJ33" s="3"/>
      <c r="DZK33" s="3"/>
      <c r="DZL33" s="3"/>
      <c r="DZM33" s="3"/>
      <c r="DZN33" s="3"/>
      <c r="DZO33" s="3"/>
      <c r="DZP33" s="3"/>
      <c r="DZQ33" s="3"/>
      <c r="DZR33" s="3"/>
      <c r="DZS33" s="3"/>
      <c r="DZT33" s="3"/>
      <c r="DZU33" s="3"/>
      <c r="DZV33" s="3"/>
      <c r="DZW33" s="3"/>
      <c r="DZX33" s="3"/>
      <c r="DZY33" s="3"/>
      <c r="DZZ33" s="3"/>
      <c r="EAA33" s="3"/>
      <c r="EAB33" s="3"/>
      <c r="EAC33" s="3"/>
      <c r="EAD33" s="3"/>
      <c r="EAE33" s="3"/>
      <c r="EAF33" s="3"/>
      <c r="EAG33" s="3"/>
      <c r="EAH33" s="3"/>
      <c r="EAI33" s="3"/>
      <c r="EAJ33" s="3"/>
      <c r="EAK33" s="3"/>
      <c r="EAL33" s="3"/>
      <c r="EAM33" s="3"/>
      <c r="EAN33" s="3"/>
      <c r="EAO33" s="3"/>
      <c r="EAP33" s="3"/>
      <c r="EAQ33" s="3"/>
      <c r="EAR33" s="3"/>
      <c r="EAS33" s="3"/>
      <c r="EAT33" s="3"/>
      <c r="EAU33" s="3"/>
      <c r="EAV33" s="3"/>
      <c r="EAW33" s="3"/>
      <c r="EAX33" s="3"/>
      <c r="EAY33" s="3"/>
      <c r="EAZ33" s="3"/>
      <c r="EBA33" s="3"/>
      <c r="EBB33" s="3"/>
      <c r="EBC33" s="3"/>
      <c r="EBD33" s="3"/>
      <c r="EBE33" s="3"/>
      <c r="EBF33" s="3"/>
      <c r="EBG33" s="3"/>
      <c r="EBH33" s="3"/>
      <c r="EBI33" s="3"/>
      <c r="EBJ33" s="3"/>
      <c r="EBK33" s="3"/>
      <c r="EBL33" s="3"/>
      <c r="EBM33" s="3"/>
      <c r="EBN33" s="3"/>
      <c r="EBO33" s="3"/>
      <c r="EBP33" s="3"/>
      <c r="EBQ33" s="3"/>
      <c r="EBR33" s="3"/>
      <c r="EBS33" s="3"/>
      <c r="EBT33" s="3"/>
      <c r="EBU33" s="3"/>
      <c r="EBV33" s="3"/>
      <c r="EBW33" s="3"/>
      <c r="EBX33" s="3"/>
      <c r="EBY33" s="3"/>
      <c r="EBZ33" s="3"/>
      <c r="ECA33" s="3"/>
      <c r="ECB33" s="3"/>
      <c r="ECC33" s="3"/>
      <c r="ECD33" s="3"/>
      <c r="ECE33" s="3"/>
      <c r="ECF33" s="3"/>
      <c r="ECG33" s="3"/>
      <c r="ECH33" s="3"/>
      <c r="ECI33" s="3"/>
      <c r="ECJ33" s="3"/>
      <c r="ECK33" s="3"/>
      <c r="ECL33" s="3"/>
      <c r="ECM33" s="3"/>
      <c r="ECN33" s="3"/>
      <c r="ECO33" s="3"/>
      <c r="ECP33" s="3"/>
      <c r="ECQ33" s="3"/>
      <c r="ECR33" s="3"/>
      <c r="ECS33" s="3"/>
      <c r="ECT33" s="3"/>
      <c r="ECU33" s="3"/>
      <c r="ECV33" s="3"/>
      <c r="ECW33" s="3"/>
      <c r="ECX33" s="3"/>
      <c r="ECY33" s="3"/>
      <c r="ECZ33" s="3"/>
      <c r="EDA33" s="3"/>
      <c r="EDB33" s="3"/>
      <c r="EDC33" s="3"/>
      <c r="EDD33" s="3"/>
      <c r="EDE33" s="3"/>
      <c r="EDF33" s="3"/>
      <c r="EDG33" s="3"/>
      <c r="EDH33" s="3"/>
      <c r="EDI33" s="3"/>
      <c r="EDJ33" s="3"/>
      <c r="EDK33" s="3"/>
      <c r="EDL33" s="3"/>
      <c r="EDM33" s="3"/>
      <c r="EDN33" s="3"/>
      <c r="EDO33" s="3"/>
      <c r="EDP33" s="3"/>
      <c r="EDQ33" s="3"/>
      <c r="EDR33" s="3"/>
      <c r="EDS33" s="3"/>
      <c r="EDT33" s="3"/>
      <c r="EDU33" s="3"/>
      <c r="EDV33" s="3"/>
      <c r="EDW33" s="3"/>
      <c r="EDX33" s="3"/>
      <c r="EDY33" s="3"/>
      <c r="EDZ33" s="3"/>
      <c r="EEA33" s="3"/>
      <c r="EEB33" s="3"/>
      <c r="EEC33" s="3"/>
      <c r="EED33" s="3"/>
      <c r="EEE33" s="3"/>
      <c r="EEF33" s="3"/>
      <c r="EEG33" s="3"/>
      <c r="EEH33" s="3"/>
      <c r="EEI33" s="3"/>
      <c r="EEJ33" s="3"/>
      <c r="EEK33" s="3"/>
      <c r="EEL33" s="3"/>
      <c r="EEM33" s="3"/>
      <c r="EEN33" s="3"/>
      <c r="EEO33" s="3"/>
      <c r="EEP33" s="3"/>
      <c r="EEQ33" s="3"/>
      <c r="EER33" s="3"/>
      <c r="EES33" s="3"/>
      <c r="EET33" s="3"/>
      <c r="EEU33" s="3"/>
      <c r="EEV33" s="3"/>
      <c r="EEW33" s="3"/>
      <c r="EEX33" s="3"/>
      <c r="EEY33" s="3"/>
      <c r="EEZ33" s="3"/>
      <c r="EFA33" s="3"/>
      <c r="EFB33" s="3"/>
      <c r="EFC33" s="3"/>
      <c r="EFD33" s="3"/>
      <c r="EFE33" s="3"/>
      <c r="EFF33" s="3"/>
      <c r="EFG33" s="3"/>
      <c r="EFH33" s="3"/>
      <c r="EFI33" s="3"/>
      <c r="EFJ33" s="3"/>
      <c r="EFK33" s="3"/>
      <c r="EFL33" s="3"/>
      <c r="EFM33" s="3"/>
      <c r="EFN33" s="3"/>
      <c r="EFO33" s="3"/>
      <c r="EFP33" s="3"/>
      <c r="EFQ33" s="3"/>
      <c r="EFR33" s="3"/>
      <c r="EFS33" s="3"/>
      <c r="EFT33" s="3"/>
      <c r="EFU33" s="3"/>
      <c r="EFV33" s="3"/>
      <c r="EFW33" s="3"/>
      <c r="EFX33" s="3"/>
      <c r="EFY33" s="3"/>
      <c r="EFZ33" s="3"/>
      <c r="EGA33" s="3"/>
      <c r="EGB33" s="3"/>
      <c r="EGC33" s="3"/>
      <c r="EGD33" s="3"/>
      <c r="EGE33" s="3"/>
      <c r="EGF33" s="3"/>
      <c r="EGG33" s="3"/>
      <c r="EGH33" s="3"/>
      <c r="EGI33" s="3"/>
      <c r="EGJ33" s="3"/>
      <c r="EGK33" s="3"/>
      <c r="EGL33" s="3"/>
      <c r="EGM33" s="3"/>
      <c r="EGN33" s="3"/>
      <c r="EGO33" s="3"/>
      <c r="EGP33" s="3"/>
      <c r="EGQ33" s="3"/>
      <c r="EGR33" s="3"/>
      <c r="EGS33" s="3"/>
      <c r="EGT33" s="3"/>
      <c r="EGU33" s="3"/>
      <c r="EGV33" s="3"/>
      <c r="EGW33" s="3"/>
      <c r="EGX33" s="3"/>
      <c r="EGY33" s="3"/>
      <c r="EGZ33" s="3"/>
      <c r="EHA33" s="3"/>
      <c r="EHB33" s="3"/>
      <c r="EHC33" s="3"/>
      <c r="EHD33" s="3"/>
      <c r="EHE33" s="3"/>
      <c r="EHF33" s="3"/>
      <c r="EHG33" s="3"/>
      <c r="EHH33" s="3"/>
      <c r="EHI33" s="3"/>
      <c r="EHJ33" s="3"/>
      <c r="EHK33" s="3"/>
      <c r="EHL33" s="3"/>
      <c r="EHM33" s="3"/>
      <c r="EHN33" s="3"/>
      <c r="EHO33" s="3"/>
      <c r="EHP33" s="3"/>
      <c r="EHQ33" s="3"/>
      <c r="EHR33" s="3"/>
      <c r="EHS33" s="3"/>
      <c r="EHT33" s="3"/>
      <c r="EHU33" s="3"/>
      <c r="EHV33" s="3"/>
      <c r="EHW33" s="3"/>
      <c r="EHX33" s="3"/>
      <c r="EHY33" s="3"/>
      <c r="EHZ33" s="3"/>
      <c r="EIA33" s="3"/>
      <c r="EIB33" s="3"/>
      <c r="EIC33" s="3"/>
      <c r="EID33" s="3"/>
      <c r="EIE33" s="3"/>
      <c r="EIF33" s="3"/>
      <c r="EIG33" s="3"/>
      <c r="EIH33" s="3"/>
      <c r="EII33" s="3"/>
      <c r="EIJ33" s="3"/>
      <c r="EIK33" s="3"/>
      <c r="EIL33" s="3"/>
      <c r="EIM33" s="3"/>
      <c r="EIN33" s="3"/>
      <c r="EIO33" s="3"/>
      <c r="EIP33" s="3"/>
      <c r="EIQ33" s="3"/>
      <c r="EIR33" s="3"/>
      <c r="EIS33" s="3"/>
      <c r="EIT33" s="3"/>
      <c r="EIU33" s="3"/>
      <c r="EIV33" s="3"/>
      <c r="EIW33" s="3"/>
      <c r="EIX33" s="3"/>
      <c r="EIY33" s="3"/>
      <c r="EIZ33" s="3"/>
      <c r="EJA33" s="3"/>
      <c r="EJB33" s="3"/>
      <c r="EJC33" s="3"/>
      <c r="EJD33" s="3"/>
      <c r="EJE33" s="3"/>
      <c r="EJF33" s="3"/>
      <c r="EJG33" s="3"/>
      <c r="EJH33" s="3"/>
      <c r="EJI33" s="3"/>
      <c r="EJJ33" s="3"/>
      <c r="EJK33" s="3"/>
      <c r="EJL33" s="3"/>
      <c r="EJM33" s="3"/>
      <c r="EJN33" s="3"/>
      <c r="EJO33" s="3"/>
      <c r="EJP33" s="3"/>
      <c r="EJQ33" s="3"/>
      <c r="EJR33" s="3"/>
      <c r="EJS33" s="3"/>
      <c r="EJT33" s="3"/>
      <c r="EJU33" s="3"/>
      <c r="EJV33" s="3"/>
      <c r="EJW33" s="3"/>
      <c r="EJX33" s="3"/>
      <c r="EJY33" s="3"/>
      <c r="EJZ33" s="3"/>
      <c r="EKA33" s="3"/>
      <c r="EKB33" s="3"/>
      <c r="EKC33" s="3"/>
      <c r="EKD33" s="3"/>
      <c r="EKE33" s="3"/>
      <c r="EKF33" s="3"/>
      <c r="EKG33" s="3"/>
      <c r="EKH33" s="3"/>
      <c r="EKI33" s="3"/>
      <c r="EKJ33" s="3"/>
      <c r="EKK33" s="3"/>
      <c r="EKL33" s="3"/>
      <c r="EKM33" s="3"/>
      <c r="EKN33" s="3"/>
      <c r="EKO33" s="3"/>
      <c r="EKP33" s="3"/>
      <c r="EKQ33" s="3"/>
      <c r="EKR33" s="3"/>
      <c r="EKS33" s="3"/>
      <c r="EKT33" s="3"/>
      <c r="EKU33" s="3"/>
      <c r="EKV33" s="3"/>
      <c r="EKW33" s="3"/>
      <c r="EKX33" s="3"/>
      <c r="EKY33" s="3"/>
      <c r="EKZ33" s="3"/>
      <c r="ELA33" s="3"/>
      <c r="ELB33" s="3"/>
      <c r="ELC33" s="3"/>
      <c r="ELD33" s="3"/>
      <c r="ELE33" s="3"/>
      <c r="ELF33" s="3"/>
      <c r="ELG33" s="3"/>
      <c r="ELH33" s="3"/>
      <c r="ELI33" s="3"/>
      <c r="ELJ33" s="3"/>
      <c r="ELK33" s="3"/>
      <c r="ELL33" s="3"/>
      <c r="ELM33" s="3"/>
      <c r="ELN33" s="3"/>
      <c r="ELO33" s="3"/>
      <c r="ELP33" s="3"/>
      <c r="ELQ33" s="3"/>
      <c r="ELR33" s="3"/>
      <c r="ELS33" s="3"/>
      <c r="ELT33" s="3"/>
      <c r="ELU33" s="3"/>
      <c r="ELV33" s="3"/>
      <c r="ELW33" s="3"/>
      <c r="ELX33" s="3"/>
      <c r="ELY33" s="3"/>
      <c r="ELZ33" s="3"/>
      <c r="EMA33" s="3"/>
      <c r="EMB33" s="3"/>
      <c r="EMC33" s="3"/>
      <c r="EMD33" s="3"/>
      <c r="EME33" s="3"/>
      <c r="EMF33" s="3"/>
      <c r="EMG33" s="3"/>
      <c r="EMH33" s="3"/>
      <c r="EMI33" s="3"/>
      <c r="EMJ33" s="3"/>
      <c r="EMK33" s="3"/>
      <c r="EML33" s="3"/>
      <c r="EMM33" s="3"/>
      <c r="EMN33" s="3"/>
      <c r="EMO33" s="3"/>
      <c r="EMP33" s="3"/>
      <c r="EMQ33" s="3"/>
      <c r="EMR33" s="3"/>
      <c r="EMS33" s="3"/>
      <c r="EMT33" s="3"/>
      <c r="EMU33" s="3"/>
      <c r="EMV33" s="3"/>
      <c r="EMW33" s="3"/>
      <c r="EMX33" s="3"/>
      <c r="EMY33" s="3"/>
      <c r="EMZ33" s="3"/>
      <c r="ENA33" s="3"/>
      <c r="ENB33" s="3"/>
      <c r="ENC33" s="3"/>
      <c r="END33" s="3"/>
      <c r="ENE33" s="3"/>
      <c r="ENF33" s="3"/>
      <c r="ENG33" s="3"/>
      <c r="ENH33" s="3"/>
      <c r="ENI33" s="3"/>
      <c r="ENJ33" s="3"/>
      <c r="ENK33" s="3"/>
      <c r="ENL33" s="3"/>
      <c r="ENM33" s="3"/>
      <c r="ENN33" s="3"/>
      <c r="ENO33" s="3"/>
      <c r="ENP33" s="3"/>
      <c r="ENQ33" s="3"/>
      <c r="ENR33" s="3"/>
      <c r="ENS33" s="3"/>
      <c r="ENT33" s="3"/>
      <c r="ENU33" s="3"/>
      <c r="ENV33" s="3"/>
      <c r="ENW33" s="3"/>
      <c r="ENX33" s="3"/>
      <c r="ENY33" s="3"/>
      <c r="ENZ33" s="3"/>
      <c r="EOA33" s="3"/>
      <c r="EOB33" s="3"/>
      <c r="EOC33" s="3"/>
      <c r="EOD33" s="3"/>
      <c r="EOE33" s="3"/>
      <c r="EOF33" s="3"/>
      <c r="EOG33" s="3"/>
      <c r="EOH33" s="3"/>
      <c r="EOI33" s="3"/>
      <c r="EOJ33" s="3"/>
      <c r="EOK33" s="3"/>
      <c r="EOL33" s="3"/>
      <c r="EOM33" s="3"/>
      <c r="EON33" s="3"/>
      <c r="EOO33" s="3"/>
      <c r="EOP33" s="3"/>
      <c r="EOQ33" s="3"/>
      <c r="EOR33" s="3"/>
      <c r="EOS33" s="3"/>
      <c r="EOT33" s="3"/>
      <c r="EOU33" s="3"/>
      <c r="EOV33" s="3"/>
      <c r="EOW33" s="3"/>
      <c r="EOX33" s="3"/>
      <c r="EOY33" s="3"/>
      <c r="EOZ33" s="3"/>
      <c r="EPA33" s="3"/>
      <c r="EPB33" s="3"/>
      <c r="EPC33" s="3"/>
      <c r="EPD33" s="3"/>
      <c r="EPE33" s="3"/>
      <c r="EPF33" s="3"/>
      <c r="EPG33" s="3"/>
      <c r="EPH33" s="3"/>
      <c r="EPI33" s="3"/>
      <c r="EPJ33" s="3"/>
      <c r="EPK33" s="3"/>
      <c r="EPL33" s="3"/>
      <c r="EPM33" s="3"/>
      <c r="EPN33" s="3"/>
      <c r="EPO33" s="3"/>
      <c r="EPP33" s="3"/>
      <c r="EPQ33" s="3"/>
      <c r="EPR33" s="3"/>
      <c r="EPS33" s="3"/>
      <c r="EPT33" s="3"/>
      <c r="EPU33" s="3"/>
      <c r="EPV33" s="3"/>
      <c r="EPW33" s="3"/>
      <c r="EPX33" s="3"/>
      <c r="EPY33" s="3"/>
      <c r="EPZ33" s="3"/>
      <c r="EQA33" s="3"/>
      <c r="EQB33" s="3"/>
      <c r="EQC33" s="3"/>
      <c r="EQD33" s="3"/>
      <c r="EQE33" s="3"/>
      <c r="EQF33" s="3"/>
      <c r="EQG33" s="3"/>
      <c r="EQH33" s="3"/>
      <c r="EQI33" s="3"/>
      <c r="EQJ33" s="3"/>
      <c r="EQK33" s="3"/>
      <c r="EQL33" s="3"/>
      <c r="EQM33" s="3"/>
      <c r="EQN33" s="3"/>
      <c r="EQO33" s="3"/>
      <c r="EQP33" s="3"/>
      <c r="EQQ33" s="3"/>
      <c r="EQR33" s="3"/>
      <c r="EQS33" s="3"/>
      <c r="EQT33" s="3"/>
      <c r="EQU33" s="3"/>
      <c r="EQV33" s="3"/>
      <c r="EQW33" s="3"/>
      <c r="EQX33" s="3"/>
      <c r="EQY33" s="3"/>
      <c r="EQZ33" s="3"/>
      <c r="ERA33" s="3"/>
      <c r="ERB33" s="3"/>
      <c r="ERC33" s="3"/>
      <c r="ERD33" s="3"/>
      <c r="ERE33" s="3"/>
      <c r="ERF33" s="3"/>
      <c r="ERG33" s="3"/>
      <c r="ERH33" s="3"/>
      <c r="ERI33" s="3"/>
      <c r="ERJ33" s="3"/>
      <c r="ERK33" s="3"/>
      <c r="ERL33" s="3"/>
      <c r="ERM33" s="3"/>
      <c r="ERN33" s="3"/>
      <c r="ERO33" s="3"/>
      <c r="ERP33" s="3"/>
      <c r="ERQ33" s="3"/>
      <c r="ERR33" s="3"/>
      <c r="ERS33" s="3"/>
      <c r="ERT33" s="3"/>
      <c r="ERU33" s="3"/>
      <c r="ERV33" s="3"/>
      <c r="ERW33" s="3"/>
      <c r="ERX33" s="3"/>
      <c r="ERY33" s="3"/>
      <c r="ERZ33" s="3"/>
      <c r="ESA33" s="3"/>
      <c r="ESB33" s="3"/>
      <c r="ESC33" s="3"/>
      <c r="ESD33" s="3"/>
      <c r="ESE33" s="3"/>
      <c r="ESF33" s="3"/>
      <c r="ESG33" s="3"/>
      <c r="ESH33" s="3"/>
      <c r="ESI33" s="3"/>
      <c r="ESJ33" s="3"/>
      <c r="ESK33" s="3"/>
      <c r="ESL33" s="3"/>
      <c r="ESM33" s="3"/>
      <c r="ESN33" s="3"/>
      <c r="ESO33" s="3"/>
      <c r="ESP33" s="3"/>
      <c r="ESQ33" s="3"/>
      <c r="ESR33" s="3"/>
      <c r="ESS33" s="3"/>
      <c r="EST33" s="3"/>
      <c r="ESU33" s="3"/>
      <c r="ESV33" s="3"/>
      <c r="ESW33" s="3"/>
      <c r="ESX33" s="3"/>
      <c r="ESY33" s="3"/>
      <c r="ESZ33" s="3"/>
      <c r="ETA33" s="3"/>
      <c r="ETB33" s="3"/>
      <c r="ETC33" s="3"/>
      <c r="ETD33" s="3"/>
      <c r="ETE33" s="3"/>
      <c r="ETF33" s="3"/>
      <c r="ETG33" s="3"/>
      <c r="ETH33" s="3"/>
      <c r="ETI33" s="3"/>
      <c r="ETJ33" s="3"/>
      <c r="ETK33" s="3"/>
      <c r="ETL33" s="3"/>
      <c r="ETM33" s="3"/>
      <c r="ETN33" s="3"/>
      <c r="ETO33" s="3"/>
      <c r="ETP33" s="3"/>
      <c r="ETQ33" s="3"/>
      <c r="ETR33" s="3"/>
      <c r="ETS33" s="3"/>
      <c r="ETT33" s="3"/>
      <c r="ETU33" s="3"/>
      <c r="ETV33" s="3"/>
      <c r="ETW33" s="3"/>
      <c r="ETX33" s="3"/>
      <c r="ETY33" s="3"/>
      <c r="ETZ33" s="3"/>
      <c r="EUA33" s="3"/>
      <c r="EUB33" s="3"/>
      <c r="EUC33" s="3"/>
      <c r="EUD33" s="3"/>
      <c r="EUE33" s="3"/>
      <c r="EUF33" s="3"/>
      <c r="EUG33" s="3"/>
      <c r="EUH33" s="3"/>
      <c r="EUI33" s="3"/>
      <c r="EUJ33" s="3"/>
      <c r="EUK33" s="3"/>
      <c r="EUL33" s="3"/>
      <c r="EUM33" s="3"/>
      <c r="EUN33" s="3"/>
      <c r="EUO33" s="3"/>
      <c r="EUP33" s="3"/>
      <c r="EUQ33" s="3"/>
      <c r="EUR33" s="3"/>
      <c r="EUS33" s="3"/>
      <c r="EUT33" s="3"/>
      <c r="EUU33" s="3"/>
      <c r="EUV33" s="3"/>
      <c r="EUW33" s="3"/>
      <c r="EUX33" s="3"/>
      <c r="EUY33" s="3"/>
      <c r="EUZ33" s="3"/>
      <c r="EVA33" s="3"/>
      <c r="EVB33" s="3"/>
      <c r="EVC33" s="3"/>
      <c r="EVD33" s="3"/>
      <c r="EVE33" s="3"/>
      <c r="EVF33" s="3"/>
      <c r="EVG33" s="3"/>
      <c r="EVH33" s="3"/>
      <c r="EVI33" s="3"/>
      <c r="EVJ33" s="3"/>
      <c r="EVK33" s="3"/>
      <c r="EVL33" s="3"/>
      <c r="EVM33" s="3"/>
      <c r="EVN33" s="3"/>
      <c r="EVO33" s="3"/>
      <c r="EVP33" s="3"/>
      <c r="EVQ33" s="3"/>
      <c r="EVR33" s="3"/>
      <c r="EVS33" s="3"/>
      <c r="EVT33" s="3"/>
      <c r="EVU33" s="3"/>
      <c r="EVV33" s="3"/>
      <c r="EVW33" s="3"/>
      <c r="EVX33" s="3"/>
      <c r="EVY33" s="3"/>
      <c r="EVZ33" s="3"/>
      <c r="EWA33" s="3"/>
      <c r="EWB33" s="3"/>
      <c r="EWC33" s="3"/>
      <c r="EWD33" s="3"/>
      <c r="EWE33" s="3"/>
      <c r="EWF33" s="3"/>
      <c r="EWG33" s="3"/>
      <c r="EWH33" s="3"/>
      <c r="EWI33" s="3"/>
      <c r="EWJ33" s="3"/>
      <c r="EWK33" s="3"/>
      <c r="EWL33" s="3"/>
      <c r="EWM33" s="3"/>
      <c r="EWN33" s="3"/>
      <c r="EWO33" s="3"/>
      <c r="EWP33" s="3"/>
      <c r="EWQ33" s="3"/>
      <c r="EWR33" s="3"/>
      <c r="EWS33" s="3"/>
      <c r="EWT33" s="3"/>
      <c r="EWU33" s="3"/>
      <c r="EWV33" s="3"/>
      <c r="EWW33" s="3"/>
      <c r="EWX33" s="3"/>
      <c r="EWY33" s="3"/>
      <c r="EWZ33" s="3"/>
      <c r="EXA33" s="3"/>
      <c r="EXB33" s="3"/>
      <c r="EXC33" s="3"/>
      <c r="EXD33" s="3"/>
      <c r="EXE33" s="3"/>
      <c r="EXF33" s="3"/>
      <c r="EXG33" s="3"/>
      <c r="EXH33" s="3"/>
      <c r="EXI33" s="3"/>
      <c r="EXJ33" s="3"/>
      <c r="EXK33" s="3"/>
      <c r="EXL33" s="3"/>
      <c r="EXM33" s="3"/>
      <c r="EXN33" s="3"/>
      <c r="EXO33" s="3"/>
      <c r="EXP33" s="3"/>
      <c r="EXQ33" s="3"/>
      <c r="EXR33" s="3"/>
      <c r="EXS33" s="3"/>
      <c r="EXT33" s="3"/>
      <c r="EXU33" s="3"/>
      <c r="EXV33" s="3"/>
      <c r="EXW33" s="3"/>
      <c r="EXX33" s="3"/>
      <c r="EXY33" s="3"/>
      <c r="EXZ33" s="3"/>
      <c r="EYA33" s="3"/>
      <c r="EYB33" s="3"/>
      <c r="EYC33" s="3"/>
      <c r="EYD33" s="3"/>
      <c r="EYE33" s="3"/>
      <c r="EYF33" s="3"/>
      <c r="EYG33" s="3"/>
      <c r="EYH33" s="3"/>
      <c r="EYI33" s="3"/>
      <c r="EYJ33" s="3"/>
      <c r="EYK33" s="3"/>
      <c r="EYL33" s="3"/>
      <c r="EYM33" s="3"/>
      <c r="EYN33" s="3"/>
      <c r="EYO33" s="3"/>
      <c r="EYP33" s="3"/>
      <c r="EYQ33" s="3"/>
      <c r="EYR33" s="3"/>
      <c r="EYS33" s="3"/>
      <c r="EYT33" s="3"/>
      <c r="EYU33" s="3"/>
      <c r="EYV33" s="3"/>
      <c r="EYW33" s="3"/>
      <c r="EYX33" s="3"/>
      <c r="EYY33" s="3"/>
      <c r="EYZ33" s="3"/>
      <c r="EZA33" s="3"/>
      <c r="EZB33" s="3"/>
      <c r="EZC33" s="3"/>
      <c r="EZD33" s="3"/>
      <c r="EZE33" s="3"/>
      <c r="EZF33" s="3"/>
      <c r="EZG33" s="3"/>
      <c r="EZH33" s="3"/>
      <c r="EZI33" s="3"/>
      <c r="EZJ33" s="3"/>
      <c r="EZK33" s="3"/>
      <c r="EZL33" s="3"/>
      <c r="EZM33" s="3"/>
      <c r="EZN33" s="3"/>
      <c r="EZO33" s="3"/>
      <c r="EZP33" s="3"/>
      <c r="EZQ33" s="3"/>
      <c r="EZR33" s="3"/>
      <c r="EZS33" s="3"/>
      <c r="EZT33" s="3"/>
      <c r="EZU33" s="3"/>
      <c r="EZV33" s="3"/>
      <c r="EZW33" s="3"/>
      <c r="EZX33" s="3"/>
      <c r="EZY33" s="3"/>
      <c r="EZZ33" s="3"/>
      <c r="FAA33" s="3"/>
      <c r="FAB33" s="3"/>
      <c r="FAC33" s="3"/>
      <c r="FAD33" s="3"/>
      <c r="FAE33" s="3"/>
      <c r="FAF33" s="3"/>
      <c r="FAG33" s="3"/>
      <c r="FAH33" s="3"/>
      <c r="FAI33" s="3"/>
      <c r="FAJ33" s="3"/>
      <c r="FAK33" s="3"/>
      <c r="FAL33" s="3"/>
      <c r="FAM33" s="3"/>
      <c r="FAN33" s="3"/>
      <c r="FAO33" s="3"/>
      <c r="FAP33" s="3"/>
      <c r="FAQ33" s="3"/>
      <c r="FAR33" s="3"/>
      <c r="FAS33" s="3"/>
      <c r="FAT33" s="3"/>
      <c r="FAU33" s="3"/>
      <c r="FAV33" s="3"/>
      <c r="FAW33" s="3"/>
      <c r="FAX33" s="3"/>
      <c r="FAY33" s="3"/>
      <c r="FAZ33" s="3"/>
      <c r="FBA33" s="3"/>
      <c r="FBB33" s="3"/>
      <c r="FBC33" s="3"/>
      <c r="FBD33" s="3"/>
      <c r="FBE33" s="3"/>
      <c r="FBF33" s="3"/>
      <c r="FBG33" s="3"/>
      <c r="FBH33" s="3"/>
      <c r="FBI33" s="3"/>
      <c r="FBJ33" s="3"/>
      <c r="FBK33" s="3"/>
      <c r="FBL33" s="3"/>
      <c r="FBM33" s="3"/>
      <c r="FBN33" s="3"/>
      <c r="FBO33" s="3"/>
      <c r="FBP33" s="3"/>
      <c r="FBQ33" s="3"/>
      <c r="FBR33" s="3"/>
      <c r="FBS33" s="3"/>
      <c r="FBT33" s="3"/>
      <c r="FBU33" s="3"/>
      <c r="FBV33" s="3"/>
      <c r="FBW33" s="3"/>
      <c r="FBX33" s="3"/>
      <c r="FBY33" s="3"/>
      <c r="FBZ33" s="3"/>
      <c r="FCA33" s="3"/>
      <c r="FCB33" s="3"/>
      <c r="FCC33" s="3"/>
      <c r="FCD33" s="3"/>
      <c r="FCE33" s="3"/>
      <c r="FCF33" s="3"/>
      <c r="FCG33" s="3"/>
      <c r="FCH33" s="3"/>
      <c r="FCI33" s="3"/>
      <c r="FCJ33" s="3"/>
      <c r="FCK33" s="3"/>
      <c r="FCL33" s="3"/>
      <c r="FCM33" s="3"/>
      <c r="FCN33" s="3"/>
      <c r="FCO33" s="3"/>
      <c r="FCP33" s="3"/>
      <c r="FCQ33" s="3"/>
      <c r="FCR33" s="3"/>
      <c r="FCS33" s="3"/>
      <c r="FCT33" s="3"/>
      <c r="FCU33" s="3"/>
      <c r="FCV33" s="3"/>
      <c r="FCW33" s="3"/>
      <c r="FCX33" s="3"/>
      <c r="FCY33" s="3"/>
      <c r="FCZ33" s="3"/>
      <c r="FDA33" s="3"/>
      <c r="FDB33" s="3"/>
      <c r="FDC33" s="3"/>
      <c r="FDD33" s="3"/>
      <c r="FDE33" s="3"/>
      <c r="FDF33" s="3"/>
      <c r="FDG33" s="3"/>
      <c r="FDH33" s="3"/>
      <c r="FDI33" s="3"/>
      <c r="FDJ33" s="3"/>
      <c r="FDK33" s="3"/>
      <c r="FDL33" s="3"/>
      <c r="FDM33" s="3"/>
      <c r="FDN33" s="3"/>
      <c r="FDO33" s="3"/>
      <c r="FDP33" s="3"/>
      <c r="FDQ33" s="3"/>
      <c r="FDR33" s="3"/>
      <c r="FDS33" s="3"/>
      <c r="FDT33" s="3"/>
      <c r="FDU33" s="3"/>
      <c r="FDV33" s="3"/>
      <c r="FDW33" s="3"/>
      <c r="FDX33" s="3"/>
      <c r="FDY33" s="3"/>
      <c r="FDZ33" s="3"/>
      <c r="FEA33" s="3"/>
      <c r="FEB33" s="3"/>
      <c r="FEC33" s="3"/>
      <c r="FED33" s="3"/>
      <c r="FEE33" s="3"/>
      <c r="FEF33" s="3"/>
      <c r="FEG33" s="3"/>
      <c r="FEH33" s="3"/>
      <c r="FEI33" s="3"/>
      <c r="FEJ33" s="3"/>
      <c r="FEK33" s="3"/>
      <c r="FEL33" s="3"/>
      <c r="FEM33" s="3"/>
      <c r="FEN33" s="3"/>
      <c r="FEO33" s="3"/>
      <c r="FEP33" s="3"/>
      <c r="FEQ33" s="3"/>
      <c r="FER33" s="3"/>
      <c r="FES33" s="3"/>
      <c r="FET33" s="3"/>
      <c r="FEU33" s="3"/>
      <c r="FEV33" s="3"/>
      <c r="FEW33" s="3"/>
      <c r="FEX33" s="3"/>
      <c r="FEY33" s="3"/>
      <c r="FEZ33" s="3"/>
      <c r="FFA33" s="3"/>
      <c r="FFB33" s="3"/>
      <c r="FFC33" s="3"/>
      <c r="FFD33" s="3"/>
      <c r="FFE33" s="3"/>
      <c r="FFF33" s="3"/>
      <c r="FFG33" s="3"/>
      <c r="FFH33" s="3"/>
      <c r="FFI33" s="3"/>
      <c r="FFJ33" s="3"/>
      <c r="FFK33" s="3"/>
      <c r="FFL33" s="3"/>
      <c r="FFM33" s="3"/>
      <c r="FFN33" s="3"/>
      <c r="FFO33" s="3"/>
      <c r="FFP33" s="3"/>
      <c r="FFQ33" s="3"/>
      <c r="FFR33" s="3"/>
      <c r="FFS33" s="3"/>
      <c r="FFT33" s="3"/>
      <c r="FFU33" s="3"/>
      <c r="FFV33" s="3"/>
      <c r="FFW33" s="3"/>
      <c r="FFX33" s="3"/>
      <c r="FFY33" s="3"/>
      <c r="FFZ33" s="3"/>
      <c r="FGA33" s="3"/>
      <c r="FGB33" s="3"/>
      <c r="FGC33" s="3"/>
      <c r="FGD33" s="3"/>
      <c r="FGE33" s="3"/>
      <c r="FGF33" s="3"/>
      <c r="FGG33" s="3"/>
      <c r="FGH33" s="3"/>
      <c r="FGI33" s="3"/>
      <c r="FGJ33" s="3"/>
      <c r="FGK33" s="3"/>
      <c r="FGL33" s="3"/>
      <c r="FGM33" s="3"/>
      <c r="FGN33" s="3"/>
      <c r="FGO33" s="3"/>
      <c r="FGP33" s="3"/>
      <c r="FGQ33" s="3"/>
      <c r="FGR33" s="3"/>
      <c r="FGS33" s="3"/>
      <c r="FGT33" s="3"/>
      <c r="FGU33" s="3"/>
      <c r="FGV33" s="3"/>
      <c r="FGW33" s="3"/>
      <c r="FGX33" s="3"/>
      <c r="FGY33" s="3"/>
      <c r="FGZ33" s="3"/>
      <c r="FHA33" s="3"/>
      <c r="FHB33" s="3"/>
      <c r="FHC33" s="3"/>
      <c r="FHD33" s="3"/>
      <c r="FHE33" s="3"/>
      <c r="FHF33" s="3"/>
      <c r="FHG33" s="3"/>
      <c r="FHH33" s="3"/>
      <c r="FHI33" s="3"/>
      <c r="FHJ33" s="3"/>
      <c r="FHK33" s="3"/>
      <c r="FHL33" s="3"/>
      <c r="FHM33" s="3"/>
      <c r="FHN33" s="3"/>
      <c r="FHO33" s="3"/>
      <c r="FHP33" s="3"/>
      <c r="FHQ33" s="3"/>
      <c r="FHR33" s="3"/>
      <c r="FHS33" s="3"/>
      <c r="FHT33" s="3"/>
      <c r="FHU33" s="3"/>
      <c r="FHV33" s="3"/>
      <c r="FHW33" s="3"/>
      <c r="FHX33" s="3"/>
      <c r="FHY33" s="3"/>
      <c r="FHZ33" s="3"/>
      <c r="FIA33" s="3"/>
      <c r="FIB33" s="3"/>
      <c r="FIC33" s="3"/>
      <c r="FID33" s="3"/>
      <c r="FIE33" s="3"/>
      <c r="FIF33" s="3"/>
      <c r="FIG33" s="3"/>
      <c r="FIH33" s="3"/>
      <c r="FII33" s="3"/>
      <c r="FIJ33" s="3"/>
      <c r="FIK33" s="3"/>
      <c r="FIL33" s="3"/>
      <c r="FIM33" s="3"/>
      <c r="FIN33" s="3"/>
      <c r="FIO33" s="3"/>
      <c r="FIP33" s="3"/>
      <c r="FIQ33" s="3"/>
      <c r="FIR33" s="3"/>
      <c r="FIS33" s="3"/>
      <c r="FIT33" s="3"/>
      <c r="FIU33" s="3"/>
      <c r="FIV33" s="3"/>
      <c r="FIW33" s="3"/>
      <c r="FIX33" s="3"/>
      <c r="FIY33" s="3"/>
      <c r="FIZ33" s="3"/>
      <c r="FJA33" s="3"/>
      <c r="FJB33" s="3"/>
      <c r="FJC33" s="3"/>
      <c r="FJD33" s="3"/>
      <c r="FJE33" s="3"/>
      <c r="FJF33" s="3"/>
      <c r="FJG33" s="3"/>
      <c r="FJH33" s="3"/>
      <c r="FJI33" s="3"/>
      <c r="FJJ33" s="3"/>
      <c r="FJK33" s="3"/>
      <c r="FJL33" s="3"/>
      <c r="FJM33" s="3"/>
      <c r="FJN33" s="3"/>
      <c r="FJO33" s="3"/>
      <c r="FJP33" s="3"/>
      <c r="FJQ33" s="3"/>
      <c r="FJR33" s="3"/>
      <c r="FJS33" s="3"/>
      <c r="FJT33" s="3"/>
      <c r="FJU33" s="3"/>
      <c r="FJV33" s="3"/>
      <c r="FJW33" s="3"/>
      <c r="FJX33" s="3"/>
      <c r="FJY33" s="3"/>
      <c r="FJZ33" s="3"/>
      <c r="FKA33" s="3"/>
      <c r="FKB33" s="3"/>
      <c r="FKC33" s="3"/>
      <c r="FKD33" s="3"/>
      <c r="FKE33" s="3"/>
      <c r="FKF33" s="3"/>
      <c r="FKG33" s="3"/>
      <c r="FKH33" s="3"/>
      <c r="FKI33" s="3"/>
      <c r="FKJ33" s="3"/>
      <c r="FKK33" s="3"/>
      <c r="FKL33" s="3"/>
      <c r="FKM33" s="3"/>
      <c r="FKN33" s="3"/>
      <c r="FKO33" s="3"/>
      <c r="FKP33" s="3"/>
      <c r="FKQ33" s="3"/>
      <c r="FKR33" s="3"/>
      <c r="FKS33" s="3"/>
      <c r="FKT33" s="3"/>
      <c r="FKU33" s="3"/>
      <c r="FKV33" s="3"/>
      <c r="FKW33" s="3"/>
      <c r="FKX33" s="3"/>
      <c r="FKY33" s="3"/>
      <c r="FKZ33" s="3"/>
      <c r="FLA33" s="3"/>
      <c r="FLB33" s="3"/>
      <c r="FLC33" s="3"/>
      <c r="FLD33" s="3"/>
      <c r="FLE33" s="3"/>
      <c r="FLF33" s="3"/>
      <c r="FLG33" s="3"/>
      <c r="FLH33" s="3"/>
      <c r="FLI33" s="3"/>
      <c r="FLJ33" s="3"/>
      <c r="FLK33" s="3"/>
      <c r="FLL33" s="3"/>
      <c r="FLM33" s="3"/>
      <c r="FLN33" s="3"/>
      <c r="FLO33" s="3"/>
      <c r="FLP33" s="3"/>
      <c r="FLQ33" s="3"/>
      <c r="FLR33" s="3"/>
      <c r="FLS33" s="3"/>
      <c r="FLT33" s="3"/>
      <c r="FLU33" s="3"/>
      <c r="FLV33" s="3"/>
      <c r="FLW33" s="3"/>
      <c r="FLX33" s="3"/>
      <c r="FLY33" s="3"/>
      <c r="FLZ33" s="3"/>
      <c r="FMA33" s="3"/>
      <c r="FMB33" s="3"/>
      <c r="FMC33" s="3"/>
      <c r="FMD33" s="3"/>
      <c r="FME33" s="3"/>
      <c r="FMF33" s="3"/>
      <c r="FMG33" s="3"/>
      <c r="FMH33" s="3"/>
      <c r="FMI33" s="3"/>
      <c r="FMJ33" s="3"/>
      <c r="FMK33" s="3"/>
      <c r="FML33" s="3"/>
      <c r="FMM33" s="3"/>
      <c r="FMN33" s="3"/>
      <c r="FMO33" s="3"/>
      <c r="FMP33" s="3"/>
      <c r="FMQ33" s="3"/>
      <c r="FMR33" s="3"/>
      <c r="FMS33" s="3"/>
      <c r="FMT33" s="3"/>
      <c r="FMU33" s="3"/>
      <c r="FMV33" s="3"/>
      <c r="FMW33" s="3"/>
      <c r="FMX33" s="3"/>
      <c r="FMY33" s="3"/>
      <c r="FMZ33" s="3"/>
      <c r="FNA33" s="3"/>
      <c r="FNB33" s="3"/>
      <c r="FNC33" s="3"/>
      <c r="FND33" s="3"/>
      <c r="FNE33" s="3"/>
      <c r="FNF33" s="3"/>
      <c r="FNG33" s="3"/>
      <c r="FNH33" s="3"/>
      <c r="FNI33" s="3"/>
      <c r="FNJ33" s="3"/>
      <c r="FNK33" s="3"/>
      <c r="FNL33" s="3"/>
      <c r="FNM33" s="3"/>
      <c r="FNN33" s="3"/>
      <c r="FNO33" s="3"/>
      <c r="FNP33" s="3"/>
      <c r="FNQ33" s="3"/>
      <c r="FNR33" s="3"/>
      <c r="FNS33" s="3"/>
      <c r="FNT33" s="3"/>
      <c r="FNU33" s="3"/>
      <c r="FNV33" s="3"/>
      <c r="FNW33" s="3"/>
      <c r="FNX33" s="3"/>
      <c r="FNY33" s="3"/>
      <c r="FNZ33" s="3"/>
      <c r="FOA33" s="3"/>
      <c r="FOB33" s="3"/>
      <c r="FOC33" s="3"/>
      <c r="FOD33" s="3"/>
      <c r="FOE33" s="3"/>
      <c r="FOF33" s="3"/>
      <c r="FOG33" s="3"/>
      <c r="FOH33" s="3"/>
      <c r="FOI33" s="3"/>
      <c r="FOJ33" s="3"/>
      <c r="FOK33" s="3"/>
      <c r="FOL33" s="3"/>
      <c r="FOM33" s="3"/>
      <c r="FON33" s="3"/>
      <c r="FOO33" s="3"/>
      <c r="FOP33" s="3"/>
      <c r="FOQ33" s="3"/>
      <c r="FOR33" s="3"/>
      <c r="FOS33" s="3"/>
      <c r="FOT33" s="3"/>
      <c r="FOU33" s="3"/>
      <c r="FOV33" s="3"/>
      <c r="FOW33" s="3"/>
      <c r="FOX33" s="3"/>
      <c r="FOY33" s="3"/>
      <c r="FOZ33" s="3"/>
      <c r="FPA33" s="3"/>
      <c r="FPB33" s="3"/>
      <c r="FPC33" s="3"/>
      <c r="FPD33" s="3"/>
      <c r="FPE33" s="3"/>
      <c r="FPF33" s="3"/>
      <c r="FPG33" s="3"/>
      <c r="FPH33" s="3"/>
      <c r="FPI33" s="3"/>
      <c r="FPJ33" s="3"/>
      <c r="FPK33" s="3"/>
      <c r="FPL33" s="3"/>
      <c r="FPM33" s="3"/>
      <c r="FPN33" s="3"/>
      <c r="FPO33" s="3"/>
      <c r="FPP33" s="3"/>
      <c r="FPQ33" s="3"/>
      <c r="FPR33" s="3"/>
      <c r="FPS33" s="3"/>
      <c r="FPT33" s="3"/>
      <c r="FPU33" s="3"/>
      <c r="FPV33" s="3"/>
      <c r="FPW33" s="3"/>
      <c r="FPX33" s="3"/>
      <c r="FPY33" s="3"/>
      <c r="FPZ33" s="3"/>
      <c r="FQA33" s="3"/>
      <c r="FQB33" s="3"/>
      <c r="FQC33" s="3"/>
      <c r="FQD33" s="3"/>
      <c r="FQE33" s="3"/>
      <c r="FQF33" s="3"/>
      <c r="FQG33" s="3"/>
      <c r="FQH33" s="3"/>
      <c r="FQI33" s="3"/>
      <c r="FQJ33" s="3"/>
      <c r="FQK33" s="3"/>
      <c r="FQL33" s="3"/>
      <c r="FQM33" s="3"/>
      <c r="FQN33" s="3"/>
      <c r="FQO33" s="3"/>
      <c r="FQP33" s="3"/>
      <c r="FQQ33" s="3"/>
      <c r="FQR33" s="3"/>
      <c r="FQS33" s="3"/>
      <c r="FQT33" s="3"/>
      <c r="FQU33" s="3"/>
      <c r="FQV33" s="3"/>
      <c r="FQW33" s="3"/>
      <c r="FQX33" s="3"/>
      <c r="FQY33" s="3"/>
      <c r="FQZ33" s="3"/>
      <c r="FRA33" s="3"/>
      <c r="FRB33" s="3"/>
      <c r="FRC33" s="3"/>
      <c r="FRD33" s="3"/>
      <c r="FRE33" s="3"/>
      <c r="FRF33" s="3"/>
      <c r="FRG33" s="3"/>
      <c r="FRH33" s="3"/>
      <c r="FRI33" s="3"/>
      <c r="FRJ33" s="3"/>
      <c r="FRK33" s="3"/>
      <c r="FRL33" s="3"/>
      <c r="FRM33" s="3"/>
      <c r="FRN33" s="3"/>
      <c r="FRO33" s="3"/>
      <c r="FRP33" s="3"/>
      <c r="FRQ33" s="3"/>
      <c r="FRR33" s="3"/>
      <c r="FRS33" s="3"/>
      <c r="FRT33" s="3"/>
      <c r="FRU33" s="3"/>
      <c r="FRV33" s="3"/>
      <c r="FRW33" s="3"/>
      <c r="FRX33" s="3"/>
      <c r="FRY33" s="3"/>
      <c r="FRZ33" s="3"/>
      <c r="FSA33" s="3"/>
      <c r="FSB33" s="3"/>
      <c r="FSC33" s="3"/>
      <c r="FSD33" s="3"/>
      <c r="FSE33" s="3"/>
      <c r="FSF33" s="3"/>
      <c r="FSG33" s="3"/>
      <c r="FSH33" s="3"/>
      <c r="FSI33" s="3"/>
      <c r="FSJ33" s="3"/>
      <c r="FSK33" s="3"/>
      <c r="FSL33" s="3"/>
      <c r="FSM33" s="3"/>
      <c r="FSN33" s="3"/>
      <c r="FSO33" s="3"/>
      <c r="FSP33" s="3"/>
      <c r="FSQ33" s="3"/>
      <c r="FSR33" s="3"/>
      <c r="FSS33" s="3"/>
      <c r="FST33" s="3"/>
      <c r="FSU33" s="3"/>
      <c r="FSV33" s="3"/>
      <c r="FSW33" s="3"/>
      <c r="FSX33" s="3"/>
      <c r="FSY33" s="3"/>
      <c r="FSZ33" s="3"/>
      <c r="FTA33" s="3"/>
      <c r="FTB33" s="3"/>
      <c r="FTC33" s="3"/>
      <c r="FTD33" s="3"/>
      <c r="FTE33" s="3"/>
      <c r="FTF33" s="3"/>
      <c r="FTG33" s="3"/>
      <c r="FTH33" s="3"/>
      <c r="FTI33" s="3"/>
      <c r="FTJ33" s="3"/>
      <c r="FTK33" s="3"/>
      <c r="FTL33" s="3"/>
      <c r="FTM33" s="3"/>
      <c r="FTN33" s="3"/>
      <c r="FTO33" s="3"/>
      <c r="FTP33" s="3"/>
      <c r="FTQ33" s="3"/>
      <c r="FTR33" s="3"/>
      <c r="FTS33" s="3"/>
      <c r="FTT33" s="3"/>
      <c r="FTU33" s="3"/>
      <c r="FTV33" s="3"/>
      <c r="FTW33" s="3"/>
      <c r="FTX33" s="3"/>
      <c r="FTY33" s="3"/>
      <c r="FTZ33" s="3"/>
      <c r="FUA33" s="3"/>
      <c r="FUB33" s="3"/>
      <c r="FUC33" s="3"/>
      <c r="FUD33" s="3"/>
      <c r="FUE33" s="3"/>
      <c r="FUF33" s="3"/>
      <c r="FUG33" s="3"/>
      <c r="FUH33" s="3"/>
      <c r="FUI33" s="3"/>
      <c r="FUJ33" s="3"/>
      <c r="FUK33" s="3"/>
      <c r="FUL33" s="3"/>
      <c r="FUM33" s="3"/>
      <c r="FUN33" s="3"/>
      <c r="FUO33" s="3"/>
      <c r="FUP33" s="3"/>
      <c r="FUQ33" s="3"/>
      <c r="FUR33" s="3"/>
      <c r="FUS33" s="3"/>
      <c r="FUT33" s="3"/>
      <c r="FUU33" s="3"/>
      <c r="FUV33" s="3"/>
      <c r="FUW33" s="3"/>
      <c r="FUX33" s="3"/>
      <c r="FUY33" s="3"/>
      <c r="FUZ33" s="3"/>
      <c r="FVA33" s="3"/>
      <c r="FVB33" s="3"/>
      <c r="FVC33" s="3"/>
      <c r="FVD33" s="3"/>
      <c r="FVE33" s="3"/>
      <c r="FVF33" s="3"/>
      <c r="FVG33" s="3"/>
      <c r="FVH33" s="3"/>
      <c r="FVI33" s="3"/>
      <c r="FVJ33" s="3"/>
      <c r="FVK33" s="3"/>
      <c r="FVL33" s="3"/>
      <c r="FVM33" s="3"/>
      <c r="FVN33" s="3"/>
      <c r="FVO33" s="3"/>
      <c r="FVP33" s="3"/>
      <c r="FVQ33" s="3"/>
      <c r="FVR33" s="3"/>
      <c r="FVS33" s="3"/>
      <c r="FVT33" s="3"/>
      <c r="FVU33" s="3"/>
      <c r="FVV33" s="3"/>
      <c r="FVW33" s="3"/>
      <c r="FVX33" s="3"/>
      <c r="FVY33" s="3"/>
      <c r="FVZ33" s="3"/>
      <c r="FWA33" s="3"/>
      <c r="FWB33" s="3"/>
      <c r="FWC33" s="3"/>
      <c r="FWD33" s="3"/>
      <c r="FWE33" s="3"/>
      <c r="FWF33" s="3"/>
      <c r="FWG33" s="3"/>
      <c r="FWH33" s="3"/>
      <c r="FWI33" s="3"/>
      <c r="FWJ33" s="3"/>
      <c r="FWK33" s="3"/>
      <c r="FWL33" s="3"/>
      <c r="FWM33" s="3"/>
      <c r="FWN33" s="3"/>
      <c r="FWO33" s="3"/>
      <c r="FWP33" s="3"/>
      <c r="FWQ33" s="3"/>
      <c r="FWR33" s="3"/>
      <c r="FWS33" s="3"/>
      <c r="FWT33" s="3"/>
      <c r="FWU33" s="3"/>
      <c r="FWV33" s="3"/>
      <c r="FWW33" s="3"/>
      <c r="FWX33" s="3"/>
      <c r="FWY33" s="3"/>
      <c r="FWZ33" s="3"/>
      <c r="FXA33" s="3"/>
      <c r="FXB33" s="3"/>
      <c r="FXC33" s="3"/>
      <c r="FXD33" s="3"/>
      <c r="FXE33" s="3"/>
      <c r="FXF33" s="3"/>
      <c r="FXG33" s="3"/>
      <c r="FXH33" s="3"/>
      <c r="FXI33" s="3"/>
      <c r="FXJ33" s="3"/>
      <c r="FXK33" s="3"/>
      <c r="FXL33" s="3"/>
      <c r="FXM33" s="3"/>
      <c r="FXN33" s="3"/>
      <c r="FXO33" s="3"/>
      <c r="FXP33" s="3"/>
      <c r="FXQ33" s="3"/>
      <c r="FXR33" s="3"/>
      <c r="FXS33" s="3"/>
      <c r="FXT33" s="3"/>
      <c r="FXU33" s="3"/>
      <c r="FXV33" s="3"/>
      <c r="FXW33" s="3"/>
      <c r="FXX33" s="3"/>
      <c r="FXY33" s="3"/>
      <c r="FXZ33" s="3"/>
      <c r="FYA33" s="3"/>
      <c r="FYB33" s="3"/>
      <c r="FYC33" s="3"/>
      <c r="FYD33" s="3"/>
      <c r="FYE33" s="3"/>
      <c r="FYF33" s="3"/>
      <c r="FYG33" s="3"/>
      <c r="FYH33" s="3"/>
      <c r="FYI33" s="3"/>
      <c r="FYJ33" s="3"/>
      <c r="FYK33" s="3"/>
      <c r="FYL33" s="3"/>
      <c r="FYM33" s="3"/>
      <c r="FYN33" s="3"/>
      <c r="FYO33" s="3"/>
      <c r="FYP33" s="3"/>
      <c r="FYQ33" s="3"/>
      <c r="FYR33" s="3"/>
      <c r="FYS33" s="3"/>
      <c r="FYT33" s="3"/>
      <c r="FYU33" s="3"/>
      <c r="FYV33" s="3"/>
      <c r="FYW33" s="3"/>
      <c r="FYX33" s="3"/>
      <c r="FYY33" s="3"/>
      <c r="FYZ33" s="3"/>
      <c r="FZA33" s="3"/>
      <c r="FZB33" s="3"/>
      <c r="FZC33" s="3"/>
      <c r="FZD33" s="3"/>
      <c r="FZE33" s="3"/>
      <c r="FZF33" s="3"/>
      <c r="FZG33" s="3"/>
      <c r="FZH33" s="3"/>
      <c r="FZI33" s="3"/>
      <c r="FZJ33" s="3"/>
      <c r="FZK33" s="3"/>
      <c r="FZL33" s="3"/>
      <c r="FZM33" s="3"/>
      <c r="FZN33" s="3"/>
      <c r="FZO33" s="3"/>
      <c r="FZP33" s="3"/>
      <c r="FZQ33" s="3"/>
      <c r="FZR33" s="3"/>
      <c r="FZS33" s="3"/>
      <c r="FZT33" s="3"/>
      <c r="FZU33" s="3"/>
      <c r="FZV33" s="3"/>
      <c r="FZW33" s="3"/>
      <c r="FZX33" s="3"/>
      <c r="FZY33" s="3"/>
      <c r="FZZ33" s="3"/>
      <c r="GAA33" s="3"/>
      <c r="GAB33" s="3"/>
      <c r="GAC33" s="3"/>
      <c r="GAD33" s="3"/>
      <c r="GAE33" s="3"/>
      <c r="GAF33" s="3"/>
      <c r="GAG33" s="3"/>
      <c r="GAH33" s="3"/>
      <c r="GAI33" s="3"/>
      <c r="GAJ33" s="3"/>
      <c r="GAK33" s="3"/>
      <c r="GAL33" s="3"/>
      <c r="GAM33" s="3"/>
      <c r="GAN33" s="3"/>
      <c r="GAO33" s="3"/>
      <c r="GAP33" s="3"/>
      <c r="GAQ33" s="3"/>
      <c r="GAR33" s="3"/>
      <c r="GAS33" s="3"/>
      <c r="GAT33" s="3"/>
      <c r="GAU33" s="3"/>
      <c r="GAV33" s="3"/>
      <c r="GAW33" s="3"/>
      <c r="GAX33" s="3"/>
      <c r="GAY33" s="3"/>
      <c r="GAZ33" s="3"/>
      <c r="GBA33" s="3"/>
      <c r="GBB33" s="3"/>
      <c r="GBC33" s="3"/>
      <c r="GBD33" s="3"/>
      <c r="GBE33" s="3"/>
      <c r="GBF33" s="3"/>
      <c r="GBG33" s="3"/>
      <c r="GBH33" s="3"/>
      <c r="GBI33" s="3"/>
      <c r="GBJ33" s="3"/>
      <c r="GBK33" s="3"/>
      <c r="GBL33" s="3"/>
      <c r="GBM33" s="3"/>
      <c r="GBN33" s="3"/>
      <c r="GBO33" s="3"/>
      <c r="GBP33" s="3"/>
      <c r="GBQ33" s="3"/>
      <c r="GBR33" s="3"/>
      <c r="GBS33" s="3"/>
      <c r="GBT33" s="3"/>
      <c r="GBU33" s="3"/>
      <c r="GBV33" s="3"/>
      <c r="GBW33" s="3"/>
      <c r="GBX33" s="3"/>
      <c r="GBY33" s="3"/>
      <c r="GBZ33" s="3"/>
      <c r="GCA33" s="3"/>
      <c r="GCB33" s="3"/>
      <c r="GCC33" s="3"/>
      <c r="GCD33" s="3"/>
      <c r="GCE33" s="3"/>
      <c r="GCF33" s="3"/>
      <c r="GCG33" s="3"/>
      <c r="GCH33" s="3"/>
      <c r="GCI33" s="3"/>
      <c r="GCJ33" s="3"/>
      <c r="GCK33" s="3"/>
      <c r="GCL33" s="3"/>
      <c r="GCM33" s="3"/>
      <c r="GCN33" s="3"/>
      <c r="GCO33" s="3"/>
      <c r="GCP33" s="3"/>
      <c r="GCQ33" s="3"/>
      <c r="GCR33" s="3"/>
      <c r="GCS33" s="3"/>
      <c r="GCT33" s="3"/>
      <c r="GCU33" s="3"/>
      <c r="GCV33" s="3"/>
      <c r="GCW33" s="3"/>
      <c r="GCX33" s="3"/>
      <c r="GCY33" s="3"/>
      <c r="GCZ33" s="3"/>
      <c r="GDA33" s="3"/>
      <c r="GDB33" s="3"/>
      <c r="GDC33" s="3"/>
      <c r="GDD33" s="3"/>
      <c r="GDE33" s="3"/>
      <c r="GDF33" s="3"/>
      <c r="GDG33" s="3"/>
      <c r="GDH33" s="3"/>
      <c r="GDI33" s="3"/>
      <c r="GDJ33" s="3"/>
      <c r="GDK33" s="3"/>
      <c r="GDL33" s="3"/>
      <c r="GDM33" s="3"/>
      <c r="GDN33" s="3"/>
      <c r="GDO33" s="3"/>
      <c r="GDP33" s="3"/>
      <c r="GDQ33" s="3"/>
      <c r="GDR33" s="3"/>
      <c r="GDS33" s="3"/>
      <c r="GDT33" s="3"/>
      <c r="GDU33" s="3"/>
      <c r="GDV33" s="3"/>
      <c r="GDW33" s="3"/>
      <c r="GDX33" s="3"/>
      <c r="GDY33" s="3"/>
      <c r="GDZ33" s="3"/>
      <c r="GEA33" s="3"/>
      <c r="GEB33" s="3"/>
      <c r="GEC33" s="3"/>
      <c r="GED33" s="3"/>
      <c r="GEE33" s="3"/>
      <c r="GEF33" s="3"/>
      <c r="GEG33" s="3"/>
      <c r="GEH33" s="3"/>
      <c r="GEI33" s="3"/>
      <c r="GEJ33" s="3"/>
      <c r="GEK33" s="3"/>
      <c r="GEL33" s="3"/>
      <c r="GEM33" s="3"/>
      <c r="GEN33" s="3"/>
      <c r="GEO33" s="3"/>
      <c r="GEP33" s="3"/>
      <c r="GEQ33" s="3"/>
      <c r="GER33" s="3"/>
      <c r="GES33" s="3"/>
      <c r="GET33" s="3"/>
      <c r="GEU33" s="3"/>
      <c r="GEV33" s="3"/>
      <c r="GEW33" s="3"/>
      <c r="GEX33" s="3"/>
      <c r="GEY33" s="3"/>
      <c r="GEZ33" s="3"/>
      <c r="GFA33" s="3"/>
      <c r="GFB33" s="3"/>
      <c r="GFC33" s="3"/>
      <c r="GFD33" s="3"/>
      <c r="GFE33" s="3"/>
      <c r="GFF33" s="3"/>
      <c r="GFG33" s="3"/>
      <c r="GFH33" s="3"/>
      <c r="GFI33" s="3"/>
      <c r="GFJ33" s="3"/>
      <c r="GFK33" s="3"/>
      <c r="GFL33" s="3"/>
      <c r="GFM33" s="3"/>
      <c r="GFN33" s="3"/>
      <c r="GFO33" s="3"/>
      <c r="GFP33" s="3"/>
      <c r="GFQ33" s="3"/>
      <c r="GFR33" s="3"/>
      <c r="GFS33" s="3"/>
      <c r="GFT33" s="3"/>
      <c r="GFU33" s="3"/>
      <c r="GFV33" s="3"/>
      <c r="GFW33" s="3"/>
      <c r="GFX33" s="3"/>
      <c r="GFY33" s="3"/>
      <c r="GFZ33" s="3"/>
      <c r="GGA33" s="3"/>
      <c r="GGB33" s="3"/>
      <c r="GGC33" s="3"/>
      <c r="GGD33" s="3"/>
      <c r="GGE33" s="3"/>
      <c r="GGF33" s="3"/>
      <c r="GGG33" s="3"/>
      <c r="GGH33" s="3"/>
      <c r="GGI33" s="3"/>
      <c r="GGJ33" s="3"/>
      <c r="GGK33" s="3"/>
      <c r="GGL33" s="3"/>
      <c r="GGM33" s="3"/>
      <c r="GGN33" s="3"/>
      <c r="GGO33" s="3"/>
      <c r="GGP33" s="3"/>
      <c r="GGQ33" s="3"/>
      <c r="GGR33" s="3"/>
      <c r="GGS33" s="3"/>
      <c r="GGT33" s="3"/>
      <c r="GGU33" s="3"/>
      <c r="GGV33" s="3"/>
      <c r="GGW33" s="3"/>
      <c r="GGX33" s="3"/>
      <c r="GGY33" s="3"/>
      <c r="GGZ33" s="3"/>
      <c r="GHA33" s="3"/>
      <c r="GHB33" s="3"/>
      <c r="GHC33" s="3"/>
      <c r="GHD33" s="3"/>
      <c r="GHE33" s="3"/>
      <c r="GHF33" s="3"/>
      <c r="GHG33" s="3"/>
      <c r="GHH33" s="3"/>
      <c r="GHI33" s="3"/>
      <c r="GHJ33" s="3"/>
      <c r="GHK33" s="3"/>
      <c r="GHL33" s="3"/>
      <c r="GHM33" s="3"/>
      <c r="GHN33" s="3"/>
      <c r="GHO33" s="3"/>
      <c r="GHP33" s="3"/>
      <c r="GHQ33" s="3"/>
      <c r="GHR33" s="3"/>
      <c r="GHS33" s="3"/>
      <c r="GHT33" s="3"/>
      <c r="GHU33" s="3"/>
      <c r="GHV33" s="3"/>
      <c r="GHW33" s="3"/>
      <c r="GHX33" s="3"/>
      <c r="GHY33" s="3"/>
      <c r="GHZ33" s="3"/>
      <c r="GIA33" s="3"/>
      <c r="GIB33" s="3"/>
      <c r="GIC33" s="3"/>
      <c r="GID33" s="3"/>
      <c r="GIE33" s="3"/>
      <c r="GIF33" s="3"/>
      <c r="GIG33" s="3"/>
      <c r="GIH33" s="3"/>
      <c r="GII33" s="3"/>
      <c r="GIJ33" s="3"/>
      <c r="GIK33" s="3"/>
      <c r="GIL33" s="3"/>
      <c r="GIM33" s="3"/>
      <c r="GIN33" s="3"/>
      <c r="GIO33" s="3"/>
      <c r="GIP33" s="3"/>
      <c r="GIQ33" s="3"/>
      <c r="GIR33" s="3"/>
      <c r="GIS33" s="3"/>
      <c r="GIT33" s="3"/>
      <c r="GIU33" s="3"/>
      <c r="GIV33" s="3"/>
      <c r="GIW33" s="3"/>
      <c r="GIX33" s="3"/>
      <c r="GIY33" s="3"/>
      <c r="GIZ33" s="3"/>
      <c r="GJA33" s="3"/>
      <c r="GJB33" s="3"/>
      <c r="GJC33" s="3"/>
      <c r="GJD33" s="3"/>
      <c r="GJE33" s="3"/>
      <c r="GJF33" s="3"/>
      <c r="GJG33" s="3"/>
      <c r="GJH33" s="3"/>
      <c r="GJI33" s="3"/>
      <c r="GJJ33" s="3"/>
      <c r="GJK33" s="3"/>
      <c r="GJL33" s="3"/>
      <c r="GJM33" s="3"/>
      <c r="GJN33" s="3"/>
      <c r="GJO33" s="3"/>
      <c r="GJP33" s="3"/>
      <c r="GJQ33" s="3"/>
      <c r="GJR33" s="3"/>
      <c r="GJS33" s="3"/>
      <c r="GJT33" s="3"/>
      <c r="GJU33" s="3"/>
      <c r="GJV33" s="3"/>
      <c r="GJW33" s="3"/>
      <c r="GJX33" s="3"/>
      <c r="GJY33" s="3"/>
      <c r="GJZ33" s="3"/>
      <c r="GKA33" s="3"/>
      <c r="GKB33" s="3"/>
      <c r="GKC33" s="3"/>
      <c r="GKD33" s="3"/>
      <c r="GKE33" s="3"/>
      <c r="GKF33" s="3"/>
      <c r="GKG33" s="3"/>
      <c r="GKH33" s="3"/>
      <c r="GKI33" s="3"/>
      <c r="GKJ33" s="3"/>
      <c r="GKK33" s="3"/>
      <c r="GKL33" s="3"/>
      <c r="GKM33" s="3"/>
      <c r="GKN33" s="3"/>
      <c r="GKO33" s="3"/>
      <c r="GKP33" s="3"/>
      <c r="GKQ33" s="3"/>
      <c r="GKR33" s="3"/>
      <c r="GKS33" s="3"/>
      <c r="GKT33" s="3"/>
      <c r="GKU33" s="3"/>
      <c r="GKV33" s="3"/>
      <c r="GKW33" s="3"/>
      <c r="GKX33" s="3"/>
      <c r="GKY33" s="3"/>
      <c r="GKZ33" s="3"/>
      <c r="GLA33" s="3"/>
      <c r="GLB33" s="3"/>
      <c r="GLC33" s="3"/>
      <c r="GLD33" s="3"/>
      <c r="GLE33" s="3"/>
      <c r="GLF33" s="3"/>
      <c r="GLG33" s="3"/>
      <c r="GLH33" s="3"/>
      <c r="GLI33" s="3"/>
      <c r="GLJ33" s="3"/>
      <c r="GLK33" s="3"/>
      <c r="GLL33" s="3"/>
      <c r="GLM33" s="3"/>
      <c r="GLN33" s="3"/>
      <c r="GLO33" s="3"/>
      <c r="GLP33" s="3"/>
      <c r="GLQ33" s="3"/>
      <c r="GLR33" s="3"/>
      <c r="GLS33" s="3"/>
      <c r="GLT33" s="3"/>
      <c r="GLU33" s="3"/>
      <c r="GLV33" s="3"/>
      <c r="GLW33" s="3"/>
      <c r="GLX33" s="3"/>
      <c r="GLY33" s="3"/>
      <c r="GLZ33" s="3"/>
      <c r="GMA33" s="3"/>
      <c r="GMB33" s="3"/>
      <c r="GMC33" s="3"/>
      <c r="GMD33" s="3"/>
      <c r="GME33" s="3"/>
      <c r="GMF33" s="3"/>
      <c r="GMG33" s="3"/>
      <c r="GMH33" s="3"/>
      <c r="GMI33" s="3"/>
      <c r="GMJ33" s="3"/>
      <c r="GMK33" s="3"/>
      <c r="GML33" s="3"/>
      <c r="GMM33" s="3"/>
      <c r="GMN33" s="3"/>
      <c r="GMO33" s="3"/>
      <c r="GMP33" s="3"/>
      <c r="GMQ33" s="3"/>
      <c r="GMR33" s="3"/>
      <c r="GMS33" s="3"/>
      <c r="GMT33" s="3"/>
      <c r="GMU33" s="3"/>
      <c r="GMV33" s="3"/>
      <c r="GMW33" s="3"/>
      <c r="GMX33" s="3"/>
      <c r="GMY33" s="3"/>
      <c r="GMZ33" s="3"/>
      <c r="GNA33" s="3"/>
      <c r="GNB33" s="3"/>
      <c r="GNC33" s="3"/>
      <c r="GND33" s="3"/>
      <c r="GNE33" s="3"/>
      <c r="GNF33" s="3"/>
      <c r="GNG33" s="3"/>
      <c r="GNH33" s="3"/>
      <c r="GNI33" s="3"/>
      <c r="GNJ33" s="3"/>
      <c r="GNK33" s="3"/>
      <c r="GNL33" s="3"/>
      <c r="GNM33" s="3"/>
      <c r="GNN33" s="3"/>
      <c r="GNO33" s="3"/>
      <c r="GNP33" s="3"/>
      <c r="GNQ33" s="3"/>
      <c r="GNR33" s="3"/>
      <c r="GNS33" s="3"/>
      <c r="GNT33" s="3"/>
      <c r="GNU33" s="3"/>
      <c r="GNV33" s="3"/>
      <c r="GNW33" s="3"/>
      <c r="GNX33" s="3"/>
      <c r="GNY33" s="3"/>
      <c r="GNZ33" s="3"/>
      <c r="GOA33" s="3"/>
      <c r="GOB33" s="3"/>
      <c r="GOC33" s="3"/>
      <c r="GOD33" s="3"/>
      <c r="GOE33" s="3"/>
      <c r="GOF33" s="3"/>
      <c r="GOG33" s="3"/>
      <c r="GOH33" s="3"/>
      <c r="GOI33" s="3"/>
      <c r="GOJ33" s="3"/>
      <c r="GOK33" s="3"/>
      <c r="GOL33" s="3"/>
      <c r="GOM33" s="3"/>
      <c r="GON33" s="3"/>
      <c r="GOO33" s="3"/>
      <c r="GOP33" s="3"/>
      <c r="GOQ33" s="3"/>
      <c r="GOR33" s="3"/>
      <c r="GOS33" s="3"/>
      <c r="GOT33" s="3"/>
      <c r="GOU33" s="3"/>
      <c r="GOV33" s="3"/>
      <c r="GOW33" s="3"/>
      <c r="GOX33" s="3"/>
      <c r="GOY33" s="3"/>
      <c r="GOZ33" s="3"/>
      <c r="GPA33" s="3"/>
      <c r="GPB33" s="3"/>
      <c r="GPC33" s="3"/>
      <c r="GPD33" s="3"/>
      <c r="GPE33" s="3"/>
      <c r="GPF33" s="3"/>
      <c r="GPG33" s="3"/>
      <c r="GPH33" s="3"/>
      <c r="GPI33" s="3"/>
      <c r="GPJ33" s="3"/>
      <c r="GPK33" s="3"/>
      <c r="GPL33" s="3"/>
      <c r="GPM33" s="3"/>
      <c r="GPN33" s="3"/>
      <c r="GPO33" s="3"/>
      <c r="GPP33" s="3"/>
      <c r="GPQ33" s="3"/>
      <c r="GPR33" s="3"/>
      <c r="GPS33" s="3"/>
      <c r="GPT33" s="3"/>
      <c r="GPU33" s="3"/>
      <c r="GPV33" s="3"/>
      <c r="GPW33" s="3"/>
      <c r="GPX33" s="3"/>
      <c r="GPY33" s="3"/>
      <c r="GPZ33" s="3"/>
      <c r="GQA33" s="3"/>
      <c r="GQB33" s="3"/>
      <c r="GQC33" s="3"/>
      <c r="GQD33" s="3"/>
      <c r="GQE33" s="3"/>
      <c r="GQF33" s="3"/>
      <c r="GQG33" s="3"/>
      <c r="GQH33" s="3"/>
      <c r="GQI33" s="3"/>
      <c r="GQJ33" s="3"/>
      <c r="GQK33" s="3"/>
      <c r="GQL33" s="3"/>
      <c r="GQM33" s="3"/>
      <c r="GQN33" s="3"/>
      <c r="GQO33" s="3"/>
      <c r="GQP33" s="3"/>
      <c r="GQQ33" s="3"/>
      <c r="GQR33" s="3"/>
      <c r="GQS33" s="3"/>
      <c r="GQT33" s="3"/>
      <c r="GQU33" s="3"/>
      <c r="GQV33" s="3"/>
      <c r="GQW33" s="3"/>
      <c r="GQX33" s="3"/>
      <c r="GQY33" s="3"/>
      <c r="GQZ33" s="3"/>
      <c r="GRA33" s="3"/>
      <c r="GRB33" s="3"/>
      <c r="GRC33" s="3"/>
      <c r="GRD33" s="3"/>
      <c r="GRE33" s="3"/>
      <c r="GRF33" s="3"/>
      <c r="GRG33" s="3"/>
      <c r="GRH33" s="3"/>
      <c r="GRI33" s="3"/>
      <c r="GRJ33" s="3"/>
      <c r="GRK33" s="3"/>
      <c r="GRL33" s="3"/>
      <c r="GRM33" s="3"/>
      <c r="GRN33" s="3"/>
      <c r="GRO33" s="3"/>
      <c r="GRP33" s="3"/>
      <c r="GRQ33" s="3"/>
      <c r="GRR33" s="3"/>
      <c r="GRS33" s="3"/>
      <c r="GRT33" s="3"/>
      <c r="GRU33" s="3"/>
      <c r="GRV33" s="3"/>
      <c r="GRW33" s="3"/>
      <c r="GRX33" s="3"/>
      <c r="GRY33" s="3"/>
      <c r="GRZ33" s="3"/>
      <c r="GSA33" s="3"/>
      <c r="GSB33" s="3"/>
      <c r="GSC33" s="3"/>
      <c r="GSD33" s="3"/>
      <c r="GSE33" s="3"/>
      <c r="GSF33" s="3"/>
      <c r="GSG33" s="3"/>
      <c r="GSH33" s="3"/>
      <c r="GSI33" s="3"/>
      <c r="GSJ33" s="3"/>
      <c r="GSK33" s="3"/>
      <c r="GSL33" s="3"/>
      <c r="GSM33" s="3"/>
      <c r="GSN33" s="3"/>
      <c r="GSO33" s="3"/>
      <c r="GSP33" s="3"/>
      <c r="GSQ33" s="3"/>
      <c r="GSR33" s="3"/>
      <c r="GSS33" s="3"/>
      <c r="GST33" s="3"/>
      <c r="GSU33" s="3"/>
      <c r="GSV33" s="3"/>
      <c r="GSW33" s="3"/>
      <c r="GSX33" s="3"/>
      <c r="GSY33" s="3"/>
      <c r="GSZ33" s="3"/>
      <c r="GTA33" s="3"/>
      <c r="GTB33" s="3"/>
      <c r="GTC33" s="3"/>
      <c r="GTD33" s="3"/>
      <c r="GTE33" s="3"/>
      <c r="GTF33" s="3"/>
      <c r="GTG33" s="3"/>
      <c r="GTH33" s="3"/>
      <c r="GTI33" s="3"/>
      <c r="GTJ33" s="3"/>
      <c r="GTK33" s="3"/>
      <c r="GTL33" s="3"/>
      <c r="GTM33" s="3"/>
      <c r="GTN33" s="3"/>
      <c r="GTO33" s="3"/>
      <c r="GTP33" s="3"/>
      <c r="GTQ33" s="3"/>
      <c r="GTR33" s="3"/>
      <c r="GTS33" s="3"/>
      <c r="GTT33" s="3"/>
      <c r="GTU33" s="3"/>
      <c r="GTV33" s="3"/>
      <c r="GTW33" s="3"/>
      <c r="GTX33" s="3"/>
      <c r="GTY33" s="3"/>
      <c r="GTZ33" s="3"/>
      <c r="GUA33" s="3"/>
      <c r="GUB33" s="3"/>
      <c r="GUC33" s="3"/>
      <c r="GUD33" s="3"/>
      <c r="GUE33" s="3"/>
      <c r="GUF33" s="3"/>
      <c r="GUG33" s="3"/>
      <c r="GUH33" s="3"/>
      <c r="GUI33" s="3"/>
      <c r="GUJ33" s="3"/>
      <c r="GUK33" s="3"/>
      <c r="GUL33" s="3"/>
      <c r="GUM33" s="3"/>
      <c r="GUN33" s="3"/>
      <c r="GUO33" s="3"/>
      <c r="GUP33" s="3"/>
      <c r="GUQ33" s="3"/>
      <c r="GUR33" s="3"/>
      <c r="GUS33" s="3"/>
      <c r="GUT33" s="3"/>
      <c r="GUU33" s="3"/>
      <c r="GUV33" s="3"/>
      <c r="GUW33" s="3"/>
      <c r="GUX33" s="3"/>
      <c r="GUY33" s="3"/>
      <c r="GUZ33" s="3"/>
      <c r="GVA33" s="3"/>
      <c r="GVB33" s="3"/>
      <c r="GVC33" s="3"/>
      <c r="GVD33" s="3"/>
      <c r="GVE33" s="3"/>
      <c r="GVF33" s="3"/>
      <c r="GVG33" s="3"/>
      <c r="GVH33" s="3"/>
      <c r="GVI33" s="3"/>
      <c r="GVJ33" s="3"/>
      <c r="GVK33" s="3"/>
      <c r="GVL33" s="3"/>
      <c r="GVM33" s="3"/>
      <c r="GVN33" s="3"/>
      <c r="GVO33" s="3"/>
      <c r="GVP33" s="3"/>
      <c r="GVQ33" s="3"/>
      <c r="GVR33" s="3"/>
      <c r="GVS33" s="3"/>
      <c r="GVT33" s="3"/>
      <c r="GVU33" s="3"/>
      <c r="GVV33" s="3"/>
      <c r="GVW33" s="3"/>
      <c r="GVX33" s="3"/>
      <c r="GVY33" s="3"/>
      <c r="GVZ33" s="3"/>
      <c r="GWA33" s="3"/>
      <c r="GWB33" s="3"/>
      <c r="GWC33" s="3"/>
      <c r="GWD33" s="3"/>
      <c r="GWE33" s="3"/>
      <c r="GWF33" s="3"/>
      <c r="GWG33" s="3"/>
      <c r="GWH33" s="3"/>
      <c r="GWI33" s="3"/>
      <c r="GWJ33" s="3"/>
      <c r="GWK33" s="3"/>
      <c r="GWL33" s="3"/>
      <c r="GWM33" s="3"/>
      <c r="GWN33" s="3"/>
      <c r="GWO33" s="3"/>
      <c r="GWP33" s="3"/>
      <c r="GWQ33" s="3"/>
      <c r="GWR33" s="3"/>
      <c r="GWS33" s="3"/>
      <c r="GWT33" s="3"/>
      <c r="GWU33" s="3"/>
      <c r="GWV33" s="3"/>
      <c r="GWW33" s="3"/>
      <c r="GWX33" s="3"/>
      <c r="GWY33" s="3"/>
      <c r="GWZ33" s="3"/>
      <c r="GXA33" s="3"/>
      <c r="GXB33" s="3"/>
      <c r="GXC33" s="3"/>
      <c r="GXD33" s="3"/>
      <c r="GXE33" s="3"/>
      <c r="GXF33" s="3"/>
      <c r="GXG33" s="3"/>
      <c r="GXH33" s="3"/>
      <c r="GXI33" s="3"/>
      <c r="GXJ33" s="3"/>
      <c r="GXK33" s="3"/>
      <c r="GXL33" s="3"/>
      <c r="GXM33" s="3"/>
      <c r="GXN33" s="3"/>
      <c r="GXO33" s="3"/>
      <c r="GXP33" s="3"/>
      <c r="GXQ33" s="3"/>
      <c r="GXR33" s="3"/>
      <c r="GXS33" s="3"/>
      <c r="GXT33" s="3"/>
      <c r="GXU33" s="3"/>
      <c r="GXV33" s="3"/>
      <c r="GXW33" s="3"/>
      <c r="GXX33" s="3"/>
      <c r="GXY33" s="3"/>
      <c r="GXZ33" s="3"/>
      <c r="GYA33" s="3"/>
      <c r="GYB33" s="3"/>
      <c r="GYC33" s="3"/>
      <c r="GYD33" s="3"/>
      <c r="GYE33" s="3"/>
      <c r="GYF33" s="3"/>
      <c r="GYG33" s="3"/>
      <c r="GYH33" s="3"/>
      <c r="GYI33" s="3"/>
      <c r="GYJ33" s="3"/>
      <c r="GYK33" s="3"/>
      <c r="GYL33" s="3"/>
      <c r="GYM33" s="3"/>
      <c r="GYN33" s="3"/>
      <c r="GYO33" s="3"/>
      <c r="GYP33" s="3"/>
      <c r="GYQ33" s="3"/>
      <c r="GYR33" s="3"/>
      <c r="GYS33" s="3"/>
      <c r="GYT33" s="3"/>
      <c r="GYU33" s="3"/>
      <c r="GYV33" s="3"/>
      <c r="GYW33" s="3"/>
      <c r="GYX33" s="3"/>
      <c r="GYY33" s="3"/>
      <c r="GYZ33" s="3"/>
      <c r="GZA33" s="3"/>
      <c r="GZB33" s="3"/>
      <c r="GZC33" s="3"/>
      <c r="GZD33" s="3"/>
      <c r="GZE33" s="3"/>
      <c r="GZF33" s="3"/>
      <c r="GZG33" s="3"/>
      <c r="GZH33" s="3"/>
      <c r="GZI33" s="3"/>
      <c r="GZJ33" s="3"/>
      <c r="GZK33" s="3"/>
      <c r="GZL33" s="3"/>
      <c r="GZM33" s="3"/>
      <c r="GZN33" s="3"/>
      <c r="GZO33" s="3"/>
      <c r="GZP33" s="3"/>
      <c r="GZQ33" s="3"/>
      <c r="GZR33" s="3"/>
      <c r="GZS33" s="3"/>
      <c r="GZT33" s="3"/>
      <c r="GZU33" s="3"/>
      <c r="GZV33" s="3"/>
      <c r="GZW33" s="3"/>
      <c r="GZX33" s="3"/>
      <c r="GZY33" s="3"/>
      <c r="GZZ33" s="3"/>
      <c r="HAA33" s="3"/>
      <c r="HAB33" s="3"/>
      <c r="HAC33" s="3"/>
      <c r="HAD33" s="3"/>
      <c r="HAE33" s="3"/>
      <c r="HAF33" s="3"/>
      <c r="HAG33" s="3"/>
      <c r="HAH33" s="3"/>
      <c r="HAI33" s="3"/>
      <c r="HAJ33" s="3"/>
      <c r="HAK33" s="3"/>
      <c r="HAL33" s="3"/>
      <c r="HAM33" s="3"/>
      <c r="HAN33" s="3"/>
      <c r="HAO33" s="3"/>
      <c r="HAP33" s="3"/>
      <c r="HAQ33" s="3"/>
      <c r="HAR33" s="3"/>
      <c r="HAS33" s="3"/>
      <c r="HAT33" s="3"/>
      <c r="HAU33" s="3"/>
      <c r="HAV33" s="3"/>
      <c r="HAW33" s="3"/>
      <c r="HAX33" s="3"/>
      <c r="HAY33" s="3"/>
      <c r="HAZ33" s="3"/>
      <c r="HBA33" s="3"/>
      <c r="HBB33" s="3"/>
      <c r="HBC33" s="3"/>
      <c r="HBD33" s="3"/>
      <c r="HBE33" s="3"/>
      <c r="HBF33" s="3"/>
      <c r="HBG33" s="3"/>
      <c r="HBH33" s="3"/>
      <c r="HBI33" s="3"/>
      <c r="HBJ33" s="3"/>
      <c r="HBK33" s="3"/>
      <c r="HBL33" s="3"/>
      <c r="HBM33" s="3"/>
      <c r="HBN33" s="3"/>
      <c r="HBO33" s="3"/>
      <c r="HBP33" s="3"/>
      <c r="HBQ33" s="3"/>
      <c r="HBR33" s="3"/>
      <c r="HBS33" s="3"/>
      <c r="HBT33" s="3"/>
      <c r="HBU33" s="3"/>
      <c r="HBV33" s="3"/>
      <c r="HBW33" s="3"/>
      <c r="HBX33" s="3"/>
      <c r="HBY33" s="3"/>
      <c r="HBZ33" s="3"/>
      <c r="HCA33" s="3"/>
      <c r="HCB33" s="3"/>
      <c r="HCC33" s="3"/>
      <c r="HCD33" s="3"/>
      <c r="HCE33" s="3"/>
      <c r="HCF33" s="3"/>
      <c r="HCG33" s="3"/>
      <c r="HCH33" s="3"/>
      <c r="HCI33" s="3"/>
      <c r="HCJ33" s="3"/>
      <c r="HCK33" s="3"/>
      <c r="HCL33" s="3"/>
      <c r="HCM33" s="3"/>
      <c r="HCN33" s="3"/>
      <c r="HCO33" s="3"/>
      <c r="HCP33" s="3"/>
      <c r="HCQ33" s="3"/>
      <c r="HCR33" s="3"/>
      <c r="HCS33" s="3"/>
      <c r="HCT33" s="3"/>
      <c r="HCU33" s="3"/>
      <c r="HCV33" s="3"/>
      <c r="HCW33" s="3"/>
      <c r="HCX33" s="3"/>
      <c r="HCY33" s="3"/>
      <c r="HCZ33" s="3"/>
      <c r="HDA33" s="3"/>
      <c r="HDB33" s="3"/>
      <c r="HDC33" s="3"/>
      <c r="HDD33" s="3"/>
      <c r="HDE33" s="3"/>
      <c r="HDF33" s="3"/>
      <c r="HDG33" s="3"/>
      <c r="HDH33" s="3"/>
      <c r="HDI33" s="3"/>
      <c r="HDJ33" s="3"/>
      <c r="HDK33" s="3"/>
      <c r="HDL33" s="3"/>
      <c r="HDM33" s="3"/>
      <c r="HDN33" s="3"/>
      <c r="HDO33" s="3"/>
      <c r="HDP33" s="3"/>
      <c r="HDQ33" s="3"/>
      <c r="HDR33" s="3"/>
      <c r="HDS33" s="3"/>
      <c r="HDT33" s="3"/>
      <c r="HDU33" s="3"/>
      <c r="HDV33" s="3"/>
      <c r="HDW33" s="3"/>
      <c r="HDX33" s="3"/>
      <c r="HDY33" s="3"/>
      <c r="HDZ33" s="3"/>
      <c r="HEA33" s="3"/>
      <c r="HEB33" s="3"/>
      <c r="HEC33" s="3"/>
      <c r="HED33" s="3"/>
      <c r="HEE33" s="3"/>
      <c r="HEF33" s="3"/>
      <c r="HEG33" s="3"/>
      <c r="HEH33" s="3"/>
      <c r="HEI33" s="3"/>
      <c r="HEJ33" s="3"/>
      <c r="HEK33" s="3"/>
      <c r="HEL33" s="3"/>
      <c r="HEM33" s="3"/>
      <c r="HEN33" s="3"/>
      <c r="HEO33" s="3"/>
      <c r="HEP33" s="3"/>
      <c r="HEQ33" s="3"/>
      <c r="HER33" s="3"/>
      <c r="HES33" s="3"/>
      <c r="HET33" s="3"/>
      <c r="HEU33" s="3"/>
      <c r="HEV33" s="3"/>
      <c r="HEW33" s="3"/>
      <c r="HEX33" s="3"/>
      <c r="HEY33" s="3"/>
      <c r="HEZ33" s="3"/>
      <c r="HFA33" s="3"/>
      <c r="HFB33" s="3"/>
      <c r="HFC33" s="3"/>
      <c r="HFD33" s="3"/>
      <c r="HFE33" s="3"/>
      <c r="HFF33" s="3"/>
      <c r="HFG33" s="3"/>
      <c r="HFH33" s="3"/>
      <c r="HFI33" s="3"/>
      <c r="HFJ33" s="3"/>
      <c r="HFK33" s="3"/>
      <c r="HFL33" s="3"/>
      <c r="HFM33" s="3"/>
      <c r="HFN33" s="3"/>
      <c r="HFO33" s="3"/>
      <c r="HFP33" s="3"/>
      <c r="HFQ33" s="3"/>
      <c r="HFR33" s="3"/>
      <c r="HFS33" s="3"/>
      <c r="HFT33" s="3"/>
      <c r="HFU33" s="3"/>
      <c r="HFV33" s="3"/>
      <c r="HFW33" s="3"/>
      <c r="HFX33" s="3"/>
      <c r="HFY33" s="3"/>
      <c r="HFZ33" s="3"/>
      <c r="HGA33" s="3"/>
      <c r="HGB33" s="3"/>
      <c r="HGC33" s="3"/>
      <c r="HGD33" s="3"/>
      <c r="HGE33" s="3"/>
      <c r="HGF33" s="3"/>
      <c r="HGG33" s="3"/>
      <c r="HGH33" s="3"/>
      <c r="HGI33" s="3"/>
      <c r="HGJ33" s="3"/>
      <c r="HGK33" s="3"/>
      <c r="HGL33" s="3"/>
      <c r="HGM33" s="3"/>
      <c r="HGN33" s="3"/>
      <c r="HGO33" s="3"/>
      <c r="HGP33" s="3"/>
      <c r="HGQ33" s="3"/>
      <c r="HGR33" s="3"/>
      <c r="HGS33" s="3"/>
      <c r="HGT33" s="3"/>
      <c r="HGU33" s="3"/>
      <c r="HGV33" s="3"/>
      <c r="HGW33" s="3"/>
      <c r="HGX33" s="3"/>
      <c r="HGY33" s="3"/>
      <c r="HGZ33" s="3"/>
      <c r="HHA33" s="3"/>
      <c r="HHB33" s="3"/>
      <c r="HHC33" s="3"/>
      <c r="HHD33" s="3"/>
      <c r="HHE33" s="3"/>
      <c r="HHF33" s="3"/>
      <c r="HHG33" s="3"/>
      <c r="HHH33" s="3"/>
      <c r="HHI33" s="3"/>
      <c r="HHJ33" s="3"/>
      <c r="HHK33" s="3"/>
      <c r="HHL33" s="3"/>
      <c r="HHM33" s="3"/>
      <c r="HHN33" s="3"/>
      <c r="HHO33" s="3"/>
      <c r="HHP33" s="3"/>
      <c r="HHQ33" s="3"/>
      <c r="HHR33" s="3"/>
      <c r="HHS33" s="3"/>
      <c r="HHT33" s="3"/>
      <c r="HHU33" s="3"/>
      <c r="HHV33" s="3"/>
      <c r="HHW33" s="3"/>
      <c r="HHX33" s="3"/>
      <c r="HHY33" s="3"/>
      <c r="HHZ33" s="3"/>
      <c r="HIA33" s="3"/>
      <c r="HIB33" s="3"/>
      <c r="HIC33" s="3"/>
      <c r="HID33" s="3"/>
      <c r="HIE33" s="3"/>
      <c r="HIF33" s="3"/>
      <c r="HIG33" s="3"/>
      <c r="HIH33" s="3"/>
      <c r="HII33" s="3"/>
      <c r="HIJ33" s="3"/>
      <c r="HIK33" s="3"/>
      <c r="HIL33" s="3"/>
      <c r="HIM33" s="3"/>
      <c r="HIN33" s="3"/>
      <c r="HIO33" s="3"/>
      <c r="HIP33" s="3"/>
      <c r="HIQ33" s="3"/>
      <c r="HIR33" s="3"/>
      <c r="HIS33" s="3"/>
      <c r="HIT33" s="3"/>
      <c r="HIU33" s="3"/>
      <c r="HIV33" s="3"/>
      <c r="HIW33" s="3"/>
      <c r="HIX33" s="3"/>
      <c r="HIY33" s="3"/>
      <c r="HIZ33" s="3"/>
      <c r="HJA33" s="3"/>
      <c r="HJB33" s="3"/>
      <c r="HJC33" s="3"/>
      <c r="HJD33" s="3"/>
      <c r="HJE33" s="3"/>
      <c r="HJF33" s="3"/>
      <c r="HJG33" s="3"/>
      <c r="HJH33" s="3"/>
      <c r="HJI33" s="3"/>
      <c r="HJJ33" s="3"/>
      <c r="HJK33" s="3"/>
      <c r="HJL33" s="3"/>
      <c r="HJM33" s="3"/>
      <c r="HJN33" s="3"/>
      <c r="HJO33" s="3"/>
      <c r="HJP33" s="3"/>
      <c r="HJQ33" s="3"/>
      <c r="HJR33" s="3"/>
      <c r="HJS33" s="3"/>
      <c r="HJT33" s="3"/>
      <c r="HJU33" s="3"/>
      <c r="HJV33" s="3"/>
      <c r="HJW33" s="3"/>
      <c r="HJX33" s="3"/>
      <c r="HJY33" s="3"/>
      <c r="HJZ33" s="3"/>
      <c r="HKA33" s="3"/>
      <c r="HKB33" s="3"/>
      <c r="HKC33" s="3"/>
      <c r="HKD33" s="3"/>
      <c r="HKE33" s="3"/>
      <c r="HKF33" s="3"/>
      <c r="HKG33" s="3"/>
      <c r="HKH33" s="3"/>
      <c r="HKI33" s="3"/>
      <c r="HKJ33" s="3"/>
      <c r="HKK33" s="3"/>
      <c r="HKL33" s="3"/>
      <c r="HKM33" s="3"/>
      <c r="HKN33" s="3"/>
      <c r="HKO33" s="3"/>
      <c r="HKP33" s="3"/>
      <c r="HKQ33" s="3"/>
      <c r="HKR33" s="3"/>
      <c r="HKS33" s="3"/>
      <c r="HKT33" s="3"/>
      <c r="HKU33" s="3"/>
      <c r="HKV33" s="3"/>
      <c r="HKW33" s="3"/>
      <c r="HKX33" s="3"/>
      <c r="HKY33" s="3"/>
      <c r="HKZ33" s="3"/>
      <c r="HLA33" s="3"/>
      <c r="HLB33" s="3"/>
      <c r="HLC33" s="3"/>
      <c r="HLD33" s="3"/>
      <c r="HLE33" s="3"/>
      <c r="HLF33" s="3"/>
      <c r="HLG33" s="3"/>
      <c r="HLH33" s="3"/>
      <c r="HLI33" s="3"/>
      <c r="HLJ33" s="3"/>
      <c r="HLK33" s="3"/>
      <c r="HLL33" s="3"/>
      <c r="HLM33" s="3"/>
      <c r="HLN33" s="3"/>
      <c r="HLO33" s="3"/>
      <c r="HLP33" s="3"/>
      <c r="HLQ33" s="3"/>
      <c r="HLR33" s="3"/>
      <c r="HLS33" s="3"/>
      <c r="HLT33" s="3"/>
      <c r="HLU33" s="3"/>
      <c r="HLV33" s="3"/>
      <c r="HLW33" s="3"/>
      <c r="HLX33" s="3"/>
      <c r="HLY33" s="3"/>
      <c r="HLZ33" s="3"/>
      <c r="HMA33" s="3"/>
      <c r="HMB33" s="3"/>
      <c r="HMC33" s="3"/>
      <c r="HMD33" s="3"/>
      <c r="HME33" s="3"/>
      <c r="HMF33" s="3"/>
      <c r="HMG33" s="3"/>
      <c r="HMH33" s="3"/>
      <c r="HMI33" s="3"/>
      <c r="HMJ33" s="3"/>
      <c r="HMK33" s="3"/>
      <c r="HML33" s="3"/>
      <c r="HMM33" s="3"/>
      <c r="HMN33" s="3"/>
      <c r="HMO33" s="3"/>
      <c r="HMP33" s="3"/>
      <c r="HMQ33" s="3"/>
      <c r="HMR33" s="3"/>
      <c r="HMS33" s="3"/>
      <c r="HMT33" s="3"/>
      <c r="HMU33" s="3"/>
      <c r="HMV33" s="3"/>
      <c r="HMW33" s="3"/>
      <c r="HMX33" s="3"/>
      <c r="HMY33" s="3"/>
      <c r="HMZ33" s="3"/>
      <c r="HNA33" s="3"/>
      <c r="HNB33" s="3"/>
      <c r="HNC33" s="3"/>
      <c r="HND33" s="3"/>
      <c r="HNE33" s="3"/>
      <c r="HNF33" s="3"/>
      <c r="HNG33" s="3"/>
      <c r="HNH33" s="3"/>
      <c r="HNI33" s="3"/>
      <c r="HNJ33" s="3"/>
      <c r="HNK33" s="3"/>
      <c r="HNL33" s="3"/>
      <c r="HNM33" s="3"/>
      <c r="HNN33" s="3"/>
      <c r="HNO33" s="3"/>
      <c r="HNP33" s="3"/>
      <c r="HNQ33" s="3"/>
      <c r="HNR33" s="3"/>
      <c r="HNS33" s="3"/>
      <c r="HNT33" s="3"/>
      <c r="HNU33" s="3"/>
      <c r="HNV33" s="3"/>
      <c r="HNW33" s="3"/>
      <c r="HNX33" s="3"/>
      <c r="HNY33" s="3"/>
      <c r="HNZ33" s="3"/>
      <c r="HOA33" s="3"/>
      <c r="HOB33" s="3"/>
      <c r="HOC33" s="3"/>
      <c r="HOD33" s="3"/>
      <c r="HOE33" s="3"/>
      <c r="HOF33" s="3"/>
      <c r="HOG33" s="3"/>
      <c r="HOH33" s="3"/>
      <c r="HOI33" s="3"/>
      <c r="HOJ33" s="3"/>
      <c r="HOK33" s="3"/>
      <c r="HOL33" s="3"/>
      <c r="HOM33" s="3"/>
      <c r="HON33" s="3"/>
      <c r="HOO33" s="3"/>
      <c r="HOP33" s="3"/>
      <c r="HOQ33" s="3"/>
      <c r="HOR33" s="3"/>
      <c r="HOS33" s="3"/>
      <c r="HOT33" s="3"/>
      <c r="HOU33" s="3"/>
      <c r="HOV33" s="3"/>
      <c r="HOW33" s="3"/>
      <c r="HOX33" s="3"/>
      <c r="HOY33" s="3"/>
      <c r="HOZ33" s="3"/>
      <c r="HPA33" s="3"/>
      <c r="HPB33" s="3"/>
      <c r="HPC33" s="3"/>
      <c r="HPD33" s="3"/>
      <c r="HPE33" s="3"/>
      <c r="HPF33" s="3"/>
      <c r="HPG33" s="3"/>
      <c r="HPH33" s="3"/>
      <c r="HPI33" s="3"/>
      <c r="HPJ33" s="3"/>
      <c r="HPK33" s="3"/>
      <c r="HPL33" s="3"/>
      <c r="HPM33" s="3"/>
      <c r="HPN33" s="3"/>
      <c r="HPO33" s="3"/>
      <c r="HPP33" s="3"/>
      <c r="HPQ33" s="3"/>
      <c r="HPR33" s="3"/>
      <c r="HPS33" s="3"/>
      <c r="HPT33" s="3"/>
      <c r="HPU33" s="3"/>
      <c r="HPV33" s="3"/>
      <c r="HPW33" s="3"/>
      <c r="HPX33" s="3"/>
      <c r="HPY33" s="3"/>
      <c r="HPZ33" s="3"/>
      <c r="HQA33" s="3"/>
      <c r="HQB33" s="3"/>
      <c r="HQC33" s="3"/>
      <c r="HQD33" s="3"/>
      <c r="HQE33" s="3"/>
      <c r="HQF33" s="3"/>
      <c r="HQG33" s="3"/>
      <c r="HQH33" s="3"/>
      <c r="HQI33" s="3"/>
      <c r="HQJ33" s="3"/>
      <c r="HQK33" s="3"/>
      <c r="HQL33" s="3"/>
      <c r="HQM33" s="3"/>
      <c r="HQN33" s="3"/>
      <c r="HQO33" s="3"/>
      <c r="HQP33" s="3"/>
      <c r="HQQ33" s="3"/>
      <c r="HQR33" s="3"/>
      <c r="HQS33" s="3"/>
      <c r="HQT33" s="3"/>
      <c r="HQU33" s="3"/>
      <c r="HQV33" s="3"/>
      <c r="HQW33" s="3"/>
      <c r="HQX33" s="3"/>
      <c r="HQY33" s="3"/>
      <c r="HQZ33" s="3"/>
      <c r="HRA33" s="3"/>
      <c r="HRB33" s="3"/>
      <c r="HRC33" s="3"/>
      <c r="HRD33" s="3"/>
      <c r="HRE33" s="3"/>
      <c r="HRF33" s="3"/>
      <c r="HRG33" s="3"/>
      <c r="HRH33" s="3"/>
      <c r="HRI33" s="3"/>
      <c r="HRJ33" s="3"/>
      <c r="HRK33" s="3"/>
      <c r="HRL33" s="3"/>
      <c r="HRM33" s="3"/>
      <c r="HRN33" s="3"/>
      <c r="HRO33" s="3"/>
      <c r="HRP33" s="3"/>
      <c r="HRQ33" s="3"/>
      <c r="HRR33" s="3"/>
      <c r="HRS33" s="3"/>
      <c r="HRT33" s="3"/>
      <c r="HRU33" s="3"/>
      <c r="HRV33" s="3"/>
      <c r="HRW33" s="3"/>
      <c r="HRX33" s="3"/>
      <c r="HRY33" s="3"/>
      <c r="HRZ33" s="3"/>
      <c r="HSA33" s="3"/>
      <c r="HSB33" s="3"/>
      <c r="HSC33" s="3"/>
      <c r="HSD33" s="3"/>
      <c r="HSE33" s="3"/>
      <c r="HSF33" s="3"/>
      <c r="HSG33" s="3"/>
      <c r="HSH33" s="3"/>
      <c r="HSI33" s="3"/>
      <c r="HSJ33" s="3"/>
      <c r="HSK33" s="3"/>
      <c r="HSL33" s="3"/>
      <c r="HSM33" s="3"/>
      <c r="HSN33" s="3"/>
      <c r="HSO33" s="3"/>
      <c r="HSP33" s="3"/>
      <c r="HSQ33" s="3"/>
      <c r="HSR33" s="3"/>
      <c r="HSS33" s="3"/>
      <c r="HST33" s="3"/>
      <c r="HSU33" s="3"/>
      <c r="HSV33" s="3"/>
      <c r="HSW33" s="3"/>
      <c r="HSX33" s="3"/>
      <c r="HSY33" s="3"/>
      <c r="HSZ33" s="3"/>
      <c r="HTA33" s="3"/>
      <c r="HTB33" s="3"/>
      <c r="HTC33" s="3"/>
      <c r="HTD33" s="3"/>
      <c r="HTE33" s="3"/>
      <c r="HTF33" s="3"/>
      <c r="HTG33" s="3"/>
      <c r="HTH33" s="3"/>
      <c r="HTI33" s="3"/>
      <c r="HTJ33" s="3"/>
      <c r="HTK33" s="3"/>
      <c r="HTL33" s="3"/>
      <c r="HTM33" s="3"/>
      <c r="HTN33" s="3"/>
      <c r="HTO33" s="3"/>
      <c r="HTP33" s="3"/>
      <c r="HTQ33" s="3"/>
      <c r="HTR33" s="3"/>
      <c r="HTS33" s="3"/>
      <c r="HTT33" s="3"/>
      <c r="HTU33" s="3"/>
      <c r="HTV33" s="3"/>
      <c r="HTW33" s="3"/>
      <c r="HTX33" s="3"/>
      <c r="HTY33" s="3"/>
      <c r="HTZ33" s="3"/>
      <c r="HUA33" s="3"/>
      <c r="HUB33" s="3"/>
      <c r="HUC33" s="3"/>
      <c r="HUD33" s="3"/>
      <c r="HUE33" s="3"/>
      <c r="HUF33" s="3"/>
      <c r="HUG33" s="3"/>
      <c r="HUH33" s="3"/>
      <c r="HUI33" s="3"/>
      <c r="HUJ33" s="3"/>
      <c r="HUK33" s="3"/>
      <c r="HUL33" s="3"/>
      <c r="HUM33" s="3"/>
      <c r="HUN33" s="3"/>
      <c r="HUO33" s="3"/>
      <c r="HUP33" s="3"/>
      <c r="HUQ33" s="3"/>
      <c r="HUR33" s="3"/>
      <c r="HUS33" s="3"/>
      <c r="HUT33" s="3"/>
      <c r="HUU33" s="3"/>
      <c r="HUV33" s="3"/>
      <c r="HUW33" s="3"/>
      <c r="HUX33" s="3"/>
      <c r="HUY33" s="3"/>
      <c r="HUZ33" s="3"/>
      <c r="HVA33" s="3"/>
      <c r="HVB33" s="3"/>
      <c r="HVC33" s="3"/>
      <c r="HVD33" s="3"/>
      <c r="HVE33" s="3"/>
      <c r="HVF33" s="3"/>
      <c r="HVG33" s="3"/>
      <c r="HVH33" s="3"/>
      <c r="HVI33" s="3"/>
      <c r="HVJ33" s="3"/>
      <c r="HVK33" s="3"/>
      <c r="HVL33" s="3"/>
      <c r="HVM33" s="3"/>
      <c r="HVN33" s="3"/>
      <c r="HVO33" s="3"/>
      <c r="HVP33" s="3"/>
      <c r="HVQ33" s="3"/>
      <c r="HVR33" s="3"/>
      <c r="HVS33" s="3"/>
      <c r="HVT33" s="3"/>
      <c r="HVU33" s="3"/>
      <c r="HVV33" s="3"/>
      <c r="HVW33" s="3"/>
      <c r="HVX33" s="3"/>
      <c r="HVY33" s="3"/>
      <c r="HVZ33" s="3"/>
      <c r="HWA33" s="3"/>
      <c r="HWB33" s="3"/>
      <c r="HWC33" s="3"/>
      <c r="HWD33" s="3"/>
      <c r="HWE33" s="3"/>
      <c r="HWF33" s="3"/>
      <c r="HWG33" s="3"/>
      <c r="HWH33" s="3"/>
      <c r="HWI33" s="3"/>
      <c r="HWJ33" s="3"/>
      <c r="HWK33" s="3"/>
      <c r="HWL33" s="3"/>
      <c r="HWM33" s="3"/>
      <c r="HWN33" s="3"/>
      <c r="HWO33" s="3"/>
      <c r="HWP33" s="3"/>
      <c r="HWQ33" s="3"/>
      <c r="HWR33" s="3"/>
      <c r="HWS33" s="3"/>
      <c r="HWT33" s="3"/>
      <c r="HWU33" s="3"/>
      <c r="HWV33" s="3"/>
      <c r="HWW33" s="3"/>
      <c r="HWX33" s="3"/>
      <c r="HWY33" s="3"/>
      <c r="HWZ33" s="3"/>
      <c r="HXA33" s="3"/>
      <c r="HXB33" s="3"/>
      <c r="HXC33" s="3"/>
      <c r="HXD33" s="3"/>
      <c r="HXE33" s="3"/>
      <c r="HXF33" s="3"/>
      <c r="HXG33" s="3"/>
      <c r="HXH33" s="3"/>
      <c r="HXI33" s="3"/>
      <c r="HXJ33" s="3"/>
      <c r="HXK33" s="3"/>
      <c r="HXL33" s="3"/>
      <c r="HXM33" s="3"/>
      <c r="HXN33" s="3"/>
      <c r="HXO33" s="3"/>
      <c r="HXP33" s="3"/>
      <c r="HXQ33" s="3"/>
      <c r="HXR33" s="3"/>
      <c r="HXS33" s="3"/>
      <c r="HXT33" s="3"/>
      <c r="HXU33" s="3"/>
      <c r="HXV33" s="3"/>
      <c r="HXW33" s="3"/>
      <c r="HXX33" s="3"/>
      <c r="HXY33" s="3"/>
      <c r="HXZ33" s="3"/>
      <c r="HYA33" s="3"/>
      <c r="HYB33" s="3"/>
      <c r="HYC33" s="3"/>
      <c r="HYD33" s="3"/>
      <c r="HYE33" s="3"/>
      <c r="HYF33" s="3"/>
      <c r="HYG33" s="3"/>
      <c r="HYH33" s="3"/>
      <c r="HYI33" s="3"/>
      <c r="HYJ33" s="3"/>
      <c r="HYK33" s="3"/>
      <c r="HYL33" s="3"/>
      <c r="HYM33" s="3"/>
      <c r="HYN33" s="3"/>
      <c r="HYO33" s="3"/>
      <c r="HYP33" s="3"/>
      <c r="HYQ33" s="3"/>
      <c r="HYR33" s="3"/>
      <c r="HYS33" s="3"/>
      <c r="HYT33" s="3"/>
      <c r="HYU33" s="3"/>
      <c r="HYV33" s="3"/>
      <c r="HYW33" s="3"/>
      <c r="HYX33" s="3"/>
      <c r="HYY33" s="3"/>
      <c r="HYZ33" s="3"/>
      <c r="HZA33" s="3"/>
      <c r="HZB33" s="3"/>
      <c r="HZC33" s="3"/>
      <c r="HZD33" s="3"/>
      <c r="HZE33" s="3"/>
      <c r="HZF33" s="3"/>
      <c r="HZG33" s="3"/>
      <c r="HZH33" s="3"/>
      <c r="HZI33" s="3"/>
      <c r="HZJ33" s="3"/>
      <c r="HZK33" s="3"/>
      <c r="HZL33" s="3"/>
      <c r="HZM33" s="3"/>
      <c r="HZN33" s="3"/>
      <c r="HZO33" s="3"/>
      <c r="HZP33" s="3"/>
      <c r="HZQ33" s="3"/>
      <c r="HZR33" s="3"/>
      <c r="HZS33" s="3"/>
      <c r="HZT33" s="3"/>
      <c r="HZU33" s="3"/>
      <c r="HZV33" s="3"/>
      <c r="HZW33" s="3"/>
      <c r="HZX33" s="3"/>
      <c r="HZY33" s="3"/>
      <c r="HZZ33" s="3"/>
      <c r="IAA33" s="3"/>
      <c r="IAB33" s="3"/>
      <c r="IAC33" s="3"/>
      <c r="IAD33" s="3"/>
      <c r="IAE33" s="3"/>
      <c r="IAF33" s="3"/>
      <c r="IAG33" s="3"/>
      <c r="IAH33" s="3"/>
      <c r="IAI33" s="3"/>
      <c r="IAJ33" s="3"/>
      <c r="IAK33" s="3"/>
      <c r="IAL33" s="3"/>
      <c r="IAM33" s="3"/>
      <c r="IAN33" s="3"/>
      <c r="IAO33" s="3"/>
      <c r="IAP33" s="3"/>
      <c r="IAQ33" s="3"/>
      <c r="IAR33" s="3"/>
      <c r="IAS33" s="3"/>
      <c r="IAT33" s="3"/>
      <c r="IAU33" s="3"/>
      <c r="IAV33" s="3"/>
      <c r="IAW33" s="3"/>
      <c r="IAX33" s="3"/>
      <c r="IAY33" s="3"/>
      <c r="IAZ33" s="3"/>
      <c r="IBA33" s="3"/>
      <c r="IBB33" s="3"/>
      <c r="IBC33" s="3"/>
      <c r="IBD33" s="3"/>
      <c r="IBE33" s="3"/>
      <c r="IBF33" s="3"/>
      <c r="IBG33" s="3"/>
      <c r="IBH33" s="3"/>
      <c r="IBI33" s="3"/>
      <c r="IBJ33" s="3"/>
      <c r="IBK33" s="3"/>
      <c r="IBL33" s="3"/>
      <c r="IBM33" s="3"/>
      <c r="IBN33" s="3"/>
      <c r="IBO33" s="3"/>
      <c r="IBP33" s="3"/>
      <c r="IBQ33" s="3"/>
      <c r="IBR33" s="3"/>
      <c r="IBS33" s="3"/>
      <c r="IBT33" s="3"/>
      <c r="IBU33" s="3"/>
      <c r="IBV33" s="3"/>
      <c r="IBW33" s="3"/>
      <c r="IBX33" s="3"/>
      <c r="IBY33" s="3"/>
      <c r="IBZ33" s="3"/>
      <c r="ICA33" s="3"/>
      <c r="ICB33" s="3"/>
      <c r="ICC33" s="3"/>
      <c r="ICD33" s="3"/>
      <c r="ICE33" s="3"/>
      <c r="ICF33" s="3"/>
      <c r="ICG33" s="3"/>
      <c r="ICH33" s="3"/>
      <c r="ICI33" s="3"/>
      <c r="ICJ33" s="3"/>
      <c r="ICK33" s="3"/>
      <c r="ICL33" s="3"/>
      <c r="ICM33" s="3"/>
      <c r="ICN33" s="3"/>
      <c r="ICO33" s="3"/>
      <c r="ICP33" s="3"/>
      <c r="ICQ33" s="3"/>
      <c r="ICR33" s="3"/>
      <c r="ICS33" s="3"/>
      <c r="ICT33" s="3"/>
      <c r="ICU33" s="3"/>
      <c r="ICV33" s="3"/>
      <c r="ICW33" s="3"/>
      <c r="ICX33" s="3"/>
      <c r="ICY33" s="3"/>
      <c r="ICZ33" s="3"/>
      <c r="IDA33" s="3"/>
      <c r="IDB33" s="3"/>
      <c r="IDC33" s="3"/>
      <c r="IDD33" s="3"/>
      <c r="IDE33" s="3"/>
      <c r="IDF33" s="3"/>
      <c r="IDG33" s="3"/>
      <c r="IDH33" s="3"/>
      <c r="IDI33" s="3"/>
      <c r="IDJ33" s="3"/>
      <c r="IDK33" s="3"/>
      <c r="IDL33" s="3"/>
      <c r="IDM33" s="3"/>
      <c r="IDN33" s="3"/>
      <c r="IDO33" s="3"/>
      <c r="IDP33" s="3"/>
      <c r="IDQ33" s="3"/>
      <c r="IDR33" s="3"/>
      <c r="IDS33" s="3"/>
      <c r="IDT33" s="3"/>
      <c r="IDU33" s="3"/>
      <c r="IDV33" s="3"/>
      <c r="IDW33" s="3"/>
      <c r="IDX33" s="3"/>
      <c r="IDY33" s="3"/>
      <c r="IDZ33" s="3"/>
      <c r="IEA33" s="3"/>
      <c r="IEB33" s="3"/>
      <c r="IEC33" s="3"/>
      <c r="IED33" s="3"/>
      <c r="IEE33" s="3"/>
      <c r="IEF33" s="3"/>
      <c r="IEG33" s="3"/>
      <c r="IEH33" s="3"/>
      <c r="IEI33" s="3"/>
      <c r="IEJ33" s="3"/>
      <c r="IEK33" s="3"/>
      <c r="IEL33" s="3"/>
      <c r="IEM33" s="3"/>
      <c r="IEN33" s="3"/>
      <c r="IEO33" s="3"/>
      <c r="IEP33" s="3"/>
      <c r="IEQ33" s="3"/>
      <c r="IER33" s="3"/>
      <c r="IES33" s="3"/>
      <c r="IET33" s="3"/>
      <c r="IEU33" s="3"/>
      <c r="IEV33" s="3"/>
      <c r="IEW33" s="3"/>
      <c r="IEX33" s="3"/>
      <c r="IEY33" s="3"/>
      <c r="IEZ33" s="3"/>
      <c r="IFA33" s="3"/>
      <c r="IFB33" s="3"/>
      <c r="IFC33" s="3"/>
      <c r="IFD33" s="3"/>
      <c r="IFE33" s="3"/>
      <c r="IFF33" s="3"/>
      <c r="IFG33" s="3"/>
      <c r="IFH33" s="3"/>
      <c r="IFI33" s="3"/>
      <c r="IFJ33" s="3"/>
      <c r="IFK33" s="3"/>
      <c r="IFL33" s="3"/>
      <c r="IFM33" s="3"/>
      <c r="IFN33" s="3"/>
      <c r="IFO33" s="3"/>
      <c r="IFP33" s="3"/>
      <c r="IFQ33" s="3"/>
      <c r="IFR33" s="3"/>
      <c r="IFS33" s="3"/>
      <c r="IFT33" s="3"/>
      <c r="IFU33" s="3"/>
      <c r="IFV33" s="3"/>
      <c r="IFW33" s="3"/>
      <c r="IFX33" s="3"/>
      <c r="IFY33" s="3"/>
      <c r="IFZ33" s="3"/>
      <c r="IGA33" s="3"/>
      <c r="IGB33" s="3"/>
      <c r="IGC33" s="3"/>
      <c r="IGD33" s="3"/>
      <c r="IGE33" s="3"/>
      <c r="IGF33" s="3"/>
      <c r="IGG33" s="3"/>
      <c r="IGH33" s="3"/>
      <c r="IGI33" s="3"/>
      <c r="IGJ33" s="3"/>
      <c r="IGK33" s="3"/>
      <c r="IGL33" s="3"/>
      <c r="IGM33" s="3"/>
      <c r="IGN33" s="3"/>
      <c r="IGO33" s="3"/>
      <c r="IGP33" s="3"/>
      <c r="IGQ33" s="3"/>
      <c r="IGR33" s="3"/>
      <c r="IGS33" s="3"/>
      <c r="IGT33" s="3"/>
      <c r="IGU33" s="3"/>
      <c r="IGV33" s="3"/>
      <c r="IGW33" s="3"/>
      <c r="IGX33" s="3"/>
      <c r="IGY33" s="3"/>
      <c r="IGZ33" s="3"/>
      <c r="IHA33" s="3"/>
      <c r="IHB33" s="3"/>
      <c r="IHC33" s="3"/>
      <c r="IHD33" s="3"/>
      <c r="IHE33" s="3"/>
      <c r="IHF33" s="3"/>
      <c r="IHG33" s="3"/>
      <c r="IHH33" s="3"/>
      <c r="IHI33" s="3"/>
      <c r="IHJ33" s="3"/>
      <c r="IHK33" s="3"/>
      <c r="IHL33" s="3"/>
      <c r="IHM33" s="3"/>
      <c r="IHN33" s="3"/>
      <c r="IHO33" s="3"/>
      <c r="IHP33" s="3"/>
      <c r="IHQ33" s="3"/>
      <c r="IHR33" s="3"/>
      <c r="IHS33" s="3"/>
      <c r="IHT33" s="3"/>
      <c r="IHU33" s="3"/>
      <c r="IHV33" s="3"/>
      <c r="IHW33" s="3"/>
      <c r="IHX33" s="3"/>
      <c r="IHY33" s="3"/>
      <c r="IHZ33" s="3"/>
      <c r="IIA33" s="3"/>
      <c r="IIB33" s="3"/>
      <c r="IIC33" s="3"/>
      <c r="IID33" s="3"/>
      <c r="IIE33" s="3"/>
      <c r="IIF33" s="3"/>
      <c r="IIG33" s="3"/>
      <c r="IIH33" s="3"/>
      <c r="III33" s="3"/>
      <c r="IIJ33" s="3"/>
      <c r="IIK33" s="3"/>
      <c r="IIL33" s="3"/>
      <c r="IIM33" s="3"/>
      <c r="IIN33" s="3"/>
      <c r="IIO33" s="3"/>
      <c r="IIP33" s="3"/>
      <c r="IIQ33" s="3"/>
      <c r="IIR33" s="3"/>
      <c r="IIS33" s="3"/>
      <c r="IIT33" s="3"/>
      <c r="IIU33" s="3"/>
      <c r="IIV33" s="3"/>
      <c r="IIW33" s="3"/>
      <c r="IIX33" s="3"/>
      <c r="IIY33" s="3"/>
      <c r="IIZ33" s="3"/>
      <c r="IJA33" s="3"/>
      <c r="IJB33" s="3"/>
      <c r="IJC33" s="3"/>
      <c r="IJD33" s="3"/>
      <c r="IJE33" s="3"/>
      <c r="IJF33" s="3"/>
      <c r="IJG33" s="3"/>
      <c r="IJH33" s="3"/>
      <c r="IJI33" s="3"/>
      <c r="IJJ33" s="3"/>
      <c r="IJK33" s="3"/>
      <c r="IJL33" s="3"/>
      <c r="IJM33" s="3"/>
      <c r="IJN33" s="3"/>
      <c r="IJO33" s="3"/>
      <c r="IJP33" s="3"/>
      <c r="IJQ33" s="3"/>
      <c r="IJR33" s="3"/>
      <c r="IJS33" s="3"/>
      <c r="IJT33" s="3"/>
      <c r="IJU33" s="3"/>
      <c r="IJV33" s="3"/>
      <c r="IJW33" s="3"/>
      <c r="IJX33" s="3"/>
      <c r="IJY33" s="3"/>
      <c r="IJZ33" s="3"/>
      <c r="IKA33" s="3"/>
      <c r="IKB33" s="3"/>
      <c r="IKC33" s="3"/>
      <c r="IKD33" s="3"/>
      <c r="IKE33" s="3"/>
      <c r="IKF33" s="3"/>
      <c r="IKG33" s="3"/>
      <c r="IKH33" s="3"/>
      <c r="IKI33" s="3"/>
      <c r="IKJ33" s="3"/>
      <c r="IKK33" s="3"/>
      <c r="IKL33" s="3"/>
      <c r="IKM33" s="3"/>
      <c r="IKN33" s="3"/>
      <c r="IKO33" s="3"/>
      <c r="IKP33" s="3"/>
      <c r="IKQ33" s="3"/>
      <c r="IKR33" s="3"/>
      <c r="IKS33" s="3"/>
      <c r="IKT33" s="3"/>
      <c r="IKU33" s="3"/>
      <c r="IKV33" s="3"/>
      <c r="IKW33" s="3"/>
      <c r="IKX33" s="3"/>
      <c r="IKY33" s="3"/>
      <c r="IKZ33" s="3"/>
      <c r="ILA33" s="3"/>
      <c r="ILB33" s="3"/>
      <c r="ILC33" s="3"/>
      <c r="ILD33" s="3"/>
      <c r="ILE33" s="3"/>
      <c r="ILF33" s="3"/>
      <c r="ILG33" s="3"/>
      <c r="ILH33" s="3"/>
      <c r="ILI33" s="3"/>
      <c r="ILJ33" s="3"/>
      <c r="ILK33" s="3"/>
      <c r="ILL33" s="3"/>
      <c r="ILM33" s="3"/>
      <c r="ILN33" s="3"/>
      <c r="ILO33" s="3"/>
      <c r="ILP33" s="3"/>
      <c r="ILQ33" s="3"/>
      <c r="ILR33" s="3"/>
      <c r="ILS33" s="3"/>
      <c r="ILT33" s="3"/>
      <c r="ILU33" s="3"/>
      <c r="ILV33" s="3"/>
      <c r="ILW33" s="3"/>
      <c r="ILX33" s="3"/>
      <c r="ILY33" s="3"/>
      <c r="ILZ33" s="3"/>
      <c r="IMA33" s="3"/>
      <c r="IMB33" s="3"/>
      <c r="IMC33" s="3"/>
      <c r="IMD33" s="3"/>
      <c r="IME33" s="3"/>
      <c r="IMF33" s="3"/>
      <c r="IMG33" s="3"/>
      <c r="IMH33" s="3"/>
      <c r="IMI33" s="3"/>
      <c r="IMJ33" s="3"/>
      <c r="IMK33" s="3"/>
      <c r="IML33" s="3"/>
      <c r="IMM33" s="3"/>
      <c r="IMN33" s="3"/>
      <c r="IMO33" s="3"/>
      <c r="IMP33" s="3"/>
      <c r="IMQ33" s="3"/>
      <c r="IMR33" s="3"/>
      <c r="IMS33" s="3"/>
      <c r="IMT33" s="3"/>
      <c r="IMU33" s="3"/>
      <c r="IMV33" s="3"/>
      <c r="IMW33" s="3"/>
      <c r="IMX33" s="3"/>
      <c r="IMY33" s="3"/>
      <c r="IMZ33" s="3"/>
      <c r="INA33" s="3"/>
      <c r="INB33" s="3"/>
      <c r="INC33" s="3"/>
      <c r="IND33" s="3"/>
      <c r="INE33" s="3"/>
      <c r="INF33" s="3"/>
      <c r="ING33" s="3"/>
      <c r="INH33" s="3"/>
      <c r="INI33" s="3"/>
      <c r="INJ33" s="3"/>
      <c r="INK33" s="3"/>
      <c r="INL33" s="3"/>
      <c r="INM33" s="3"/>
      <c r="INN33" s="3"/>
      <c r="INO33" s="3"/>
      <c r="INP33" s="3"/>
      <c r="INQ33" s="3"/>
      <c r="INR33" s="3"/>
      <c r="INS33" s="3"/>
      <c r="INT33" s="3"/>
      <c r="INU33" s="3"/>
      <c r="INV33" s="3"/>
      <c r="INW33" s="3"/>
      <c r="INX33" s="3"/>
      <c r="INY33" s="3"/>
      <c r="INZ33" s="3"/>
      <c r="IOA33" s="3"/>
      <c r="IOB33" s="3"/>
      <c r="IOC33" s="3"/>
      <c r="IOD33" s="3"/>
      <c r="IOE33" s="3"/>
      <c r="IOF33" s="3"/>
      <c r="IOG33" s="3"/>
      <c r="IOH33" s="3"/>
      <c r="IOI33" s="3"/>
      <c r="IOJ33" s="3"/>
      <c r="IOK33" s="3"/>
      <c r="IOL33" s="3"/>
      <c r="IOM33" s="3"/>
      <c r="ION33" s="3"/>
      <c r="IOO33" s="3"/>
      <c r="IOP33" s="3"/>
      <c r="IOQ33" s="3"/>
      <c r="IOR33" s="3"/>
      <c r="IOS33" s="3"/>
      <c r="IOT33" s="3"/>
      <c r="IOU33" s="3"/>
      <c r="IOV33" s="3"/>
      <c r="IOW33" s="3"/>
      <c r="IOX33" s="3"/>
      <c r="IOY33" s="3"/>
      <c r="IOZ33" s="3"/>
      <c r="IPA33" s="3"/>
      <c r="IPB33" s="3"/>
      <c r="IPC33" s="3"/>
      <c r="IPD33" s="3"/>
      <c r="IPE33" s="3"/>
      <c r="IPF33" s="3"/>
      <c r="IPG33" s="3"/>
      <c r="IPH33" s="3"/>
      <c r="IPI33" s="3"/>
      <c r="IPJ33" s="3"/>
      <c r="IPK33" s="3"/>
      <c r="IPL33" s="3"/>
      <c r="IPM33" s="3"/>
      <c r="IPN33" s="3"/>
      <c r="IPO33" s="3"/>
      <c r="IPP33" s="3"/>
      <c r="IPQ33" s="3"/>
      <c r="IPR33" s="3"/>
      <c r="IPS33" s="3"/>
      <c r="IPT33" s="3"/>
      <c r="IPU33" s="3"/>
      <c r="IPV33" s="3"/>
      <c r="IPW33" s="3"/>
      <c r="IPX33" s="3"/>
      <c r="IPY33" s="3"/>
      <c r="IPZ33" s="3"/>
      <c r="IQA33" s="3"/>
      <c r="IQB33" s="3"/>
      <c r="IQC33" s="3"/>
      <c r="IQD33" s="3"/>
      <c r="IQE33" s="3"/>
      <c r="IQF33" s="3"/>
      <c r="IQG33" s="3"/>
      <c r="IQH33" s="3"/>
      <c r="IQI33" s="3"/>
      <c r="IQJ33" s="3"/>
      <c r="IQK33" s="3"/>
      <c r="IQL33" s="3"/>
      <c r="IQM33" s="3"/>
      <c r="IQN33" s="3"/>
      <c r="IQO33" s="3"/>
      <c r="IQP33" s="3"/>
      <c r="IQQ33" s="3"/>
      <c r="IQR33" s="3"/>
      <c r="IQS33" s="3"/>
      <c r="IQT33" s="3"/>
      <c r="IQU33" s="3"/>
      <c r="IQV33" s="3"/>
      <c r="IQW33" s="3"/>
      <c r="IQX33" s="3"/>
      <c r="IQY33" s="3"/>
      <c r="IQZ33" s="3"/>
      <c r="IRA33" s="3"/>
      <c r="IRB33" s="3"/>
      <c r="IRC33" s="3"/>
      <c r="IRD33" s="3"/>
      <c r="IRE33" s="3"/>
      <c r="IRF33" s="3"/>
      <c r="IRG33" s="3"/>
      <c r="IRH33" s="3"/>
      <c r="IRI33" s="3"/>
      <c r="IRJ33" s="3"/>
      <c r="IRK33" s="3"/>
      <c r="IRL33" s="3"/>
      <c r="IRM33" s="3"/>
      <c r="IRN33" s="3"/>
      <c r="IRO33" s="3"/>
      <c r="IRP33" s="3"/>
      <c r="IRQ33" s="3"/>
      <c r="IRR33" s="3"/>
      <c r="IRS33" s="3"/>
      <c r="IRT33" s="3"/>
      <c r="IRU33" s="3"/>
      <c r="IRV33" s="3"/>
      <c r="IRW33" s="3"/>
      <c r="IRX33" s="3"/>
      <c r="IRY33" s="3"/>
      <c r="IRZ33" s="3"/>
      <c r="ISA33" s="3"/>
      <c r="ISB33" s="3"/>
      <c r="ISC33" s="3"/>
      <c r="ISD33" s="3"/>
      <c r="ISE33" s="3"/>
      <c r="ISF33" s="3"/>
      <c r="ISG33" s="3"/>
      <c r="ISH33" s="3"/>
      <c r="ISI33" s="3"/>
      <c r="ISJ33" s="3"/>
      <c r="ISK33" s="3"/>
      <c r="ISL33" s="3"/>
      <c r="ISM33" s="3"/>
      <c r="ISN33" s="3"/>
      <c r="ISO33" s="3"/>
      <c r="ISP33" s="3"/>
      <c r="ISQ33" s="3"/>
      <c r="ISR33" s="3"/>
      <c r="ISS33" s="3"/>
      <c r="IST33" s="3"/>
      <c r="ISU33" s="3"/>
      <c r="ISV33" s="3"/>
      <c r="ISW33" s="3"/>
      <c r="ISX33" s="3"/>
      <c r="ISY33" s="3"/>
      <c r="ISZ33" s="3"/>
      <c r="ITA33" s="3"/>
      <c r="ITB33" s="3"/>
      <c r="ITC33" s="3"/>
      <c r="ITD33" s="3"/>
      <c r="ITE33" s="3"/>
      <c r="ITF33" s="3"/>
      <c r="ITG33" s="3"/>
      <c r="ITH33" s="3"/>
      <c r="ITI33" s="3"/>
      <c r="ITJ33" s="3"/>
      <c r="ITK33" s="3"/>
      <c r="ITL33" s="3"/>
      <c r="ITM33" s="3"/>
      <c r="ITN33" s="3"/>
      <c r="ITO33" s="3"/>
      <c r="ITP33" s="3"/>
      <c r="ITQ33" s="3"/>
      <c r="ITR33" s="3"/>
      <c r="ITS33" s="3"/>
      <c r="ITT33" s="3"/>
      <c r="ITU33" s="3"/>
      <c r="ITV33" s="3"/>
      <c r="ITW33" s="3"/>
      <c r="ITX33" s="3"/>
      <c r="ITY33" s="3"/>
      <c r="ITZ33" s="3"/>
      <c r="IUA33" s="3"/>
      <c r="IUB33" s="3"/>
      <c r="IUC33" s="3"/>
      <c r="IUD33" s="3"/>
      <c r="IUE33" s="3"/>
      <c r="IUF33" s="3"/>
      <c r="IUG33" s="3"/>
      <c r="IUH33" s="3"/>
      <c r="IUI33" s="3"/>
      <c r="IUJ33" s="3"/>
      <c r="IUK33" s="3"/>
      <c r="IUL33" s="3"/>
      <c r="IUM33" s="3"/>
      <c r="IUN33" s="3"/>
      <c r="IUO33" s="3"/>
      <c r="IUP33" s="3"/>
      <c r="IUQ33" s="3"/>
      <c r="IUR33" s="3"/>
      <c r="IUS33" s="3"/>
      <c r="IUT33" s="3"/>
      <c r="IUU33" s="3"/>
      <c r="IUV33" s="3"/>
      <c r="IUW33" s="3"/>
      <c r="IUX33" s="3"/>
      <c r="IUY33" s="3"/>
      <c r="IUZ33" s="3"/>
      <c r="IVA33" s="3"/>
      <c r="IVB33" s="3"/>
      <c r="IVC33" s="3"/>
      <c r="IVD33" s="3"/>
      <c r="IVE33" s="3"/>
      <c r="IVF33" s="3"/>
      <c r="IVG33" s="3"/>
      <c r="IVH33" s="3"/>
      <c r="IVI33" s="3"/>
      <c r="IVJ33" s="3"/>
      <c r="IVK33" s="3"/>
      <c r="IVL33" s="3"/>
      <c r="IVM33" s="3"/>
      <c r="IVN33" s="3"/>
      <c r="IVO33" s="3"/>
      <c r="IVP33" s="3"/>
      <c r="IVQ33" s="3"/>
      <c r="IVR33" s="3"/>
      <c r="IVS33" s="3"/>
      <c r="IVT33" s="3"/>
      <c r="IVU33" s="3"/>
      <c r="IVV33" s="3"/>
      <c r="IVW33" s="3"/>
      <c r="IVX33" s="3"/>
      <c r="IVY33" s="3"/>
      <c r="IVZ33" s="3"/>
      <c r="IWA33" s="3"/>
      <c r="IWB33" s="3"/>
      <c r="IWC33" s="3"/>
      <c r="IWD33" s="3"/>
      <c r="IWE33" s="3"/>
      <c r="IWF33" s="3"/>
      <c r="IWG33" s="3"/>
      <c r="IWH33" s="3"/>
      <c r="IWI33" s="3"/>
      <c r="IWJ33" s="3"/>
      <c r="IWK33" s="3"/>
      <c r="IWL33" s="3"/>
      <c r="IWM33" s="3"/>
      <c r="IWN33" s="3"/>
      <c r="IWO33" s="3"/>
      <c r="IWP33" s="3"/>
      <c r="IWQ33" s="3"/>
      <c r="IWR33" s="3"/>
      <c r="IWS33" s="3"/>
      <c r="IWT33" s="3"/>
      <c r="IWU33" s="3"/>
      <c r="IWV33" s="3"/>
      <c r="IWW33" s="3"/>
      <c r="IWX33" s="3"/>
      <c r="IWY33" s="3"/>
      <c r="IWZ33" s="3"/>
      <c r="IXA33" s="3"/>
      <c r="IXB33" s="3"/>
      <c r="IXC33" s="3"/>
      <c r="IXD33" s="3"/>
      <c r="IXE33" s="3"/>
      <c r="IXF33" s="3"/>
      <c r="IXG33" s="3"/>
      <c r="IXH33" s="3"/>
      <c r="IXI33" s="3"/>
      <c r="IXJ33" s="3"/>
      <c r="IXK33" s="3"/>
      <c r="IXL33" s="3"/>
      <c r="IXM33" s="3"/>
      <c r="IXN33" s="3"/>
      <c r="IXO33" s="3"/>
      <c r="IXP33" s="3"/>
      <c r="IXQ33" s="3"/>
      <c r="IXR33" s="3"/>
      <c r="IXS33" s="3"/>
      <c r="IXT33" s="3"/>
      <c r="IXU33" s="3"/>
      <c r="IXV33" s="3"/>
      <c r="IXW33" s="3"/>
      <c r="IXX33" s="3"/>
      <c r="IXY33" s="3"/>
      <c r="IXZ33" s="3"/>
      <c r="IYA33" s="3"/>
      <c r="IYB33" s="3"/>
      <c r="IYC33" s="3"/>
      <c r="IYD33" s="3"/>
      <c r="IYE33" s="3"/>
      <c r="IYF33" s="3"/>
      <c r="IYG33" s="3"/>
      <c r="IYH33" s="3"/>
      <c r="IYI33" s="3"/>
      <c r="IYJ33" s="3"/>
      <c r="IYK33" s="3"/>
      <c r="IYL33" s="3"/>
      <c r="IYM33" s="3"/>
      <c r="IYN33" s="3"/>
      <c r="IYO33" s="3"/>
      <c r="IYP33" s="3"/>
      <c r="IYQ33" s="3"/>
      <c r="IYR33" s="3"/>
      <c r="IYS33" s="3"/>
      <c r="IYT33" s="3"/>
      <c r="IYU33" s="3"/>
      <c r="IYV33" s="3"/>
      <c r="IYW33" s="3"/>
      <c r="IYX33" s="3"/>
      <c r="IYY33" s="3"/>
      <c r="IYZ33" s="3"/>
      <c r="IZA33" s="3"/>
      <c r="IZB33" s="3"/>
      <c r="IZC33" s="3"/>
      <c r="IZD33" s="3"/>
      <c r="IZE33" s="3"/>
      <c r="IZF33" s="3"/>
      <c r="IZG33" s="3"/>
      <c r="IZH33" s="3"/>
      <c r="IZI33" s="3"/>
      <c r="IZJ33" s="3"/>
      <c r="IZK33" s="3"/>
      <c r="IZL33" s="3"/>
      <c r="IZM33" s="3"/>
      <c r="IZN33" s="3"/>
      <c r="IZO33" s="3"/>
      <c r="IZP33" s="3"/>
      <c r="IZQ33" s="3"/>
      <c r="IZR33" s="3"/>
      <c r="IZS33" s="3"/>
      <c r="IZT33" s="3"/>
      <c r="IZU33" s="3"/>
      <c r="IZV33" s="3"/>
      <c r="IZW33" s="3"/>
      <c r="IZX33" s="3"/>
      <c r="IZY33" s="3"/>
      <c r="IZZ33" s="3"/>
      <c r="JAA33" s="3"/>
      <c r="JAB33" s="3"/>
      <c r="JAC33" s="3"/>
      <c r="JAD33" s="3"/>
      <c r="JAE33" s="3"/>
      <c r="JAF33" s="3"/>
      <c r="JAG33" s="3"/>
      <c r="JAH33" s="3"/>
      <c r="JAI33" s="3"/>
      <c r="JAJ33" s="3"/>
      <c r="JAK33" s="3"/>
      <c r="JAL33" s="3"/>
      <c r="JAM33" s="3"/>
      <c r="JAN33" s="3"/>
      <c r="JAO33" s="3"/>
      <c r="JAP33" s="3"/>
      <c r="JAQ33" s="3"/>
      <c r="JAR33" s="3"/>
      <c r="JAS33" s="3"/>
      <c r="JAT33" s="3"/>
      <c r="JAU33" s="3"/>
      <c r="JAV33" s="3"/>
      <c r="JAW33" s="3"/>
      <c r="JAX33" s="3"/>
      <c r="JAY33" s="3"/>
      <c r="JAZ33" s="3"/>
      <c r="JBA33" s="3"/>
      <c r="JBB33" s="3"/>
      <c r="JBC33" s="3"/>
      <c r="JBD33" s="3"/>
      <c r="JBE33" s="3"/>
      <c r="JBF33" s="3"/>
      <c r="JBG33" s="3"/>
      <c r="JBH33" s="3"/>
      <c r="JBI33" s="3"/>
      <c r="JBJ33" s="3"/>
      <c r="JBK33" s="3"/>
      <c r="JBL33" s="3"/>
      <c r="JBM33" s="3"/>
      <c r="JBN33" s="3"/>
      <c r="JBO33" s="3"/>
      <c r="JBP33" s="3"/>
      <c r="JBQ33" s="3"/>
      <c r="JBR33" s="3"/>
      <c r="JBS33" s="3"/>
      <c r="JBT33" s="3"/>
      <c r="JBU33" s="3"/>
      <c r="JBV33" s="3"/>
      <c r="JBW33" s="3"/>
      <c r="JBX33" s="3"/>
      <c r="JBY33" s="3"/>
      <c r="JBZ33" s="3"/>
      <c r="JCA33" s="3"/>
      <c r="JCB33" s="3"/>
      <c r="JCC33" s="3"/>
      <c r="JCD33" s="3"/>
      <c r="JCE33" s="3"/>
      <c r="JCF33" s="3"/>
      <c r="JCG33" s="3"/>
      <c r="JCH33" s="3"/>
      <c r="JCI33" s="3"/>
      <c r="JCJ33" s="3"/>
      <c r="JCK33" s="3"/>
      <c r="JCL33" s="3"/>
      <c r="JCM33" s="3"/>
      <c r="JCN33" s="3"/>
      <c r="JCO33" s="3"/>
      <c r="JCP33" s="3"/>
      <c r="JCQ33" s="3"/>
      <c r="JCR33" s="3"/>
      <c r="JCS33" s="3"/>
      <c r="JCT33" s="3"/>
      <c r="JCU33" s="3"/>
      <c r="JCV33" s="3"/>
      <c r="JCW33" s="3"/>
      <c r="JCX33" s="3"/>
      <c r="JCY33" s="3"/>
      <c r="JCZ33" s="3"/>
      <c r="JDA33" s="3"/>
      <c r="JDB33" s="3"/>
      <c r="JDC33" s="3"/>
      <c r="JDD33" s="3"/>
      <c r="JDE33" s="3"/>
      <c r="JDF33" s="3"/>
      <c r="JDG33" s="3"/>
      <c r="JDH33" s="3"/>
      <c r="JDI33" s="3"/>
      <c r="JDJ33" s="3"/>
      <c r="JDK33" s="3"/>
      <c r="JDL33" s="3"/>
      <c r="JDM33" s="3"/>
      <c r="JDN33" s="3"/>
      <c r="JDO33" s="3"/>
      <c r="JDP33" s="3"/>
      <c r="JDQ33" s="3"/>
      <c r="JDR33" s="3"/>
      <c r="JDS33" s="3"/>
      <c r="JDT33" s="3"/>
      <c r="JDU33" s="3"/>
      <c r="JDV33" s="3"/>
      <c r="JDW33" s="3"/>
      <c r="JDX33" s="3"/>
      <c r="JDY33" s="3"/>
      <c r="JDZ33" s="3"/>
      <c r="JEA33" s="3"/>
      <c r="JEB33" s="3"/>
      <c r="JEC33" s="3"/>
      <c r="JED33" s="3"/>
      <c r="JEE33" s="3"/>
      <c r="JEF33" s="3"/>
      <c r="JEG33" s="3"/>
      <c r="JEH33" s="3"/>
      <c r="JEI33" s="3"/>
      <c r="JEJ33" s="3"/>
      <c r="JEK33" s="3"/>
      <c r="JEL33" s="3"/>
      <c r="JEM33" s="3"/>
      <c r="JEN33" s="3"/>
      <c r="JEO33" s="3"/>
      <c r="JEP33" s="3"/>
      <c r="JEQ33" s="3"/>
      <c r="JER33" s="3"/>
      <c r="JES33" s="3"/>
      <c r="JET33" s="3"/>
      <c r="JEU33" s="3"/>
      <c r="JEV33" s="3"/>
      <c r="JEW33" s="3"/>
      <c r="JEX33" s="3"/>
      <c r="JEY33" s="3"/>
      <c r="JEZ33" s="3"/>
      <c r="JFA33" s="3"/>
      <c r="JFB33" s="3"/>
      <c r="JFC33" s="3"/>
      <c r="JFD33" s="3"/>
      <c r="JFE33" s="3"/>
      <c r="JFF33" s="3"/>
      <c r="JFG33" s="3"/>
      <c r="JFH33" s="3"/>
      <c r="JFI33" s="3"/>
      <c r="JFJ33" s="3"/>
      <c r="JFK33" s="3"/>
      <c r="JFL33" s="3"/>
      <c r="JFM33" s="3"/>
      <c r="JFN33" s="3"/>
      <c r="JFO33" s="3"/>
      <c r="JFP33" s="3"/>
      <c r="JFQ33" s="3"/>
      <c r="JFR33" s="3"/>
      <c r="JFS33" s="3"/>
      <c r="JFT33" s="3"/>
      <c r="JFU33" s="3"/>
      <c r="JFV33" s="3"/>
      <c r="JFW33" s="3"/>
      <c r="JFX33" s="3"/>
      <c r="JFY33" s="3"/>
      <c r="JFZ33" s="3"/>
      <c r="JGA33" s="3"/>
      <c r="JGB33" s="3"/>
      <c r="JGC33" s="3"/>
      <c r="JGD33" s="3"/>
      <c r="JGE33" s="3"/>
      <c r="JGF33" s="3"/>
      <c r="JGG33" s="3"/>
      <c r="JGH33" s="3"/>
      <c r="JGI33" s="3"/>
      <c r="JGJ33" s="3"/>
      <c r="JGK33" s="3"/>
      <c r="JGL33" s="3"/>
      <c r="JGM33" s="3"/>
      <c r="JGN33" s="3"/>
      <c r="JGO33" s="3"/>
      <c r="JGP33" s="3"/>
      <c r="JGQ33" s="3"/>
      <c r="JGR33" s="3"/>
      <c r="JGS33" s="3"/>
      <c r="JGT33" s="3"/>
      <c r="JGU33" s="3"/>
      <c r="JGV33" s="3"/>
      <c r="JGW33" s="3"/>
      <c r="JGX33" s="3"/>
      <c r="JGY33" s="3"/>
      <c r="JGZ33" s="3"/>
      <c r="JHA33" s="3"/>
      <c r="JHB33" s="3"/>
      <c r="JHC33" s="3"/>
      <c r="JHD33" s="3"/>
      <c r="JHE33" s="3"/>
      <c r="JHF33" s="3"/>
      <c r="JHG33" s="3"/>
      <c r="JHH33" s="3"/>
      <c r="JHI33" s="3"/>
      <c r="JHJ33" s="3"/>
      <c r="JHK33" s="3"/>
      <c r="JHL33" s="3"/>
      <c r="JHM33" s="3"/>
      <c r="JHN33" s="3"/>
      <c r="JHO33" s="3"/>
      <c r="JHP33" s="3"/>
      <c r="JHQ33" s="3"/>
      <c r="JHR33" s="3"/>
      <c r="JHS33" s="3"/>
      <c r="JHT33" s="3"/>
      <c r="JHU33" s="3"/>
      <c r="JHV33" s="3"/>
      <c r="JHW33" s="3"/>
      <c r="JHX33" s="3"/>
      <c r="JHY33" s="3"/>
      <c r="JHZ33" s="3"/>
      <c r="JIA33" s="3"/>
      <c r="JIB33" s="3"/>
      <c r="JIC33" s="3"/>
      <c r="JID33" s="3"/>
      <c r="JIE33" s="3"/>
      <c r="JIF33" s="3"/>
      <c r="JIG33" s="3"/>
      <c r="JIH33" s="3"/>
      <c r="JII33" s="3"/>
      <c r="JIJ33" s="3"/>
      <c r="JIK33" s="3"/>
      <c r="JIL33" s="3"/>
      <c r="JIM33" s="3"/>
      <c r="JIN33" s="3"/>
      <c r="JIO33" s="3"/>
      <c r="JIP33" s="3"/>
      <c r="JIQ33" s="3"/>
      <c r="JIR33" s="3"/>
      <c r="JIS33" s="3"/>
      <c r="JIT33" s="3"/>
      <c r="JIU33" s="3"/>
      <c r="JIV33" s="3"/>
      <c r="JIW33" s="3"/>
      <c r="JIX33" s="3"/>
      <c r="JIY33" s="3"/>
      <c r="JIZ33" s="3"/>
      <c r="JJA33" s="3"/>
      <c r="JJB33" s="3"/>
      <c r="JJC33" s="3"/>
      <c r="JJD33" s="3"/>
      <c r="JJE33" s="3"/>
      <c r="JJF33" s="3"/>
      <c r="JJG33" s="3"/>
      <c r="JJH33" s="3"/>
      <c r="JJI33" s="3"/>
      <c r="JJJ33" s="3"/>
      <c r="JJK33" s="3"/>
      <c r="JJL33" s="3"/>
      <c r="JJM33" s="3"/>
      <c r="JJN33" s="3"/>
      <c r="JJO33" s="3"/>
      <c r="JJP33" s="3"/>
      <c r="JJQ33" s="3"/>
      <c r="JJR33" s="3"/>
      <c r="JJS33" s="3"/>
      <c r="JJT33" s="3"/>
      <c r="JJU33" s="3"/>
      <c r="JJV33" s="3"/>
      <c r="JJW33" s="3"/>
      <c r="JJX33" s="3"/>
      <c r="JJY33" s="3"/>
      <c r="JJZ33" s="3"/>
      <c r="JKA33" s="3"/>
      <c r="JKB33" s="3"/>
      <c r="JKC33" s="3"/>
      <c r="JKD33" s="3"/>
      <c r="JKE33" s="3"/>
      <c r="JKF33" s="3"/>
      <c r="JKG33" s="3"/>
      <c r="JKH33" s="3"/>
      <c r="JKI33" s="3"/>
      <c r="JKJ33" s="3"/>
      <c r="JKK33" s="3"/>
      <c r="JKL33" s="3"/>
      <c r="JKM33" s="3"/>
      <c r="JKN33" s="3"/>
      <c r="JKO33" s="3"/>
      <c r="JKP33" s="3"/>
      <c r="JKQ33" s="3"/>
      <c r="JKR33" s="3"/>
      <c r="JKS33" s="3"/>
      <c r="JKT33" s="3"/>
      <c r="JKU33" s="3"/>
      <c r="JKV33" s="3"/>
      <c r="JKW33" s="3"/>
      <c r="JKX33" s="3"/>
      <c r="JKY33" s="3"/>
      <c r="JKZ33" s="3"/>
      <c r="JLA33" s="3"/>
      <c r="JLB33" s="3"/>
      <c r="JLC33" s="3"/>
      <c r="JLD33" s="3"/>
      <c r="JLE33" s="3"/>
      <c r="JLF33" s="3"/>
      <c r="JLG33" s="3"/>
      <c r="JLH33" s="3"/>
      <c r="JLI33" s="3"/>
      <c r="JLJ33" s="3"/>
      <c r="JLK33" s="3"/>
      <c r="JLL33" s="3"/>
      <c r="JLM33" s="3"/>
      <c r="JLN33" s="3"/>
      <c r="JLO33" s="3"/>
      <c r="JLP33" s="3"/>
      <c r="JLQ33" s="3"/>
      <c r="JLR33" s="3"/>
      <c r="JLS33" s="3"/>
      <c r="JLT33" s="3"/>
      <c r="JLU33" s="3"/>
      <c r="JLV33" s="3"/>
      <c r="JLW33" s="3"/>
      <c r="JLX33" s="3"/>
      <c r="JLY33" s="3"/>
      <c r="JLZ33" s="3"/>
      <c r="JMA33" s="3"/>
      <c r="JMB33" s="3"/>
      <c r="JMC33" s="3"/>
      <c r="JMD33" s="3"/>
      <c r="JME33" s="3"/>
      <c r="JMF33" s="3"/>
      <c r="JMG33" s="3"/>
      <c r="JMH33" s="3"/>
      <c r="JMI33" s="3"/>
      <c r="JMJ33" s="3"/>
      <c r="JMK33" s="3"/>
      <c r="JML33" s="3"/>
      <c r="JMM33" s="3"/>
      <c r="JMN33" s="3"/>
      <c r="JMO33" s="3"/>
      <c r="JMP33" s="3"/>
      <c r="JMQ33" s="3"/>
      <c r="JMR33" s="3"/>
      <c r="JMS33" s="3"/>
      <c r="JMT33" s="3"/>
      <c r="JMU33" s="3"/>
      <c r="JMV33" s="3"/>
      <c r="JMW33" s="3"/>
      <c r="JMX33" s="3"/>
      <c r="JMY33" s="3"/>
      <c r="JMZ33" s="3"/>
      <c r="JNA33" s="3"/>
      <c r="JNB33" s="3"/>
      <c r="JNC33" s="3"/>
      <c r="JND33" s="3"/>
      <c r="JNE33" s="3"/>
      <c r="JNF33" s="3"/>
      <c r="JNG33" s="3"/>
      <c r="JNH33" s="3"/>
      <c r="JNI33" s="3"/>
      <c r="JNJ33" s="3"/>
      <c r="JNK33" s="3"/>
      <c r="JNL33" s="3"/>
      <c r="JNM33" s="3"/>
      <c r="JNN33" s="3"/>
      <c r="JNO33" s="3"/>
      <c r="JNP33" s="3"/>
      <c r="JNQ33" s="3"/>
      <c r="JNR33" s="3"/>
      <c r="JNS33" s="3"/>
      <c r="JNT33" s="3"/>
      <c r="JNU33" s="3"/>
      <c r="JNV33" s="3"/>
      <c r="JNW33" s="3"/>
      <c r="JNX33" s="3"/>
      <c r="JNY33" s="3"/>
      <c r="JNZ33" s="3"/>
      <c r="JOA33" s="3"/>
      <c r="JOB33" s="3"/>
      <c r="JOC33" s="3"/>
      <c r="JOD33" s="3"/>
      <c r="JOE33" s="3"/>
      <c r="JOF33" s="3"/>
      <c r="JOG33" s="3"/>
      <c r="JOH33" s="3"/>
      <c r="JOI33" s="3"/>
      <c r="JOJ33" s="3"/>
      <c r="JOK33" s="3"/>
      <c r="JOL33" s="3"/>
      <c r="JOM33" s="3"/>
      <c r="JON33" s="3"/>
      <c r="JOO33" s="3"/>
      <c r="JOP33" s="3"/>
      <c r="JOQ33" s="3"/>
      <c r="JOR33" s="3"/>
      <c r="JOS33" s="3"/>
      <c r="JOT33" s="3"/>
      <c r="JOU33" s="3"/>
      <c r="JOV33" s="3"/>
      <c r="JOW33" s="3"/>
      <c r="JOX33" s="3"/>
      <c r="JOY33" s="3"/>
      <c r="JOZ33" s="3"/>
      <c r="JPA33" s="3"/>
      <c r="JPB33" s="3"/>
      <c r="JPC33" s="3"/>
      <c r="JPD33" s="3"/>
      <c r="JPE33" s="3"/>
      <c r="JPF33" s="3"/>
      <c r="JPG33" s="3"/>
      <c r="JPH33" s="3"/>
      <c r="JPI33" s="3"/>
      <c r="JPJ33" s="3"/>
      <c r="JPK33" s="3"/>
      <c r="JPL33" s="3"/>
      <c r="JPM33" s="3"/>
      <c r="JPN33" s="3"/>
      <c r="JPO33" s="3"/>
      <c r="JPP33" s="3"/>
      <c r="JPQ33" s="3"/>
      <c r="JPR33" s="3"/>
      <c r="JPS33" s="3"/>
      <c r="JPT33" s="3"/>
      <c r="JPU33" s="3"/>
      <c r="JPV33" s="3"/>
      <c r="JPW33" s="3"/>
      <c r="JPX33" s="3"/>
      <c r="JPY33" s="3"/>
      <c r="JPZ33" s="3"/>
      <c r="JQA33" s="3"/>
      <c r="JQB33" s="3"/>
      <c r="JQC33" s="3"/>
      <c r="JQD33" s="3"/>
      <c r="JQE33" s="3"/>
      <c r="JQF33" s="3"/>
      <c r="JQG33" s="3"/>
      <c r="JQH33" s="3"/>
      <c r="JQI33" s="3"/>
      <c r="JQJ33" s="3"/>
      <c r="JQK33" s="3"/>
      <c r="JQL33" s="3"/>
      <c r="JQM33" s="3"/>
      <c r="JQN33" s="3"/>
      <c r="JQO33" s="3"/>
      <c r="JQP33" s="3"/>
      <c r="JQQ33" s="3"/>
      <c r="JQR33" s="3"/>
      <c r="JQS33" s="3"/>
      <c r="JQT33" s="3"/>
      <c r="JQU33" s="3"/>
      <c r="JQV33" s="3"/>
      <c r="JQW33" s="3"/>
      <c r="JQX33" s="3"/>
      <c r="JQY33" s="3"/>
      <c r="JQZ33" s="3"/>
      <c r="JRA33" s="3"/>
      <c r="JRB33" s="3"/>
      <c r="JRC33" s="3"/>
      <c r="JRD33" s="3"/>
      <c r="JRE33" s="3"/>
      <c r="JRF33" s="3"/>
      <c r="JRG33" s="3"/>
      <c r="JRH33" s="3"/>
      <c r="JRI33" s="3"/>
      <c r="JRJ33" s="3"/>
      <c r="JRK33" s="3"/>
      <c r="JRL33" s="3"/>
      <c r="JRM33" s="3"/>
      <c r="JRN33" s="3"/>
      <c r="JRO33" s="3"/>
      <c r="JRP33" s="3"/>
      <c r="JRQ33" s="3"/>
      <c r="JRR33" s="3"/>
      <c r="JRS33" s="3"/>
      <c r="JRT33" s="3"/>
      <c r="JRU33" s="3"/>
      <c r="JRV33" s="3"/>
      <c r="JRW33" s="3"/>
      <c r="JRX33" s="3"/>
      <c r="JRY33" s="3"/>
      <c r="JRZ33" s="3"/>
      <c r="JSA33" s="3"/>
      <c r="JSB33" s="3"/>
      <c r="JSC33" s="3"/>
      <c r="JSD33" s="3"/>
      <c r="JSE33" s="3"/>
      <c r="JSF33" s="3"/>
      <c r="JSG33" s="3"/>
      <c r="JSH33" s="3"/>
      <c r="JSI33" s="3"/>
      <c r="JSJ33" s="3"/>
      <c r="JSK33" s="3"/>
      <c r="JSL33" s="3"/>
      <c r="JSM33" s="3"/>
      <c r="JSN33" s="3"/>
      <c r="JSO33" s="3"/>
      <c r="JSP33" s="3"/>
      <c r="JSQ33" s="3"/>
      <c r="JSR33" s="3"/>
      <c r="JSS33" s="3"/>
      <c r="JST33" s="3"/>
      <c r="JSU33" s="3"/>
      <c r="JSV33" s="3"/>
      <c r="JSW33" s="3"/>
      <c r="JSX33" s="3"/>
      <c r="JSY33" s="3"/>
      <c r="JSZ33" s="3"/>
      <c r="JTA33" s="3"/>
      <c r="JTB33" s="3"/>
      <c r="JTC33" s="3"/>
      <c r="JTD33" s="3"/>
      <c r="JTE33" s="3"/>
      <c r="JTF33" s="3"/>
      <c r="JTG33" s="3"/>
      <c r="JTH33" s="3"/>
      <c r="JTI33" s="3"/>
      <c r="JTJ33" s="3"/>
      <c r="JTK33" s="3"/>
      <c r="JTL33" s="3"/>
      <c r="JTM33" s="3"/>
      <c r="JTN33" s="3"/>
      <c r="JTO33" s="3"/>
      <c r="JTP33" s="3"/>
      <c r="JTQ33" s="3"/>
      <c r="JTR33" s="3"/>
      <c r="JTS33" s="3"/>
      <c r="JTT33" s="3"/>
      <c r="JTU33" s="3"/>
      <c r="JTV33" s="3"/>
      <c r="JTW33" s="3"/>
      <c r="JTX33" s="3"/>
      <c r="JTY33" s="3"/>
      <c r="JTZ33" s="3"/>
      <c r="JUA33" s="3"/>
      <c r="JUB33" s="3"/>
      <c r="JUC33" s="3"/>
      <c r="JUD33" s="3"/>
      <c r="JUE33" s="3"/>
      <c r="JUF33" s="3"/>
      <c r="JUG33" s="3"/>
      <c r="JUH33" s="3"/>
      <c r="JUI33" s="3"/>
      <c r="JUJ33" s="3"/>
      <c r="JUK33" s="3"/>
      <c r="JUL33" s="3"/>
      <c r="JUM33" s="3"/>
      <c r="JUN33" s="3"/>
      <c r="JUO33" s="3"/>
      <c r="JUP33" s="3"/>
      <c r="JUQ33" s="3"/>
      <c r="JUR33" s="3"/>
      <c r="JUS33" s="3"/>
      <c r="JUT33" s="3"/>
      <c r="JUU33" s="3"/>
      <c r="JUV33" s="3"/>
      <c r="JUW33" s="3"/>
      <c r="JUX33" s="3"/>
      <c r="JUY33" s="3"/>
      <c r="JUZ33" s="3"/>
      <c r="JVA33" s="3"/>
      <c r="JVB33" s="3"/>
      <c r="JVC33" s="3"/>
      <c r="JVD33" s="3"/>
      <c r="JVE33" s="3"/>
      <c r="JVF33" s="3"/>
      <c r="JVG33" s="3"/>
      <c r="JVH33" s="3"/>
      <c r="JVI33" s="3"/>
      <c r="JVJ33" s="3"/>
      <c r="JVK33" s="3"/>
      <c r="JVL33" s="3"/>
      <c r="JVM33" s="3"/>
      <c r="JVN33" s="3"/>
      <c r="JVO33" s="3"/>
      <c r="JVP33" s="3"/>
      <c r="JVQ33" s="3"/>
      <c r="JVR33" s="3"/>
      <c r="JVS33" s="3"/>
      <c r="JVT33" s="3"/>
      <c r="JVU33" s="3"/>
      <c r="JVV33" s="3"/>
      <c r="JVW33" s="3"/>
      <c r="JVX33" s="3"/>
      <c r="JVY33" s="3"/>
      <c r="JVZ33" s="3"/>
      <c r="JWA33" s="3"/>
      <c r="JWB33" s="3"/>
      <c r="JWC33" s="3"/>
      <c r="JWD33" s="3"/>
      <c r="JWE33" s="3"/>
      <c r="JWF33" s="3"/>
      <c r="JWG33" s="3"/>
      <c r="JWH33" s="3"/>
      <c r="JWI33" s="3"/>
      <c r="JWJ33" s="3"/>
      <c r="JWK33" s="3"/>
      <c r="JWL33" s="3"/>
      <c r="JWM33" s="3"/>
      <c r="JWN33" s="3"/>
      <c r="JWO33" s="3"/>
      <c r="JWP33" s="3"/>
      <c r="JWQ33" s="3"/>
      <c r="JWR33" s="3"/>
      <c r="JWS33" s="3"/>
      <c r="JWT33" s="3"/>
      <c r="JWU33" s="3"/>
      <c r="JWV33" s="3"/>
      <c r="JWW33" s="3"/>
      <c r="JWX33" s="3"/>
      <c r="JWY33" s="3"/>
      <c r="JWZ33" s="3"/>
      <c r="JXA33" s="3"/>
      <c r="JXB33" s="3"/>
      <c r="JXC33" s="3"/>
      <c r="JXD33" s="3"/>
      <c r="JXE33" s="3"/>
      <c r="JXF33" s="3"/>
      <c r="JXG33" s="3"/>
      <c r="JXH33" s="3"/>
      <c r="JXI33" s="3"/>
      <c r="JXJ33" s="3"/>
      <c r="JXK33" s="3"/>
      <c r="JXL33" s="3"/>
      <c r="JXM33" s="3"/>
      <c r="JXN33" s="3"/>
      <c r="JXO33" s="3"/>
      <c r="JXP33" s="3"/>
      <c r="JXQ33" s="3"/>
      <c r="JXR33" s="3"/>
      <c r="JXS33" s="3"/>
      <c r="JXT33" s="3"/>
      <c r="JXU33" s="3"/>
      <c r="JXV33" s="3"/>
      <c r="JXW33" s="3"/>
      <c r="JXX33" s="3"/>
      <c r="JXY33" s="3"/>
      <c r="JXZ33" s="3"/>
      <c r="JYA33" s="3"/>
      <c r="JYB33" s="3"/>
      <c r="JYC33" s="3"/>
      <c r="JYD33" s="3"/>
      <c r="JYE33" s="3"/>
      <c r="JYF33" s="3"/>
      <c r="JYG33" s="3"/>
      <c r="JYH33" s="3"/>
      <c r="JYI33" s="3"/>
      <c r="JYJ33" s="3"/>
      <c r="JYK33" s="3"/>
      <c r="JYL33" s="3"/>
      <c r="JYM33" s="3"/>
      <c r="JYN33" s="3"/>
      <c r="JYO33" s="3"/>
      <c r="JYP33" s="3"/>
      <c r="JYQ33" s="3"/>
      <c r="JYR33" s="3"/>
      <c r="JYS33" s="3"/>
      <c r="JYT33" s="3"/>
      <c r="JYU33" s="3"/>
      <c r="JYV33" s="3"/>
      <c r="JYW33" s="3"/>
      <c r="JYX33" s="3"/>
      <c r="JYY33" s="3"/>
      <c r="JYZ33" s="3"/>
      <c r="JZA33" s="3"/>
      <c r="JZB33" s="3"/>
      <c r="JZC33" s="3"/>
      <c r="JZD33" s="3"/>
      <c r="JZE33" s="3"/>
      <c r="JZF33" s="3"/>
      <c r="JZG33" s="3"/>
      <c r="JZH33" s="3"/>
      <c r="JZI33" s="3"/>
      <c r="JZJ33" s="3"/>
      <c r="JZK33" s="3"/>
      <c r="JZL33" s="3"/>
      <c r="JZM33" s="3"/>
      <c r="JZN33" s="3"/>
      <c r="JZO33" s="3"/>
      <c r="JZP33" s="3"/>
      <c r="JZQ33" s="3"/>
      <c r="JZR33" s="3"/>
      <c r="JZS33" s="3"/>
      <c r="JZT33" s="3"/>
      <c r="JZU33" s="3"/>
      <c r="JZV33" s="3"/>
      <c r="JZW33" s="3"/>
      <c r="JZX33" s="3"/>
      <c r="JZY33" s="3"/>
      <c r="JZZ33" s="3"/>
      <c r="KAA33" s="3"/>
      <c r="KAB33" s="3"/>
      <c r="KAC33" s="3"/>
      <c r="KAD33" s="3"/>
      <c r="KAE33" s="3"/>
      <c r="KAF33" s="3"/>
      <c r="KAG33" s="3"/>
      <c r="KAH33" s="3"/>
      <c r="KAI33" s="3"/>
      <c r="KAJ33" s="3"/>
      <c r="KAK33" s="3"/>
      <c r="KAL33" s="3"/>
      <c r="KAM33" s="3"/>
      <c r="KAN33" s="3"/>
      <c r="KAO33" s="3"/>
      <c r="KAP33" s="3"/>
      <c r="KAQ33" s="3"/>
      <c r="KAR33" s="3"/>
      <c r="KAS33" s="3"/>
      <c r="KAT33" s="3"/>
      <c r="KAU33" s="3"/>
      <c r="KAV33" s="3"/>
      <c r="KAW33" s="3"/>
      <c r="KAX33" s="3"/>
      <c r="KAY33" s="3"/>
      <c r="KAZ33" s="3"/>
      <c r="KBA33" s="3"/>
      <c r="KBB33" s="3"/>
      <c r="KBC33" s="3"/>
      <c r="KBD33" s="3"/>
      <c r="KBE33" s="3"/>
      <c r="KBF33" s="3"/>
      <c r="KBG33" s="3"/>
      <c r="KBH33" s="3"/>
      <c r="KBI33" s="3"/>
      <c r="KBJ33" s="3"/>
      <c r="KBK33" s="3"/>
      <c r="KBL33" s="3"/>
      <c r="KBM33" s="3"/>
      <c r="KBN33" s="3"/>
      <c r="KBO33" s="3"/>
      <c r="KBP33" s="3"/>
      <c r="KBQ33" s="3"/>
      <c r="KBR33" s="3"/>
      <c r="KBS33" s="3"/>
      <c r="KBT33" s="3"/>
      <c r="KBU33" s="3"/>
      <c r="KBV33" s="3"/>
      <c r="KBW33" s="3"/>
      <c r="KBX33" s="3"/>
      <c r="KBY33" s="3"/>
      <c r="KBZ33" s="3"/>
      <c r="KCA33" s="3"/>
      <c r="KCB33" s="3"/>
      <c r="KCC33" s="3"/>
      <c r="KCD33" s="3"/>
      <c r="KCE33" s="3"/>
      <c r="KCF33" s="3"/>
      <c r="KCG33" s="3"/>
      <c r="KCH33" s="3"/>
      <c r="KCI33" s="3"/>
      <c r="KCJ33" s="3"/>
      <c r="KCK33" s="3"/>
      <c r="KCL33" s="3"/>
      <c r="KCM33" s="3"/>
      <c r="KCN33" s="3"/>
      <c r="KCO33" s="3"/>
      <c r="KCP33" s="3"/>
      <c r="KCQ33" s="3"/>
      <c r="KCR33" s="3"/>
      <c r="KCS33" s="3"/>
      <c r="KCT33" s="3"/>
      <c r="KCU33" s="3"/>
      <c r="KCV33" s="3"/>
      <c r="KCW33" s="3"/>
      <c r="KCX33" s="3"/>
      <c r="KCY33" s="3"/>
      <c r="KCZ33" s="3"/>
      <c r="KDA33" s="3"/>
      <c r="KDB33" s="3"/>
      <c r="KDC33" s="3"/>
      <c r="KDD33" s="3"/>
      <c r="KDE33" s="3"/>
      <c r="KDF33" s="3"/>
      <c r="KDG33" s="3"/>
      <c r="KDH33" s="3"/>
      <c r="KDI33" s="3"/>
      <c r="KDJ33" s="3"/>
      <c r="KDK33" s="3"/>
      <c r="KDL33" s="3"/>
      <c r="KDM33" s="3"/>
      <c r="KDN33" s="3"/>
      <c r="KDO33" s="3"/>
      <c r="KDP33" s="3"/>
      <c r="KDQ33" s="3"/>
      <c r="KDR33" s="3"/>
      <c r="KDS33" s="3"/>
      <c r="KDT33" s="3"/>
      <c r="KDU33" s="3"/>
      <c r="KDV33" s="3"/>
      <c r="KDW33" s="3"/>
      <c r="KDX33" s="3"/>
      <c r="KDY33" s="3"/>
      <c r="KDZ33" s="3"/>
      <c r="KEA33" s="3"/>
      <c r="KEB33" s="3"/>
      <c r="KEC33" s="3"/>
      <c r="KED33" s="3"/>
      <c r="KEE33" s="3"/>
      <c r="KEF33" s="3"/>
      <c r="KEG33" s="3"/>
      <c r="KEH33" s="3"/>
      <c r="KEI33" s="3"/>
      <c r="KEJ33" s="3"/>
      <c r="KEK33" s="3"/>
      <c r="KEL33" s="3"/>
      <c r="KEM33" s="3"/>
      <c r="KEN33" s="3"/>
      <c r="KEO33" s="3"/>
      <c r="KEP33" s="3"/>
      <c r="KEQ33" s="3"/>
      <c r="KER33" s="3"/>
      <c r="KES33" s="3"/>
      <c r="KET33" s="3"/>
      <c r="KEU33" s="3"/>
      <c r="KEV33" s="3"/>
      <c r="KEW33" s="3"/>
      <c r="KEX33" s="3"/>
      <c r="KEY33" s="3"/>
      <c r="KEZ33" s="3"/>
      <c r="KFA33" s="3"/>
      <c r="KFB33" s="3"/>
      <c r="KFC33" s="3"/>
      <c r="KFD33" s="3"/>
      <c r="KFE33" s="3"/>
      <c r="KFF33" s="3"/>
      <c r="KFG33" s="3"/>
      <c r="KFH33" s="3"/>
      <c r="KFI33" s="3"/>
      <c r="KFJ33" s="3"/>
      <c r="KFK33" s="3"/>
      <c r="KFL33" s="3"/>
      <c r="KFM33" s="3"/>
      <c r="KFN33" s="3"/>
      <c r="KFO33" s="3"/>
      <c r="KFP33" s="3"/>
      <c r="KFQ33" s="3"/>
      <c r="KFR33" s="3"/>
      <c r="KFS33" s="3"/>
      <c r="KFT33" s="3"/>
      <c r="KFU33" s="3"/>
      <c r="KFV33" s="3"/>
      <c r="KFW33" s="3"/>
      <c r="KFX33" s="3"/>
      <c r="KFY33" s="3"/>
      <c r="KFZ33" s="3"/>
      <c r="KGA33" s="3"/>
      <c r="KGB33" s="3"/>
      <c r="KGC33" s="3"/>
      <c r="KGD33" s="3"/>
      <c r="KGE33" s="3"/>
      <c r="KGF33" s="3"/>
      <c r="KGG33" s="3"/>
      <c r="KGH33" s="3"/>
      <c r="KGI33" s="3"/>
      <c r="KGJ33" s="3"/>
      <c r="KGK33" s="3"/>
      <c r="KGL33" s="3"/>
      <c r="KGM33" s="3"/>
      <c r="KGN33" s="3"/>
      <c r="KGO33" s="3"/>
      <c r="KGP33" s="3"/>
      <c r="KGQ33" s="3"/>
      <c r="KGR33" s="3"/>
      <c r="KGS33" s="3"/>
      <c r="KGT33" s="3"/>
      <c r="KGU33" s="3"/>
      <c r="KGV33" s="3"/>
      <c r="KGW33" s="3"/>
      <c r="KGX33" s="3"/>
      <c r="KGY33" s="3"/>
      <c r="KGZ33" s="3"/>
      <c r="KHA33" s="3"/>
      <c r="KHB33" s="3"/>
      <c r="KHC33" s="3"/>
      <c r="KHD33" s="3"/>
      <c r="KHE33" s="3"/>
      <c r="KHF33" s="3"/>
      <c r="KHG33" s="3"/>
      <c r="KHH33" s="3"/>
      <c r="KHI33" s="3"/>
      <c r="KHJ33" s="3"/>
      <c r="KHK33" s="3"/>
      <c r="KHL33" s="3"/>
      <c r="KHM33" s="3"/>
      <c r="KHN33" s="3"/>
      <c r="KHO33" s="3"/>
      <c r="KHP33" s="3"/>
      <c r="KHQ33" s="3"/>
      <c r="KHR33" s="3"/>
      <c r="KHS33" s="3"/>
      <c r="KHT33" s="3"/>
      <c r="KHU33" s="3"/>
      <c r="KHV33" s="3"/>
      <c r="KHW33" s="3"/>
      <c r="KHX33" s="3"/>
      <c r="KHY33" s="3"/>
      <c r="KHZ33" s="3"/>
      <c r="KIA33" s="3"/>
      <c r="KIB33" s="3"/>
      <c r="KIC33" s="3"/>
      <c r="KID33" s="3"/>
      <c r="KIE33" s="3"/>
      <c r="KIF33" s="3"/>
      <c r="KIG33" s="3"/>
      <c r="KIH33" s="3"/>
      <c r="KII33" s="3"/>
      <c r="KIJ33" s="3"/>
      <c r="KIK33" s="3"/>
      <c r="KIL33" s="3"/>
      <c r="KIM33" s="3"/>
      <c r="KIN33" s="3"/>
      <c r="KIO33" s="3"/>
      <c r="KIP33" s="3"/>
      <c r="KIQ33" s="3"/>
      <c r="KIR33" s="3"/>
      <c r="KIS33" s="3"/>
      <c r="KIT33" s="3"/>
      <c r="KIU33" s="3"/>
      <c r="KIV33" s="3"/>
      <c r="KIW33" s="3"/>
      <c r="KIX33" s="3"/>
      <c r="KIY33" s="3"/>
      <c r="KIZ33" s="3"/>
      <c r="KJA33" s="3"/>
      <c r="KJB33" s="3"/>
      <c r="KJC33" s="3"/>
      <c r="KJD33" s="3"/>
      <c r="KJE33" s="3"/>
      <c r="KJF33" s="3"/>
      <c r="KJG33" s="3"/>
      <c r="KJH33" s="3"/>
      <c r="KJI33" s="3"/>
      <c r="KJJ33" s="3"/>
      <c r="KJK33" s="3"/>
      <c r="KJL33" s="3"/>
      <c r="KJM33" s="3"/>
      <c r="KJN33" s="3"/>
      <c r="KJO33" s="3"/>
      <c r="KJP33" s="3"/>
      <c r="KJQ33" s="3"/>
      <c r="KJR33" s="3"/>
      <c r="KJS33" s="3"/>
      <c r="KJT33" s="3"/>
      <c r="KJU33" s="3"/>
      <c r="KJV33" s="3"/>
      <c r="KJW33" s="3"/>
      <c r="KJX33" s="3"/>
      <c r="KJY33" s="3"/>
      <c r="KJZ33" s="3"/>
      <c r="KKA33" s="3"/>
      <c r="KKB33" s="3"/>
      <c r="KKC33" s="3"/>
      <c r="KKD33" s="3"/>
      <c r="KKE33" s="3"/>
      <c r="KKF33" s="3"/>
      <c r="KKG33" s="3"/>
      <c r="KKH33" s="3"/>
      <c r="KKI33" s="3"/>
      <c r="KKJ33" s="3"/>
      <c r="KKK33" s="3"/>
      <c r="KKL33" s="3"/>
      <c r="KKM33" s="3"/>
      <c r="KKN33" s="3"/>
      <c r="KKO33" s="3"/>
      <c r="KKP33" s="3"/>
      <c r="KKQ33" s="3"/>
      <c r="KKR33" s="3"/>
      <c r="KKS33" s="3"/>
      <c r="KKT33" s="3"/>
      <c r="KKU33" s="3"/>
      <c r="KKV33" s="3"/>
      <c r="KKW33" s="3"/>
      <c r="KKX33" s="3"/>
      <c r="KKY33" s="3"/>
      <c r="KKZ33" s="3"/>
      <c r="KLA33" s="3"/>
      <c r="KLB33" s="3"/>
      <c r="KLC33" s="3"/>
      <c r="KLD33" s="3"/>
      <c r="KLE33" s="3"/>
      <c r="KLF33" s="3"/>
      <c r="KLG33" s="3"/>
      <c r="KLH33" s="3"/>
      <c r="KLI33" s="3"/>
      <c r="KLJ33" s="3"/>
      <c r="KLK33" s="3"/>
      <c r="KLL33" s="3"/>
      <c r="KLM33" s="3"/>
      <c r="KLN33" s="3"/>
      <c r="KLO33" s="3"/>
      <c r="KLP33" s="3"/>
      <c r="KLQ33" s="3"/>
      <c r="KLR33" s="3"/>
      <c r="KLS33" s="3"/>
      <c r="KLT33" s="3"/>
      <c r="KLU33" s="3"/>
      <c r="KLV33" s="3"/>
      <c r="KLW33" s="3"/>
      <c r="KLX33" s="3"/>
      <c r="KLY33" s="3"/>
      <c r="KLZ33" s="3"/>
      <c r="KMA33" s="3"/>
      <c r="KMB33" s="3"/>
      <c r="KMC33" s="3"/>
      <c r="KMD33" s="3"/>
      <c r="KME33" s="3"/>
      <c r="KMF33" s="3"/>
      <c r="KMG33" s="3"/>
      <c r="KMH33" s="3"/>
      <c r="KMI33" s="3"/>
      <c r="KMJ33" s="3"/>
      <c r="KMK33" s="3"/>
      <c r="KML33" s="3"/>
      <c r="KMM33" s="3"/>
      <c r="KMN33" s="3"/>
      <c r="KMO33" s="3"/>
      <c r="KMP33" s="3"/>
      <c r="KMQ33" s="3"/>
      <c r="KMR33" s="3"/>
      <c r="KMS33" s="3"/>
      <c r="KMT33" s="3"/>
      <c r="KMU33" s="3"/>
      <c r="KMV33" s="3"/>
      <c r="KMW33" s="3"/>
      <c r="KMX33" s="3"/>
      <c r="KMY33" s="3"/>
      <c r="KMZ33" s="3"/>
      <c r="KNA33" s="3"/>
      <c r="KNB33" s="3"/>
      <c r="KNC33" s="3"/>
      <c r="KND33" s="3"/>
      <c r="KNE33" s="3"/>
      <c r="KNF33" s="3"/>
      <c r="KNG33" s="3"/>
      <c r="KNH33" s="3"/>
      <c r="KNI33" s="3"/>
      <c r="KNJ33" s="3"/>
      <c r="KNK33" s="3"/>
      <c r="KNL33" s="3"/>
      <c r="KNM33" s="3"/>
      <c r="KNN33" s="3"/>
      <c r="KNO33" s="3"/>
      <c r="KNP33" s="3"/>
      <c r="KNQ33" s="3"/>
      <c r="KNR33" s="3"/>
      <c r="KNS33" s="3"/>
      <c r="KNT33" s="3"/>
      <c r="KNU33" s="3"/>
      <c r="KNV33" s="3"/>
      <c r="KNW33" s="3"/>
      <c r="KNX33" s="3"/>
      <c r="KNY33" s="3"/>
      <c r="KNZ33" s="3"/>
      <c r="KOA33" s="3"/>
      <c r="KOB33" s="3"/>
      <c r="KOC33" s="3"/>
      <c r="KOD33" s="3"/>
      <c r="KOE33" s="3"/>
      <c r="KOF33" s="3"/>
      <c r="KOG33" s="3"/>
      <c r="KOH33" s="3"/>
      <c r="KOI33" s="3"/>
      <c r="KOJ33" s="3"/>
      <c r="KOK33" s="3"/>
      <c r="KOL33" s="3"/>
      <c r="KOM33" s="3"/>
      <c r="KON33" s="3"/>
      <c r="KOO33" s="3"/>
      <c r="KOP33" s="3"/>
      <c r="KOQ33" s="3"/>
      <c r="KOR33" s="3"/>
      <c r="KOS33" s="3"/>
      <c r="KOT33" s="3"/>
      <c r="KOU33" s="3"/>
      <c r="KOV33" s="3"/>
      <c r="KOW33" s="3"/>
      <c r="KOX33" s="3"/>
      <c r="KOY33" s="3"/>
      <c r="KOZ33" s="3"/>
      <c r="KPA33" s="3"/>
      <c r="KPB33" s="3"/>
      <c r="KPC33" s="3"/>
      <c r="KPD33" s="3"/>
      <c r="KPE33" s="3"/>
      <c r="KPF33" s="3"/>
      <c r="KPG33" s="3"/>
      <c r="KPH33" s="3"/>
      <c r="KPI33" s="3"/>
      <c r="KPJ33" s="3"/>
      <c r="KPK33" s="3"/>
      <c r="KPL33" s="3"/>
      <c r="KPM33" s="3"/>
      <c r="KPN33" s="3"/>
      <c r="KPO33" s="3"/>
      <c r="KPP33" s="3"/>
      <c r="KPQ33" s="3"/>
      <c r="KPR33" s="3"/>
      <c r="KPS33" s="3"/>
      <c r="KPT33" s="3"/>
      <c r="KPU33" s="3"/>
      <c r="KPV33" s="3"/>
      <c r="KPW33" s="3"/>
      <c r="KPX33" s="3"/>
      <c r="KPY33" s="3"/>
      <c r="KPZ33" s="3"/>
      <c r="KQA33" s="3"/>
      <c r="KQB33" s="3"/>
      <c r="KQC33" s="3"/>
      <c r="KQD33" s="3"/>
      <c r="KQE33" s="3"/>
      <c r="KQF33" s="3"/>
      <c r="KQG33" s="3"/>
      <c r="KQH33" s="3"/>
      <c r="KQI33" s="3"/>
      <c r="KQJ33" s="3"/>
      <c r="KQK33" s="3"/>
      <c r="KQL33" s="3"/>
      <c r="KQM33" s="3"/>
      <c r="KQN33" s="3"/>
      <c r="KQO33" s="3"/>
      <c r="KQP33" s="3"/>
      <c r="KQQ33" s="3"/>
      <c r="KQR33" s="3"/>
      <c r="KQS33" s="3"/>
      <c r="KQT33" s="3"/>
      <c r="KQU33" s="3"/>
      <c r="KQV33" s="3"/>
      <c r="KQW33" s="3"/>
      <c r="KQX33" s="3"/>
      <c r="KQY33" s="3"/>
      <c r="KQZ33" s="3"/>
      <c r="KRA33" s="3"/>
      <c r="KRB33" s="3"/>
      <c r="KRC33" s="3"/>
      <c r="KRD33" s="3"/>
      <c r="KRE33" s="3"/>
      <c r="KRF33" s="3"/>
      <c r="KRG33" s="3"/>
      <c r="KRH33" s="3"/>
      <c r="KRI33" s="3"/>
      <c r="KRJ33" s="3"/>
      <c r="KRK33" s="3"/>
      <c r="KRL33" s="3"/>
      <c r="KRM33" s="3"/>
      <c r="KRN33" s="3"/>
    </row>
    <row r="34" spans="1:7918" s="248" customFormat="1">
      <c r="A34" s="26" t="e">
        <f t="shared" si="0"/>
        <v>#REF!</v>
      </c>
      <c r="B34" s="388" t="s">
        <v>589</v>
      </c>
      <c r="C34" s="368" t="s">
        <v>618</v>
      </c>
      <c r="D34" s="386" t="s">
        <v>589</v>
      </c>
      <c r="E34" s="244" t="str">
        <f>VLOOKUP(B34,distribucion!B$9:FK$225,2,0)</f>
        <v>Operador</v>
      </c>
      <c r="F34" s="221">
        <f>VLOOKUP($B34,'Nomina Unhesa'!$B$4:$AB$209,4,0)</f>
        <v>30</v>
      </c>
      <c r="G34" s="229">
        <f>VLOOKUP($B34,'Nomina Unhesa'!$B$4:$AB$209,6,0)</f>
        <v>3166.38</v>
      </c>
      <c r="H34" s="229">
        <f>VLOOKUP($B34,'Nomina Unhesa'!$B$4:$AB$209,7,0)</f>
        <v>925</v>
      </c>
      <c r="I34" s="229">
        <f>VLOOKUP($B34,'Nomina Unhesa'!$B$4:$AB$209,9,0)</f>
        <v>15</v>
      </c>
      <c r="J34" s="234">
        <f>VLOOKUP($B34,'Nomina Unhesa'!$B$4:$AB$209,10,0)</f>
        <v>296.85000000000002</v>
      </c>
      <c r="K34" s="229">
        <f>VLOOKUP($B34,'Nomina Unhesa'!$B$4:$AB$209,11,0)</f>
        <v>0</v>
      </c>
      <c r="L34" s="229">
        <f>VLOOKUP($B34,'Nomina Unhesa'!$B$4:$AB$209,12,0)</f>
        <v>0</v>
      </c>
      <c r="M34" s="229">
        <f>VLOOKUP($B34,'Nomina Unhesa'!$B$4:$AB$209,14,0)</f>
        <v>0</v>
      </c>
      <c r="N34" s="234">
        <f>VLOOKUP($B34,'Nomina Unhesa'!$B$4:$AB$209,15,0)</f>
        <v>4388.2300000000005</v>
      </c>
      <c r="O34" s="234">
        <f>VLOOKUP($B34,'Nomina Unhesa'!$B$4:$AB$209,16,0)</f>
        <v>167.27</v>
      </c>
      <c r="P34" s="234">
        <f>VLOOKUP($B34,'Nomina Unhesa'!$B$4:$AB$209,17,0)</f>
        <v>69.92</v>
      </c>
      <c r="Q34" s="234">
        <f>VLOOKUP($B34,'Nomina Unhesa'!$B$4:$AB$209,18,0)</f>
        <v>1342.13</v>
      </c>
      <c r="R34" s="234">
        <f>VLOOKUP($B34,'Nomina Unhesa'!$B$4:$AB$209,19,0)</f>
        <v>0</v>
      </c>
      <c r="S34" s="234">
        <f>VLOOKUP($B34,'Nomina Unhesa'!$B$4:$AB$209,20,0)</f>
        <v>0</v>
      </c>
      <c r="T34" s="234">
        <f>VLOOKUP($B34,'Nomina Unhesa'!$B$4:$AB$209,21,0)</f>
        <v>0</v>
      </c>
      <c r="U34" s="234">
        <f>VLOOKUP($B34,'Nomina Unhesa'!$B$4:$AB$209,22,0)</f>
        <v>731</v>
      </c>
      <c r="V34" s="234">
        <f>ROUND((VLOOKUP($B34,'Nomina Unhesa'!$B$4:$AB$209,23,0)),2)</f>
        <v>227.02</v>
      </c>
      <c r="W34" s="234">
        <f>VLOOKUP($B34,'Nomina Unhesa'!$B$4:$AB$209,24,0)</f>
        <v>2537.34</v>
      </c>
      <c r="X34" s="234">
        <f>VLOOKUP(B34,'Nomina Unhesa'!$B$9:$Z$163,25,FALSE)</f>
        <v>1850.8900000000003</v>
      </c>
      <c r="Y34" s="255">
        <f>ROUND((VLOOKUP(B34,'Nomina Unhesa'!$B$9:$AB$157,26,FALSE)),2)</f>
        <v>553.39</v>
      </c>
      <c r="Z34" s="280">
        <f>VLOOKUP(B34,'Nomina Unhesa'!$B$9:$AB$158,27,FALSE)</f>
        <v>1297.5000000000002</v>
      </c>
      <c r="AA34" s="441"/>
      <c r="AB34" s="389">
        <f>+IFERROR(VLOOKUP(B34,'Nomina Unhesa'!B54:D199,3,0),"")</f>
        <v>3463.23</v>
      </c>
      <c r="AC34" s="205"/>
      <c r="AD34" s="205"/>
      <c r="AE34" s="205"/>
      <c r="AF34" s="205"/>
      <c r="AG34" s="205"/>
      <c r="AH34" s="205"/>
      <c r="AI34" s="205"/>
      <c r="AJ34" s="205"/>
      <c r="AK34" s="205"/>
      <c r="AL34" s="205"/>
      <c r="AM34" s="205"/>
      <c r="AN34" s="205"/>
      <c r="AO34" s="205"/>
      <c r="AP34" s="205"/>
      <c r="AQ34" s="205"/>
      <c r="AR34" s="205"/>
      <c r="AS34" s="205"/>
      <c r="AT34" s="205"/>
      <c r="AU34" s="205"/>
      <c r="AV34" s="205"/>
      <c r="AW34" s="205"/>
      <c r="AX34" s="205"/>
      <c r="AY34" s="205"/>
      <c r="AZ34" s="205"/>
      <c r="BA34" s="205"/>
      <c r="BB34" s="205"/>
      <c r="BC34" s="205"/>
      <c r="BD34" s="205"/>
      <c r="BE34" s="205"/>
      <c r="BF34" s="205"/>
      <c r="BG34" s="205"/>
      <c r="BH34" s="205"/>
      <c r="BI34" s="205"/>
      <c r="BJ34" s="205"/>
      <c r="BK34" s="205"/>
      <c r="BL34" s="205"/>
      <c r="BM34" s="205"/>
      <c r="BN34" s="205"/>
      <c r="BO34" s="205"/>
      <c r="BP34" s="205"/>
      <c r="BQ34" s="205"/>
      <c r="BR34" s="205"/>
      <c r="BS34" s="205"/>
      <c r="BT34" s="205"/>
      <c r="BU34" s="205"/>
      <c r="BV34" s="205"/>
      <c r="BW34" s="205"/>
      <c r="BX34" s="205"/>
      <c r="BY34" s="205"/>
      <c r="BZ34" s="205"/>
      <c r="CA34" s="205"/>
      <c r="CB34" s="205"/>
      <c r="CC34" s="205"/>
      <c r="CD34" s="205"/>
      <c r="CE34" s="205"/>
      <c r="CF34" s="205"/>
      <c r="CG34" s="205"/>
      <c r="CH34" s="205"/>
      <c r="CI34" s="205"/>
      <c r="CJ34" s="205"/>
      <c r="CK34" s="205"/>
      <c r="CL34" s="205"/>
      <c r="CM34" s="205"/>
      <c r="CN34" s="205"/>
      <c r="CO34" s="205"/>
      <c r="CP34" s="205"/>
      <c r="CQ34" s="205"/>
      <c r="CR34" s="205"/>
      <c r="CS34" s="205"/>
      <c r="CT34" s="205"/>
      <c r="CU34" s="205"/>
      <c r="CV34" s="205"/>
      <c r="CW34" s="205"/>
      <c r="CX34" s="205"/>
      <c r="CY34" s="205"/>
      <c r="CZ34" s="205"/>
      <c r="DA34" s="205"/>
      <c r="DB34" s="205"/>
      <c r="DC34" s="205"/>
      <c r="DD34" s="205"/>
      <c r="DE34" s="205"/>
      <c r="DF34" s="205"/>
      <c r="DG34" s="205"/>
      <c r="DH34" s="205"/>
      <c r="DI34" s="205"/>
      <c r="DJ34" s="205"/>
      <c r="DK34" s="205"/>
      <c r="DL34" s="205"/>
      <c r="DM34" s="205"/>
      <c r="DN34" s="205"/>
      <c r="DO34" s="205"/>
      <c r="DP34" s="205"/>
      <c r="DQ34" s="205"/>
      <c r="DR34" s="205"/>
      <c r="DS34" s="205"/>
      <c r="DT34" s="205"/>
      <c r="DU34" s="205"/>
      <c r="DV34" s="205"/>
      <c r="DW34" s="205"/>
      <c r="DX34" s="205"/>
      <c r="DY34" s="205"/>
      <c r="DZ34" s="205"/>
      <c r="EA34" s="205"/>
      <c r="EB34" s="205"/>
      <c r="EC34" s="205"/>
      <c r="ED34" s="205"/>
      <c r="EE34" s="205"/>
      <c r="EF34" s="205"/>
      <c r="EG34" s="205"/>
      <c r="EH34" s="205"/>
      <c r="EI34" s="205"/>
      <c r="EJ34" s="205"/>
      <c r="EK34" s="205"/>
      <c r="EL34" s="205"/>
      <c r="EM34" s="205"/>
      <c r="EN34" s="205"/>
      <c r="EO34" s="205"/>
      <c r="EP34" s="205"/>
      <c r="EQ34" s="205"/>
      <c r="ER34" s="205"/>
      <c r="ES34" s="205"/>
      <c r="ET34" s="205"/>
      <c r="EU34" s="205"/>
      <c r="EV34" s="205"/>
      <c r="EW34" s="205"/>
      <c r="EX34" s="205"/>
      <c r="EY34" s="205"/>
      <c r="EZ34" s="205"/>
      <c r="FA34" s="205"/>
      <c r="FB34" s="205"/>
      <c r="FC34" s="205"/>
      <c r="FD34" s="205"/>
      <c r="FE34" s="205"/>
      <c r="FF34" s="205"/>
      <c r="FG34" s="205"/>
      <c r="FH34" s="205"/>
      <c r="FI34" s="205"/>
      <c r="FJ34" s="205"/>
      <c r="FK34" s="205"/>
      <c r="FL34" s="205"/>
      <c r="FM34" s="205"/>
      <c r="FN34" s="205"/>
      <c r="FO34" s="205"/>
      <c r="FP34" s="205"/>
      <c r="FQ34" s="205"/>
      <c r="FR34" s="205"/>
      <c r="FS34" s="205"/>
      <c r="FT34" s="205"/>
      <c r="FU34" s="205"/>
      <c r="FV34" s="205"/>
      <c r="FW34" s="205"/>
      <c r="FX34" s="205"/>
      <c r="FY34" s="205"/>
      <c r="FZ34" s="205"/>
      <c r="GA34" s="205"/>
      <c r="GB34" s="205"/>
      <c r="GC34" s="205"/>
      <c r="GD34" s="205"/>
      <c r="GE34" s="205"/>
      <c r="GF34" s="205"/>
      <c r="GG34" s="205"/>
      <c r="GH34" s="205"/>
      <c r="GI34" s="205"/>
      <c r="GJ34" s="205"/>
      <c r="GK34" s="205"/>
      <c r="GL34" s="205"/>
      <c r="GM34" s="205"/>
      <c r="GN34" s="205"/>
      <c r="GO34" s="205"/>
      <c r="GP34" s="205"/>
      <c r="GQ34" s="205"/>
      <c r="GR34" s="205"/>
      <c r="GS34" s="205"/>
      <c r="GT34" s="205"/>
      <c r="GU34" s="205"/>
      <c r="GV34" s="205"/>
      <c r="GW34" s="205"/>
      <c r="GX34" s="205"/>
      <c r="GY34" s="205"/>
      <c r="GZ34" s="205"/>
      <c r="HA34" s="205"/>
      <c r="HB34" s="205"/>
      <c r="HC34" s="205"/>
      <c r="HD34" s="205"/>
      <c r="HE34" s="205"/>
      <c r="HF34" s="205"/>
      <c r="HG34" s="205"/>
      <c r="HH34" s="205"/>
      <c r="HI34" s="205"/>
      <c r="HJ34" s="205"/>
      <c r="HK34" s="205"/>
      <c r="HL34" s="205"/>
      <c r="HM34" s="205"/>
      <c r="HN34" s="205"/>
      <c r="HO34" s="205"/>
      <c r="HP34" s="205"/>
      <c r="HQ34" s="205"/>
      <c r="HR34" s="205"/>
      <c r="HS34" s="205"/>
      <c r="HT34" s="205"/>
      <c r="HU34" s="205"/>
      <c r="HV34" s="205"/>
      <c r="HW34" s="205"/>
      <c r="HX34" s="205"/>
      <c r="HY34" s="205"/>
      <c r="HZ34" s="205"/>
      <c r="IA34" s="205"/>
      <c r="IB34" s="205"/>
      <c r="IC34" s="205"/>
      <c r="ID34" s="205"/>
      <c r="IE34" s="205"/>
      <c r="IF34" s="205"/>
      <c r="IG34" s="205"/>
      <c r="IH34" s="205"/>
      <c r="II34" s="205"/>
      <c r="IJ34" s="205"/>
      <c r="IK34" s="205"/>
      <c r="IL34" s="205"/>
      <c r="IM34" s="205"/>
      <c r="IN34" s="205"/>
      <c r="IO34" s="205"/>
      <c r="IP34" s="205"/>
      <c r="IQ34" s="205"/>
      <c r="IR34" s="205"/>
      <c r="IS34" s="205"/>
      <c r="IT34" s="205"/>
      <c r="IU34" s="205"/>
      <c r="IV34" s="205"/>
      <c r="IW34" s="205"/>
      <c r="IX34" s="205"/>
      <c r="IY34" s="205"/>
      <c r="IZ34" s="205"/>
      <c r="JA34" s="205"/>
      <c r="JB34" s="205"/>
      <c r="JC34" s="205"/>
      <c r="JD34" s="205"/>
      <c r="JE34" s="205"/>
      <c r="JF34" s="205"/>
      <c r="JG34" s="205"/>
      <c r="JH34" s="205"/>
      <c r="JI34" s="205"/>
      <c r="JJ34" s="205"/>
      <c r="JK34" s="205"/>
      <c r="JL34" s="205"/>
      <c r="JM34" s="205"/>
      <c r="JN34" s="205"/>
      <c r="JO34" s="205"/>
      <c r="JP34" s="205"/>
      <c r="JQ34" s="205"/>
      <c r="JR34" s="205"/>
      <c r="JS34" s="205"/>
      <c r="JT34" s="205"/>
      <c r="JU34" s="205"/>
      <c r="JV34" s="205"/>
      <c r="JW34" s="205"/>
      <c r="JX34" s="205"/>
      <c r="JY34" s="205"/>
      <c r="JZ34" s="205"/>
      <c r="KA34" s="205"/>
      <c r="KB34" s="205"/>
      <c r="KC34" s="205"/>
      <c r="KD34" s="205"/>
      <c r="KE34" s="205"/>
      <c r="KF34" s="205"/>
      <c r="KG34" s="205"/>
      <c r="KH34" s="205"/>
      <c r="KI34" s="205"/>
      <c r="KJ34" s="205"/>
      <c r="KK34" s="205"/>
      <c r="KL34" s="205"/>
      <c r="KM34" s="205"/>
      <c r="KN34" s="205"/>
      <c r="KO34" s="205"/>
      <c r="KP34" s="205"/>
      <c r="KQ34" s="205"/>
      <c r="KR34" s="205"/>
      <c r="KS34" s="205"/>
      <c r="KT34" s="205"/>
      <c r="KU34" s="205"/>
      <c r="KV34" s="205"/>
      <c r="KW34" s="205"/>
      <c r="KX34" s="205"/>
      <c r="KY34" s="205"/>
      <c r="KZ34" s="205"/>
      <c r="LA34" s="205"/>
      <c r="LB34" s="205"/>
      <c r="LC34" s="205"/>
      <c r="LD34" s="205"/>
      <c r="LE34" s="205"/>
      <c r="LF34" s="205"/>
      <c r="LG34" s="205"/>
      <c r="LH34" s="205"/>
      <c r="LI34" s="205"/>
      <c r="LJ34" s="205"/>
      <c r="LK34" s="205"/>
      <c r="LL34" s="205"/>
      <c r="LM34" s="205"/>
      <c r="LN34" s="205"/>
      <c r="LO34" s="205"/>
      <c r="LP34" s="205"/>
      <c r="LQ34" s="205"/>
      <c r="LR34" s="205"/>
      <c r="LS34" s="205"/>
      <c r="LT34" s="205"/>
      <c r="LU34" s="205"/>
      <c r="LV34" s="205"/>
      <c r="LW34" s="205"/>
      <c r="LX34" s="205"/>
      <c r="LY34" s="205"/>
      <c r="LZ34" s="205"/>
      <c r="MA34" s="205"/>
      <c r="MB34" s="205"/>
      <c r="MC34" s="205"/>
      <c r="MD34" s="205"/>
      <c r="ME34" s="205"/>
      <c r="MF34" s="205"/>
      <c r="MG34" s="205"/>
      <c r="MH34" s="205"/>
      <c r="MI34" s="205"/>
      <c r="MJ34" s="205"/>
      <c r="MK34" s="205"/>
      <c r="ML34" s="205"/>
      <c r="MM34" s="205"/>
      <c r="MN34" s="205"/>
      <c r="MO34" s="205"/>
      <c r="MP34" s="205"/>
      <c r="MQ34" s="205"/>
      <c r="MR34" s="205"/>
      <c r="MS34" s="205"/>
      <c r="MT34" s="205"/>
      <c r="MU34" s="205"/>
      <c r="MV34" s="205"/>
      <c r="MW34" s="205"/>
      <c r="MX34" s="205"/>
      <c r="MY34" s="205"/>
      <c r="MZ34" s="205"/>
      <c r="NA34" s="205"/>
      <c r="NB34" s="205"/>
      <c r="NC34" s="205"/>
      <c r="ND34" s="205"/>
      <c r="NE34" s="205"/>
      <c r="NF34" s="205"/>
      <c r="NG34" s="205"/>
      <c r="NH34" s="205"/>
      <c r="NI34" s="205"/>
      <c r="NJ34" s="205"/>
      <c r="NK34" s="205"/>
      <c r="NL34" s="205"/>
      <c r="NM34" s="205"/>
      <c r="NN34" s="205"/>
      <c r="NO34" s="205"/>
      <c r="NP34" s="205"/>
      <c r="NQ34" s="205"/>
      <c r="NR34" s="205"/>
      <c r="NS34" s="205"/>
      <c r="NT34" s="205"/>
      <c r="NU34" s="205"/>
      <c r="NV34" s="205"/>
      <c r="NW34" s="205"/>
      <c r="NX34" s="205"/>
      <c r="NY34" s="205"/>
      <c r="NZ34" s="205"/>
      <c r="OA34" s="205"/>
      <c r="OB34" s="205"/>
      <c r="OC34" s="205"/>
      <c r="OD34" s="205"/>
      <c r="OE34" s="205"/>
      <c r="OF34" s="205"/>
      <c r="OG34" s="205"/>
      <c r="OH34" s="205"/>
      <c r="OI34" s="205"/>
      <c r="OJ34" s="205"/>
      <c r="OK34" s="205"/>
      <c r="OL34" s="205"/>
      <c r="OM34" s="205"/>
      <c r="ON34" s="205"/>
      <c r="OO34" s="205"/>
      <c r="OP34" s="205"/>
      <c r="OQ34" s="205"/>
      <c r="OR34" s="205"/>
      <c r="OS34" s="205"/>
      <c r="OT34" s="205"/>
      <c r="OU34" s="205"/>
      <c r="OV34" s="205"/>
      <c r="OW34" s="205"/>
      <c r="OX34" s="205"/>
      <c r="OY34" s="205"/>
      <c r="OZ34" s="205"/>
      <c r="PA34" s="205"/>
      <c r="PB34" s="205"/>
      <c r="PC34" s="205"/>
      <c r="PD34" s="205"/>
      <c r="PE34" s="205"/>
      <c r="PF34" s="205"/>
      <c r="PG34" s="205"/>
      <c r="PH34" s="205"/>
      <c r="PI34" s="205"/>
      <c r="PJ34" s="205"/>
      <c r="PK34" s="205"/>
      <c r="PL34" s="205"/>
      <c r="PM34" s="205"/>
      <c r="PN34" s="205"/>
      <c r="PO34" s="205"/>
      <c r="PP34" s="205"/>
      <c r="PQ34" s="205"/>
      <c r="PR34" s="205"/>
      <c r="PS34" s="205"/>
      <c r="PT34" s="205"/>
      <c r="PU34" s="205"/>
      <c r="PV34" s="205"/>
      <c r="PW34" s="205"/>
      <c r="PX34" s="205"/>
      <c r="PY34" s="205"/>
      <c r="PZ34" s="205"/>
      <c r="QA34" s="205"/>
      <c r="QB34" s="205"/>
      <c r="QC34" s="205"/>
      <c r="QD34" s="205"/>
      <c r="QE34" s="205"/>
      <c r="QF34" s="205"/>
      <c r="QG34" s="205"/>
      <c r="QH34" s="205"/>
      <c r="QI34" s="205"/>
      <c r="QJ34" s="205"/>
      <c r="QK34" s="205"/>
      <c r="QL34" s="205"/>
      <c r="QM34" s="205"/>
      <c r="QN34" s="205"/>
      <c r="QO34" s="205"/>
      <c r="QP34" s="205"/>
      <c r="QQ34" s="205"/>
      <c r="QR34" s="205"/>
      <c r="QS34" s="205"/>
      <c r="QT34" s="205"/>
      <c r="QU34" s="205"/>
      <c r="QV34" s="205"/>
      <c r="QW34" s="205"/>
      <c r="QX34" s="205"/>
      <c r="QY34" s="205"/>
      <c r="QZ34" s="205"/>
      <c r="RA34" s="205"/>
      <c r="RB34" s="205"/>
      <c r="RC34" s="205"/>
      <c r="RD34" s="205"/>
      <c r="RE34" s="205"/>
      <c r="RF34" s="205"/>
      <c r="RG34" s="205"/>
      <c r="RH34" s="205"/>
      <c r="RI34" s="205"/>
      <c r="RJ34" s="205"/>
      <c r="RK34" s="205"/>
      <c r="RL34" s="205"/>
      <c r="RM34" s="205"/>
      <c r="RN34" s="205"/>
      <c r="RO34" s="205"/>
      <c r="RP34" s="205"/>
      <c r="RQ34" s="205"/>
      <c r="RR34" s="205"/>
      <c r="RS34" s="205"/>
      <c r="RT34" s="205"/>
      <c r="RU34" s="205"/>
      <c r="RV34" s="205"/>
      <c r="RW34" s="205"/>
      <c r="RX34" s="205"/>
      <c r="RY34" s="205"/>
      <c r="RZ34" s="205"/>
      <c r="SA34" s="205"/>
      <c r="SB34" s="205"/>
      <c r="SC34" s="205"/>
      <c r="SD34" s="205"/>
      <c r="SE34" s="205"/>
      <c r="SF34" s="205"/>
      <c r="SG34" s="205"/>
      <c r="SH34" s="205"/>
      <c r="SI34" s="205"/>
      <c r="SJ34" s="205"/>
      <c r="SK34" s="205"/>
      <c r="SL34" s="205"/>
      <c r="SM34" s="205"/>
      <c r="SN34" s="205"/>
      <c r="SO34" s="205"/>
      <c r="SP34" s="205"/>
      <c r="SQ34" s="205"/>
      <c r="SR34" s="205"/>
      <c r="SS34" s="205"/>
      <c r="ST34" s="205"/>
      <c r="SU34" s="205"/>
      <c r="SV34" s="205"/>
      <c r="SW34" s="205"/>
      <c r="SX34" s="205"/>
      <c r="SY34" s="205"/>
      <c r="SZ34" s="205"/>
      <c r="TA34" s="205"/>
      <c r="TB34" s="205"/>
      <c r="TC34" s="205"/>
      <c r="TD34" s="205"/>
      <c r="TE34" s="205"/>
      <c r="TF34" s="205"/>
      <c r="TG34" s="205"/>
      <c r="TH34" s="205"/>
      <c r="TI34" s="205"/>
      <c r="TJ34" s="205"/>
      <c r="TK34" s="205"/>
      <c r="TL34" s="205"/>
      <c r="TM34" s="205"/>
      <c r="TN34" s="205"/>
      <c r="TO34" s="205"/>
      <c r="TP34" s="205"/>
      <c r="TQ34" s="205"/>
      <c r="TR34" s="205"/>
      <c r="TS34" s="205"/>
      <c r="TT34" s="205"/>
      <c r="TU34" s="205"/>
      <c r="TV34" s="205"/>
      <c r="TW34" s="205"/>
      <c r="TX34" s="205"/>
      <c r="TY34" s="205"/>
      <c r="TZ34" s="205"/>
      <c r="UA34" s="205"/>
      <c r="UB34" s="205"/>
      <c r="UC34" s="205"/>
      <c r="UD34" s="205"/>
      <c r="UE34" s="205"/>
      <c r="UF34" s="205"/>
      <c r="UG34" s="205"/>
      <c r="UH34" s="205"/>
      <c r="UI34" s="205"/>
      <c r="UJ34" s="205"/>
      <c r="UK34" s="205"/>
      <c r="UL34" s="205"/>
      <c r="UM34" s="205"/>
      <c r="UN34" s="205"/>
      <c r="UO34" s="205"/>
      <c r="UP34" s="205"/>
      <c r="UQ34" s="205"/>
      <c r="UR34" s="205"/>
      <c r="US34" s="205"/>
      <c r="UT34" s="205"/>
      <c r="UU34" s="205"/>
      <c r="UV34" s="205"/>
      <c r="UW34" s="205"/>
      <c r="UX34" s="205"/>
      <c r="UY34" s="205"/>
      <c r="UZ34" s="205"/>
      <c r="VA34" s="205"/>
      <c r="VB34" s="205"/>
      <c r="VC34" s="205"/>
      <c r="VD34" s="205"/>
      <c r="VE34" s="205"/>
      <c r="VF34" s="205"/>
      <c r="VG34" s="205"/>
      <c r="VH34" s="205"/>
      <c r="VI34" s="205"/>
      <c r="VJ34" s="205"/>
      <c r="VK34" s="205"/>
      <c r="VL34" s="205"/>
      <c r="VM34" s="205"/>
      <c r="VN34" s="205"/>
      <c r="VO34" s="205"/>
      <c r="VP34" s="205"/>
      <c r="VQ34" s="205"/>
      <c r="VR34" s="205"/>
      <c r="VS34" s="205"/>
      <c r="VT34" s="205"/>
      <c r="VU34" s="205"/>
      <c r="VV34" s="205"/>
      <c r="VW34" s="205"/>
      <c r="VX34" s="205"/>
      <c r="VY34" s="205"/>
      <c r="VZ34" s="205"/>
      <c r="WA34" s="205"/>
      <c r="WB34" s="205"/>
      <c r="WC34" s="205"/>
      <c r="WD34" s="205"/>
      <c r="WE34" s="205"/>
      <c r="WF34" s="205"/>
      <c r="WG34" s="205"/>
      <c r="WH34" s="205"/>
      <c r="WI34" s="205"/>
      <c r="WJ34" s="205"/>
      <c r="WK34" s="205"/>
      <c r="WL34" s="205"/>
      <c r="WM34" s="205"/>
      <c r="WN34" s="205"/>
      <c r="WO34" s="205"/>
      <c r="WP34" s="205"/>
      <c r="WQ34" s="205"/>
      <c r="WR34" s="205"/>
      <c r="WS34" s="205"/>
      <c r="WT34" s="205"/>
      <c r="WU34" s="205"/>
      <c r="WV34" s="205"/>
      <c r="WW34" s="205"/>
      <c r="WX34" s="205"/>
      <c r="WY34" s="205"/>
      <c r="WZ34" s="205"/>
      <c r="XA34" s="205"/>
      <c r="XB34" s="205"/>
      <c r="XC34" s="205"/>
      <c r="XD34" s="205"/>
      <c r="XE34" s="205"/>
      <c r="XF34" s="205"/>
      <c r="XG34" s="205"/>
      <c r="XH34" s="205"/>
      <c r="XI34" s="205"/>
      <c r="XJ34" s="205"/>
      <c r="XK34" s="205"/>
      <c r="XL34" s="205"/>
      <c r="XM34" s="205"/>
      <c r="XN34" s="205"/>
      <c r="XO34" s="205"/>
      <c r="XP34" s="205"/>
      <c r="XQ34" s="205"/>
      <c r="XR34" s="205"/>
      <c r="XS34" s="205"/>
      <c r="XT34" s="205"/>
      <c r="XU34" s="205"/>
      <c r="XV34" s="205"/>
      <c r="XW34" s="205"/>
      <c r="XX34" s="205"/>
      <c r="XY34" s="205"/>
      <c r="XZ34" s="205"/>
      <c r="YA34" s="205"/>
      <c r="YB34" s="205"/>
      <c r="YC34" s="205"/>
      <c r="YD34" s="205"/>
      <c r="YE34" s="205"/>
      <c r="YF34" s="205"/>
      <c r="YG34" s="205"/>
      <c r="YH34" s="205"/>
      <c r="YI34" s="205"/>
      <c r="YJ34" s="205"/>
      <c r="YK34" s="205"/>
      <c r="YL34" s="205"/>
      <c r="YM34" s="205"/>
      <c r="YN34" s="205"/>
      <c r="YO34" s="205"/>
      <c r="YP34" s="205"/>
      <c r="YQ34" s="205"/>
      <c r="YR34" s="205"/>
      <c r="YS34" s="205"/>
      <c r="YT34" s="205"/>
      <c r="YU34" s="205"/>
      <c r="YV34" s="205"/>
      <c r="YW34" s="205"/>
      <c r="YX34" s="205"/>
      <c r="YY34" s="205"/>
      <c r="YZ34" s="205"/>
      <c r="ZA34" s="205"/>
      <c r="ZB34" s="205"/>
      <c r="ZC34" s="205"/>
      <c r="ZD34" s="205"/>
      <c r="ZE34" s="205"/>
      <c r="ZF34" s="205"/>
      <c r="ZG34" s="205"/>
      <c r="ZH34" s="205"/>
      <c r="ZI34" s="205"/>
      <c r="ZJ34" s="205"/>
      <c r="ZK34" s="205"/>
      <c r="ZL34" s="205"/>
      <c r="ZM34" s="205"/>
      <c r="ZN34" s="205"/>
      <c r="ZO34" s="205"/>
      <c r="ZP34" s="205"/>
      <c r="ZQ34" s="205"/>
      <c r="ZR34" s="205"/>
      <c r="ZS34" s="205"/>
      <c r="ZT34" s="205"/>
      <c r="ZU34" s="205"/>
      <c r="ZV34" s="205"/>
      <c r="ZW34" s="205"/>
      <c r="ZX34" s="205"/>
      <c r="ZY34" s="205"/>
      <c r="ZZ34" s="205"/>
      <c r="AAA34" s="205"/>
      <c r="AAB34" s="205"/>
      <c r="AAC34" s="205"/>
      <c r="AAD34" s="205"/>
      <c r="AAE34" s="205"/>
      <c r="AAF34" s="205"/>
      <c r="AAG34" s="205"/>
      <c r="AAH34" s="205"/>
      <c r="AAI34" s="205"/>
      <c r="AAJ34" s="205"/>
      <c r="AAK34" s="205"/>
      <c r="AAL34" s="205"/>
      <c r="AAM34" s="205"/>
      <c r="AAN34" s="205"/>
      <c r="AAO34" s="205"/>
      <c r="AAP34" s="205"/>
      <c r="AAQ34" s="205"/>
      <c r="AAR34" s="205"/>
      <c r="AAS34" s="205"/>
      <c r="AAT34" s="205"/>
      <c r="AAU34" s="205"/>
      <c r="AAV34" s="205"/>
      <c r="AAW34" s="205"/>
      <c r="AAX34" s="205"/>
      <c r="AAY34" s="205"/>
      <c r="AAZ34" s="205"/>
      <c r="ABA34" s="205"/>
      <c r="ABB34" s="205"/>
      <c r="ABC34" s="205"/>
      <c r="ABD34" s="205"/>
      <c r="ABE34" s="205"/>
      <c r="ABF34" s="205"/>
      <c r="ABG34" s="205"/>
      <c r="ABH34" s="205"/>
      <c r="ABI34" s="205"/>
      <c r="ABJ34" s="205"/>
      <c r="ABK34" s="205"/>
      <c r="ABL34" s="205"/>
      <c r="ABM34" s="205"/>
      <c r="ABN34" s="205"/>
      <c r="ABO34" s="205"/>
      <c r="ABP34" s="205"/>
      <c r="ABQ34" s="205"/>
      <c r="ABR34" s="205"/>
      <c r="ABS34" s="205"/>
      <c r="ABT34" s="205"/>
      <c r="ABU34" s="205"/>
      <c r="ABV34" s="205"/>
      <c r="ABW34" s="205"/>
      <c r="ABX34" s="205"/>
      <c r="ABY34" s="205"/>
      <c r="ABZ34" s="205"/>
      <c r="ACA34" s="205"/>
      <c r="ACB34" s="205"/>
      <c r="ACC34" s="205"/>
      <c r="ACD34" s="205"/>
      <c r="ACE34" s="205"/>
      <c r="ACF34" s="205"/>
      <c r="ACG34" s="205"/>
      <c r="ACH34" s="205"/>
      <c r="ACI34" s="205"/>
      <c r="ACJ34" s="205"/>
      <c r="ACK34" s="205"/>
      <c r="ACL34" s="205"/>
      <c r="ACM34" s="205"/>
      <c r="ACN34" s="205"/>
      <c r="ACO34" s="205"/>
      <c r="ACP34" s="205"/>
      <c r="ACQ34" s="205"/>
      <c r="ACR34" s="205"/>
      <c r="ACS34" s="205"/>
      <c r="ACT34" s="205"/>
      <c r="ACU34" s="205"/>
      <c r="ACV34" s="205"/>
      <c r="ACW34" s="205"/>
      <c r="ACX34" s="205"/>
      <c r="ACY34" s="205"/>
      <c r="ACZ34" s="205"/>
      <c r="ADA34" s="205"/>
      <c r="ADB34" s="205"/>
      <c r="ADC34" s="205"/>
      <c r="ADD34" s="205"/>
      <c r="ADE34" s="205"/>
      <c r="ADF34" s="205"/>
      <c r="ADG34" s="205"/>
      <c r="ADH34" s="205"/>
      <c r="ADI34" s="205"/>
      <c r="ADJ34" s="205"/>
      <c r="ADK34" s="205"/>
      <c r="ADL34" s="205"/>
      <c r="ADM34" s="205"/>
      <c r="ADN34" s="205"/>
      <c r="ADO34" s="205"/>
      <c r="ADP34" s="205"/>
      <c r="ADQ34" s="205"/>
      <c r="ADR34" s="205"/>
      <c r="ADS34" s="205"/>
      <c r="ADT34" s="205"/>
      <c r="ADU34" s="205"/>
      <c r="ADV34" s="205"/>
      <c r="ADW34" s="205"/>
      <c r="ADX34" s="205"/>
      <c r="ADY34" s="205"/>
      <c r="ADZ34" s="205"/>
      <c r="AEA34" s="205"/>
      <c r="AEB34" s="205"/>
      <c r="AEC34" s="205"/>
      <c r="AED34" s="205"/>
      <c r="AEE34" s="205"/>
      <c r="AEF34" s="205"/>
      <c r="AEG34" s="205"/>
      <c r="AEH34" s="205"/>
      <c r="AEI34" s="205"/>
      <c r="AEJ34" s="205"/>
      <c r="AEK34" s="205"/>
      <c r="AEL34" s="205"/>
      <c r="AEM34" s="205"/>
      <c r="AEN34" s="205"/>
      <c r="AEO34" s="205"/>
      <c r="AEP34" s="205"/>
      <c r="AEQ34" s="205"/>
      <c r="AER34" s="205"/>
      <c r="AES34" s="205"/>
      <c r="AET34" s="205"/>
      <c r="AEU34" s="205"/>
      <c r="AEV34" s="205"/>
      <c r="AEW34" s="205"/>
      <c r="AEX34" s="205"/>
      <c r="AEY34" s="205"/>
      <c r="AEZ34" s="205"/>
      <c r="AFA34" s="205"/>
      <c r="AFB34" s="205"/>
      <c r="AFC34" s="205"/>
      <c r="AFD34" s="205"/>
      <c r="AFE34" s="205"/>
      <c r="AFF34" s="205"/>
      <c r="AFG34" s="205"/>
      <c r="AFH34" s="205"/>
      <c r="AFI34" s="205"/>
      <c r="AFJ34" s="205"/>
      <c r="AFK34" s="205"/>
      <c r="AFL34" s="205"/>
      <c r="AFM34" s="205"/>
      <c r="AFN34" s="205"/>
      <c r="AFO34" s="205"/>
      <c r="AFP34" s="205"/>
      <c r="AFQ34" s="205"/>
      <c r="AFR34" s="205"/>
      <c r="AFS34" s="205"/>
      <c r="AFT34" s="205"/>
      <c r="AFU34" s="205"/>
      <c r="AFV34" s="205"/>
      <c r="AFW34" s="205"/>
      <c r="AFX34" s="205"/>
      <c r="AFY34" s="205"/>
      <c r="AFZ34" s="205"/>
      <c r="AGA34" s="205"/>
      <c r="AGB34" s="205"/>
      <c r="AGC34" s="205"/>
      <c r="AGD34" s="205"/>
      <c r="AGE34" s="205"/>
      <c r="AGF34" s="205"/>
      <c r="AGG34" s="205"/>
      <c r="AGH34" s="205"/>
      <c r="AGI34" s="205"/>
      <c r="AGJ34" s="205"/>
      <c r="AGK34" s="205"/>
      <c r="AGL34" s="205"/>
      <c r="AGM34" s="205"/>
      <c r="AGN34" s="205"/>
      <c r="AGO34" s="205"/>
      <c r="AGP34" s="205"/>
      <c r="AGQ34" s="205"/>
      <c r="AGR34" s="205"/>
      <c r="AGS34" s="205"/>
      <c r="AGT34" s="205"/>
      <c r="AGU34" s="205"/>
      <c r="AGV34" s="205"/>
      <c r="AGW34" s="205"/>
      <c r="AGX34" s="205"/>
      <c r="AGY34" s="205"/>
      <c r="AGZ34" s="205"/>
      <c r="AHA34" s="205"/>
      <c r="AHB34" s="205"/>
      <c r="AHC34" s="205"/>
      <c r="AHD34" s="205"/>
      <c r="AHE34" s="205"/>
      <c r="AHF34" s="205"/>
      <c r="AHG34" s="205"/>
      <c r="AHH34" s="205"/>
      <c r="AHI34" s="205"/>
      <c r="AHJ34" s="205"/>
      <c r="AHK34" s="205"/>
      <c r="AHL34" s="205"/>
      <c r="AHM34" s="205"/>
      <c r="AHN34" s="205"/>
      <c r="AHO34" s="205"/>
      <c r="AHP34" s="205"/>
      <c r="AHQ34" s="205"/>
      <c r="AHR34" s="205"/>
      <c r="AHS34" s="205"/>
      <c r="AHT34" s="205"/>
      <c r="AHU34" s="205"/>
      <c r="AHV34" s="205"/>
      <c r="AHW34" s="205"/>
      <c r="AHX34" s="205"/>
      <c r="AHY34" s="205"/>
      <c r="AHZ34" s="205"/>
      <c r="AIA34" s="205"/>
      <c r="AIB34" s="205"/>
      <c r="AIC34" s="205"/>
      <c r="AID34" s="205"/>
      <c r="AIE34" s="205"/>
      <c r="AIF34" s="205"/>
      <c r="AIG34" s="205"/>
      <c r="AIH34" s="205"/>
      <c r="AII34" s="205"/>
      <c r="AIJ34" s="205"/>
      <c r="AIK34" s="205"/>
      <c r="AIL34" s="205"/>
      <c r="AIM34" s="205"/>
      <c r="AIN34" s="205"/>
      <c r="AIO34" s="205"/>
      <c r="AIP34" s="205"/>
      <c r="AIQ34" s="205"/>
      <c r="AIR34" s="205"/>
      <c r="AIS34" s="205"/>
      <c r="AIT34" s="205"/>
      <c r="AIU34" s="205"/>
      <c r="AIV34" s="205"/>
      <c r="AIW34" s="205"/>
      <c r="AIX34" s="205"/>
      <c r="AIY34" s="205"/>
      <c r="AIZ34" s="205"/>
      <c r="AJA34" s="205"/>
      <c r="AJB34" s="205"/>
      <c r="AJC34" s="205"/>
      <c r="AJD34" s="205"/>
      <c r="AJE34" s="205"/>
      <c r="AJF34" s="205"/>
      <c r="AJG34" s="205"/>
      <c r="AJH34" s="205"/>
      <c r="AJI34" s="205"/>
      <c r="AJJ34" s="205"/>
      <c r="AJK34" s="205"/>
      <c r="AJL34" s="205"/>
      <c r="AJM34" s="205"/>
      <c r="AJN34" s="205"/>
      <c r="AJO34" s="205"/>
      <c r="AJP34" s="205"/>
      <c r="AJQ34" s="205"/>
      <c r="AJR34" s="205"/>
      <c r="AJS34" s="205"/>
      <c r="AJT34" s="205"/>
      <c r="AJU34" s="205"/>
      <c r="AJV34" s="205"/>
      <c r="AJW34" s="205"/>
      <c r="AJX34" s="205"/>
      <c r="AJY34" s="205"/>
      <c r="AJZ34" s="205"/>
      <c r="AKA34" s="205"/>
      <c r="AKB34" s="205"/>
      <c r="AKC34" s="205"/>
      <c r="AKD34" s="205"/>
      <c r="AKE34" s="205"/>
      <c r="AKF34" s="205"/>
      <c r="AKG34" s="205"/>
      <c r="AKH34" s="205"/>
      <c r="AKI34" s="205"/>
      <c r="AKJ34" s="205"/>
      <c r="AKK34" s="205"/>
      <c r="AKL34" s="205"/>
      <c r="AKM34" s="205"/>
      <c r="AKN34" s="205"/>
      <c r="AKO34" s="205"/>
      <c r="AKP34" s="205"/>
      <c r="AKQ34" s="205"/>
      <c r="AKR34" s="205"/>
      <c r="AKS34" s="205"/>
      <c r="AKT34" s="205"/>
      <c r="AKU34" s="205"/>
      <c r="AKV34" s="205"/>
      <c r="AKW34" s="205"/>
      <c r="AKX34" s="205"/>
      <c r="AKY34" s="205"/>
      <c r="AKZ34" s="205"/>
      <c r="ALA34" s="205"/>
      <c r="ALB34" s="205"/>
      <c r="ALC34" s="205"/>
      <c r="ALD34" s="205"/>
      <c r="ALE34" s="205"/>
      <c r="ALF34" s="205"/>
      <c r="ALG34" s="205"/>
      <c r="ALH34" s="205"/>
      <c r="ALI34" s="205"/>
      <c r="ALJ34" s="205"/>
      <c r="ALK34" s="205"/>
      <c r="ALL34" s="205"/>
      <c r="ALM34" s="205"/>
      <c r="ALN34" s="205"/>
      <c r="ALO34" s="205"/>
      <c r="ALP34" s="205"/>
      <c r="ALQ34" s="205"/>
      <c r="ALR34" s="205"/>
      <c r="ALS34" s="205"/>
      <c r="ALT34" s="205"/>
      <c r="ALU34" s="205"/>
      <c r="ALV34" s="205"/>
      <c r="ALW34" s="205"/>
      <c r="ALX34" s="205"/>
      <c r="ALY34" s="205"/>
      <c r="ALZ34" s="205"/>
      <c r="AMA34" s="205"/>
      <c r="AMB34" s="205"/>
      <c r="AMC34" s="205"/>
      <c r="AMD34" s="205"/>
      <c r="AME34" s="205"/>
      <c r="AMF34" s="205"/>
      <c r="AMG34" s="205"/>
      <c r="AMH34" s="205"/>
      <c r="AMI34" s="205"/>
      <c r="AMJ34" s="205"/>
      <c r="AMK34" s="205"/>
      <c r="AML34" s="205"/>
      <c r="AMM34" s="205"/>
      <c r="AMN34" s="205"/>
      <c r="AMO34" s="205"/>
      <c r="AMP34" s="205"/>
      <c r="AMQ34" s="205"/>
      <c r="AMR34" s="205"/>
      <c r="AMS34" s="205"/>
      <c r="AMT34" s="205"/>
      <c r="AMU34" s="205"/>
      <c r="AMV34" s="205"/>
      <c r="AMW34" s="205"/>
      <c r="AMX34" s="205"/>
      <c r="AMY34" s="205"/>
      <c r="AMZ34" s="205"/>
      <c r="ANA34" s="205"/>
      <c r="ANB34" s="205"/>
      <c r="ANC34" s="205"/>
      <c r="AND34" s="205"/>
      <c r="ANE34" s="205"/>
      <c r="ANF34" s="205"/>
      <c r="ANG34" s="205"/>
      <c r="ANH34" s="205"/>
      <c r="ANI34" s="205"/>
      <c r="ANJ34" s="205"/>
      <c r="ANK34" s="205"/>
      <c r="ANL34" s="205"/>
      <c r="ANM34" s="205"/>
      <c r="ANN34" s="205"/>
      <c r="ANO34" s="205"/>
      <c r="ANP34" s="205"/>
      <c r="ANQ34" s="205"/>
      <c r="ANR34" s="205"/>
      <c r="ANS34" s="205"/>
      <c r="ANT34" s="205"/>
      <c r="ANU34" s="205"/>
      <c r="ANV34" s="205"/>
      <c r="ANW34" s="205"/>
      <c r="ANX34" s="205"/>
      <c r="ANY34" s="205"/>
      <c r="ANZ34" s="205"/>
      <c r="AOA34" s="205"/>
      <c r="AOB34" s="205"/>
      <c r="AOC34" s="205"/>
      <c r="AOD34" s="205"/>
      <c r="AOE34" s="205"/>
      <c r="AOF34" s="205"/>
      <c r="AOG34" s="205"/>
      <c r="AOH34" s="205"/>
      <c r="AOI34" s="205"/>
      <c r="AOJ34" s="205"/>
      <c r="AOK34" s="205"/>
      <c r="AOL34" s="205"/>
      <c r="AOM34" s="205"/>
      <c r="AON34" s="205"/>
      <c r="AOO34" s="205"/>
      <c r="AOP34" s="205"/>
      <c r="AOQ34" s="205"/>
      <c r="AOR34" s="205"/>
      <c r="AOS34" s="205"/>
      <c r="AOT34" s="205"/>
      <c r="AOU34" s="205"/>
      <c r="AOV34" s="205"/>
      <c r="AOW34" s="205"/>
      <c r="AOX34" s="205"/>
      <c r="AOY34" s="205"/>
      <c r="AOZ34" s="205"/>
      <c r="APA34" s="205"/>
      <c r="APB34" s="205"/>
      <c r="APC34" s="205"/>
      <c r="APD34" s="205"/>
      <c r="APE34" s="205"/>
      <c r="APF34" s="205"/>
      <c r="APG34" s="205"/>
      <c r="APH34" s="205"/>
      <c r="API34" s="205"/>
      <c r="APJ34" s="205"/>
      <c r="APK34" s="205"/>
      <c r="APL34" s="205"/>
      <c r="APM34" s="205"/>
      <c r="APN34" s="205"/>
      <c r="APO34" s="205"/>
      <c r="APP34" s="205"/>
      <c r="APQ34" s="205"/>
      <c r="APR34" s="205"/>
      <c r="APS34" s="205"/>
      <c r="APT34" s="205"/>
      <c r="APU34" s="205"/>
      <c r="APV34" s="205"/>
      <c r="APW34" s="205"/>
      <c r="APX34" s="205"/>
      <c r="APY34" s="205"/>
      <c r="APZ34" s="205"/>
      <c r="AQA34" s="205"/>
      <c r="AQB34" s="205"/>
      <c r="AQC34" s="205"/>
      <c r="AQD34" s="205"/>
      <c r="AQE34" s="205"/>
      <c r="AQF34" s="205"/>
      <c r="AQG34" s="205"/>
      <c r="AQH34" s="205"/>
      <c r="AQI34" s="205"/>
      <c r="AQJ34" s="205"/>
      <c r="AQK34" s="205"/>
      <c r="AQL34" s="205"/>
      <c r="AQM34" s="205"/>
      <c r="AQN34" s="205"/>
      <c r="AQO34" s="205"/>
      <c r="AQP34" s="205"/>
      <c r="AQQ34" s="205"/>
      <c r="AQR34" s="205"/>
      <c r="AQS34" s="205"/>
      <c r="AQT34" s="205"/>
      <c r="AQU34" s="205"/>
      <c r="AQV34" s="205"/>
      <c r="AQW34" s="205"/>
      <c r="AQX34" s="205"/>
      <c r="AQY34" s="205"/>
      <c r="AQZ34" s="205"/>
      <c r="ARA34" s="205"/>
      <c r="ARB34" s="205"/>
      <c r="ARC34" s="205"/>
      <c r="ARD34" s="205"/>
      <c r="ARE34" s="205"/>
      <c r="ARF34" s="205"/>
      <c r="ARG34" s="205"/>
      <c r="ARH34" s="205"/>
      <c r="ARI34" s="205"/>
      <c r="ARJ34" s="205"/>
      <c r="ARK34" s="205"/>
      <c r="ARL34" s="205"/>
      <c r="ARM34" s="205"/>
      <c r="ARN34" s="205"/>
      <c r="ARO34" s="205"/>
      <c r="ARP34" s="205"/>
      <c r="ARQ34" s="205"/>
      <c r="ARR34" s="205"/>
      <c r="ARS34" s="205"/>
      <c r="ART34" s="205"/>
      <c r="ARU34" s="205"/>
      <c r="ARV34" s="205"/>
      <c r="ARW34" s="205"/>
      <c r="ARX34" s="205"/>
      <c r="ARY34" s="205"/>
      <c r="ARZ34" s="205"/>
      <c r="ASA34" s="205"/>
      <c r="ASB34" s="205"/>
      <c r="ASC34" s="205"/>
      <c r="ASD34" s="205"/>
      <c r="ASE34" s="205"/>
      <c r="ASF34" s="205"/>
      <c r="ASG34" s="205"/>
      <c r="ASH34" s="205"/>
      <c r="ASI34" s="205"/>
      <c r="ASJ34" s="205"/>
      <c r="ASK34" s="205"/>
      <c r="ASL34" s="205"/>
      <c r="ASM34" s="205"/>
      <c r="ASN34" s="205"/>
      <c r="ASO34" s="205"/>
      <c r="ASP34" s="205"/>
      <c r="ASQ34" s="205"/>
      <c r="ASR34" s="205"/>
      <c r="ASS34" s="205"/>
      <c r="AST34" s="205"/>
      <c r="ASU34" s="205"/>
      <c r="ASV34" s="205"/>
      <c r="ASW34" s="205"/>
      <c r="ASX34" s="205"/>
      <c r="ASY34" s="205"/>
      <c r="ASZ34" s="205"/>
      <c r="ATA34" s="205"/>
      <c r="ATB34" s="205"/>
      <c r="ATC34" s="205"/>
      <c r="ATD34" s="205"/>
      <c r="ATE34" s="205"/>
      <c r="ATF34" s="205"/>
      <c r="ATG34" s="205"/>
      <c r="ATH34" s="205"/>
      <c r="ATI34" s="205"/>
      <c r="ATJ34" s="205"/>
      <c r="ATK34" s="205"/>
      <c r="ATL34" s="205"/>
      <c r="ATM34" s="205"/>
      <c r="ATN34" s="205"/>
      <c r="ATO34" s="205"/>
      <c r="ATP34" s="205"/>
      <c r="ATQ34" s="205"/>
      <c r="ATR34" s="205"/>
      <c r="ATS34" s="205"/>
      <c r="ATT34" s="205"/>
      <c r="ATU34" s="205"/>
      <c r="ATV34" s="205"/>
      <c r="ATW34" s="205"/>
      <c r="ATX34" s="205"/>
      <c r="ATY34" s="205"/>
      <c r="ATZ34" s="205"/>
      <c r="AUA34" s="205"/>
      <c r="AUB34" s="205"/>
      <c r="AUC34" s="205"/>
      <c r="AUD34" s="205"/>
      <c r="AUE34" s="205"/>
      <c r="AUF34" s="205"/>
      <c r="AUG34" s="205"/>
      <c r="AUH34" s="205"/>
      <c r="AUI34" s="205"/>
      <c r="AUJ34" s="205"/>
      <c r="AUK34" s="205"/>
      <c r="AUL34" s="205"/>
      <c r="AUM34" s="205"/>
      <c r="AUN34" s="205"/>
      <c r="AUO34" s="205"/>
      <c r="AUP34" s="205"/>
      <c r="AUQ34" s="205"/>
      <c r="AUR34" s="205"/>
      <c r="AUS34" s="205"/>
      <c r="AUT34" s="205"/>
      <c r="AUU34" s="205"/>
      <c r="AUV34" s="205"/>
      <c r="AUW34" s="205"/>
      <c r="AUX34" s="205"/>
      <c r="AUY34" s="205"/>
      <c r="AUZ34" s="205"/>
      <c r="AVA34" s="205"/>
      <c r="AVB34" s="205"/>
      <c r="AVC34" s="205"/>
      <c r="AVD34" s="205"/>
      <c r="AVE34" s="205"/>
      <c r="AVF34" s="205"/>
      <c r="AVG34" s="205"/>
      <c r="AVH34" s="205"/>
      <c r="AVI34" s="205"/>
      <c r="AVJ34" s="205"/>
      <c r="AVK34" s="205"/>
      <c r="AVL34" s="205"/>
      <c r="AVM34" s="205"/>
      <c r="AVN34" s="205"/>
      <c r="AVO34" s="205"/>
      <c r="AVP34" s="205"/>
      <c r="AVQ34" s="205"/>
      <c r="AVR34" s="205"/>
      <c r="AVS34" s="205"/>
      <c r="AVT34" s="205"/>
      <c r="AVU34" s="205"/>
      <c r="AVV34" s="205"/>
      <c r="AVW34" s="205"/>
      <c r="AVX34" s="205"/>
      <c r="AVY34" s="205"/>
      <c r="AVZ34" s="205"/>
      <c r="AWA34" s="205"/>
      <c r="AWB34" s="205"/>
      <c r="AWC34" s="205"/>
      <c r="AWD34" s="205"/>
      <c r="AWE34" s="205"/>
      <c r="AWF34" s="205"/>
      <c r="AWG34" s="205"/>
      <c r="AWH34" s="205"/>
      <c r="AWI34" s="205"/>
      <c r="AWJ34" s="205"/>
      <c r="AWK34" s="205"/>
      <c r="AWL34" s="205"/>
      <c r="AWM34" s="205"/>
      <c r="AWN34" s="205"/>
      <c r="AWO34" s="205"/>
      <c r="AWP34" s="205"/>
      <c r="AWQ34" s="205"/>
      <c r="AWR34" s="205"/>
      <c r="AWS34" s="205"/>
      <c r="AWT34" s="205"/>
      <c r="AWU34" s="205"/>
      <c r="AWV34" s="205"/>
      <c r="AWW34" s="205"/>
      <c r="AWX34" s="205"/>
      <c r="AWY34" s="205"/>
      <c r="AWZ34" s="205"/>
      <c r="AXA34" s="205"/>
      <c r="AXB34" s="205"/>
      <c r="AXC34" s="205"/>
      <c r="AXD34" s="205"/>
      <c r="AXE34" s="205"/>
      <c r="AXF34" s="205"/>
      <c r="AXG34" s="205"/>
      <c r="AXH34" s="205"/>
      <c r="AXI34" s="205"/>
      <c r="AXJ34" s="205"/>
      <c r="AXK34" s="205"/>
      <c r="AXL34" s="205"/>
      <c r="AXM34" s="205"/>
      <c r="AXN34" s="205"/>
      <c r="AXO34" s="205"/>
      <c r="AXP34" s="205"/>
      <c r="AXQ34" s="205"/>
      <c r="AXR34" s="205"/>
      <c r="AXS34" s="205"/>
      <c r="AXT34" s="205"/>
      <c r="AXU34" s="205"/>
      <c r="AXV34" s="205"/>
      <c r="AXW34" s="205"/>
      <c r="AXX34" s="205"/>
      <c r="AXY34" s="205"/>
      <c r="AXZ34" s="205"/>
      <c r="AYA34" s="205"/>
      <c r="AYB34" s="205"/>
      <c r="AYC34" s="205"/>
      <c r="AYD34" s="205"/>
      <c r="AYE34" s="205"/>
      <c r="AYF34" s="205"/>
      <c r="AYG34" s="205"/>
      <c r="AYH34" s="205"/>
      <c r="AYI34" s="205"/>
      <c r="AYJ34" s="205"/>
      <c r="AYK34" s="205"/>
      <c r="AYL34" s="205"/>
      <c r="AYM34" s="205"/>
      <c r="AYN34" s="205"/>
      <c r="AYO34" s="205"/>
      <c r="AYP34" s="205"/>
      <c r="AYQ34" s="205"/>
      <c r="AYR34" s="205"/>
      <c r="AYS34" s="205"/>
      <c r="AYT34" s="205"/>
      <c r="AYU34" s="205"/>
      <c r="AYV34" s="205"/>
      <c r="AYW34" s="205"/>
      <c r="AYX34" s="205"/>
      <c r="AYY34" s="205"/>
      <c r="AYZ34" s="205"/>
      <c r="AZA34" s="205"/>
      <c r="AZB34" s="205"/>
      <c r="AZC34" s="205"/>
      <c r="AZD34" s="205"/>
      <c r="AZE34" s="205"/>
      <c r="AZF34" s="205"/>
      <c r="AZG34" s="205"/>
      <c r="AZH34" s="205"/>
      <c r="AZI34" s="205"/>
      <c r="AZJ34" s="205"/>
      <c r="AZK34" s="205"/>
      <c r="AZL34" s="205"/>
      <c r="AZM34" s="205"/>
      <c r="AZN34" s="205"/>
      <c r="AZO34" s="205"/>
      <c r="AZP34" s="205"/>
      <c r="AZQ34" s="205"/>
      <c r="AZR34" s="205"/>
      <c r="AZS34" s="205"/>
      <c r="AZT34" s="205"/>
      <c r="AZU34" s="205"/>
      <c r="AZV34" s="205"/>
      <c r="AZW34" s="205"/>
      <c r="AZX34" s="205"/>
      <c r="AZY34" s="205"/>
      <c r="AZZ34" s="205"/>
      <c r="BAA34" s="205"/>
      <c r="BAB34" s="205"/>
      <c r="BAC34" s="205"/>
      <c r="BAD34" s="205"/>
      <c r="BAE34" s="205"/>
      <c r="BAF34" s="205"/>
      <c r="BAG34" s="205"/>
      <c r="BAH34" s="205"/>
      <c r="BAI34" s="205"/>
      <c r="BAJ34" s="205"/>
      <c r="BAK34" s="205"/>
      <c r="BAL34" s="205"/>
      <c r="BAM34" s="205"/>
      <c r="BAN34" s="205"/>
      <c r="BAO34" s="205"/>
      <c r="BAP34" s="205"/>
      <c r="BAQ34" s="205"/>
      <c r="BAR34" s="205"/>
      <c r="BAS34" s="205"/>
      <c r="BAT34" s="205"/>
      <c r="BAU34" s="205"/>
      <c r="BAV34" s="205"/>
      <c r="BAW34" s="205"/>
      <c r="BAX34" s="205"/>
      <c r="BAY34" s="205"/>
      <c r="BAZ34" s="205"/>
      <c r="BBA34" s="205"/>
      <c r="BBB34" s="205"/>
      <c r="BBC34" s="205"/>
      <c r="BBD34" s="205"/>
      <c r="BBE34" s="205"/>
      <c r="BBF34" s="205"/>
      <c r="BBG34" s="205"/>
      <c r="BBH34" s="205"/>
      <c r="BBI34" s="205"/>
      <c r="BBJ34" s="205"/>
      <c r="BBK34" s="205"/>
      <c r="BBL34" s="205"/>
      <c r="BBM34" s="205"/>
      <c r="BBN34" s="205"/>
      <c r="BBO34" s="205"/>
      <c r="BBP34" s="205"/>
      <c r="BBQ34" s="205"/>
      <c r="BBR34" s="205"/>
      <c r="BBS34" s="205"/>
      <c r="BBT34" s="205"/>
      <c r="BBU34" s="205"/>
      <c r="BBV34" s="205"/>
      <c r="BBW34" s="205"/>
      <c r="BBX34" s="205"/>
      <c r="BBY34" s="205"/>
      <c r="BBZ34" s="205"/>
      <c r="BCA34" s="205"/>
      <c r="BCB34" s="205"/>
      <c r="BCC34" s="205"/>
      <c r="BCD34" s="205"/>
      <c r="BCE34" s="205"/>
      <c r="BCF34" s="205"/>
      <c r="BCG34" s="205"/>
      <c r="BCH34" s="205"/>
      <c r="BCI34" s="205"/>
      <c r="BCJ34" s="205"/>
      <c r="BCK34" s="205"/>
      <c r="BCL34" s="205"/>
      <c r="BCM34" s="205"/>
      <c r="BCN34" s="205"/>
      <c r="BCO34" s="205"/>
      <c r="BCP34" s="205"/>
      <c r="BCQ34" s="205"/>
      <c r="BCR34" s="205"/>
      <c r="BCS34" s="205"/>
      <c r="BCT34" s="205"/>
      <c r="BCU34" s="205"/>
      <c r="BCV34" s="205"/>
      <c r="BCW34" s="205"/>
      <c r="BCX34" s="205"/>
      <c r="BCY34" s="205"/>
      <c r="BCZ34" s="205"/>
      <c r="BDA34" s="205"/>
      <c r="BDB34" s="205"/>
      <c r="BDC34" s="205"/>
      <c r="BDD34" s="205"/>
      <c r="BDE34" s="205"/>
      <c r="BDF34" s="205"/>
      <c r="BDG34" s="205"/>
      <c r="BDH34" s="205"/>
      <c r="BDI34" s="205"/>
      <c r="BDJ34" s="205"/>
      <c r="BDK34" s="205"/>
      <c r="BDL34" s="205"/>
      <c r="BDM34" s="205"/>
      <c r="BDN34" s="205"/>
      <c r="BDO34" s="205"/>
      <c r="BDP34" s="205"/>
      <c r="BDQ34" s="205"/>
      <c r="BDR34" s="205"/>
      <c r="BDS34" s="205"/>
      <c r="BDT34" s="205"/>
      <c r="BDU34" s="205"/>
      <c r="BDV34" s="205"/>
      <c r="BDW34" s="205"/>
      <c r="BDX34" s="205"/>
      <c r="BDY34" s="205"/>
      <c r="BDZ34" s="205"/>
      <c r="BEA34" s="205"/>
      <c r="BEB34" s="205"/>
      <c r="BEC34" s="205"/>
      <c r="BED34" s="205"/>
      <c r="BEE34" s="205"/>
      <c r="BEF34" s="205"/>
      <c r="BEG34" s="205"/>
      <c r="BEH34" s="205"/>
      <c r="BEI34" s="205"/>
      <c r="BEJ34" s="205"/>
      <c r="BEK34" s="205"/>
      <c r="BEL34" s="205"/>
      <c r="BEM34" s="205"/>
      <c r="BEN34" s="205"/>
      <c r="BEO34" s="205"/>
      <c r="BEP34" s="205"/>
      <c r="BEQ34" s="205"/>
      <c r="BER34" s="205"/>
      <c r="BES34" s="205"/>
      <c r="BET34" s="205"/>
      <c r="BEU34" s="205"/>
      <c r="BEV34" s="205"/>
      <c r="BEW34" s="205"/>
      <c r="BEX34" s="205"/>
      <c r="BEY34" s="205"/>
      <c r="BEZ34" s="205"/>
      <c r="BFA34" s="205"/>
      <c r="BFB34" s="205"/>
      <c r="BFC34" s="205"/>
      <c r="BFD34" s="205"/>
      <c r="BFE34" s="205"/>
      <c r="BFF34" s="205"/>
      <c r="BFG34" s="205"/>
      <c r="BFH34" s="205"/>
      <c r="BFI34" s="205"/>
      <c r="BFJ34" s="205"/>
      <c r="BFK34" s="205"/>
      <c r="BFL34" s="205"/>
      <c r="BFM34" s="205"/>
      <c r="BFN34" s="205"/>
      <c r="BFO34" s="205"/>
      <c r="BFP34" s="205"/>
      <c r="BFQ34" s="205"/>
      <c r="BFR34" s="205"/>
      <c r="BFS34" s="205"/>
      <c r="BFT34" s="205"/>
      <c r="BFU34" s="205"/>
      <c r="BFV34" s="205"/>
      <c r="BFW34" s="205"/>
      <c r="BFX34" s="205"/>
      <c r="BFY34" s="205"/>
      <c r="BFZ34" s="205"/>
      <c r="BGA34" s="205"/>
      <c r="BGB34" s="205"/>
      <c r="BGC34" s="205"/>
      <c r="BGD34" s="205"/>
      <c r="BGE34" s="205"/>
      <c r="BGF34" s="205"/>
      <c r="BGG34" s="205"/>
      <c r="BGH34" s="205"/>
      <c r="BGI34" s="205"/>
      <c r="BGJ34" s="205"/>
      <c r="BGK34" s="205"/>
      <c r="BGL34" s="205"/>
      <c r="BGM34" s="205"/>
      <c r="BGN34" s="205"/>
      <c r="BGO34" s="205"/>
      <c r="BGP34" s="205"/>
      <c r="BGQ34" s="205"/>
      <c r="BGR34" s="205"/>
      <c r="BGS34" s="205"/>
      <c r="BGT34" s="205"/>
      <c r="BGU34" s="205"/>
      <c r="BGV34" s="205"/>
      <c r="BGW34" s="205"/>
      <c r="BGX34" s="205"/>
      <c r="BGY34" s="205"/>
      <c r="BGZ34" s="205"/>
      <c r="BHA34" s="205"/>
      <c r="BHB34" s="205"/>
      <c r="BHC34" s="205"/>
      <c r="BHD34" s="205"/>
      <c r="BHE34" s="205"/>
      <c r="BHF34" s="205"/>
      <c r="BHG34" s="205"/>
      <c r="BHH34" s="205"/>
      <c r="BHI34" s="205"/>
      <c r="BHJ34" s="205"/>
      <c r="BHK34" s="205"/>
      <c r="BHL34" s="205"/>
      <c r="BHM34" s="205"/>
      <c r="BHN34" s="205"/>
      <c r="BHO34" s="205"/>
      <c r="BHP34" s="205"/>
      <c r="BHQ34" s="205"/>
      <c r="BHR34" s="205"/>
      <c r="BHS34" s="205"/>
      <c r="BHT34" s="205"/>
      <c r="BHU34" s="205"/>
      <c r="BHV34" s="205"/>
      <c r="BHW34" s="205"/>
      <c r="BHX34" s="205"/>
      <c r="BHY34" s="205"/>
      <c r="BHZ34" s="205"/>
      <c r="BIA34" s="205"/>
      <c r="BIB34" s="205"/>
      <c r="BIC34" s="205"/>
      <c r="BID34" s="205"/>
      <c r="BIE34" s="205"/>
      <c r="BIF34" s="205"/>
      <c r="BIG34" s="205"/>
      <c r="BIH34" s="205"/>
      <c r="BII34" s="205"/>
      <c r="BIJ34" s="205"/>
      <c r="BIK34" s="205"/>
      <c r="BIL34" s="205"/>
      <c r="BIM34" s="205"/>
      <c r="BIN34" s="205"/>
      <c r="BIO34" s="205"/>
      <c r="BIP34" s="205"/>
      <c r="BIQ34" s="205"/>
      <c r="BIR34" s="205"/>
      <c r="BIS34" s="205"/>
      <c r="BIT34" s="205"/>
      <c r="BIU34" s="205"/>
      <c r="BIV34" s="205"/>
      <c r="BIW34" s="205"/>
      <c r="BIX34" s="205"/>
      <c r="BIY34" s="205"/>
      <c r="BIZ34" s="205"/>
      <c r="BJA34" s="205"/>
      <c r="BJB34" s="205"/>
      <c r="BJC34" s="205"/>
      <c r="BJD34" s="205"/>
      <c r="BJE34" s="205"/>
      <c r="BJF34" s="205"/>
      <c r="BJG34" s="205"/>
      <c r="BJH34" s="205"/>
      <c r="BJI34" s="205"/>
      <c r="BJJ34" s="205"/>
      <c r="BJK34" s="205"/>
      <c r="BJL34" s="205"/>
      <c r="BJM34" s="205"/>
      <c r="BJN34" s="205"/>
      <c r="BJO34" s="205"/>
      <c r="BJP34" s="205"/>
      <c r="BJQ34" s="205"/>
      <c r="BJR34" s="205"/>
      <c r="BJS34" s="205"/>
      <c r="BJT34" s="205"/>
      <c r="BJU34" s="205"/>
      <c r="BJV34" s="205"/>
      <c r="BJW34" s="205"/>
      <c r="BJX34" s="205"/>
      <c r="BJY34" s="205"/>
      <c r="BJZ34" s="205"/>
      <c r="BKA34" s="205"/>
      <c r="BKB34" s="205"/>
      <c r="BKC34" s="205"/>
      <c r="BKD34" s="205"/>
      <c r="BKE34" s="205"/>
      <c r="BKF34" s="205"/>
      <c r="BKG34" s="205"/>
      <c r="BKH34" s="205"/>
      <c r="BKI34" s="205"/>
      <c r="BKJ34" s="205"/>
      <c r="BKK34" s="205"/>
      <c r="BKL34" s="205"/>
      <c r="BKM34" s="205"/>
      <c r="BKN34" s="205"/>
      <c r="BKO34" s="205"/>
      <c r="BKP34" s="205"/>
      <c r="BKQ34" s="205"/>
      <c r="BKR34" s="205"/>
      <c r="BKS34" s="205"/>
      <c r="BKT34" s="205"/>
      <c r="BKU34" s="205"/>
      <c r="BKV34" s="205"/>
      <c r="BKW34" s="205"/>
      <c r="BKX34" s="205"/>
      <c r="BKY34" s="205"/>
      <c r="BKZ34" s="205"/>
      <c r="BLA34" s="205"/>
      <c r="BLB34" s="205"/>
      <c r="BLC34" s="205"/>
      <c r="BLD34" s="205"/>
      <c r="BLE34" s="205"/>
      <c r="BLF34" s="205"/>
      <c r="BLG34" s="205"/>
      <c r="BLH34" s="205"/>
      <c r="BLI34" s="205"/>
      <c r="BLJ34" s="205"/>
      <c r="BLK34" s="205"/>
      <c r="BLL34" s="205"/>
      <c r="BLM34" s="205"/>
      <c r="BLN34" s="205"/>
      <c r="BLO34" s="205"/>
      <c r="BLP34" s="205"/>
      <c r="BLQ34" s="205"/>
      <c r="BLR34" s="205"/>
      <c r="BLS34" s="205"/>
      <c r="BLT34" s="205"/>
      <c r="BLU34" s="205"/>
      <c r="BLV34" s="205"/>
      <c r="BLW34" s="205"/>
      <c r="BLX34" s="205"/>
      <c r="BLY34" s="205"/>
      <c r="BLZ34" s="205"/>
      <c r="BMA34" s="205"/>
      <c r="BMB34" s="205"/>
      <c r="BMC34" s="205"/>
      <c r="BMD34" s="205"/>
      <c r="BME34" s="205"/>
      <c r="BMF34" s="205"/>
      <c r="BMG34" s="205"/>
      <c r="BMH34" s="205"/>
      <c r="BMI34" s="205"/>
      <c r="BMJ34" s="205"/>
      <c r="BMK34" s="205"/>
      <c r="BML34" s="205"/>
      <c r="BMM34" s="205"/>
      <c r="BMN34" s="205"/>
      <c r="BMO34" s="205"/>
      <c r="BMP34" s="205"/>
      <c r="BMQ34" s="205"/>
      <c r="BMR34" s="205"/>
      <c r="BMS34" s="205"/>
      <c r="BMT34" s="205"/>
      <c r="BMU34" s="205"/>
      <c r="BMV34" s="205"/>
      <c r="BMW34" s="205"/>
      <c r="BMX34" s="205"/>
      <c r="BMY34" s="205"/>
      <c r="BMZ34" s="205"/>
      <c r="BNA34" s="205"/>
      <c r="BNB34" s="205"/>
      <c r="BNC34" s="205"/>
      <c r="BND34" s="205"/>
      <c r="BNE34" s="205"/>
      <c r="BNF34" s="205"/>
      <c r="BNG34" s="205"/>
      <c r="BNH34" s="205"/>
      <c r="BNI34" s="205"/>
      <c r="BNJ34" s="205"/>
      <c r="BNK34" s="205"/>
      <c r="BNL34" s="205"/>
      <c r="BNM34" s="205"/>
      <c r="BNN34" s="205"/>
      <c r="BNO34" s="205"/>
      <c r="BNP34" s="205"/>
      <c r="BNQ34" s="205"/>
      <c r="BNR34" s="205"/>
      <c r="BNS34" s="205"/>
      <c r="BNT34" s="205"/>
      <c r="BNU34" s="205"/>
      <c r="BNV34" s="205"/>
      <c r="BNW34" s="205"/>
      <c r="BNX34" s="205"/>
      <c r="BNY34" s="205"/>
      <c r="BNZ34" s="205"/>
      <c r="BOA34" s="205"/>
      <c r="BOB34" s="205"/>
      <c r="BOC34" s="205"/>
      <c r="BOD34" s="205"/>
      <c r="BOE34" s="205"/>
      <c r="BOF34" s="205"/>
      <c r="BOG34" s="205"/>
      <c r="BOH34" s="205"/>
      <c r="BOI34" s="205"/>
      <c r="BOJ34" s="205"/>
      <c r="BOK34" s="205"/>
      <c r="BOL34" s="205"/>
      <c r="BOM34" s="205"/>
      <c r="BON34" s="205"/>
      <c r="BOO34" s="205"/>
      <c r="BOP34" s="205"/>
      <c r="BOQ34" s="205"/>
      <c r="BOR34" s="205"/>
      <c r="BOS34" s="205"/>
      <c r="BOT34" s="205"/>
      <c r="BOU34" s="205"/>
      <c r="BOV34" s="205"/>
      <c r="BOW34" s="205"/>
      <c r="BOX34" s="205"/>
      <c r="BOY34" s="205"/>
      <c r="BOZ34" s="205"/>
      <c r="BPA34" s="205"/>
      <c r="BPB34" s="205"/>
      <c r="BPC34" s="205"/>
      <c r="BPD34" s="205"/>
      <c r="BPE34" s="205"/>
      <c r="BPF34" s="205"/>
      <c r="BPG34" s="205"/>
      <c r="BPH34" s="205"/>
      <c r="BPI34" s="205"/>
      <c r="BPJ34" s="205"/>
      <c r="BPK34" s="205"/>
      <c r="BPL34" s="205"/>
      <c r="BPM34" s="205"/>
      <c r="BPN34" s="205"/>
      <c r="BPO34" s="205"/>
      <c r="BPP34" s="205"/>
      <c r="BPQ34" s="205"/>
      <c r="BPR34" s="205"/>
      <c r="BPS34" s="205"/>
      <c r="BPT34" s="205"/>
      <c r="BPU34" s="205"/>
      <c r="BPV34" s="205"/>
      <c r="BPW34" s="205"/>
      <c r="BPX34" s="205"/>
      <c r="BPY34" s="205"/>
      <c r="BPZ34" s="205"/>
      <c r="BQA34" s="205"/>
      <c r="BQB34" s="205"/>
      <c r="BQC34" s="205"/>
      <c r="BQD34" s="205"/>
      <c r="BQE34" s="205"/>
      <c r="BQF34" s="205"/>
      <c r="BQG34" s="205"/>
      <c r="BQH34" s="205"/>
      <c r="BQI34" s="205"/>
      <c r="BQJ34" s="205"/>
      <c r="BQK34" s="205"/>
      <c r="BQL34" s="205"/>
      <c r="BQM34" s="205"/>
      <c r="BQN34" s="205"/>
      <c r="BQO34" s="205"/>
      <c r="BQP34" s="205"/>
      <c r="BQQ34" s="205"/>
      <c r="BQR34" s="205"/>
      <c r="BQS34" s="205"/>
      <c r="BQT34" s="205"/>
      <c r="BQU34" s="205"/>
      <c r="BQV34" s="205"/>
      <c r="BQW34" s="205"/>
      <c r="BQX34" s="205"/>
      <c r="BQY34" s="205"/>
      <c r="BQZ34" s="205"/>
      <c r="BRA34" s="205"/>
      <c r="BRB34" s="205"/>
      <c r="BRC34" s="205"/>
      <c r="BRD34" s="205"/>
      <c r="BRE34" s="205"/>
      <c r="BRF34" s="205"/>
      <c r="BRG34" s="205"/>
      <c r="BRH34" s="205"/>
      <c r="BRI34" s="205"/>
      <c r="BRJ34" s="205"/>
      <c r="BRK34" s="205"/>
      <c r="BRL34" s="205"/>
      <c r="BRM34" s="205"/>
      <c r="BRN34" s="205"/>
      <c r="BRO34" s="205"/>
      <c r="BRP34" s="205"/>
      <c r="BRQ34" s="205"/>
      <c r="BRR34" s="205"/>
      <c r="BRS34" s="205"/>
      <c r="BRT34" s="205"/>
      <c r="BRU34" s="205"/>
      <c r="BRV34" s="205"/>
      <c r="BRW34" s="205"/>
      <c r="BRX34" s="205"/>
      <c r="BRY34" s="205"/>
      <c r="BRZ34" s="205"/>
      <c r="BSA34" s="205"/>
      <c r="BSB34" s="205"/>
      <c r="BSC34" s="205"/>
      <c r="BSD34" s="205"/>
      <c r="BSE34" s="205"/>
      <c r="BSF34" s="205"/>
      <c r="BSG34" s="205"/>
      <c r="BSH34" s="205"/>
      <c r="BSI34" s="205"/>
      <c r="BSJ34" s="205"/>
      <c r="BSK34" s="205"/>
      <c r="BSL34" s="205"/>
      <c r="BSM34" s="205"/>
      <c r="BSN34" s="205"/>
      <c r="BSO34" s="205"/>
      <c r="BSP34" s="205"/>
      <c r="BSQ34" s="205"/>
      <c r="BSR34" s="205"/>
      <c r="BSS34" s="205"/>
      <c r="BST34" s="205"/>
      <c r="BSU34" s="205"/>
      <c r="BSV34" s="205"/>
      <c r="BSW34" s="205"/>
      <c r="BSX34" s="205"/>
      <c r="BSY34" s="205"/>
      <c r="BSZ34" s="205"/>
      <c r="BTA34" s="205"/>
      <c r="BTB34" s="205"/>
      <c r="BTC34" s="205"/>
      <c r="BTD34" s="205"/>
      <c r="BTE34" s="205"/>
      <c r="BTF34" s="205"/>
      <c r="BTG34" s="205"/>
      <c r="BTH34" s="205"/>
      <c r="BTI34" s="205"/>
      <c r="BTJ34" s="205"/>
      <c r="BTK34" s="205"/>
      <c r="BTL34" s="205"/>
      <c r="BTM34" s="205"/>
      <c r="BTN34" s="205"/>
      <c r="BTO34" s="205"/>
      <c r="BTP34" s="205"/>
      <c r="BTQ34" s="205"/>
      <c r="BTR34" s="205"/>
      <c r="BTS34" s="205"/>
      <c r="BTT34" s="205"/>
      <c r="BTU34" s="205"/>
      <c r="BTV34" s="205"/>
      <c r="BTW34" s="205"/>
      <c r="BTX34" s="205"/>
      <c r="BTY34" s="205"/>
      <c r="BTZ34" s="205"/>
      <c r="BUA34" s="205"/>
      <c r="BUB34" s="205"/>
      <c r="BUC34" s="205"/>
      <c r="BUD34" s="205"/>
      <c r="BUE34" s="205"/>
      <c r="BUF34" s="205"/>
      <c r="BUG34" s="205"/>
      <c r="BUH34" s="205"/>
      <c r="BUI34" s="205"/>
      <c r="BUJ34" s="205"/>
      <c r="BUK34" s="205"/>
      <c r="BUL34" s="205"/>
      <c r="BUM34" s="205"/>
      <c r="BUN34" s="205"/>
      <c r="BUO34" s="205"/>
      <c r="BUP34" s="205"/>
      <c r="BUQ34" s="205"/>
      <c r="BUR34" s="205"/>
      <c r="BUS34" s="205"/>
      <c r="BUT34" s="205"/>
      <c r="BUU34" s="205"/>
      <c r="BUV34" s="205"/>
      <c r="BUW34" s="205"/>
      <c r="BUX34" s="205"/>
      <c r="BUY34" s="205"/>
      <c r="BUZ34" s="205"/>
      <c r="BVA34" s="205"/>
      <c r="BVB34" s="205"/>
      <c r="BVC34" s="205"/>
      <c r="BVD34" s="205"/>
      <c r="BVE34" s="205"/>
      <c r="BVF34" s="205"/>
      <c r="BVG34" s="205"/>
      <c r="BVH34" s="205"/>
      <c r="BVI34" s="205"/>
      <c r="BVJ34" s="205"/>
      <c r="BVK34" s="205"/>
      <c r="BVL34" s="205"/>
      <c r="BVM34" s="205"/>
      <c r="BVN34" s="205"/>
      <c r="BVO34" s="205"/>
      <c r="BVP34" s="205"/>
      <c r="BVQ34" s="205"/>
      <c r="BVR34" s="205"/>
      <c r="BVS34" s="205"/>
      <c r="BVT34" s="205"/>
      <c r="BVU34" s="205"/>
      <c r="BVV34" s="205"/>
      <c r="BVW34" s="205"/>
      <c r="BVX34" s="205"/>
      <c r="BVY34" s="205"/>
      <c r="BVZ34" s="205"/>
      <c r="BWA34" s="205"/>
      <c r="BWB34" s="205"/>
      <c r="BWC34" s="205"/>
      <c r="BWD34" s="205"/>
      <c r="BWE34" s="205"/>
      <c r="BWF34" s="205"/>
      <c r="BWG34" s="205"/>
      <c r="BWH34" s="205"/>
      <c r="BWI34" s="205"/>
      <c r="BWJ34" s="205"/>
      <c r="BWK34" s="205"/>
      <c r="BWL34" s="205"/>
      <c r="BWM34" s="205"/>
      <c r="BWN34" s="205"/>
      <c r="BWO34" s="205"/>
      <c r="BWP34" s="205"/>
      <c r="BWQ34" s="205"/>
      <c r="BWR34" s="205"/>
      <c r="BWS34" s="205"/>
      <c r="BWT34" s="205"/>
      <c r="BWU34" s="205"/>
      <c r="BWV34" s="205"/>
      <c r="BWW34" s="205"/>
      <c r="BWX34" s="205"/>
      <c r="BWY34" s="205"/>
      <c r="BWZ34" s="205"/>
      <c r="BXA34" s="205"/>
      <c r="BXB34" s="205"/>
      <c r="BXC34" s="205"/>
      <c r="BXD34" s="205"/>
      <c r="BXE34" s="205"/>
      <c r="BXF34" s="205"/>
      <c r="BXG34" s="205"/>
      <c r="BXH34" s="205"/>
      <c r="BXI34" s="205"/>
      <c r="BXJ34" s="205"/>
      <c r="BXK34" s="205"/>
      <c r="BXL34" s="205"/>
      <c r="BXM34" s="205"/>
      <c r="BXN34" s="205"/>
      <c r="BXO34" s="205"/>
      <c r="BXP34" s="205"/>
      <c r="BXQ34" s="205"/>
      <c r="BXR34" s="205"/>
      <c r="BXS34" s="205"/>
      <c r="BXT34" s="205"/>
      <c r="BXU34" s="205"/>
      <c r="BXV34" s="205"/>
      <c r="BXW34" s="205"/>
      <c r="BXX34" s="205"/>
      <c r="BXY34" s="205"/>
      <c r="BXZ34" s="205"/>
      <c r="BYA34" s="205"/>
      <c r="BYB34" s="205"/>
      <c r="BYC34" s="205"/>
      <c r="BYD34" s="205"/>
      <c r="BYE34" s="205"/>
      <c r="BYF34" s="205"/>
      <c r="BYG34" s="205"/>
      <c r="BYH34" s="205"/>
      <c r="BYI34" s="205"/>
      <c r="BYJ34" s="205"/>
      <c r="BYK34" s="205"/>
      <c r="BYL34" s="205"/>
      <c r="BYM34" s="205"/>
      <c r="BYN34" s="205"/>
      <c r="BYO34" s="205"/>
      <c r="BYP34" s="205"/>
      <c r="BYQ34" s="205"/>
      <c r="BYR34" s="205"/>
      <c r="BYS34" s="205"/>
      <c r="BYT34" s="205"/>
      <c r="BYU34" s="205"/>
      <c r="BYV34" s="205"/>
      <c r="BYW34" s="205"/>
      <c r="BYX34" s="205"/>
      <c r="BYY34" s="205"/>
      <c r="BYZ34" s="205"/>
      <c r="BZA34" s="205"/>
      <c r="BZB34" s="205"/>
      <c r="BZC34" s="205"/>
      <c r="BZD34" s="205"/>
      <c r="BZE34" s="205"/>
      <c r="BZF34" s="205"/>
      <c r="BZG34" s="205"/>
      <c r="BZH34" s="205"/>
      <c r="BZI34" s="205"/>
      <c r="BZJ34" s="205"/>
      <c r="BZK34" s="205"/>
      <c r="BZL34" s="205"/>
      <c r="BZM34" s="205"/>
      <c r="BZN34" s="205"/>
      <c r="BZO34" s="205"/>
      <c r="BZP34" s="205"/>
      <c r="BZQ34" s="205"/>
      <c r="BZR34" s="205"/>
      <c r="BZS34" s="205"/>
      <c r="BZT34" s="205"/>
      <c r="BZU34" s="205"/>
      <c r="BZV34" s="205"/>
      <c r="BZW34" s="205"/>
      <c r="BZX34" s="205"/>
      <c r="BZY34" s="205"/>
      <c r="BZZ34" s="205"/>
      <c r="CAA34" s="205"/>
      <c r="CAB34" s="205"/>
      <c r="CAC34" s="205"/>
      <c r="CAD34" s="205"/>
      <c r="CAE34" s="205"/>
      <c r="CAF34" s="205"/>
      <c r="CAG34" s="205"/>
      <c r="CAH34" s="205"/>
      <c r="CAI34" s="205"/>
      <c r="CAJ34" s="205"/>
      <c r="CAK34" s="205"/>
      <c r="CAL34" s="205"/>
      <c r="CAM34" s="205"/>
      <c r="CAN34" s="205"/>
      <c r="CAO34" s="205"/>
      <c r="CAP34" s="205"/>
      <c r="CAQ34" s="205"/>
      <c r="CAR34" s="205"/>
      <c r="CAS34" s="205"/>
      <c r="CAT34" s="205"/>
      <c r="CAU34" s="205"/>
      <c r="CAV34" s="205"/>
      <c r="CAW34" s="205"/>
      <c r="CAX34" s="205"/>
      <c r="CAY34" s="205"/>
      <c r="CAZ34" s="205"/>
      <c r="CBA34" s="205"/>
      <c r="CBB34" s="205"/>
      <c r="CBC34" s="205"/>
      <c r="CBD34" s="205"/>
      <c r="CBE34" s="205"/>
      <c r="CBF34" s="205"/>
      <c r="CBG34" s="205"/>
      <c r="CBH34" s="205"/>
      <c r="CBI34" s="205"/>
      <c r="CBJ34" s="205"/>
      <c r="CBK34" s="205"/>
      <c r="CBL34" s="205"/>
      <c r="CBM34" s="205"/>
      <c r="CBN34" s="205"/>
      <c r="CBO34" s="205"/>
      <c r="CBP34" s="205"/>
      <c r="CBQ34" s="205"/>
      <c r="CBR34" s="205"/>
      <c r="CBS34" s="205"/>
      <c r="CBT34" s="205"/>
      <c r="CBU34" s="205"/>
      <c r="CBV34" s="205"/>
      <c r="CBW34" s="205"/>
      <c r="CBX34" s="205"/>
      <c r="CBY34" s="205"/>
      <c r="CBZ34" s="205"/>
      <c r="CCA34" s="205"/>
      <c r="CCB34" s="205"/>
      <c r="CCC34" s="205"/>
      <c r="CCD34" s="205"/>
      <c r="CCE34" s="205"/>
      <c r="CCF34" s="205"/>
      <c r="CCG34" s="205"/>
      <c r="CCH34" s="205"/>
      <c r="CCI34" s="205"/>
      <c r="CCJ34" s="205"/>
      <c r="CCK34" s="205"/>
      <c r="CCL34" s="205"/>
      <c r="CCM34" s="205"/>
      <c r="CCN34" s="205"/>
      <c r="CCO34" s="205"/>
      <c r="CCP34" s="205"/>
      <c r="CCQ34" s="205"/>
      <c r="CCR34" s="205"/>
      <c r="CCS34" s="205"/>
      <c r="CCT34" s="205"/>
      <c r="CCU34" s="205"/>
      <c r="CCV34" s="205"/>
      <c r="CCW34" s="205"/>
      <c r="CCX34" s="205"/>
      <c r="CCY34" s="205"/>
      <c r="CCZ34" s="205"/>
      <c r="CDA34" s="205"/>
      <c r="CDB34" s="205"/>
      <c r="CDC34" s="205"/>
      <c r="CDD34" s="205"/>
      <c r="CDE34" s="205"/>
      <c r="CDF34" s="205"/>
      <c r="CDG34" s="205"/>
      <c r="CDH34" s="205"/>
      <c r="CDI34" s="205"/>
      <c r="CDJ34" s="205"/>
      <c r="CDK34" s="205"/>
      <c r="CDL34" s="205"/>
      <c r="CDM34" s="205"/>
      <c r="CDN34" s="205"/>
      <c r="CDO34" s="205"/>
      <c r="CDP34" s="205"/>
      <c r="CDQ34" s="205"/>
      <c r="CDR34" s="205"/>
      <c r="CDS34" s="205"/>
      <c r="CDT34" s="205"/>
      <c r="CDU34" s="205"/>
      <c r="CDV34" s="205"/>
      <c r="CDW34" s="205"/>
      <c r="CDX34" s="205"/>
      <c r="CDY34" s="205"/>
      <c r="CDZ34" s="205"/>
      <c r="CEA34" s="205"/>
      <c r="CEB34" s="205"/>
      <c r="CEC34" s="205"/>
      <c r="CED34" s="205"/>
      <c r="CEE34" s="205"/>
      <c r="CEF34" s="205"/>
      <c r="CEG34" s="205"/>
      <c r="CEH34" s="205"/>
      <c r="CEI34" s="205"/>
      <c r="CEJ34" s="205"/>
      <c r="CEK34" s="205"/>
      <c r="CEL34" s="205"/>
      <c r="CEM34" s="205"/>
      <c r="CEN34" s="205"/>
      <c r="CEO34" s="205"/>
      <c r="CEP34" s="205"/>
      <c r="CEQ34" s="205"/>
      <c r="CER34" s="205"/>
      <c r="CES34" s="205"/>
      <c r="CET34" s="205"/>
      <c r="CEU34" s="205"/>
      <c r="CEV34" s="205"/>
      <c r="CEW34" s="205"/>
      <c r="CEX34" s="205"/>
      <c r="CEY34" s="205"/>
      <c r="CEZ34" s="205"/>
      <c r="CFA34" s="205"/>
      <c r="CFB34" s="205"/>
      <c r="CFC34" s="205"/>
      <c r="CFD34" s="205"/>
      <c r="CFE34" s="205"/>
      <c r="CFF34" s="205"/>
      <c r="CFG34" s="205"/>
      <c r="CFH34" s="205"/>
      <c r="CFI34" s="205"/>
      <c r="CFJ34" s="205"/>
      <c r="CFK34" s="205"/>
      <c r="CFL34" s="205"/>
      <c r="CFM34" s="205"/>
      <c r="CFN34" s="205"/>
      <c r="CFO34" s="205"/>
      <c r="CFP34" s="205"/>
      <c r="CFQ34" s="205"/>
      <c r="CFR34" s="205"/>
      <c r="CFS34" s="205"/>
      <c r="CFT34" s="205"/>
      <c r="CFU34" s="205"/>
      <c r="CFV34" s="205"/>
      <c r="CFW34" s="205"/>
      <c r="CFX34" s="205"/>
      <c r="CFY34" s="205"/>
      <c r="CFZ34" s="205"/>
      <c r="CGA34" s="205"/>
      <c r="CGB34" s="205"/>
      <c r="CGC34" s="205"/>
      <c r="CGD34" s="205"/>
      <c r="CGE34" s="205"/>
      <c r="CGF34" s="205"/>
      <c r="CGG34" s="205"/>
      <c r="CGH34" s="205"/>
      <c r="CGI34" s="205"/>
      <c r="CGJ34" s="205"/>
      <c r="CGK34" s="205"/>
      <c r="CGL34" s="205"/>
      <c r="CGM34" s="205"/>
      <c r="CGN34" s="205"/>
      <c r="CGO34" s="205"/>
      <c r="CGP34" s="205"/>
      <c r="CGQ34" s="205"/>
      <c r="CGR34" s="205"/>
      <c r="CGS34" s="205"/>
      <c r="CGT34" s="205"/>
      <c r="CGU34" s="205"/>
      <c r="CGV34" s="205"/>
      <c r="CGW34" s="205"/>
      <c r="CGX34" s="205"/>
      <c r="CGY34" s="205"/>
      <c r="CGZ34" s="205"/>
      <c r="CHA34" s="205"/>
      <c r="CHB34" s="205"/>
      <c r="CHC34" s="205"/>
      <c r="CHD34" s="205"/>
      <c r="CHE34" s="205"/>
      <c r="CHF34" s="205"/>
      <c r="CHG34" s="205"/>
      <c r="CHH34" s="205"/>
      <c r="CHI34" s="205"/>
      <c r="CHJ34" s="205"/>
      <c r="CHK34" s="205"/>
      <c r="CHL34" s="205"/>
      <c r="CHM34" s="205"/>
      <c r="CHN34" s="205"/>
      <c r="CHO34" s="205"/>
      <c r="CHP34" s="205"/>
      <c r="CHQ34" s="205"/>
      <c r="CHR34" s="205"/>
      <c r="CHS34" s="205"/>
      <c r="CHT34" s="205"/>
      <c r="CHU34" s="205"/>
      <c r="CHV34" s="205"/>
      <c r="CHW34" s="205"/>
      <c r="CHX34" s="205"/>
      <c r="CHY34" s="205"/>
      <c r="CHZ34" s="205"/>
      <c r="CIA34" s="205"/>
      <c r="CIB34" s="205"/>
      <c r="CIC34" s="205"/>
      <c r="CID34" s="205"/>
      <c r="CIE34" s="205"/>
      <c r="CIF34" s="205"/>
      <c r="CIG34" s="205"/>
      <c r="CIH34" s="205"/>
      <c r="CII34" s="205"/>
      <c r="CIJ34" s="205"/>
      <c r="CIK34" s="205"/>
      <c r="CIL34" s="205"/>
      <c r="CIM34" s="205"/>
      <c r="CIN34" s="205"/>
      <c r="CIO34" s="205"/>
      <c r="CIP34" s="205"/>
      <c r="CIQ34" s="205"/>
      <c r="CIR34" s="205"/>
      <c r="CIS34" s="205"/>
      <c r="CIT34" s="205"/>
      <c r="CIU34" s="205"/>
      <c r="CIV34" s="205"/>
      <c r="CIW34" s="205"/>
      <c r="CIX34" s="205"/>
      <c r="CIY34" s="205"/>
      <c r="CIZ34" s="205"/>
      <c r="CJA34" s="205"/>
      <c r="CJB34" s="205"/>
      <c r="CJC34" s="205"/>
      <c r="CJD34" s="205"/>
      <c r="CJE34" s="205"/>
      <c r="CJF34" s="205"/>
      <c r="CJG34" s="205"/>
      <c r="CJH34" s="205"/>
      <c r="CJI34" s="205"/>
      <c r="CJJ34" s="205"/>
      <c r="CJK34" s="205"/>
      <c r="CJL34" s="205"/>
      <c r="CJM34" s="205"/>
      <c r="CJN34" s="205"/>
      <c r="CJO34" s="205"/>
      <c r="CJP34" s="205"/>
      <c r="CJQ34" s="205"/>
      <c r="CJR34" s="205"/>
      <c r="CJS34" s="205"/>
      <c r="CJT34" s="205"/>
      <c r="CJU34" s="205"/>
      <c r="CJV34" s="205"/>
      <c r="CJW34" s="205"/>
      <c r="CJX34" s="205"/>
      <c r="CJY34" s="205"/>
      <c r="CJZ34" s="205"/>
      <c r="CKA34" s="205"/>
      <c r="CKB34" s="205"/>
      <c r="CKC34" s="205"/>
      <c r="CKD34" s="205"/>
      <c r="CKE34" s="205"/>
      <c r="CKF34" s="205"/>
      <c r="CKG34" s="205"/>
      <c r="CKH34" s="205"/>
      <c r="CKI34" s="205"/>
      <c r="CKJ34" s="205"/>
      <c r="CKK34" s="205"/>
      <c r="CKL34" s="205"/>
      <c r="CKM34" s="205"/>
      <c r="CKN34" s="205"/>
      <c r="CKO34" s="205"/>
      <c r="CKP34" s="205"/>
      <c r="CKQ34" s="205"/>
      <c r="CKR34" s="205"/>
      <c r="CKS34" s="205"/>
      <c r="CKT34" s="205"/>
      <c r="CKU34" s="205"/>
      <c r="CKV34" s="205"/>
      <c r="CKW34" s="205"/>
      <c r="CKX34" s="205"/>
      <c r="CKY34" s="205"/>
      <c r="CKZ34" s="205"/>
      <c r="CLA34" s="205"/>
      <c r="CLB34" s="205"/>
      <c r="CLC34" s="205"/>
      <c r="CLD34" s="205"/>
      <c r="CLE34" s="205"/>
      <c r="CLF34" s="205"/>
      <c r="CLG34" s="205"/>
      <c r="CLH34" s="205"/>
      <c r="CLI34" s="205"/>
      <c r="CLJ34" s="205"/>
      <c r="CLK34" s="205"/>
      <c r="CLL34" s="205"/>
      <c r="CLM34" s="205"/>
      <c r="CLN34" s="205"/>
      <c r="CLO34" s="205"/>
      <c r="CLP34" s="205"/>
      <c r="CLQ34" s="205"/>
      <c r="CLR34" s="205"/>
      <c r="CLS34" s="205"/>
      <c r="CLT34" s="205"/>
      <c r="CLU34" s="205"/>
      <c r="CLV34" s="205"/>
      <c r="CLW34" s="205"/>
      <c r="CLX34" s="205"/>
      <c r="CLY34" s="205"/>
      <c r="CLZ34" s="205"/>
      <c r="CMA34" s="205"/>
      <c r="CMB34" s="205"/>
      <c r="CMC34" s="205"/>
      <c r="CMD34" s="205"/>
      <c r="CME34" s="205"/>
      <c r="CMF34" s="205"/>
      <c r="CMG34" s="205"/>
      <c r="CMH34" s="205"/>
      <c r="CMI34" s="205"/>
      <c r="CMJ34" s="205"/>
      <c r="CMK34" s="205"/>
      <c r="CML34" s="205"/>
      <c r="CMM34" s="205"/>
      <c r="CMN34" s="205"/>
      <c r="CMO34" s="205"/>
      <c r="CMP34" s="205"/>
      <c r="CMQ34" s="205"/>
      <c r="CMR34" s="205"/>
      <c r="CMS34" s="205"/>
      <c r="CMT34" s="205"/>
      <c r="CMU34" s="205"/>
      <c r="CMV34" s="205"/>
      <c r="CMW34" s="205"/>
      <c r="CMX34" s="205"/>
      <c r="CMY34" s="205"/>
      <c r="CMZ34" s="205"/>
      <c r="CNA34" s="205"/>
      <c r="CNB34" s="205"/>
      <c r="CNC34" s="205"/>
      <c r="CND34" s="205"/>
      <c r="CNE34" s="205"/>
      <c r="CNF34" s="205"/>
      <c r="CNG34" s="205"/>
      <c r="CNH34" s="205"/>
      <c r="CNI34" s="205"/>
      <c r="CNJ34" s="205"/>
      <c r="CNK34" s="205"/>
      <c r="CNL34" s="205"/>
      <c r="CNM34" s="205"/>
      <c r="CNN34" s="205"/>
      <c r="CNO34" s="205"/>
      <c r="CNP34" s="205"/>
      <c r="CNQ34" s="205"/>
      <c r="CNR34" s="205"/>
      <c r="CNS34" s="205"/>
      <c r="CNT34" s="205"/>
      <c r="CNU34" s="205"/>
      <c r="CNV34" s="205"/>
      <c r="CNW34" s="205"/>
      <c r="CNX34" s="205"/>
      <c r="CNY34" s="205"/>
      <c r="CNZ34" s="205"/>
      <c r="COA34" s="205"/>
      <c r="COB34" s="205"/>
      <c r="COC34" s="205"/>
      <c r="COD34" s="205"/>
      <c r="COE34" s="205"/>
      <c r="COF34" s="205"/>
      <c r="COG34" s="205"/>
      <c r="COH34" s="205"/>
      <c r="COI34" s="205"/>
      <c r="COJ34" s="205"/>
      <c r="COK34" s="205"/>
      <c r="COL34" s="205"/>
      <c r="COM34" s="205"/>
      <c r="CON34" s="205"/>
      <c r="COO34" s="205"/>
      <c r="COP34" s="205"/>
      <c r="COQ34" s="205"/>
      <c r="COR34" s="205"/>
      <c r="COS34" s="205"/>
      <c r="COT34" s="205"/>
      <c r="COU34" s="205"/>
      <c r="COV34" s="205"/>
      <c r="COW34" s="205"/>
      <c r="COX34" s="205"/>
      <c r="COY34" s="205"/>
      <c r="COZ34" s="205"/>
      <c r="CPA34" s="205"/>
      <c r="CPB34" s="205"/>
      <c r="CPC34" s="205"/>
      <c r="CPD34" s="205"/>
      <c r="CPE34" s="205"/>
      <c r="CPF34" s="205"/>
      <c r="CPG34" s="205"/>
      <c r="CPH34" s="205"/>
      <c r="CPI34" s="205"/>
      <c r="CPJ34" s="205"/>
      <c r="CPK34" s="205"/>
      <c r="CPL34" s="205"/>
      <c r="CPM34" s="205"/>
      <c r="CPN34" s="205"/>
      <c r="CPO34" s="205"/>
      <c r="CPP34" s="205"/>
      <c r="CPQ34" s="205"/>
      <c r="CPR34" s="205"/>
      <c r="CPS34" s="205"/>
      <c r="CPT34" s="205"/>
      <c r="CPU34" s="205"/>
      <c r="CPV34" s="205"/>
      <c r="CPW34" s="205"/>
      <c r="CPX34" s="205"/>
      <c r="CPY34" s="205"/>
      <c r="CPZ34" s="205"/>
      <c r="CQA34" s="205"/>
      <c r="CQB34" s="205"/>
      <c r="CQC34" s="205"/>
      <c r="CQD34" s="205"/>
      <c r="CQE34" s="205"/>
      <c r="CQF34" s="205"/>
      <c r="CQG34" s="205"/>
      <c r="CQH34" s="205"/>
      <c r="CQI34" s="205"/>
      <c r="CQJ34" s="205"/>
      <c r="CQK34" s="205"/>
      <c r="CQL34" s="205"/>
      <c r="CQM34" s="205"/>
      <c r="CQN34" s="205"/>
      <c r="CQO34" s="205"/>
      <c r="CQP34" s="205"/>
      <c r="CQQ34" s="205"/>
      <c r="CQR34" s="205"/>
      <c r="CQS34" s="205"/>
      <c r="CQT34" s="205"/>
      <c r="CQU34" s="205"/>
      <c r="CQV34" s="205"/>
      <c r="CQW34" s="205"/>
      <c r="CQX34" s="205"/>
      <c r="CQY34" s="205"/>
      <c r="CQZ34" s="205"/>
      <c r="CRA34" s="205"/>
      <c r="CRB34" s="205"/>
      <c r="CRC34" s="205"/>
      <c r="CRD34" s="205"/>
      <c r="CRE34" s="205"/>
      <c r="CRF34" s="205"/>
      <c r="CRG34" s="205"/>
      <c r="CRH34" s="205"/>
      <c r="CRI34" s="205"/>
      <c r="CRJ34" s="205"/>
      <c r="CRK34" s="205"/>
      <c r="CRL34" s="205"/>
      <c r="CRM34" s="205"/>
      <c r="CRN34" s="205"/>
      <c r="CRO34" s="205"/>
      <c r="CRP34" s="205"/>
      <c r="CRQ34" s="205"/>
      <c r="CRR34" s="205"/>
      <c r="CRS34" s="205"/>
      <c r="CRT34" s="205"/>
      <c r="CRU34" s="205"/>
      <c r="CRV34" s="205"/>
      <c r="CRW34" s="205"/>
      <c r="CRX34" s="205"/>
      <c r="CRY34" s="205"/>
      <c r="CRZ34" s="205"/>
      <c r="CSA34" s="205"/>
      <c r="CSB34" s="205"/>
      <c r="CSC34" s="205"/>
      <c r="CSD34" s="205"/>
      <c r="CSE34" s="205"/>
      <c r="CSF34" s="205"/>
      <c r="CSG34" s="205"/>
      <c r="CSH34" s="205"/>
      <c r="CSI34" s="205"/>
      <c r="CSJ34" s="205"/>
      <c r="CSK34" s="205"/>
      <c r="CSL34" s="205"/>
      <c r="CSM34" s="205"/>
      <c r="CSN34" s="205"/>
      <c r="CSO34" s="205"/>
      <c r="CSP34" s="205"/>
      <c r="CSQ34" s="205"/>
      <c r="CSR34" s="205"/>
      <c r="CSS34" s="205"/>
      <c r="CST34" s="205"/>
      <c r="CSU34" s="205"/>
      <c r="CSV34" s="205"/>
      <c r="CSW34" s="205"/>
      <c r="CSX34" s="205"/>
      <c r="CSY34" s="205"/>
      <c r="CSZ34" s="205"/>
      <c r="CTA34" s="205"/>
      <c r="CTB34" s="205"/>
      <c r="CTC34" s="205"/>
      <c r="CTD34" s="205"/>
      <c r="CTE34" s="205"/>
      <c r="CTF34" s="205"/>
      <c r="CTG34" s="205"/>
      <c r="CTH34" s="205"/>
      <c r="CTI34" s="205"/>
      <c r="CTJ34" s="205"/>
      <c r="CTK34" s="205"/>
      <c r="CTL34" s="205"/>
      <c r="CTM34" s="205"/>
      <c r="CTN34" s="205"/>
      <c r="CTO34" s="205"/>
      <c r="CTP34" s="205"/>
      <c r="CTQ34" s="205"/>
      <c r="CTR34" s="205"/>
      <c r="CTS34" s="205"/>
      <c r="CTT34" s="205"/>
      <c r="CTU34" s="205"/>
      <c r="CTV34" s="205"/>
      <c r="CTW34" s="205"/>
      <c r="CTX34" s="205"/>
      <c r="CTY34" s="205"/>
      <c r="CTZ34" s="205"/>
      <c r="CUA34" s="205"/>
      <c r="CUB34" s="205"/>
      <c r="CUC34" s="205"/>
      <c r="CUD34" s="205"/>
      <c r="CUE34" s="205"/>
      <c r="CUF34" s="205"/>
      <c r="CUG34" s="205"/>
      <c r="CUH34" s="205"/>
      <c r="CUI34" s="205"/>
      <c r="CUJ34" s="205"/>
      <c r="CUK34" s="205"/>
      <c r="CUL34" s="205"/>
      <c r="CUM34" s="205"/>
      <c r="CUN34" s="205"/>
      <c r="CUO34" s="205"/>
      <c r="CUP34" s="205"/>
      <c r="CUQ34" s="205"/>
      <c r="CUR34" s="205"/>
      <c r="CUS34" s="205"/>
      <c r="CUT34" s="205"/>
      <c r="CUU34" s="205"/>
      <c r="CUV34" s="205"/>
      <c r="CUW34" s="205"/>
      <c r="CUX34" s="205"/>
      <c r="CUY34" s="205"/>
      <c r="CUZ34" s="205"/>
      <c r="CVA34" s="205"/>
      <c r="CVB34" s="205"/>
      <c r="CVC34" s="205"/>
      <c r="CVD34" s="205"/>
      <c r="CVE34" s="205"/>
      <c r="CVF34" s="205"/>
      <c r="CVG34" s="205"/>
      <c r="CVH34" s="205"/>
      <c r="CVI34" s="205"/>
      <c r="CVJ34" s="205"/>
      <c r="CVK34" s="205"/>
      <c r="CVL34" s="205"/>
      <c r="CVM34" s="205"/>
      <c r="CVN34" s="205"/>
      <c r="CVO34" s="205"/>
      <c r="CVP34" s="205"/>
      <c r="CVQ34" s="205"/>
      <c r="CVR34" s="205"/>
      <c r="CVS34" s="205"/>
      <c r="CVT34" s="205"/>
      <c r="CVU34" s="205"/>
      <c r="CVV34" s="205"/>
      <c r="CVW34" s="205"/>
      <c r="CVX34" s="205"/>
      <c r="CVY34" s="205"/>
      <c r="CVZ34" s="205"/>
      <c r="CWA34" s="205"/>
      <c r="CWB34" s="205"/>
      <c r="CWC34" s="205"/>
      <c r="CWD34" s="205"/>
      <c r="CWE34" s="205"/>
      <c r="CWF34" s="205"/>
      <c r="CWG34" s="205"/>
      <c r="CWH34" s="205"/>
      <c r="CWI34" s="205"/>
      <c r="CWJ34" s="205"/>
      <c r="CWK34" s="205"/>
      <c r="CWL34" s="205"/>
      <c r="CWM34" s="205"/>
      <c r="CWN34" s="205"/>
      <c r="CWO34" s="205"/>
      <c r="CWP34" s="205"/>
      <c r="CWQ34" s="205"/>
      <c r="CWR34" s="205"/>
      <c r="CWS34" s="205"/>
      <c r="CWT34" s="205"/>
      <c r="CWU34" s="205"/>
      <c r="CWV34" s="205"/>
      <c r="CWW34" s="205"/>
      <c r="CWX34" s="205"/>
      <c r="CWY34" s="205"/>
      <c r="CWZ34" s="205"/>
      <c r="CXA34" s="205"/>
      <c r="CXB34" s="205"/>
      <c r="CXC34" s="205"/>
      <c r="CXD34" s="205"/>
      <c r="CXE34" s="205"/>
      <c r="CXF34" s="205"/>
      <c r="CXG34" s="205"/>
      <c r="CXH34" s="205"/>
      <c r="CXI34" s="205"/>
      <c r="CXJ34" s="205"/>
      <c r="CXK34" s="205"/>
      <c r="CXL34" s="205"/>
      <c r="CXM34" s="205"/>
      <c r="CXN34" s="205"/>
      <c r="CXO34" s="205"/>
      <c r="CXP34" s="205"/>
      <c r="CXQ34" s="205"/>
      <c r="CXR34" s="205"/>
      <c r="CXS34" s="205"/>
      <c r="CXT34" s="205"/>
      <c r="CXU34" s="205"/>
      <c r="CXV34" s="205"/>
      <c r="CXW34" s="205"/>
      <c r="CXX34" s="205"/>
      <c r="CXY34" s="205"/>
      <c r="CXZ34" s="205"/>
      <c r="CYA34" s="205"/>
      <c r="CYB34" s="205"/>
      <c r="CYC34" s="205"/>
      <c r="CYD34" s="205"/>
      <c r="CYE34" s="205"/>
      <c r="CYF34" s="205"/>
      <c r="CYG34" s="205"/>
      <c r="CYH34" s="205"/>
      <c r="CYI34" s="205"/>
      <c r="CYJ34" s="205"/>
      <c r="CYK34" s="205"/>
      <c r="CYL34" s="205"/>
      <c r="CYM34" s="205"/>
      <c r="CYN34" s="205"/>
      <c r="CYO34" s="205"/>
      <c r="CYP34" s="205"/>
      <c r="CYQ34" s="205"/>
      <c r="CYR34" s="205"/>
      <c r="CYS34" s="205"/>
      <c r="CYT34" s="205"/>
      <c r="CYU34" s="205"/>
      <c r="CYV34" s="205"/>
      <c r="CYW34" s="205"/>
      <c r="CYX34" s="205"/>
      <c r="CYY34" s="205"/>
      <c r="CYZ34" s="205"/>
      <c r="CZA34" s="205"/>
      <c r="CZB34" s="205"/>
      <c r="CZC34" s="205"/>
      <c r="CZD34" s="205"/>
      <c r="CZE34" s="205"/>
      <c r="CZF34" s="205"/>
      <c r="CZG34" s="205"/>
      <c r="CZH34" s="205"/>
      <c r="CZI34" s="205"/>
      <c r="CZJ34" s="205"/>
      <c r="CZK34" s="205"/>
      <c r="CZL34" s="205"/>
      <c r="CZM34" s="205"/>
      <c r="CZN34" s="205"/>
      <c r="CZO34" s="205"/>
      <c r="CZP34" s="205"/>
      <c r="CZQ34" s="205"/>
      <c r="CZR34" s="205"/>
      <c r="CZS34" s="205"/>
      <c r="CZT34" s="205"/>
      <c r="CZU34" s="205"/>
      <c r="CZV34" s="205"/>
      <c r="CZW34" s="205"/>
      <c r="CZX34" s="205"/>
      <c r="CZY34" s="205"/>
      <c r="CZZ34" s="205"/>
      <c r="DAA34" s="205"/>
      <c r="DAB34" s="205"/>
      <c r="DAC34" s="205"/>
      <c r="DAD34" s="205"/>
      <c r="DAE34" s="205"/>
      <c r="DAF34" s="205"/>
      <c r="DAG34" s="205"/>
      <c r="DAH34" s="205"/>
      <c r="DAI34" s="205"/>
      <c r="DAJ34" s="205"/>
      <c r="DAK34" s="205"/>
      <c r="DAL34" s="205"/>
      <c r="DAM34" s="205"/>
      <c r="DAN34" s="205"/>
      <c r="DAO34" s="205"/>
      <c r="DAP34" s="205"/>
      <c r="DAQ34" s="205"/>
      <c r="DAR34" s="205"/>
      <c r="DAS34" s="205"/>
      <c r="DAT34" s="205"/>
      <c r="DAU34" s="205"/>
      <c r="DAV34" s="205"/>
      <c r="DAW34" s="205"/>
      <c r="DAX34" s="205"/>
      <c r="DAY34" s="205"/>
      <c r="DAZ34" s="205"/>
      <c r="DBA34" s="205"/>
      <c r="DBB34" s="205"/>
      <c r="DBC34" s="205"/>
      <c r="DBD34" s="205"/>
      <c r="DBE34" s="205"/>
      <c r="DBF34" s="205"/>
      <c r="DBG34" s="205"/>
      <c r="DBH34" s="205"/>
      <c r="DBI34" s="205"/>
      <c r="DBJ34" s="205"/>
      <c r="DBK34" s="205"/>
      <c r="DBL34" s="205"/>
      <c r="DBM34" s="205"/>
      <c r="DBN34" s="205"/>
      <c r="DBO34" s="205"/>
      <c r="DBP34" s="205"/>
      <c r="DBQ34" s="205"/>
      <c r="DBR34" s="205"/>
      <c r="DBS34" s="205"/>
      <c r="DBT34" s="205"/>
      <c r="DBU34" s="205"/>
      <c r="DBV34" s="205"/>
      <c r="DBW34" s="205"/>
      <c r="DBX34" s="205"/>
      <c r="DBY34" s="205"/>
      <c r="DBZ34" s="205"/>
      <c r="DCA34" s="205"/>
      <c r="DCB34" s="205"/>
      <c r="DCC34" s="205"/>
      <c r="DCD34" s="205"/>
      <c r="DCE34" s="205"/>
      <c r="DCF34" s="205"/>
      <c r="DCG34" s="205"/>
      <c r="DCH34" s="205"/>
      <c r="DCI34" s="205"/>
      <c r="DCJ34" s="205"/>
      <c r="DCK34" s="205"/>
      <c r="DCL34" s="205"/>
      <c r="DCM34" s="205"/>
      <c r="DCN34" s="205"/>
      <c r="DCO34" s="205"/>
      <c r="DCP34" s="205"/>
      <c r="DCQ34" s="205"/>
      <c r="DCR34" s="205"/>
      <c r="DCS34" s="205"/>
      <c r="DCT34" s="205"/>
      <c r="DCU34" s="205"/>
      <c r="DCV34" s="205"/>
      <c r="DCW34" s="205"/>
      <c r="DCX34" s="205"/>
      <c r="DCY34" s="205"/>
      <c r="DCZ34" s="205"/>
      <c r="DDA34" s="205"/>
      <c r="DDB34" s="205"/>
      <c r="DDC34" s="205"/>
      <c r="DDD34" s="205"/>
      <c r="DDE34" s="205"/>
      <c r="DDF34" s="205"/>
      <c r="DDG34" s="205"/>
      <c r="DDH34" s="205"/>
      <c r="DDI34" s="205"/>
      <c r="DDJ34" s="205"/>
      <c r="DDK34" s="205"/>
      <c r="DDL34" s="205"/>
      <c r="DDM34" s="205"/>
      <c r="DDN34" s="205"/>
      <c r="DDO34" s="205"/>
      <c r="DDP34" s="205"/>
      <c r="DDQ34" s="205"/>
      <c r="DDR34" s="205"/>
      <c r="DDS34" s="205"/>
      <c r="DDT34" s="205"/>
      <c r="DDU34" s="205"/>
      <c r="DDV34" s="205"/>
      <c r="DDW34" s="205"/>
      <c r="DDX34" s="205"/>
      <c r="DDY34" s="205"/>
      <c r="DDZ34" s="205"/>
      <c r="DEA34" s="205"/>
      <c r="DEB34" s="205"/>
      <c r="DEC34" s="205"/>
      <c r="DED34" s="205"/>
      <c r="DEE34" s="205"/>
      <c r="DEF34" s="205"/>
      <c r="DEG34" s="205"/>
      <c r="DEH34" s="205"/>
      <c r="DEI34" s="205"/>
      <c r="DEJ34" s="205"/>
      <c r="DEK34" s="205"/>
      <c r="DEL34" s="205"/>
      <c r="DEM34" s="205"/>
      <c r="DEN34" s="205"/>
      <c r="DEO34" s="205"/>
      <c r="DEP34" s="205"/>
      <c r="DEQ34" s="205"/>
      <c r="DER34" s="205"/>
      <c r="DES34" s="205"/>
      <c r="DET34" s="205"/>
      <c r="DEU34" s="205"/>
      <c r="DEV34" s="205"/>
      <c r="DEW34" s="205"/>
      <c r="DEX34" s="205"/>
      <c r="DEY34" s="205"/>
      <c r="DEZ34" s="205"/>
      <c r="DFA34" s="205"/>
      <c r="DFB34" s="205"/>
      <c r="DFC34" s="205"/>
      <c r="DFD34" s="205"/>
      <c r="DFE34" s="205"/>
      <c r="DFF34" s="205"/>
      <c r="DFG34" s="205"/>
      <c r="DFH34" s="205"/>
      <c r="DFI34" s="205"/>
      <c r="DFJ34" s="205"/>
      <c r="DFK34" s="205"/>
      <c r="DFL34" s="205"/>
      <c r="DFM34" s="205"/>
      <c r="DFN34" s="205"/>
      <c r="DFO34" s="205"/>
      <c r="DFP34" s="205"/>
      <c r="DFQ34" s="205"/>
      <c r="DFR34" s="205"/>
      <c r="DFS34" s="205"/>
      <c r="DFT34" s="205"/>
      <c r="DFU34" s="205"/>
      <c r="DFV34" s="205"/>
      <c r="DFW34" s="205"/>
      <c r="DFX34" s="205"/>
      <c r="DFY34" s="205"/>
      <c r="DFZ34" s="205"/>
      <c r="DGA34" s="205"/>
      <c r="DGB34" s="205"/>
      <c r="DGC34" s="205"/>
      <c r="DGD34" s="205"/>
      <c r="DGE34" s="205"/>
      <c r="DGF34" s="205"/>
      <c r="DGG34" s="205"/>
      <c r="DGH34" s="205"/>
      <c r="DGI34" s="205"/>
      <c r="DGJ34" s="205"/>
      <c r="DGK34" s="205"/>
      <c r="DGL34" s="205"/>
      <c r="DGM34" s="205"/>
      <c r="DGN34" s="205"/>
      <c r="DGO34" s="205"/>
      <c r="DGP34" s="205"/>
      <c r="DGQ34" s="205"/>
      <c r="DGR34" s="205"/>
      <c r="DGS34" s="205"/>
      <c r="DGT34" s="205"/>
      <c r="DGU34" s="205"/>
      <c r="DGV34" s="205"/>
      <c r="DGW34" s="205"/>
      <c r="DGX34" s="205"/>
      <c r="DGY34" s="205"/>
      <c r="DGZ34" s="205"/>
      <c r="DHA34" s="205"/>
      <c r="DHB34" s="205"/>
      <c r="DHC34" s="205"/>
      <c r="DHD34" s="205"/>
      <c r="DHE34" s="205"/>
      <c r="DHF34" s="205"/>
      <c r="DHG34" s="205"/>
      <c r="DHH34" s="205"/>
      <c r="DHI34" s="205"/>
      <c r="DHJ34" s="205"/>
      <c r="DHK34" s="205"/>
      <c r="DHL34" s="205"/>
      <c r="DHM34" s="205"/>
      <c r="DHN34" s="205"/>
      <c r="DHO34" s="205"/>
      <c r="DHP34" s="205"/>
      <c r="DHQ34" s="205"/>
      <c r="DHR34" s="205"/>
      <c r="DHS34" s="205"/>
      <c r="DHT34" s="205"/>
      <c r="DHU34" s="205"/>
      <c r="DHV34" s="205"/>
      <c r="DHW34" s="205"/>
      <c r="DHX34" s="205"/>
      <c r="DHY34" s="205"/>
      <c r="DHZ34" s="205"/>
      <c r="DIA34" s="205"/>
      <c r="DIB34" s="205"/>
      <c r="DIC34" s="205"/>
      <c r="DID34" s="205"/>
      <c r="DIE34" s="205"/>
      <c r="DIF34" s="205"/>
      <c r="DIG34" s="205"/>
      <c r="DIH34" s="205"/>
      <c r="DII34" s="205"/>
      <c r="DIJ34" s="205"/>
      <c r="DIK34" s="205"/>
      <c r="DIL34" s="205"/>
      <c r="DIM34" s="205"/>
      <c r="DIN34" s="205"/>
      <c r="DIO34" s="205"/>
      <c r="DIP34" s="205"/>
      <c r="DIQ34" s="205"/>
      <c r="DIR34" s="205"/>
      <c r="DIS34" s="205"/>
      <c r="DIT34" s="205"/>
      <c r="DIU34" s="205"/>
      <c r="DIV34" s="205"/>
      <c r="DIW34" s="205"/>
      <c r="DIX34" s="205"/>
      <c r="DIY34" s="205"/>
      <c r="DIZ34" s="205"/>
      <c r="DJA34" s="205"/>
      <c r="DJB34" s="205"/>
      <c r="DJC34" s="205"/>
      <c r="DJD34" s="205"/>
      <c r="DJE34" s="205"/>
      <c r="DJF34" s="205"/>
      <c r="DJG34" s="205"/>
      <c r="DJH34" s="205"/>
      <c r="DJI34" s="205"/>
      <c r="DJJ34" s="205"/>
      <c r="DJK34" s="205"/>
      <c r="DJL34" s="205"/>
      <c r="DJM34" s="205"/>
      <c r="DJN34" s="205"/>
      <c r="DJO34" s="205"/>
      <c r="DJP34" s="205"/>
      <c r="DJQ34" s="205"/>
      <c r="DJR34" s="205"/>
      <c r="DJS34" s="205"/>
      <c r="DJT34" s="205"/>
      <c r="DJU34" s="205"/>
      <c r="DJV34" s="205"/>
      <c r="DJW34" s="205"/>
      <c r="DJX34" s="205"/>
      <c r="DJY34" s="205"/>
      <c r="DJZ34" s="205"/>
      <c r="DKA34" s="205"/>
      <c r="DKB34" s="205"/>
      <c r="DKC34" s="205"/>
      <c r="DKD34" s="205"/>
      <c r="DKE34" s="205"/>
      <c r="DKF34" s="205"/>
      <c r="DKG34" s="205"/>
      <c r="DKH34" s="205"/>
      <c r="DKI34" s="205"/>
      <c r="DKJ34" s="205"/>
      <c r="DKK34" s="205"/>
      <c r="DKL34" s="205"/>
      <c r="DKM34" s="205"/>
      <c r="DKN34" s="205"/>
      <c r="DKO34" s="205"/>
      <c r="DKP34" s="205"/>
      <c r="DKQ34" s="205"/>
      <c r="DKR34" s="205"/>
      <c r="DKS34" s="205"/>
      <c r="DKT34" s="205"/>
      <c r="DKU34" s="205"/>
      <c r="DKV34" s="205"/>
      <c r="DKW34" s="205"/>
      <c r="DKX34" s="205"/>
      <c r="DKY34" s="205"/>
      <c r="DKZ34" s="205"/>
      <c r="DLA34" s="205"/>
      <c r="DLB34" s="205"/>
      <c r="DLC34" s="205"/>
      <c r="DLD34" s="205"/>
      <c r="DLE34" s="205"/>
      <c r="DLF34" s="205"/>
      <c r="DLG34" s="205"/>
      <c r="DLH34" s="205"/>
      <c r="DLI34" s="205"/>
      <c r="DLJ34" s="205"/>
      <c r="DLK34" s="205"/>
      <c r="DLL34" s="205"/>
      <c r="DLM34" s="205"/>
      <c r="DLN34" s="205"/>
      <c r="DLO34" s="205"/>
      <c r="DLP34" s="205"/>
      <c r="DLQ34" s="205"/>
      <c r="DLR34" s="205"/>
      <c r="DLS34" s="205"/>
      <c r="DLT34" s="205"/>
      <c r="DLU34" s="205"/>
      <c r="DLV34" s="205"/>
      <c r="DLW34" s="205"/>
      <c r="DLX34" s="205"/>
      <c r="DLY34" s="205"/>
      <c r="DLZ34" s="205"/>
      <c r="DMA34" s="205"/>
      <c r="DMB34" s="205"/>
      <c r="DMC34" s="205"/>
      <c r="DMD34" s="205"/>
      <c r="DME34" s="205"/>
      <c r="DMF34" s="205"/>
      <c r="DMG34" s="205"/>
      <c r="DMH34" s="205"/>
      <c r="DMI34" s="205"/>
      <c r="DMJ34" s="205"/>
      <c r="DMK34" s="205"/>
      <c r="DML34" s="205"/>
      <c r="DMM34" s="205"/>
      <c r="DMN34" s="205"/>
      <c r="DMO34" s="205"/>
      <c r="DMP34" s="205"/>
      <c r="DMQ34" s="205"/>
      <c r="DMR34" s="205"/>
      <c r="DMS34" s="205"/>
      <c r="DMT34" s="205"/>
      <c r="DMU34" s="205"/>
      <c r="DMV34" s="205"/>
      <c r="DMW34" s="205"/>
      <c r="DMX34" s="205"/>
      <c r="DMY34" s="205"/>
      <c r="DMZ34" s="205"/>
      <c r="DNA34" s="205"/>
      <c r="DNB34" s="205"/>
      <c r="DNC34" s="205"/>
      <c r="DND34" s="205"/>
      <c r="DNE34" s="205"/>
      <c r="DNF34" s="205"/>
      <c r="DNG34" s="205"/>
      <c r="DNH34" s="205"/>
      <c r="DNI34" s="205"/>
      <c r="DNJ34" s="205"/>
      <c r="DNK34" s="205"/>
      <c r="DNL34" s="205"/>
      <c r="DNM34" s="205"/>
      <c r="DNN34" s="205"/>
      <c r="DNO34" s="205"/>
      <c r="DNP34" s="205"/>
      <c r="DNQ34" s="205"/>
      <c r="DNR34" s="205"/>
      <c r="DNS34" s="205"/>
      <c r="DNT34" s="205"/>
      <c r="DNU34" s="205"/>
      <c r="DNV34" s="205"/>
      <c r="DNW34" s="205"/>
      <c r="DNX34" s="205"/>
      <c r="DNY34" s="205"/>
      <c r="DNZ34" s="205"/>
      <c r="DOA34" s="205"/>
      <c r="DOB34" s="205"/>
      <c r="DOC34" s="205"/>
      <c r="DOD34" s="205"/>
      <c r="DOE34" s="205"/>
      <c r="DOF34" s="205"/>
      <c r="DOG34" s="205"/>
      <c r="DOH34" s="205"/>
      <c r="DOI34" s="205"/>
      <c r="DOJ34" s="205"/>
      <c r="DOK34" s="205"/>
      <c r="DOL34" s="205"/>
      <c r="DOM34" s="205"/>
      <c r="DON34" s="205"/>
      <c r="DOO34" s="205"/>
      <c r="DOP34" s="205"/>
      <c r="DOQ34" s="205"/>
      <c r="DOR34" s="205"/>
      <c r="DOS34" s="205"/>
      <c r="DOT34" s="205"/>
      <c r="DOU34" s="205"/>
      <c r="DOV34" s="205"/>
      <c r="DOW34" s="205"/>
      <c r="DOX34" s="205"/>
      <c r="DOY34" s="205"/>
      <c r="DOZ34" s="205"/>
      <c r="DPA34" s="205"/>
      <c r="DPB34" s="205"/>
      <c r="DPC34" s="205"/>
      <c r="DPD34" s="205"/>
      <c r="DPE34" s="205"/>
      <c r="DPF34" s="205"/>
      <c r="DPG34" s="205"/>
      <c r="DPH34" s="205"/>
      <c r="DPI34" s="205"/>
      <c r="DPJ34" s="205"/>
      <c r="DPK34" s="205"/>
      <c r="DPL34" s="205"/>
      <c r="DPM34" s="205"/>
      <c r="DPN34" s="205"/>
      <c r="DPO34" s="205"/>
      <c r="DPP34" s="205"/>
      <c r="DPQ34" s="205"/>
      <c r="DPR34" s="205"/>
      <c r="DPS34" s="205"/>
      <c r="DPT34" s="205"/>
      <c r="DPU34" s="205"/>
      <c r="DPV34" s="205"/>
      <c r="DPW34" s="205"/>
      <c r="DPX34" s="205"/>
      <c r="DPY34" s="205"/>
      <c r="DPZ34" s="205"/>
      <c r="DQA34" s="205"/>
      <c r="DQB34" s="205"/>
      <c r="DQC34" s="205"/>
      <c r="DQD34" s="205"/>
      <c r="DQE34" s="205"/>
      <c r="DQF34" s="205"/>
      <c r="DQG34" s="205"/>
      <c r="DQH34" s="205"/>
      <c r="DQI34" s="205"/>
      <c r="DQJ34" s="205"/>
      <c r="DQK34" s="205"/>
      <c r="DQL34" s="205"/>
      <c r="DQM34" s="205"/>
      <c r="DQN34" s="205"/>
      <c r="DQO34" s="205"/>
      <c r="DQP34" s="205"/>
      <c r="DQQ34" s="205"/>
      <c r="DQR34" s="205"/>
      <c r="DQS34" s="205"/>
      <c r="DQT34" s="205"/>
      <c r="DQU34" s="205"/>
      <c r="DQV34" s="205"/>
      <c r="DQW34" s="205"/>
      <c r="DQX34" s="205"/>
      <c r="DQY34" s="205"/>
      <c r="DQZ34" s="205"/>
      <c r="DRA34" s="205"/>
      <c r="DRB34" s="205"/>
      <c r="DRC34" s="205"/>
      <c r="DRD34" s="205"/>
      <c r="DRE34" s="205"/>
      <c r="DRF34" s="205"/>
      <c r="DRG34" s="205"/>
      <c r="DRH34" s="205"/>
      <c r="DRI34" s="205"/>
      <c r="DRJ34" s="205"/>
      <c r="DRK34" s="205"/>
      <c r="DRL34" s="205"/>
      <c r="DRM34" s="205"/>
      <c r="DRN34" s="205"/>
      <c r="DRO34" s="205"/>
      <c r="DRP34" s="205"/>
      <c r="DRQ34" s="205"/>
      <c r="DRR34" s="205"/>
      <c r="DRS34" s="205"/>
      <c r="DRT34" s="205"/>
      <c r="DRU34" s="205"/>
      <c r="DRV34" s="205"/>
      <c r="DRW34" s="205"/>
      <c r="DRX34" s="205"/>
      <c r="DRY34" s="205"/>
      <c r="DRZ34" s="205"/>
      <c r="DSA34" s="205"/>
      <c r="DSB34" s="205"/>
      <c r="DSC34" s="205"/>
      <c r="DSD34" s="205"/>
      <c r="DSE34" s="205"/>
      <c r="DSF34" s="205"/>
      <c r="DSG34" s="205"/>
      <c r="DSH34" s="205"/>
      <c r="DSI34" s="205"/>
      <c r="DSJ34" s="205"/>
      <c r="DSK34" s="205"/>
      <c r="DSL34" s="205"/>
      <c r="DSM34" s="205"/>
      <c r="DSN34" s="205"/>
      <c r="DSO34" s="205"/>
      <c r="DSP34" s="205"/>
      <c r="DSQ34" s="205"/>
      <c r="DSR34" s="205"/>
      <c r="DSS34" s="205"/>
      <c r="DST34" s="205"/>
      <c r="DSU34" s="205"/>
      <c r="DSV34" s="205"/>
      <c r="DSW34" s="205"/>
      <c r="DSX34" s="205"/>
      <c r="DSY34" s="205"/>
      <c r="DSZ34" s="205"/>
      <c r="DTA34" s="205"/>
      <c r="DTB34" s="205"/>
      <c r="DTC34" s="205"/>
      <c r="DTD34" s="205"/>
      <c r="DTE34" s="205"/>
      <c r="DTF34" s="205"/>
      <c r="DTG34" s="205"/>
      <c r="DTH34" s="205"/>
      <c r="DTI34" s="205"/>
      <c r="DTJ34" s="205"/>
      <c r="DTK34" s="205"/>
      <c r="DTL34" s="205"/>
      <c r="DTM34" s="205"/>
      <c r="DTN34" s="205"/>
      <c r="DTO34" s="205"/>
      <c r="DTP34" s="205"/>
      <c r="DTQ34" s="205"/>
      <c r="DTR34" s="205"/>
      <c r="DTS34" s="205"/>
      <c r="DTT34" s="205"/>
      <c r="DTU34" s="205"/>
      <c r="DTV34" s="205"/>
      <c r="DTW34" s="205"/>
      <c r="DTX34" s="205"/>
      <c r="DTY34" s="205"/>
      <c r="DTZ34" s="205"/>
      <c r="DUA34" s="205"/>
      <c r="DUB34" s="205"/>
      <c r="DUC34" s="205"/>
      <c r="DUD34" s="205"/>
      <c r="DUE34" s="205"/>
      <c r="DUF34" s="205"/>
      <c r="DUG34" s="205"/>
      <c r="DUH34" s="205"/>
      <c r="DUI34" s="205"/>
      <c r="DUJ34" s="205"/>
      <c r="DUK34" s="205"/>
      <c r="DUL34" s="205"/>
      <c r="DUM34" s="205"/>
      <c r="DUN34" s="205"/>
      <c r="DUO34" s="205"/>
      <c r="DUP34" s="205"/>
      <c r="DUQ34" s="205"/>
      <c r="DUR34" s="205"/>
      <c r="DUS34" s="205"/>
      <c r="DUT34" s="205"/>
      <c r="DUU34" s="205"/>
      <c r="DUV34" s="205"/>
      <c r="DUW34" s="205"/>
      <c r="DUX34" s="205"/>
      <c r="DUY34" s="205"/>
      <c r="DUZ34" s="205"/>
      <c r="DVA34" s="205"/>
      <c r="DVB34" s="205"/>
      <c r="DVC34" s="205"/>
      <c r="DVD34" s="205"/>
      <c r="DVE34" s="205"/>
      <c r="DVF34" s="205"/>
      <c r="DVG34" s="205"/>
      <c r="DVH34" s="205"/>
      <c r="DVI34" s="205"/>
      <c r="DVJ34" s="205"/>
      <c r="DVK34" s="205"/>
      <c r="DVL34" s="205"/>
      <c r="DVM34" s="205"/>
      <c r="DVN34" s="205"/>
      <c r="DVO34" s="205"/>
      <c r="DVP34" s="205"/>
      <c r="DVQ34" s="205"/>
      <c r="DVR34" s="205"/>
      <c r="DVS34" s="205"/>
      <c r="DVT34" s="205"/>
      <c r="DVU34" s="205"/>
      <c r="DVV34" s="205"/>
      <c r="DVW34" s="205"/>
      <c r="DVX34" s="205"/>
      <c r="DVY34" s="205"/>
      <c r="DVZ34" s="205"/>
      <c r="DWA34" s="205"/>
      <c r="DWB34" s="205"/>
      <c r="DWC34" s="205"/>
      <c r="DWD34" s="205"/>
      <c r="DWE34" s="205"/>
      <c r="DWF34" s="205"/>
      <c r="DWG34" s="205"/>
      <c r="DWH34" s="205"/>
      <c r="DWI34" s="205"/>
      <c r="DWJ34" s="205"/>
      <c r="DWK34" s="205"/>
      <c r="DWL34" s="205"/>
      <c r="DWM34" s="205"/>
      <c r="DWN34" s="205"/>
      <c r="DWO34" s="205"/>
      <c r="DWP34" s="205"/>
      <c r="DWQ34" s="205"/>
      <c r="DWR34" s="205"/>
      <c r="DWS34" s="205"/>
      <c r="DWT34" s="205"/>
      <c r="DWU34" s="205"/>
      <c r="DWV34" s="205"/>
      <c r="DWW34" s="205"/>
      <c r="DWX34" s="205"/>
      <c r="DWY34" s="205"/>
      <c r="DWZ34" s="205"/>
      <c r="DXA34" s="205"/>
      <c r="DXB34" s="205"/>
      <c r="DXC34" s="205"/>
      <c r="DXD34" s="205"/>
      <c r="DXE34" s="205"/>
      <c r="DXF34" s="205"/>
      <c r="DXG34" s="205"/>
      <c r="DXH34" s="205"/>
      <c r="DXI34" s="205"/>
      <c r="DXJ34" s="205"/>
      <c r="DXK34" s="205"/>
      <c r="DXL34" s="205"/>
      <c r="DXM34" s="205"/>
      <c r="DXN34" s="205"/>
      <c r="DXO34" s="205"/>
      <c r="DXP34" s="205"/>
      <c r="DXQ34" s="205"/>
      <c r="DXR34" s="205"/>
      <c r="DXS34" s="205"/>
      <c r="DXT34" s="205"/>
      <c r="DXU34" s="205"/>
      <c r="DXV34" s="205"/>
      <c r="DXW34" s="205"/>
      <c r="DXX34" s="205"/>
      <c r="DXY34" s="205"/>
      <c r="DXZ34" s="205"/>
      <c r="DYA34" s="205"/>
      <c r="DYB34" s="205"/>
      <c r="DYC34" s="205"/>
      <c r="DYD34" s="205"/>
      <c r="DYE34" s="205"/>
      <c r="DYF34" s="205"/>
      <c r="DYG34" s="205"/>
      <c r="DYH34" s="205"/>
      <c r="DYI34" s="205"/>
      <c r="DYJ34" s="205"/>
      <c r="DYK34" s="205"/>
      <c r="DYL34" s="205"/>
      <c r="DYM34" s="205"/>
      <c r="DYN34" s="205"/>
      <c r="DYO34" s="205"/>
      <c r="DYP34" s="205"/>
      <c r="DYQ34" s="205"/>
      <c r="DYR34" s="205"/>
      <c r="DYS34" s="205"/>
      <c r="DYT34" s="205"/>
      <c r="DYU34" s="205"/>
      <c r="DYV34" s="205"/>
      <c r="DYW34" s="205"/>
      <c r="DYX34" s="205"/>
      <c r="DYY34" s="205"/>
      <c r="DYZ34" s="205"/>
      <c r="DZA34" s="205"/>
      <c r="DZB34" s="205"/>
      <c r="DZC34" s="205"/>
      <c r="DZD34" s="205"/>
      <c r="DZE34" s="205"/>
      <c r="DZF34" s="205"/>
      <c r="DZG34" s="205"/>
      <c r="DZH34" s="205"/>
      <c r="DZI34" s="205"/>
      <c r="DZJ34" s="205"/>
      <c r="DZK34" s="205"/>
      <c r="DZL34" s="205"/>
      <c r="DZM34" s="205"/>
      <c r="DZN34" s="205"/>
      <c r="DZO34" s="205"/>
      <c r="DZP34" s="205"/>
      <c r="DZQ34" s="205"/>
      <c r="DZR34" s="205"/>
      <c r="DZS34" s="205"/>
      <c r="DZT34" s="205"/>
      <c r="DZU34" s="205"/>
      <c r="DZV34" s="205"/>
      <c r="DZW34" s="205"/>
      <c r="DZX34" s="205"/>
      <c r="DZY34" s="205"/>
      <c r="DZZ34" s="205"/>
      <c r="EAA34" s="205"/>
      <c r="EAB34" s="205"/>
      <c r="EAC34" s="205"/>
      <c r="EAD34" s="205"/>
      <c r="EAE34" s="205"/>
      <c r="EAF34" s="205"/>
      <c r="EAG34" s="205"/>
      <c r="EAH34" s="205"/>
      <c r="EAI34" s="205"/>
      <c r="EAJ34" s="205"/>
      <c r="EAK34" s="205"/>
      <c r="EAL34" s="205"/>
      <c r="EAM34" s="205"/>
      <c r="EAN34" s="205"/>
      <c r="EAO34" s="205"/>
      <c r="EAP34" s="205"/>
      <c r="EAQ34" s="205"/>
      <c r="EAR34" s="205"/>
      <c r="EAS34" s="205"/>
      <c r="EAT34" s="205"/>
      <c r="EAU34" s="205"/>
      <c r="EAV34" s="205"/>
      <c r="EAW34" s="205"/>
      <c r="EAX34" s="205"/>
      <c r="EAY34" s="205"/>
      <c r="EAZ34" s="205"/>
      <c r="EBA34" s="205"/>
      <c r="EBB34" s="205"/>
      <c r="EBC34" s="205"/>
      <c r="EBD34" s="205"/>
      <c r="EBE34" s="205"/>
      <c r="EBF34" s="205"/>
      <c r="EBG34" s="205"/>
      <c r="EBH34" s="205"/>
      <c r="EBI34" s="205"/>
      <c r="EBJ34" s="205"/>
      <c r="EBK34" s="205"/>
      <c r="EBL34" s="205"/>
      <c r="EBM34" s="205"/>
      <c r="EBN34" s="205"/>
      <c r="EBO34" s="205"/>
      <c r="EBP34" s="205"/>
      <c r="EBQ34" s="205"/>
      <c r="EBR34" s="205"/>
      <c r="EBS34" s="205"/>
      <c r="EBT34" s="205"/>
      <c r="EBU34" s="205"/>
      <c r="EBV34" s="205"/>
      <c r="EBW34" s="205"/>
      <c r="EBX34" s="205"/>
      <c r="EBY34" s="205"/>
      <c r="EBZ34" s="205"/>
      <c r="ECA34" s="205"/>
      <c r="ECB34" s="205"/>
      <c r="ECC34" s="205"/>
      <c r="ECD34" s="205"/>
      <c r="ECE34" s="205"/>
      <c r="ECF34" s="205"/>
      <c r="ECG34" s="205"/>
      <c r="ECH34" s="205"/>
      <c r="ECI34" s="205"/>
      <c r="ECJ34" s="205"/>
      <c r="ECK34" s="205"/>
      <c r="ECL34" s="205"/>
      <c r="ECM34" s="205"/>
      <c r="ECN34" s="205"/>
      <c r="ECO34" s="205"/>
      <c r="ECP34" s="205"/>
      <c r="ECQ34" s="205"/>
      <c r="ECR34" s="205"/>
      <c r="ECS34" s="205"/>
      <c r="ECT34" s="205"/>
      <c r="ECU34" s="205"/>
      <c r="ECV34" s="205"/>
      <c r="ECW34" s="205"/>
      <c r="ECX34" s="205"/>
      <c r="ECY34" s="205"/>
      <c r="ECZ34" s="205"/>
      <c r="EDA34" s="205"/>
      <c r="EDB34" s="205"/>
      <c r="EDC34" s="205"/>
      <c r="EDD34" s="205"/>
      <c r="EDE34" s="205"/>
      <c r="EDF34" s="205"/>
      <c r="EDG34" s="205"/>
      <c r="EDH34" s="205"/>
      <c r="EDI34" s="205"/>
      <c r="EDJ34" s="205"/>
      <c r="EDK34" s="205"/>
      <c r="EDL34" s="205"/>
      <c r="EDM34" s="205"/>
      <c r="EDN34" s="205"/>
      <c r="EDO34" s="205"/>
      <c r="EDP34" s="205"/>
      <c r="EDQ34" s="205"/>
      <c r="EDR34" s="205"/>
      <c r="EDS34" s="205"/>
      <c r="EDT34" s="205"/>
      <c r="EDU34" s="205"/>
      <c r="EDV34" s="205"/>
      <c r="EDW34" s="205"/>
      <c r="EDX34" s="205"/>
      <c r="EDY34" s="205"/>
      <c r="EDZ34" s="205"/>
      <c r="EEA34" s="205"/>
      <c r="EEB34" s="205"/>
      <c r="EEC34" s="205"/>
      <c r="EED34" s="205"/>
      <c r="EEE34" s="205"/>
      <c r="EEF34" s="205"/>
      <c r="EEG34" s="205"/>
      <c r="EEH34" s="205"/>
      <c r="EEI34" s="205"/>
      <c r="EEJ34" s="205"/>
      <c r="EEK34" s="205"/>
      <c r="EEL34" s="205"/>
      <c r="EEM34" s="205"/>
      <c r="EEN34" s="205"/>
      <c r="EEO34" s="205"/>
      <c r="EEP34" s="205"/>
      <c r="EEQ34" s="205"/>
      <c r="EER34" s="205"/>
      <c r="EES34" s="205"/>
      <c r="EET34" s="205"/>
      <c r="EEU34" s="205"/>
      <c r="EEV34" s="205"/>
      <c r="EEW34" s="205"/>
      <c r="EEX34" s="205"/>
      <c r="EEY34" s="205"/>
      <c r="EEZ34" s="205"/>
      <c r="EFA34" s="205"/>
      <c r="EFB34" s="205"/>
      <c r="EFC34" s="205"/>
      <c r="EFD34" s="205"/>
      <c r="EFE34" s="205"/>
      <c r="EFF34" s="205"/>
      <c r="EFG34" s="205"/>
      <c r="EFH34" s="205"/>
      <c r="EFI34" s="205"/>
      <c r="EFJ34" s="205"/>
      <c r="EFK34" s="205"/>
      <c r="EFL34" s="205"/>
      <c r="EFM34" s="205"/>
      <c r="EFN34" s="205"/>
      <c r="EFO34" s="205"/>
      <c r="EFP34" s="205"/>
      <c r="EFQ34" s="205"/>
      <c r="EFR34" s="205"/>
      <c r="EFS34" s="205"/>
      <c r="EFT34" s="205"/>
      <c r="EFU34" s="205"/>
      <c r="EFV34" s="205"/>
      <c r="EFW34" s="205"/>
      <c r="EFX34" s="205"/>
      <c r="EFY34" s="205"/>
      <c r="EFZ34" s="205"/>
      <c r="EGA34" s="205"/>
      <c r="EGB34" s="205"/>
      <c r="EGC34" s="205"/>
      <c r="EGD34" s="205"/>
      <c r="EGE34" s="205"/>
      <c r="EGF34" s="205"/>
      <c r="EGG34" s="205"/>
      <c r="EGH34" s="205"/>
      <c r="EGI34" s="205"/>
      <c r="EGJ34" s="205"/>
      <c r="EGK34" s="205"/>
      <c r="EGL34" s="205"/>
      <c r="EGM34" s="205"/>
      <c r="EGN34" s="205"/>
      <c r="EGO34" s="205"/>
      <c r="EGP34" s="205"/>
      <c r="EGQ34" s="205"/>
      <c r="EGR34" s="205"/>
      <c r="EGS34" s="205"/>
      <c r="EGT34" s="205"/>
      <c r="EGU34" s="205"/>
      <c r="EGV34" s="205"/>
      <c r="EGW34" s="205"/>
      <c r="EGX34" s="205"/>
      <c r="EGY34" s="205"/>
      <c r="EGZ34" s="205"/>
      <c r="EHA34" s="205"/>
      <c r="EHB34" s="205"/>
      <c r="EHC34" s="205"/>
      <c r="EHD34" s="205"/>
      <c r="EHE34" s="205"/>
      <c r="EHF34" s="205"/>
      <c r="EHG34" s="205"/>
      <c r="EHH34" s="205"/>
      <c r="EHI34" s="205"/>
      <c r="EHJ34" s="205"/>
      <c r="EHK34" s="205"/>
      <c r="EHL34" s="205"/>
      <c r="EHM34" s="205"/>
      <c r="EHN34" s="205"/>
      <c r="EHO34" s="205"/>
      <c r="EHP34" s="205"/>
      <c r="EHQ34" s="205"/>
      <c r="EHR34" s="205"/>
      <c r="EHS34" s="205"/>
      <c r="EHT34" s="205"/>
      <c r="EHU34" s="205"/>
      <c r="EHV34" s="205"/>
      <c r="EHW34" s="205"/>
      <c r="EHX34" s="205"/>
      <c r="EHY34" s="205"/>
      <c r="EHZ34" s="205"/>
      <c r="EIA34" s="205"/>
      <c r="EIB34" s="205"/>
      <c r="EIC34" s="205"/>
      <c r="EID34" s="205"/>
      <c r="EIE34" s="205"/>
      <c r="EIF34" s="205"/>
      <c r="EIG34" s="205"/>
      <c r="EIH34" s="205"/>
      <c r="EII34" s="205"/>
      <c r="EIJ34" s="205"/>
      <c r="EIK34" s="205"/>
      <c r="EIL34" s="205"/>
      <c r="EIM34" s="205"/>
      <c r="EIN34" s="205"/>
      <c r="EIO34" s="205"/>
      <c r="EIP34" s="205"/>
      <c r="EIQ34" s="205"/>
      <c r="EIR34" s="205"/>
      <c r="EIS34" s="205"/>
      <c r="EIT34" s="205"/>
      <c r="EIU34" s="205"/>
      <c r="EIV34" s="205"/>
      <c r="EIW34" s="205"/>
      <c r="EIX34" s="205"/>
      <c r="EIY34" s="205"/>
      <c r="EIZ34" s="205"/>
      <c r="EJA34" s="205"/>
      <c r="EJB34" s="205"/>
      <c r="EJC34" s="205"/>
      <c r="EJD34" s="205"/>
      <c r="EJE34" s="205"/>
      <c r="EJF34" s="205"/>
      <c r="EJG34" s="205"/>
      <c r="EJH34" s="205"/>
      <c r="EJI34" s="205"/>
      <c r="EJJ34" s="205"/>
      <c r="EJK34" s="205"/>
      <c r="EJL34" s="205"/>
      <c r="EJM34" s="205"/>
      <c r="EJN34" s="205"/>
      <c r="EJO34" s="205"/>
      <c r="EJP34" s="205"/>
      <c r="EJQ34" s="205"/>
      <c r="EJR34" s="205"/>
      <c r="EJS34" s="205"/>
      <c r="EJT34" s="205"/>
      <c r="EJU34" s="205"/>
      <c r="EJV34" s="205"/>
      <c r="EJW34" s="205"/>
      <c r="EJX34" s="205"/>
      <c r="EJY34" s="205"/>
      <c r="EJZ34" s="205"/>
      <c r="EKA34" s="205"/>
      <c r="EKB34" s="205"/>
      <c r="EKC34" s="205"/>
      <c r="EKD34" s="205"/>
      <c r="EKE34" s="205"/>
      <c r="EKF34" s="205"/>
      <c r="EKG34" s="205"/>
      <c r="EKH34" s="205"/>
      <c r="EKI34" s="205"/>
      <c r="EKJ34" s="205"/>
      <c r="EKK34" s="205"/>
      <c r="EKL34" s="205"/>
      <c r="EKM34" s="205"/>
      <c r="EKN34" s="205"/>
      <c r="EKO34" s="205"/>
      <c r="EKP34" s="205"/>
      <c r="EKQ34" s="205"/>
      <c r="EKR34" s="205"/>
      <c r="EKS34" s="205"/>
      <c r="EKT34" s="205"/>
      <c r="EKU34" s="205"/>
      <c r="EKV34" s="205"/>
      <c r="EKW34" s="205"/>
      <c r="EKX34" s="205"/>
      <c r="EKY34" s="205"/>
      <c r="EKZ34" s="205"/>
      <c r="ELA34" s="205"/>
      <c r="ELB34" s="205"/>
      <c r="ELC34" s="205"/>
      <c r="ELD34" s="205"/>
      <c r="ELE34" s="205"/>
      <c r="ELF34" s="205"/>
      <c r="ELG34" s="205"/>
      <c r="ELH34" s="205"/>
      <c r="ELI34" s="205"/>
      <c r="ELJ34" s="205"/>
      <c r="ELK34" s="205"/>
      <c r="ELL34" s="205"/>
      <c r="ELM34" s="205"/>
      <c r="ELN34" s="205"/>
      <c r="ELO34" s="205"/>
      <c r="ELP34" s="205"/>
      <c r="ELQ34" s="205"/>
      <c r="ELR34" s="205"/>
      <c r="ELS34" s="205"/>
      <c r="ELT34" s="205"/>
      <c r="ELU34" s="205"/>
      <c r="ELV34" s="205"/>
      <c r="ELW34" s="205"/>
      <c r="ELX34" s="205"/>
      <c r="ELY34" s="205"/>
      <c r="ELZ34" s="205"/>
      <c r="EMA34" s="205"/>
      <c r="EMB34" s="205"/>
      <c r="EMC34" s="205"/>
      <c r="EMD34" s="205"/>
      <c r="EME34" s="205"/>
      <c r="EMF34" s="205"/>
      <c r="EMG34" s="205"/>
      <c r="EMH34" s="205"/>
      <c r="EMI34" s="205"/>
      <c r="EMJ34" s="205"/>
      <c r="EMK34" s="205"/>
      <c r="EML34" s="205"/>
      <c r="EMM34" s="205"/>
      <c r="EMN34" s="205"/>
      <c r="EMO34" s="205"/>
      <c r="EMP34" s="205"/>
      <c r="EMQ34" s="205"/>
      <c r="EMR34" s="205"/>
      <c r="EMS34" s="205"/>
      <c r="EMT34" s="205"/>
      <c r="EMU34" s="205"/>
      <c r="EMV34" s="205"/>
      <c r="EMW34" s="205"/>
      <c r="EMX34" s="205"/>
      <c r="EMY34" s="205"/>
      <c r="EMZ34" s="205"/>
      <c r="ENA34" s="205"/>
      <c r="ENB34" s="205"/>
      <c r="ENC34" s="205"/>
      <c r="END34" s="205"/>
      <c r="ENE34" s="205"/>
      <c r="ENF34" s="205"/>
      <c r="ENG34" s="205"/>
      <c r="ENH34" s="205"/>
      <c r="ENI34" s="205"/>
      <c r="ENJ34" s="205"/>
      <c r="ENK34" s="205"/>
      <c r="ENL34" s="205"/>
      <c r="ENM34" s="205"/>
      <c r="ENN34" s="205"/>
      <c r="ENO34" s="205"/>
      <c r="ENP34" s="205"/>
      <c r="ENQ34" s="205"/>
      <c r="ENR34" s="205"/>
      <c r="ENS34" s="205"/>
      <c r="ENT34" s="205"/>
      <c r="ENU34" s="205"/>
      <c r="ENV34" s="205"/>
      <c r="ENW34" s="205"/>
      <c r="ENX34" s="205"/>
      <c r="ENY34" s="205"/>
      <c r="ENZ34" s="205"/>
      <c r="EOA34" s="205"/>
      <c r="EOB34" s="205"/>
      <c r="EOC34" s="205"/>
      <c r="EOD34" s="205"/>
      <c r="EOE34" s="205"/>
      <c r="EOF34" s="205"/>
      <c r="EOG34" s="205"/>
      <c r="EOH34" s="205"/>
      <c r="EOI34" s="205"/>
      <c r="EOJ34" s="205"/>
      <c r="EOK34" s="205"/>
      <c r="EOL34" s="205"/>
      <c r="EOM34" s="205"/>
      <c r="EON34" s="205"/>
      <c r="EOO34" s="205"/>
      <c r="EOP34" s="205"/>
      <c r="EOQ34" s="205"/>
      <c r="EOR34" s="205"/>
      <c r="EOS34" s="205"/>
      <c r="EOT34" s="205"/>
      <c r="EOU34" s="205"/>
      <c r="EOV34" s="205"/>
      <c r="EOW34" s="205"/>
      <c r="EOX34" s="205"/>
      <c r="EOY34" s="205"/>
      <c r="EOZ34" s="205"/>
      <c r="EPA34" s="205"/>
      <c r="EPB34" s="205"/>
      <c r="EPC34" s="205"/>
      <c r="EPD34" s="205"/>
      <c r="EPE34" s="205"/>
      <c r="EPF34" s="205"/>
      <c r="EPG34" s="205"/>
      <c r="EPH34" s="205"/>
      <c r="EPI34" s="205"/>
      <c r="EPJ34" s="205"/>
      <c r="EPK34" s="205"/>
      <c r="EPL34" s="205"/>
      <c r="EPM34" s="205"/>
      <c r="EPN34" s="205"/>
      <c r="EPO34" s="205"/>
      <c r="EPP34" s="205"/>
      <c r="EPQ34" s="205"/>
      <c r="EPR34" s="205"/>
      <c r="EPS34" s="205"/>
      <c r="EPT34" s="205"/>
      <c r="EPU34" s="205"/>
      <c r="EPV34" s="205"/>
      <c r="EPW34" s="205"/>
      <c r="EPX34" s="205"/>
      <c r="EPY34" s="205"/>
      <c r="EPZ34" s="205"/>
      <c r="EQA34" s="205"/>
      <c r="EQB34" s="205"/>
      <c r="EQC34" s="205"/>
      <c r="EQD34" s="205"/>
      <c r="EQE34" s="205"/>
      <c r="EQF34" s="205"/>
      <c r="EQG34" s="205"/>
      <c r="EQH34" s="205"/>
      <c r="EQI34" s="205"/>
      <c r="EQJ34" s="205"/>
      <c r="EQK34" s="205"/>
      <c r="EQL34" s="205"/>
      <c r="EQM34" s="205"/>
      <c r="EQN34" s="205"/>
      <c r="EQO34" s="205"/>
      <c r="EQP34" s="205"/>
      <c r="EQQ34" s="205"/>
      <c r="EQR34" s="205"/>
      <c r="EQS34" s="205"/>
      <c r="EQT34" s="205"/>
      <c r="EQU34" s="205"/>
      <c r="EQV34" s="205"/>
      <c r="EQW34" s="205"/>
      <c r="EQX34" s="205"/>
      <c r="EQY34" s="205"/>
      <c r="EQZ34" s="205"/>
      <c r="ERA34" s="205"/>
      <c r="ERB34" s="205"/>
      <c r="ERC34" s="205"/>
      <c r="ERD34" s="205"/>
      <c r="ERE34" s="205"/>
      <c r="ERF34" s="205"/>
      <c r="ERG34" s="205"/>
      <c r="ERH34" s="205"/>
      <c r="ERI34" s="205"/>
      <c r="ERJ34" s="205"/>
      <c r="ERK34" s="205"/>
      <c r="ERL34" s="205"/>
      <c r="ERM34" s="205"/>
      <c r="ERN34" s="205"/>
      <c r="ERO34" s="205"/>
      <c r="ERP34" s="205"/>
      <c r="ERQ34" s="205"/>
      <c r="ERR34" s="205"/>
      <c r="ERS34" s="205"/>
      <c r="ERT34" s="205"/>
      <c r="ERU34" s="205"/>
      <c r="ERV34" s="205"/>
      <c r="ERW34" s="205"/>
      <c r="ERX34" s="205"/>
      <c r="ERY34" s="205"/>
      <c r="ERZ34" s="205"/>
      <c r="ESA34" s="205"/>
      <c r="ESB34" s="205"/>
      <c r="ESC34" s="205"/>
      <c r="ESD34" s="205"/>
      <c r="ESE34" s="205"/>
      <c r="ESF34" s="205"/>
      <c r="ESG34" s="205"/>
      <c r="ESH34" s="205"/>
      <c r="ESI34" s="205"/>
      <c r="ESJ34" s="205"/>
      <c r="ESK34" s="205"/>
      <c r="ESL34" s="205"/>
      <c r="ESM34" s="205"/>
      <c r="ESN34" s="205"/>
      <c r="ESO34" s="205"/>
      <c r="ESP34" s="205"/>
      <c r="ESQ34" s="205"/>
      <c r="ESR34" s="205"/>
      <c r="ESS34" s="205"/>
      <c r="EST34" s="205"/>
      <c r="ESU34" s="205"/>
      <c r="ESV34" s="205"/>
      <c r="ESW34" s="205"/>
      <c r="ESX34" s="205"/>
      <c r="ESY34" s="205"/>
      <c r="ESZ34" s="205"/>
      <c r="ETA34" s="205"/>
      <c r="ETB34" s="205"/>
      <c r="ETC34" s="205"/>
      <c r="ETD34" s="205"/>
      <c r="ETE34" s="205"/>
      <c r="ETF34" s="205"/>
      <c r="ETG34" s="205"/>
      <c r="ETH34" s="205"/>
      <c r="ETI34" s="205"/>
      <c r="ETJ34" s="205"/>
      <c r="ETK34" s="205"/>
      <c r="ETL34" s="205"/>
      <c r="ETM34" s="205"/>
      <c r="ETN34" s="205"/>
      <c r="ETO34" s="205"/>
      <c r="ETP34" s="205"/>
      <c r="ETQ34" s="205"/>
      <c r="ETR34" s="205"/>
      <c r="ETS34" s="205"/>
      <c r="ETT34" s="205"/>
      <c r="ETU34" s="205"/>
      <c r="ETV34" s="205"/>
      <c r="ETW34" s="205"/>
      <c r="ETX34" s="205"/>
      <c r="ETY34" s="205"/>
      <c r="ETZ34" s="205"/>
      <c r="EUA34" s="205"/>
      <c r="EUB34" s="205"/>
      <c r="EUC34" s="205"/>
      <c r="EUD34" s="205"/>
      <c r="EUE34" s="205"/>
      <c r="EUF34" s="205"/>
      <c r="EUG34" s="205"/>
      <c r="EUH34" s="205"/>
      <c r="EUI34" s="205"/>
      <c r="EUJ34" s="205"/>
      <c r="EUK34" s="205"/>
      <c r="EUL34" s="205"/>
      <c r="EUM34" s="205"/>
      <c r="EUN34" s="205"/>
      <c r="EUO34" s="205"/>
      <c r="EUP34" s="205"/>
      <c r="EUQ34" s="205"/>
      <c r="EUR34" s="205"/>
      <c r="EUS34" s="205"/>
      <c r="EUT34" s="205"/>
      <c r="EUU34" s="205"/>
      <c r="EUV34" s="205"/>
      <c r="EUW34" s="205"/>
      <c r="EUX34" s="205"/>
      <c r="EUY34" s="205"/>
      <c r="EUZ34" s="205"/>
      <c r="EVA34" s="205"/>
      <c r="EVB34" s="205"/>
      <c r="EVC34" s="205"/>
      <c r="EVD34" s="205"/>
      <c r="EVE34" s="205"/>
      <c r="EVF34" s="205"/>
      <c r="EVG34" s="205"/>
      <c r="EVH34" s="205"/>
      <c r="EVI34" s="205"/>
      <c r="EVJ34" s="205"/>
      <c r="EVK34" s="205"/>
      <c r="EVL34" s="205"/>
      <c r="EVM34" s="205"/>
      <c r="EVN34" s="205"/>
      <c r="EVO34" s="205"/>
      <c r="EVP34" s="205"/>
      <c r="EVQ34" s="205"/>
      <c r="EVR34" s="205"/>
      <c r="EVS34" s="205"/>
      <c r="EVT34" s="205"/>
      <c r="EVU34" s="205"/>
      <c r="EVV34" s="205"/>
      <c r="EVW34" s="205"/>
      <c r="EVX34" s="205"/>
      <c r="EVY34" s="205"/>
      <c r="EVZ34" s="205"/>
      <c r="EWA34" s="205"/>
      <c r="EWB34" s="205"/>
      <c r="EWC34" s="205"/>
      <c r="EWD34" s="205"/>
      <c r="EWE34" s="205"/>
      <c r="EWF34" s="205"/>
      <c r="EWG34" s="205"/>
      <c r="EWH34" s="205"/>
      <c r="EWI34" s="205"/>
      <c r="EWJ34" s="205"/>
      <c r="EWK34" s="205"/>
      <c r="EWL34" s="205"/>
      <c r="EWM34" s="205"/>
      <c r="EWN34" s="205"/>
      <c r="EWO34" s="205"/>
      <c r="EWP34" s="205"/>
      <c r="EWQ34" s="205"/>
      <c r="EWR34" s="205"/>
      <c r="EWS34" s="205"/>
      <c r="EWT34" s="205"/>
      <c r="EWU34" s="205"/>
      <c r="EWV34" s="205"/>
      <c r="EWW34" s="205"/>
      <c r="EWX34" s="205"/>
      <c r="EWY34" s="205"/>
      <c r="EWZ34" s="205"/>
      <c r="EXA34" s="205"/>
      <c r="EXB34" s="205"/>
      <c r="EXC34" s="205"/>
      <c r="EXD34" s="205"/>
      <c r="EXE34" s="205"/>
      <c r="EXF34" s="205"/>
      <c r="EXG34" s="205"/>
      <c r="EXH34" s="205"/>
      <c r="EXI34" s="205"/>
      <c r="EXJ34" s="205"/>
      <c r="EXK34" s="205"/>
      <c r="EXL34" s="205"/>
      <c r="EXM34" s="205"/>
      <c r="EXN34" s="205"/>
      <c r="EXO34" s="205"/>
      <c r="EXP34" s="205"/>
      <c r="EXQ34" s="205"/>
      <c r="EXR34" s="205"/>
      <c r="EXS34" s="205"/>
      <c r="EXT34" s="205"/>
      <c r="EXU34" s="205"/>
      <c r="EXV34" s="205"/>
      <c r="EXW34" s="205"/>
      <c r="EXX34" s="205"/>
      <c r="EXY34" s="205"/>
      <c r="EXZ34" s="205"/>
      <c r="EYA34" s="205"/>
      <c r="EYB34" s="205"/>
      <c r="EYC34" s="205"/>
      <c r="EYD34" s="205"/>
      <c r="EYE34" s="205"/>
      <c r="EYF34" s="205"/>
      <c r="EYG34" s="205"/>
      <c r="EYH34" s="205"/>
      <c r="EYI34" s="205"/>
      <c r="EYJ34" s="205"/>
      <c r="EYK34" s="205"/>
      <c r="EYL34" s="205"/>
      <c r="EYM34" s="205"/>
      <c r="EYN34" s="205"/>
      <c r="EYO34" s="205"/>
      <c r="EYP34" s="205"/>
      <c r="EYQ34" s="205"/>
      <c r="EYR34" s="205"/>
      <c r="EYS34" s="205"/>
      <c r="EYT34" s="205"/>
      <c r="EYU34" s="205"/>
      <c r="EYV34" s="205"/>
      <c r="EYW34" s="205"/>
      <c r="EYX34" s="205"/>
      <c r="EYY34" s="205"/>
      <c r="EYZ34" s="205"/>
      <c r="EZA34" s="205"/>
      <c r="EZB34" s="205"/>
      <c r="EZC34" s="205"/>
      <c r="EZD34" s="205"/>
      <c r="EZE34" s="205"/>
      <c r="EZF34" s="205"/>
      <c r="EZG34" s="205"/>
      <c r="EZH34" s="205"/>
      <c r="EZI34" s="205"/>
      <c r="EZJ34" s="205"/>
      <c r="EZK34" s="205"/>
      <c r="EZL34" s="205"/>
      <c r="EZM34" s="205"/>
      <c r="EZN34" s="205"/>
      <c r="EZO34" s="205"/>
      <c r="EZP34" s="205"/>
      <c r="EZQ34" s="205"/>
      <c r="EZR34" s="205"/>
      <c r="EZS34" s="205"/>
      <c r="EZT34" s="205"/>
      <c r="EZU34" s="205"/>
      <c r="EZV34" s="205"/>
      <c r="EZW34" s="205"/>
      <c r="EZX34" s="205"/>
      <c r="EZY34" s="205"/>
      <c r="EZZ34" s="205"/>
      <c r="FAA34" s="205"/>
      <c r="FAB34" s="205"/>
      <c r="FAC34" s="205"/>
      <c r="FAD34" s="205"/>
      <c r="FAE34" s="205"/>
      <c r="FAF34" s="205"/>
      <c r="FAG34" s="205"/>
      <c r="FAH34" s="205"/>
      <c r="FAI34" s="205"/>
      <c r="FAJ34" s="205"/>
      <c r="FAK34" s="205"/>
      <c r="FAL34" s="205"/>
      <c r="FAM34" s="205"/>
      <c r="FAN34" s="205"/>
      <c r="FAO34" s="205"/>
      <c r="FAP34" s="205"/>
      <c r="FAQ34" s="205"/>
      <c r="FAR34" s="205"/>
      <c r="FAS34" s="205"/>
      <c r="FAT34" s="205"/>
      <c r="FAU34" s="205"/>
      <c r="FAV34" s="205"/>
      <c r="FAW34" s="205"/>
      <c r="FAX34" s="205"/>
      <c r="FAY34" s="205"/>
      <c r="FAZ34" s="205"/>
      <c r="FBA34" s="205"/>
      <c r="FBB34" s="205"/>
      <c r="FBC34" s="205"/>
      <c r="FBD34" s="205"/>
      <c r="FBE34" s="205"/>
      <c r="FBF34" s="205"/>
      <c r="FBG34" s="205"/>
      <c r="FBH34" s="205"/>
      <c r="FBI34" s="205"/>
      <c r="FBJ34" s="205"/>
      <c r="FBK34" s="205"/>
      <c r="FBL34" s="205"/>
      <c r="FBM34" s="205"/>
      <c r="FBN34" s="205"/>
      <c r="FBO34" s="205"/>
      <c r="FBP34" s="205"/>
      <c r="FBQ34" s="205"/>
      <c r="FBR34" s="205"/>
      <c r="FBS34" s="205"/>
      <c r="FBT34" s="205"/>
      <c r="FBU34" s="205"/>
      <c r="FBV34" s="205"/>
      <c r="FBW34" s="205"/>
      <c r="FBX34" s="205"/>
      <c r="FBY34" s="205"/>
      <c r="FBZ34" s="205"/>
      <c r="FCA34" s="205"/>
      <c r="FCB34" s="205"/>
      <c r="FCC34" s="205"/>
      <c r="FCD34" s="205"/>
      <c r="FCE34" s="205"/>
      <c r="FCF34" s="205"/>
      <c r="FCG34" s="205"/>
      <c r="FCH34" s="205"/>
      <c r="FCI34" s="205"/>
      <c r="FCJ34" s="205"/>
      <c r="FCK34" s="205"/>
      <c r="FCL34" s="205"/>
      <c r="FCM34" s="205"/>
      <c r="FCN34" s="205"/>
      <c r="FCO34" s="205"/>
      <c r="FCP34" s="205"/>
      <c r="FCQ34" s="205"/>
      <c r="FCR34" s="205"/>
      <c r="FCS34" s="205"/>
      <c r="FCT34" s="205"/>
      <c r="FCU34" s="205"/>
      <c r="FCV34" s="205"/>
      <c r="FCW34" s="205"/>
      <c r="FCX34" s="205"/>
      <c r="FCY34" s="205"/>
      <c r="FCZ34" s="205"/>
      <c r="FDA34" s="205"/>
      <c r="FDB34" s="205"/>
      <c r="FDC34" s="205"/>
      <c r="FDD34" s="205"/>
      <c r="FDE34" s="205"/>
      <c r="FDF34" s="205"/>
      <c r="FDG34" s="205"/>
      <c r="FDH34" s="205"/>
      <c r="FDI34" s="205"/>
      <c r="FDJ34" s="205"/>
      <c r="FDK34" s="205"/>
      <c r="FDL34" s="205"/>
      <c r="FDM34" s="205"/>
      <c r="FDN34" s="205"/>
      <c r="FDO34" s="205"/>
      <c r="FDP34" s="205"/>
      <c r="FDQ34" s="205"/>
      <c r="FDR34" s="205"/>
      <c r="FDS34" s="205"/>
      <c r="FDT34" s="205"/>
      <c r="FDU34" s="205"/>
      <c r="FDV34" s="205"/>
      <c r="FDW34" s="205"/>
      <c r="FDX34" s="205"/>
      <c r="FDY34" s="205"/>
      <c r="FDZ34" s="205"/>
      <c r="FEA34" s="205"/>
      <c r="FEB34" s="205"/>
      <c r="FEC34" s="205"/>
      <c r="FED34" s="205"/>
      <c r="FEE34" s="205"/>
      <c r="FEF34" s="205"/>
      <c r="FEG34" s="205"/>
      <c r="FEH34" s="205"/>
      <c r="FEI34" s="205"/>
      <c r="FEJ34" s="205"/>
      <c r="FEK34" s="205"/>
      <c r="FEL34" s="205"/>
      <c r="FEM34" s="205"/>
      <c r="FEN34" s="205"/>
      <c r="FEO34" s="205"/>
      <c r="FEP34" s="205"/>
      <c r="FEQ34" s="205"/>
      <c r="FER34" s="205"/>
      <c r="FES34" s="205"/>
      <c r="FET34" s="205"/>
      <c r="FEU34" s="205"/>
      <c r="FEV34" s="205"/>
      <c r="FEW34" s="205"/>
      <c r="FEX34" s="205"/>
      <c r="FEY34" s="205"/>
      <c r="FEZ34" s="205"/>
      <c r="FFA34" s="205"/>
      <c r="FFB34" s="205"/>
      <c r="FFC34" s="205"/>
      <c r="FFD34" s="205"/>
      <c r="FFE34" s="205"/>
      <c r="FFF34" s="205"/>
      <c r="FFG34" s="205"/>
      <c r="FFH34" s="205"/>
      <c r="FFI34" s="205"/>
      <c r="FFJ34" s="205"/>
      <c r="FFK34" s="205"/>
      <c r="FFL34" s="205"/>
      <c r="FFM34" s="205"/>
      <c r="FFN34" s="205"/>
      <c r="FFO34" s="205"/>
      <c r="FFP34" s="205"/>
      <c r="FFQ34" s="205"/>
      <c r="FFR34" s="205"/>
      <c r="FFS34" s="205"/>
      <c r="FFT34" s="205"/>
      <c r="FFU34" s="205"/>
      <c r="FFV34" s="205"/>
      <c r="FFW34" s="205"/>
      <c r="FFX34" s="205"/>
      <c r="FFY34" s="205"/>
      <c r="FFZ34" s="205"/>
      <c r="FGA34" s="205"/>
      <c r="FGB34" s="205"/>
      <c r="FGC34" s="205"/>
      <c r="FGD34" s="205"/>
      <c r="FGE34" s="205"/>
      <c r="FGF34" s="205"/>
      <c r="FGG34" s="205"/>
      <c r="FGH34" s="205"/>
      <c r="FGI34" s="205"/>
      <c r="FGJ34" s="205"/>
      <c r="FGK34" s="205"/>
      <c r="FGL34" s="205"/>
      <c r="FGM34" s="205"/>
      <c r="FGN34" s="205"/>
      <c r="FGO34" s="205"/>
      <c r="FGP34" s="205"/>
      <c r="FGQ34" s="205"/>
      <c r="FGR34" s="205"/>
      <c r="FGS34" s="205"/>
      <c r="FGT34" s="205"/>
      <c r="FGU34" s="205"/>
      <c r="FGV34" s="205"/>
      <c r="FGW34" s="205"/>
      <c r="FGX34" s="205"/>
      <c r="FGY34" s="205"/>
      <c r="FGZ34" s="205"/>
      <c r="FHA34" s="205"/>
      <c r="FHB34" s="205"/>
      <c r="FHC34" s="205"/>
      <c r="FHD34" s="205"/>
      <c r="FHE34" s="205"/>
      <c r="FHF34" s="205"/>
      <c r="FHG34" s="205"/>
      <c r="FHH34" s="205"/>
      <c r="FHI34" s="205"/>
      <c r="FHJ34" s="205"/>
      <c r="FHK34" s="205"/>
      <c r="FHL34" s="205"/>
      <c r="FHM34" s="205"/>
      <c r="FHN34" s="205"/>
      <c r="FHO34" s="205"/>
      <c r="FHP34" s="205"/>
      <c r="FHQ34" s="205"/>
      <c r="FHR34" s="205"/>
      <c r="FHS34" s="205"/>
      <c r="FHT34" s="205"/>
      <c r="FHU34" s="205"/>
      <c r="FHV34" s="205"/>
      <c r="FHW34" s="205"/>
      <c r="FHX34" s="205"/>
      <c r="FHY34" s="205"/>
      <c r="FHZ34" s="205"/>
      <c r="FIA34" s="205"/>
      <c r="FIB34" s="205"/>
      <c r="FIC34" s="205"/>
      <c r="FID34" s="205"/>
      <c r="FIE34" s="205"/>
      <c r="FIF34" s="205"/>
      <c r="FIG34" s="205"/>
      <c r="FIH34" s="205"/>
      <c r="FII34" s="205"/>
      <c r="FIJ34" s="205"/>
      <c r="FIK34" s="205"/>
      <c r="FIL34" s="205"/>
      <c r="FIM34" s="205"/>
      <c r="FIN34" s="205"/>
      <c r="FIO34" s="205"/>
      <c r="FIP34" s="205"/>
      <c r="FIQ34" s="205"/>
      <c r="FIR34" s="205"/>
      <c r="FIS34" s="205"/>
      <c r="FIT34" s="205"/>
      <c r="FIU34" s="205"/>
      <c r="FIV34" s="205"/>
      <c r="FIW34" s="205"/>
      <c r="FIX34" s="205"/>
      <c r="FIY34" s="205"/>
      <c r="FIZ34" s="205"/>
      <c r="FJA34" s="205"/>
      <c r="FJB34" s="205"/>
      <c r="FJC34" s="205"/>
      <c r="FJD34" s="205"/>
      <c r="FJE34" s="205"/>
      <c r="FJF34" s="205"/>
      <c r="FJG34" s="205"/>
      <c r="FJH34" s="205"/>
      <c r="FJI34" s="205"/>
      <c r="FJJ34" s="205"/>
      <c r="FJK34" s="205"/>
      <c r="FJL34" s="205"/>
      <c r="FJM34" s="205"/>
      <c r="FJN34" s="205"/>
      <c r="FJO34" s="205"/>
      <c r="FJP34" s="205"/>
      <c r="FJQ34" s="205"/>
      <c r="FJR34" s="205"/>
      <c r="FJS34" s="205"/>
      <c r="FJT34" s="205"/>
      <c r="FJU34" s="205"/>
      <c r="FJV34" s="205"/>
      <c r="FJW34" s="205"/>
      <c r="FJX34" s="205"/>
      <c r="FJY34" s="205"/>
      <c r="FJZ34" s="205"/>
      <c r="FKA34" s="205"/>
      <c r="FKB34" s="205"/>
      <c r="FKC34" s="205"/>
      <c r="FKD34" s="205"/>
      <c r="FKE34" s="205"/>
      <c r="FKF34" s="205"/>
      <c r="FKG34" s="205"/>
      <c r="FKH34" s="205"/>
      <c r="FKI34" s="205"/>
      <c r="FKJ34" s="205"/>
      <c r="FKK34" s="205"/>
      <c r="FKL34" s="205"/>
      <c r="FKM34" s="205"/>
      <c r="FKN34" s="205"/>
      <c r="FKO34" s="205"/>
      <c r="FKP34" s="205"/>
      <c r="FKQ34" s="205"/>
      <c r="FKR34" s="205"/>
      <c r="FKS34" s="205"/>
      <c r="FKT34" s="205"/>
      <c r="FKU34" s="205"/>
      <c r="FKV34" s="205"/>
      <c r="FKW34" s="205"/>
      <c r="FKX34" s="205"/>
      <c r="FKY34" s="205"/>
      <c r="FKZ34" s="205"/>
      <c r="FLA34" s="205"/>
      <c r="FLB34" s="205"/>
      <c r="FLC34" s="205"/>
      <c r="FLD34" s="205"/>
      <c r="FLE34" s="205"/>
      <c r="FLF34" s="205"/>
      <c r="FLG34" s="205"/>
      <c r="FLH34" s="205"/>
      <c r="FLI34" s="205"/>
      <c r="FLJ34" s="205"/>
      <c r="FLK34" s="205"/>
      <c r="FLL34" s="205"/>
      <c r="FLM34" s="205"/>
      <c r="FLN34" s="205"/>
      <c r="FLO34" s="205"/>
      <c r="FLP34" s="205"/>
      <c r="FLQ34" s="205"/>
      <c r="FLR34" s="205"/>
      <c r="FLS34" s="205"/>
      <c r="FLT34" s="205"/>
      <c r="FLU34" s="205"/>
      <c r="FLV34" s="205"/>
      <c r="FLW34" s="205"/>
      <c r="FLX34" s="205"/>
      <c r="FLY34" s="205"/>
      <c r="FLZ34" s="205"/>
      <c r="FMA34" s="205"/>
      <c r="FMB34" s="205"/>
      <c r="FMC34" s="205"/>
      <c r="FMD34" s="205"/>
      <c r="FME34" s="205"/>
      <c r="FMF34" s="205"/>
      <c r="FMG34" s="205"/>
      <c r="FMH34" s="205"/>
      <c r="FMI34" s="205"/>
      <c r="FMJ34" s="205"/>
      <c r="FMK34" s="205"/>
      <c r="FML34" s="205"/>
      <c r="FMM34" s="205"/>
      <c r="FMN34" s="205"/>
      <c r="FMO34" s="205"/>
      <c r="FMP34" s="205"/>
      <c r="FMQ34" s="205"/>
      <c r="FMR34" s="205"/>
      <c r="FMS34" s="205"/>
      <c r="FMT34" s="205"/>
      <c r="FMU34" s="205"/>
      <c r="FMV34" s="205"/>
      <c r="FMW34" s="205"/>
      <c r="FMX34" s="205"/>
      <c r="FMY34" s="205"/>
      <c r="FMZ34" s="205"/>
      <c r="FNA34" s="205"/>
      <c r="FNB34" s="205"/>
      <c r="FNC34" s="205"/>
      <c r="FND34" s="205"/>
      <c r="FNE34" s="205"/>
      <c r="FNF34" s="205"/>
      <c r="FNG34" s="205"/>
      <c r="FNH34" s="205"/>
      <c r="FNI34" s="205"/>
      <c r="FNJ34" s="205"/>
      <c r="FNK34" s="205"/>
      <c r="FNL34" s="205"/>
      <c r="FNM34" s="205"/>
      <c r="FNN34" s="205"/>
      <c r="FNO34" s="205"/>
      <c r="FNP34" s="205"/>
      <c r="FNQ34" s="205"/>
      <c r="FNR34" s="205"/>
      <c r="FNS34" s="205"/>
      <c r="FNT34" s="205"/>
      <c r="FNU34" s="205"/>
      <c r="FNV34" s="205"/>
      <c r="FNW34" s="205"/>
      <c r="FNX34" s="205"/>
      <c r="FNY34" s="205"/>
      <c r="FNZ34" s="205"/>
      <c r="FOA34" s="205"/>
      <c r="FOB34" s="205"/>
      <c r="FOC34" s="205"/>
      <c r="FOD34" s="205"/>
      <c r="FOE34" s="205"/>
      <c r="FOF34" s="205"/>
      <c r="FOG34" s="205"/>
      <c r="FOH34" s="205"/>
      <c r="FOI34" s="205"/>
      <c r="FOJ34" s="205"/>
      <c r="FOK34" s="205"/>
      <c r="FOL34" s="205"/>
      <c r="FOM34" s="205"/>
      <c r="FON34" s="205"/>
      <c r="FOO34" s="205"/>
      <c r="FOP34" s="205"/>
      <c r="FOQ34" s="205"/>
      <c r="FOR34" s="205"/>
      <c r="FOS34" s="205"/>
      <c r="FOT34" s="205"/>
      <c r="FOU34" s="205"/>
      <c r="FOV34" s="205"/>
      <c r="FOW34" s="205"/>
      <c r="FOX34" s="205"/>
      <c r="FOY34" s="205"/>
      <c r="FOZ34" s="205"/>
      <c r="FPA34" s="205"/>
      <c r="FPB34" s="205"/>
      <c r="FPC34" s="205"/>
      <c r="FPD34" s="205"/>
      <c r="FPE34" s="205"/>
      <c r="FPF34" s="205"/>
      <c r="FPG34" s="205"/>
      <c r="FPH34" s="205"/>
      <c r="FPI34" s="205"/>
      <c r="FPJ34" s="205"/>
      <c r="FPK34" s="205"/>
      <c r="FPL34" s="205"/>
      <c r="FPM34" s="205"/>
      <c r="FPN34" s="205"/>
      <c r="FPO34" s="205"/>
      <c r="FPP34" s="205"/>
      <c r="FPQ34" s="205"/>
      <c r="FPR34" s="205"/>
      <c r="FPS34" s="205"/>
      <c r="FPT34" s="205"/>
      <c r="FPU34" s="205"/>
      <c r="FPV34" s="205"/>
      <c r="FPW34" s="205"/>
      <c r="FPX34" s="205"/>
      <c r="FPY34" s="205"/>
      <c r="FPZ34" s="205"/>
      <c r="FQA34" s="205"/>
      <c r="FQB34" s="205"/>
      <c r="FQC34" s="205"/>
      <c r="FQD34" s="205"/>
      <c r="FQE34" s="205"/>
      <c r="FQF34" s="205"/>
      <c r="FQG34" s="205"/>
      <c r="FQH34" s="205"/>
      <c r="FQI34" s="205"/>
      <c r="FQJ34" s="205"/>
      <c r="FQK34" s="205"/>
      <c r="FQL34" s="205"/>
      <c r="FQM34" s="205"/>
      <c r="FQN34" s="205"/>
      <c r="FQO34" s="205"/>
      <c r="FQP34" s="205"/>
      <c r="FQQ34" s="205"/>
      <c r="FQR34" s="205"/>
      <c r="FQS34" s="205"/>
      <c r="FQT34" s="205"/>
      <c r="FQU34" s="205"/>
      <c r="FQV34" s="205"/>
      <c r="FQW34" s="205"/>
      <c r="FQX34" s="205"/>
      <c r="FQY34" s="205"/>
      <c r="FQZ34" s="205"/>
      <c r="FRA34" s="205"/>
      <c r="FRB34" s="205"/>
      <c r="FRC34" s="205"/>
      <c r="FRD34" s="205"/>
      <c r="FRE34" s="205"/>
      <c r="FRF34" s="205"/>
      <c r="FRG34" s="205"/>
      <c r="FRH34" s="205"/>
      <c r="FRI34" s="205"/>
      <c r="FRJ34" s="205"/>
      <c r="FRK34" s="205"/>
      <c r="FRL34" s="205"/>
      <c r="FRM34" s="205"/>
      <c r="FRN34" s="205"/>
      <c r="FRO34" s="205"/>
      <c r="FRP34" s="205"/>
      <c r="FRQ34" s="205"/>
      <c r="FRR34" s="205"/>
      <c r="FRS34" s="205"/>
      <c r="FRT34" s="205"/>
      <c r="FRU34" s="205"/>
      <c r="FRV34" s="205"/>
      <c r="FRW34" s="205"/>
      <c r="FRX34" s="205"/>
      <c r="FRY34" s="205"/>
      <c r="FRZ34" s="205"/>
      <c r="FSA34" s="205"/>
      <c r="FSB34" s="205"/>
      <c r="FSC34" s="205"/>
      <c r="FSD34" s="205"/>
      <c r="FSE34" s="205"/>
      <c r="FSF34" s="205"/>
      <c r="FSG34" s="205"/>
      <c r="FSH34" s="205"/>
      <c r="FSI34" s="205"/>
      <c r="FSJ34" s="205"/>
      <c r="FSK34" s="205"/>
      <c r="FSL34" s="205"/>
      <c r="FSM34" s="205"/>
      <c r="FSN34" s="205"/>
      <c r="FSO34" s="205"/>
      <c r="FSP34" s="205"/>
      <c r="FSQ34" s="205"/>
      <c r="FSR34" s="205"/>
      <c r="FSS34" s="205"/>
      <c r="FST34" s="205"/>
      <c r="FSU34" s="205"/>
      <c r="FSV34" s="205"/>
      <c r="FSW34" s="205"/>
      <c r="FSX34" s="205"/>
      <c r="FSY34" s="205"/>
      <c r="FSZ34" s="205"/>
      <c r="FTA34" s="205"/>
      <c r="FTB34" s="205"/>
      <c r="FTC34" s="205"/>
      <c r="FTD34" s="205"/>
      <c r="FTE34" s="205"/>
      <c r="FTF34" s="205"/>
      <c r="FTG34" s="205"/>
      <c r="FTH34" s="205"/>
      <c r="FTI34" s="205"/>
      <c r="FTJ34" s="205"/>
      <c r="FTK34" s="205"/>
      <c r="FTL34" s="205"/>
      <c r="FTM34" s="205"/>
      <c r="FTN34" s="205"/>
      <c r="FTO34" s="205"/>
      <c r="FTP34" s="205"/>
      <c r="FTQ34" s="205"/>
      <c r="FTR34" s="205"/>
      <c r="FTS34" s="205"/>
      <c r="FTT34" s="205"/>
      <c r="FTU34" s="205"/>
      <c r="FTV34" s="205"/>
      <c r="FTW34" s="205"/>
      <c r="FTX34" s="205"/>
      <c r="FTY34" s="205"/>
      <c r="FTZ34" s="205"/>
      <c r="FUA34" s="205"/>
      <c r="FUB34" s="205"/>
      <c r="FUC34" s="205"/>
      <c r="FUD34" s="205"/>
      <c r="FUE34" s="205"/>
      <c r="FUF34" s="205"/>
      <c r="FUG34" s="205"/>
      <c r="FUH34" s="205"/>
      <c r="FUI34" s="205"/>
      <c r="FUJ34" s="205"/>
      <c r="FUK34" s="205"/>
      <c r="FUL34" s="205"/>
      <c r="FUM34" s="205"/>
      <c r="FUN34" s="205"/>
      <c r="FUO34" s="205"/>
      <c r="FUP34" s="205"/>
      <c r="FUQ34" s="205"/>
      <c r="FUR34" s="205"/>
      <c r="FUS34" s="205"/>
      <c r="FUT34" s="205"/>
      <c r="FUU34" s="205"/>
      <c r="FUV34" s="205"/>
      <c r="FUW34" s="205"/>
      <c r="FUX34" s="205"/>
      <c r="FUY34" s="205"/>
      <c r="FUZ34" s="205"/>
      <c r="FVA34" s="205"/>
      <c r="FVB34" s="205"/>
      <c r="FVC34" s="205"/>
      <c r="FVD34" s="205"/>
      <c r="FVE34" s="205"/>
      <c r="FVF34" s="205"/>
      <c r="FVG34" s="205"/>
      <c r="FVH34" s="205"/>
      <c r="FVI34" s="205"/>
      <c r="FVJ34" s="205"/>
      <c r="FVK34" s="205"/>
      <c r="FVL34" s="205"/>
      <c r="FVM34" s="205"/>
      <c r="FVN34" s="205"/>
      <c r="FVO34" s="205"/>
      <c r="FVP34" s="205"/>
      <c r="FVQ34" s="205"/>
      <c r="FVR34" s="205"/>
      <c r="FVS34" s="205"/>
      <c r="FVT34" s="205"/>
      <c r="FVU34" s="205"/>
      <c r="FVV34" s="205"/>
      <c r="FVW34" s="205"/>
      <c r="FVX34" s="205"/>
      <c r="FVY34" s="205"/>
      <c r="FVZ34" s="205"/>
      <c r="FWA34" s="205"/>
      <c r="FWB34" s="205"/>
      <c r="FWC34" s="205"/>
      <c r="FWD34" s="205"/>
      <c r="FWE34" s="205"/>
      <c r="FWF34" s="205"/>
      <c r="FWG34" s="205"/>
      <c r="FWH34" s="205"/>
      <c r="FWI34" s="205"/>
      <c r="FWJ34" s="205"/>
      <c r="FWK34" s="205"/>
      <c r="FWL34" s="205"/>
      <c r="FWM34" s="205"/>
      <c r="FWN34" s="205"/>
      <c r="FWO34" s="205"/>
      <c r="FWP34" s="205"/>
      <c r="FWQ34" s="205"/>
      <c r="FWR34" s="205"/>
      <c r="FWS34" s="205"/>
      <c r="FWT34" s="205"/>
      <c r="FWU34" s="205"/>
      <c r="FWV34" s="205"/>
      <c r="FWW34" s="205"/>
      <c r="FWX34" s="205"/>
      <c r="FWY34" s="205"/>
      <c r="FWZ34" s="205"/>
      <c r="FXA34" s="205"/>
      <c r="FXB34" s="205"/>
      <c r="FXC34" s="205"/>
      <c r="FXD34" s="205"/>
      <c r="FXE34" s="205"/>
      <c r="FXF34" s="205"/>
      <c r="FXG34" s="205"/>
      <c r="FXH34" s="205"/>
      <c r="FXI34" s="205"/>
      <c r="FXJ34" s="205"/>
      <c r="FXK34" s="205"/>
      <c r="FXL34" s="205"/>
      <c r="FXM34" s="205"/>
      <c r="FXN34" s="205"/>
      <c r="FXO34" s="205"/>
      <c r="FXP34" s="205"/>
      <c r="FXQ34" s="205"/>
      <c r="FXR34" s="205"/>
      <c r="FXS34" s="205"/>
      <c r="FXT34" s="205"/>
      <c r="FXU34" s="205"/>
      <c r="FXV34" s="205"/>
      <c r="FXW34" s="205"/>
      <c r="FXX34" s="205"/>
      <c r="FXY34" s="205"/>
      <c r="FXZ34" s="205"/>
      <c r="FYA34" s="205"/>
      <c r="FYB34" s="205"/>
      <c r="FYC34" s="205"/>
      <c r="FYD34" s="205"/>
      <c r="FYE34" s="205"/>
      <c r="FYF34" s="205"/>
      <c r="FYG34" s="205"/>
      <c r="FYH34" s="205"/>
      <c r="FYI34" s="205"/>
      <c r="FYJ34" s="205"/>
      <c r="FYK34" s="205"/>
      <c r="FYL34" s="205"/>
      <c r="FYM34" s="205"/>
      <c r="FYN34" s="205"/>
      <c r="FYO34" s="205"/>
      <c r="FYP34" s="205"/>
      <c r="FYQ34" s="205"/>
      <c r="FYR34" s="205"/>
      <c r="FYS34" s="205"/>
      <c r="FYT34" s="205"/>
      <c r="FYU34" s="205"/>
      <c r="FYV34" s="205"/>
      <c r="FYW34" s="205"/>
      <c r="FYX34" s="205"/>
      <c r="FYY34" s="205"/>
      <c r="FYZ34" s="205"/>
      <c r="FZA34" s="205"/>
      <c r="FZB34" s="205"/>
      <c r="FZC34" s="205"/>
      <c r="FZD34" s="205"/>
      <c r="FZE34" s="205"/>
      <c r="FZF34" s="205"/>
      <c r="FZG34" s="205"/>
      <c r="FZH34" s="205"/>
      <c r="FZI34" s="205"/>
      <c r="FZJ34" s="205"/>
      <c r="FZK34" s="205"/>
      <c r="FZL34" s="205"/>
      <c r="FZM34" s="205"/>
      <c r="FZN34" s="205"/>
      <c r="FZO34" s="205"/>
      <c r="FZP34" s="205"/>
      <c r="FZQ34" s="205"/>
      <c r="FZR34" s="205"/>
      <c r="FZS34" s="205"/>
      <c r="FZT34" s="205"/>
      <c r="FZU34" s="205"/>
      <c r="FZV34" s="205"/>
      <c r="FZW34" s="205"/>
      <c r="FZX34" s="205"/>
      <c r="FZY34" s="205"/>
      <c r="FZZ34" s="205"/>
      <c r="GAA34" s="205"/>
      <c r="GAB34" s="205"/>
      <c r="GAC34" s="205"/>
      <c r="GAD34" s="205"/>
      <c r="GAE34" s="205"/>
      <c r="GAF34" s="205"/>
      <c r="GAG34" s="205"/>
      <c r="GAH34" s="205"/>
      <c r="GAI34" s="205"/>
      <c r="GAJ34" s="205"/>
      <c r="GAK34" s="205"/>
      <c r="GAL34" s="205"/>
      <c r="GAM34" s="205"/>
      <c r="GAN34" s="205"/>
      <c r="GAO34" s="205"/>
      <c r="GAP34" s="205"/>
      <c r="GAQ34" s="205"/>
      <c r="GAR34" s="205"/>
      <c r="GAS34" s="205"/>
      <c r="GAT34" s="205"/>
      <c r="GAU34" s="205"/>
      <c r="GAV34" s="205"/>
      <c r="GAW34" s="205"/>
      <c r="GAX34" s="205"/>
      <c r="GAY34" s="205"/>
      <c r="GAZ34" s="205"/>
      <c r="GBA34" s="205"/>
      <c r="GBB34" s="205"/>
      <c r="GBC34" s="205"/>
      <c r="GBD34" s="205"/>
      <c r="GBE34" s="205"/>
      <c r="GBF34" s="205"/>
      <c r="GBG34" s="205"/>
      <c r="GBH34" s="205"/>
      <c r="GBI34" s="205"/>
      <c r="GBJ34" s="205"/>
      <c r="GBK34" s="205"/>
      <c r="GBL34" s="205"/>
      <c r="GBM34" s="205"/>
      <c r="GBN34" s="205"/>
      <c r="GBO34" s="205"/>
      <c r="GBP34" s="205"/>
      <c r="GBQ34" s="205"/>
      <c r="GBR34" s="205"/>
      <c r="GBS34" s="205"/>
      <c r="GBT34" s="205"/>
      <c r="GBU34" s="205"/>
      <c r="GBV34" s="205"/>
      <c r="GBW34" s="205"/>
      <c r="GBX34" s="205"/>
      <c r="GBY34" s="205"/>
      <c r="GBZ34" s="205"/>
      <c r="GCA34" s="205"/>
      <c r="GCB34" s="205"/>
      <c r="GCC34" s="205"/>
      <c r="GCD34" s="205"/>
      <c r="GCE34" s="205"/>
      <c r="GCF34" s="205"/>
      <c r="GCG34" s="205"/>
      <c r="GCH34" s="205"/>
      <c r="GCI34" s="205"/>
      <c r="GCJ34" s="205"/>
      <c r="GCK34" s="205"/>
      <c r="GCL34" s="205"/>
      <c r="GCM34" s="205"/>
      <c r="GCN34" s="205"/>
      <c r="GCO34" s="205"/>
      <c r="GCP34" s="205"/>
      <c r="GCQ34" s="205"/>
      <c r="GCR34" s="205"/>
      <c r="GCS34" s="205"/>
      <c r="GCT34" s="205"/>
      <c r="GCU34" s="205"/>
      <c r="GCV34" s="205"/>
      <c r="GCW34" s="205"/>
      <c r="GCX34" s="205"/>
      <c r="GCY34" s="205"/>
      <c r="GCZ34" s="205"/>
      <c r="GDA34" s="205"/>
      <c r="GDB34" s="205"/>
      <c r="GDC34" s="205"/>
      <c r="GDD34" s="205"/>
      <c r="GDE34" s="205"/>
      <c r="GDF34" s="205"/>
      <c r="GDG34" s="205"/>
      <c r="GDH34" s="205"/>
      <c r="GDI34" s="205"/>
      <c r="GDJ34" s="205"/>
      <c r="GDK34" s="205"/>
      <c r="GDL34" s="205"/>
      <c r="GDM34" s="205"/>
      <c r="GDN34" s="205"/>
      <c r="GDO34" s="205"/>
      <c r="GDP34" s="205"/>
      <c r="GDQ34" s="205"/>
      <c r="GDR34" s="205"/>
      <c r="GDS34" s="205"/>
      <c r="GDT34" s="205"/>
      <c r="GDU34" s="205"/>
      <c r="GDV34" s="205"/>
      <c r="GDW34" s="205"/>
      <c r="GDX34" s="205"/>
      <c r="GDY34" s="205"/>
      <c r="GDZ34" s="205"/>
      <c r="GEA34" s="205"/>
      <c r="GEB34" s="205"/>
      <c r="GEC34" s="205"/>
      <c r="GED34" s="205"/>
      <c r="GEE34" s="205"/>
      <c r="GEF34" s="205"/>
      <c r="GEG34" s="205"/>
      <c r="GEH34" s="205"/>
      <c r="GEI34" s="205"/>
      <c r="GEJ34" s="205"/>
      <c r="GEK34" s="205"/>
      <c r="GEL34" s="205"/>
      <c r="GEM34" s="205"/>
      <c r="GEN34" s="205"/>
      <c r="GEO34" s="205"/>
      <c r="GEP34" s="205"/>
      <c r="GEQ34" s="205"/>
      <c r="GER34" s="205"/>
      <c r="GES34" s="205"/>
      <c r="GET34" s="205"/>
      <c r="GEU34" s="205"/>
      <c r="GEV34" s="205"/>
      <c r="GEW34" s="205"/>
      <c r="GEX34" s="205"/>
      <c r="GEY34" s="205"/>
      <c r="GEZ34" s="205"/>
      <c r="GFA34" s="205"/>
      <c r="GFB34" s="205"/>
      <c r="GFC34" s="205"/>
      <c r="GFD34" s="205"/>
      <c r="GFE34" s="205"/>
      <c r="GFF34" s="205"/>
      <c r="GFG34" s="205"/>
      <c r="GFH34" s="205"/>
      <c r="GFI34" s="205"/>
      <c r="GFJ34" s="205"/>
      <c r="GFK34" s="205"/>
      <c r="GFL34" s="205"/>
      <c r="GFM34" s="205"/>
      <c r="GFN34" s="205"/>
      <c r="GFO34" s="205"/>
      <c r="GFP34" s="205"/>
      <c r="GFQ34" s="205"/>
      <c r="GFR34" s="205"/>
      <c r="GFS34" s="205"/>
      <c r="GFT34" s="205"/>
      <c r="GFU34" s="205"/>
      <c r="GFV34" s="205"/>
      <c r="GFW34" s="205"/>
      <c r="GFX34" s="205"/>
      <c r="GFY34" s="205"/>
      <c r="GFZ34" s="205"/>
      <c r="GGA34" s="205"/>
      <c r="GGB34" s="205"/>
      <c r="GGC34" s="205"/>
      <c r="GGD34" s="205"/>
      <c r="GGE34" s="205"/>
      <c r="GGF34" s="205"/>
      <c r="GGG34" s="205"/>
      <c r="GGH34" s="205"/>
      <c r="GGI34" s="205"/>
      <c r="GGJ34" s="205"/>
      <c r="GGK34" s="205"/>
      <c r="GGL34" s="205"/>
      <c r="GGM34" s="205"/>
      <c r="GGN34" s="205"/>
      <c r="GGO34" s="205"/>
      <c r="GGP34" s="205"/>
      <c r="GGQ34" s="205"/>
      <c r="GGR34" s="205"/>
      <c r="GGS34" s="205"/>
      <c r="GGT34" s="205"/>
      <c r="GGU34" s="205"/>
      <c r="GGV34" s="205"/>
      <c r="GGW34" s="205"/>
      <c r="GGX34" s="205"/>
      <c r="GGY34" s="205"/>
      <c r="GGZ34" s="205"/>
      <c r="GHA34" s="205"/>
      <c r="GHB34" s="205"/>
      <c r="GHC34" s="205"/>
      <c r="GHD34" s="205"/>
      <c r="GHE34" s="205"/>
      <c r="GHF34" s="205"/>
      <c r="GHG34" s="205"/>
      <c r="GHH34" s="205"/>
      <c r="GHI34" s="205"/>
      <c r="GHJ34" s="205"/>
      <c r="GHK34" s="205"/>
      <c r="GHL34" s="205"/>
      <c r="GHM34" s="205"/>
      <c r="GHN34" s="205"/>
      <c r="GHO34" s="205"/>
      <c r="GHP34" s="205"/>
      <c r="GHQ34" s="205"/>
      <c r="GHR34" s="205"/>
      <c r="GHS34" s="205"/>
      <c r="GHT34" s="205"/>
      <c r="GHU34" s="205"/>
      <c r="GHV34" s="205"/>
      <c r="GHW34" s="205"/>
      <c r="GHX34" s="205"/>
      <c r="GHY34" s="205"/>
      <c r="GHZ34" s="205"/>
      <c r="GIA34" s="205"/>
      <c r="GIB34" s="205"/>
      <c r="GIC34" s="205"/>
      <c r="GID34" s="205"/>
      <c r="GIE34" s="205"/>
      <c r="GIF34" s="205"/>
      <c r="GIG34" s="205"/>
      <c r="GIH34" s="205"/>
      <c r="GII34" s="205"/>
      <c r="GIJ34" s="205"/>
      <c r="GIK34" s="205"/>
      <c r="GIL34" s="205"/>
      <c r="GIM34" s="205"/>
      <c r="GIN34" s="205"/>
      <c r="GIO34" s="205"/>
      <c r="GIP34" s="205"/>
      <c r="GIQ34" s="205"/>
      <c r="GIR34" s="205"/>
      <c r="GIS34" s="205"/>
      <c r="GIT34" s="205"/>
      <c r="GIU34" s="205"/>
      <c r="GIV34" s="205"/>
      <c r="GIW34" s="205"/>
      <c r="GIX34" s="205"/>
      <c r="GIY34" s="205"/>
      <c r="GIZ34" s="205"/>
      <c r="GJA34" s="205"/>
      <c r="GJB34" s="205"/>
      <c r="GJC34" s="205"/>
      <c r="GJD34" s="205"/>
      <c r="GJE34" s="205"/>
      <c r="GJF34" s="205"/>
      <c r="GJG34" s="205"/>
      <c r="GJH34" s="205"/>
      <c r="GJI34" s="205"/>
      <c r="GJJ34" s="205"/>
      <c r="GJK34" s="205"/>
      <c r="GJL34" s="205"/>
      <c r="GJM34" s="205"/>
      <c r="GJN34" s="205"/>
      <c r="GJO34" s="205"/>
      <c r="GJP34" s="205"/>
      <c r="GJQ34" s="205"/>
      <c r="GJR34" s="205"/>
      <c r="GJS34" s="205"/>
      <c r="GJT34" s="205"/>
      <c r="GJU34" s="205"/>
      <c r="GJV34" s="205"/>
      <c r="GJW34" s="205"/>
      <c r="GJX34" s="205"/>
      <c r="GJY34" s="205"/>
      <c r="GJZ34" s="205"/>
      <c r="GKA34" s="205"/>
      <c r="GKB34" s="205"/>
      <c r="GKC34" s="205"/>
      <c r="GKD34" s="205"/>
      <c r="GKE34" s="205"/>
      <c r="GKF34" s="205"/>
      <c r="GKG34" s="205"/>
      <c r="GKH34" s="205"/>
      <c r="GKI34" s="205"/>
      <c r="GKJ34" s="205"/>
      <c r="GKK34" s="205"/>
      <c r="GKL34" s="205"/>
      <c r="GKM34" s="205"/>
      <c r="GKN34" s="205"/>
      <c r="GKO34" s="205"/>
      <c r="GKP34" s="205"/>
      <c r="GKQ34" s="205"/>
      <c r="GKR34" s="205"/>
      <c r="GKS34" s="205"/>
      <c r="GKT34" s="205"/>
      <c r="GKU34" s="205"/>
      <c r="GKV34" s="205"/>
      <c r="GKW34" s="205"/>
      <c r="GKX34" s="205"/>
      <c r="GKY34" s="205"/>
      <c r="GKZ34" s="205"/>
      <c r="GLA34" s="205"/>
      <c r="GLB34" s="205"/>
      <c r="GLC34" s="205"/>
      <c r="GLD34" s="205"/>
      <c r="GLE34" s="205"/>
      <c r="GLF34" s="205"/>
      <c r="GLG34" s="205"/>
      <c r="GLH34" s="205"/>
      <c r="GLI34" s="205"/>
      <c r="GLJ34" s="205"/>
      <c r="GLK34" s="205"/>
      <c r="GLL34" s="205"/>
      <c r="GLM34" s="205"/>
      <c r="GLN34" s="205"/>
      <c r="GLO34" s="205"/>
      <c r="GLP34" s="205"/>
      <c r="GLQ34" s="205"/>
      <c r="GLR34" s="205"/>
      <c r="GLS34" s="205"/>
      <c r="GLT34" s="205"/>
      <c r="GLU34" s="205"/>
      <c r="GLV34" s="205"/>
      <c r="GLW34" s="205"/>
      <c r="GLX34" s="205"/>
      <c r="GLY34" s="205"/>
      <c r="GLZ34" s="205"/>
      <c r="GMA34" s="205"/>
      <c r="GMB34" s="205"/>
      <c r="GMC34" s="205"/>
      <c r="GMD34" s="205"/>
      <c r="GME34" s="205"/>
      <c r="GMF34" s="205"/>
      <c r="GMG34" s="205"/>
      <c r="GMH34" s="205"/>
      <c r="GMI34" s="205"/>
      <c r="GMJ34" s="205"/>
      <c r="GMK34" s="205"/>
      <c r="GML34" s="205"/>
      <c r="GMM34" s="205"/>
      <c r="GMN34" s="205"/>
      <c r="GMO34" s="205"/>
      <c r="GMP34" s="205"/>
      <c r="GMQ34" s="205"/>
      <c r="GMR34" s="205"/>
      <c r="GMS34" s="205"/>
      <c r="GMT34" s="205"/>
      <c r="GMU34" s="205"/>
      <c r="GMV34" s="205"/>
      <c r="GMW34" s="205"/>
      <c r="GMX34" s="205"/>
      <c r="GMY34" s="205"/>
      <c r="GMZ34" s="205"/>
      <c r="GNA34" s="205"/>
      <c r="GNB34" s="205"/>
      <c r="GNC34" s="205"/>
      <c r="GND34" s="205"/>
      <c r="GNE34" s="205"/>
      <c r="GNF34" s="205"/>
      <c r="GNG34" s="205"/>
      <c r="GNH34" s="205"/>
      <c r="GNI34" s="205"/>
      <c r="GNJ34" s="205"/>
      <c r="GNK34" s="205"/>
      <c r="GNL34" s="205"/>
      <c r="GNM34" s="205"/>
      <c r="GNN34" s="205"/>
      <c r="GNO34" s="205"/>
      <c r="GNP34" s="205"/>
      <c r="GNQ34" s="205"/>
      <c r="GNR34" s="205"/>
      <c r="GNS34" s="205"/>
      <c r="GNT34" s="205"/>
      <c r="GNU34" s="205"/>
      <c r="GNV34" s="205"/>
      <c r="GNW34" s="205"/>
      <c r="GNX34" s="205"/>
      <c r="GNY34" s="205"/>
      <c r="GNZ34" s="205"/>
      <c r="GOA34" s="205"/>
      <c r="GOB34" s="205"/>
      <c r="GOC34" s="205"/>
      <c r="GOD34" s="205"/>
      <c r="GOE34" s="205"/>
      <c r="GOF34" s="205"/>
      <c r="GOG34" s="205"/>
      <c r="GOH34" s="205"/>
      <c r="GOI34" s="205"/>
      <c r="GOJ34" s="205"/>
      <c r="GOK34" s="205"/>
      <c r="GOL34" s="205"/>
      <c r="GOM34" s="205"/>
      <c r="GON34" s="205"/>
      <c r="GOO34" s="205"/>
      <c r="GOP34" s="205"/>
      <c r="GOQ34" s="205"/>
      <c r="GOR34" s="205"/>
      <c r="GOS34" s="205"/>
      <c r="GOT34" s="205"/>
      <c r="GOU34" s="205"/>
      <c r="GOV34" s="205"/>
      <c r="GOW34" s="205"/>
      <c r="GOX34" s="205"/>
      <c r="GOY34" s="205"/>
      <c r="GOZ34" s="205"/>
      <c r="GPA34" s="205"/>
      <c r="GPB34" s="205"/>
      <c r="GPC34" s="205"/>
      <c r="GPD34" s="205"/>
      <c r="GPE34" s="205"/>
      <c r="GPF34" s="205"/>
      <c r="GPG34" s="205"/>
      <c r="GPH34" s="205"/>
      <c r="GPI34" s="205"/>
      <c r="GPJ34" s="205"/>
      <c r="GPK34" s="205"/>
      <c r="GPL34" s="205"/>
      <c r="GPM34" s="205"/>
      <c r="GPN34" s="205"/>
      <c r="GPO34" s="205"/>
      <c r="GPP34" s="205"/>
      <c r="GPQ34" s="205"/>
      <c r="GPR34" s="205"/>
      <c r="GPS34" s="205"/>
      <c r="GPT34" s="205"/>
      <c r="GPU34" s="205"/>
      <c r="GPV34" s="205"/>
      <c r="GPW34" s="205"/>
      <c r="GPX34" s="205"/>
      <c r="GPY34" s="205"/>
      <c r="GPZ34" s="205"/>
      <c r="GQA34" s="205"/>
      <c r="GQB34" s="205"/>
      <c r="GQC34" s="205"/>
      <c r="GQD34" s="205"/>
      <c r="GQE34" s="205"/>
      <c r="GQF34" s="205"/>
      <c r="GQG34" s="205"/>
      <c r="GQH34" s="205"/>
      <c r="GQI34" s="205"/>
      <c r="GQJ34" s="205"/>
      <c r="GQK34" s="205"/>
      <c r="GQL34" s="205"/>
      <c r="GQM34" s="205"/>
      <c r="GQN34" s="205"/>
      <c r="GQO34" s="205"/>
      <c r="GQP34" s="205"/>
      <c r="GQQ34" s="205"/>
      <c r="GQR34" s="205"/>
      <c r="GQS34" s="205"/>
      <c r="GQT34" s="205"/>
      <c r="GQU34" s="205"/>
      <c r="GQV34" s="205"/>
      <c r="GQW34" s="205"/>
      <c r="GQX34" s="205"/>
      <c r="GQY34" s="205"/>
      <c r="GQZ34" s="205"/>
      <c r="GRA34" s="205"/>
      <c r="GRB34" s="205"/>
      <c r="GRC34" s="205"/>
      <c r="GRD34" s="205"/>
      <c r="GRE34" s="205"/>
      <c r="GRF34" s="205"/>
      <c r="GRG34" s="205"/>
      <c r="GRH34" s="205"/>
      <c r="GRI34" s="205"/>
      <c r="GRJ34" s="205"/>
      <c r="GRK34" s="205"/>
      <c r="GRL34" s="205"/>
      <c r="GRM34" s="205"/>
      <c r="GRN34" s="205"/>
      <c r="GRO34" s="205"/>
      <c r="GRP34" s="205"/>
      <c r="GRQ34" s="205"/>
      <c r="GRR34" s="205"/>
      <c r="GRS34" s="205"/>
      <c r="GRT34" s="205"/>
      <c r="GRU34" s="205"/>
      <c r="GRV34" s="205"/>
      <c r="GRW34" s="205"/>
      <c r="GRX34" s="205"/>
      <c r="GRY34" s="205"/>
      <c r="GRZ34" s="205"/>
      <c r="GSA34" s="205"/>
      <c r="GSB34" s="205"/>
      <c r="GSC34" s="205"/>
      <c r="GSD34" s="205"/>
      <c r="GSE34" s="205"/>
      <c r="GSF34" s="205"/>
      <c r="GSG34" s="205"/>
      <c r="GSH34" s="205"/>
      <c r="GSI34" s="205"/>
      <c r="GSJ34" s="205"/>
      <c r="GSK34" s="205"/>
      <c r="GSL34" s="205"/>
      <c r="GSM34" s="205"/>
      <c r="GSN34" s="205"/>
      <c r="GSO34" s="205"/>
      <c r="GSP34" s="205"/>
      <c r="GSQ34" s="205"/>
      <c r="GSR34" s="205"/>
      <c r="GSS34" s="205"/>
      <c r="GST34" s="205"/>
      <c r="GSU34" s="205"/>
      <c r="GSV34" s="205"/>
      <c r="GSW34" s="205"/>
      <c r="GSX34" s="205"/>
      <c r="GSY34" s="205"/>
      <c r="GSZ34" s="205"/>
      <c r="GTA34" s="205"/>
      <c r="GTB34" s="205"/>
      <c r="GTC34" s="205"/>
      <c r="GTD34" s="205"/>
      <c r="GTE34" s="205"/>
      <c r="GTF34" s="205"/>
      <c r="GTG34" s="205"/>
      <c r="GTH34" s="205"/>
      <c r="GTI34" s="205"/>
      <c r="GTJ34" s="205"/>
      <c r="GTK34" s="205"/>
      <c r="GTL34" s="205"/>
      <c r="GTM34" s="205"/>
      <c r="GTN34" s="205"/>
      <c r="GTO34" s="205"/>
      <c r="GTP34" s="205"/>
      <c r="GTQ34" s="205"/>
      <c r="GTR34" s="205"/>
      <c r="GTS34" s="205"/>
      <c r="GTT34" s="205"/>
      <c r="GTU34" s="205"/>
      <c r="GTV34" s="205"/>
      <c r="GTW34" s="205"/>
      <c r="GTX34" s="205"/>
      <c r="GTY34" s="205"/>
      <c r="GTZ34" s="205"/>
      <c r="GUA34" s="205"/>
      <c r="GUB34" s="205"/>
      <c r="GUC34" s="205"/>
      <c r="GUD34" s="205"/>
      <c r="GUE34" s="205"/>
      <c r="GUF34" s="205"/>
      <c r="GUG34" s="205"/>
      <c r="GUH34" s="205"/>
      <c r="GUI34" s="205"/>
      <c r="GUJ34" s="205"/>
      <c r="GUK34" s="205"/>
      <c r="GUL34" s="205"/>
      <c r="GUM34" s="205"/>
      <c r="GUN34" s="205"/>
      <c r="GUO34" s="205"/>
      <c r="GUP34" s="205"/>
      <c r="GUQ34" s="205"/>
      <c r="GUR34" s="205"/>
      <c r="GUS34" s="205"/>
      <c r="GUT34" s="205"/>
      <c r="GUU34" s="205"/>
      <c r="GUV34" s="205"/>
      <c r="GUW34" s="205"/>
      <c r="GUX34" s="205"/>
      <c r="GUY34" s="205"/>
      <c r="GUZ34" s="205"/>
      <c r="GVA34" s="205"/>
      <c r="GVB34" s="205"/>
      <c r="GVC34" s="205"/>
      <c r="GVD34" s="205"/>
      <c r="GVE34" s="205"/>
      <c r="GVF34" s="205"/>
      <c r="GVG34" s="205"/>
      <c r="GVH34" s="205"/>
      <c r="GVI34" s="205"/>
      <c r="GVJ34" s="205"/>
      <c r="GVK34" s="205"/>
      <c r="GVL34" s="205"/>
      <c r="GVM34" s="205"/>
      <c r="GVN34" s="205"/>
      <c r="GVO34" s="205"/>
      <c r="GVP34" s="205"/>
      <c r="GVQ34" s="205"/>
      <c r="GVR34" s="205"/>
      <c r="GVS34" s="205"/>
      <c r="GVT34" s="205"/>
      <c r="GVU34" s="205"/>
      <c r="GVV34" s="205"/>
      <c r="GVW34" s="205"/>
      <c r="GVX34" s="205"/>
      <c r="GVY34" s="205"/>
      <c r="GVZ34" s="205"/>
      <c r="GWA34" s="205"/>
      <c r="GWB34" s="205"/>
      <c r="GWC34" s="205"/>
      <c r="GWD34" s="205"/>
      <c r="GWE34" s="205"/>
      <c r="GWF34" s="205"/>
      <c r="GWG34" s="205"/>
      <c r="GWH34" s="205"/>
      <c r="GWI34" s="205"/>
      <c r="GWJ34" s="205"/>
      <c r="GWK34" s="205"/>
      <c r="GWL34" s="205"/>
      <c r="GWM34" s="205"/>
      <c r="GWN34" s="205"/>
      <c r="GWO34" s="205"/>
      <c r="GWP34" s="205"/>
      <c r="GWQ34" s="205"/>
      <c r="GWR34" s="205"/>
      <c r="GWS34" s="205"/>
      <c r="GWT34" s="205"/>
      <c r="GWU34" s="205"/>
      <c r="GWV34" s="205"/>
      <c r="GWW34" s="205"/>
      <c r="GWX34" s="205"/>
      <c r="GWY34" s="205"/>
      <c r="GWZ34" s="205"/>
      <c r="GXA34" s="205"/>
      <c r="GXB34" s="205"/>
      <c r="GXC34" s="205"/>
      <c r="GXD34" s="205"/>
      <c r="GXE34" s="205"/>
      <c r="GXF34" s="205"/>
      <c r="GXG34" s="205"/>
      <c r="GXH34" s="205"/>
      <c r="GXI34" s="205"/>
      <c r="GXJ34" s="205"/>
      <c r="GXK34" s="205"/>
      <c r="GXL34" s="205"/>
      <c r="GXM34" s="205"/>
      <c r="GXN34" s="205"/>
      <c r="GXO34" s="205"/>
      <c r="GXP34" s="205"/>
      <c r="GXQ34" s="205"/>
      <c r="GXR34" s="205"/>
      <c r="GXS34" s="205"/>
      <c r="GXT34" s="205"/>
      <c r="GXU34" s="205"/>
      <c r="GXV34" s="205"/>
      <c r="GXW34" s="205"/>
      <c r="GXX34" s="205"/>
      <c r="GXY34" s="205"/>
      <c r="GXZ34" s="205"/>
      <c r="GYA34" s="205"/>
      <c r="GYB34" s="205"/>
      <c r="GYC34" s="205"/>
      <c r="GYD34" s="205"/>
      <c r="GYE34" s="205"/>
      <c r="GYF34" s="205"/>
      <c r="GYG34" s="205"/>
      <c r="GYH34" s="205"/>
      <c r="GYI34" s="205"/>
      <c r="GYJ34" s="205"/>
      <c r="GYK34" s="205"/>
      <c r="GYL34" s="205"/>
      <c r="GYM34" s="205"/>
      <c r="GYN34" s="205"/>
      <c r="GYO34" s="205"/>
      <c r="GYP34" s="205"/>
      <c r="GYQ34" s="205"/>
      <c r="GYR34" s="205"/>
      <c r="GYS34" s="205"/>
      <c r="GYT34" s="205"/>
      <c r="GYU34" s="205"/>
      <c r="GYV34" s="205"/>
      <c r="GYW34" s="205"/>
      <c r="GYX34" s="205"/>
      <c r="GYY34" s="205"/>
      <c r="GYZ34" s="205"/>
      <c r="GZA34" s="205"/>
      <c r="GZB34" s="205"/>
      <c r="GZC34" s="205"/>
      <c r="GZD34" s="205"/>
      <c r="GZE34" s="205"/>
      <c r="GZF34" s="205"/>
      <c r="GZG34" s="205"/>
      <c r="GZH34" s="205"/>
      <c r="GZI34" s="205"/>
      <c r="GZJ34" s="205"/>
      <c r="GZK34" s="205"/>
      <c r="GZL34" s="205"/>
      <c r="GZM34" s="205"/>
      <c r="GZN34" s="205"/>
      <c r="GZO34" s="205"/>
      <c r="GZP34" s="205"/>
      <c r="GZQ34" s="205"/>
      <c r="GZR34" s="205"/>
      <c r="GZS34" s="205"/>
      <c r="GZT34" s="205"/>
      <c r="GZU34" s="205"/>
      <c r="GZV34" s="205"/>
      <c r="GZW34" s="205"/>
      <c r="GZX34" s="205"/>
      <c r="GZY34" s="205"/>
      <c r="GZZ34" s="205"/>
      <c r="HAA34" s="205"/>
      <c r="HAB34" s="205"/>
      <c r="HAC34" s="205"/>
      <c r="HAD34" s="205"/>
      <c r="HAE34" s="205"/>
      <c r="HAF34" s="205"/>
      <c r="HAG34" s="205"/>
      <c r="HAH34" s="205"/>
      <c r="HAI34" s="205"/>
      <c r="HAJ34" s="205"/>
      <c r="HAK34" s="205"/>
      <c r="HAL34" s="205"/>
      <c r="HAM34" s="205"/>
      <c r="HAN34" s="205"/>
      <c r="HAO34" s="205"/>
      <c r="HAP34" s="205"/>
      <c r="HAQ34" s="205"/>
      <c r="HAR34" s="205"/>
      <c r="HAS34" s="205"/>
      <c r="HAT34" s="205"/>
      <c r="HAU34" s="205"/>
      <c r="HAV34" s="205"/>
      <c r="HAW34" s="205"/>
      <c r="HAX34" s="205"/>
      <c r="HAY34" s="205"/>
      <c r="HAZ34" s="205"/>
      <c r="HBA34" s="205"/>
      <c r="HBB34" s="205"/>
      <c r="HBC34" s="205"/>
      <c r="HBD34" s="205"/>
      <c r="HBE34" s="205"/>
      <c r="HBF34" s="205"/>
      <c r="HBG34" s="205"/>
      <c r="HBH34" s="205"/>
      <c r="HBI34" s="205"/>
      <c r="HBJ34" s="205"/>
      <c r="HBK34" s="205"/>
      <c r="HBL34" s="205"/>
      <c r="HBM34" s="205"/>
      <c r="HBN34" s="205"/>
      <c r="HBO34" s="205"/>
      <c r="HBP34" s="205"/>
      <c r="HBQ34" s="205"/>
      <c r="HBR34" s="205"/>
      <c r="HBS34" s="205"/>
      <c r="HBT34" s="205"/>
      <c r="HBU34" s="205"/>
      <c r="HBV34" s="205"/>
      <c r="HBW34" s="205"/>
      <c r="HBX34" s="205"/>
      <c r="HBY34" s="205"/>
      <c r="HBZ34" s="205"/>
      <c r="HCA34" s="205"/>
      <c r="HCB34" s="205"/>
      <c r="HCC34" s="205"/>
      <c r="HCD34" s="205"/>
      <c r="HCE34" s="205"/>
      <c r="HCF34" s="205"/>
      <c r="HCG34" s="205"/>
      <c r="HCH34" s="205"/>
      <c r="HCI34" s="205"/>
      <c r="HCJ34" s="205"/>
      <c r="HCK34" s="205"/>
      <c r="HCL34" s="205"/>
      <c r="HCM34" s="205"/>
      <c r="HCN34" s="205"/>
      <c r="HCO34" s="205"/>
      <c r="HCP34" s="205"/>
      <c r="HCQ34" s="205"/>
      <c r="HCR34" s="205"/>
      <c r="HCS34" s="205"/>
      <c r="HCT34" s="205"/>
      <c r="HCU34" s="205"/>
      <c r="HCV34" s="205"/>
      <c r="HCW34" s="205"/>
      <c r="HCX34" s="205"/>
      <c r="HCY34" s="205"/>
      <c r="HCZ34" s="205"/>
      <c r="HDA34" s="205"/>
      <c r="HDB34" s="205"/>
      <c r="HDC34" s="205"/>
      <c r="HDD34" s="205"/>
      <c r="HDE34" s="205"/>
      <c r="HDF34" s="205"/>
      <c r="HDG34" s="205"/>
      <c r="HDH34" s="205"/>
      <c r="HDI34" s="205"/>
      <c r="HDJ34" s="205"/>
      <c r="HDK34" s="205"/>
      <c r="HDL34" s="205"/>
      <c r="HDM34" s="205"/>
      <c r="HDN34" s="205"/>
      <c r="HDO34" s="205"/>
      <c r="HDP34" s="205"/>
      <c r="HDQ34" s="205"/>
      <c r="HDR34" s="205"/>
      <c r="HDS34" s="205"/>
      <c r="HDT34" s="205"/>
      <c r="HDU34" s="205"/>
      <c r="HDV34" s="205"/>
      <c r="HDW34" s="205"/>
      <c r="HDX34" s="205"/>
      <c r="HDY34" s="205"/>
      <c r="HDZ34" s="205"/>
      <c r="HEA34" s="205"/>
      <c r="HEB34" s="205"/>
      <c r="HEC34" s="205"/>
      <c r="HED34" s="205"/>
      <c r="HEE34" s="205"/>
      <c r="HEF34" s="205"/>
      <c r="HEG34" s="205"/>
      <c r="HEH34" s="205"/>
      <c r="HEI34" s="205"/>
      <c r="HEJ34" s="205"/>
      <c r="HEK34" s="205"/>
      <c r="HEL34" s="205"/>
      <c r="HEM34" s="205"/>
      <c r="HEN34" s="205"/>
      <c r="HEO34" s="205"/>
      <c r="HEP34" s="205"/>
      <c r="HEQ34" s="205"/>
      <c r="HER34" s="205"/>
      <c r="HES34" s="205"/>
      <c r="HET34" s="205"/>
      <c r="HEU34" s="205"/>
      <c r="HEV34" s="205"/>
      <c r="HEW34" s="205"/>
      <c r="HEX34" s="205"/>
      <c r="HEY34" s="205"/>
      <c r="HEZ34" s="205"/>
      <c r="HFA34" s="205"/>
      <c r="HFB34" s="205"/>
      <c r="HFC34" s="205"/>
      <c r="HFD34" s="205"/>
      <c r="HFE34" s="205"/>
      <c r="HFF34" s="205"/>
      <c r="HFG34" s="205"/>
      <c r="HFH34" s="205"/>
      <c r="HFI34" s="205"/>
      <c r="HFJ34" s="205"/>
      <c r="HFK34" s="205"/>
      <c r="HFL34" s="205"/>
      <c r="HFM34" s="205"/>
      <c r="HFN34" s="205"/>
      <c r="HFO34" s="205"/>
      <c r="HFP34" s="205"/>
      <c r="HFQ34" s="205"/>
      <c r="HFR34" s="205"/>
      <c r="HFS34" s="205"/>
      <c r="HFT34" s="205"/>
      <c r="HFU34" s="205"/>
      <c r="HFV34" s="205"/>
      <c r="HFW34" s="205"/>
      <c r="HFX34" s="205"/>
      <c r="HFY34" s="205"/>
      <c r="HFZ34" s="205"/>
      <c r="HGA34" s="205"/>
      <c r="HGB34" s="205"/>
      <c r="HGC34" s="205"/>
      <c r="HGD34" s="205"/>
      <c r="HGE34" s="205"/>
      <c r="HGF34" s="205"/>
      <c r="HGG34" s="205"/>
      <c r="HGH34" s="205"/>
      <c r="HGI34" s="205"/>
      <c r="HGJ34" s="205"/>
      <c r="HGK34" s="205"/>
      <c r="HGL34" s="205"/>
      <c r="HGM34" s="205"/>
      <c r="HGN34" s="205"/>
      <c r="HGO34" s="205"/>
      <c r="HGP34" s="205"/>
      <c r="HGQ34" s="205"/>
      <c r="HGR34" s="205"/>
      <c r="HGS34" s="205"/>
      <c r="HGT34" s="205"/>
      <c r="HGU34" s="205"/>
      <c r="HGV34" s="205"/>
      <c r="HGW34" s="205"/>
      <c r="HGX34" s="205"/>
      <c r="HGY34" s="205"/>
      <c r="HGZ34" s="205"/>
      <c r="HHA34" s="205"/>
      <c r="HHB34" s="205"/>
      <c r="HHC34" s="205"/>
      <c r="HHD34" s="205"/>
      <c r="HHE34" s="205"/>
      <c r="HHF34" s="205"/>
      <c r="HHG34" s="205"/>
      <c r="HHH34" s="205"/>
      <c r="HHI34" s="205"/>
      <c r="HHJ34" s="205"/>
      <c r="HHK34" s="205"/>
      <c r="HHL34" s="205"/>
      <c r="HHM34" s="205"/>
      <c r="HHN34" s="205"/>
      <c r="HHO34" s="205"/>
      <c r="HHP34" s="205"/>
      <c r="HHQ34" s="205"/>
      <c r="HHR34" s="205"/>
      <c r="HHS34" s="205"/>
      <c r="HHT34" s="205"/>
      <c r="HHU34" s="205"/>
      <c r="HHV34" s="205"/>
      <c r="HHW34" s="205"/>
      <c r="HHX34" s="205"/>
      <c r="HHY34" s="205"/>
      <c r="HHZ34" s="205"/>
      <c r="HIA34" s="205"/>
      <c r="HIB34" s="205"/>
      <c r="HIC34" s="205"/>
      <c r="HID34" s="205"/>
      <c r="HIE34" s="205"/>
      <c r="HIF34" s="205"/>
      <c r="HIG34" s="205"/>
      <c r="HIH34" s="205"/>
      <c r="HII34" s="205"/>
      <c r="HIJ34" s="205"/>
      <c r="HIK34" s="205"/>
      <c r="HIL34" s="205"/>
      <c r="HIM34" s="205"/>
      <c r="HIN34" s="205"/>
      <c r="HIO34" s="205"/>
      <c r="HIP34" s="205"/>
      <c r="HIQ34" s="205"/>
      <c r="HIR34" s="205"/>
      <c r="HIS34" s="205"/>
      <c r="HIT34" s="205"/>
      <c r="HIU34" s="205"/>
      <c r="HIV34" s="205"/>
      <c r="HIW34" s="205"/>
      <c r="HIX34" s="205"/>
      <c r="HIY34" s="205"/>
      <c r="HIZ34" s="205"/>
      <c r="HJA34" s="205"/>
      <c r="HJB34" s="205"/>
      <c r="HJC34" s="205"/>
      <c r="HJD34" s="205"/>
      <c r="HJE34" s="205"/>
      <c r="HJF34" s="205"/>
      <c r="HJG34" s="205"/>
      <c r="HJH34" s="205"/>
      <c r="HJI34" s="205"/>
      <c r="HJJ34" s="205"/>
      <c r="HJK34" s="205"/>
      <c r="HJL34" s="205"/>
      <c r="HJM34" s="205"/>
      <c r="HJN34" s="205"/>
      <c r="HJO34" s="205"/>
      <c r="HJP34" s="205"/>
      <c r="HJQ34" s="205"/>
      <c r="HJR34" s="205"/>
      <c r="HJS34" s="205"/>
      <c r="HJT34" s="205"/>
      <c r="HJU34" s="205"/>
      <c r="HJV34" s="205"/>
      <c r="HJW34" s="205"/>
      <c r="HJX34" s="205"/>
      <c r="HJY34" s="205"/>
      <c r="HJZ34" s="205"/>
      <c r="HKA34" s="205"/>
      <c r="HKB34" s="205"/>
      <c r="HKC34" s="205"/>
      <c r="HKD34" s="205"/>
      <c r="HKE34" s="205"/>
      <c r="HKF34" s="205"/>
      <c r="HKG34" s="205"/>
      <c r="HKH34" s="205"/>
      <c r="HKI34" s="205"/>
      <c r="HKJ34" s="205"/>
      <c r="HKK34" s="205"/>
      <c r="HKL34" s="205"/>
      <c r="HKM34" s="205"/>
      <c r="HKN34" s="205"/>
      <c r="HKO34" s="205"/>
      <c r="HKP34" s="205"/>
      <c r="HKQ34" s="205"/>
      <c r="HKR34" s="205"/>
      <c r="HKS34" s="205"/>
      <c r="HKT34" s="205"/>
      <c r="HKU34" s="205"/>
      <c r="HKV34" s="205"/>
      <c r="HKW34" s="205"/>
      <c r="HKX34" s="205"/>
      <c r="HKY34" s="205"/>
      <c r="HKZ34" s="205"/>
      <c r="HLA34" s="205"/>
      <c r="HLB34" s="205"/>
      <c r="HLC34" s="205"/>
      <c r="HLD34" s="205"/>
      <c r="HLE34" s="205"/>
      <c r="HLF34" s="205"/>
      <c r="HLG34" s="205"/>
      <c r="HLH34" s="205"/>
      <c r="HLI34" s="205"/>
      <c r="HLJ34" s="205"/>
      <c r="HLK34" s="205"/>
      <c r="HLL34" s="205"/>
      <c r="HLM34" s="205"/>
      <c r="HLN34" s="205"/>
      <c r="HLO34" s="205"/>
      <c r="HLP34" s="205"/>
      <c r="HLQ34" s="205"/>
      <c r="HLR34" s="205"/>
      <c r="HLS34" s="205"/>
      <c r="HLT34" s="205"/>
      <c r="HLU34" s="205"/>
      <c r="HLV34" s="205"/>
      <c r="HLW34" s="205"/>
      <c r="HLX34" s="205"/>
      <c r="HLY34" s="205"/>
      <c r="HLZ34" s="205"/>
      <c r="HMA34" s="205"/>
      <c r="HMB34" s="205"/>
      <c r="HMC34" s="205"/>
      <c r="HMD34" s="205"/>
      <c r="HME34" s="205"/>
      <c r="HMF34" s="205"/>
      <c r="HMG34" s="205"/>
      <c r="HMH34" s="205"/>
      <c r="HMI34" s="205"/>
      <c r="HMJ34" s="205"/>
      <c r="HMK34" s="205"/>
      <c r="HML34" s="205"/>
      <c r="HMM34" s="205"/>
      <c r="HMN34" s="205"/>
      <c r="HMO34" s="205"/>
      <c r="HMP34" s="205"/>
      <c r="HMQ34" s="205"/>
      <c r="HMR34" s="205"/>
      <c r="HMS34" s="205"/>
      <c r="HMT34" s="205"/>
      <c r="HMU34" s="205"/>
      <c r="HMV34" s="205"/>
      <c r="HMW34" s="205"/>
      <c r="HMX34" s="205"/>
      <c r="HMY34" s="205"/>
      <c r="HMZ34" s="205"/>
      <c r="HNA34" s="205"/>
      <c r="HNB34" s="205"/>
      <c r="HNC34" s="205"/>
      <c r="HND34" s="205"/>
      <c r="HNE34" s="205"/>
      <c r="HNF34" s="205"/>
      <c r="HNG34" s="205"/>
      <c r="HNH34" s="205"/>
      <c r="HNI34" s="205"/>
      <c r="HNJ34" s="205"/>
      <c r="HNK34" s="205"/>
      <c r="HNL34" s="205"/>
      <c r="HNM34" s="205"/>
      <c r="HNN34" s="205"/>
      <c r="HNO34" s="205"/>
      <c r="HNP34" s="205"/>
      <c r="HNQ34" s="205"/>
      <c r="HNR34" s="205"/>
      <c r="HNS34" s="205"/>
      <c r="HNT34" s="205"/>
      <c r="HNU34" s="205"/>
      <c r="HNV34" s="205"/>
      <c r="HNW34" s="205"/>
      <c r="HNX34" s="205"/>
      <c r="HNY34" s="205"/>
      <c r="HNZ34" s="205"/>
      <c r="HOA34" s="205"/>
      <c r="HOB34" s="205"/>
      <c r="HOC34" s="205"/>
      <c r="HOD34" s="205"/>
      <c r="HOE34" s="205"/>
      <c r="HOF34" s="205"/>
      <c r="HOG34" s="205"/>
      <c r="HOH34" s="205"/>
      <c r="HOI34" s="205"/>
      <c r="HOJ34" s="205"/>
      <c r="HOK34" s="205"/>
      <c r="HOL34" s="205"/>
      <c r="HOM34" s="205"/>
      <c r="HON34" s="205"/>
      <c r="HOO34" s="205"/>
      <c r="HOP34" s="205"/>
      <c r="HOQ34" s="205"/>
      <c r="HOR34" s="205"/>
      <c r="HOS34" s="205"/>
      <c r="HOT34" s="205"/>
      <c r="HOU34" s="205"/>
      <c r="HOV34" s="205"/>
      <c r="HOW34" s="205"/>
      <c r="HOX34" s="205"/>
      <c r="HOY34" s="205"/>
      <c r="HOZ34" s="205"/>
      <c r="HPA34" s="205"/>
      <c r="HPB34" s="205"/>
      <c r="HPC34" s="205"/>
      <c r="HPD34" s="205"/>
      <c r="HPE34" s="205"/>
      <c r="HPF34" s="205"/>
      <c r="HPG34" s="205"/>
      <c r="HPH34" s="205"/>
      <c r="HPI34" s="205"/>
      <c r="HPJ34" s="205"/>
      <c r="HPK34" s="205"/>
      <c r="HPL34" s="205"/>
      <c r="HPM34" s="205"/>
      <c r="HPN34" s="205"/>
      <c r="HPO34" s="205"/>
      <c r="HPP34" s="205"/>
      <c r="HPQ34" s="205"/>
      <c r="HPR34" s="205"/>
      <c r="HPS34" s="205"/>
      <c r="HPT34" s="205"/>
      <c r="HPU34" s="205"/>
      <c r="HPV34" s="205"/>
      <c r="HPW34" s="205"/>
      <c r="HPX34" s="205"/>
      <c r="HPY34" s="205"/>
      <c r="HPZ34" s="205"/>
      <c r="HQA34" s="205"/>
      <c r="HQB34" s="205"/>
      <c r="HQC34" s="205"/>
      <c r="HQD34" s="205"/>
      <c r="HQE34" s="205"/>
      <c r="HQF34" s="205"/>
      <c r="HQG34" s="205"/>
      <c r="HQH34" s="205"/>
      <c r="HQI34" s="205"/>
      <c r="HQJ34" s="205"/>
      <c r="HQK34" s="205"/>
      <c r="HQL34" s="205"/>
      <c r="HQM34" s="205"/>
      <c r="HQN34" s="205"/>
      <c r="HQO34" s="205"/>
      <c r="HQP34" s="205"/>
      <c r="HQQ34" s="205"/>
      <c r="HQR34" s="205"/>
      <c r="HQS34" s="205"/>
      <c r="HQT34" s="205"/>
      <c r="HQU34" s="205"/>
      <c r="HQV34" s="205"/>
      <c r="HQW34" s="205"/>
      <c r="HQX34" s="205"/>
      <c r="HQY34" s="205"/>
      <c r="HQZ34" s="205"/>
      <c r="HRA34" s="205"/>
      <c r="HRB34" s="205"/>
      <c r="HRC34" s="205"/>
      <c r="HRD34" s="205"/>
      <c r="HRE34" s="205"/>
      <c r="HRF34" s="205"/>
      <c r="HRG34" s="205"/>
      <c r="HRH34" s="205"/>
      <c r="HRI34" s="205"/>
      <c r="HRJ34" s="205"/>
      <c r="HRK34" s="205"/>
      <c r="HRL34" s="205"/>
      <c r="HRM34" s="205"/>
      <c r="HRN34" s="205"/>
      <c r="HRO34" s="205"/>
      <c r="HRP34" s="205"/>
      <c r="HRQ34" s="205"/>
      <c r="HRR34" s="205"/>
      <c r="HRS34" s="205"/>
      <c r="HRT34" s="205"/>
      <c r="HRU34" s="205"/>
      <c r="HRV34" s="205"/>
      <c r="HRW34" s="205"/>
      <c r="HRX34" s="205"/>
      <c r="HRY34" s="205"/>
      <c r="HRZ34" s="205"/>
      <c r="HSA34" s="205"/>
      <c r="HSB34" s="205"/>
      <c r="HSC34" s="205"/>
      <c r="HSD34" s="205"/>
      <c r="HSE34" s="205"/>
      <c r="HSF34" s="205"/>
      <c r="HSG34" s="205"/>
      <c r="HSH34" s="205"/>
      <c r="HSI34" s="205"/>
      <c r="HSJ34" s="205"/>
      <c r="HSK34" s="205"/>
      <c r="HSL34" s="205"/>
      <c r="HSM34" s="205"/>
      <c r="HSN34" s="205"/>
      <c r="HSO34" s="205"/>
      <c r="HSP34" s="205"/>
      <c r="HSQ34" s="205"/>
      <c r="HSR34" s="205"/>
      <c r="HSS34" s="205"/>
      <c r="HST34" s="205"/>
      <c r="HSU34" s="205"/>
      <c r="HSV34" s="205"/>
      <c r="HSW34" s="205"/>
      <c r="HSX34" s="205"/>
      <c r="HSY34" s="205"/>
      <c r="HSZ34" s="205"/>
      <c r="HTA34" s="205"/>
      <c r="HTB34" s="205"/>
      <c r="HTC34" s="205"/>
      <c r="HTD34" s="205"/>
      <c r="HTE34" s="205"/>
      <c r="HTF34" s="205"/>
      <c r="HTG34" s="205"/>
      <c r="HTH34" s="205"/>
      <c r="HTI34" s="205"/>
      <c r="HTJ34" s="205"/>
      <c r="HTK34" s="205"/>
      <c r="HTL34" s="205"/>
      <c r="HTM34" s="205"/>
      <c r="HTN34" s="205"/>
      <c r="HTO34" s="205"/>
      <c r="HTP34" s="205"/>
      <c r="HTQ34" s="205"/>
      <c r="HTR34" s="205"/>
      <c r="HTS34" s="205"/>
      <c r="HTT34" s="205"/>
      <c r="HTU34" s="205"/>
      <c r="HTV34" s="205"/>
      <c r="HTW34" s="205"/>
      <c r="HTX34" s="205"/>
      <c r="HTY34" s="205"/>
      <c r="HTZ34" s="205"/>
      <c r="HUA34" s="205"/>
      <c r="HUB34" s="205"/>
      <c r="HUC34" s="205"/>
      <c r="HUD34" s="205"/>
      <c r="HUE34" s="205"/>
      <c r="HUF34" s="205"/>
      <c r="HUG34" s="205"/>
      <c r="HUH34" s="205"/>
      <c r="HUI34" s="205"/>
      <c r="HUJ34" s="205"/>
      <c r="HUK34" s="205"/>
      <c r="HUL34" s="205"/>
      <c r="HUM34" s="205"/>
      <c r="HUN34" s="205"/>
      <c r="HUO34" s="205"/>
      <c r="HUP34" s="205"/>
      <c r="HUQ34" s="205"/>
      <c r="HUR34" s="205"/>
      <c r="HUS34" s="205"/>
      <c r="HUT34" s="205"/>
      <c r="HUU34" s="205"/>
      <c r="HUV34" s="205"/>
      <c r="HUW34" s="205"/>
      <c r="HUX34" s="205"/>
      <c r="HUY34" s="205"/>
      <c r="HUZ34" s="205"/>
      <c r="HVA34" s="205"/>
      <c r="HVB34" s="205"/>
      <c r="HVC34" s="205"/>
      <c r="HVD34" s="205"/>
      <c r="HVE34" s="205"/>
      <c r="HVF34" s="205"/>
      <c r="HVG34" s="205"/>
      <c r="HVH34" s="205"/>
      <c r="HVI34" s="205"/>
      <c r="HVJ34" s="205"/>
      <c r="HVK34" s="205"/>
      <c r="HVL34" s="205"/>
      <c r="HVM34" s="205"/>
      <c r="HVN34" s="205"/>
      <c r="HVO34" s="205"/>
      <c r="HVP34" s="205"/>
      <c r="HVQ34" s="205"/>
      <c r="HVR34" s="205"/>
      <c r="HVS34" s="205"/>
      <c r="HVT34" s="205"/>
      <c r="HVU34" s="205"/>
      <c r="HVV34" s="205"/>
      <c r="HVW34" s="205"/>
      <c r="HVX34" s="205"/>
      <c r="HVY34" s="205"/>
      <c r="HVZ34" s="205"/>
      <c r="HWA34" s="205"/>
      <c r="HWB34" s="205"/>
      <c r="HWC34" s="205"/>
      <c r="HWD34" s="205"/>
      <c r="HWE34" s="205"/>
      <c r="HWF34" s="205"/>
      <c r="HWG34" s="205"/>
      <c r="HWH34" s="205"/>
      <c r="HWI34" s="205"/>
      <c r="HWJ34" s="205"/>
      <c r="HWK34" s="205"/>
      <c r="HWL34" s="205"/>
      <c r="HWM34" s="205"/>
      <c r="HWN34" s="205"/>
      <c r="HWO34" s="205"/>
      <c r="HWP34" s="205"/>
      <c r="HWQ34" s="205"/>
      <c r="HWR34" s="205"/>
      <c r="HWS34" s="205"/>
      <c r="HWT34" s="205"/>
      <c r="HWU34" s="205"/>
      <c r="HWV34" s="205"/>
      <c r="HWW34" s="205"/>
      <c r="HWX34" s="205"/>
      <c r="HWY34" s="205"/>
      <c r="HWZ34" s="205"/>
      <c r="HXA34" s="205"/>
      <c r="HXB34" s="205"/>
      <c r="HXC34" s="205"/>
      <c r="HXD34" s="205"/>
      <c r="HXE34" s="205"/>
      <c r="HXF34" s="205"/>
      <c r="HXG34" s="205"/>
      <c r="HXH34" s="205"/>
      <c r="HXI34" s="205"/>
      <c r="HXJ34" s="205"/>
      <c r="HXK34" s="205"/>
      <c r="HXL34" s="205"/>
      <c r="HXM34" s="205"/>
      <c r="HXN34" s="205"/>
      <c r="HXO34" s="205"/>
      <c r="HXP34" s="205"/>
      <c r="HXQ34" s="205"/>
      <c r="HXR34" s="205"/>
      <c r="HXS34" s="205"/>
      <c r="HXT34" s="205"/>
      <c r="HXU34" s="205"/>
      <c r="HXV34" s="205"/>
      <c r="HXW34" s="205"/>
      <c r="HXX34" s="205"/>
      <c r="HXY34" s="205"/>
      <c r="HXZ34" s="205"/>
      <c r="HYA34" s="205"/>
      <c r="HYB34" s="205"/>
      <c r="HYC34" s="205"/>
      <c r="HYD34" s="205"/>
      <c r="HYE34" s="205"/>
      <c r="HYF34" s="205"/>
      <c r="HYG34" s="205"/>
      <c r="HYH34" s="205"/>
      <c r="HYI34" s="205"/>
      <c r="HYJ34" s="205"/>
      <c r="HYK34" s="205"/>
      <c r="HYL34" s="205"/>
      <c r="HYM34" s="205"/>
      <c r="HYN34" s="205"/>
      <c r="HYO34" s="205"/>
      <c r="HYP34" s="205"/>
      <c r="HYQ34" s="205"/>
      <c r="HYR34" s="205"/>
      <c r="HYS34" s="205"/>
      <c r="HYT34" s="205"/>
      <c r="HYU34" s="205"/>
      <c r="HYV34" s="205"/>
      <c r="HYW34" s="205"/>
      <c r="HYX34" s="205"/>
      <c r="HYY34" s="205"/>
      <c r="HYZ34" s="205"/>
      <c r="HZA34" s="205"/>
      <c r="HZB34" s="205"/>
      <c r="HZC34" s="205"/>
      <c r="HZD34" s="205"/>
      <c r="HZE34" s="205"/>
      <c r="HZF34" s="205"/>
      <c r="HZG34" s="205"/>
      <c r="HZH34" s="205"/>
      <c r="HZI34" s="205"/>
      <c r="HZJ34" s="205"/>
      <c r="HZK34" s="205"/>
      <c r="HZL34" s="205"/>
      <c r="HZM34" s="205"/>
      <c r="HZN34" s="205"/>
      <c r="HZO34" s="205"/>
      <c r="HZP34" s="205"/>
      <c r="HZQ34" s="205"/>
      <c r="HZR34" s="205"/>
      <c r="HZS34" s="205"/>
      <c r="HZT34" s="205"/>
      <c r="HZU34" s="205"/>
      <c r="HZV34" s="205"/>
      <c r="HZW34" s="205"/>
      <c r="HZX34" s="205"/>
      <c r="HZY34" s="205"/>
      <c r="HZZ34" s="205"/>
      <c r="IAA34" s="205"/>
      <c r="IAB34" s="205"/>
      <c r="IAC34" s="205"/>
      <c r="IAD34" s="205"/>
      <c r="IAE34" s="205"/>
      <c r="IAF34" s="205"/>
      <c r="IAG34" s="205"/>
      <c r="IAH34" s="205"/>
      <c r="IAI34" s="205"/>
      <c r="IAJ34" s="205"/>
      <c r="IAK34" s="205"/>
      <c r="IAL34" s="205"/>
      <c r="IAM34" s="205"/>
      <c r="IAN34" s="205"/>
      <c r="IAO34" s="205"/>
      <c r="IAP34" s="205"/>
      <c r="IAQ34" s="205"/>
      <c r="IAR34" s="205"/>
      <c r="IAS34" s="205"/>
      <c r="IAT34" s="205"/>
      <c r="IAU34" s="205"/>
      <c r="IAV34" s="205"/>
      <c r="IAW34" s="205"/>
      <c r="IAX34" s="205"/>
      <c r="IAY34" s="205"/>
      <c r="IAZ34" s="205"/>
      <c r="IBA34" s="205"/>
      <c r="IBB34" s="205"/>
      <c r="IBC34" s="205"/>
      <c r="IBD34" s="205"/>
      <c r="IBE34" s="205"/>
      <c r="IBF34" s="205"/>
      <c r="IBG34" s="205"/>
      <c r="IBH34" s="205"/>
      <c r="IBI34" s="205"/>
      <c r="IBJ34" s="205"/>
      <c r="IBK34" s="205"/>
      <c r="IBL34" s="205"/>
      <c r="IBM34" s="205"/>
      <c r="IBN34" s="205"/>
      <c r="IBO34" s="205"/>
      <c r="IBP34" s="205"/>
      <c r="IBQ34" s="205"/>
      <c r="IBR34" s="205"/>
      <c r="IBS34" s="205"/>
      <c r="IBT34" s="205"/>
      <c r="IBU34" s="205"/>
      <c r="IBV34" s="205"/>
      <c r="IBW34" s="205"/>
      <c r="IBX34" s="205"/>
      <c r="IBY34" s="205"/>
      <c r="IBZ34" s="205"/>
      <c r="ICA34" s="205"/>
      <c r="ICB34" s="205"/>
      <c r="ICC34" s="205"/>
      <c r="ICD34" s="205"/>
      <c r="ICE34" s="205"/>
      <c r="ICF34" s="205"/>
      <c r="ICG34" s="205"/>
      <c r="ICH34" s="205"/>
      <c r="ICI34" s="205"/>
      <c r="ICJ34" s="205"/>
      <c r="ICK34" s="205"/>
      <c r="ICL34" s="205"/>
      <c r="ICM34" s="205"/>
      <c r="ICN34" s="205"/>
      <c r="ICO34" s="205"/>
      <c r="ICP34" s="205"/>
      <c r="ICQ34" s="205"/>
      <c r="ICR34" s="205"/>
      <c r="ICS34" s="205"/>
      <c r="ICT34" s="205"/>
      <c r="ICU34" s="205"/>
      <c r="ICV34" s="205"/>
      <c r="ICW34" s="205"/>
      <c r="ICX34" s="205"/>
      <c r="ICY34" s="205"/>
      <c r="ICZ34" s="205"/>
      <c r="IDA34" s="205"/>
      <c r="IDB34" s="205"/>
      <c r="IDC34" s="205"/>
      <c r="IDD34" s="205"/>
      <c r="IDE34" s="205"/>
      <c r="IDF34" s="205"/>
      <c r="IDG34" s="205"/>
      <c r="IDH34" s="205"/>
      <c r="IDI34" s="205"/>
      <c r="IDJ34" s="205"/>
      <c r="IDK34" s="205"/>
      <c r="IDL34" s="205"/>
      <c r="IDM34" s="205"/>
      <c r="IDN34" s="205"/>
      <c r="IDO34" s="205"/>
      <c r="IDP34" s="205"/>
      <c r="IDQ34" s="205"/>
      <c r="IDR34" s="205"/>
      <c r="IDS34" s="205"/>
      <c r="IDT34" s="205"/>
      <c r="IDU34" s="205"/>
      <c r="IDV34" s="205"/>
      <c r="IDW34" s="205"/>
      <c r="IDX34" s="205"/>
      <c r="IDY34" s="205"/>
      <c r="IDZ34" s="205"/>
      <c r="IEA34" s="205"/>
      <c r="IEB34" s="205"/>
      <c r="IEC34" s="205"/>
      <c r="IED34" s="205"/>
      <c r="IEE34" s="205"/>
      <c r="IEF34" s="205"/>
      <c r="IEG34" s="205"/>
      <c r="IEH34" s="205"/>
      <c r="IEI34" s="205"/>
      <c r="IEJ34" s="205"/>
      <c r="IEK34" s="205"/>
      <c r="IEL34" s="205"/>
      <c r="IEM34" s="205"/>
      <c r="IEN34" s="205"/>
      <c r="IEO34" s="205"/>
      <c r="IEP34" s="205"/>
      <c r="IEQ34" s="205"/>
      <c r="IER34" s="205"/>
      <c r="IES34" s="205"/>
      <c r="IET34" s="205"/>
      <c r="IEU34" s="205"/>
      <c r="IEV34" s="205"/>
      <c r="IEW34" s="205"/>
      <c r="IEX34" s="205"/>
      <c r="IEY34" s="205"/>
      <c r="IEZ34" s="205"/>
      <c r="IFA34" s="205"/>
      <c r="IFB34" s="205"/>
      <c r="IFC34" s="205"/>
      <c r="IFD34" s="205"/>
      <c r="IFE34" s="205"/>
      <c r="IFF34" s="205"/>
      <c r="IFG34" s="205"/>
      <c r="IFH34" s="205"/>
      <c r="IFI34" s="205"/>
      <c r="IFJ34" s="205"/>
      <c r="IFK34" s="205"/>
      <c r="IFL34" s="205"/>
      <c r="IFM34" s="205"/>
      <c r="IFN34" s="205"/>
      <c r="IFO34" s="205"/>
      <c r="IFP34" s="205"/>
      <c r="IFQ34" s="205"/>
      <c r="IFR34" s="205"/>
      <c r="IFS34" s="205"/>
      <c r="IFT34" s="205"/>
      <c r="IFU34" s="205"/>
      <c r="IFV34" s="205"/>
      <c r="IFW34" s="205"/>
      <c r="IFX34" s="205"/>
      <c r="IFY34" s="205"/>
      <c r="IFZ34" s="205"/>
      <c r="IGA34" s="205"/>
      <c r="IGB34" s="205"/>
      <c r="IGC34" s="205"/>
      <c r="IGD34" s="205"/>
      <c r="IGE34" s="205"/>
      <c r="IGF34" s="205"/>
      <c r="IGG34" s="205"/>
      <c r="IGH34" s="205"/>
      <c r="IGI34" s="205"/>
      <c r="IGJ34" s="205"/>
      <c r="IGK34" s="205"/>
      <c r="IGL34" s="205"/>
      <c r="IGM34" s="205"/>
      <c r="IGN34" s="205"/>
      <c r="IGO34" s="205"/>
      <c r="IGP34" s="205"/>
      <c r="IGQ34" s="205"/>
      <c r="IGR34" s="205"/>
      <c r="IGS34" s="205"/>
      <c r="IGT34" s="205"/>
      <c r="IGU34" s="205"/>
      <c r="IGV34" s="205"/>
      <c r="IGW34" s="205"/>
      <c r="IGX34" s="205"/>
      <c r="IGY34" s="205"/>
      <c r="IGZ34" s="205"/>
      <c r="IHA34" s="205"/>
      <c r="IHB34" s="205"/>
      <c r="IHC34" s="205"/>
      <c r="IHD34" s="205"/>
      <c r="IHE34" s="205"/>
      <c r="IHF34" s="205"/>
      <c r="IHG34" s="205"/>
      <c r="IHH34" s="205"/>
      <c r="IHI34" s="205"/>
      <c r="IHJ34" s="205"/>
      <c r="IHK34" s="205"/>
      <c r="IHL34" s="205"/>
      <c r="IHM34" s="205"/>
      <c r="IHN34" s="205"/>
      <c r="IHO34" s="205"/>
      <c r="IHP34" s="205"/>
      <c r="IHQ34" s="205"/>
      <c r="IHR34" s="205"/>
      <c r="IHS34" s="205"/>
      <c r="IHT34" s="205"/>
      <c r="IHU34" s="205"/>
      <c r="IHV34" s="205"/>
      <c r="IHW34" s="205"/>
      <c r="IHX34" s="205"/>
      <c r="IHY34" s="205"/>
      <c r="IHZ34" s="205"/>
      <c r="IIA34" s="205"/>
      <c r="IIB34" s="205"/>
      <c r="IIC34" s="205"/>
      <c r="IID34" s="205"/>
      <c r="IIE34" s="205"/>
      <c r="IIF34" s="205"/>
      <c r="IIG34" s="205"/>
      <c r="IIH34" s="205"/>
      <c r="III34" s="205"/>
      <c r="IIJ34" s="205"/>
      <c r="IIK34" s="205"/>
      <c r="IIL34" s="205"/>
      <c r="IIM34" s="205"/>
      <c r="IIN34" s="205"/>
      <c r="IIO34" s="205"/>
      <c r="IIP34" s="205"/>
      <c r="IIQ34" s="205"/>
      <c r="IIR34" s="205"/>
      <c r="IIS34" s="205"/>
      <c r="IIT34" s="205"/>
      <c r="IIU34" s="205"/>
      <c r="IIV34" s="205"/>
      <c r="IIW34" s="205"/>
      <c r="IIX34" s="205"/>
      <c r="IIY34" s="205"/>
      <c r="IIZ34" s="205"/>
      <c r="IJA34" s="205"/>
      <c r="IJB34" s="205"/>
      <c r="IJC34" s="205"/>
      <c r="IJD34" s="205"/>
      <c r="IJE34" s="205"/>
      <c r="IJF34" s="205"/>
      <c r="IJG34" s="205"/>
      <c r="IJH34" s="205"/>
      <c r="IJI34" s="205"/>
      <c r="IJJ34" s="205"/>
      <c r="IJK34" s="205"/>
      <c r="IJL34" s="205"/>
      <c r="IJM34" s="205"/>
      <c r="IJN34" s="205"/>
      <c r="IJO34" s="205"/>
      <c r="IJP34" s="205"/>
      <c r="IJQ34" s="205"/>
      <c r="IJR34" s="205"/>
      <c r="IJS34" s="205"/>
      <c r="IJT34" s="205"/>
      <c r="IJU34" s="205"/>
      <c r="IJV34" s="205"/>
      <c r="IJW34" s="205"/>
      <c r="IJX34" s="205"/>
      <c r="IJY34" s="205"/>
      <c r="IJZ34" s="205"/>
      <c r="IKA34" s="205"/>
      <c r="IKB34" s="205"/>
      <c r="IKC34" s="205"/>
      <c r="IKD34" s="205"/>
      <c r="IKE34" s="205"/>
      <c r="IKF34" s="205"/>
      <c r="IKG34" s="205"/>
      <c r="IKH34" s="205"/>
      <c r="IKI34" s="205"/>
      <c r="IKJ34" s="205"/>
      <c r="IKK34" s="205"/>
      <c r="IKL34" s="205"/>
      <c r="IKM34" s="205"/>
      <c r="IKN34" s="205"/>
      <c r="IKO34" s="205"/>
      <c r="IKP34" s="205"/>
      <c r="IKQ34" s="205"/>
      <c r="IKR34" s="205"/>
      <c r="IKS34" s="205"/>
      <c r="IKT34" s="205"/>
      <c r="IKU34" s="205"/>
      <c r="IKV34" s="205"/>
      <c r="IKW34" s="205"/>
      <c r="IKX34" s="205"/>
      <c r="IKY34" s="205"/>
      <c r="IKZ34" s="205"/>
      <c r="ILA34" s="205"/>
      <c r="ILB34" s="205"/>
      <c r="ILC34" s="205"/>
      <c r="ILD34" s="205"/>
      <c r="ILE34" s="205"/>
      <c r="ILF34" s="205"/>
      <c r="ILG34" s="205"/>
      <c r="ILH34" s="205"/>
      <c r="ILI34" s="205"/>
      <c r="ILJ34" s="205"/>
      <c r="ILK34" s="205"/>
      <c r="ILL34" s="205"/>
      <c r="ILM34" s="205"/>
      <c r="ILN34" s="205"/>
      <c r="ILO34" s="205"/>
      <c r="ILP34" s="205"/>
      <c r="ILQ34" s="205"/>
      <c r="ILR34" s="205"/>
      <c r="ILS34" s="205"/>
      <c r="ILT34" s="205"/>
      <c r="ILU34" s="205"/>
      <c r="ILV34" s="205"/>
      <c r="ILW34" s="205"/>
      <c r="ILX34" s="205"/>
      <c r="ILY34" s="205"/>
      <c r="ILZ34" s="205"/>
      <c r="IMA34" s="205"/>
      <c r="IMB34" s="205"/>
      <c r="IMC34" s="205"/>
      <c r="IMD34" s="205"/>
      <c r="IME34" s="205"/>
      <c r="IMF34" s="205"/>
      <c r="IMG34" s="205"/>
      <c r="IMH34" s="205"/>
      <c r="IMI34" s="205"/>
      <c r="IMJ34" s="205"/>
      <c r="IMK34" s="205"/>
      <c r="IML34" s="205"/>
      <c r="IMM34" s="205"/>
      <c r="IMN34" s="205"/>
      <c r="IMO34" s="205"/>
      <c r="IMP34" s="205"/>
      <c r="IMQ34" s="205"/>
      <c r="IMR34" s="205"/>
      <c r="IMS34" s="205"/>
      <c r="IMT34" s="205"/>
      <c r="IMU34" s="205"/>
      <c r="IMV34" s="205"/>
      <c r="IMW34" s="205"/>
      <c r="IMX34" s="205"/>
      <c r="IMY34" s="205"/>
      <c r="IMZ34" s="205"/>
      <c r="INA34" s="205"/>
      <c r="INB34" s="205"/>
      <c r="INC34" s="205"/>
      <c r="IND34" s="205"/>
      <c r="INE34" s="205"/>
      <c r="INF34" s="205"/>
      <c r="ING34" s="205"/>
      <c r="INH34" s="205"/>
      <c r="INI34" s="205"/>
      <c r="INJ34" s="205"/>
      <c r="INK34" s="205"/>
      <c r="INL34" s="205"/>
      <c r="INM34" s="205"/>
      <c r="INN34" s="205"/>
      <c r="INO34" s="205"/>
      <c r="INP34" s="205"/>
      <c r="INQ34" s="205"/>
      <c r="INR34" s="205"/>
      <c r="INS34" s="205"/>
      <c r="INT34" s="205"/>
      <c r="INU34" s="205"/>
      <c r="INV34" s="205"/>
      <c r="INW34" s="205"/>
      <c r="INX34" s="205"/>
      <c r="INY34" s="205"/>
      <c r="INZ34" s="205"/>
      <c r="IOA34" s="205"/>
      <c r="IOB34" s="205"/>
      <c r="IOC34" s="205"/>
      <c r="IOD34" s="205"/>
      <c r="IOE34" s="205"/>
      <c r="IOF34" s="205"/>
      <c r="IOG34" s="205"/>
      <c r="IOH34" s="205"/>
      <c r="IOI34" s="205"/>
      <c r="IOJ34" s="205"/>
      <c r="IOK34" s="205"/>
      <c r="IOL34" s="205"/>
      <c r="IOM34" s="205"/>
      <c r="ION34" s="205"/>
      <c r="IOO34" s="205"/>
      <c r="IOP34" s="205"/>
      <c r="IOQ34" s="205"/>
      <c r="IOR34" s="205"/>
      <c r="IOS34" s="205"/>
      <c r="IOT34" s="205"/>
      <c r="IOU34" s="205"/>
      <c r="IOV34" s="205"/>
      <c r="IOW34" s="205"/>
      <c r="IOX34" s="205"/>
      <c r="IOY34" s="205"/>
      <c r="IOZ34" s="205"/>
      <c r="IPA34" s="205"/>
      <c r="IPB34" s="205"/>
      <c r="IPC34" s="205"/>
      <c r="IPD34" s="205"/>
      <c r="IPE34" s="205"/>
      <c r="IPF34" s="205"/>
      <c r="IPG34" s="205"/>
      <c r="IPH34" s="205"/>
      <c r="IPI34" s="205"/>
      <c r="IPJ34" s="205"/>
      <c r="IPK34" s="205"/>
      <c r="IPL34" s="205"/>
      <c r="IPM34" s="205"/>
      <c r="IPN34" s="205"/>
      <c r="IPO34" s="205"/>
      <c r="IPP34" s="205"/>
      <c r="IPQ34" s="205"/>
      <c r="IPR34" s="205"/>
      <c r="IPS34" s="205"/>
      <c r="IPT34" s="205"/>
      <c r="IPU34" s="205"/>
      <c r="IPV34" s="205"/>
      <c r="IPW34" s="205"/>
      <c r="IPX34" s="205"/>
      <c r="IPY34" s="205"/>
      <c r="IPZ34" s="205"/>
      <c r="IQA34" s="205"/>
      <c r="IQB34" s="205"/>
      <c r="IQC34" s="205"/>
      <c r="IQD34" s="205"/>
      <c r="IQE34" s="205"/>
      <c r="IQF34" s="205"/>
      <c r="IQG34" s="205"/>
      <c r="IQH34" s="205"/>
      <c r="IQI34" s="205"/>
      <c r="IQJ34" s="205"/>
      <c r="IQK34" s="205"/>
      <c r="IQL34" s="205"/>
      <c r="IQM34" s="205"/>
      <c r="IQN34" s="205"/>
      <c r="IQO34" s="205"/>
      <c r="IQP34" s="205"/>
      <c r="IQQ34" s="205"/>
      <c r="IQR34" s="205"/>
      <c r="IQS34" s="205"/>
      <c r="IQT34" s="205"/>
      <c r="IQU34" s="205"/>
      <c r="IQV34" s="205"/>
      <c r="IQW34" s="205"/>
      <c r="IQX34" s="205"/>
      <c r="IQY34" s="205"/>
      <c r="IQZ34" s="205"/>
      <c r="IRA34" s="205"/>
      <c r="IRB34" s="205"/>
      <c r="IRC34" s="205"/>
      <c r="IRD34" s="205"/>
      <c r="IRE34" s="205"/>
      <c r="IRF34" s="205"/>
      <c r="IRG34" s="205"/>
      <c r="IRH34" s="205"/>
      <c r="IRI34" s="205"/>
      <c r="IRJ34" s="205"/>
      <c r="IRK34" s="205"/>
      <c r="IRL34" s="205"/>
      <c r="IRM34" s="205"/>
      <c r="IRN34" s="205"/>
      <c r="IRO34" s="205"/>
      <c r="IRP34" s="205"/>
      <c r="IRQ34" s="205"/>
      <c r="IRR34" s="205"/>
      <c r="IRS34" s="205"/>
      <c r="IRT34" s="205"/>
      <c r="IRU34" s="205"/>
      <c r="IRV34" s="205"/>
      <c r="IRW34" s="205"/>
      <c r="IRX34" s="205"/>
      <c r="IRY34" s="205"/>
      <c r="IRZ34" s="205"/>
      <c r="ISA34" s="205"/>
      <c r="ISB34" s="205"/>
      <c r="ISC34" s="205"/>
      <c r="ISD34" s="205"/>
      <c r="ISE34" s="205"/>
      <c r="ISF34" s="205"/>
      <c r="ISG34" s="205"/>
      <c r="ISH34" s="205"/>
      <c r="ISI34" s="205"/>
      <c r="ISJ34" s="205"/>
      <c r="ISK34" s="205"/>
      <c r="ISL34" s="205"/>
      <c r="ISM34" s="205"/>
      <c r="ISN34" s="205"/>
      <c r="ISO34" s="205"/>
      <c r="ISP34" s="205"/>
      <c r="ISQ34" s="205"/>
      <c r="ISR34" s="205"/>
      <c r="ISS34" s="205"/>
      <c r="IST34" s="205"/>
      <c r="ISU34" s="205"/>
      <c r="ISV34" s="205"/>
      <c r="ISW34" s="205"/>
      <c r="ISX34" s="205"/>
      <c r="ISY34" s="205"/>
      <c r="ISZ34" s="205"/>
      <c r="ITA34" s="205"/>
      <c r="ITB34" s="205"/>
      <c r="ITC34" s="205"/>
      <c r="ITD34" s="205"/>
      <c r="ITE34" s="205"/>
      <c r="ITF34" s="205"/>
      <c r="ITG34" s="205"/>
      <c r="ITH34" s="205"/>
      <c r="ITI34" s="205"/>
      <c r="ITJ34" s="205"/>
      <c r="ITK34" s="205"/>
      <c r="ITL34" s="205"/>
      <c r="ITM34" s="205"/>
      <c r="ITN34" s="205"/>
      <c r="ITO34" s="205"/>
      <c r="ITP34" s="205"/>
      <c r="ITQ34" s="205"/>
      <c r="ITR34" s="205"/>
      <c r="ITS34" s="205"/>
      <c r="ITT34" s="205"/>
      <c r="ITU34" s="205"/>
      <c r="ITV34" s="205"/>
      <c r="ITW34" s="205"/>
      <c r="ITX34" s="205"/>
      <c r="ITY34" s="205"/>
      <c r="ITZ34" s="205"/>
      <c r="IUA34" s="205"/>
      <c r="IUB34" s="205"/>
      <c r="IUC34" s="205"/>
      <c r="IUD34" s="205"/>
      <c r="IUE34" s="205"/>
      <c r="IUF34" s="205"/>
      <c r="IUG34" s="205"/>
      <c r="IUH34" s="205"/>
      <c r="IUI34" s="205"/>
      <c r="IUJ34" s="205"/>
      <c r="IUK34" s="205"/>
      <c r="IUL34" s="205"/>
      <c r="IUM34" s="205"/>
      <c r="IUN34" s="205"/>
      <c r="IUO34" s="205"/>
      <c r="IUP34" s="205"/>
      <c r="IUQ34" s="205"/>
      <c r="IUR34" s="205"/>
      <c r="IUS34" s="205"/>
      <c r="IUT34" s="205"/>
      <c r="IUU34" s="205"/>
      <c r="IUV34" s="205"/>
      <c r="IUW34" s="205"/>
      <c r="IUX34" s="205"/>
      <c r="IUY34" s="205"/>
      <c r="IUZ34" s="205"/>
      <c r="IVA34" s="205"/>
      <c r="IVB34" s="205"/>
      <c r="IVC34" s="205"/>
      <c r="IVD34" s="205"/>
      <c r="IVE34" s="205"/>
      <c r="IVF34" s="205"/>
      <c r="IVG34" s="205"/>
      <c r="IVH34" s="205"/>
      <c r="IVI34" s="205"/>
      <c r="IVJ34" s="205"/>
      <c r="IVK34" s="205"/>
      <c r="IVL34" s="205"/>
      <c r="IVM34" s="205"/>
      <c r="IVN34" s="205"/>
      <c r="IVO34" s="205"/>
      <c r="IVP34" s="205"/>
      <c r="IVQ34" s="205"/>
      <c r="IVR34" s="205"/>
      <c r="IVS34" s="205"/>
      <c r="IVT34" s="205"/>
      <c r="IVU34" s="205"/>
      <c r="IVV34" s="205"/>
      <c r="IVW34" s="205"/>
      <c r="IVX34" s="205"/>
      <c r="IVY34" s="205"/>
      <c r="IVZ34" s="205"/>
      <c r="IWA34" s="205"/>
      <c r="IWB34" s="205"/>
      <c r="IWC34" s="205"/>
      <c r="IWD34" s="205"/>
      <c r="IWE34" s="205"/>
      <c r="IWF34" s="205"/>
      <c r="IWG34" s="205"/>
      <c r="IWH34" s="205"/>
      <c r="IWI34" s="205"/>
      <c r="IWJ34" s="205"/>
      <c r="IWK34" s="205"/>
      <c r="IWL34" s="205"/>
      <c r="IWM34" s="205"/>
      <c r="IWN34" s="205"/>
      <c r="IWO34" s="205"/>
      <c r="IWP34" s="205"/>
      <c r="IWQ34" s="205"/>
      <c r="IWR34" s="205"/>
      <c r="IWS34" s="205"/>
      <c r="IWT34" s="205"/>
      <c r="IWU34" s="205"/>
      <c r="IWV34" s="205"/>
      <c r="IWW34" s="205"/>
      <c r="IWX34" s="205"/>
      <c r="IWY34" s="205"/>
      <c r="IWZ34" s="205"/>
      <c r="IXA34" s="205"/>
      <c r="IXB34" s="205"/>
      <c r="IXC34" s="205"/>
      <c r="IXD34" s="205"/>
      <c r="IXE34" s="205"/>
      <c r="IXF34" s="205"/>
      <c r="IXG34" s="205"/>
      <c r="IXH34" s="205"/>
      <c r="IXI34" s="205"/>
      <c r="IXJ34" s="205"/>
      <c r="IXK34" s="205"/>
      <c r="IXL34" s="205"/>
      <c r="IXM34" s="205"/>
      <c r="IXN34" s="205"/>
      <c r="IXO34" s="205"/>
      <c r="IXP34" s="205"/>
      <c r="IXQ34" s="205"/>
      <c r="IXR34" s="205"/>
      <c r="IXS34" s="205"/>
      <c r="IXT34" s="205"/>
      <c r="IXU34" s="205"/>
      <c r="IXV34" s="205"/>
      <c r="IXW34" s="205"/>
      <c r="IXX34" s="205"/>
      <c r="IXY34" s="205"/>
      <c r="IXZ34" s="205"/>
      <c r="IYA34" s="205"/>
      <c r="IYB34" s="205"/>
      <c r="IYC34" s="205"/>
      <c r="IYD34" s="205"/>
      <c r="IYE34" s="205"/>
      <c r="IYF34" s="205"/>
      <c r="IYG34" s="205"/>
      <c r="IYH34" s="205"/>
      <c r="IYI34" s="205"/>
      <c r="IYJ34" s="205"/>
      <c r="IYK34" s="205"/>
      <c r="IYL34" s="205"/>
      <c r="IYM34" s="205"/>
      <c r="IYN34" s="205"/>
      <c r="IYO34" s="205"/>
      <c r="IYP34" s="205"/>
      <c r="IYQ34" s="205"/>
      <c r="IYR34" s="205"/>
      <c r="IYS34" s="205"/>
      <c r="IYT34" s="205"/>
      <c r="IYU34" s="205"/>
      <c r="IYV34" s="205"/>
      <c r="IYW34" s="205"/>
      <c r="IYX34" s="205"/>
      <c r="IYY34" s="205"/>
      <c r="IYZ34" s="205"/>
      <c r="IZA34" s="205"/>
      <c r="IZB34" s="205"/>
      <c r="IZC34" s="205"/>
      <c r="IZD34" s="205"/>
      <c r="IZE34" s="205"/>
      <c r="IZF34" s="205"/>
      <c r="IZG34" s="205"/>
      <c r="IZH34" s="205"/>
      <c r="IZI34" s="205"/>
      <c r="IZJ34" s="205"/>
      <c r="IZK34" s="205"/>
      <c r="IZL34" s="205"/>
      <c r="IZM34" s="205"/>
      <c r="IZN34" s="205"/>
      <c r="IZO34" s="205"/>
      <c r="IZP34" s="205"/>
      <c r="IZQ34" s="205"/>
      <c r="IZR34" s="205"/>
      <c r="IZS34" s="205"/>
      <c r="IZT34" s="205"/>
      <c r="IZU34" s="205"/>
      <c r="IZV34" s="205"/>
      <c r="IZW34" s="205"/>
      <c r="IZX34" s="205"/>
      <c r="IZY34" s="205"/>
      <c r="IZZ34" s="205"/>
      <c r="JAA34" s="205"/>
      <c r="JAB34" s="205"/>
      <c r="JAC34" s="205"/>
      <c r="JAD34" s="205"/>
      <c r="JAE34" s="205"/>
      <c r="JAF34" s="205"/>
      <c r="JAG34" s="205"/>
      <c r="JAH34" s="205"/>
      <c r="JAI34" s="205"/>
      <c r="JAJ34" s="205"/>
      <c r="JAK34" s="205"/>
      <c r="JAL34" s="205"/>
      <c r="JAM34" s="205"/>
      <c r="JAN34" s="205"/>
      <c r="JAO34" s="205"/>
      <c r="JAP34" s="205"/>
      <c r="JAQ34" s="205"/>
      <c r="JAR34" s="205"/>
      <c r="JAS34" s="205"/>
      <c r="JAT34" s="205"/>
      <c r="JAU34" s="205"/>
      <c r="JAV34" s="205"/>
      <c r="JAW34" s="205"/>
      <c r="JAX34" s="205"/>
      <c r="JAY34" s="205"/>
      <c r="JAZ34" s="205"/>
      <c r="JBA34" s="205"/>
      <c r="JBB34" s="205"/>
      <c r="JBC34" s="205"/>
      <c r="JBD34" s="205"/>
      <c r="JBE34" s="205"/>
      <c r="JBF34" s="205"/>
      <c r="JBG34" s="205"/>
      <c r="JBH34" s="205"/>
      <c r="JBI34" s="205"/>
      <c r="JBJ34" s="205"/>
      <c r="JBK34" s="205"/>
      <c r="JBL34" s="205"/>
      <c r="JBM34" s="205"/>
      <c r="JBN34" s="205"/>
      <c r="JBO34" s="205"/>
      <c r="JBP34" s="205"/>
      <c r="JBQ34" s="205"/>
      <c r="JBR34" s="205"/>
      <c r="JBS34" s="205"/>
      <c r="JBT34" s="205"/>
      <c r="JBU34" s="205"/>
      <c r="JBV34" s="205"/>
      <c r="JBW34" s="205"/>
      <c r="JBX34" s="205"/>
      <c r="JBY34" s="205"/>
      <c r="JBZ34" s="205"/>
      <c r="JCA34" s="205"/>
      <c r="JCB34" s="205"/>
      <c r="JCC34" s="205"/>
      <c r="JCD34" s="205"/>
      <c r="JCE34" s="205"/>
      <c r="JCF34" s="205"/>
      <c r="JCG34" s="205"/>
      <c r="JCH34" s="205"/>
      <c r="JCI34" s="205"/>
      <c r="JCJ34" s="205"/>
      <c r="JCK34" s="205"/>
      <c r="JCL34" s="205"/>
      <c r="JCM34" s="205"/>
      <c r="JCN34" s="205"/>
      <c r="JCO34" s="205"/>
      <c r="JCP34" s="205"/>
      <c r="JCQ34" s="205"/>
      <c r="JCR34" s="205"/>
      <c r="JCS34" s="205"/>
      <c r="JCT34" s="205"/>
      <c r="JCU34" s="205"/>
      <c r="JCV34" s="205"/>
      <c r="JCW34" s="205"/>
      <c r="JCX34" s="205"/>
      <c r="JCY34" s="205"/>
      <c r="JCZ34" s="205"/>
      <c r="JDA34" s="205"/>
      <c r="JDB34" s="205"/>
      <c r="JDC34" s="205"/>
      <c r="JDD34" s="205"/>
      <c r="JDE34" s="205"/>
      <c r="JDF34" s="205"/>
      <c r="JDG34" s="205"/>
      <c r="JDH34" s="205"/>
      <c r="JDI34" s="205"/>
      <c r="JDJ34" s="205"/>
      <c r="JDK34" s="205"/>
      <c r="JDL34" s="205"/>
      <c r="JDM34" s="205"/>
      <c r="JDN34" s="205"/>
      <c r="JDO34" s="205"/>
      <c r="JDP34" s="205"/>
      <c r="JDQ34" s="205"/>
      <c r="JDR34" s="205"/>
      <c r="JDS34" s="205"/>
      <c r="JDT34" s="205"/>
      <c r="JDU34" s="205"/>
      <c r="JDV34" s="205"/>
      <c r="JDW34" s="205"/>
      <c r="JDX34" s="205"/>
      <c r="JDY34" s="205"/>
      <c r="JDZ34" s="205"/>
      <c r="JEA34" s="205"/>
      <c r="JEB34" s="205"/>
      <c r="JEC34" s="205"/>
      <c r="JED34" s="205"/>
      <c r="JEE34" s="205"/>
      <c r="JEF34" s="205"/>
      <c r="JEG34" s="205"/>
      <c r="JEH34" s="205"/>
      <c r="JEI34" s="205"/>
      <c r="JEJ34" s="205"/>
      <c r="JEK34" s="205"/>
      <c r="JEL34" s="205"/>
      <c r="JEM34" s="205"/>
      <c r="JEN34" s="205"/>
      <c r="JEO34" s="205"/>
      <c r="JEP34" s="205"/>
      <c r="JEQ34" s="205"/>
      <c r="JER34" s="205"/>
      <c r="JES34" s="205"/>
      <c r="JET34" s="205"/>
      <c r="JEU34" s="205"/>
      <c r="JEV34" s="205"/>
      <c r="JEW34" s="205"/>
      <c r="JEX34" s="205"/>
      <c r="JEY34" s="205"/>
      <c r="JEZ34" s="205"/>
      <c r="JFA34" s="205"/>
      <c r="JFB34" s="205"/>
      <c r="JFC34" s="205"/>
      <c r="JFD34" s="205"/>
      <c r="JFE34" s="205"/>
      <c r="JFF34" s="205"/>
      <c r="JFG34" s="205"/>
      <c r="JFH34" s="205"/>
      <c r="JFI34" s="205"/>
      <c r="JFJ34" s="205"/>
      <c r="JFK34" s="205"/>
      <c r="JFL34" s="205"/>
      <c r="JFM34" s="205"/>
      <c r="JFN34" s="205"/>
      <c r="JFO34" s="205"/>
      <c r="JFP34" s="205"/>
      <c r="JFQ34" s="205"/>
      <c r="JFR34" s="205"/>
      <c r="JFS34" s="205"/>
      <c r="JFT34" s="205"/>
      <c r="JFU34" s="205"/>
      <c r="JFV34" s="205"/>
      <c r="JFW34" s="205"/>
      <c r="JFX34" s="205"/>
      <c r="JFY34" s="205"/>
      <c r="JFZ34" s="205"/>
      <c r="JGA34" s="205"/>
      <c r="JGB34" s="205"/>
      <c r="JGC34" s="205"/>
      <c r="JGD34" s="205"/>
      <c r="JGE34" s="205"/>
      <c r="JGF34" s="205"/>
      <c r="JGG34" s="205"/>
      <c r="JGH34" s="205"/>
      <c r="JGI34" s="205"/>
      <c r="JGJ34" s="205"/>
      <c r="JGK34" s="205"/>
      <c r="JGL34" s="205"/>
      <c r="JGM34" s="205"/>
      <c r="JGN34" s="205"/>
      <c r="JGO34" s="205"/>
      <c r="JGP34" s="205"/>
      <c r="JGQ34" s="205"/>
      <c r="JGR34" s="205"/>
      <c r="JGS34" s="205"/>
      <c r="JGT34" s="205"/>
      <c r="JGU34" s="205"/>
      <c r="JGV34" s="205"/>
      <c r="JGW34" s="205"/>
      <c r="JGX34" s="205"/>
      <c r="JGY34" s="205"/>
      <c r="JGZ34" s="205"/>
      <c r="JHA34" s="205"/>
      <c r="JHB34" s="205"/>
      <c r="JHC34" s="205"/>
      <c r="JHD34" s="205"/>
      <c r="JHE34" s="205"/>
      <c r="JHF34" s="205"/>
      <c r="JHG34" s="205"/>
      <c r="JHH34" s="205"/>
      <c r="JHI34" s="205"/>
      <c r="JHJ34" s="205"/>
      <c r="JHK34" s="205"/>
      <c r="JHL34" s="205"/>
      <c r="JHM34" s="205"/>
      <c r="JHN34" s="205"/>
      <c r="JHO34" s="205"/>
      <c r="JHP34" s="205"/>
      <c r="JHQ34" s="205"/>
      <c r="JHR34" s="205"/>
      <c r="JHS34" s="205"/>
      <c r="JHT34" s="205"/>
      <c r="JHU34" s="205"/>
      <c r="JHV34" s="205"/>
      <c r="JHW34" s="205"/>
      <c r="JHX34" s="205"/>
      <c r="JHY34" s="205"/>
      <c r="JHZ34" s="205"/>
      <c r="JIA34" s="205"/>
      <c r="JIB34" s="205"/>
      <c r="JIC34" s="205"/>
      <c r="JID34" s="205"/>
      <c r="JIE34" s="205"/>
      <c r="JIF34" s="205"/>
      <c r="JIG34" s="205"/>
      <c r="JIH34" s="205"/>
      <c r="JII34" s="205"/>
      <c r="JIJ34" s="205"/>
      <c r="JIK34" s="205"/>
      <c r="JIL34" s="205"/>
      <c r="JIM34" s="205"/>
      <c r="JIN34" s="205"/>
      <c r="JIO34" s="205"/>
      <c r="JIP34" s="205"/>
      <c r="JIQ34" s="205"/>
      <c r="JIR34" s="205"/>
      <c r="JIS34" s="205"/>
      <c r="JIT34" s="205"/>
      <c r="JIU34" s="205"/>
      <c r="JIV34" s="205"/>
      <c r="JIW34" s="205"/>
      <c r="JIX34" s="205"/>
      <c r="JIY34" s="205"/>
      <c r="JIZ34" s="205"/>
      <c r="JJA34" s="205"/>
      <c r="JJB34" s="205"/>
      <c r="JJC34" s="205"/>
      <c r="JJD34" s="205"/>
      <c r="JJE34" s="205"/>
      <c r="JJF34" s="205"/>
      <c r="JJG34" s="205"/>
      <c r="JJH34" s="205"/>
      <c r="JJI34" s="205"/>
      <c r="JJJ34" s="205"/>
      <c r="JJK34" s="205"/>
      <c r="JJL34" s="205"/>
      <c r="JJM34" s="205"/>
      <c r="JJN34" s="205"/>
      <c r="JJO34" s="205"/>
      <c r="JJP34" s="205"/>
      <c r="JJQ34" s="205"/>
      <c r="JJR34" s="205"/>
      <c r="JJS34" s="205"/>
      <c r="JJT34" s="205"/>
      <c r="JJU34" s="205"/>
      <c r="JJV34" s="205"/>
      <c r="JJW34" s="205"/>
      <c r="JJX34" s="205"/>
      <c r="JJY34" s="205"/>
      <c r="JJZ34" s="205"/>
      <c r="JKA34" s="205"/>
      <c r="JKB34" s="205"/>
      <c r="JKC34" s="205"/>
      <c r="JKD34" s="205"/>
      <c r="JKE34" s="205"/>
      <c r="JKF34" s="205"/>
      <c r="JKG34" s="205"/>
      <c r="JKH34" s="205"/>
      <c r="JKI34" s="205"/>
      <c r="JKJ34" s="205"/>
      <c r="JKK34" s="205"/>
      <c r="JKL34" s="205"/>
      <c r="JKM34" s="205"/>
      <c r="JKN34" s="205"/>
      <c r="JKO34" s="205"/>
      <c r="JKP34" s="205"/>
      <c r="JKQ34" s="205"/>
      <c r="JKR34" s="205"/>
      <c r="JKS34" s="205"/>
      <c r="JKT34" s="205"/>
      <c r="JKU34" s="205"/>
      <c r="JKV34" s="205"/>
      <c r="JKW34" s="205"/>
      <c r="JKX34" s="205"/>
      <c r="JKY34" s="205"/>
      <c r="JKZ34" s="205"/>
      <c r="JLA34" s="205"/>
      <c r="JLB34" s="205"/>
      <c r="JLC34" s="205"/>
      <c r="JLD34" s="205"/>
      <c r="JLE34" s="205"/>
      <c r="JLF34" s="205"/>
      <c r="JLG34" s="205"/>
      <c r="JLH34" s="205"/>
      <c r="JLI34" s="205"/>
      <c r="JLJ34" s="205"/>
      <c r="JLK34" s="205"/>
      <c r="JLL34" s="205"/>
      <c r="JLM34" s="205"/>
      <c r="JLN34" s="205"/>
      <c r="JLO34" s="205"/>
      <c r="JLP34" s="205"/>
      <c r="JLQ34" s="205"/>
      <c r="JLR34" s="205"/>
      <c r="JLS34" s="205"/>
      <c r="JLT34" s="205"/>
      <c r="JLU34" s="205"/>
      <c r="JLV34" s="205"/>
      <c r="JLW34" s="205"/>
      <c r="JLX34" s="205"/>
      <c r="JLY34" s="205"/>
      <c r="JLZ34" s="205"/>
      <c r="JMA34" s="205"/>
      <c r="JMB34" s="205"/>
      <c r="JMC34" s="205"/>
      <c r="JMD34" s="205"/>
      <c r="JME34" s="205"/>
      <c r="JMF34" s="205"/>
      <c r="JMG34" s="205"/>
      <c r="JMH34" s="205"/>
      <c r="JMI34" s="205"/>
      <c r="JMJ34" s="205"/>
      <c r="JMK34" s="205"/>
      <c r="JML34" s="205"/>
      <c r="JMM34" s="205"/>
      <c r="JMN34" s="205"/>
      <c r="JMO34" s="205"/>
      <c r="JMP34" s="205"/>
      <c r="JMQ34" s="205"/>
      <c r="JMR34" s="205"/>
      <c r="JMS34" s="205"/>
      <c r="JMT34" s="205"/>
      <c r="JMU34" s="205"/>
      <c r="JMV34" s="205"/>
      <c r="JMW34" s="205"/>
      <c r="JMX34" s="205"/>
      <c r="JMY34" s="205"/>
      <c r="JMZ34" s="205"/>
      <c r="JNA34" s="205"/>
      <c r="JNB34" s="205"/>
      <c r="JNC34" s="205"/>
      <c r="JND34" s="205"/>
      <c r="JNE34" s="205"/>
      <c r="JNF34" s="205"/>
      <c r="JNG34" s="205"/>
      <c r="JNH34" s="205"/>
      <c r="JNI34" s="205"/>
      <c r="JNJ34" s="205"/>
      <c r="JNK34" s="205"/>
      <c r="JNL34" s="205"/>
      <c r="JNM34" s="205"/>
      <c r="JNN34" s="205"/>
      <c r="JNO34" s="205"/>
      <c r="JNP34" s="205"/>
      <c r="JNQ34" s="205"/>
      <c r="JNR34" s="205"/>
      <c r="JNS34" s="205"/>
      <c r="JNT34" s="205"/>
      <c r="JNU34" s="205"/>
      <c r="JNV34" s="205"/>
      <c r="JNW34" s="205"/>
      <c r="JNX34" s="205"/>
      <c r="JNY34" s="205"/>
      <c r="JNZ34" s="205"/>
      <c r="JOA34" s="205"/>
      <c r="JOB34" s="205"/>
      <c r="JOC34" s="205"/>
      <c r="JOD34" s="205"/>
      <c r="JOE34" s="205"/>
      <c r="JOF34" s="205"/>
      <c r="JOG34" s="205"/>
      <c r="JOH34" s="205"/>
      <c r="JOI34" s="205"/>
      <c r="JOJ34" s="205"/>
      <c r="JOK34" s="205"/>
      <c r="JOL34" s="205"/>
      <c r="JOM34" s="205"/>
      <c r="JON34" s="205"/>
      <c r="JOO34" s="205"/>
      <c r="JOP34" s="205"/>
      <c r="JOQ34" s="205"/>
      <c r="JOR34" s="205"/>
      <c r="JOS34" s="205"/>
      <c r="JOT34" s="205"/>
      <c r="JOU34" s="205"/>
      <c r="JOV34" s="205"/>
      <c r="JOW34" s="205"/>
      <c r="JOX34" s="205"/>
      <c r="JOY34" s="205"/>
      <c r="JOZ34" s="205"/>
      <c r="JPA34" s="205"/>
      <c r="JPB34" s="205"/>
      <c r="JPC34" s="205"/>
      <c r="JPD34" s="205"/>
      <c r="JPE34" s="205"/>
      <c r="JPF34" s="205"/>
      <c r="JPG34" s="205"/>
      <c r="JPH34" s="205"/>
      <c r="JPI34" s="205"/>
      <c r="JPJ34" s="205"/>
      <c r="JPK34" s="205"/>
      <c r="JPL34" s="205"/>
      <c r="JPM34" s="205"/>
      <c r="JPN34" s="205"/>
      <c r="JPO34" s="205"/>
      <c r="JPP34" s="205"/>
      <c r="JPQ34" s="205"/>
      <c r="JPR34" s="205"/>
      <c r="JPS34" s="205"/>
      <c r="JPT34" s="205"/>
      <c r="JPU34" s="205"/>
      <c r="JPV34" s="205"/>
      <c r="JPW34" s="205"/>
      <c r="JPX34" s="205"/>
      <c r="JPY34" s="205"/>
      <c r="JPZ34" s="205"/>
      <c r="JQA34" s="205"/>
      <c r="JQB34" s="205"/>
      <c r="JQC34" s="205"/>
      <c r="JQD34" s="205"/>
      <c r="JQE34" s="205"/>
      <c r="JQF34" s="205"/>
      <c r="JQG34" s="205"/>
      <c r="JQH34" s="205"/>
      <c r="JQI34" s="205"/>
      <c r="JQJ34" s="205"/>
      <c r="JQK34" s="205"/>
      <c r="JQL34" s="205"/>
      <c r="JQM34" s="205"/>
      <c r="JQN34" s="205"/>
      <c r="JQO34" s="205"/>
      <c r="JQP34" s="205"/>
      <c r="JQQ34" s="205"/>
      <c r="JQR34" s="205"/>
      <c r="JQS34" s="205"/>
      <c r="JQT34" s="205"/>
      <c r="JQU34" s="205"/>
      <c r="JQV34" s="205"/>
      <c r="JQW34" s="205"/>
      <c r="JQX34" s="205"/>
      <c r="JQY34" s="205"/>
      <c r="JQZ34" s="205"/>
      <c r="JRA34" s="205"/>
      <c r="JRB34" s="205"/>
      <c r="JRC34" s="205"/>
      <c r="JRD34" s="205"/>
      <c r="JRE34" s="205"/>
      <c r="JRF34" s="205"/>
      <c r="JRG34" s="205"/>
      <c r="JRH34" s="205"/>
      <c r="JRI34" s="205"/>
      <c r="JRJ34" s="205"/>
      <c r="JRK34" s="205"/>
      <c r="JRL34" s="205"/>
      <c r="JRM34" s="205"/>
      <c r="JRN34" s="205"/>
      <c r="JRO34" s="205"/>
      <c r="JRP34" s="205"/>
      <c r="JRQ34" s="205"/>
      <c r="JRR34" s="205"/>
      <c r="JRS34" s="205"/>
      <c r="JRT34" s="205"/>
      <c r="JRU34" s="205"/>
      <c r="JRV34" s="205"/>
      <c r="JRW34" s="205"/>
      <c r="JRX34" s="205"/>
      <c r="JRY34" s="205"/>
      <c r="JRZ34" s="205"/>
      <c r="JSA34" s="205"/>
      <c r="JSB34" s="205"/>
      <c r="JSC34" s="205"/>
      <c r="JSD34" s="205"/>
      <c r="JSE34" s="205"/>
      <c r="JSF34" s="205"/>
      <c r="JSG34" s="205"/>
      <c r="JSH34" s="205"/>
      <c r="JSI34" s="205"/>
      <c r="JSJ34" s="205"/>
      <c r="JSK34" s="205"/>
      <c r="JSL34" s="205"/>
      <c r="JSM34" s="205"/>
      <c r="JSN34" s="205"/>
      <c r="JSO34" s="205"/>
      <c r="JSP34" s="205"/>
      <c r="JSQ34" s="205"/>
      <c r="JSR34" s="205"/>
      <c r="JSS34" s="205"/>
      <c r="JST34" s="205"/>
      <c r="JSU34" s="205"/>
      <c r="JSV34" s="205"/>
      <c r="JSW34" s="205"/>
      <c r="JSX34" s="205"/>
      <c r="JSY34" s="205"/>
      <c r="JSZ34" s="205"/>
      <c r="JTA34" s="205"/>
      <c r="JTB34" s="205"/>
      <c r="JTC34" s="205"/>
      <c r="JTD34" s="205"/>
      <c r="JTE34" s="205"/>
      <c r="JTF34" s="205"/>
      <c r="JTG34" s="205"/>
      <c r="JTH34" s="205"/>
      <c r="JTI34" s="205"/>
      <c r="JTJ34" s="205"/>
      <c r="JTK34" s="205"/>
      <c r="JTL34" s="205"/>
      <c r="JTM34" s="205"/>
      <c r="JTN34" s="205"/>
      <c r="JTO34" s="205"/>
      <c r="JTP34" s="205"/>
      <c r="JTQ34" s="205"/>
      <c r="JTR34" s="205"/>
      <c r="JTS34" s="205"/>
      <c r="JTT34" s="205"/>
      <c r="JTU34" s="205"/>
      <c r="JTV34" s="205"/>
      <c r="JTW34" s="205"/>
      <c r="JTX34" s="205"/>
      <c r="JTY34" s="205"/>
      <c r="JTZ34" s="205"/>
      <c r="JUA34" s="205"/>
      <c r="JUB34" s="205"/>
      <c r="JUC34" s="205"/>
      <c r="JUD34" s="205"/>
      <c r="JUE34" s="205"/>
      <c r="JUF34" s="205"/>
      <c r="JUG34" s="205"/>
      <c r="JUH34" s="205"/>
      <c r="JUI34" s="205"/>
      <c r="JUJ34" s="205"/>
      <c r="JUK34" s="205"/>
      <c r="JUL34" s="205"/>
      <c r="JUM34" s="205"/>
      <c r="JUN34" s="205"/>
      <c r="JUO34" s="205"/>
      <c r="JUP34" s="205"/>
      <c r="JUQ34" s="205"/>
      <c r="JUR34" s="205"/>
      <c r="JUS34" s="205"/>
      <c r="JUT34" s="205"/>
      <c r="JUU34" s="205"/>
      <c r="JUV34" s="205"/>
      <c r="JUW34" s="205"/>
      <c r="JUX34" s="205"/>
      <c r="JUY34" s="205"/>
      <c r="JUZ34" s="205"/>
      <c r="JVA34" s="205"/>
      <c r="JVB34" s="205"/>
      <c r="JVC34" s="205"/>
      <c r="JVD34" s="205"/>
      <c r="JVE34" s="205"/>
      <c r="JVF34" s="205"/>
      <c r="JVG34" s="205"/>
      <c r="JVH34" s="205"/>
      <c r="JVI34" s="205"/>
      <c r="JVJ34" s="205"/>
      <c r="JVK34" s="205"/>
      <c r="JVL34" s="205"/>
      <c r="JVM34" s="205"/>
      <c r="JVN34" s="205"/>
      <c r="JVO34" s="205"/>
      <c r="JVP34" s="205"/>
      <c r="JVQ34" s="205"/>
      <c r="JVR34" s="205"/>
      <c r="JVS34" s="205"/>
      <c r="JVT34" s="205"/>
      <c r="JVU34" s="205"/>
      <c r="JVV34" s="205"/>
      <c r="JVW34" s="205"/>
      <c r="JVX34" s="205"/>
      <c r="JVY34" s="205"/>
      <c r="JVZ34" s="205"/>
      <c r="JWA34" s="205"/>
      <c r="JWB34" s="205"/>
      <c r="JWC34" s="205"/>
      <c r="JWD34" s="205"/>
      <c r="JWE34" s="205"/>
      <c r="JWF34" s="205"/>
      <c r="JWG34" s="205"/>
      <c r="JWH34" s="205"/>
      <c r="JWI34" s="205"/>
      <c r="JWJ34" s="205"/>
      <c r="JWK34" s="205"/>
      <c r="JWL34" s="205"/>
      <c r="JWM34" s="205"/>
      <c r="JWN34" s="205"/>
      <c r="JWO34" s="205"/>
      <c r="JWP34" s="205"/>
      <c r="JWQ34" s="205"/>
      <c r="JWR34" s="205"/>
      <c r="JWS34" s="205"/>
      <c r="JWT34" s="205"/>
      <c r="JWU34" s="205"/>
      <c r="JWV34" s="205"/>
      <c r="JWW34" s="205"/>
      <c r="JWX34" s="205"/>
      <c r="JWY34" s="205"/>
      <c r="JWZ34" s="205"/>
      <c r="JXA34" s="205"/>
      <c r="JXB34" s="205"/>
      <c r="JXC34" s="205"/>
      <c r="JXD34" s="205"/>
      <c r="JXE34" s="205"/>
      <c r="JXF34" s="205"/>
      <c r="JXG34" s="205"/>
      <c r="JXH34" s="205"/>
      <c r="JXI34" s="205"/>
      <c r="JXJ34" s="205"/>
      <c r="JXK34" s="205"/>
      <c r="JXL34" s="205"/>
      <c r="JXM34" s="205"/>
      <c r="JXN34" s="205"/>
      <c r="JXO34" s="205"/>
      <c r="JXP34" s="205"/>
      <c r="JXQ34" s="205"/>
      <c r="JXR34" s="205"/>
      <c r="JXS34" s="205"/>
      <c r="JXT34" s="205"/>
      <c r="JXU34" s="205"/>
      <c r="JXV34" s="205"/>
      <c r="JXW34" s="205"/>
      <c r="JXX34" s="205"/>
      <c r="JXY34" s="205"/>
      <c r="JXZ34" s="205"/>
      <c r="JYA34" s="205"/>
      <c r="JYB34" s="205"/>
      <c r="JYC34" s="205"/>
      <c r="JYD34" s="205"/>
      <c r="JYE34" s="205"/>
      <c r="JYF34" s="205"/>
      <c r="JYG34" s="205"/>
      <c r="JYH34" s="205"/>
      <c r="JYI34" s="205"/>
      <c r="JYJ34" s="205"/>
      <c r="JYK34" s="205"/>
      <c r="JYL34" s="205"/>
      <c r="JYM34" s="205"/>
      <c r="JYN34" s="205"/>
      <c r="JYO34" s="205"/>
      <c r="JYP34" s="205"/>
      <c r="JYQ34" s="205"/>
      <c r="JYR34" s="205"/>
      <c r="JYS34" s="205"/>
      <c r="JYT34" s="205"/>
      <c r="JYU34" s="205"/>
      <c r="JYV34" s="205"/>
      <c r="JYW34" s="205"/>
      <c r="JYX34" s="205"/>
      <c r="JYY34" s="205"/>
      <c r="JYZ34" s="205"/>
      <c r="JZA34" s="205"/>
      <c r="JZB34" s="205"/>
      <c r="JZC34" s="205"/>
      <c r="JZD34" s="205"/>
      <c r="JZE34" s="205"/>
      <c r="JZF34" s="205"/>
      <c r="JZG34" s="205"/>
      <c r="JZH34" s="205"/>
      <c r="JZI34" s="205"/>
      <c r="JZJ34" s="205"/>
      <c r="JZK34" s="205"/>
      <c r="JZL34" s="205"/>
      <c r="JZM34" s="205"/>
      <c r="JZN34" s="205"/>
      <c r="JZO34" s="205"/>
      <c r="JZP34" s="205"/>
      <c r="JZQ34" s="205"/>
      <c r="JZR34" s="205"/>
      <c r="JZS34" s="205"/>
      <c r="JZT34" s="205"/>
      <c r="JZU34" s="205"/>
      <c r="JZV34" s="205"/>
      <c r="JZW34" s="205"/>
      <c r="JZX34" s="205"/>
      <c r="JZY34" s="205"/>
      <c r="JZZ34" s="205"/>
      <c r="KAA34" s="205"/>
      <c r="KAB34" s="205"/>
      <c r="KAC34" s="205"/>
      <c r="KAD34" s="205"/>
      <c r="KAE34" s="205"/>
      <c r="KAF34" s="205"/>
      <c r="KAG34" s="205"/>
      <c r="KAH34" s="205"/>
      <c r="KAI34" s="205"/>
      <c r="KAJ34" s="205"/>
      <c r="KAK34" s="205"/>
      <c r="KAL34" s="205"/>
      <c r="KAM34" s="205"/>
      <c r="KAN34" s="205"/>
      <c r="KAO34" s="205"/>
      <c r="KAP34" s="205"/>
      <c r="KAQ34" s="205"/>
      <c r="KAR34" s="205"/>
      <c r="KAS34" s="205"/>
      <c r="KAT34" s="205"/>
      <c r="KAU34" s="205"/>
      <c r="KAV34" s="205"/>
      <c r="KAW34" s="205"/>
      <c r="KAX34" s="205"/>
      <c r="KAY34" s="205"/>
      <c r="KAZ34" s="205"/>
      <c r="KBA34" s="205"/>
      <c r="KBB34" s="205"/>
      <c r="KBC34" s="205"/>
      <c r="KBD34" s="205"/>
      <c r="KBE34" s="205"/>
      <c r="KBF34" s="205"/>
      <c r="KBG34" s="205"/>
      <c r="KBH34" s="205"/>
      <c r="KBI34" s="205"/>
      <c r="KBJ34" s="205"/>
      <c r="KBK34" s="205"/>
      <c r="KBL34" s="205"/>
      <c r="KBM34" s="205"/>
      <c r="KBN34" s="205"/>
      <c r="KBO34" s="205"/>
      <c r="KBP34" s="205"/>
      <c r="KBQ34" s="205"/>
      <c r="KBR34" s="205"/>
      <c r="KBS34" s="205"/>
      <c r="KBT34" s="205"/>
      <c r="KBU34" s="205"/>
      <c r="KBV34" s="205"/>
      <c r="KBW34" s="205"/>
      <c r="KBX34" s="205"/>
      <c r="KBY34" s="205"/>
      <c r="KBZ34" s="205"/>
      <c r="KCA34" s="205"/>
      <c r="KCB34" s="205"/>
      <c r="KCC34" s="205"/>
      <c r="KCD34" s="205"/>
      <c r="KCE34" s="205"/>
      <c r="KCF34" s="205"/>
      <c r="KCG34" s="205"/>
      <c r="KCH34" s="205"/>
      <c r="KCI34" s="205"/>
      <c r="KCJ34" s="205"/>
      <c r="KCK34" s="205"/>
      <c r="KCL34" s="205"/>
      <c r="KCM34" s="205"/>
      <c r="KCN34" s="205"/>
      <c r="KCO34" s="205"/>
      <c r="KCP34" s="205"/>
      <c r="KCQ34" s="205"/>
      <c r="KCR34" s="205"/>
      <c r="KCS34" s="205"/>
      <c r="KCT34" s="205"/>
      <c r="KCU34" s="205"/>
      <c r="KCV34" s="205"/>
      <c r="KCW34" s="205"/>
      <c r="KCX34" s="205"/>
      <c r="KCY34" s="205"/>
      <c r="KCZ34" s="205"/>
      <c r="KDA34" s="205"/>
      <c r="KDB34" s="205"/>
      <c r="KDC34" s="205"/>
      <c r="KDD34" s="205"/>
      <c r="KDE34" s="205"/>
      <c r="KDF34" s="205"/>
      <c r="KDG34" s="205"/>
      <c r="KDH34" s="205"/>
      <c r="KDI34" s="205"/>
      <c r="KDJ34" s="205"/>
      <c r="KDK34" s="205"/>
      <c r="KDL34" s="205"/>
      <c r="KDM34" s="205"/>
      <c r="KDN34" s="205"/>
      <c r="KDO34" s="205"/>
      <c r="KDP34" s="205"/>
      <c r="KDQ34" s="205"/>
      <c r="KDR34" s="205"/>
      <c r="KDS34" s="205"/>
      <c r="KDT34" s="205"/>
      <c r="KDU34" s="205"/>
      <c r="KDV34" s="205"/>
      <c r="KDW34" s="205"/>
      <c r="KDX34" s="205"/>
      <c r="KDY34" s="205"/>
      <c r="KDZ34" s="205"/>
      <c r="KEA34" s="205"/>
      <c r="KEB34" s="205"/>
      <c r="KEC34" s="205"/>
      <c r="KED34" s="205"/>
      <c r="KEE34" s="205"/>
      <c r="KEF34" s="205"/>
      <c r="KEG34" s="205"/>
      <c r="KEH34" s="205"/>
      <c r="KEI34" s="205"/>
      <c r="KEJ34" s="205"/>
      <c r="KEK34" s="205"/>
      <c r="KEL34" s="205"/>
      <c r="KEM34" s="205"/>
      <c r="KEN34" s="205"/>
      <c r="KEO34" s="205"/>
      <c r="KEP34" s="205"/>
      <c r="KEQ34" s="205"/>
      <c r="KER34" s="205"/>
      <c r="KES34" s="205"/>
      <c r="KET34" s="205"/>
      <c r="KEU34" s="205"/>
      <c r="KEV34" s="205"/>
      <c r="KEW34" s="205"/>
      <c r="KEX34" s="205"/>
      <c r="KEY34" s="205"/>
      <c r="KEZ34" s="205"/>
      <c r="KFA34" s="205"/>
      <c r="KFB34" s="205"/>
      <c r="KFC34" s="205"/>
      <c r="KFD34" s="205"/>
      <c r="KFE34" s="205"/>
      <c r="KFF34" s="205"/>
      <c r="KFG34" s="205"/>
      <c r="KFH34" s="205"/>
      <c r="KFI34" s="205"/>
      <c r="KFJ34" s="205"/>
      <c r="KFK34" s="205"/>
      <c r="KFL34" s="205"/>
      <c r="KFM34" s="205"/>
      <c r="KFN34" s="205"/>
      <c r="KFO34" s="205"/>
      <c r="KFP34" s="205"/>
      <c r="KFQ34" s="205"/>
      <c r="KFR34" s="205"/>
      <c r="KFS34" s="205"/>
      <c r="KFT34" s="205"/>
      <c r="KFU34" s="205"/>
      <c r="KFV34" s="205"/>
      <c r="KFW34" s="205"/>
      <c r="KFX34" s="205"/>
      <c r="KFY34" s="205"/>
      <c r="KFZ34" s="205"/>
      <c r="KGA34" s="205"/>
      <c r="KGB34" s="205"/>
      <c r="KGC34" s="205"/>
      <c r="KGD34" s="205"/>
      <c r="KGE34" s="205"/>
      <c r="KGF34" s="205"/>
      <c r="KGG34" s="205"/>
      <c r="KGH34" s="205"/>
      <c r="KGI34" s="205"/>
      <c r="KGJ34" s="205"/>
      <c r="KGK34" s="205"/>
      <c r="KGL34" s="205"/>
      <c r="KGM34" s="205"/>
      <c r="KGN34" s="205"/>
      <c r="KGO34" s="205"/>
      <c r="KGP34" s="205"/>
      <c r="KGQ34" s="205"/>
      <c r="KGR34" s="205"/>
      <c r="KGS34" s="205"/>
      <c r="KGT34" s="205"/>
      <c r="KGU34" s="205"/>
      <c r="KGV34" s="205"/>
      <c r="KGW34" s="205"/>
      <c r="KGX34" s="205"/>
      <c r="KGY34" s="205"/>
      <c r="KGZ34" s="205"/>
      <c r="KHA34" s="205"/>
      <c r="KHB34" s="205"/>
      <c r="KHC34" s="205"/>
      <c r="KHD34" s="205"/>
      <c r="KHE34" s="205"/>
      <c r="KHF34" s="205"/>
      <c r="KHG34" s="205"/>
      <c r="KHH34" s="205"/>
      <c r="KHI34" s="205"/>
      <c r="KHJ34" s="205"/>
      <c r="KHK34" s="205"/>
      <c r="KHL34" s="205"/>
      <c r="KHM34" s="205"/>
      <c r="KHN34" s="205"/>
      <c r="KHO34" s="205"/>
      <c r="KHP34" s="205"/>
      <c r="KHQ34" s="205"/>
      <c r="KHR34" s="205"/>
      <c r="KHS34" s="205"/>
      <c r="KHT34" s="205"/>
      <c r="KHU34" s="205"/>
      <c r="KHV34" s="205"/>
      <c r="KHW34" s="205"/>
      <c r="KHX34" s="205"/>
      <c r="KHY34" s="205"/>
      <c r="KHZ34" s="205"/>
      <c r="KIA34" s="205"/>
      <c r="KIB34" s="205"/>
      <c r="KIC34" s="205"/>
      <c r="KID34" s="205"/>
      <c r="KIE34" s="205"/>
      <c r="KIF34" s="205"/>
      <c r="KIG34" s="205"/>
      <c r="KIH34" s="205"/>
      <c r="KII34" s="205"/>
      <c r="KIJ34" s="205"/>
      <c r="KIK34" s="205"/>
      <c r="KIL34" s="205"/>
      <c r="KIM34" s="205"/>
      <c r="KIN34" s="205"/>
      <c r="KIO34" s="205"/>
      <c r="KIP34" s="205"/>
      <c r="KIQ34" s="205"/>
      <c r="KIR34" s="205"/>
      <c r="KIS34" s="205"/>
      <c r="KIT34" s="205"/>
      <c r="KIU34" s="205"/>
      <c r="KIV34" s="205"/>
      <c r="KIW34" s="205"/>
      <c r="KIX34" s="205"/>
      <c r="KIY34" s="205"/>
      <c r="KIZ34" s="205"/>
      <c r="KJA34" s="205"/>
      <c r="KJB34" s="205"/>
      <c r="KJC34" s="205"/>
      <c r="KJD34" s="205"/>
      <c r="KJE34" s="205"/>
      <c r="KJF34" s="205"/>
      <c r="KJG34" s="205"/>
      <c r="KJH34" s="205"/>
      <c r="KJI34" s="205"/>
      <c r="KJJ34" s="205"/>
      <c r="KJK34" s="205"/>
      <c r="KJL34" s="205"/>
      <c r="KJM34" s="205"/>
      <c r="KJN34" s="205"/>
      <c r="KJO34" s="205"/>
      <c r="KJP34" s="205"/>
      <c r="KJQ34" s="205"/>
      <c r="KJR34" s="205"/>
      <c r="KJS34" s="205"/>
      <c r="KJT34" s="205"/>
      <c r="KJU34" s="205"/>
      <c r="KJV34" s="205"/>
      <c r="KJW34" s="205"/>
      <c r="KJX34" s="205"/>
      <c r="KJY34" s="205"/>
      <c r="KJZ34" s="205"/>
      <c r="KKA34" s="205"/>
      <c r="KKB34" s="205"/>
      <c r="KKC34" s="205"/>
      <c r="KKD34" s="205"/>
      <c r="KKE34" s="205"/>
      <c r="KKF34" s="205"/>
      <c r="KKG34" s="205"/>
      <c r="KKH34" s="205"/>
      <c r="KKI34" s="205"/>
      <c r="KKJ34" s="205"/>
      <c r="KKK34" s="205"/>
      <c r="KKL34" s="205"/>
      <c r="KKM34" s="205"/>
      <c r="KKN34" s="205"/>
      <c r="KKO34" s="205"/>
      <c r="KKP34" s="205"/>
      <c r="KKQ34" s="205"/>
      <c r="KKR34" s="205"/>
      <c r="KKS34" s="205"/>
      <c r="KKT34" s="205"/>
      <c r="KKU34" s="205"/>
      <c r="KKV34" s="205"/>
      <c r="KKW34" s="205"/>
      <c r="KKX34" s="205"/>
      <c r="KKY34" s="205"/>
      <c r="KKZ34" s="205"/>
      <c r="KLA34" s="205"/>
      <c r="KLB34" s="205"/>
      <c r="KLC34" s="205"/>
      <c r="KLD34" s="205"/>
      <c r="KLE34" s="205"/>
      <c r="KLF34" s="205"/>
      <c r="KLG34" s="205"/>
      <c r="KLH34" s="205"/>
      <c r="KLI34" s="205"/>
      <c r="KLJ34" s="205"/>
      <c r="KLK34" s="205"/>
      <c r="KLL34" s="205"/>
      <c r="KLM34" s="205"/>
      <c r="KLN34" s="205"/>
      <c r="KLO34" s="205"/>
      <c r="KLP34" s="205"/>
      <c r="KLQ34" s="205"/>
      <c r="KLR34" s="205"/>
      <c r="KLS34" s="205"/>
      <c r="KLT34" s="205"/>
      <c r="KLU34" s="205"/>
      <c r="KLV34" s="205"/>
      <c r="KLW34" s="205"/>
      <c r="KLX34" s="205"/>
      <c r="KLY34" s="205"/>
      <c r="KLZ34" s="205"/>
      <c r="KMA34" s="205"/>
      <c r="KMB34" s="205"/>
      <c r="KMC34" s="205"/>
      <c r="KMD34" s="205"/>
      <c r="KME34" s="205"/>
      <c r="KMF34" s="205"/>
      <c r="KMG34" s="205"/>
      <c r="KMH34" s="205"/>
      <c r="KMI34" s="205"/>
      <c r="KMJ34" s="205"/>
      <c r="KMK34" s="205"/>
      <c r="KML34" s="205"/>
      <c r="KMM34" s="205"/>
      <c r="KMN34" s="205"/>
      <c r="KMO34" s="205"/>
      <c r="KMP34" s="205"/>
      <c r="KMQ34" s="205"/>
      <c r="KMR34" s="205"/>
      <c r="KMS34" s="205"/>
      <c r="KMT34" s="205"/>
      <c r="KMU34" s="205"/>
      <c r="KMV34" s="205"/>
      <c r="KMW34" s="205"/>
      <c r="KMX34" s="205"/>
      <c r="KMY34" s="205"/>
      <c r="KMZ34" s="205"/>
      <c r="KNA34" s="205"/>
      <c r="KNB34" s="205"/>
      <c r="KNC34" s="205"/>
      <c r="KND34" s="205"/>
      <c r="KNE34" s="205"/>
      <c r="KNF34" s="205"/>
      <c r="KNG34" s="205"/>
      <c r="KNH34" s="205"/>
      <c r="KNI34" s="205"/>
      <c r="KNJ34" s="205"/>
      <c r="KNK34" s="205"/>
      <c r="KNL34" s="205"/>
      <c r="KNM34" s="205"/>
      <c r="KNN34" s="205"/>
      <c r="KNO34" s="205"/>
      <c r="KNP34" s="205"/>
      <c r="KNQ34" s="205"/>
      <c r="KNR34" s="205"/>
      <c r="KNS34" s="205"/>
      <c r="KNT34" s="205"/>
      <c r="KNU34" s="205"/>
      <c r="KNV34" s="205"/>
      <c r="KNW34" s="205"/>
      <c r="KNX34" s="205"/>
      <c r="KNY34" s="205"/>
      <c r="KNZ34" s="205"/>
      <c r="KOA34" s="205"/>
      <c r="KOB34" s="205"/>
      <c r="KOC34" s="205"/>
      <c r="KOD34" s="205"/>
      <c r="KOE34" s="205"/>
      <c r="KOF34" s="205"/>
      <c r="KOG34" s="205"/>
      <c r="KOH34" s="205"/>
      <c r="KOI34" s="205"/>
      <c r="KOJ34" s="205"/>
      <c r="KOK34" s="205"/>
      <c r="KOL34" s="205"/>
      <c r="KOM34" s="205"/>
      <c r="KON34" s="205"/>
      <c r="KOO34" s="205"/>
      <c r="KOP34" s="205"/>
      <c r="KOQ34" s="205"/>
      <c r="KOR34" s="205"/>
      <c r="KOS34" s="205"/>
      <c r="KOT34" s="205"/>
      <c r="KOU34" s="205"/>
      <c r="KOV34" s="205"/>
      <c r="KOW34" s="205"/>
      <c r="KOX34" s="205"/>
      <c r="KOY34" s="205"/>
      <c r="KOZ34" s="205"/>
      <c r="KPA34" s="205"/>
      <c r="KPB34" s="205"/>
      <c r="KPC34" s="205"/>
      <c r="KPD34" s="205"/>
      <c r="KPE34" s="205"/>
      <c r="KPF34" s="205"/>
      <c r="KPG34" s="205"/>
      <c r="KPH34" s="205"/>
      <c r="KPI34" s="205"/>
      <c r="KPJ34" s="205"/>
      <c r="KPK34" s="205"/>
      <c r="KPL34" s="205"/>
      <c r="KPM34" s="205"/>
      <c r="KPN34" s="205"/>
      <c r="KPO34" s="205"/>
      <c r="KPP34" s="205"/>
      <c r="KPQ34" s="205"/>
      <c r="KPR34" s="205"/>
      <c r="KPS34" s="205"/>
      <c r="KPT34" s="205"/>
      <c r="KPU34" s="205"/>
      <c r="KPV34" s="205"/>
      <c r="KPW34" s="205"/>
      <c r="KPX34" s="205"/>
      <c r="KPY34" s="205"/>
      <c r="KPZ34" s="205"/>
      <c r="KQA34" s="205"/>
      <c r="KQB34" s="205"/>
      <c r="KQC34" s="205"/>
      <c r="KQD34" s="205"/>
      <c r="KQE34" s="205"/>
      <c r="KQF34" s="205"/>
      <c r="KQG34" s="205"/>
      <c r="KQH34" s="205"/>
      <c r="KQI34" s="205"/>
      <c r="KQJ34" s="205"/>
      <c r="KQK34" s="205"/>
      <c r="KQL34" s="205"/>
      <c r="KQM34" s="205"/>
      <c r="KQN34" s="205"/>
      <c r="KQO34" s="205"/>
      <c r="KQP34" s="205"/>
      <c r="KQQ34" s="205"/>
      <c r="KQR34" s="205"/>
      <c r="KQS34" s="205"/>
      <c r="KQT34" s="205"/>
      <c r="KQU34" s="205"/>
      <c r="KQV34" s="205"/>
      <c r="KQW34" s="205"/>
      <c r="KQX34" s="205"/>
      <c r="KQY34" s="205"/>
      <c r="KQZ34" s="205"/>
      <c r="KRA34" s="205"/>
      <c r="KRB34" s="205"/>
      <c r="KRC34" s="205"/>
      <c r="KRD34" s="205"/>
      <c r="KRE34" s="205"/>
      <c r="KRF34" s="205"/>
      <c r="KRG34" s="205"/>
      <c r="KRH34" s="205"/>
      <c r="KRI34" s="205"/>
      <c r="KRJ34" s="205"/>
      <c r="KRK34" s="205"/>
      <c r="KRL34" s="205"/>
      <c r="KRM34" s="205"/>
      <c r="KRN34" s="205"/>
    </row>
    <row r="35" spans="1:7918" s="248" customFormat="1">
      <c r="A35" s="26" t="e">
        <f t="shared" si="0"/>
        <v>#REF!</v>
      </c>
      <c r="B35" s="406" t="s">
        <v>635</v>
      </c>
      <c r="C35" s="368" t="s">
        <v>652</v>
      </c>
      <c r="D35" s="406" t="s">
        <v>635</v>
      </c>
      <c r="E35" s="244" t="str">
        <f>VLOOKUP(B35,distribucion!B$9:FK$227,2,0)</f>
        <v>Empacadora</v>
      </c>
      <c r="F35" s="221">
        <f>VLOOKUP($B35,'Nomina Unhesa'!$B$4:$AB$209,4,0)</f>
        <v>0</v>
      </c>
      <c r="G35" s="229">
        <f>VLOOKUP($B35,'Nomina Unhesa'!$B$4:$AB$209,6,0)</f>
        <v>0</v>
      </c>
      <c r="H35" s="229">
        <f>VLOOKUP($B35,'Nomina Unhesa'!$B$4:$AB$209,7,0)</f>
        <v>0</v>
      </c>
      <c r="I35" s="229">
        <f>VLOOKUP($B35,'Nomina Unhesa'!$B$4:$AB$209,9,0)</f>
        <v>0</v>
      </c>
      <c r="J35" s="234">
        <f>VLOOKUP($B35,'Nomina Unhesa'!$B$4:$AB$209,10,0)</f>
        <v>0</v>
      </c>
      <c r="K35" s="229">
        <f>VLOOKUP($B35,'Nomina Unhesa'!$B$4:$AB$209,11,0)</f>
        <v>0</v>
      </c>
      <c r="L35" s="229">
        <f>VLOOKUP($B35,'Nomina Unhesa'!$B$4:$AB$209,12,0)</f>
        <v>0</v>
      </c>
      <c r="M35" s="229">
        <f>VLOOKUP($B35,'Nomina Unhesa'!$B$4:$AB$209,14,0)</f>
        <v>0</v>
      </c>
      <c r="N35" s="234">
        <f>VLOOKUP($B35,'Nomina Unhesa'!$B$4:$AB$209,15,0)</f>
        <v>0</v>
      </c>
      <c r="O35" s="234">
        <f>VLOOKUP($B35,'Nomina Unhesa'!$B$4:$AB$209,16,0)</f>
        <v>0</v>
      </c>
      <c r="P35" s="234">
        <f>VLOOKUP($B35,'Nomina Unhesa'!$B$4:$AB$209,17,0)</f>
        <v>0</v>
      </c>
      <c r="Q35" s="234">
        <f>VLOOKUP($B35,'Nomina Unhesa'!$B$4:$AB$209,18,0)</f>
        <v>0</v>
      </c>
      <c r="R35" s="234">
        <f>VLOOKUP($B35,'Nomina Unhesa'!$B$4:$AB$209,19,0)</f>
        <v>0</v>
      </c>
      <c r="S35" s="234">
        <f>VLOOKUP($B35,'Nomina Unhesa'!$B$4:$AB$209,20,0)</f>
        <v>0</v>
      </c>
      <c r="T35" s="234">
        <f>VLOOKUP($B35,'Nomina Unhesa'!$B$4:$AB$209,21,0)</f>
        <v>0</v>
      </c>
      <c r="U35" s="234">
        <f>VLOOKUP($B35,'Nomina Unhesa'!$B$4:$AB$209,22,0)</f>
        <v>0</v>
      </c>
      <c r="V35" s="234">
        <f>ROUND((VLOOKUP($B35,'Nomina Unhesa'!$B$4:$AB$209,23,0)),2)</f>
        <v>0</v>
      </c>
      <c r="W35" s="234">
        <f>VLOOKUP($B35,'Nomina Unhesa'!$B$4:$AB$209,24,0)</f>
        <v>0</v>
      </c>
      <c r="X35" s="234">
        <f>VLOOKUP(B35,'Nomina Unhesa'!$B$9:$Z$163,25,FALSE)</f>
        <v>0</v>
      </c>
      <c r="Y35" s="234">
        <f>ROUND((VLOOKUP(B35,'Nomina Unhesa'!$B$9:$AB$157,26,FALSE)),2)</f>
        <v>0</v>
      </c>
      <c r="Z35" s="400">
        <f>VLOOKUP(B35,'Nomina Unhesa'!$B$9:$AB$158,27,FALSE)</f>
        <v>0</v>
      </c>
      <c r="AA35" s="441"/>
      <c r="AB35" s="389"/>
      <c r="AC35" s="205"/>
      <c r="AD35" s="205"/>
      <c r="AE35" s="205"/>
      <c r="AF35" s="205"/>
      <c r="AG35" s="205"/>
      <c r="AH35" s="205"/>
      <c r="AI35" s="205"/>
      <c r="AJ35" s="205"/>
      <c r="AK35" s="205"/>
      <c r="AL35" s="205"/>
      <c r="AM35" s="205"/>
      <c r="AN35" s="205"/>
      <c r="AO35" s="205"/>
      <c r="AP35" s="205"/>
      <c r="AQ35" s="205"/>
      <c r="AR35" s="205"/>
      <c r="AS35" s="205"/>
      <c r="AT35" s="205"/>
      <c r="AU35" s="205"/>
      <c r="AV35" s="205"/>
      <c r="AW35" s="205"/>
      <c r="AX35" s="205"/>
      <c r="AY35" s="205"/>
      <c r="AZ35" s="205"/>
      <c r="BA35" s="205"/>
      <c r="BB35" s="205"/>
      <c r="BC35" s="205"/>
      <c r="BD35" s="205"/>
      <c r="BE35" s="205"/>
      <c r="BF35" s="205"/>
      <c r="BG35" s="205"/>
      <c r="BH35" s="205"/>
      <c r="BI35" s="205"/>
      <c r="BJ35" s="205"/>
      <c r="BK35" s="205"/>
      <c r="BL35" s="205"/>
      <c r="BM35" s="205"/>
      <c r="BN35" s="205"/>
      <c r="BO35" s="205"/>
      <c r="BP35" s="205"/>
      <c r="BQ35" s="205"/>
      <c r="BR35" s="205"/>
      <c r="BS35" s="205"/>
      <c r="BT35" s="205"/>
      <c r="BU35" s="205"/>
      <c r="BV35" s="205"/>
      <c r="BW35" s="205"/>
      <c r="BX35" s="205"/>
      <c r="BY35" s="205"/>
      <c r="BZ35" s="205"/>
      <c r="CA35" s="205"/>
      <c r="CB35" s="205"/>
      <c r="CC35" s="205"/>
      <c r="CD35" s="205"/>
      <c r="CE35" s="205"/>
      <c r="CF35" s="205"/>
      <c r="CG35" s="205"/>
      <c r="CH35" s="205"/>
      <c r="CI35" s="205"/>
      <c r="CJ35" s="205"/>
      <c r="CK35" s="205"/>
      <c r="CL35" s="205"/>
      <c r="CM35" s="205"/>
      <c r="CN35" s="205"/>
      <c r="CO35" s="205"/>
      <c r="CP35" s="205"/>
      <c r="CQ35" s="205"/>
      <c r="CR35" s="205"/>
      <c r="CS35" s="205"/>
      <c r="CT35" s="205"/>
      <c r="CU35" s="205"/>
      <c r="CV35" s="205"/>
      <c r="CW35" s="205"/>
      <c r="CX35" s="205"/>
      <c r="CY35" s="205"/>
      <c r="CZ35" s="205"/>
      <c r="DA35" s="205"/>
      <c r="DB35" s="205"/>
      <c r="DC35" s="205"/>
      <c r="DD35" s="205"/>
      <c r="DE35" s="205"/>
      <c r="DF35" s="205"/>
      <c r="DG35" s="205"/>
      <c r="DH35" s="205"/>
      <c r="DI35" s="205"/>
      <c r="DJ35" s="205"/>
      <c r="DK35" s="205"/>
      <c r="DL35" s="205"/>
      <c r="DM35" s="205"/>
      <c r="DN35" s="205"/>
      <c r="DO35" s="205"/>
      <c r="DP35" s="205"/>
      <c r="DQ35" s="205"/>
      <c r="DR35" s="205"/>
      <c r="DS35" s="205"/>
      <c r="DT35" s="205"/>
      <c r="DU35" s="205"/>
      <c r="DV35" s="205"/>
      <c r="DW35" s="205"/>
      <c r="DX35" s="205"/>
      <c r="DY35" s="205"/>
      <c r="DZ35" s="205"/>
      <c r="EA35" s="205"/>
      <c r="EB35" s="205"/>
      <c r="EC35" s="205"/>
      <c r="ED35" s="205"/>
      <c r="EE35" s="205"/>
      <c r="EF35" s="205"/>
      <c r="EG35" s="205"/>
      <c r="EH35" s="205"/>
      <c r="EI35" s="205"/>
      <c r="EJ35" s="205"/>
      <c r="EK35" s="205"/>
      <c r="EL35" s="205"/>
      <c r="EM35" s="205"/>
      <c r="EN35" s="205"/>
      <c r="EO35" s="205"/>
      <c r="EP35" s="205"/>
      <c r="EQ35" s="205"/>
      <c r="ER35" s="205"/>
      <c r="ES35" s="205"/>
      <c r="ET35" s="205"/>
      <c r="EU35" s="205"/>
      <c r="EV35" s="205"/>
      <c r="EW35" s="205"/>
      <c r="EX35" s="205"/>
      <c r="EY35" s="205"/>
      <c r="EZ35" s="205"/>
      <c r="FA35" s="205"/>
      <c r="FB35" s="205"/>
      <c r="FC35" s="205"/>
      <c r="FD35" s="205"/>
      <c r="FE35" s="205"/>
      <c r="FF35" s="205"/>
      <c r="FG35" s="205"/>
      <c r="FH35" s="205"/>
      <c r="FI35" s="205"/>
      <c r="FJ35" s="205"/>
      <c r="FK35" s="205"/>
      <c r="FL35" s="205"/>
      <c r="FM35" s="205"/>
      <c r="FN35" s="205"/>
      <c r="FO35" s="205"/>
      <c r="FP35" s="205"/>
      <c r="FQ35" s="205"/>
      <c r="FR35" s="205"/>
      <c r="FS35" s="205"/>
      <c r="FT35" s="205"/>
      <c r="FU35" s="205"/>
      <c r="FV35" s="205"/>
      <c r="FW35" s="205"/>
      <c r="FX35" s="205"/>
      <c r="FY35" s="205"/>
      <c r="FZ35" s="205"/>
      <c r="GA35" s="205"/>
      <c r="GB35" s="205"/>
      <c r="GC35" s="205"/>
      <c r="GD35" s="205"/>
      <c r="GE35" s="205"/>
      <c r="GF35" s="205"/>
      <c r="GG35" s="205"/>
      <c r="GH35" s="205"/>
      <c r="GI35" s="205"/>
      <c r="GJ35" s="205"/>
      <c r="GK35" s="205"/>
      <c r="GL35" s="205"/>
      <c r="GM35" s="205"/>
      <c r="GN35" s="205"/>
      <c r="GO35" s="205"/>
      <c r="GP35" s="205"/>
      <c r="GQ35" s="205"/>
      <c r="GR35" s="205"/>
      <c r="GS35" s="205"/>
      <c r="GT35" s="205"/>
      <c r="GU35" s="205"/>
      <c r="GV35" s="205"/>
      <c r="GW35" s="205"/>
      <c r="GX35" s="205"/>
      <c r="GY35" s="205"/>
      <c r="GZ35" s="205"/>
      <c r="HA35" s="205"/>
      <c r="HB35" s="205"/>
      <c r="HC35" s="205"/>
      <c r="HD35" s="205"/>
      <c r="HE35" s="205"/>
      <c r="HF35" s="205"/>
      <c r="HG35" s="205"/>
      <c r="HH35" s="205"/>
      <c r="HI35" s="205"/>
      <c r="HJ35" s="205"/>
      <c r="HK35" s="205"/>
      <c r="HL35" s="205"/>
      <c r="HM35" s="205"/>
      <c r="HN35" s="205"/>
      <c r="HO35" s="205"/>
      <c r="HP35" s="205"/>
      <c r="HQ35" s="205"/>
      <c r="HR35" s="205"/>
      <c r="HS35" s="205"/>
      <c r="HT35" s="205"/>
      <c r="HU35" s="205"/>
      <c r="HV35" s="205"/>
      <c r="HW35" s="205"/>
      <c r="HX35" s="205"/>
      <c r="HY35" s="205"/>
      <c r="HZ35" s="205"/>
      <c r="IA35" s="205"/>
      <c r="IB35" s="205"/>
      <c r="IC35" s="205"/>
      <c r="ID35" s="205"/>
      <c r="IE35" s="205"/>
      <c r="IF35" s="205"/>
      <c r="IG35" s="205"/>
      <c r="IH35" s="205"/>
      <c r="II35" s="205"/>
      <c r="IJ35" s="205"/>
      <c r="IK35" s="205"/>
      <c r="IL35" s="205"/>
      <c r="IM35" s="205"/>
      <c r="IN35" s="205"/>
      <c r="IO35" s="205"/>
      <c r="IP35" s="205"/>
      <c r="IQ35" s="205"/>
      <c r="IR35" s="205"/>
      <c r="IS35" s="205"/>
      <c r="IT35" s="205"/>
      <c r="IU35" s="205"/>
      <c r="IV35" s="205"/>
      <c r="IW35" s="205"/>
      <c r="IX35" s="205"/>
      <c r="IY35" s="205"/>
      <c r="IZ35" s="205"/>
      <c r="JA35" s="205"/>
      <c r="JB35" s="205"/>
      <c r="JC35" s="205"/>
      <c r="JD35" s="205"/>
      <c r="JE35" s="205"/>
      <c r="JF35" s="205"/>
      <c r="JG35" s="205"/>
      <c r="JH35" s="205"/>
      <c r="JI35" s="205"/>
      <c r="JJ35" s="205"/>
      <c r="JK35" s="205"/>
      <c r="JL35" s="205"/>
      <c r="JM35" s="205"/>
      <c r="JN35" s="205"/>
      <c r="JO35" s="205"/>
      <c r="JP35" s="205"/>
      <c r="JQ35" s="205"/>
      <c r="JR35" s="205"/>
      <c r="JS35" s="205"/>
      <c r="JT35" s="205"/>
      <c r="JU35" s="205"/>
      <c r="JV35" s="205"/>
      <c r="JW35" s="205"/>
      <c r="JX35" s="205"/>
      <c r="JY35" s="205"/>
      <c r="JZ35" s="205"/>
      <c r="KA35" s="205"/>
      <c r="KB35" s="205"/>
      <c r="KC35" s="205"/>
      <c r="KD35" s="205"/>
      <c r="KE35" s="205"/>
      <c r="KF35" s="205"/>
      <c r="KG35" s="205"/>
      <c r="KH35" s="205"/>
      <c r="KI35" s="205"/>
      <c r="KJ35" s="205"/>
      <c r="KK35" s="205"/>
      <c r="KL35" s="205"/>
      <c r="KM35" s="205"/>
      <c r="KN35" s="205"/>
      <c r="KO35" s="205"/>
      <c r="KP35" s="205"/>
      <c r="KQ35" s="205"/>
      <c r="KR35" s="205"/>
      <c r="KS35" s="205"/>
      <c r="KT35" s="205"/>
      <c r="KU35" s="205"/>
      <c r="KV35" s="205"/>
      <c r="KW35" s="205"/>
      <c r="KX35" s="205"/>
      <c r="KY35" s="205"/>
      <c r="KZ35" s="205"/>
      <c r="LA35" s="205"/>
      <c r="LB35" s="205"/>
      <c r="LC35" s="205"/>
      <c r="LD35" s="205"/>
      <c r="LE35" s="205"/>
      <c r="LF35" s="205"/>
      <c r="LG35" s="205"/>
      <c r="LH35" s="205"/>
      <c r="LI35" s="205"/>
      <c r="LJ35" s="205"/>
      <c r="LK35" s="205"/>
      <c r="LL35" s="205"/>
      <c r="LM35" s="205"/>
      <c r="LN35" s="205"/>
      <c r="LO35" s="205"/>
      <c r="LP35" s="205"/>
      <c r="LQ35" s="205"/>
      <c r="LR35" s="205"/>
      <c r="LS35" s="205"/>
      <c r="LT35" s="205"/>
      <c r="LU35" s="205"/>
      <c r="LV35" s="205"/>
      <c r="LW35" s="205"/>
      <c r="LX35" s="205"/>
      <c r="LY35" s="205"/>
      <c r="LZ35" s="205"/>
      <c r="MA35" s="205"/>
      <c r="MB35" s="205"/>
      <c r="MC35" s="205"/>
      <c r="MD35" s="205"/>
      <c r="ME35" s="205"/>
      <c r="MF35" s="205"/>
      <c r="MG35" s="205"/>
      <c r="MH35" s="205"/>
      <c r="MI35" s="205"/>
      <c r="MJ35" s="205"/>
      <c r="MK35" s="205"/>
      <c r="ML35" s="205"/>
      <c r="MM35" s="205"/>
      <c r="MN35" s="205"/>
      <c r="MO35" s="205"/>
      <c r="MP35" s="205"/>
      <c r="MQ35" s="205"/>
      <c r="MR35" s="205"/>
      <c r="MS35" s="205"/>
      <c r="MT35" s="205"/>
      <c r="MU35" s="205"/>
      <c r="MV35" s="205"/>
      <c r="MW35" s="205"/>
      <c r="MX35" s="205"/>
      <c r="MY35" s="205"/>
      <c r="MZ35" s="205"/>
      <c r="NA35" s="205"/>
      <c r="NB35" s="205"/>
      <c r="NC35" s="205"/>
      <c r="ND35" s="205"/>
      <c r="NE35" s="205"/>
      <c r="NF35" s="205"/>
      <c r="NG35" s="205"/>
      <c r="NH35" s="205"/>
      <c r="NI35" s="205"/>
      <c r="NJ35" s="205"/>
      <c r="NK35" s="205"/>
      <c r="NL35" s="205"/>
      <c r="NM35" s="205"/>
      <c r="NN35" s="205"/>
      <c r="NO35" s="205"/>
      <c r="NP35" s="205"/>
      <c r="NQ35" s="205"/>
      <c r="NR35" s="205"/>
      <c r="NS35" s="205"/>
      <c r="NT35" s="205"/>
      <c r="NU35" s="205"/>
      <c r="NV35" s="205"/>
      <c r="NW35" s="205"/>
      <c r="NX35" s="205"/>
      <c r="NY35" s="205"/>
      <c r="NZ35" s="205"/>
      <c r="OA35" s="205"/>
      <c r="OB35" s="205"/>
      <c r="OC35" s="205"/>
      <c r="OD35" s="205"/>
      <c r="OE35" s="205"/>
      <c r="OF35" s="205"/>
      <c r="OG35" s="205"/>
      <c r="OH35" s="205"/>
      <c r="OI35" s="205"/>
      <c r="OJ35" s="205"/>
      <c r="OK35" s="205"/>
      <c r="OL35" s="205"/>
      <c r="OM35" s="205"/>
      <c r="ON35" s="205"/>
      <c r="OO35" s="205"/>
      <c r="OP35" s="205"/>
      <c r="OQ35" s="205"/>
      <c r="OR35" s="205"/>
      <c r="OS35" s="205"/>
      <c r="OT35" s="205"/>
      <c r="OU35" s="205"/>
      <c r="OV35" s="205"/>
      <c r="OW35" s="205"/>
      <c r="OX35" s="205"/>
      <c r="OY35" s="205"/>
      <c r="OZ35" s="205"/>
      <c r="PA35" s="205"/>
      <c r="PB35" s="205"/>
      <c r="PC35" s="205"/>
      <c r="PD35" s="205"/>
      <c r="PE35" s="205"/>
      <c r="PF35" s="205"/>
      <c r="PG35" s="205"/>
      <c r="PH35" s="205"/>
      <c r="PI35" s="205"/>
      <c r="PJ35" s="205"/>
      <c r="PK35" s="205"/>
      <c r="PL35" s="205"/>
      <c r="PM35" s="205"/>
      <c r="PN35" s="205"/>
      <c r="PO35" s="205"/>
      <c r="PP35" s="205"/>
      <c r="PQ35" s="205"/>
      <c r="PR35" s="205"/>
      <c r="PS35" s="205"/>
      <c r="PT35" s="205"/>
      <c r="PU35" s="205"/>
      <c r="PV35" s="205"/>
      <c r="PW35" s="205"/>
      <c r="PX35" s="205"/>
      <c r="PY35" s="205"/>
      <c r="PZ35" s="205"/>
      <c r="QA35" s="205"/>
      <c r="QB35" s="205"/>
      <c r="QC35" s="205"/>
      <c r="QD35" s="205"/>
      <c r="QE35" s="205"/>
      <c r="QF35" s="205"/>
      <c r="QG35" s="205"/>
      <c r="QH35" s="205"/>
      <c r="QI35" s="205"/>
      <c r="QJ35" s="205"/>
      <c r="QK35" s="205"/>
      <c r="QL35" s="205"/>
      <c r="QM35" s="205"/>
      <c r="QN35" s="205"/>
      <c r="QO35" s="205"/>
      <c r="QP35" s="205"/>
      <c r="QQ35" s="205"/>
      <c r="QR35" s="205"/>
      <c r="QS35" s="205"/>
      <c r="QT35" s="205"/>
      <c r="QU35" s="205"/>
      <c r="QV35" s="205"/>
      <c r="QW35" s="205"/>
      <c r="QX35" s="205"/>
      <c r="QY35" s="205"/>
      <c r="QZ35" s="205"/>
      <c r="RA35" s="205"/>
      <c r="RB35" s="205"/>
      <c r="RC35" s="205"/>
      <c r="RD35" s="205"/>
      <c r="RE35" s="205"/>
      <c r="RF35" s="205"/>
      <c r="RG35" s="205"/>
      <c r="RH35" s="205"/>
      <c r="RI35" s="205"/>
      <c r="RJ35" s="205"/>
      <c r="RK35" s="205"/>
      <c r="RL35" s="205"/>
      <c r="RM35" s="205"/>
      <c r="RN35" s="205"/>
      <c r="RO35" s="205"/>
      <c r="RP35" s="205"/>
      <c r="RQ35" s="205"/>
      <c r="RR35" s="205"/>
      <c r="RS35" s="205"/>
      <c r="RT35" s="205"/>
      <c r="RU35" s="205"/>
      <c r="RV35" s="205"/>
      <c r="RW35" s="205"/>
      <c r="RX35" s="205"/>
      <c r="RY35" s="205"/>
      <c r="RZ35" s="205"/>
      <c r="SA35" s="205"/>
      <c r="SB35" s="205"/>
      <c r="SC35" s="205"/>
      <c r="SD35" s="205"/>
      <c r="SE35" s="205"/>
      <c r="SF35" s="205"/>
      <c r="SG35" s="205"/>
      <c r="SH35" s="205"/>
      <c r="SI35" s="205"/>
      <c r="SJ35" s="205"/>
      <c r="SK35" s="205"/>
      <c r="SL35" s="205"/>
      <c r="SM35" s="205"/>
      <c r="SN35" s="205"/>
      <c r="SO35" s="205"/>
      <c r="SP35" s="205"/>
      <c r="SQ35" s="205"/>
      <c r="SR35" s="205"/>
      <c r="SS35" s="205"/>
      <c r="ST35" s="205"/>
      <c r="SU35" s="205"/>
      <c r="SV35" s="205"/>
      <c r="SW35" s="205"/>
      <c r="SX35" s="205"/>
      <c r="SY35" s="205"/>
      <c r="SZ35" s="205"/>
      <c r="TA35" s="205"/>
      <c r="TB35" s="205"/>
      <c r="TC35" s="205"/>
      <c r="TD35" s="205"/>
      <c r="TE35" s="205"/>
      <c r="TF35" s="205"/>
      <c r="TG35" s="205"/>
      <c r="TH35" s="205"/>
      <c r="TI35" s="205"/>
      <c r="TJ35" s="205"/>
      <c r="TK35" s="205"/>
      <c r="TL35" s="205"/>
      <c r="TM35" s="205"/>
      <c r="TN35" s="205"/>
      <c r="TO35" s="205"/>
      <c r="TP35" s="205"/>
      <c r="TQ35" s="205"/>
      <c r="TR35" s="205"/>
      <c r="TS35" s="205"/>
      <c r="TT35" s="205"/>
      <c r="TU35" s="205"/>
      <c r="TV35" s="205"/>
      <c r="TW35" s="205"/>
      <c r="TX35" s="205"/>
      <c r="TY35" s="205"/>
      <c r="TZ35" s="205"/>
      <c r="UA35" s="205"/>
      <c r="UB35" s="205"/>
      <c r="UC35" s="205"/>
      <c r="UD35" s="205"/>
      <c r="UE35" s="205"/>
      <c r="UF35" s="205"/>
      <c r="UG35" s="205"/>
      <c r="UH35" s="205"/>
      <c r="UI35" s="205"/>
      <c r="UJ35" s="205"/>
      <c r="UK35" s="205"/>
      <c r="UL35" s="205"/>
      <c r="UM35" s="205"/>
      <c r="UN35" s="205"/>
      <c r="UO35" s="205"/>
      <c r="UP35" s="205"/>
      <c r="UQ35" s="205"/>
      <c r="UR35" s="205"/>
      <c r="US35" s="205"/>
      <c r="UT35" s="205"/>
      <c r="UU35" s="205"/>
      <c r="UV35" s="205"/>
      <c r="UW35" s="205"/>
      <c r="UX35" s="205"/>
      <c r="UY35" s="205"/>
      <c r="UZ35" s="205"/>
      <c r="VA35" s="205"/>
      <c r="VB35" s="205"/>
      <c r="VC35" s="205"/>
      <c r="VD35" s="205"/>
      <c r="VE35" s="205"/>
      <c r="VF35" s="205"/>
      <c r="VG35" s="205"/>
      <c r="VH35" s="205"/>
      <c r="VI35" s="205"/>
      <c r="VJ35" s="205"/>
      <c r="VK35" s="205"/>
      <c r="VL35" s="205"/>
      <c r="VM35" s="205"/>
      <c r="VN35" s="205"/>
      <c r="VO35" s="205"/>
      <c r="VP35" s="205"/>
      <c r="VQ35" s="205"/>
      <c r="VR35" s="205"/>
      <c r="VS35" s="205"/>
      <c r="VT35" s="205"/>
      <c r="VU35" s="205"/>
      <c r="VV35" s="205"/>
      <c r="VW35" s="205"/>
      <c r="VX35" s="205"/>
      <c r="VY35" s="205"/>
      <c r="VZ35" s="205"/>
      <c r="WA35" s="205"/>
      <c r="WB35" s="205"/>
      <c r="WC35" s="205"/>
      <c r="WD35" s="205"/>
      <c r="WE35" s="205"/>
      <c r="WF35" s="205"/>
      <c r="WG35" s="205"/>
      <c r="WH35" s="205"/>
      <c r="WI35" s="205"/>
      <c r="WJ35" s="205"/>
      <c r="WK35" s="205"/>
      <c r="WL35" s="205"/>
      <c r="WM35" s="205"/>
      <c r="WN35" s="205"/>
      <c r="WO35" s="205"/>
      <c r="WP35" s="205"/>
      <c r="WQ35" s="205"/>
      <c r="WR35" s="205"/>
      <c r="WS35" s="205"/>
      <c r="WT35" s="205"/>
      <c r="WU35" s="205"/>
      <c r="WV35" s="205"/>
      <c r="WW35" s="205"/>
      <c r="WX35" s="205"/>
      <c r="WY35" s="205"/>
      <c r="WZ35" s="205"/>
      <c r="XA35" s="205"/>
      <c r="XB35" s="205"/>
      <c r="XC35" s="205"/>
      <c r="XD35" s="205"/>
      <c r="XE35" s="205"/>
      <c r="XF35" s="205"/>
      <c r="XG35" s="205"/>
      <c r="XH35" s="205"/>
      <c r="XI35" s="205"/>
      <c r="XJ35" s="205"/>
      <c r="XK35" s="205"/>
      <c r="XL35" s="205"/>
      <c r="XM35" s="205"/>
      <c r="XN35" s="205"/>
      <c r="XO35" s="205"/>
      <c r="XP35" s="205"/>
      <c r="XQ35" s="205"/>
      <c r="XR35" s="205"/>
      <c r="XS35" s="205"/>
      <c r="XT35" s="205"/>
      <c r="XU35" s="205"/>
      <c r="XV35" s="205"/>
      <c r="XW35" s="205"/>
      <c r="XX35" s="205"/>
      <c r="XY35" s="205"/>
      <c r="XZ35" s="205"/>
      <c r="YA35" s="205"/>
      <c r="YB35" s="205"/>
      <c r="YC35" s="205"/>
      <c r="YD35" s="205"/>
      <c r="YE35" s="205"/>
      <c r="YF35" s="205"/>
      <c r="YG35" s="205"/>
      <c r="YH35" s="205"/>
      <c r="YI35" s="205"/>
      <c r="YJ35" s="205"/>
      <c r="YK35" s="205"/>
      <c r="YL35" s="205"/>
      <c r="YM35" s="205"/>
      <c r="YN35" s="205"/>
      <c r="YO35" s="205"/>
      <c r="YP35" s="205"/>
      <c r="YQ35" s="205"/>
      <c r="YR35" s="205"/>
      <c r="YS35" s="205"/>
      <c r="YT35" s="205"/>
      <c r="YU35" s="205"/>
      <c r="YV35" s="205"/>
      <c r="YW35" s="205"/>
      <c r="YX35" s="205"/>
      <c r="YY35" s="205"/>
      <c r="YZ35" s="205"/>
      <c r="ZA35" s="205"/>
      <c r="ZB35" s="205"/>
      <c r="ZC35" s="205"/>
      <c r="ZD35" s="205"/>
      <c r="ZE35" s="205"/>
      <c r="ZF35" s="205"/>
      <c r="ZG35" s="205"/>
      <c r="ZH35" s="205"/>
      <c r="ZI35" s="205"/>
      <c r="ZJ35" s="205"/>
      <c r="ZK35" s="205"/>
      <c r="ZL35" s="205"/>
      <c r="ZM35" s="205"/>
      <c r="ZN35" s="205"/>
      <c r="ZO35" s="205"/>
      <c r="ZP35" s="205"/>
      <c r="ZQ35" s="205"/>
      <c r="ZR35" s="205"/>
      <c r="ZS35" s="205"/>
      <c r="ZT35" s="205"/>
      <c r="ZU35" s="205"/>
      <c r="ZV35" s="205"/>
      <c r="ZW35" s="205"/>
      <c r="ZX35" s="205"/>
      <c r="ZY35" s="205"/>
      <c r="ZZ35" s="205"/>
      <c r="AAA35" s="205"/>
      <c r="AAB35" s="205"/>
      <c r="AAC35" s="205"/>
      <c r="AAD35" s="205"/>
      <c r="AAE35" s="205"/>
      <c r="AAF35" s="205"/>
      <c r="AAG35" s="205"/>
      <c r="AAH35" s="205"/>
      <c r="AAI35" s="205"/>
      <c r="AAJ35" s="205"/>
      <c r="AAK35" s="205"/>
      <c r="AAL35" s="205"/>
      <c r="AAM35" s="205"/>
      <c r="AAN35" s="205"/>
      <c r="AAO35" s="205"/>
      <c r="AAP35" s="205"/>
      <c r="AAQ35" s="205"/>
      <c r="AAR35" s="205"/>
      <c r="AAS35" s="205"/>
      <c r="AAT35" s="205"/>
      <c r="AAU35" s="205"/>
      <c r="AAV35" s="205"/>
      <c r="AAW35" s="205"/>
      <c r="AAX35" s="205"/>
      <c r="AAY35" s="205"/>
      <c r="AAZ35" s="205"/>
      <c r="ABA35" s="205"/>
      <c r="ABB35" s="205"/>
      <c r="ABC35" s="205"/>
      <c r="ABD35" s="205"/>
      <c r="ABE35" s="205"/>
      <c r="ABF35" s="205"/>
      <c r="ABG35" s="205"/>
      <c r="ABH35" s="205"/>
      <c r="ABI35" s="205"/>
      <c r="ABJ35" s="205"/>
      <c r="ABK35" s="205"/>
      <c r="ABL35" s="205"/>
      <c r="ABM35" s="205"/>
      <c r="ABN35" s="205"/>
      <c r="ABO35" s="205"/>
      <c r="ABP35" s="205"/>
      <c r="ABQ35" s="205"/>
      <c r="ABR35" s="205"/>
      <c r="ABS35" s="205"/>
      <c r="ABT35" s="205"/>
      <c r="ABU35" s="205"/>
      <c r="ABV35" s="205"/>
      <c r="ABW35" s="205"/>
      <c r="ABX35" s="205"/>
      <c r="ABY35" s="205"/>
      <c r="ABZ35" s="205"/>
      <c r="ACA35" s="205"/>
      <c r="ACB35" s="205"/>
      <c r="ACC35" s="205"/>
      <c r="ACD35" s="205"/>
      <c r="ACE35" s="205"/>
      <c r="ACF35" s="205"/>
      <c r="ACG35" s="205"/>
      <c r="ACH35" s="205"/>
      <c r="ACI35" s="205"/>
      <c r="ACJ35" s="205"/>
      <c r="ACK35" s="205"/>
      <c r="ACL35" s="205"/>
      <c r="ACM35" s="205"/>
      <c r="ACN35" s="205"/>
      <c r="ACO35" s="205"/>
      <c r="ACP35" s="205"/>
      <c r="ACQ35" s="205"/>
      <c r="ACR35" s="205"/>
      <c r="ACS35" s="205"/>
      <c r="ACT35" s="205"/>
      <c r="ACU35" s="205"/>
      <c r="ACV35" s="205"/>
      <c r="ACW35" s="205"/>
      <c r="ACX35" s="205"/>
      <c r="ACY35" s="205"/>
      <c r="ACZ35" s="205"/>
      <c r="ADA35" s="205"/>
      <c r="ADB35" s="205"/>
      <c r="ADC35" s="205"/>
      <c r="ADD35" s="205"/>
      <c r="ADE35" s="205"/>
      <c r="ADF35" s="205"/>
      <c r="ADG35" s="205"/>
      <c r="ADH35" s="205"/>
      <c r="ADI35" s="205"/>
      <c r="ADJ35" s="205"/>
      <c r="ADK35" s="205"/>
      <c r="ADL35" s="205"/>
      <c r="ADM35" s="205"/>
      <c r="ADN35" s="205"/>
      <c r="ADO35" s="205"/>
      <c r="ADP35" s="205"/>
      <c r="ADQ35" s="205"/>
      <c r="ADR35" s="205"/>
      <c r="ADS35" s="205"/>
      <c r="ADT35" s="205"/>
      <c r="ADU35" s="205"/>
      <c r="ADV35" s="205"/>
      <c r="ADW35" s="205"/>
      <c r="ADX35" s="205"/>
      <c r="ADY35" s="205"/>
      <c r="ADZ35" s="205"/>
      <c r="AEA35" s="205"/>
      <c r="AEB35" s="205"/>
      <c r="AEC35" s="205"/>
      <c r="AED35" s="205"/>
      <c r="AEE35" s="205"/>
      <c r="AEF35" s="205"/>
      <c r="AEG35" s="205"/>
      <c r="AEH35" s="205"/>
      <c r="AEI35" s="205"/>
      <c r="AEJ35" s="205"/>
      <c r="AEK35" s="205"/>
      <c r="AEL35" s="205"/>
      <c r="AEM35" s="205"/>
      <c r="AEN35" s="205"/>
      <c r="AEO35" s="205"/>
      <c r="AEP35" s="205"/>
      <c r="AEQ35" s="205"/>
      <c r="AER35" s="205"/>
      <c r="AES35" s="205"/>
      <c r="AET35" s="205"/>
      <c r="AEU35" s="205"/>
      <c r="AEV35" s="205"/>
      <c r="AEW35" s="205"/>
      <c r="AEX35" s="205"/>
      <c r="AEY35" s="205"/>
      <c r="AEZ35" s="205"/>
      <c r="AFA35" s="205"/>
      <c r="AFB35" s="205"/>
      <c r="AFC35" s="205"/>
      <c r="AFD35" s="205"/>
      <c r="AFE35" s="205"/>
      <c r="AFF35" s="205"/>
      <c r="AFG35" s="205"/>
      <c r="AFH35" s="205"/>
      <c r="AFI35" s="205"/>
      <c r="AFJ35" s="205"/>
      <c r="AFK35" s="205"/>
      <c r="AFL35" s="205"/>
      <c r="AFM35" s="205"/>
      <c r="AFN35" s="205"/>
      <c r="AFO35" s="205"/>
      <c r="AFP35" s="205"/>
      <c r="AFQ35" s="205"/>
      <c r="AFR35" s="205"/>
      <c r="AFS35" s="205"/>
      <c r="AFT35" s="205"/>
      <c r="AFU35" s="205"/>
      <c r="AFV35" s="205"/>
      <c r="AFW35" s="205"/>
      <c r="AFX35" s="205"/>
      <c r="AFY35" s="205"/>
      <c r="AFZ35" s="205"/>
      <c r="AGA35" s="205"/>
      <c r="AGB35" s="205"/>
      <c r="AGC35" s="205"/>
      <c r="AGD35" s="205"/>
      <c r="AGE35" s="205"/>
      <c r="AGF35" s="205"/>
      <c r="AGG35" s="205"/>
      <c r="AGH35" s="205"/>
      <c r="AGI35" s="205"/>
      <c r="AGJ35" s="205"/>
      <c r="AGK35" s="205"/>
      <c r="AGL35" s="205"/>
      <c r="AGM35" s="205"/>
      <c r="AGN35" s="205"/>
      <c r="AGO35" s="205"/>
      <c r="AGP35" s="205"/>
      <c r="AGQ35" s="205"/>
      <c r="AGR35" s="205"/>
      <c r="AGS35" s="205"/>
      <c r="AGT35" s="205"/>
      <c r="AGU35" s="205"/>
      <c r="AGV35" s="205"/>
      <c r="AGW35" s="205"/>
      <c r="AGX35" s="205"/>
      <c r="AGY35" s="205"/>
      <c r="AGZ35" s="205"/>
      <c r="AHA35" s="205"/>
      <c r="AHB35" s="205"/>
      <c r="AHC35" s="205"/>
      <c r="AHD35" s="205"/>
      <c r="AHE35" s="205"/>
      <c r="AHF35" s="205"/>
      <c r="AHG35" s="205"/>
      <c r="AHH35" s="205"/>
      <c r="AHI35" s="205"/>
      <c r="AHJ35" s="205"/>
      <c r="AHK35" s="205"/>
      <c r="AHL35" s="205"/>
      <c r="AHM35" s="205"/>
      <c r="AHN35" s="205"/>
      <c r="AHO35" s="205"/>
      <c r="AHP35" s="205"/>
      <c r="AHQ35" s="205"/>
      <c r="AHR35" s="205"/>
      <c r="AHS35" s="205"/>
      <c r="AHT35" s="205"/>
      <c r="AHU35" s="205"/>
      <c r="AHV35" s="205"/>
      <c r="AHW35" s="205"/>
      <c r="AHX35" s="205"/>
      <c r="AHY35" s="205"/>
      <c r="AHZ35" s="205"/>
      <c r="AIA35" s="205"/>
      <c r="AIB35" s="205"/>
      <c r="AIC35" s="205"/>
      <c r="AID35" s="205"/>
      <c r="AIE35" s="205"/>
      <c r="AIF35" s="205"/>
      <c r="AIG35" s="205"/>
      <c r="AIH35" s="205"/>
      <c r="AII35" s="205"/>
      <c r="AIJ35" s="205"/>
      <c r="AIK35" s="205"/>
      <c r="AIL35" s="205"/>
      <c r="AIM35" s="205"/>
      <c r="AIN35" s="205"/>
      <c r="AIO35" s="205"/>
      <c r="AIP35" s="205"/>
      <c r="AIQ35" s="205"/>
      <c r="AIR35" s="205"/>
      <c r="AIS35" s="205"/>
      <c r="AIT35" s="205"/>
      <c r="AIU35" s="205"/>
      <c r="AIV35" s="205"/>
      <c r="AIW35" s="205"/>
      <c r="AIX35" s="205"/>
      <c r="AIY35" s="205"/>
      <c r="AIZ35" s="205"/>
      <c r="AJA35" s="205"/>
      <c r="AJB35" s="205"/>
      <c r="AJC35" s="205"/>
      <c r="AJD35" s="205"/>
      <c r="AJE35" s="205"/>
      <c r="AJF35" s="205"/>
      <c r="AJG35" s="205"/>
      <c r="AJH35" s="205"/>
      <c r="AJI35" s="205"/>
      <c r="AJJ35" s="205"/>
      <c r="AJK35" s="205"/>
      <c r="AJL35" s="205"/>
      <c r="AJM35" s="205"/>
      <c r="AJN35" s="205"/>
      <c r="AJO35" s="205"/>
      <c r="AJP35" s="205"/>
      <c r="AJQ35" s="205"/>
      <c r="AJR35" s="205"/>
      <c r="AJS35" s="205"/>
      <c r="AJT35" s="205"/>
      <c r="AJU35" s="205"/>
      <c r="AJV35" s="205"/>
      <c r="AJW35" s="205"/>
      <c r="AJX35" s="205"/>
      <c r="AJY35" s="205"/>
      <c r="AJZ35" s="205"/>
      <c r="AKA35" s="205"/>
      <c r="AKB35" s="205"/>
      <c r="AKC35" s="205"/>
      <c r="AKD35" s="205"/>
      <c r="AKE35" s="205"/>
      <c r="AKF35" s="205"/>
      <c r="AKG35" s="205"/>
      <c r="AKH35" s="205"/>
      <c r="AKI35" s="205"/>
      <c r="AKJ35" s="205"/>
      <c r="AKK35" s="205"/>
      <c r="AKL35" s="205"/>
      <c r="AKM35" s="205"/>
      <c r="AKN35" s="205"/>
      <c r="AKO35" s="205"/>
      <c r="AKP35" s="205"/>
      <c r="AKQ35" s="205"/>
      <c r="AKR35" s="205"/>
      <c r="AKS35" s="205"/>
      <c r="AKT35" s="205"/>
      <c r="AKU35" s="205"/>
      <c r="AKV35" s="205"/>
      <c r="AKW35" s="205"/>
      <c r="AKX35" s="205"/>
      <c r="AKY35" s="205"/>
      <c r="AKZ35" s="205"/>
      <c r="ALA35" s="205"/>
      <c r="ALB35" s="205"/>
      <c r="ALC35" s="205"/>
      <c r="ALD35" s="205"/>
      <c r="ALE35" s="205"/>
      <c r="ALF35" s="205"/>
      <c r="ALG35" s="205"/>
      <c r="ALH35" s="205"/>
      <c r="ALI35" s="205"/>
      <c r="ALJ35" s="205"/>
      <c r="ALK35" s="205"/>
      <c r="ALL35" s="205"/>
      <c r="ALM35" s="205"/>
      <c r="ALN35" s="205"/>
      <c r="ALO35" s="205"/>
      <c r="ALP35" s="205"/>
      <c r="ALQ35" s="205"/>
      <c r="ALR35" s="205"/>
      <c r="ALS35" s="205"/>
      <c r="ALT35" s="205"/>
      <c r="ALU35" s="205"/>
      <c r="ALV35" s="205"/>
      <c r="ALW35" s="205"/>
      <c r="ALX35" s="205"/>
      <c r="ALY35" s="205"/>
      <c r="ALZ35" s="205"/>
      <c r="AMA35" s="205"/>
      <c r="AMB35" s="205"/>
      <c r="AMC35" s="205"/>
      <c r="AMD35" s="205"/>
      <c r="AME35" s="205"/>
      <c r="AMF35" s="205"/>
      <c r="AMG35" s="205"/>
      <c r="AMH35" s="205"/>
      <c r="AMI35" s="205"/>
      <c r="AMJ35" s="205"/>
      <c r="AMK35" s="205"/>
      <c r="AML35" s="205"/>
      <c r="AMM35" s="205"/>
      <c r="AMN35" s="205"/>
      <c r="AMO35" s="205"/>
      <c r="AMP35" s="205"/>
      <c r="AMQ35" s="205"/>
      <c r="AMR35" s="205"/>
      <c r="AMS35" s="205"/>
      <c r="AMT35" s="205"/>
      <c r="AMU35" s="205"/>
      <c r="AMV35" s="205"/>
      <c r="AMW35" s="205"/>
      <c r="AMX35" s="205"/>
      <c r="AMY35" s="205"/>
      <c r="AMZ35" s="205"/>
      <c r="ANA35" s="205"/>
      <c r="ANB35" s="205"/>
      <c r="ANC35" s="205"/>
      <c r="AND35" s="205"/>
      <c r="ANE35" s="205"/>
      <c r="ANF35" s="205"/>
      <c r="ANG35" s="205"/>
      <c r="ANH35" s="205"/>
      <c r="ANI35" s="205"/>
      <c r="ANJ35" s="205"/>
      <c r="ANK35" s="205"/>
      <c r="ANL35" s="205"/>
      <c r="ANM35" s="205"/>
      <c r="ANN35" s="205"/>
      <c r="ANO35" s="205"/>
      <c r="ANP35" s="205"/>
      <c r="ANQ35" s="205"/>
      <c r="ANR35" s="205"/>
      <c r="ANS35" s="205"/>
      <c r="ANT35" s="205"/>
      <c r="ANU35" s="205"/>
      <c r="ANV35" s="205"/>
      <c r="ANW35" s="205"/>
      <c r="ANX35" s="205"/>
      <c r="ANY35" s="205"/>
      <c r="ANZ35" s="205"/>
      <c r="AOA35" s="205"/>
      <c r="AOB35" s="205"/>
      <c r="AOC35" s="205"/>
      <c r="AOD35" s="205"/>
      <c r="AOE35" s="205"/>
      <c r="AOF35" s="205"/>
      <c r="AOG35" s="205"/>
      <c r="AOH35" s="205"/>
      <c r="AOI35" s="205"/>
      <c r="AOJ35" s="205"/>
      <c r="AOK35" s="205"/>
      <c r="AOL35" s="205"/>
      <c r="AOM35" s="205"/>
      <c r="AON35" s="205"/>
      <c r="AOO35" s="205"/>
      <c r="AOP35" s="205"/>
      <c r="AOQ35" s="205"/>
      <c r="AOR35" s="205"/>
      <c r="AOS35" s="205"/>
      <c r="AOT35" s="205"/>
      <c r="AOU35" s="205"/>
      <c r="AOV35" s="205"/>
      <c r="AOW35" s="205"/>
      <c r="AOX35" s="205"/>
      <c r="AOY35" s="205"/>
      <c r="AOZ35" s="205"/>
      <c r="APA35" s="205"/>
      <c r="APB35" s="205"/>
      <c r="APC35" s="205"/>
      <c r="APD35" s="205"/>
      <c r="APE35" s="205"/>
      <c r="APF35" s="205"/>
      <c r="APG35" s="205"/>
      <c r="APH35" s="205"/>
      <c r="API35" s="205"/>
      <c r="APJ35" s="205"/>
      <c r="APK35" s="205"/>
      <c r="APL35" s="205"/>
      <c r="APM35" s="205"/>
      <c r="APN35" s="205"/>
      <c r="APO35" s="205"/>
      <c r="APP35" s="205"/>
      <c r="APQ35" s="205"/>
      <c r="APR35" s="205"/>
      <c r="APS35" s="205"/>
      <c r="APT35" s="205"/>
      <c r="APU35" s="205"/>
      <c r="APV35" s="205"/>
      <c r="APW35" s="205"/>
      <c r="APX35" s="205"/>
      <c r="APY35" s="205"/>
      <c r="APZ35" s="205"/>
      <c r="AQA35" s="205"/>
      <c r="AQB35" s="205"/>
      <c r="AQC35" s="205"/>
      <c r="AQD35" s="205"/>
      <c r="AQE35" s="205"/>
      <c r="AQF35" s="205"/>
      <c r="AQG35" s="205"/>
      <c r="AQH35" s="205"/>
      <c r="AQI35" s="205"/>
      <c r="AQJ35" s="205"/>
      <c r="AQK35" s="205"/>
      <c r="AQL35" s="205"/>
      <c r="AQM35" s="205"/>
      <c r="AQN35" s="205"/>
      <c r="AQO35" s="205"/>
      <c r="AQP35" s="205"/>
      <c r="AQQ35" s="205"/>
      <c r="AQR35" s="205"/>
      <c r="AQS35" s="205"/>
      <c r="AQT35" s="205"/>
      <c r="AQU35" s="205"/>
      <c r="AQV35" s="205"/>
      <c r="AQW35" s="205"/>
      <c r="AQX35" s="205"/>
      <c r="AQY35" s="205"/>
      <c r="AQZ35" s="205"/>
      <c r="ARA35" s="205"/>
      <c r="ARB35" s="205"/>
      <c r="ARC35" s="205"/>
      <c r="ARD35" s="205"/>
      <c r="ARE35" s="205"/>
      <c r="ARF35" s="205"/>
      <c r="ARG35" s="205"/>
      <c r="ARH35" s="205"/>
      <c r="ARI35" s="205"/>
      <c r="ARJ35" s="205"/>
      <c r="ARK35" s="205"/>
      <c r="ARL35" s="205"/>
      <c r="ARM35" s="205"/>
      <c r="ARN35" s="205"/>
      <c r="ARO35" s="205"/>
      <c r="ARP35" s="205"/>
      <c r="ARQ35" s="205"/>
      <c r="ARR35" s="205"/>
      <c r="ARS35" s="205"/>
      <c r="ART35" s="205"/>
      <c r="ARU35" s="205"/>
      <c r="ARV35" s="205"/>
      <c r="ARW35" s="205"/>
      <c r="ARX35" s="205"/>
      <c r="ARY35" s="205"/>
      <c r="ARZ35" s="205"/>
      <c r="ASA35" s="205"/>
      <c r="ASB35" s="205"/>
      <c r="ASC35" s="205"/>
      <c r="ASD35" s="205"/>
      <c r="ASE35" s="205"/>
      <c r="ASF35" s="205"/>
      <c r="ASG35" s="205"/>
      <c r="ASH35" s="205"/>
      <c r="ASI35" s="205"/>
      <c r="ASJ35" s="205"/>
      <c r="ASK35" s="205"/>
      <c r="ASL35" s="205"/>
      <c r="ASM35" s="205"/>
      <c r="ASN35" s="205"/>
      <c r="ASO35" s="205"/>
      <c r="ASP35" s="205"/>
      <c r="ASQ35" s="205"/>
      <c r="ASR35" s="205"/>
      <c r="ASS35" s="205"/>
      <c r="AST35" s="205"/>
      <c r="ASU35" s="205"/>
      <c r="ASV35" s="205"/>
      <c r="ASW35" s="205"/>
      <c r="ASX35" s="205"/>
      <c r="ASY35" s="205"/>
      <c r="ASZ35" s="205"/>
      <c r="ATA35" s="205"/>
      <c r="ATB35" s="205"/>
      <c r="ATC35" s="205"/>
      <c r="ATD35" s="205"/>
      <c r="ATE35" s="205"/>
      <c r="ATF35" s="205"/>
      <c r="ATG35" s="205"/>
      <c r="ATH35" s="205"/>
      <c r="ATI35" s="205"/>
      <c r="ATJ35" s="205"/>
      <c r="ATK35" s="205"/>
      <c r="ATL35" s="205"/>
      <c r="ATM35" s="205"/>
      <c r="ATN35" s="205"/>
      <c r="ATO35" s="205"/>
      <c r="ATP35" s="205"/>
      <c r="ATQ35" s="205"/>
      <c r="ATR35" s="205"/>
      <c r="ATS35" s="205"/>
      <c r="ATT35" s="205"/>
      <c r="ATU35" s="205"/>
      <c r="ATV35" s="205"/>
      <c r="ATW35" s="205"/>
      <c r="ATX35" s="205"/>
      <c r="ATY35" s="205"/>
      <c r="ATZ35" s="205"/>
      <c r="AUA35" s="205"/>
      <c r="AUB35" s="205"/>
      <c r="AUC35" s="205"/>
      <c r="AUD35" s="205"/>
      <c r="AUE35" s="205"/>
      <c r="AUF35" s="205"/>
      <c r="AUG35" s="205"/>
      <c r="AUH35" s="205"/>
      <c r="AUI35" s="205"/>
      <c r="AUJ35" s="205"/>
      <c r="AUK35" s="205"/>
      <c r="AUL35" s="205"/>
      <c r="AUM35" s="205"/>
      <c r="AUN35" s="205"/>
      <c r="AUO35" s="205"/>
      <c r="AUP35" s="205"/>
      <c r="AUQ35" s="205"/>
      <c r="AUR35" s="205"/>
      <c r="AUS35" s="205"/>
      <c r="AUT35" s="205"/>
      <c r="AUU35" s="205"/>
      <c r="AUV35" s="205"/>
      <c r="AUW35" s="205"/>
      <c r="AUX35" s="205"/>
      <c r="AUY35" s="205"/>
      <c r="AUZ35" s="205"/>
      <c r="AVA35" s="205"/>
      <c r="AVB35" s="205"/>
      <c r="AVC35" s="205"/>
      <c r="AVD35" s="205"/>
      <c r="AVE35" s="205"/>
      <c r="AVF35" s="205"/>
      <c r="AVG35" s="205"/>
      <c r="AVH35" s="205"/>
      <c r="AVI35" s="205"/>
      <c r="AVJ35" s="205"/>
      <c r="AVK35" s="205"/>
      <c r="AVL35" s="205"/>
      <c r="AVM35" s="205"/>
      <c r="AVN35" s="205"/>
      <c r="AVO35" s="205"/>
      <c r="AVP35" s="205"/>
      <c r="AVQ35" s="205"/>
      <c r="AVR35" s="205"/>
      <c r="AVS35" s="205"/>
      <c r="AVT35" s="205"/>
      <c r="AVU35" s="205"/>
      <c r="AVV35" s="205"/>
      <c r="AVW35" s="205"/>
      <c r="AVX35" s="205"/>
      <c r="AVY35" s="205"/>
      <c r="AVZ35" s="205"/>
      <c r="AWA35" s="205"/>
      <c r="AWB35" s="205"/>
      <c r="AWC35" s="205"/>
      <c r="AWD35" s="205"/>
      <c r="AWE35" s="205"/>
      <c r="AWF35" s="205"/>
      <c r="AWG35" s="205"/>
      <c r="AWH35" s="205"/>
      <c r="AWI35" s="205"/>
      <c r="AWJ35" s="205"/>
      <c r="AWK35" s="205"/>
      <c r="AWL35" s="205"/>
      <c r="AWM35" s="205"/>
      <c r="AWN35" s="205"/>
      <c r="AWO35" s="205"/>
      <c r="AWP35" s="205"/>
      <c r="AWQ35" s="205"/>
      <c r="AWR35" s="205"/>
      <c r="AWS35" s="205"/>
      <c r="AWT35" s="205"/>
      <c r="AWU35" s="205"/>
      <c r="AWV35" s="205"/>
      <c r="AWW35" s="205"/>
      <c r="AWX35" s="205"/>
      <c r="AWY35" s="205"/>
      <c r="AWZ35" s="205"/>
      <c r="AXA35" s="205"/>
      <c r="AXB35" s="205"/>
      <c r="AXC35" s="205"/>
      <c r="AXD35" s="205"/>
      <c r="AXE35" s="205"/>
      <c r="AXF35" s="205"/>
      <c r="AXG35" s="205"/>
      <c r="AXH35" s="205"/>
      <c r="AXI35" s="205"/>
      <c r="AXJ35" s="205"/>
      <c r="AXK35" s="205"/>
      <c r="AXL35" s="205"/>
      <c r="AXM35" s="205"/>
      <c r="AXN35" s="205"/>
      <c r="AXO35" s="205"/>
      <c r="AXP35" s="205"/>
      <c r="AXQ35" s="205"/>
      <c r="AXR35" s="205"/>
      <c r="AXS35" s="205"/>
      <c r="AXT35" s="205"/>
      <c r="AXU35" s="205"/>
      <c r="AXV35" s="205"/>
      <c r="AXW35" s="205"/>
      <c r="AXX35" s="205"/>
      <c r="AXY35" s="205"/>
      <c r="AXZ35" s="205"/>
      <c r="AYA35" s="205"/>
      <c r="AYB35" s="205"/>
      <c r="AYC35" s="205"/>
      <c r="AYD35" s="205"/>
      <c r="AYE35" s="205"/>
      <c r="AYF35" s="205"/>
      <c r="AYG35" s="205"/>
      <c r="AYH35" s="205"/>
      <c r="AYI35" s="205"/>
      <c r="AYJ35" s="205"/>
      <c r="AYK35" s="205"/>
      <c r="AYL35" s="205"/>
      <c r="AYM35" s="205"/>
      <c r="AYN35" s="205"/>
      <c r="AYO35" s="205"/>
      <c r="AYP35" s="205"/>
      <c r="AYQ35" s="205"/>
      <c r="AYR35" s="205"/>
      <c r="AYS35" s="205"/>
      <c r="AYT35" s="205"/>
      <c r="AYU35" s="205"/>
      <c r="AYV35" s="205"/>
      <c r="AYW35" s="205"/>
      <c r="AYX35" s="205"/>
      <c r="AYY35" s="205"/>
      <c r="AYZ35" s="205"/>
      <c r="AZA35" s="205"/>
      <c r="AZB35" s="205"/>
      <c r="AZC35" s="205"/>
      <c r="AZD35" s="205"/>
      <c r="AZE35" s="205"/>
      <c r="AZF35" s="205"/>
      <c r="AZG35" s="205"/>
      <c r="AZH35" s="205"/>
      <c r="AZI35" s="205"/>
      <c r="AZJ35" s="205"/>
      <c r="AZK35" s="205"/>
      <c r="AZL35" s="205"/>
      <c r="AZM35" s="205"/>
      <c r="AZN35" s="205"/>
      <c r="AZO35" s="205"/>
      <c r="AZP35" s="205"/>
      <c r="AZQ35" s="205"/>
      <c r="AZR35" s="205"/>
      <c r="AZS35" s="205"/>
      <c r="AZT35" s="205"/>
      <c r="AZU35" s="205"/>
      <c r="AZV35" s="205"/>
      <c r="AZW35" s="205"/>
      <c r="AZX35" s="205"/>
      <c r="AZY35" s="205"/>
      <c r="AZZ35" s="205"/>
      <c r="BAA35" s="205"/>
      <c r="BAB35" s="205"/>
      <c r="BAC35" s="205"/>
      <c r="BAD35" s="205"/>
      <c r="BAE35" s="205"/>
      <c r="BAF35" s="205"/>
      <c r="BAG35" s="205"/>
      <c r="BAH35" s="205"/>
      <c r="BAI35" s="205"/>
      <c r="BAJ35" s="205"/>
      <c r="BAK35" s="205"/>
      <c r="BAL35" s="205"/>
      <c r="BAM35" s="205"/>
      <c r="BAN35" s="205"/>
      <c r="BAO35" s="205"/>
      <c r="BAP35" s="205"/>
      <c r="BAQ35" s="205"/>
      <c r="BAR35" s="205"/>
      <c r="BAS35" s="205"/>
      <c r="BAT35" s="205"/>
      <c r="BAU35" s="205"/>
      <c r="BAV35" s="205"/>
      <c r="BAW35" s="205"/>
      <c r="BAX35" s="205"/>
      <c r="BAY35" s="205"/>
      <c r="BAZ35" s="205"/>
      <c r="BBA35" s="205"/>
      <c r="BBB35" s="205"/>
      <c r="BBC35" s="205"/>
      <c r="BBD35" s="205"/>
      <c r="BBE35" s="205"/>
      <c r="BBF35" s="205"/>
      <c r="BBG35" s="205"/>
      <c r="BBH35" s="205"/>
      <c r="BBI35" s="205"/>
      <c r="BBJ35" s="205"/>
      <c r="BBK35" s="205"/>
      <c r="BBL35" s="205"/>
      <c r="BBM35" s="205"/>
      <c r="BBN35" s="205"/>
      <c r="BBO35" s="205"/>
      <c r="BBP35" s="205"/>
      <c r="BBQ35" s="205"/>
      <c r="BBR35" s="205"/>
      <c r="BBS35" s="205"/>
      <c r="BBT35" s="205"/>
      <c r="BBU35" s="205"/>
      <c r="BBV35" s="205"/>
      <c r="BBW35" s="205"/>
      <c r="BBX35" s="205"/>
      <c r="BBY35" s="205"/>
      <c r="BBZ35" s="205"/>
      <c r="BCA35" s="205"/>
      <c r="BCB35" s="205"/>
      <c r="BCC35" s="205"/>
      <c r="BCD35" s="205"/>
      <c r="BCE35" s="205"/>
      <c r="BCF35" s="205"/>
      <c r="BCG35" s="205"/>
      <c r="BCH35" s="205"/>
      <c r="BCI35" s="205"/>
      <c r="BCJ35" s="205"/>
      <c r="BCK35" s="205"/>
      <c r="BCL35" s="205"/>
      <c r="BCM35" s="205"/>
      <c r="BCN35" s="205"/>
      <c r="BCO35" s="205"/>
      <c r="BCP35" s="205"/>
      <c r="BCQ35" s="205"/>
      <c r="BCR35" s="205"/>
      <c r="BCS35" s="205"/>
      <c r="BCT35" s="205"/>
      <c r="BCU35" s="205"/>
      <c r="BCV35" s="205"/>
      <c r="BCW35" s="205"/>
      <c r="BCX35" s="205"/>
      <c r="BCY35" s="205"/>
      <c r="BCZ35" s="205"/>
      <c r="BDA35" s="205"/>
      <c r="BDB35" s="205"/>
      <c r="BDC35" s="205"/>
      <c r="BDD35" s="205"/>
      <c r="BDE35" s="205"/>
      <c r="BDF35" s="205"/>
      <c r="BDG35" s="205"/>
      <c r="BDH35" s="205"/>
      <c r="BDI35" s="205"/>
      <c r="BDJ35" s="205"/>
      <c r="BDK35" s="205"/>
      <c r="BDL35" s="205"/>
      <c r="BDM35" s="205"/>
      <c r="BDN35" s="205"/>
      <c r="BDO35" s="205"/>
      <c r="BDP35" s="205"/>
      <c r="BDQ35" s="205"/>
      <c r="BDR35" s="205"/>
      <c r="BDS35" s="205"/>
      <c r="BDT35" s="205"/>
      <c r="BDU35" s="205"/>
      <c r="BDV35" s="205"/>
      <c r="BDW35" s="205"/>
      <c r="BDX35" s="205"/>
      <c r="BDY35" s="205"/>
      <c r="BDZ35" s="205"/>
      <c r="BEA35" s="205"/>
      <c r="BEB35" s="205"/>
      <c r="BEC35" s="205"/>
      <c r="BED35" s="205"/>
      <c r="BEE35" s="205"/>
      <c r="BEF35" s="205"/>
      <c r="BEG35" s="205"/>
      <c r="BEH35" s="205"/>
      <c r="BEI35" s="205"/>
      <c r="BEJ35" s="205"/>
      <c r="BEK35" s="205"/>
      <c r="BEL35" s="205"/>
      <c r="BEM35" s="205"/>
      <c r="BEN35" s="205"/>
      <c r="BEO35" s="205"/>
      <c r="BEP35" s="205"/>
      <c r="BEQ35" s="205"/>
      <c r="BER35" s="205"/>
      <c r="BES35" s="205"/>
      <c r="BET35" s="205"/>
      <c r="BEU35" s="205"/>
      <c r="BEV35" s="205"/>
      <c r="BEW35" s="205"/>
      <c r="BEX35" s="205"/>
      <c r="BEY35" s="205"/>
      <c r="BEZ35" s="205"/>
      <c r="BFA35" s="205"/>
      <c r="BFB35" s="205"/>
      <c r="BFC35" s="205"/>
      <c r="BFD35" s="205"/>
      <c r="BFE35" s="205"/>
      <c r="BFF35" s="205"/>
      <c r="BFG35" s="205"/>
      <c r="BFH35" s="205"/>
      <c r="BFI35" s="205"/>
      <c r="BFJ35" s="205"/>
      <c r="BFK35" s="205"/>
      <c r="BFL35" s="205"/>
      <c r="BFM35" s="205"/>
      <c r="BFN35" s="205"/>
      <c r="BFO35" s="205"/>
      <c r="BFP35" s="205"/>
      <c r="BFQ35" s="205"/>
      <c r="BFR35" s="205"/>
      <c r="BFS35" s="205"/>
      <c r="BFT35" s="205"/>
      <c r="BFU35" s="205"/>
      <c r="BFV35" s="205"/>
      <c r="BFW35" s="205"/>
      <c r="BFX35" s="205"/>
      <c r="BFY35" s="205"/>
      <c r="BFZ35" s="205"/>
      <c r="BGA35" s="205"/>
      <c r="BGB35" s="205"/>
      <c r="BGC35" s="205"/>
      <c r="BGD35" s="205"/>
      <c r="BGE35" s="205"/>
      <c r="BGF35" s="205"/>
      <c r="BGG35" s="205"/>
      <c r="BGH35" s="205"/>
      <c r="BGI35" s="205"/>
      <c r="BGJ35" s="205"/>
      <c r="BGK35" s="205"/>
      <c r="BGL35" s="205"/>
      <c r="BGM35" s="205"/>
      <c r="BGN35" s="205"/>
      <c r="BGO35" s="205"/>
      <c r="BGP35" s="205"/>
      <c r="BGQ35" s="205"/>
      <c r="BGR35" s="205"/>
      <c r="BGS35" s="205"/>
      <c r="BGT35" s="205"/>
      <c r="BGU35" s="205"/>
      <c r="BGV35" s="205"/>
      <c r="BGW35" s="205"/>
      <c r="BGX35" s="205"/>
      <c r="BGY35" s="205"/>
      <c r="BGZ35" s="205"/>
      <c r="BHA35" s="205"/>
      <c r="BHB35" s="205"/>
      <c r="BHC35" s="205"/>
      <c r="BHD35" s="205"/>
      <c r="BHE35" s="205"/>
      <c r="BHF35" s="205"/>
      <c r="BHG35" s="205"/>
      <c r="BHH35" s="205"/>
      <c r="BHI35" s="205"/>
      <c r="BHJ35" s="205"/>
      <c r="BHK35" s="205"/>
      <c r="BHL35" s="205"/>
      <c r="BHM35" s="205"/>
      <c r="BHN35" s="205"/>
      <c r="BHO35" s="205"/>
      <c r="BHP35" s="205"/>
      <c r="BHQ35" s="205"/>
      <c r="BHR35" s="205"/>
      <c r="BHS35" s="205"/>
      <c r="BHT35" s="205"/>
      <c r="BHU35" s="205"/>
      <c r="BHV35" s="205"/>
      <c r="BHW35" s="205"/>
      <c r="BHX35" s="205"/>
      <c r="BHY35" s="205"/>
      <c r="BHZ35" s="205"/>
      <c r="BIA35" s="205"/>
      <c r="BIB35" s="205"/>
      <c r="BIC35" s="205"/>
      <c r="BID35" s="205"/>
      <c r="BIE35" s="205"/>
      <c r="BIF35" s="205"/>
      <c r="BIG35" s="205"/>
      <c r="BIH35" s="205"/>
      <c r="BII35" s="205"/>
      <c r="BIJ35" s="205"/>
      <c r="BIK35" s="205"/>
      <c r="BIL35" s="205"/>
      <c r="BIM35" s="205"/>
      <c r="BIN35" s="205"/>
      <c r="BIO35" s="205"/>
      <c r="BIP35" s="205"/>
      <c r="BIQ35" s="205"/>
      <c r="BIR35" s="205"/>
      <c r="BIS35" s="205"/>
      <c r="BIT35" s="205"/>
      <c r="BIU35" s="205"/>
      <c r="BIV35" s="205"/>
      <c r="BIW35" s="205"/>
      <c r="BIX35" s="205"/>
      <c r="BIY35" s="205"/>
      <c r="BIZ35" s="205"/>
      <c r="BJA35" s="205"/>
      <c r="BJB35" s="205"/>
      <c r="BJC35" s="205"/>
      <c r="BJD35" s="205"/>
      <c r="BJE35" s="205"/>
      <c r="BJF35" s="205"/>
      <c r="BJG35" s="205"/>
      <c r="BJH35" s="205"/>
      <c r="BJI35" s="205"/>
      <c r="BJJ35" s="205"/>
      <c r="BJK35" s="205"/>
      <c r="BJL35" s="205"/>
      <c r="BJM35" s="205"/>
      <c r="BJN35" s="205"/>
      <c r="BJO35" s="205"/>
      <c r="BJP35" s="205"/>
      <c r="BJQ35" s="205"/>
      <c r="BJR35" s="205"/>
      <c r="BJS35" s="205"/>
      <c r="BJT35" s="205"/>
      <c r="BJU35" s="205"/>
      <c r="BJV35" s="205"/>
      <c r="BJW35" s="205"/>
      <c r="BJX35" s="205"/>
      <c r="BJY35" s="205"/>
      <c r="BJZ35" s="205"/>
      <c r="BKA35" s="205"/>
      <c r="BKB35" s="205"/>
      <c r="BKC35" s="205"/>
      <c r="BKD35" s="205"/>
      <c r="BKE35" s="205"/>
      <c r="BKF35" s="205"/>
      <c r="BKG35" s="205"/>
      <c r="BKH35" s="205"/>
      <c r="BKI35" s="205"/>
      <c r="BKJ35" s="205"/>
      <c r="BKK35" s="205"/>
      <c r="BKL35" s="205"/>
      <c r="BKM35" s="205"/>
      <c r="BKN35" s="205"/>
      <c r="BKO35" s="205"/>
      <c r="BKP35" s="205"/>
      <c r="BKQ35" s="205"/>
      <c r="BKR35" s="205"/>
      <c r="BKS35" s="205"/>
      <c r="BKT35" s="205"/>
      <c r="BKU35" s="205"/>
      <c r="BKV35" s="205"/>
      <c r="BKW35" s="205"/>
      <c r="BKX35" s="205"/>
      <c r="BKY35" s="205"/>
      <c r="BKZ35" s="205"/>
      <c r="BLA35" s="205"/>
      <c r="BLB35" s="205"/>
      <c r="BLC35" s="205"/>
      <c r="BLD35" s="205"/>
      <c r="BLE35" s="205"/>
      <c r="BLF35" s="205"/>
      <c r="BLG35" s="205"/>
      <c r="BLH35" s="205"/>
      <c r="BLI35" s="205"/>
      <c r="BLJ35" s="205"/>
      <c r="BLK35" s="205"/>
      <c r="BLL35" s="205"/>
      <c r="BLM35" s="205"/>
      <c r="BLN35" s="205"/>
      <c r="BLO35" s="205"/>
      <c r="BLP35" s="205"/>
      <c r="BLQ35" s="205"/>
      <c r="BLR35" s="205"/>
      <c r="BLS35" s="205"/>
      <c r="BLT35" s="205"/>
      <c r="BLU35" s="205"/>
      <c r="BLV35" s="205"/>
      <c r="BLW35" s="205"/>
      <c r="BLX35" s="205"/>
      <c r="BLY35" s="205"/>
      <c r="BLZ35" s="205"/>
      <c r="BMA35" s="205"/>
      <c r="BMB35" s="205"/>
      <c r="BMC35" s="205"/>
      <c r="BMD35" s="205"/>
      <c r="BME35" s="205"/>
      <c r="BMF35" s="205"/>
      <c r="BMG35" s="205"/>
      <c r="BMH35" s="205"/>
      <c r="BMI35" s="205"/>
      <c r="BMJ35" s="205"/>
      <c r="BMK35" s="205"/>
      <c r="BML35" s="205"/>
      <c r="BMM35" s="205"/>
      <c r="BMN35" s="205"/>
      <c r="BMO35" s="205"/>
      <c r="BMP35" s="205"/>
      <c r="BMQ35" s="205"/>
      <c r="BMR35" s="205"/>
      <c r="BMS35" s="205"/>
      <c r="BMT35" s="205"/>
      <c r="BMU35" s="205"/>
      <c r="BMV35" s="205"/>
      <c r="BMW35" s="205"/>
      <c r="BMX35" s="205"/>
      <c r="BMY35" s="205"/>
      <c r="BMZ35" s="205"/>
      <c r="BNA35" s="205"/>
      <c r="BNB35" s="205"/>
      <c r="BNC35" s="205"/>
      <c r="BND35" s="205"/>
      <c r="BNE35" s="205"/>
      <c r="BNF35" s="205"/>
      <c r="BNG35" s="205"/>
      <c r="BNH35" s="205"/>
      <c r="BNI35" s="205"/>
      <c r="BNJ35" s="205"/>
      <c r="BNK35" s="205"/>
      <c r="BNL35" s="205"/>
      <c r="BNM35" s="205"/>
      <c r="BNN35" s="205"/>
      <c r="BNO35" s="205"/>
      <c r="BNP35" s="205"/>
      <c r="BNQ35" s="205"/>
      <c r="BNR35" s="205"/>
      <c r="BNS35" s="205"/>
      <c r="BNT35" s="205"/>
      <c r="BNU35" s="205"/>
      <c r="BNV35" s="205"/>
      <c r="BNW35" s="205"/>
      <c r="BNX35" s="205"/>
      <c r="BNY35" s="205"/>
      <c r="BNZ35" s="205"/>
      <c r="BOA35" s="205"/>
      <c r="BOB35" s="205"/>
      <c r="BOC35" s="205"/>
      <c r="BOD35" s="205"/>
      <c r="BOE35" s="205"/>
      <c r="BOF35" s="205"/>
      <c r="BOG35" s="205"/>
      <c r="BOH35" s="205"/>
      <c r="BOI35" s="205"/>
      <c r="BOJ35" s="205"/>
      <c r="BOK35" s="205"/>
      <c r="BOL35" s="205"/>
      <c r="BOM35" s="205"/>
      <c r="BON35" s="205"/>
      <c r="BOO35" s="205"/>
      <c r="BOP35" s="205"/>
      <c r="BOQ35" s="205"/>
      <c r="BOR35" s="205"/>
      <c r="BOS35" s="205"/>
      <c r="BOT35" s="205"/>
      <c r="BOU35" s="205"/>
      <c r="BOV35" s="205"/>
      <c r="BOW35" s="205"/>
      <c r="BOX35" s="205"/>
      <c r="BOY35" s="205"/>
      <c r="BOZ35" s="205"/>
      <c r="BPA35" s="205"/>
      <c r="BPB35" s="205"/>
      <c r="BPC35" s="205"/>
      <c r="BPD35" s="205"/>
      <c r="BPE35" s="205"/>
      <c r="BPF35" s="205"/>
      <c r="BPG35" s="205"/>
      <c r="BPH35" s="205"/>
      <c r="BPI35" s="205"/>
      <c r="BPJ35" s="205"/>
      <c r="BPK35" s="205"/>
      <c r="BPL35" s="205"/>
      <c r="BPM35" s="205"/>
      <c r="BPN35" s="205"/>
      <c r="BPO35" s="205"/>
      <c r="BPP35" s="205"/>
      <c r="BPQ35" s="205"/>
      <c r="BPR35" s="205"/>
      <c r="BPS35" s="205"/>
      <c r="BPT35" s="205"/>
      <c r="BPU35" s="205"/>
      <c r="BPV35" s="205"/>
      <c r="BPW35" s="205"/>
      <c r="BPX35" s="205"/>
      <c r="BPY35" s="205"/>
      <c r="BPZ35" s="205"/>
      <c r="BQA35" s="205"/>
      <c r="BQB35" s="205"/>
      <c r="BQC35" s="205"/>
      <c r="BQD35" s="205"/>
      <c r="BQE35" s="205"/>
      <c r="BQF35" s="205"/>
      <c r="BQG35" s="205"/>
      <c r="BQH35" s="205"/>
      <c r="BQI35" s="205"/>
      <c r="BQJ35" s="205"/>
      <c r="BQK35" s="205"/>
      <c r="BQL35" s="205"/>
      <c r="BQM35" s="205"/>
      <c r="BQN35" s="205"/>
      <c r="BQO35" s="205"/>
      <c r="BQP35" s="205"/>
      <c r="BQQ35" s="205"/>
      <c r="BQR35" s="205"/>
      <c r="BQS35" s="205"/>
      <c r="BQT35" s="205"/>
      <c r="BQU35" s="205"/>
      <c r="BQV35" s="205"/>
      <c r="BQW35" s="205"/>
      <c r="BQX35" s="205"/>
      <c r="BQY35" s="205"/>
      <c r="BQZ35" s="205"/>
      <c r="BRA35" s="205"/>
      <c r="BRB35" s="205"/>
      <c r="BRC35" s="205"/>
      <c r="BRD35" s="205"/>
      <c r="BRE35" s="205"/>
      <c r="BRF35" s="205"/>
      <c r="BRG35" s="205"/>
      <c r="BRH35" s="205"/>
      <c r="BRI35" s="205"/>
      <c r="BRJ35" s="205"/>
      <c r="BRK35" s="205"/>
      <c r="BRL35" s="205"/>
      <c r="BRM35" s="205"/>
      <c r="BRN35" s="205"/>
      <c r="BRO35" s="205"/>
      <c r="BRP35" s="205"/>
      <c r="BRQ35" s="205"/>
      <c r="BRR35" s="205"/>
      <c r="BRS35" s="205"/>
      <c r="BRT35" s="205"/>
      <c r="BRU35" s="205"/>
      <c r="BRV35" s="205"/>
      <c r="BRW35" s="205"/>
      <c r="BRX35" s="205"/>
      <c r="BRY35" s="205"/>
      <c r="BRZ35" s="205"/>
      <c r="BSA35" s="205"/>
      <c r="BSB35" s="205"/>
      <c r="BSC35" s="205"/>
      <c r="BSD35" s="205"/>
      <c r="BSE35" s="205"/>
      <c r="BSF35" s="205"/>
      <c r="BSG35" s="205"/>
      <c r="BSH35" s="205"/>
      <c r="BSI35" s="205"/>
      <c r="BSJ35" s="205"/>
      <c r="BSK35" s="205"/>
      <c r="BSL35" s="205"/>
      <c r="BSM35" s="205"/>
      <c r="BSN35" s="205"/>
      <c r="BSO35" s="205"/>
      <c r="BSP35" s="205"/>
      <c r="BSQ35" s="205"/>
      <c r="BSR35" s="205"/>
      <c r="BSS35" s="205"/>
      <c r="BST35" s="205"/>
      <c r="BSU35" s="205"/>
      <c r="BSV35" s="205"/>
      <c r="BSW35" s="205"/>
      <c r="BSX35" s="205"/>
      <c r="BSY35" s="205"/>
      <c r="BSZ35" s="205"/>
      <c r="BTA35" s="205"/>
      <c r="BTB35" s="205"/>
      <c r="BTC35" s="205"/>
      <c r="BTD35" s="205"/>
      <c r="BTE35" s="205"/>
      <c r="BTF35" s="205"/>
      <c r="BTG35" s="205"/>
      <c r="BTH35" s="205"/>
      <c r="BTI35" s="205"/>
      <c r="BTJ35" s="205"/>
      <c r="BTK35" s="205"/>
      <c r="BTL35" s="205"/>
      <c r="BTM35" s="205"/>
      <c r="BTN35" s="205"/>
      <c r="BTO35" s="205"/>
      <c r="BTP35" s="205"/>
      <c r="BTQ35" s="205"/>
      <c r="BTR35" s="205"/>
      <c r="BTS35" s="205"/>
      <c r="BTT35" s="205"/>
      <c r="BTU35" s="205"/>
      <c r="BTV35" s="205"/>
      <c r="BTW35" s="205"/>
      <c r="BTX35" s="205"/>
      <c r="BTY35" s="205"/>
      <c r="BTZ35" s="205"/>
      <c r="BUA35" s="205"/>
      <c r="BUB35" s="205"/>
      <c r="BUC35" s="205"/>
      <c r="BUD35" s="205"/>
      <c r="BUE35" s="205"/>
      <c r="BUF35" s="205"/>
      <c r="BUG35" s="205"/>
      <c r="BUH35" s="205"/>
      <c r="BUI35" s="205"/>
      <c r="BUJ35" s="205"/>
      <c r="BUK35" s="205"/>
      <c r="BUL35" s="205"/>
      <c r="BUM35" s="205"/>
      <c r="BUN35" s="205"/>
      <c r="BUO35" s="205"/>
      <c r="BUP35" s="205"/>
      <c r="BUQ35" s="205"/>
      <c r="BUR35" s="205"/>
      <c r="BUS35" s="205"/>
      <c r="BUT35" s="205"/>
      <c r="BUU35" s="205"/>
      <c r="BUV35" s="205"/>
      <c r="BUW35" s="205"/>
      <c r="BUX35" s="205"/>
      <c r="BUY35" s="205"/>
      <c r="BUZ35" s="205"/>
      <c r="BVA35" s="205"/>
      <c r="BVB35" s="205"/>
      <c r="BVC35" s="205"/>
      <c r="BVD35" s="205"/>
      <c r="BVE35" s="205"/>
      <c r="BVF35" s="205"/>
      <c r="BVG35" s="205"/>
      <c r="BVH35" s="205"/>
      <c r="BVI35" s="205"/>
      <c r="BVJ35" s="205"/>
      <c r="BVK35" s="205"/>
      <c r="BVL35" s="205"/>
      <c r="BVM35" s="205"/>
      <c r="BVN35" s="205"/>
      <c r="BVO35" s="205"/>
      <c r="BVP35" s="205"/>
      <c r="BVQ35" s="205"/>
      <c r="BVR35" s="205"/>
      <c r="BVS35" s="205"/>
      <c r="BVT35" s="205"/>
      <c r="BVU35" s="205"/>
      <c r="BVV35" s="205"/>
      <c r="BVW35" s="205"/>
      <c r="BVX35" s="205"/>
      <c r="BVY35" s="205"/>
      <c r="BVZ35" s="205"/>
      <c r="BWA35" s="205"/>
      <c r="BWB35" s="205"/>
      <c r="BWC35" s="205"/>
      <c r="BWD35" s="205"/>
      <c r="BWE35" s="205"/>
      <c r="BWF35" s="205"/>
      <c r="BWG35" s="205"/>
      <c r="BWH35" s="205"/>
      <c r="BWI35" s="205"/>
      <c r="BWJ35" s="205"/>
      <c r="BWK35" s="205"/>
      <c r="BWL35" s="205"/>
      <c r="BWM35" s="205"/>
      <c r="BWN35" s="205"/>
      <c r="BWO35" s="205"/>
      <c r="BWP35" s="205"/>
      <c r="BWQ35" s="205"/>
      <c r="BWR35" s="205"/>
      <c r="BWS35" s="205"/>
      <c r="BWT35" s="205"/>
      <c r="BWU35" s="205"/>
      <c r="BWV35" s="205"/>
      <c r="BWW35" s="205"/>
      <c r="BWX35" s="205"/>
      <c r="BWY35" s="205"/>
      <c r="BWZ35" s="205"/>
      <c r="BXA35" s="205"/>
      <c r="BXB35" s="205"/>
      <c r="BXC35" s="205"/>
      <c r="BXD35" s="205"/>
      <c r="BXE35" s="205"/>
      <c r="BXF35" s="205"/>
      <c r="BXG35" s="205"/>
      <c r="BXH35" s="205"/>
      <c r="BXI35" s="205"/>
      <c r="BXJ35" s="205"/>
      <c r="BXK35" s="205"/>
      <c r="BXL35" s="205"/>
      <c r="BXM35" s="205"/>
      <c r="BXN35" s="205"/>
      <c r="BXO35" s="205"/>
      <c r="BXP35" s="205"/>
      <c r="BXQ35" s="205"/>
      <c r="BXR35" s="205"/>
      <c r="BXS35" s="205"/>
      <c r="BXT35" s="205"/>
      <c r="BXU35" s="205"/>
      <c r="BXV35" s="205"/>
      <c r="BXW35" s="205"/>
      <c r="BXX35" s="205"/>
      <c r="BXY35" s="205"/>
      <c r="BXZ35" s="205"/>
      <c r="BYA35" s="205"/>
      <c r="BYB35" s="205"/>
      <c r="BYC35" s="205"/>
      <c r="BYD35" s="205"/>
      <c r="BYE35" s="205"/>
      <c r="BYF35" s="205"/>
      <c r="BYG35" s="205"/>
      <c r="BYH35" s="205"/>
      <c r="BYI35" s="205"/>
      <c r="BYJ35" s="205"/>
      <c r="BYK35" s="205"/>
      <c r="BYL35" s="205"/>
      <c r="BYM35" s="205"/>
      <c r="BYN35" s="205"/>
      <c r="BYO35" s="205"/>
      <c r="BYP35" s="205"/>
      <c r="BYQ35" s="205"/>
      <c r="BYR35" s="205"/>
      <c r="BYS35" s="205"/>
      <c r="BYT35" s="205"/>
      <c r="BYU35" s="205"/>
      <c r="BYV35" s="205"/>
      <c r="BYW35" s="205"/>
      <c r="BYX35" s="205"/>
      <c r="BYY35" s="205"/>
      <c r="BYZ35" s="205"/>
      <c r="BZA35" s="205"/>
      <c r="BZB35" s="205"/>
      <c r="BZC35" s="205"/>
      <c r="BZD35" s="205"/>
      <c r="BZE35" s="205"/>
      <c r="BZF35" s="205"/>
      <c r="BZG35" s="205"/>
      <c r="BZH35" s="205"/>
      <c r="BZI35" s="205"/>
      <c r="BZJ35" s="205"/>
      <c r="BZK35" s="205"/>
      <c r="BZL35" s="205"/>
      <c r="BZM35" s="205"/>
      <c r="BZN35" s="205"/>
      <c r="BZO35" s="205"/>
      <c r="BZP35" s="205"/>
      <c r="BZQ35" s="205"/>
      <c r="BZR35" s="205"/>
      <c r="BZS35" s="205"/>
      <c r="BZT35" s="205"/>
      <c r="BZU35" s="205"/>
      <c r="BZV35" s="205"/>
      <c r="BZW35" s="205"/>
      <c r="BZX35" s="205"/>
      <c r="BZY35" s="205"/>
      <c r="BZZ35" s="205"/>
      <c r="CAA35" s="205"/>
      <c r="CAB35" s="205"/>
      <c r="CAC35" s="205"/>
      <c r="CAD35" s="205"/>
      <c r="CAE35" s="205"/>
      <c r="CAF35" s="205"/>
      <c r="CAG35" s="205"/>
      <c r="CAH35" s="205"/>
      <c r="CAI35" s="205"/>
      <c r="CAJ35" s="205"/>
      <c r="CAK35" s="205"/>
      <c r="CAL35" s="205"/>
      <c r="CAM35" s="205"/>
      <c r="CAN35" s="205"/>
      <c r="CAO35" s="205"/>
      <c r="CAP35" s="205"/>
      <c r="CAQ35" s="205"/>
      <c r="CAR35" s="205"/>
      <c r="CAS35" s="205"/>
      <c r="CAT35" s="205"/>
      <c r="CAU35" s="205"/>
      <c r="CAV35" s="205"/>
      <c r="CAW35" s="205"/>
      <c r="CAX35" s="205"/>
      <c r="CAY35" s="205"/>
      <c r="CAZ35" s="205"/>
      <c r="CBA35" s="205"/>
      <c r="CBB35" s="205"/>
      <c r="CBC35" s="205"/>
      <c r="CBD35" s="205"/>
      <c r="CBE35" s="205"/>
      <c r="CBF35" s="205"/>
      <c r="CBG35" s="205"/>
      <c r="CBH35" s="205"/>
      <c r="CBI35" s="205"/>
      <c r="CBJ35" s="205"/>
      <c r="CBK35" s="205"/>
      <c r="CBL35" s="205"/>
      <c r="CBM35" s="205"/>
      <c r="CBN35" s="205"/>
      <c r="CBO35" s="205"/>
      <c r="CBP35" s="205"/>
      <c r="CBQ35" s="205"/>
      <c r="CBR35" s="205"/>
      <c r="CBS35" s="205"/>
      <c r="CBT35" s="205"/>
      <c r="CBU35" s="205"/>
      <c r="CBV35" s="205"/>
      <c r="CBW35" s="205"/>
      <c r="CBX35" s="205"/>
      <c r="CBY35" s="205"/>
      <c r="CBZ35" s="205"/>
      <c r="CCA35" s="205"/>
      <c r="CCB35" s="205"/>
      <c r="CCC35" s="205"/>
      <c r="CCD35" s="205"/>
      <c r="CCE35" s="205"/>
      <c r="CCF35" s="205"/>
      <c r="CCG35" s="205"/>
      <c r="CCH35" s="205"/>
      <c r="CCI35" s="205"/>
      <c r="CCJ35" s="205"/>
      <c r="CCK35" s="205"/>
      <c r="CCL35" s="205"/>
      <c r="CCM35" s="205"/>
      <c r="CCN35" s="205"/>
      <c r="CCO35" s="205"/>
      <c r="CCP35" s="205"/>
      <c r="CCQ35" s="205"/>
      <c r="CCR35" s="205"/>
      <c r="CCS35" s="205"/>
      <c r="CCT35" s="205"/>
      <c r="CCU35" s="205"/>
      <c r="CCV35" s="205"/>
      <c r="CCW35" s="205"/>
      <c r="CCX35" s="205"/>
      <c r="CCY35" s="205"/>
      <c r="CCZ35" s="205"/>
      <c r="CDA35" s="205"/>
      <c r="CDB35" s="205"/>
      <c r="CDC35" s="205"/>
      <c r="CDD35" s="205"/>
      <c r="CDE35" s="205"/>
      <c r="CDF35" s="205"/>
      <c r="CDG35" s="205"/>
      <c r="CDH35" s="205"/>
      <c r="CDI35" s="205"/>
      <c r="CDJ35" s="205"/>
      <c r="CDK35" s="205"/>
      <c r="CDL35" s="205"/>
      <c r="CDM35" s="205"/>
      <c r="CDN35" s="205"/>
      <c r="CDO35" s="205"/>
      <c r="CDP35" s="205"/>
      <c r="CDQ35" s="205"/>
      <c r="CDR35" s="205"/>
      <c r="CDS35" s="205"/>
      <c r="CDT35" s="205"/>
      <c r="CDU35" s="205"/>
      <c r="CDV35" s="205"/>
      <c r="CDW35" s="205"/>
      <c r="CDX35" s="205"/>
      <c r="CDY35" s="205"/>
      <c r="CDZ35" s="205"/>
      <c r="CEA35" s="205"/>
      <c r="CEB35" s="205"/>
      <c r="CEC35" s="205"/>
      <c r="CED35" s="205"/>
      <c r="CEE35" s="205"/>
      <c r="CEF35" s="205"/>
      <c r="CEG35" s="205"/>
      <c r="CEH35" s="205"/>
      <c r="CEI35" s="205"/>
      <c r="CEJ35" s="205"/>
      <c r="CEK35" s="205"/>
      <c r="CEL35" s="205"/>
      <c r="CEM35" s="205"/>
      <c r="CEN35" s="205"/>
      <c r="CEO35" s="205"/>
      <c r="CEP35" s="205"/>
      <c r="CEQ35" s="205"/>
      <c r="CER35" s="205"/>
      <c r="CES35" s="205"/>
      <c r="CET35" s="205"/>
      <c r="CEU35" s="205"/>
      <c r="CEV35" s="205"/>
      <c r="CEW35" s="205"/>
      <c r="CEX35" s="205"/>
      <c r="CEY35" s="205"/>
      <c r="CEZ35" s="205"/>
      <c r="CFA35" s="205"/>
      <c r="CFB35" s="205"/>
      <c r="CFC35" s="205"/>
      <c r="CFD35" s="205"/>
      <c r="CFE35" s="205"/>
      <c r="CFF35" s="205"/>
      <c r="CFG35" s="205"/>
      <c r="CFH35" s="205"/>
      <c r="CFI35" s="205"/>
      <c r="CFJ35" s="205"/>
      <c r="CFK35" s="205"/>
      <c r="CFL35" s="205"/>
      <c r="CFM35" s="205"/>
      <c r="CFN35" s="205"/>
      <c r="CFO35" s="205"/>
      <c r="CFP35" s="205"/>
      <c r="CFQ35" s="205"/>
      <c r="CFR35" s="205"/>
      <c r="CFS35" s="205"/>
      <c r="CFT35" s="205"/>
      <c r="CFU35" s="205"/>
      <c r="CFV35" s="205"/>
      <c r="CFW35" s="205"/>
      <c r="CFX35" s="205"/>
      <c r="CFY35" s="205"/>
      <c r="CFZ35" s="205"/>
      <c r="CGA35" s="205"/>
      <c r="CGB35" s="205"/>
      <c r="CGC35" s="205"/>
      <c r="CGD35" s="205"/>
      <c r="CGE35" s="205"/>
      <c r="CGF35" s="205"/>
      <c r="CGG35" s="205"/>
      <c r="CGH35" s="205"/>
      <c r="CGI35" s="205"/>
      <c r="CGJ35" s="205"/>
      <c r="CGK35" s="205"/>
      <c r="CGL35" s="205"/>
      <c r="CGM35" s="205"/>
      <c r="CGN35" s="205"/>
      <c r="CGO35" s="205"/>
      <c r="CGP35" s="205"/>
      <c r="CGQ35" s="205"/>
      <c r="CGR35" s="205"/>
      <c r="CGS35" s="205"/>
      <c r="CGT35" s="205"/>
      <c r="CGU35" s="205"/>
      <c r="CGV35" s="205"/>
      <c r="CGW35" s="205"/>
      <c r="CGX35" s="205"/>
      <c r="CGY35" s="205"/>
      <c r="CGZ35" s="205"/>
      <c r="CHA35" s="205"/>
      <c r="CHB35" s="205"/>
      <c r="CHC35" s="205"/>
      <c r="CHD35" s="205"/>
      <c r="CHE35" s="205"/>
      <c r="CHF35" s="205"/>
      <c r="CHG35" s="205"/>
      <c r="CHH35" s="205"/>
      <c r="CHI35" s="205"/>
      <c r="CHJ35" s="205"/>
      <c r="CHK35" s="205"/>
      <c r="CHL35" s="205"/>
      <c r="CHM35" s="205"/>
      <c r="CHN35" s="205"/>
      <c r="CHO35" s="205"/>
      <c r="CHP35" s="205"/>
      <c r="CHQ35" s="205"/>
      <c r="CHR35" s="205"/>
      <c r="CHS35" s="205"/>
      <c r="CHT35" s="205"/>
      <c r="CHU35" s="205"/>
      <c r="CHV35" s="205"/>
      <c r="CHW35" s="205"/>
      <c r="CHX35" s="205"/>
      <c r="CHY35" s="205"/>
      <c r="CHZ35" s="205"/>
      <c r="CIA35" s="205"/>
      <c r="CIB35" s="205"/>
      <c r="CIC35" s="205"/>
      <c r="CID35" s="205"/>
      <c r="CIE35" s="205"/>
      <c r="CIF35" s="205"/>
      <c r="CIG35" s="205"/>
      <c r="CIH35" s="205"/>
      <c r="CII35" s="205"/>
      <c r="CIJ35" s="205"/>
      <c r="CIK35" s="205"/>
      <c r="CIL35" s="205"/>
      <c r="CIM35" s="205"/>
      <c r="CIN35" s="205"/>
      <c r="CIO35" s="205"/>
      <c r="CIP35" s="205"/>
      <c r="CIQ35" s="205"/>
      <c r="CIR35" s="205"/>
      <c r="CIS35" s="205"/>
      <c r="CIT35" s="205"/>
      <c r="CIU35" s="205"/>
      <c r="CIV35" s="205"/>
      <c r="CIW35" s="205"/>
      <c r="CIX35" s="205"/>
      <c r="CIY35" s="205"/>
      <c r="CIZ35" s="205"/>
      <c r="CJA35" s="205"/>
      <c r="CJB35" s="205"/>
      <c r="CJC35" s="205"/>
      <c r="CJD35" s="205"/>
      <c r="CJE35" s="205"/>
      <c r="CJF35" s="205"/>
      <c r="CJG35" s="205"/>
      <c r="CJH35" s="205"/>
      <c r="CJI35" s="205"/>
      <c r="CJJ35" s="205"/>
      <c r="CJK35" s="205"/>
      <c r="CJL35" s="205"/>
      <c r="CJM35" s="205"/>
      <c r="CJN35" s="205"/>
      <c r="CJO35" s="205"/>
      <c r="CJP35" s="205"/>
      <c r="CJQ35" s="205"/>
      <c r="CJR35" s="205"/>
      <c r="CJS35" s="205"/>
      <c r="CJT35" s="205"/>
      <c r="CJU35" s="205"/>
      <c r="CJV35" s="205"/>
      <c r="CJW35" s="205"/>
      <c r="CJX35" s="205"/>
      <c r="CJY35" s="205"/>
      <c r="CJZ35" s="205"/>
      <c r="CKA35" s="205"/>
      <c r="CKB35" s="205"/>
      <c r="CKC35" s="205"/>
      <c r="CKD35" s="205"/>
      <c r="CKE35" s="205"/>
      <c r="CKF35" s="205"/>
      <c r="CKG35" s="205"/>
      <c r="CKH35" s="205"/>
      <c r="CKI35" s="205"/>
      <c r="CKJ35" s="205"/>
      <c r="CKK35" s="205"/>
      <c r="CKL35" s="205"/>
      <c r="CKM35" s="205"/>
      <c r="CKN35" s="205"/>
      <c r="CKO35" s="205"/>
      <c r="CKP35" s="205"/>
      <c r="CKQ35" s="205"/>
      <c r="CKR35" s="205"/>
      <c r="CKS35" s="205"/>
      <c r="CKT35" s="205"/>
      <c r="CKU35" s="205"/>
      <c r="CKV35" s="205"/>
      <c r="CKW35" s="205"/>
      <c r="CKX35" s="205"/>
      <c r="CKY35" s="205"/>
      <c r="CKZ35" s="205"/>
      <c r="CLA35" s="205"/>
      <c r="CLB35" s="205"/>
      <c r="CLC35" s="205"/>
      <c r="CLD35" s="205"/>
      <c r="CLE35" s="205"/>
      <c r="CLF35" s="205"/>
      <c r="CLG35" s="205"/>
      <c r="CLH35" s="205"/>
      <c r="CLI35" s="205"/>
      <c r="CLJ35" s="205"/>
      <c r="CLK35" s="205"/>
      <c r="CLL35" s="205"/>
      <c r="CLM35" s="205"/>
      <c r="CLN35" s="205"/>
      <c r="CLO35" s="205"/>
      <c r="CLP35" s="205"/>
      <c r="CLQ35" s="205"/>
      <c r="CLR35" s="205"/>
      <c r="CLS35" s="205"/>
      <c r="CLT35" s="205"/>
      <c r="CLU35" s="205"/>
      <c r="CLV35" s="205"/>
      <c r="CLW35" s="205"/>
      <c r="CLX35" s="205"/>
      <c r="CLY35" s="205"/>
      <c r="CLZ35" s="205"/>
      <c r="CMA35" s="205"/>
      <c r="CMB35" s="205"/>
      <c r="CMC35" s="205"/>
      <c r="CMD35" s="205"/>
      <c r="CME35" s="205"/>
      <c r="CMF35" s="205"/>
      <c r="CMG35" s="205"/>
      <c r="CMH35" s="205"/>
      <c r="CMI35" s="205"/>
      <c r="CMJ35" s="205"/>
      <c r="CMK35" s="205"/>
      <c r="CML35" s="205"/>
      <c r="CMM35" s="205"/>
      <c r="CMN35" s="205"/>
      <c r="CMO35" s="205"/>
      <c r="CMP35" s="205"/>
      <c r="CMQ35" s="205"/>
      <c r="CMR35" s="205"/>
      <c r="CMS35" s="205"/>
      <c r="CMT35" s="205"/>
      <c r="CMU35" s="205"/>
      <c r="CMV35" s="205"/>
      <c r="CMW35" s="205"/>
      <c r="CMX35" s="205"/>
      <c r="CMY35" s="205"/>
      <c r="CMZ35" s="205"/>
      <c r="CNA35" s="205"/>
      <c r="CNB35" s="205"/>
      <c r="CNC35" s="205"/>
      <c r="CND35" s="205"/>
      <c r="CNE35" s="205"/>
      <c r="CNF35" s="205"/>
      <c r="CNG35" s="205"/>
      <c r="CNH35" s="205"/>
      <c r="CNI35" s="205"/>
      <c r="CNJ35" s="205"/>
      <c r="CNK35" s="205"/>
      <c r="CNL35" s="205"/>
      <c r="CNM35" s="205"/>
      <c r="CNN35" s="205"/>
      <c r="CNO35" s="205"/>
      <c r="CNP35" s="205"/>
      <c r="CNQ35" s="205"/>
      <c r="CNR35" s="205"/>
      <c r="CNS35" s="205"/>
      <c r="CNT35" s="205"/>
      <c r="CNU35" s="205"/>
      <c r="CNV35" s="205"/>
      <c r="CNW35" s="205"/>
      <c r="CNX35" s="205"/>
      <c r="CNY35" s="205"/>
      <c r="CNZ35" s="205"/>
      <c r="COA35" s="205"/>
      <c r="COB35" s="205"/>
      <c r="COC35" s="205"/>
      <c r="COD35" s="205"/>
      <c r="COE35" s="205"/>
      <c r="COF35" s="205"/>
      <c r="COG35" s="205"/>
      <c r="COH35" s="205"/>
      <c r="COI35" s="205"/>
      <c r="COJ35" s="205"/>
      <c r="COK35" s="205"/>
      <c r="COL35" s="205"/>
      <c r="COM35" s="205"/>
      <c r="CON35" s="205"/>
      <c r="COO35" s="205"/>
      <c r="COP35" s="205"/>
      <c r="COQ35" s="205"/>
      <c r="COR35" s="205"/>
      <c r="COS35" s="205"/>
      <c r="COT35" s="205"/>
      <c r="COU35" s="205"/>
      <c r="COV35" s="205"/>
      <c r="COW35" s="205"/>
      <c r="COX35" s="205"/>
      <c r="COY35" s="205"/>
      <c r="COZ35" s="205"/>
      <c r="CPA35" s="205"/>
      <c r="CPB35" s="205"/>
      <c r="CPC35" s="205"/>
      <c r="CPD35" s="205"/>
      <c r="CPE35" s="205"/>
      <c r="CPF35" s="205"/>
      <c r="CPG35" s="205"/>
      <c r="CPH35" s="205"/>
      <c r="CPI35" s="205"/>
      <c r="CPJ35" s="205"/>
      <c r="CPK35" s="205"/>
      <c r="CPL35" s="205"/>
      <c r="CPM35" s="205"/>
      <c r="CPN35" s="205"/>
      <c r="CPO35" s="205"/>
      <c r="CPP35" s="205"/>
      <c r="CPQ35" s="205"/>
      <c r="CPR35" s="205"/>
      <c r="CPS35" s="205"/>
      <c r="CPT35" s="205"/>
      <c r="CPU35" s="205"/>
      <c r="CPV35" s="205"/>
      <c r="CPW35" s="205"/>
      <c r="CPX35" s="205"/>
      <c r="CPY35" s="205"/>
      <c r="CPZ35" s="205"/>
      <c r="CQA35" s="205"/>
      <c r="CQB35" s="205"/>
      <c r="CQC35" s="205"/>
      <c r="CQD35" s="205"/>
      <c r="CQE35" s="205"/>
      <c r="CQF35" s="205"/>
      <c r="CQG35" s="205"/>
      <c r="CQH35" s="205"/>
      <c r="CQI35" s="205"/>
      <c r="CQJ35" s="205"/>
      <c r="CQK35" s="205"/>
      <c r="CQL35" s="205"/>
      <c r="CQM35" s="205"/>
      <c r="CQN35" s="205"/>
      <c r="CQO35" s="205"/>
      <c r="CQP35" s="205"/>
      <c r="CQQ35" s="205"/>
      <c r="CQR35" s="205"/>
      <c r="CQS35" s="205"/>
      <c r="CQT35" s="205"/>
      <c r="CQU35" s="205"/>
      <c r="CQV35" s="205"/>
      <c r="CQW35" s="205"/>
      <c r="CQX35" s="205"/>
      <c r="CQY35" s="205"/>
      <c r="CQZ35" s="205"/>
      <c r="CRA35" s="205"/>
      <c r="CRB35" s="205"/>
      <c r="CRC35" s="205"/>
      <c r="CRD35" s="205"/>
      <c r="CRE35" s="205"/>
      <c r="CRF35" s="205"/>
      <c r="CRG35" s="205"/>
      <c r="CRH35" s="205"/>
      <c r="CRI35" s="205"/>
      <c r="CRJ35" s="205"/>
      <c r="CRK35" s="205"/>
      <c r="CRL35" s="205"/>
      <c r="CRM35" s="205"/>
      <c r="CRN35" s="205"/>
      <c r="CRO35" s="205"/>
      <c r="CRP35" s="205"/>
      <c r="CRQ35" s="205"/>
      <c r="CRR35" s="205"/>
      <c r="CRS35" s="205"/>
      <c r="CRT35" s="205"/>
      <c r="CRU35" s="205"/>
      <c r="CRV35" s="205"/>
      <c r="CRW35" s="205"/>
      <c r="CRX35" s="205"/>
      <c r="CRY35" s="205"/>
      <c r="CRZ35" s="205"/>
      <c r="CSA35" s="205"/>
      <c r="CSB35" s="205"/>
      <c r="CSC35" s="205"/>
      <c r="CSD35" s="205"/>
      <c r="CSE35" s="205"/>
      <c r="CSF35" s="205"/>
      <c r="CSG35" s="205"/>
      <c r="CSH35" s="205"/>
      <c r="CSI35" s="205"/>
      <c r="CSJ35" s="205"/>
      <c r="CSK35" s="205"/>
      <c r="CSL35" s="205"/>
      <c r="CSM35" s="205"/>
      <c r="CSN35" s="205"/>
      <c r="CSO35" s="205"/>
      <c r="CSP35" s="205"/>
      <c r="CSQ35" s="205"/>
      <c r="CSR35" s="205"/>
      <c r="CSS35" s="205"/>
      <c r="CST35" s="205"/>
      <c r="CSU35" s="205"/>
      <c r="CSV35" s="205"/>
      <c r="CSW35" s="205"/>
      <c r="CSX35" s="205"/>
      <c r="CSY35" s="205"/>
      <c r="CSZ35" s="205"/>
      <c r="CTA35" s="205"/>
      <c r="CTB35" s="205"/>
      <c r="CTC35" s="205"/>
      <c r="CTD35" s="205"/>
      <c r="CTE35" s="205"/>
      <c r="CTF35" s="205"/>
      <c r="CTG35" s="205"/>
      <c r="CTH35" s="205"/>
      <c r="CTI35" s="205"/>
      <c r="CTJ35" s="205"/>
      <c r="CTK35" s="205"/>
      <c r="CTL35" s="205"/>
      <c r="CTM35" s="205"/>
      <c r="CTN35" s="205"/>
      <c r="CTO35" s="205"/>
      <c r="CTP35" s="205"/>
      <c r="CTQ35" s="205"/>
      <c r="CTR35" s="205"/>
      <c r="CTS35" s="205"/>
      <c r="CTT35" s="205"/>
      <c r="CTU35" s="205"/>
      <c r="CTV35" s="205"/>
      <c r="CTW35" s="205"/>
      <c r="CTX35" s="205"/>
      <c r="CTY35" s="205"/>
      <c r="CTZ35" s="205"/>
      <c r="CUA35" s="205"/>
      <c r="CUB35" s="205"/>
      <c r="CUC35" s="205"/>
      <c r="CUD35" s="205"/>
      <c r="CUE35" s="205"/>
      <c r="CUF35" s="205"/>
      <c r="CUG35" s="205"/>
      <c r="CUH35" s="205"/>
      <c r="CUI35" s="205"/>
      <c r="CUJ35" s="205"/>
      <c r="CUK35" s="205"/>
      <c r="CUL35" s="205"/>
      <c r="CUM35" s="205"/>
      <c r="CUN35" s="205"/>
      <c r="CUO35" s="205"/>
      <c r="CUP35" s="205"/>
      <c r="CUQ35" s="205"/>
      <c r="CUR35" s="205"/>
      <c r="CUS35" s="205"/>
      <c r="CUT35" s="205"/>
      <c r="CUU35" s="205"/>
      <c r="CUV35" s="205"/>
      <c r="CUW35" s="205"/>
      <c r="CUX35" s="205"/>
      <c r="CUY35" s="205"/>
      <c r="CUZ35" s="205"/>
      <c r="CVA35" s="205"/>
      <c r="CVB35" s="205"/>
      <c r="CVC35" s="205"/>
      <c r="CVD35" s="205"/>
      <c r="CVE35" s="205"/>
      <c r="CVF35" s="205"/>
      <c r="CVG35" s="205"/>
      <c r="CVH35" s="205"/>
      <c r="CVI35" s="205"/>
      <c r="CVJ35" s="205"/>
      <c r="CVK35" s="205"/>
      <c r="CVL35" s="205"/>
      <c r="CVM35" s="205"/>
      <c r="CVN35" s="205"/>
      <c r="CVO35" s="205"/>
      <c r="CVP35" s="205"/>
      <c r="CVQ35" s="205"/>
      <c r="CVR35" s="205"/>
      <c r="CVS35" s="205"/>
      <c r="CVT35" s="205"/>
      <c r="CVU35" s="205"/>
      <c r="CVV35" s="205"/>
      <c r="CVW35" s="205"/>
      <c r="CVX35" s="205"/>
      <c r="CVY35" s="205"/>
      <c r="CVZ35" s="205"/>
      <c r="CWA35" s="205"/>
      <c r="CWB35" s="205"/>
      <c r="CWC35" s="205"/>
      <c r="CWD35" s="205"/>
      <c r="CWE35" s="205"/>
      <c r="CWF35" s="205"/>
      <c r="CWG35" s="205"/>
      <c r="CWH35" s="205"/>
      <c r="CWI35" s="205"/>
      <c r="CWJ35" s="205"/>
      <c r="CWK35" s="205"/>
      <c r="CWL35" s="205"/>
      <c r="CWM35" s="205"/>
      <c r="CWN35" s="205"/>
      <c r="CWO35" s="205"/>
      <c r="CWP35" s="205"/>
      <c r="CWQ35" s="205"/>
      <c r="CWR35" s="205"/>
      <c r="CWS35" s="205"/>
      <c r="CWT35" s="205"/>
      <c r="CWU35" s="205"/>
      <c r="CWV35" s="205"/>
      <c r="CWW35" s="205"/>
      <c r="CWX35" s="205"/>
      <c r="CWY35" s="205"/>
      <c r="CWZ35" s="205"/>
      <c r="CXA35" s="205"/>
      <c r="CXB35" s="205"/>
      <c r="CXC35" s="205"/>
      <c r="CXD35" s="205"/>
      <c r="CXE35" s="205"/>
      <c r="CXF35" s="205"/>
      <c r="CXG35" s="205"/>
      <c r="CXH35" s="205"/>
      <c r="CXI35" s="205"/>
      <c r="CXJ35" s="205"/>
      <c r="CXK35" s="205"/>
      <c r="CXL35" s="205"/>
      <c r="CXM35" s="205"/>
      <c r="CXN35" s="205"/>
      <c r="CXO35" s="205"/>
      <c r="CXP35" s="205"/>
      <c r="CXQ35" s="205"/>
      <c r="CXR35" s="205"/>
      <c r="CXS35" s="205"/>
      <c r="CXT35" s="205"/>
      <c r="CXU35" s="205"/>
      <c r="CXV35" s="205"/>
      <c r="CXW35" s="205"/>
      <c r="CXX35" s="205"/>
      <c r="CXY35" s="205"/>
      <c r="CXZ35" s="205"/>
      <c r="CYA35" s="205"/>
      <c r="CYB35" s="205"/>
      <c r="CYC35" s="205"/>
      <c r="CYD35" s="205"/>
      <c r="CYE35" s="205"/>
      <c r="CYF35" s="205"/>
      <c r="CYG35" s="205"/>
      <c r="CYH35" s="205"/>
      <c r="CYI35" s="205"/>
      <c r="CYJ35" s="205"/>
      <c r="CYK35" s="205"/>
      <c r="CYL35" s="205"/>
      <c r="CYM35" s="205"/>
      <c r="CYN35" s="205"/>
      <c r="CYO35" s="205"/>
      <c r="CYP35" s="205"/>
      <c r="CYQ35" s="205"/>
      <c r="CYR35" s="205"/>
      <c r="CYS35" s="205"/>
      <c r="CYT35" s="205"/>
      <c r="CYU35" s="205"/>
      <c r="CYV35" s="205"/>
      <c r="CYW35" s="205"/>
      <c r="CYX35" s="205"/>
      <c r="CYY35" s="205"/>
      <c r="CYZ35" s="205"/>
      <c r="CZA35" s="205"/>
      <c r="CZB35" s="205"/>
      <c r="CZC35" s="205"/>
      <c r="CZD35" s="205"/>
      <c r="CZE35" s="205"/>
      <c r="CZF35" s="205"/>
      <c r="CZG35" s="205"/>
      <c r="CZH35" s="205"/>
      <c r="CZI35" s="205"/>
      <c r="CZJ35" s="205"/>
      <c r="CZK35" s="205"/>
      <c r="CZL35" s="205"/>
      <c r="CZM35" s="205"/>
      <c r="CZN35" s="205"/>
      <c r="CZO35" s="205"/>
      <c r="CZP35" s="205"/>
      <c r="CZQ35" s="205"/>
      <c r="CZR35" s="205"/>
      <c r="CZS35" s="205"/>
      <c r="CZT35" s="205"/>
      <c r="CZU35" s="205"/>
      <c r="CZV35" s="205"/>
      <c r="CZW35" s="205"/>
      <c r="CZX35" s="205"/>
      <c r="CZY35" s="205"/>
      <c r="CZZ35" s="205"/>
      <c r="DAA35" s="205"/>
      <c r="DAB35" s="205"/>
      <c r="DAC35" s="205"/>
      <c r="DAD35" s="205"/>
      <c r="DAE35" s="205"/>
      <c r="DAF35" s="205"/>
      <c r="DAG35" s="205"/>
      <c r="DAH35" s="205"/>
      <c r="DAI35" s="205"/>
      <c r="DAJ35" s="205"/>
      <c r="DAK35" s="205"/>
      <c r="DAL35" s="205"/>
      <c r="DAM35" s="205"/>
      <c r="DAN35" s="205"/>
      <c r="DAO35" s="205"/>
      <c r="DAP35" s="205"/>
      <c r="DAQ35" s="205"/>
      <c r="DAR35" s="205"/>
      <c r="DAS35" s="205"/>
      <c r="DAT35" s="205"/>
      <c r="DAU35" s="205"/>
      <c r="DAV35" s="205"/>
      <c r="DAW35" s="205"/>
      <c r="DAX35" s="205"/>
      <c r="DAY35" s="205"/>
      <c r="DAZ35" s="205"/>
      <c r="DBA35" s="205"/>
      <c r="DBB35" s="205"/>
      <c r="DBC35" s="205"/>
      <c r="DBD35" s="205"/>
      <c r="DBE35" s="205"/>
      <c r="DBF35" s="205"/>
      <c r="DBG35" s="205"/>
      <c r="DBH35" s="205"/>
      <c r="DBI35" s="205"/>
      <c r="DBJ35" s="205"/>
      <c r="DBK35" s="205"/>
      <c r="DBL35" s="205"/>
      <c r="DBM35" s="205"/>
      <c r="DBN35" s="205"/>
      <c r="DBO35" s="205"/>
      <c r="DBP35" s="205"/>
      <c r="DBQ35" s="205"/>
      <c r="DBR35" s="205"/>
      <c r="DBS35" s="205"/>
      <c r="DBT35" s="205"/>
      <c r="DBU35" s="205"/>
      <c r="DBV35" s="205"/>
      <c r="DBW35" s="205"/>
      <c r="DBX35" s="205"/>
      <c r="DBY35" s="205"/>
      <c r="DBZ35" s="205"/>
      <c r="DCA35" s="205"/>
      <c r="DCB35" s="205"/>
      <c r="DCC35" s="205"/>
      <c r="DCD35" s="205"/>
      <c r="DCE35" s="205"/>
      <c r="DCF35" s="205"/>
      <c r="DCG35" s="205"/>
      <c r="DCH35" s="205"/>
      <c r="DCI35" s="205"/>
      <c r="DCJ35" s="205"/>
      <c r="DCK35" s="205"/>
      <c r="DCL35" s="205"/>
      <c r="DCM35" s="205"/>
      <c r="DCN35" s="205"/>
      <c r="DCO35" s="205"/>
      <c r="DCP35" s="205"/>
      <c r="DCQ35" s="205"/>
      <c r="DCR35" s="205"/>
      <c r="DCS35" s="205"/>
      <c r="DCT35" s="205"/>
      <c r="DCU35" s="205"/>
      <c r="DCV35" s="205"/>
      <c r="DCW35" s="205"/>
      <c r="DCX35" s="205"/>
      <c r="DCY35" s="205"/>
      <c r="DCZ35" s="205"/>
      <c r="DDA35" s="205"/>
      <c r="DDB35" s="205"/>
      <c r="DDC35" s="205"/>
      <c r="DDD35" s="205"/>
      <c r="DDE35" s="205"/>
      <c r="DDF35" s="205"/>
      <c r="DDG35" s="205"/>
      <c r="DDH35" s="205"/>
      <c r="DDI35" s="205"/>
      <c r="DDJ35" s="205"/>
      <c r="DDK35" s="205"/>
      <c r="DDL35" s="205"/>
      <c r="DDM35" s="205"/>
      <c r="DDN35" s="205"/>
      <c r="DDO35" s="205"/>
      <c r="DDP35" s="205"/>
      <c r="DDQ35" s="205"/>
      <c r="DDR35" s="205"/>
      <c r="DDS35" s="205"/>
      <c r="DDT35" s="205"/>
      <c r="DDU35" s="205"/>
      <c r="DDV35" s="205"/>
      <c r="DDW35" s="205"/>
      <c r="DDX35" s="205"/>
      <c r="DDY35" s="205"/>
      <c r="DDZ35" s="205"/>
      <c r="DEA35" s="205"/>
      <c r="DEB35" s="205"/>
      <c r="DEC35" s="205"/>
      <c r="DED35" s="205"/>
      <c r="DEE35" s="205"/>
      <c r="DEF35" s="205"/>
      <c r="DEG35" s="205"/>
      <c r="DEH35" s="205"/>
      <c r="DEI35" s="205"/>
      <c r="DEJ35" s="205"/>
      <c r="DEK35" s="205"/>
      <c r="DEL35" s="205"/>
      <c r="DEM35" s="205"/>
      <c r="DEN35" s="205"/>
      <c r="DEO35" s="205"/>
      <c r="DEP35" s="205"/>
      <c r="DEQ35" s="205"/>
      <c r="DER35" s="205"/>
      <c r="DES35" s="205"/>
      <c r="DET35" s="205"/>
      <c r="DEU35" s="205"/>
      <c r="DEV35" s="205"/>
      <c r="DEW35" s="205"/>
      <c r="DEX35" s="205"/>
      <c r="DEY35" s="205"/>
      <c r="DEZ35" s="205"/>
      <c r="DFA35" s="205"/>
      <c r="DFB35" s="205"/>
      <c r="DFC35" s="205"/>
      <c r="DFD35" s="205"/>
      <c r="DFE35" s="205"/>
      <c r="DFF35" s="205"/>
      <c r="DFG35" s="205"/>
      <c r="DFH35" s="205"/>
      <c r="DFI35" s="205"/>
      <c r="DFJ35" s="205"/>
      <c r="DFK35" s="205"/>
      <c r="DFL35" s="205"/>
      <c r="DFM35" s="205"/>
      <c r="DFN35" s="205"/>
      <c r="DFO35" s="205"/>
      <c r="DFP35" s="205"/>
      <c r="DFQ35" s="205"/>
      <c r="DFR35" s="205"/>
      <c r="DFS35" s="205"/>
      <c r="DFT35" s="205"/>
      <c r="DFU35" s="205"/>
      <c r="DFV35" s="205"/>
      <c r="DFW35" s="205"/>
      <c r="DFX35" s="205"/>
      <c r="DFY35" s="205"/>
      <c r="DFZ35" s="205"/>
      <c r="DGA35" s="205"/>
      <c r="DGB35" s="205"/>
      <c r="DGC35" s="205"/>
      <c r="DGD35" s="205"/>
      <c r="DGE35" s="205"/>
      <c r="DGF35" s="205"/>
      <c r="DGG35" s="205"/>
      <c r="DGH35" s="205"/>
      <c r="DGI35" s="205"/>
      <c r="DGJ35" s="205"/>
      <c r="DGK35" s="205"/>
      <c r="DGL35" s="205"/>
      <c r="DGM35" s="205"/>
      <c r="DGN35" s="205"/>
      <c r="DGO35" s="205"/>
      <c r="DGP35" s="205"/>
      <c r="DGQ35" s="205"/>
      <c r="DGR35" s="205"/>
      <c r="DGS35" s="205"/>
      <c r="DGT35" s="205"/>
      <c r="DGU35" s="205"/>
      <c r="DGV35" s="205"/>
      <c r="DGW35" s="205"/>
      <c r="DGX35" s="205"/>
      <c r="DGY35" s="205"/>
      <c r="DGZ35" s="205"/>
      <c r="DHA35" s="205"/>
      <c r="DHB35" s="205"/>
      <c r="DHC35" s="205"/>
      <c r="DHD35" s="205"/>
      <c r="DHE35" s="205"/>
      <c r="DHF35" s="205"/>
      <c r="DHG35" s="205"/>
      <c r="DHH35" s="205"/>
      <c r="DHI35" s="205"/>
      <c r="DHJ35" s="205"/>
      <c r="DHK35" s="205"/>
      <c r="DHL35" s="205"/>
      <c r="DHM35" s="205"/>
      <c r="DHN35" s="205"/>
      <c r="DHO35" s="205"/>
      <c r="DHP35" s="205"/>
      <c r="DHQ35" s="205"/>
      <c r="DHR35" s="205"/>
      <c r="DHS35" s="205"/>
      <c r="DHT35" s="205"/>
      <c r="DHU35" s="205"/>
      <c r="DHV35" s="205"/>
      <c r="DHW35" s="205"/>
      <c r="DHX35" s="205"/>
      <c r="DHY35" s="205"/>
      <c r="DHZ35" s="205"/>
      <c r="DIA35" s="205"/>
      <c r="DIB35" s="205"/>
      <c r="DIC35" s="205"/>
      <c r="DID35" s="205"/>
      <c r="DIE35" s="205"/>
      <c r="DIF35" s="205"/>
      <c r="DIG35" s="205"/>
      <c r="DIH35" s="205"/>
      <c r="DII35" s="205"/>
      <c r="DIJ35" s="205"/>
      <c r="DIK35" s="205"/>
      <c r="DIL35" s="205"/>
      <c r="DIM35" s="205"/>
      <c r="DIN35" s="205"/>
      <c r="DIO35" s="205"/>
      <c r="DIP35" s="205"/>
      <c r="DIQ35" s="205"/>
      <c r="DIR35" s="205"/>
      <c r="DIS35" s="205"/>
      <c r="DIT35" s="205"/>
      <c r="DIU35" s="205"/>
      <c r="DIV35" s="205"/>
      <c r="DIW35" s="205"/>
      <c r="DIX35" s="205"/>
      <c r="DIY35" s="205"/>
      <c r="DIZ35" s="205"/>
      <c r="DJA35" s="205"/>
      <c r="DJB35" s="205"/>
      <c r="DJC35" s="205"/>
      <c r="DJD35" s="205"/>
      <c r="DJE35" s="205"/>
      <c r="DJF35" s="205"/>
      <c r="DJG35" s="205"/>
      <c r="DJH35" s="205"/>
      <c r="DJI35" s="205"/>
      <c r="DJJ35" s="205"/>
      <c r="DJK35" s="205"/>
      <c r="DJL35" s="205"/>
      <c r="DJM35" s="205"/>
      <c r="DJN35" s="205"/>
      <c r="DJO35" s="205"/>
      <c r="DJP35" s="205"/>
      <c r="DJQ35" s="205"/>
      <c r="DJR35" s="205"/>
      <c r="DJS35" s="205"/>
      <c r="DJT35" s="205"/>
      <c r="DJU35" s="205"/>
      <c r="DJV35" s="205"/>
      <c r="DJW35" s="205"/>
      <c r="DJX35" s="205"/>
      <c r="DJY35" s="205"/>
      <c r="DJZ35" s="205"/>
      <c r="DKA35" s="205"/>
      <c r="DKB35" s="205"/>
      <c r="DKC35" s="205"/>
      <c r="DKD35" s="205"/>
      <c r="DKE35" s="205"/>
      <c r="DKF35" s="205"/>
      <c r="DKG35" s="205"/>
      <c r="DKH35" s="205"/>
      <c r="DKI35" s="205"/>
      <c r="DKJ35" s="205"/>
      <c r="DKK35" s="205"/>
      <c r="DKL35" s="205"/>
      <c r="DKM35" s="205"/>
      <c r="DKN35" s="205"/>
      <c r="DKO35" s="205"/>
      <c r="DKP35" s="205"/>
      <c r="DKQ35" s="205"/>
      <c r="DKR35" s="205"/>
      <c r="DKS35" s="205"/>
      <c r="DKT35" s="205"/>
      <c r="DKU35" s="205"/>
      <c r="DKV35" s="205"/>
      <c r="DKW35" s="205"/>
      <c r="DKX35" s="205"/>
      <c r="DKY35" s="205"/>
      <c r="DKZ35" s="205"/>
      <c r="DLA35" s="205"/>
      <c r="DLB35" s="205"/>
      <c r="DLC35" s="205"/>
      <c r="DLD35" s="205"/>
      <c r="DLE35" s="205"/>
      <c r="DLF35" s="205"/>
      <c r="DLG35" s="205"/>
      <c r="DLH35" s="205"/>
      <c r="DLI35" s="205"/>
      <c r="DLJ35" s="205"/>
      <c r="DLK35" s="205"/>
      <c r="DLL35" s="205"/>
      <c r="DLM35" s="205"/>
      <c r="DLN35" s="205"/>
      <c r="DLO35" s="205"/>
      <c r="DLP35" s="205"/>
      <c r="DLQ35" s="205"/>
      <c r="DLR35" s="205"/>
      <c r="DLS35" s="205"/>
      <c r="DLT35" s="205"/>
      <c r="DLU35" s="205"/>
      <c r="DLV35" s="205"/>
      <c r="DLW35" s="205"/>
      <c r="DLX35" s="205"/>
      <c r="DLY35" s="205"/>
      <c r="DLZ35" s="205"/>
      <c r="DMA35" s="205"/>
      <c r="DMB35" s="205"/>
      <c r="DMC35" s="205"/>
      <c r="DMD35" s="205"/>
      <c r="DME35" s="205"/>
      <c r="DMF35" s="205"/>
      <c r="DMG35" s="205"/>
      <c r="DMH35" s="205"/>
      <c r="DMI35" s="205"/>
      <c r="DMJ35" s="205"/>
      <c r="DMK35" s="205"/>
      <c r="DML35" s="205"/>
      <c r="DMM35" s="205"/>
      <c r="DMN35" s="205"/>
      <c r="DMO35" s="205"/>
      <c r="DMP35" s="205"/>
      <c r="DMQ35" s="205"/>
      <c r="DMR35" s="205"/>
      <c r="DMS35" s="205"/>
      <c r="DMT35" s="205"/>
      <c r="DMU35" s="205"/>
      <c r="DMV35" s="205"/>
      <c r="DMW35" s="205"/>
      <c r="DMX35" s="205"/>
      <c r="DMY35" s="205"/>
      <c r="DMZ35" s="205"/>
      <c r="DNA35" s="205"/>
      <c r="DNB35" s="205"/>
      <c r="DNC35" s="205"/>
      <c r="DND35" s="205"/>
      <c r="DNE35" s="205"/>
      <c r="DNF35" s="205"/>
      <c r="DNG35" s="205"/>
      <c r="DNH35" s="205"/>
      <c r="DNI35" s="205"/>
      <c r="DNJ35" s="205"/>
      <c r="DNK35" s="205"/>
      <c r="DNL35" s="205"/>
      <c r="DNM35" s="205"/>
      <c r="DNN35" s="205"/>
      <c r="DNO35" s="205"/>
      <c r="DNP35" s="205"/>
      <c r="DNQ35" s="205"/>
      <c r="DNR35" s="205"/>
      <c r="DNS35" s="205"/>
      <c r="DNT35" s="205"/>
      <c r="DNU35" s="205"/>
      <c r="DNV35" s="205"/>
      <c r="DNW35" s="205"/>
      <c r="DNX35" s="205"/>
      <c r="DNY35" s="205"/>
      <c r="DNZ35" s="205"/>
      <c r="DOA35" s="205"/>
      <c r="DOB35" s="205"/>
      <c r="DOC35" s="205"/>
      <c r="DOD35" s="205"/>
      <c r="DOE35" s="205"/>
      <c r="DOF35" s="205"/>
      <c r="DOG35" s="205"/>
      <c r="DOH35" s="205"/>
      <c r="DOI35" s="205"/>
      <c r="DOJ35" s="205"/>
      <c r="DOK35" s="205"/>
      <c r="DOL35" s="205"/>
      <c r="DOM35" s="205"/>
      <c r="DON35" s="205"/>
      <c r="DOO35" s="205"/>
      <c r="DOP35" s="205"/>
      <c r="DOQ35" s="205"/>
      <c r="DOR35" s="205"/>
      <c r="DOS35" s="205"/>
      <c r="DOT35" s="205"/>
      <c r="DOU35" s="205"/>
      <c r="DOV35" s="205"/>
      <c r="DOW35" s="205"/>
      <c r="DOX35" s="205"/>
      <c r="DOY35" s="205"/>
      <c r="DOZ35" s="205"/>
      <c r="DPA35" s="205"/>
      <c r="DPB35" s="205"/>
      <c r="DPC35" s="205"/>
      <c r="DPD35" s="205"/>
      <c r="DPE35" s="205"/>
      <c r="DPF35" s="205"/>
      <c r="DPG35" s="205"/>
      <c r="DPH35" s="205"/>
      <c r="DPI35" s="205"/>
      <c r="DPJ35" s="205"/>
      <c r="DPK35" s="205"/>
      <c r="DPL35" s="205"/>
      <c r="DPM35" s="205"/>
      <c r="DPN35" s="205"/>
      <c r="DPO35" s="205"/>
      <c r="DPP35" s="205"/>
      <c r="DPQ35" s="205"/>
      <c r="DPR35" s="205"/>
      <c r="DPS35" s="205"/>
      <c r="DPT35" s="205"/>
      <c r="DPU35" s="205"/>
      <c r="DPV35" s="205"/>
      <c r="DPW35" s="205"/>
      <c r="DPX35" s="205"/>
      <c r="DPY35" s="205"/>
      <c r="DPZ35" s="205"/>
      <c r="DQA35" s="205"/>
      <c r="DQB35" s="205"/>
      <c r="DQC35" s="205"/>
      <c r="DQD35" s="205"/>
      <c r="DQE35" s="205"/>
      <c r="DQF35" s="205"/>
      <c r="DQG35" s="205"/>
      <c r="DQH35" s="205"/>
      <c r="DQI35" s="205"/>
      <c r="DQJ35" s="205"/>
      <c r="DQK35" s="205"/>
      <c r="DQL35" s="205"/>
      <c r="DQM35" s="205"/>
      <c r="DQN35" s="205"/>
      <c r="DQO35" s="205"/>
      <c r="DQP35" s="205"/>
      <c r="DQQ35" s="205"/>
      <c r="DQR35" s="205"/>
      <c r="DQS35" s="205"/>
      <c r="DQT35" s="205"/>
      <c r="DQU35" s="205"/>
      <c r="DQV35" s="205"/>
      <c r="DQW35" s="205"/>
      <c r="DQX35" s="205"/>
      <c r="DQY35" s="205"/>
      <c r="DQZ35" s="205"/>
      <c r="DRA35" s="205"/>
      <c r="DRB35" s="205"/>
      <c r="DRC35" s="205"/>
      <c r="DRD35" s="205"/>
      <c r="DRE35" s="205"/>
      <c r="DRF35" s="205"/>
      <c r="DRG35" s="205"/>
      <c r="DRH35" s="205"/>
      <c r="DRI35" s="205"/>
      <c r="DRJ35" s="205"/>
      <c r="DRK35" s="205"/>
      <c r="DRL35" s="205"/>
      <c r="DRM35" s="205"/>
      <c r="DRN35" s="205"/>
      <c r="DRO35" s="205"/>
      <c r="DRP35" s="205"/>
      <c r="DRQ35" s="205"/>
      <c r="DRR35" s="205"/>
      <c r="DRS35" s="205"/>
      <c r="DRT35" s="205"/>
      <c r="DRU35" s="205"/>
      <c r="DRV35" s="205"/>
      <c r="DRW35" s="205"/>
      <c r="DRX35" s="205"/>
      <c r="DRY35" s="205"/>
      <c r="DRZ35" s="205"/>
      <c r="DSA35" s="205"/>
      <c r="DSB35" s="205"/>
      <c r="DSC35" s="205"/>
      <c r="DSD35" s="205"/>
      <c r="DSE35" s="205"/>
      <c r="DSF35" s="205"/>
      <c r="DSG35" s="205"/>
      <c r="DSH35" s="205"/>
      <c r="DSI35" s="205"/>
      <c r="DSJ35" s="205"/>
      <c r="DSK35" s="205"/>
      <c r="DSL35" s="205"/>
      <c r="DSM35" s="205"/>
      <c r="DSN35" s="205"/>
      <c r="DSO35" s="205"/>
      <c r="DSP35" s="205"/>
      <c r="DSQ35" s="205"/>
      <c r="DSR35" s="205"/>
      <c r="DSS35" s="205"/>
      <c r="DST35" s="205"/>
      <c r="DSU35" s="205"/>
      <c r="DSV35" s="205"/>
      <c r="DSW35" s="205"/>
      <c r="DSX35" s="205"/>
      <c r="DSY35" s="205"/>
      <c r="DSZ35" s="205"/>
      <c r="DTA35" s="205"/>
      <c r="DTB35" s="205"/>
      <c r="DTC35" s="205"/>
      <c r="DTD35" s="205"/>
      <c r="DTE35" s="205"/>
      <c r="DTF35" s="205"/>
      <c r="DTG35" s="205"/>
      <c r="DTH35" s="205"/>
      <c r="DTI35" s="205"/>
      <c r="DTJ35" s="205"/>
      <c r="DTK35" s="205"/>
      <c r="DTL35" s="205"/>
      <c r="DTM35" s="205"/>
      <c r="DTN35" s="205"/>
      <c r="DTO35" s="205"/>
      <c r="DTP35" s="205"/>
      <c r="DTQ35" s="205"/>
      <c r="DTR35" s="205"/>
      <c r="DTS35" s="205"/>
      <c r="DTT35" s="205"/>
      <c r="DTU35" s="205"/>
      <c r="DTV35" s="205"/>
      <c r="DTW35" s="205"/>
      <c r="DTX35" s="205"/>
      <c r="DTY35" s="205"/>
      <c r="DTZ35" s="205"/>
      <c r="DUA35" s="205"/>
      <c r="DUB35" s="205"/>
      <c r="DUC35" s="205"/>
      <c r="DUD35" s="205"/>
      <c r="DUE35" s="205"/>
      <c r="DUF35" s="205"/>
      <c r="DUG35" s="205"/>
      <c r="DUH35" s="205"/>
      <c r="DUI35" s="205"/>
      <c r="DUJ35" s="205"/>
      <c r="DUK35" s="205"/>
      <c r="DUL35" s="205"/>
      <c r="DUM35" s="205"/>
      <c r="DUN35" s="205"/>
      <c r="DUO35" s="205"/>
      <c r="DUP35" s="205"/>
      <c r="DUQ35" s="205"/>
      <c r="DUR35" s="205"/>
      <c r="DUS35" s="205"/>
      <c r="DUT35" s="205"/>
      <c r="DUU35" s="205"/>
      <c r="DUV35" s="205"/>
      <c r="DUW35" s="205"/>
      <c r="DUX35" s="205"/>
      <c r="DUY35" s="205"/>
      <c r="DUZ35" s="205"/>
      <c r="DVA35" s="205"/>
      <c r="DVB35" s="205"/>
      <c r="DVC35" s="205"/>
      <c r="DVD35" s="205"/>
      <c r="DVE35" s="205"/>
      <c r="DVF35" s="205"/>
      <c r="DVG35" s="205"/>
      <c r="DVH35" s="205"/>
      <c r="DVI35" s="205"/>
      <c r="DVJ35" s="205"/>
      <c r="DVK35" s="205"/>
      <c r="DVL35" s="205"/>
      <c r="DVM35" s="205"/>
      <c r="DVN35" s="205"/>
      <c r="DVO35" s="205"/>
      <c r="DVP35" s="205"/>
      <c r="DVQ35" s="205"/>
      <c r="DVR35" s="205"/>
      <c r="DVS35" s="205"/>
      <c r="DVT35" s="205"/>
      <c r="DVU35" s="205"/>
      <c r="DVV35" s="205"/>
      <c r="DVW35" s="205"/>
      <c r="DVX35" s="205"/>
      <c r="DVY35" s="205"/>
      <c r="DVZ35" s="205"/>
      <c r="DWA35" s="205"/>
      <c r="DWB35" s="205"/>
      <c r="DWC35" s="205"/>
      <c r="DWD35" s="205"/>
      <c r="DWE35" s="205"/>
      <c r="DWF35" s="205"/>
      <c r="DWG35" s="205"/>
      <c r="DWH35" s="205"/>
      <c r="DWI35" s="205"/>
      <c r="DWJ35" s="205"/>
      <c r="DWK35" s="205"/>
      <c r="DWL35" s="205"/>
      <c r="DWM35" s="205"/>
      <c r="DWN35" s="205"/>
      <c r="DWO35" s="205"/>
      <c r="DWP35" s="205"/>
      <c r="DWQ35" s="205"/>
      <c r="DWR35" s="205"/>
      <c r="DWS35" s="205"/>
      <c r="DWT35" s="205"/>
      <c r="DWU35" s="205"/>
      <c r="DWV35" s="205"/>
      <c r="DWW35" s="205"/>
      <c r="DWX35" s="205"/>
      <c r="DWY35" s="205"/>
      <c r="DWZ35" s="205"/>
      <c r="DXA35" s="205"/>
      <c r="DXB35" s="205"/>
      <c r="DXC35" s="205"/>
      <c r="DXD35" s="205"/>
      <c r="DXE35" s="205"/>
      <c r="DXF35" s="205"/>
      <c r="DXG35" s="205"/>
      <c r="DXH35" s="205"/>
      <c r="DXI35" s="205"/>
      <c r="DXJ35" s="205"/>
      <c r="DXK35" s="205"/>
      <c r="DXL35" s="205"/>
      <c r="DXM35" s="205"/>
      <c r="DXN35" s="205"/>
      <c r="DXO35" s="205"/>
      <c r="DXP35" s="205"/>
      <c r="DXQ35" s="205"/>
      <c r="DXR35" s="205"/>
      <c r="DXS35" s="205"/>
      <c r="DXT35" s="205"/>
      <c r="DXU35" s="205"/>
      <c r="DXV35" s="205"/>
      <c r="DXW35" s="205"/>
      <c r="DXX35" s="205"/>
      <c r="DXY35" s="205"/>
      <c r="DXZ35" s="205"/>
      <c r="DYA35" s="205"/>
      <c r="DYB35" s="205"/>
      <c r="DYC35" s="205"/>
      <c r="DYD35" s="205"/>
      <c r="DYE35" s="205"/>
      <c r="DYF35" s="205"/>
      <c r="DYG35" s="205"/>
      <c r="DYH35" s="205"/>
      <c r="DYI35" s="205"/>
      <c r="DYJ35" s="205"/>
      <c r="DYK35" s="205"/>
      <c r="DYL35" s="205"/>
      <c r="DYM35" s="205"/>
      <c r="DYN35" s="205"/>
      <c r="DYO35" s="205"/>
      <c r="DYP35" s="205"/>
      <c r="DYQ35" s="205"/>
      <c r="DYR35" s="205"/>
      <c r="DYS35" s="205"/>
      <c r="DYT35" s="205"/>
      <c r="DYU35" s="205"/>
      <c r="DYV35" s="205"/>
      <c r="DYW35" s="205"/>
      <c r="DYX35" s="205"/>
      <c r="DYY35" s="205"/>
      <c r="DYZ35" s="205"/>
      <c r="DZA35" s="205"/>
      <c r="DZB35" s="205"/>
      <c r="DZC35" s="205"/>
      <c r="DZD35" s="205"/>
      <c r="DZE35" s="205"/>
      <c r="DZF35" s="205"/>
      <c r="DZG35" s="205"/>
      <c r="DZH35" s="205"/>
      <c r="DZI35" s="205"/>
      <c r="DZJ35" s="205"/>
      <c r="DZK35" s="205"/>
      <c r="DZL35" s="205"/>
      <c r="DZM35" s="205"/>
      <c r="DZN35" s="205"/>
      <c r="DZO35" s="205"/>
      <c r="DZP35" s="205"/>
      <c r="DZQ35" s="205"/>
      <c r="DZR35" s="205"/>
      <c r="DZS35" s="205"/>
      <c r="DZT35" s="205"/>
      <c r="DZU35" s="205"/>
      <c r="DZV35" s="205"/>
      <c r="DZW35" s="205"/>
      <c r="DZX35" s="205"/>
      <c r="DZY35" s="205"/>
      <c r="DZZ35" s="205"/>
      <c r="EAA35" s="205"/>
      <c r="EAB35" s="205"/>
      <c r="EAC35" s="205"/>
      <c r="EAD35" s="205"/>
      <c r="EAE35" s="205"/>
      <c r="EAF35" s="205"/>
      <c r="EAG35" s="205"/>
      <c r="EAH35" s="205"/>
      <c r="EAI35" s="205"/>
      <c r="EAJ35" s="205"/>
      <c r="EAK35" s="205"/>
      <c r="EAL35" s="205"/>
      <c r="EAM35" s="205"/>
      <c r="EAN35" s="205"/>
      <c r="EAO35" s="205"/>
      <c r="EAP35" s="205"/>
      <c r="EAQ35" s="205"/>
      <c r="EAR35" s="205"/>
      <c r="EAS35" s="205"/>
      <c r="EAT35" s="205"/>
      <c r="EAU35" s="205"/>
      <c r="EAV35" s="205"/>
      <c r="EAW35" s="205"/>
      <c r="EAX35" s="205"/>
      <c r="EAY35" s="205"/>
      <c r="EAZ35" s="205"/>
      <c r="EBA35" s="205"/>
      <c r="EBB35" s="205"/>
      <c r="EBC35" s="205"/>
      <c r="EBD35" s="205"/>
      <c r="EBE35" s="205"/>
      <c r="EBF35" s="205"/>
      <c r="EBG35" s="205"/>
      <c r="EBH35" s="205"/>
      <c r="EBI35" s="205"/>
      <c r="EBJ35" s="205"/>
      <c r="EBK35" s="205"/>
      <c r="EBL35" s="205"/>
      <c r="EBM35" s="205"/>
      <c r="EBN35" s="205"/>
      <c r="EBO35" s="205"/>
      <c r="EBP35" s="205"/>
      <c r="EBQ35" s="205"/>
      <c r="EBR35" s="205"/>
      <c r="EBS35" s="205"/>
      <c r="EBT35" s="205"/>
      <c r="EBU35" s="205"/>
      <c r="EBV35" s="205"/>
      <c r="EBW35" s="205"/>
      <c r="EBX35" s="205"/>
      <c r="EBY35" s="205"/>
      <c r="EBZ35" s="205"/>
      <c r="ECA35" s="205"/>
      <c r="ECB35" s="205"/>
      <c r="ECC35" s="205"/>
      <c r="ECD35" s="205"/>
      <c r="ECE35" s="205"/>
      <c r="ECF35" s="205"/>
      <c r="ECG35" s="205"/>
      <c r="ECH35" s="205"/>
      <c r="ECI35" s="205"/>
      <c r="ECJ35" s="205"/>
      <c r="ECK35" s="205"/>
      <c r="ECL35" s="205"/>
      <c r="ECM35" s="205"/>
      <c r="ECN35" s="205"/>
      <c r="ECO35" s="205"/>
      <c r="ECP35" s="205"/>
      <c r="ECQ35" s="205"/>
      <c r="ECR35" s="205"/>
      <c r="ECS35" s="205"/>
      <c r="ECT35" s="205"/>
      <c r="ECU35" s="205"/>
      <c r="ECV35" s="205"/>
      <c r="ECW35" s="205"/>
      <c r="ECX35" s="205"/>
      <c r="ECY35" s="205"/>
      <c r="ECZ35" s="205"/>
      <c r="EDA35" s="205"/>
      <c r="EDB35" s="205"/>
      <c r="EDC35" s="205"/>
      <c r="EDD35" s="205"/>
      <c r="EDE35" s="205"/>
      <c r="EDF35" s="205"/>
      <c r="EDG35" s="205"/>
      <c r="EDH35" s="205"/>
      <c r="EDI35" s="205"/>
      <c r="EDJ35" s="205"/>
      <c r="EDK35" s="205"/>
      <c r="EDL35" s="205"/>
      <c r="EDM35" s="205"/>
      <c r="EDN35" s="205"/>
      <c r="EDO35" s="205"/>
      <c r="EDP35" s="205"/>
      <c r="EDQ35" s="205"/>
      <c r="EDR35" s="205"/>
      <c r="EDS35" s="205"/>
      <c r="EDT35" s="205"/>
      <c r="EDU35" s="205"/>
      <c r="EDV35" s="205"/>
      <c r="EDW35" s="205"/>
      <c r="EDX35" s="205"/>
      <c r="EDY35" s="205"/>
      <c r="EDZ35" s="205"/>
      <c r="EEA35" s="205"/>
      <c r="EEB35" s="205"/>
      <c r="EEC35" s="205"/>
      <c r="EED35" s="205"/>
      <c r="EEE35" s="205"/>
      <c r="EEF35" s="205"/>
      <c r="EEG35" s="205"/>
      <c r="EEH35" s="205"/>
      <c r="EEI35" s="205"/>
      <c r="EEJ35" s="205"/>
      <c r="EEK35" s="205"/>
      <c r="EEL35" s="205"/>
      <c r="EEM35" s="205"/>
      <c r="EEN35" s="205"/>
      <c r="EEO35" s="205"/>
      <c r="EEP35" s="205"/>
      <c r="EEQ35" s="205"/>
      <c r="EER35" s="205"/>
      <c r="EES35" s="205"/>
      <c r="EET35" s="205"/>
      <c r="EEU35" s="205"/>
      <c r="EEV35" s="205"/>
      <c r="EEW35" s="205"/>
      <c r="EEX35" s="205"/>
      <c r="EEY35" s="205"/>
      <c r="EEZ35" s="205"/>
      <c r="EFA35" s="205"/>
      <c r="EFB35" s="205"/>
      <c r="EFC35" s="205"/>
      <c r="EFD35" s="205"/>
      <c r="EFE35" s="205"/>
      <c r="EFF35" s="205"/>
      <c r="EFG35" s="205"/>
      <c r="EFH35" s="205"/>
      <c r="EFI35" s="205"/>
      <c r="EFJ35" s="205"/>
      <c r="EFK35" s="205"/>
      <c r="EFL35" s="205"/>
      <c r="EFM35" s="205"/>
      <c r="EFN35" s="205"/>
      <c r="EFO35" s="205"/>
      <c r="EFP35" s="205"/>
      <c r="EFQ35" s="205"/>
      <c r="EFR35" s="205"/>
      <c r="EFS35" s="205"/>
      <c r="EFT35" s="205"/>
      <c r="EFU35" s="205"/>
      <c r="EFV35" s="205"/>
      <c r="EFW35" s="205"/>
      <c r="EFX35" s="205"/>
      <c r="EFY35" s="205"/>
      <c r="EFZ35" s="205"/>
      <c r="EGA35" s="205"/>
      <c r="EGB35" s="205"/>
      <c r="EGC35" s="205"/>
      <c r="EGD35" s="205"/>
      <c r="EGE35" s="205"/>
      <c r="EGF35" s="205"/>
      <c r="EGG35" s="205"/>
      <c r="EGH35" s="205"/>
      <c r="EGI35" s="205"/>
      <c r="EGJ35" s="205"/>
      <c r="EGK35" s="205"/>
      <c r="EGL35" s="205"/>
      <c r="EGM35" s="205"/>
      <c r="EGN35" s="205"/>
      <c r="EGO35" s="205"/>
      <c r="EGP35" s="205"/>
      <c r="EGQ35" s="205"/>
      <c r="EGR35" s="205"/>
      <c r="EGS35" s="205"/>
      <c r="EGT35" s="205"/>
      <c r="EGU35" s="205"/>
      <c r="EGV35" s="205"/>
      <c r="EGW35" s="205"/>
      <c r="EGX35" s="205"/>
      <c r="EGY35" s="205"/>
      <c r="EGZ35" s="205"/>
      <c r="EHA35" s="205"/>
      <c r="EHB35" s="205"/>
      <c r="EHC35" s="205"/>
      <c r="EHD35" s="205"/>
      <c r="EHE35" s="205"/>
      <c r="EHF35" s="205"/>
      <c r="EHG35" s="205"/>
      <c r="EHH35" s="205"/>
      <c r="EHI35" s="205"/>
      <c r="EHJ35" s="205"/>
      <c r="EHK35" s="205"/>
      <c r="EHL35" s="205"/>
      <c r="EHM35" s="205"/>
      <c r="EHN35" s="205"/>
      <c r="EHO35" s="205"/>
      <c r="EHP35" s="205"/>
      <c r="EHQ35" s="205"/>
      <c r="EHR35" s="205"/>
      <c r="EHS35" s="205"/>
      <c r="EHT35" s="205"/>
      <c r="EHU35" s="205"/>
      <c r="EHV35" s="205"/>
      <c r="EHW35" s="205"/>
      <c r="EHX35" s="205"/>
      <c r="EHY35" s="205"/>
      <c r="EHZ35" s="205"/>
      <c r="EIA35" s="205"/>
      <c r="EIB35" s="205"/>
      <c r="EIC35" s="205"/>
      <c r="EID35" s="205"/>
      <c r="EIE35" s="205"/>
      <c r="EIF35" s="205"/>
      <c r="EIG35" s="205"/>
      <c r="EIH35" s="205"/>
      <c r="EII35" s="205"/>
      <c r="EIJ35" s="205"/>
      <c r="EIK35" s="205"/>
      <c r="EIL35" s="205"/>
      <c r="EIM35" s="205"/>
      <c r="EIN35" s="205"/>
      <c r="EIO35" s="205"/>
      <c r="EIP35" s="205"/>
      <c r="EIQ35" s="205"/>
      <c r="EIR35" s="205"/>
      <c r="EIS35" s="205"/>
      <c r="EIT35" s="205"/>
      <c r="EIU35" s="205"/>
      <c r="EIV35" s="205"/>
      <c r="EIW35" s="205"/>
      <c r="EIX35" s="205"/>
      <c r="EIY35" s="205"/>
      <c r="EIZ35" s="205"/>
      <c r="EJA35" s="205"/>
      <c r="EJB35" s="205"/>
      <c r="EJC35" s="205"/>
      <c r="EJD35" s="205"/>
      <c r="EJE35" s="205"/>
      <c r="EJF35" s="205"/>
      <c r="EJG35" s="205"/>
      <c r="EJH35" s="205"/>
      <c r="EJI35" s="205"/>
      <c r="EJJ35" s="205"/>
      <c r="EJK35" s="205"/>
      <c r="EJL35" s="205"/>
      <c r="EJM35" s="205"/>
      <c r="EJN35" s="205"/>
      <c r="EJO35" s="205"/>
      <c r="EJP35" s="205"/>
      <c r="EJQ35" s="205"/>
      <c r="EJR35" s="205"/>
      <c r="EJS35" s="205"/>
      <c r="EJT35" s="205"/>
      <c r="EJU35" s="205"/>
      <c r="EJV35" s="205"/>
      <c r="EJW35" s="205"/>
      <c r="EJX35" s="205"/>
      <c r="EJY35" s="205"/>
      <c r="EJZ35" s="205"/>
      <c r="EKA35" s="205"/>
      <c r="EKB35" s="205"/>
      <c r="EKC35" s="205"/>
      <c r="EKD35" s="205"/>
      <c r="EKE35" s="205"/>
      <c r="EKF35" s="205"/>
      <c r="EKG35" s="205"/>
      <c r="EKH35" s="205"/>
      <c r="EKI35" s="205"/>
      <c r="EKJ35" s="205"/>
      <c r="EKK35" s="205"/>
      <c r="EKL35" s="205"/>
      <c r="EKM35" s="205"/>
      <c r="EKN35" s="205"/>
      <c r="EKO35" s="205"/>
      <c r="EKP35" s="205"/>
      <c r="EKQ35" s="205"/>
      <c r="EKR35" s="205"/>
      <c r="EKS35" s="205"/>
      <c r="EKT35" s="205"/>
      <c r="EKU35" s="205"/>
      <c r="EKV35" s="205"/>
      <c r="EKW35" s="205"/>
      <c r="EKX35" s="205"/>
      <c r="EKY35" s="205"/>
      <c r="EKZ35" s="205"/>
      <c r="ELA35" s="205"/>
      <c r="ELB35" s="205"/>
      <c r="ELC35" s="205"/>
      <c r="ELD35" s="205"/>
      <c r="ELE35" s="205"/>
      <c r="ELF35" s="205"/>
      <c r="ELG35" s="205"/>
      <c r="ELH35" s="205"/>
      <c r="ELI35" s="205"/>
      <c r="ELJ35" s="205"/>
      <c r="ELK35" s="205"/>
      <c r="ELL35" s="205"/>
      <c r="ELM35" s="205"/>
      <c r="ELN35" s="205"/>
      <c r="ELO35" s="205"/>
      <c r="ELP35" s="205"/>
      <c r="ELQ35" s="205"/>
      <c r="ELR35" s="205"/>
      <c r="ELS35" s="205"/>
      <c r="ELT35" s="205"/>
      <c r="ELU35" s="205"/>
      <c r="ELV35" s="205"/>
      <c r="ELW35" s="205"/>
      <c r="ELX35" s="205"/>
      <c r="ELY35" s="205"/>
      <c r="ELZ35" s="205"/>
      <c r="EMA35" s="205"/>
      <c r="EMB35" s="205"/>
      <c r="EMC35" s="205"/>
      <c r="EMD35" s="205"/>
      <c r="EME35" s="205"/>
      <c r="EMF35" s="205"/>
      <c r="EMG35" s="205"/>
      <c r="EMH35" s="205"/>
      <c r="EMI35" s="205"/>
      <c r="EMJ35" s="205"/>
      <c r="EMK35" s="205"/>
      <c r="EML35" s="205"/>
      <c r="EMM35" s="205"/>
      <c r="EMN35" s="205"/>
      <c r="EMO35" s="205"/>
      <c r="EMP35" s="205"/>
      <c r="EMQ35" s="205"/>
      <c r="EMR35" s="205"/>
      <c r="EMS35" s="205"/>
      <c r="EMT35" s="205"/>
      <c r="EMU35" s="205"/>
      <c r="EMV35" s="205"/>
      <c r="EMW35" s="205"/>
      <c r="EMX35" s="205"/>
      <c r="EMY35" s="205"/>
      <c r="EMZ35" s="205"/>
      <c r="ENA35" s="205"/>
      <c r="ENB35" s="205"/>
      <c r="ENC35" s="205"/>
      <c r="END35" s="205"/>
      <c r="ENE35" s="205"/>
      <c r="ENF35" s="205"/>
      <c r="ENG35" s="205"/>
      <c r="ENH35" s="205"/>
      <c r="ENI35" s="205"/>
      <c r="ENJ35" s="205"/>
      <c r="ENK35" s="205"/>
      <c r="ENL35" s="205"/>
      <c r="ENM35" s="205"/>
      <c r="ENN35" s="205"/>
      <c r="ENO35" s="205"/>
      <c r="ENP35" s="205"/>
      <c r="ENQ35" s="205"/>
      <c r="ENR35" s="205"/>
      <c r="ENS35" s="205"/>
      <c r="ENT35" s="205"/>
      <c r="ENU35" s="205"/>
      <c r="ENV35" s="205"/>
      <c r="ENW35" s="205"/>
      <c r="ENX35" s="205"/>
      <c r="ENY35" s="205"/>
      <c r="ENZ35" s="205"/>
      <c r="EOA35" s="205"/>
      <c r="EOB35" s="205"/>
      <c r="EOC35" s="205"/>
      <c r="EOD35" s="205"/>
      <c r="EOE35" s="205"/>
      <c r="EOF35" s="205"/>
      <c r="EOG35" s="205"/>
      <c r="EOH35" s="205"/>
      <c r="EOI35" s="205"/>
      <c r="EOJ35" s="205"/>
      <c r="EOK35" s="205"/>
      <c r="EOL35" s="205"/>
      <c r="EOM35" s="205"/>
      <c r="EON35" s="205"/>
      <c r="EOO35" s="205"/>
      <c r="EOP35" s="205"/>
      <c r="EOQ35" s="205"/>
      <c r="EOR35" s="205"/>
      <c r="EOS35" s="205"/>
      <c r="EOT35" s="205"/>
      <c r="EOU35" s="205"/>
      <c r="EOV35" s="205"/>
      <c r="EOW35" s="205"/>
      <c r="EOX35" s="205"/>
      <c r="EOY35" s="205"/>
      <c r="EOZ35" s="205"/>
      <c r="EPA35" s="205"/>
      <c r="EPB35" s="205"/>
      <c r="EPC35" s="205"/>
      <c r="EPD35" s="205"/>
      <c r="EPE35" s="205"/>
      <c r="EPF35" s="205"/>
      <c r="EPG35" s="205"/>
      <c r="EPH35" s="205"/>
      <c r="EPI35" s="205"/>
      <c r="EPJ35" s="205"/>
      <c r="EPK35" s="205"/>
      <c r="EPL35" s="205"/>
      <c r="EPM35" s="205"/>
      <c r="EPN35" s="205"/>
      <c r="EPO35" s="205"/>
      <c r="EPP35" s="205"/>
      <c r="EPQ35" s="205"/>
      <c r="EPR35" s="205"/>
      <c r="EPS35" s="205"/>
      <c r="EPT35" s="205"/>
      <c r="EPU35" s="205"/>
      <c r="EPV35" s="205"/>
      <c r="EPW35" s="205"/>
      <c r="EPX35" s="205"/>
      <c r="EPY35" s="205"/>
      <c r="EPZ35" s="205"/>
      <c r="EQA35" s="205"/>
      <c r="EQB35" s="205"/>
      <c r="EQC35" s="205"/>
      <c r="EQD35" s="205"/>
      <c r="EQE35" s="205"/>
      <c r="EQF35" s="205"/>
      <c r="EQG35" s="205"/>
      <c r="EQH35" s="205"/>
      <c r="EQI35" s="205"/>
      <c r="EQJ35" s="205"/>
      <c r="EQK35" s="205"/>
      <c r="EQL35" s="205"/>
      <c r="EQM35" s="205"/>
      <c r="EQN35" s="205"/>
      <c r="EQO35" s="205"/>
      <c r="EQP35" s="205"/>
      <c r="EQQ35" s="205"/>
      <c r="EQR35" s="205"/>
      <c r="EQS35" s="205"/>
      <c r="EQT35" s="205"/>
      <c r="EQU35" s="205"/>
      <c r="EQV35" s="205"/>
      <c r="EQW35" s="205"/>
      <c r="EQX35" s="205"/>
      <c r="EQY35" s="205"/>
      <c r="EQZ35" s="205"/>
      <c r="ERA35" s="205"/>
      <c r="ERB35" s="205"/>
      <c r="ERC35" s="205"/>
      <c r="ERD35" s="205"/>
      <c r="ERE35" s="205"/>
      <c r="ERF35" s="205"/>
      <c r="ERG35" s="205"/>
      <c r="ERH35" s="205"/>
      <c r="ERI35" s="205"/>
      <c r="ERJ35" s="205"/>
      <c r="ERK35" s="205"/>
      <c r="ERL35" s="205"/>
      <c r="ERM35" s="205"/>
      <c r="ERN35" s="205"/>
      <c r="ERO35" s="205"/>
      <c r="ERP35" s="205"/>
      <c r="ERQ35" s="205"/>
      <c r="ERR35" s="205"/>
      <c r="ERS35" s="205"/>
      <c r="ERT35" s="205"/>
      <c r="ERU35" s="205"/>
      <c r="ERV35" s="205"/>
      <c r="ERW35" s="205"/>
      <c r="ERX35" s="205"/>
      <c r="ERY35" s="205"/>
      <c r="ERZ35" s="205"/>
      <c r="ESA35" s="205"/>
      <c r="ESB35" s="205"/>
      <c r="ESC35" s="205"/>
      <c r="ESD35" s="205"/>
      <c r="ESE35" s="205"/>
      <c r="ESF35" s="205"/>
      <c r="ESG35" s="205"/>
      <c r="ESH35" s="205"/>
      <c r="ESI35" s="205"/>
      <c r="ESJ35" s="205"/>
      <c r="ESK35" s="205"/>
      <c r="ESL35" s="205"/>
      <c r="ESM35" s="205"/>
      <c r="ESN35" s="205"/>
      <c r="ESO35" s="205"/>
      <c r="ESP35" s="205"/>
      <c r="ESQ35" s="205"/>
      <c r="ESR35" s="205"/>
      <c r="ESS35" s="205"/>
      <c r="EST35" s="205"/>
      <c r="ESU35" s="205"/>
      <c r="ESV35" s="205"/>
      <c r="ESW35" s="205"/>
      <c r="ESX35" s="205"/>
      <c r="ESY35" s="205"/>
      <c r="ESZ35" s="205"/>
      <c r="ETA35" s="205"/>
      <c r="ETB35" s="205"/>
      <c r="ETC35" s="205"/>
      <c r="ETD35" s="205"/>
      <c r="ETE35" s="205"/>
      <c r="ETF35" s="205"/>
      <c r="ETG35" s="205"/>
      <c r="ETH35" s="205"/>
      <c r="ETI35" s="205"/>
      <c r="ETJ35" s="205"/>
      <c r="ETK35" s="205"/>
      <c r="ETL35" s="205"/>
      <c r="ETM35" s="205"/>
      <c r="ETN35" s="205"/>
      <c r="ETO35" s="205"/>
      <c r="ETP35" s="205"/>
      <c r="ETQ35" s="205"/>
      <c r="ETR35" s="205"/>
      <c r="ETS35" s="205"/>
      <c r="ETT35" s="205"/>
      <c r="ETU35" s="205"/>
      <c r="ETV35" s="205"/>
      <c r="ETW35" s="205"/>
      <c r="ETX35" s="205"/>
      <c r="ETY35" s="205"/>
      <c r="ETZ35" s="205"/>
      <c r="EUA35" s="205"/>
      <c r="EUB35" s="205"/>
      <c r="EUC35" s="205"/>
      <c r="EUD35" s="205"/>
      <c r="EUE35" s="205"/>
      <c r="EUF35" s="205"/>
      <c r="EUG35" s="205"/>
      <c r="EUH35" s="205"/>
      <c r="EUI35" s="205"/>
      <c r="EUJ35" s="205"/>
      <c r="EUK35" s="205"/>
      <c r="EUL35" s="205"/>
      <c r="EUM35" s="205"/>
      <c r="EUN35" s="205"/>
      <c r="EUO35" s="205"/>
      <c r="EUP35" s="205"/>
      <c r="EUQ35" s="205"/>
      <c r="EUR35" s="205"/>
      <c r="EUS35" s="205"/>
      <c r="EUT35" s="205"/>
      <c r="EUU35" s="205"/>
      <c r="EUV35" s="205"/>
      <c r="EUW35" s="205"/>
      <c r="EUX35" s="205"/>
      <c r="EUY35" s="205"/>
      <c r="EUZ35" s="205"/>
      <c r="EVA35" s="205"/>
      <c r="EVB35" s="205"/>
      <c r="EVC35" s="205"/>
      <c r="EVD35" s="205"/>
      <c r="EVE35" s="205"/>
      <c r="EVF35" s="205"/>
      <c r="EVG35" s="205"/>
      <c r="EVH35" s="205"/>
      <c r="EVI35" s="205"/>
      <c r="EVJ35" s="205"/>
      <c r="EVK35" s="205"/>
      <c r="EVL35" s="205"/>
      <c r="EVM35" s="205"/>
      <c r="EVN35" s="205"/>
      <c r="EVO35" s="205"/>
      <c r="EVP35" s="205"/>
      <c r="EVQ35" s="205"/>
      <c r="EVR35" s="205"/>
      <c r="EVS35" s="205"/>
      <c r="EVT35" s="205"/>
      <c r="EVU35" s="205"/>
      <c r="EVV35" s="205"/>
      <c r="EVW35" s="205"/>
      <c r="EVX35" s="205"/>
      <c r="EVY35" s="205"/>
      <c r="EVZ35" s="205"/>
      <c r="EWA35" s="205"/>
      <c r="EWB35" s="205"/>
      <c r="EWC35" s="205"/>
      <c r="EWD35" s="205"/>
      <c r="EWE35" s="205"/>
      <c r="EWF35" s="205"/>
      <c r="EWG35" s="205"/>
      <c r="EWH35" s="205"/>
      <c r="EWI35" s="205"/>
      <c r="EWJ35" s="205"/>
      <c r="EWK35" s="205"/>
      <c r="EWL35" s="205"/>
      <c r="EWM35" s="205"/>
      <c r="EWN35" s="205"/>
      <c r="EWO35" s="205"/>
      <c r="EWP35" s="205"/>
      <c r="EWQ35" s="205"/>
      <c r="EWR35" s="205"/>
      <c r="EWS35" s="205"/>
      <c r="EWT35" s="205"/>
      <c r="EWU35" s="205"/>
      <c r="EWV35" s="205"/>
      <c r="EWW35" s="205"/>
      <c r="EWX35" s="205"/>
      <c r="EWY35" s="205"/>
      <c r="EWZ35" s="205"/>
      <c r="EXA35" s="205"/>
      <c r="EXB35" s="205"/>
      <c r="EXC35" s="205"/>
      <c r="EXD35" s="205"/>
      <c r="EXE35" s="205"/>
      <c r="EXF35" s="205"/>
      <c r="EXG35" s="205"/>
      <c r="EXH35" s="205"/>
      <c r="EXI35" s="205"/>
      <c r="EXJ35" s="205"/>
      <c r="EXK35" s="205"/>
      <c r="EXL35" s="205"/>
      <c r="EXM35" s="205"/>
      <c r="EXN35" s="205"/>
      <c r="EXO35" s="205"/>
      <c r="EXP35" s="205"/>
      <c r="EXQ35" s="205"/>
      <c r="EXR35" s="205"/>
      <c r="EXS35" s="205"/>
      <c r="EXT35" s="205"/>
      <c r="EXU35" s="205"/>
      <c r="EXV35" s="205"/>
      <c r="EXW35" s="205"/>
      <c r="EXX35" s="205"/>
      <c r="EXY35" s="205"/>
      <c r="EXZ35" s="205"/>
      <c r="EYA35" s="205"/>
      <c r="EYB35" s="205"/>
      <c r="EYC35" s="205"/>
      <c r="EYD35" s="205"/>
      <c r="EYE35" s="205"/>
      <c r="EYF35" s="205"/>
      <c r="EYG35" s="205"/>
      <c r="EYH35" s="205"/>
      <c r="EYI35" s="205"/>
      <c r="EYJ35" s="205"/>
      <c r="EYK35" s="205"/>
      <c r="EYL35" s="205"/>
      <c r="EYM35" s="205"/>
      <c r="EYN35" s="205"/>
      <c r="EYO35" s="205"/>
      <c r="EYP35" s="205"/>
      <c r="EYQ35" s="205"/>
      <c r="EYR35" s="205"/>
      <c r="EYS35" s="205"/>
      <c r="EYT35" s="205"/>
      <c r="EYU35" s="205"/>
      <c r="EYV35" s="205"/>
      <c r="EYW35" s="205"/>
      <c r="EYX35" s="205"/>
      <c r="EYY35" s="205"/>
      <c r="EYZ35" s="205"/>
      <c r="EZA35" s="205"/>
      <c r="EZB35" s="205"/>
      <c r="EZC35" s="205"/>
      <c r="EZD35" s="205"/>
      <c r="EZE35" s="205"/>
      <c r="EZF35" s="205"/>
      <c r="EZG35" s="205"/>
      <c r="EZH35" s="205"/>
      <c r="EZI35" s="205"/>
      <c r="EZJ35" s="205"/>
      <c r="EZK35" s="205"/>
      <c r="EZL35" s="205"/>
      <c r="EZM35" s="205"/>
      <c r="EZN35" s="205"/>
      <c r="EZO35" s="205"/>
      <c r="EZP35" s="205"/>
      <c r="EZQ35" s="205"/>
      <c r="EZR35" s="205"/>
      <c r="EZS35" s="205"/>
      <c r="EZT35" s="205"/>
      <c r="EZU35" s="205"/>
      <c r="EZV35" s="205"/>
      <c r="EZW35" s="205"/>
      <c r="EZX35" s="205"/>
      <c r="EZY35" s="205"/>
      <c r="EZZ35" s="205"/>
      <c r="FAA35" s="205"/>
      <c r="FAB35" s="205"/>
      <c r="FAC35" s="205"/>
      <c r="FAD35" s="205"/>
      <c r="FAE35" s="205"/>
      <c r="FAF35" s="205"/>
      <c r="FAG35" s="205"/>
      <c r="FAH35" s="205"/>
      <c r="FAI35" s="205"/>
      <c r="FAJ35" s="205"/>
      <c r="FAK35" s="205"/>
      <c r="FAL35" s="205"/>
      <c r="FAM35" s="205"/>
      <c r="FAN35" s="205"/>
      <c r="FAO35" s="205"/>
      <c r="FAP35" s="205"/>
      <c r="FAQ35" s="205"/>
      <c r="FAR35" s="205"/>
      <c r="FAS35" s="205"/>
      <c r="FAT35" s="205"/>
      <c r="FAU35" s="205"/>
      <c r="FAV35" s="205"/>
      <c r="FAW35" s="205"/>
      <c r="FAX35" s="205"/>
      <c r="FAY35" s="205"/>
      <c r="FAZ35" s="205"/>
      <c r="FBA35" s="205"/>
      <c r="FBB35" s="205"/>
      <c r="FBC35" s="205"/>
      <c r="FBD35" s="205"/>
      <c r="FBE35" s="205"/>
      <c r="FBF35" s="205"/>
      <c r="FBG35" s="205"/>
      <c r="FBH35" s="205"/>
      <c r="FBI35" s="205"/>
      <c r="FBJ35" s="205"/>
      <c r="FBK35" s="205"/>
      <c r="FBL35" s="205"/>
      <c r="FBM35" s="205"/>
      <c r="FBN35" s="205"/>
      <c r="FBO35" s="205"/>
      <c r="FBP35" s="205"/>
      <c r="FBQ35" s="205"/>
      <c r="FBR35" s="205"/>
      <c r="FBS35" s="205"/>
      <c r="FBT35" s="205"/>
      <c r="FBU35" s="205"/>
      <c r="FBV35" s="205"/>
      <c r="FBW35" s="205"/>
      <c r="FBX35" s="205"/>
      <c r="FBY35" s="205"/>
      <c r="FBZ35" s="205"/>
      <c r="FCA35" s="205"/>
      <c r="FCB35" s="205"/>
      <c r="FCC35" s="205"/>
      <c r="FCD35" s="205"/>
      <c r="FCE35" s="205"/>
      <c r="FCF35" s="205"/>
      <c r="FCG35" s="205"/>
      <c r="FCH35" s="205"/>
      <c r="FCI35" s="205"/>
      <c r="FCJ35" s="205"/>
      <c r="FCK35" s="205"/>
      <c r="FCL35" s="205"/>
      <c r="FCM35" s="205"/>
      <c r="FCN35" s="205"/>
      <c r="FCO35" s="205"/>
      <c r="FCP35" s="205"/>
      <c r="FCQ35" s="205"/>
      <c r="FCR35" s="205"/>
      <c r="FCS35" s="205"/>
      <c r="FCT35" s="205"/>
      <c r="FCU35" s="205"/>
      <c r="FCV35" s="205"/>
      <c r="FCW35" s="205"/>
      <c r="FCX35" s="205"/>
      <c r="FCY35" s="205"/>
      <c r="FCZ35" s="205"/>
      <c r="FDA35" s="205"/>
      <c r="FDB35" s="205"/>
      <c r="FDC35" s="205"/>
      <c r="FDD35" s="205"/>
      <c r="FDE35" s="205"/>
      <c r="FDF35" s="205"/>
      <c r="FDG35" s="205"/>
      <c r="FDH35" s="205"/>
      <c r="FDI35" s="205"/>
      <c r="FDJ35" s="205"/>
      <c r="FDK35" s="205"/>
      <c r="FDL35" s="205"/>
      <c r="FDM35" s="205"/>
      <c r="FDN35" s="205"/>
      <c r="FDO35" s="205"/>
      <c r="FDP35" s="205"/>
      <c r="FDQ35" s="205"/>
      <c r="FDR35" s="205"/>
      <c r="FDS35" s="205"/>
      <c r="FDT35" s="205"/>
      <c r="FDU35" s="205"/>
      <c r="FDV35" s="205"/>
      <c r="FDW35" s="205"/>
      <c r="FDX35" s="205"/>
      <c r="FDY35" s="205"/>
      <c r="FDZ35" s="205"/>
      <c r="FEA35" s="205"/>
      <c r="FEB35" s="205"/>
      <c r="FEC35" s="205"/>
      <c r="FED35" s="205"/>
      <c r="FEE35" s="205"/>
      <c r="FEF35" s="205"/>
      <c r="FEG35" s="205"/>
      <c r="FEH35" s="205"/>
      <c r="FEI35" s="205"/>
      <c r="FEJ35" s="205"/>
      <c r="FEK35" s="205"/>
      <c r="FEL35" s="205"/>
      <c r="FEM35" s="205"/>
      <c r="FEN35" s="205"/>
      <c r="FEO35" s="205"/>
      <c r="FEP35" s="205"/>
      <c r="FEQ35" s="205"/>
      <c r="FER35" s="205"/>
      <c r="FES35" s="205"/>
      <c r="FET35" s="205"/>
      <c r="FEU35" s="205"/>
      <c r="FEV35" s="205"/>
      <c r="FEW35" s="205"/>
      <c r="FEX35" s="205"/>
      <c r="FEY35" s="205"/>
      <c r="FEZ35" s="205"/>
      <c r="FFA35" s="205"/>
      <c r="FFB35" s="205"/>
      <c r="FFC35" s="205"/>
      <c r="FFD35" s="205"/>
      <c r="FFE35" s="205"/>
      <c r="FFF35" s="205"/>
      <c r="FFG35" s="205"/>
      <c r="FFH35" s="205"/>
      <c r="FFI35" s="205"/>
      <c r="FFJ35" s="205"/>
      <c r="FFK35" s="205"/>
      <c r="FFL35" s="205"/>
      <c r="FFM35" s="205"/>
      <c r="FFN35" s="205"/>
      <c r="FFO35" s="205"/>
      <c r="FFP35" s="205"/>
      <c r="FFQ35" s="205"/>
      <c r="FFR35" s="205"/>
      <c r="FFS35" s="205"/>
      <c r="FFT35" s="205"/>
      <c r="FFU35" s="205"/>
      <c r="FFV35" s="205"/>
      <c r="FFW35" s="205"/>
      <c r="FFX35" s="205"/>
      <c r="FFY35" s="205"/>
      <c r="FFZ35" s="205"/>
      <c r="FGA35" s="205"/>
      <c r="FGB35" s="205"/>
      <c r="FGC35" s="205"/>
      <c r="FGD35" s="205"/>
      <c r="FGE35" s="205"/>
      <c r="FGF35" s="205"/>
      <c r="FGG35" s="205"/>
      <c r="FGH35" s="205"/>
      <c r="FGI35" s="205"/>
      <c r="FGJ35" s="205"/>
      <c r="FGK35" s="205"/>
      <c r="FGL35" s="205"/>
      <c r="FGM35" s="205"/>
      <c r="FGN35" s="205"/>
      <c r="FGO35" s="205"/>
      <c r="FGP35" s="205"/>
      <c r="FGQ35" s="205"/>
      <c r="FGR35" s="205"/>
      <c r="FGS35" s="205"/>
      <c r="FGT35" s="205"/>
      <c r="FGU35" s="205"/>
      <c r="FGV35" s="205"/>
      <c r="FGW35" s="205"/>
      <c r="FGX35" s="205"/>
      <c r="FGY35" s="205"/>
      <c r="FGZ35" s="205"/>
      <c r="FHA35" s="205"/>
      <c r="FHB35" s="205"/>
      <c r="FHC35" s="205"/>
      <c r="FHD35" s="205"/>
      <c r="FHE35" s="205"/>
      <c r="FHF35" s="205"/>
      <c r="FHG35" s="205"/>
      <c r="FHH35" s="205"/>
      <c r="FHI35" s="205"/>
      <c r="FHJ35" s="205"/>
      <c r="FHK35" s="205"/>
      <c r="FHL35" s="205"/>
      <c r="FHM35" s="205"/>
      <c r="FHN35" s="205"/>
      <c r="FHO35" s="205"/>
      <c r="FHP35" s="205"/>
      <c r="FHQ35" s="205"/>
      <c r="FHR35" s="205"/>
      <c r="FHS35" s="205"/>
      <c r="FHT35" s="205"/>
      <c r="FHU35" s="205"/>
      <c r="FHV35" s="205"/>
      <c r="FHW35" s="205"/>
      <c r="FHX35" s="205"/>
      <c r="FHY35" s="205"/>
      <c r="FHZ35" s="205"/>
      <c r="FIA35" s="205"/>
      <c r="FIB35" s="205"/>
      <c r="FIC35" s="205"/>
      <c r="FID35" s="205"/>
      <c r="FIE35" s="205"/>
      <c r="FIF35" s="205"/>
      <c r="FIG35" s="205"/>
      <c r="FIH35" s="205"/>
      <c r="FII35" s="205"/>
      <c r="FIJ35" s="205"/>
      <c r="FIK35" s="205"/>
      <c r="FIL35" s="205"/>
      <c r="FIM35" s="205"/>
      <c r="FIN35" s="205"/>
      <c r="FIO35" s="205"/>
      <c r="FIP35" s="205"/>
      <c r="FIQ35" s="205"/>
      <c r="FIR35" s="205"/>
      <c r="FIS35" s="205"/>
      <c r="FIT35" s="205"/>
      <c r="FIU35" s="205"/>
      <c r="FIV35" s="205"/>
      <c r="FIW35" s="205"/>
      <c r="FIX35" s="205"/>
      <c r="FIY35" s="205"/>
      <c r="FIZ35" s="205"/>
      <c r="FJA35" s="205"/>
      <c r="FJB35" s="205"/>
      <c r="FJC35" s="205"/>
      <c r="FJD35" s="205"/>
      <c r="FJE35" s="205"/>
      <c r="FJF35" s="205"/>
      <c r="FJG35" s="205"/>
      <c r="FJH35" s="205"/>
      <c r="FJI35" s="205"/>
      <c r="FJJ35" s="205"/>
      <c r="FJK35" s="205"/>
      <c r="FJL35" s="205"/>
      <c r="FJM35" s="205"/>
      <c r="FJN35" s="205"/>
      <c r="FJO35" s="205"/>
      <c r="FJP35" s="205"/>
      <c r="FJQ35" s="205"/>
      <c r="FJR35" s="205"/>
      <c r="FJS35" s="205"/>
      <c r="FJT35" s="205"/>
      <c r="FJU35" s="205"/>
      <c r="FJV35" s="205"/>
      <c r="FJW35" s="205"/>
      <c r="FJX35" s="205"/>
      <c r="FJY35" s="205"/>
      <c r="FJZ35" s="205"/>
      <c r="FKA35" s="205"/>
      <c r="FKB35" s="205"/>
      <c r="FKC35" s="205"/>
      <c r="FKD35" s="205"/>
      <c r="FKE35" s="205"/>
      <c r="FKF35" s="205"/>
      <c r="FKG35" s="205"/>
      <c r="FKH35" s="205"/>
      <c r="FKI35" s="205"/>
      <c r="FKJ35" s="205"/>
      <c r="FKK35" s="205"/>
      <c r="FKL35" s="205"/>
      <c r="FKM35" s="205"/>
      <c r="FKN35" s="205"/>
      <c r="FKO35" s="205"/>
      <c r="FKP35" s="205"/>
      <c r="FKQ35" s="205"/>
      <c r="FKR35" s="205"/>
      <c r="FKS35" s="205"/>
      <c r="FKT35" s="205"/>
      <c r="FKU35" s="205"/>
      <c r="FKV35" s="205"/>
      <c r="FKW35" s="205"/>
      <c r="FKX35" s="205"/>
      <c r="FKY35" s="205"/>
      <c r="FKZ35" s="205"/>
      <c r="FLA35" s="205"/>
      <c r="FLB35" s="205"/>
      <c r="FLC35" s="205"/>
      <c r="FLD35" s="205"/>
      <c r="FLE35" s="205"/>
      <c r="FLF35" s="205"/>
      <c r="FLG35" s="205"/>
      <c r="FLH35" s="205"/>
      <c r="FLI35" s="205"/>
      <c r="FLJ35" s="205"/>
      <c r="FLK35" s="205"/>
      <c r="FLL35" s="205"/>
      <c r="FLM35" s="205"/>
      <c r="FLN35" s="205"/>
      <c r="FLO35" s="205"/>
      <c r="FLP35" s="205"/>
      <c r="FLQ35" s="205"/>
      <c r="FLR35" s="205"/>
      <c r="FLS35" s="205"/>
      <c r="FLT35" s="205"/>
      <c r="FLU35" s="205"/>
      <c r="FLV35" s="205"/>
      <c r="FLW35" s="205"/>
      <c r="FLX35" s="205"/>
      <c r="FLY35" s="205"/>
      <c r="FLZ35" s="205"/>
      <c r="FMA35" s="205"/>
      <c r="FMB35" s="205"/>
      <c r="FMC35" s="205"/>
      <c r="FMD35" s="205"/>
      <c r="FME35" s="205"/>
      <c r="FMF35" s="205"/>
      <c r="FMG35" s="205"/>
      <c r="FMH35" s="205"/>
      <c r="FMI35" s="205"/>
      <c r="FMJ35" s="205"/>
      <c r="FMK35" s="205"/>
      <c r="FML35" s="205"/>
      <c r="FMM35" s="205"/>
      <c r="FMN35" s="205"/>
      <c r="FMO35" s="205"/>
      <c r="FMP35" s="205"/>
      <c r="FMQ35" s="205"/>
      <c r="FMR35" s="205"/>
      <c r="FMS35" s="205"/>
      <c r="FMT35" s="205"/>
      <c r="FMU35" s="205"/>
      <c r="FMV35" s="205"/>
      <c r="FMW35" s="205"/>
      <c r="FMX35" s="205"/>
      <c r="FMY35" s="205"/>
      <c r="FMZ35" s="205"/>
      <c r="FNA35" s="205"/>
      <c r="FNB35" s="205"/>
      <c r="FNC35" s="205"/>
      <c r="FND35" s="205"/>
      <c r="FNE35" s="205"/>
      <c r="FNF35" s="205"/>
      <c r="FNG35" s="205"/>
      <c r="FNH35" s="205"/>
      <c r="FNI35" s="205"/>
      <c r="FNJ35" s="205"/>
      <c r="FNK35" s="205"/>
      <c r="FNL35" s="205"/>
      <c r="FNM35" s="205"/>
      <c r="FNN35" s="205"/>
      <c r="FNO35" s="205"/>
      <c r="FNP35" s="205"/>
      <c r="FNQ35" s="205"/>
      <c r="FNR35" s="205"/>
      <c r="FNS35" s="205"/>
      <c r="FNT35" s="205"/>
      <c r="FNU35" s="205"/>
      <c r="FNV35" s="205"/>
      <c r="FNW35" s="205"/>
      <c r="FNX35" s="205"/>
      <c r="FNY35" s="205"/>
      <c r="FNZ35" s="205"/>
      <c r="FOA35" s="205"/>
      <c r="FOB35" s="205"/>
      <c r="FOC35" s="205"/>
      <c r="FOD35" s="205"/>
      <c r="FOE35" s="205"/>
      <c r="FOF35" s="205"/>
      <c r="FOG35" s="205"/>
      <c r="FOH35" s="205"/>
      <c r="FOI35" s="205"/>
      <c r="FOJ35" s="205"/>
      <c r="FOK35" s="205"/>
      <c r="FOL35" s="205"/>
      <c r="FOM35" s="205"/>
      <c r="FON35" s="205"/>
      <c r="FOO35" s="205"/>
      <c r="FOP35" s="205"/>
      <c r="FOQ35" s="205"/>
      <c r="FOR35" s="205"/>
      <c r="FOS35" s="205"/>
      <c r="FOT35" s="205"/>
      <c r="FOU35" s="205"/>
      <c r="FOV35" s="205"/>
      <c r="FOW35" s="205"/>
      <c r="FOX35" s="205"/>
      <c r="FOY35" s="205"/>
      <c r="FOZ35" s="205"/>
      <c r="FPA35" s="205"/>
      <c r="FPB35" s="205"/>
      <c r="FPC35" s="205"/>
      <c r="FPD35" s="205"/>
      <c r="FPE35" s="205"/>
      <c r="FPF35" s="205"/>
      <c r="FPG35" s="205"/>
      <c r="FPH35" s="205"/>
      <c r="FPI35" s="205"/>
      <c r="FPJ35" s="205"/>
      <c r="FPK35" s="205"/>
      <c r="FPL35" s="205"/>
      <c r="FPM35" s="205"/>
      <c r="FPN35" s="205"/>
      <c r="FPO35" s="205"/>
      <c r="FPP35" s="205"/>
      <c r="FPQ35" s="205"/>
      <c r="FPR35" s="205"/>
      <c r="FPS35" s="205"/>
      <c r="FPT35" s="205"/>
      <c r="FPU35" s="205"/>
      <c r="FPV35" s="205"/>
      <c r="FPW35" s="205"/>
      <c r="FPX35" s="205"/>
      <c r="FPY35" s="205"/>
      <c r="FPZ35" s="205"/>
      <c r="FQA35" s="205"/>
      <c r="FQB35" s="205"/>
      <c r="FQC35" s="205"/>
      <c r="FQD35" s="205"/>
      <c r="FQE35" s="205"/>
      <c r="FQF35" s="205"/>
      <c r="FQG35" s="205"/>
      <c r="FQH35" s="205"/>
      <c r="FQI35" s="205"/>
      <c r="FQJ35" s="205"/>
      <c r="FQK35" s="205"/>
      <c r="FQL35" s="205"/>
      <c r="FQM35" s="205"/>
      <c r="FQN35" s="205"/>
      <c r="FQO35" s="205"/>
      <c r="FQP35" s="205"/>
      <c r="FQQ35" s="205"/>
      <c r="FQR35" s="205"/>
      <c r="FQS35" s="205"/>
      <c r="FQT35" s="205"/>
      <c r="FQU35" s="205"/>
      <c r="FQV35" s="205"/>
      <c r="FQW35" s="205"/>
      <c r="FQX35" s="205"/>
      <c r="FQY35" s="205"/>
      <c r="FQZ35" s="205"/>
      <c r="FRA35" s="205"/>
      <c r="FRB35" s="205"/>
      <c r="FRC35" s="205"/>
      <c r="FRD35" s="205"/>
      <c r="FRE35" s="205"/>
      <c r="FRF35" s="205"/>
      <c r="FRG35" s="205"/>
      <c r="FRH35" s="205"/>
      <c r="FRI35" s="205"/>
      <c r="FRJ35" s="205"/>
      <c r="FRK35" s="205"/>
      <c r="FRL35" s="205"/>
      <c r="FRM35" s="205"/>
      <c r="FRN35" s="205"/>
      <c r="FRO35" s="205"/>
      <c r="FRP35" s="205"/>
      <c r="FRQ35" s="205"/>
      <c r="FRR35" s="205"/>
      <c r="FRS35" s="205"/>
      <c r="FRT35" s="205"/>
      <c r="FRU35" s="205"/>
      <c r="FRV35" s="205"/>
      <c r="FRW35" s="205"/>
      <c r="FRX35" s="205"/>
      <c r="FRY35" s="205"/>
      <c r="FRZ35" s="205"/>
      <c r="FSA35" s="205"/>
      <c r="FSB35" s="205"/>
      <c r="FSC35" s="205"/>
      <c r="FSD35" s="205"/>
      <c r="FSE35" s="205"/>
      <c r="FSF35" s="205"/>
      <c r="FSG35" s="205"/>
      <c r="FSH35" s="205"/>
      <c r="FSI35" s="205"/>
      <c r="FSJ35" s="205"/>
      <c r="FSK35" s="205"/>
      <c r="FSL35" s="205"/>
      <c r="FSM35" s="205"/>
      <c r="FSN35" s="205"/>
      <c r="FSO35" s="205"/>
      <c r="FSP35" s="205"/>
      <c r="FSQ35" s="205"/>
      <c r="FSR35" s="205"/>
      <c r="FSS35" s="205"/>
      <c r="FST35" s="205"/>
      <c r="FSU35" s="205"/>
      <c r="FSV35" s="205"/>
      <c r="FSW35" s="205"/>
      <c r="FSX35" s="205"/>
      <c r="FSY35" s="205"/>
      <c r="FSZ35" s="205"/>
      <c r="FTA35" s="205"/>
      <c r="FTB35" s="205"/>
      <c r="FTC35" s="205"/>
      <c r="FTD35" s="205"/>
      <c r="FTE35" s="205"/>
      <c r="FTF35" s="205"/>
      <c r="FTG35" s="205"/>
      <c r="FTH35" s="205"/>
      <c r="FTI35" s="205"/>
      <c r="FTJ35" s="205"/>
      <c r="FTK35" s="205"/>
      <c r="FTL35" s="205"/>
      <c r="FTM35" s="205"/>
      <c r="FTN35" s="205"/>
      <c r="FTO35" s="205"/>
      <c r="FTP35" s="205"/>
      <c r="FTQ35" s="205"/>
      <c r="FTR35" s="205"/>
      <c r="FTS35" s="205"/>
      <c r="FTT35" s="205"/>
      <c r="FTU35" s="205"/>
      <c r="FTV35" s="205"/>
      <c r="FTW35" s="205"/>
      <c r="FTX35" s="205"/>
      <c r="FTY35" s="205"/>
      <c r="FTZ35" s="205"/>
      <c r="FUA35" s="205"/>
      <c r="FUB35" s="205"/>
      <c r="FUC35" s="205"/>
      <c r="FUD35" s="205"/>
      <c r="FUE35" s="205"/>
      <c r="FUF35" s="205"/>
      <c r="FUG35" s="205"/>
      <c r="FUH35" s="205"/>
      <c r="FUI35" s="205"/>
      <c r="FUJ35" s="205"/>
      <c r="FUK35" s="205"/>
      <c r="FUL35" s="205"/>
      <c r="FUM35" s="205"/>
      <c r="FUN35" s="205"/>
      <c r="FUO35" s="205"/>
      <c r="FUP35" s="205"/>
      <c r="FUQ35" s="205"/>
      <c r="FUR35" s="205"/>
      <c r="FUS35" s="205"/>
      <c r="FUT35" s="205"/>
      <c r="FUU35" s="205"/>
      <c r="FUV35" s="205"/>
      <c r="FUW35" s="205"/>
      <c r="FUX35" s="205"/>
      <c r="FUY35" s="205"/>
      <c r="FUZ35" s="205"/>
      <c r="FVA35" s="205"/>
      <c r="FVB35" s="205"/>
      <c r="FVC35" s="205"/>
      <c r="FVD35" s="205"/>
      <c r="FVE35" s="205"/>
      <c r="FVF35" s="205"/>
      <c r="FVG35" s="205"/>
      <c r="FVH35" s="205"/>
      <c r="FVI35" s="205"/>
      <c r="FVJ35" s="205"/>
      <c r="FVK35" s="205"/>
      <c r="FVL35" s="205"/>
      <c r="FVM35" s="205"/>
      <c r="FVN35" s="205"/>
      <c r="FVO35" s="205"/>
      <c r="FVP35" s="205"/>
      <c r="FVQ35" s="205"/>
      <c r="FVR35" s="205"/>
      <c r="FVS35" s="205"/>
      <c r="FVT35" s="205"/>
      <c r="FVU35" s="205"/>
      <c r="FVV35" s="205"/>
      <c r="FVW35" s="205"/>
      <c r="FVX35" s="205"/>
      <c r="FVY35" s="205"/>
      <c r="FVZ35" s="205"/>
      <c r="FWA35" s="205"/>
      <c r="FWB35" s="205"/>
      <c r="FWC35" s="205"/>
      <c r="FWD35" s="205"/>
      <c r="FWE35" s="205"/>
      <c r="FWF35" s="205"/>
      <c r="FWG35" s="205"/>
      <c r="FWH35" s="205"/>
      <c r="FWI35" s="205"/>
      <c r="FWJ35" s="205"/>
      <c r="FWK35" s="205"/>
      <c r="FWL35" s="205"/>
      <c r="FWM35" s="205"/>
      <c r="FWN35" s="205"/>
      <c r="FWO35" s="205"/>
      <c r="FWP35" s="205"/>
      <c r="FWQ35" s="205"/>
      <c r="FWR35" s="205"/>
      <c r="FWS35" s="205"/>
      <c r="FWT35" s="205"/>
      <c r="FWU35" s="205"/>
      <c r="FWV35" s="205"/>
      <c r="FWW35" s="205"/>
      <c r="FWX35" s="205"/>
      <c r="FWY35" s="205"/>
      <c r="FWZ35" s="205"/>
      <c r="FXA35" s="205"/>
      <c r="FXB35" s="205"/>
      <c r="FXC35" s="205"/>
      <c r="FXD35" s="205"/>
      <c r="FXE35" s="205"/>
      <c r="FXF35" s="205"/>
      <c r="FXG35" s="205"/>
      <c r="FXH35" s="205"/>
      <c r="FXI35" s="205"/>
      <c r="FXJ35" s="205"/>
      <c r="FXK35" s="205"/>
      <c r="FXL35" s="205"/>
      <c r="FXM35" s="205"/>
      <c r="FXN35" s="205"/>
      <c r="FXO35" s="205"/>
      <c r="FXP35" s="205"/>
      <c r="FXQ35" s="205"/>
      <c r="FXR35" s="205"/>
      <c r="FXS35" s="205"/>
      <c r="FXT35" s="205"/>
      <c r="FXU35" s="205"/>
      <c r="FXV35" s="205"/>
      <c r="FXW35" s="205"/>
      <c r="FXX35" s="205"/>
      <c r="FXY35" s="205"/>
      <c r="FXZ35" s="205"/>
      <c r="FYA35" s="205"/>
      <c r="FYB35" s="205"/>
      <c r="FYC35" s="205"/>
      <c r="FYD35" s="205"/>
      <c r="FYE35" s="205"/>
      <c r="FYF35" s="205"/>
      <c r="FYG35" s="205"/>
      <c r="FYH35" s="205"/>
      <c r="FYI35" s="205"/>
      <c r="FYJ35" s="205"/>
      <c r="FYK35" s="205"/>
      <c r="FYL35" s="205"/>
      <c r="FYM35" s="205"/>
      <c r="FYN35" s="205"/>
      <c r="FYO35" s="205"/>
      <c r="FYP35" s="205"/>
      <c r="FYQ35" s="205"/>
      <c r="FYR35" s="205"/>
      <c r="FYS35" s="205"/>
      <c r="FYT35" s="205"/>
      <c r="FYU35" s="205"/>
      <c r="FYV35" s="205"/>
      <c r="FYW35" s="205"/>
      <c r="FYX35" s="205"/>
      <c r="FYY35" s="205"/>
      <c r="FYZ35" s="205"/>
      <c r="FZA35" s="205"/>
      <c r="FZB35" s="205"/>
      <c r="FZC35" s="205"/>
      <c r="FZD35" s="205"/>
      <c r="FZE35" s="205"/>
      <c r="FZF35" s="205"/>
      <c r="FZG35" s="205"/>
      <c r="FZH35" s="205"/>
      <c r="FZI35" s="205"/>
      <c r="FZJ35" s="205"/>
      <c r="FZK35" s="205"/>
      <c r="FZL35" s="205"/>
      <c r="FZM35" s="205"/>
      <c r="FZN35" s="205"/>
      <c r="FZO35" s="205"/>
      <c r="FZP35" s="205"/>
      <c r="FZQ35" s="205"/>
      <c r="FZR35" s="205"/>
      <c r="FZS35" s="205"/>
      <c r="FZT35" s="205"/>
      <c r="FZU35" s="205"/>
      <c r="FZV35" s="205"/>
      <c r="FZW35" s="205"/>
      <c r="FZX35" s="205"/>
      <c r="FZY35" s="205"/>
      <c r="FZZ35" s="205"/>
      <c r="GAA35" s="205"/>
      <c r="GAB35" s="205"/>
      <c r="GAC35" s="205"/>
      <c r="GAD35" s="205"/>
      <c r="GAE35" s="205"/>
      <c r="GAF35" s="205"/>
      <c r="GAG35" s="205"/>
      <c r="GAH35" s="205"/>
      <c r="GAI35" s="205"/>
      <c r="GAJ35" s="205"/>
      <c r="GAK35" s="205"/>
      <c r="GAL35" s="205"/>
      <c r="GAM35" s="205"/>
      <c r="GAN35" s="205"/>
      <c r="GAO35" s="205"/>
      <c r="GAP35" s="205"/>
      <c r="GAQ35" s="205"/>
      <c r="GAR35" s="205"/>
      <c r="GAS35" s="205"/>
      <c r="GAT35" s="205"/>
      <c r="GAU35" s="205"/>
      <c r="GAV35" s="205"/>
      <c r="GAW35" s="205"/>
      <c r="GAX35" s="205"/>
      <c r="GAY35" s="205"/>
      <c r="GAZ35" s="205"/>
      <c r="GBA35" s="205"/>
      <c r="GBB35" s="205"/>
      <c r="GBC35" s="205"/>
      <c r="GBD35" s="205"/>
      <c r="GBE35" s="205"/>
      <c r="GBF35" s="205"/>
      <c r="GBG35" s="205"/>
      <c r="GBH35" s="205"/>
      <c r="GBI35" s="205"/>
      <c r="GBJ35" s="205"/>
      <c r="GBK35" s="205"/>
      <c r="GBL35" s="205"/>
      <c r="GBM35" s="205"/>
      <c r="GBN35" s="205"/>
      <c r="GBO35" s="205"/>
      <c r="GBP35" s="205"/>
      <c r="GBQ35" s="205"/>
      <c r="GBR35" s="205"/>
      <c r="GBS35" s="205"/>
      <c r="GBT35" s="205"/>
      <c r="GBU35" s="205"/>
      <c r="GBV35" s="205"/>
      <c r="GBW35" s="205"/>
      <c r="GBX35" s="205"/>
      <c r="GBY35" s="205"/>
      <c r="GBZ35" s="205"/>
      <c r="GCA35" s="205"/>
      <c r="GCB35" s="205"/>
      <c r="GCC35" s="205"/>
      <c r="GCD35" s="205"/>
      <c r="GCE35" s="205"/>
      <c r="GCF35" s="205"/>
      <c r="GCG35" s="205"/>
      <c r="GCH35" s="205"/>
      <c r="GCI35" s="205"/>
      <c r="GCJ35" s="205"/>
      <c r="GCK35" s="205"/>
      <c r="GCL35" s="205"/>
      <c r="GCM35" s="205"/>
      <c r="GCN35" s="205"/>
      <c r="GCO35" s="205"/>
      <c r="GCP35" s="205"/>
      <c r="GCQ35" s="205"/>
      <c r="GCR35" s="205"/>
      <c r="GCS35" s="205"/>
      <c r="GCT35" s="205"/>
      <c r="GCU35" s="205"/>
      <c r="GCV35" s="205"/>
      <c r="GCW35" s="205"/>
      <c r="GCX35" s="205"/>
      <c r="GCY35" s="205"/>
      <c r="GCZ35" s="205"/>
      <c r="GDA35" s="205"/>
      <c r="GDB35" s="205"/>
      <c r="GDC35" s="205"/>
      <c r="GDD35" s="205"/>
      <c r="GDE35" s="205"/>
      <c r="GDF35" s="205"/>
      <c r="GDG35" s="205"/>
      <c r="GDH35" s="205"/>
      <c r="GDI35" s="205"/>
      <c r="GDJ35" s="205"/>
      <c r="GDK35" s="205"/>
      <c r="GDL35" s="205"/>
      <c r="GDM35" s="205"/>
      <c r="GDN35" s="205"/>
      <c r="GDO35" s="205"/>
      <c r="GDP35" s="205"/>
      <c r="GDQ35" s="205"/>
      <c r="GDR35" s="205"/>
      <c r="GDS35" s="205"/>
      <c r="GDT35" s="205"/>
      <c r="GDU35" s="205"/>
      <c r="GDV35" s="205"/>
      <c r="GDW35" s="205"/>
      <c r="GDX35" s="205"/>
      <c r="GDY35" s="205"/>
      <c r="GDZ35" s="205"/>
      <c r="GEA35" s="205"/>
      <c r="GEB35" s="205"/>
      <c r="GEC35" s="205"/>
      <c r="GED35" s="205"/>
      <c r="GEE35" s="205"/>
      <c r="GEF35" s="205"/>
      <c r="GEG35" s="205"/>
      <c r="GEH35" s="205"/>
      <c r="GEI35" s="205"/>
      <c r="GEJ35" s="205"/>
      <c r="GEK35" s="205"/>
      <c r="GEL35" s="205"/>
      <c r="GEM35" s="205"/>
      <c r="GEN35" s="205"/>
      <c r="GEO35" s="205"/>
      <c r="GEP35" s="205"/>
      <c r="GEQ35" s="205"/>
      <c r="GER35" s="205"/>
      <c r="GES35" s="205"/>
      <c r="GET35" s="205"/>
      <c r="GEU35" s="205"/>
      <c r="GEV35" s="205"/>
      <c r="GEW35" s="205"/>
      <c r="GEX35" s="205"/>
      <c r="GEY35" s="205"/>
      <c r="GEZ35" s="205"/>
      <c r="GFA35" s="205"/>
      <c r="GFB35" s="205"/>
      <c r="GFC35" s="205"/>
      <c r="GFD35" s="205"/>
      <c r="GFE35" s="205"/>
      <c r="GFF35" s="205"/>
      <c r="GFG35" s="205"/>
      <c r="GFH35" s="205"/>
      <c r="GFI35" s="205"/>
      <c r="GFJ35" s="205"/>
      <c r="GFK35" s="205"/>
      <c r="GFL35" s="205"/>
      <c r="GFM35" s="205"/>
      <c r="GFN35" s="205"/>
      <c r="GFO35" s="205"/>
      <c r="GFP35" s="205"/>
      <c r="GFQ35" s="205"/>
      <c r="GFR35" s="205"/>
      <c r="GFS35" s="205"/>
      <c r="GFT35" s="205"/>
      <c r="GFU35" s="205"/>
      <c r="GFV35" s="205"/>
      <c r="GFW35" s="205"/>
      <c r="GFX35" s="205"/>
      <c r="GFY35" s="205"/>
      <c r="GFZ35" s="205"/>
      <c r="GGA35" s="205"/>
      <c r="GGB35" s="205"/>
      <c r="GGC35" s="205"/>
      <c r="GGD35" s="205"/>
      <c r="GGE35" s="205"/>
      <c r="GGF35" s="205"/>
      <c r="GGG35" s="205"/>
      <c r="GGH35" s="205"/>
      <c r="GGI35" s="205"/>
      <c r="GGJ35" s="205"/>
      <c r="GGK35" s="205"/>
      <c r="GGL35" s="205"/>
      <c r="GGM35" s="205"/>
      <c r="GGN35" s="205"/>
      <c r="GGO35" s="205"/>
      <c r="GGP35" s="205"/>
      <c r="GGQ35" s="205"/>
      <c r="GGR35" s="205"/>
      <c r="GGS35" s="205"/>
      <c r="GGT35" s="205"/>
      <c r="GGU35" s="205"/>
      <c r="GGV35" s="205"/>
      <c r="GGW35" s="205"/>
      <c r="GGX35" s="205"/>
      <c r="GGY35" s="205"/>
      <c r="GGZ35" s="205"/>
      <c r="GHA35" s="205"/>
      <c r="GHB35" s="205"/>
      <c r="GHC35" s="205"/>
      <c r="GHD35" s="205"/>
      <c r="GHE35" s="205"/>
      <c r="GHF35" s="205"/>
      <c r="GHG35" s="205"/>
      <c r="GHH35" s="205"/>
      <c r="GHI35" s="205"/>
      <c r="GHJ35" s="205"/>
      <c r="GHK35" s="205"/>
      <c r="GHL35" s="205"/>
      <c r="GHM35" s="205"/>
      <c r="GHN35" s="205"/>
      <c r="GHO35" s="205"/>
      <c r="GHP35" s="205"/>
      <c r="GHQ35" s="205"/>
      <c r="GHR35" s="205"/>
      <c r="GHS35" s="205"/>
      <c r="GHT35" s="205"/>
      <c r="GHU35" s="205"/>
      <c r="GHV35" s="205"/>
      <c r="GHW35" s="205"/>
      <c r="GHX35" s="205"/>
      <c r="GHY35" s="205"/>
      <c r="GHZ35" s="205"/>
      <c r="GIA35" s="205"/>
      <c r="GIB35" s="205"/>
      <c r="GIC35" s="205"/>
      <c r="GID35" s="205"/>
      <c r="GIE35" s="205"/>
      <c r="GIF35" s="205"/>
      <c r="GIG35" s="205"/>
      <c r="GIH35" s="205"/>
      <c r="GII35" s="205"/>
      <c r="GIJ35" s="205"/>
      <c r="GIK35" s="205"/>
      <c r="GIL35" s="205"/>
      <c r="GIM35" s="205"/>
      <c r="GIN35" s="205"/>
      <c r="GIO35" s="205"/>
      <c r="GIP35" s="205"/>
      <c r="GIQ35" s="205"/>
      <c r="GIR35" s="205"/>
      <c r="GIS35" s="205"/>
      <c r="GIT35" s="205"/>
      <c r="GIU35" s="205"/>
      <c r="GIV35" s="205"/>
      <c r="GIW35" s="205"/>
      <c r="GIX35" s="205"/>
      <c r="GIY35" s="205"/>
      <c r="GIZ35" s="205"/>
      <c r="GJA35" s="205"/>
      <c r="GJB35" s="205"/>
      <c r="GJC35" s="205"/>
      <c r="GJD35" s="205"/>
      <c r="GJE35" s="205"/>
      <c r="GJF35" s="205"/>
      <c r="GJG35" s="205"/>
      <c r="GJH35" s="205"/>
      <c r="GJI35" s="205"/>
      <c r="GJJ35" s="205"/>
      <c r="GJK35" s="205"/>
      <c r="GJL35" s="205"/>
      <c r="GJM35" s="205"/>
      <c r="GJN35" s="205"/>
      <c r="GJO35" s="205"/>
      <c r="GJP35" s="205"/>
      <c r="GJQ35" s="205"/>
      <c r="GJR35" s="205"/>
      <c r="GJS35" s="205"/>
      <c r="GJT35" s="205"/>
      <c r="GJU35" s="205"/>
      <c r="GJV35" s="205"/>
      <c r="GJW35" s="205"/>
      <c r="GJX35" s="205"/>
      <c r="GJY35" s="205"/>
      <c r="GJZ35" s="205"/>
      <c r="GKA35" s="205"/>
      <c r="GKB35" s="205"/>
      <c r="GKC35" s="205"/>
      <c r="GKD35" s="205"/>
      <c r="GKE35" s="205"/>
      <c r="GKF35" s="205"/>
      <c r="GKG35" s="205"/>
      <c r="GKH35" s="205"/>
      <c r="GKI35" s="205"/>
      <c r="GKJ35" s="205"/>
      <c r="GKK35" s="205"/>
      <c r="GKL35" s="205"/>
      <c r="GKM35" s="205"/>
      <c r="GKN35" s="205"/>
      <c r="GKO35" s="205"/>
      <c r="GKP35" s="205"/>
      <c r="GKQ35" s="205"/>
      <c r="GKR35" s="205"/>
      <c r="GKS35" s="205"/>
      <c r="GKT35" s="205"/>
      <c r="GKU35" s="205"/>
      <c r="GKV35" s="205"/>
      <c r="GKW35" s="205"/>
      <c r="GKX35" s="205"/>
      <c r="GKY35" s="205"/>
      <c r="GKZ35" s="205"/>
      <c r="GLA35" s="205"/>
      <c r="GLB35" s="205"/>
      <c r="GLC35" s="205"/>
      <c r="GLD35" s="205"/>
      <c r="GLE35" s="205"/>
      <c r="GLF35" s="205"/>
      <c r="GLG35" s="205"/>
      <c r="GLH35" s="205"/>
      <c r="GLI35" s="205"/>
      <c r="GLJ35" s="205"/>
      <c r="GLK35" s="205"/>
      <c r="GLL35" s="205"/>
      <c r="GLM35" s="205"/>
      <c r="GLN35" s="205"/>
      <c r="GLO35" s="205"/>
      <c r="GLP35" s="205"/>
      <c r="GLQ35" s="205"/>
      <c r="GLR35" s="205"/>
      <c r="GLS35" s="205"/>
      <c r="GLT35" s="205"/>
      <c r="GLU35" s="205"/>
      <c r="GLV35" s="205"/>
      <c r="GLW35" s="205"/>
      <c r="GLX35" s="205"/>
      <c r="GLY35" s="205"/>
      <c r="GLZ35" s="205"/>
      <c r="GMA35" s="205"/>
      <c r="GMB35" s="205"/>
      <c r="GMC35" s="205"/>
      <c r="GMD35" s="205"/>
      <c r="GME35" s="205"/>
      <c r="GMF35" s="205"/>
      <c r="GMG35" s="205"/>
      <c r="GMH35" s="205"/>
      <c r="GMI35" s="205"/>
      <c r="GMJ35" s="205"/>
      <c r="GMK35" s="205"/>
      <c r="GML35" s="205"/>
      <c r="GMM35" s="205"/>
      <c r="GMN35" s="205"/>
      <c r="GMO35" s="205"/>
      <c r="GMP35" s="205"/>
      <c r="GMQ35" s="205"/>
      <c r="GMR35" s="205"/>
      <c r="GMS35" s="205"/>
      <c r="GMT35" s="205"/>
      <c r="GMU35" s="205"/>
      <c r="GMV35" s="205"/>
      <c r="GMW35" s="205"/>
      <c r="GMX35" s="205"/>
      <c r="GMY35" s="205"/>
      <c r="GMZ35" s="205"/>
      <c r="GNA35" s="205"/>
      <c r="GNB35" s="205"/>
      <c r="GNC35" s="205"/>
      <c r="GND35" s="205"/>
      <c r="GNE35" s="205"/>
      <c r="GNF35" s="205"/>
      <c r="GNG35" s="205"/>
      <c r="GNH35" s="205"/>
      <c r="GNI35" s="205"/>
      <c r="GNJ35" s="205"/>
      <c r="GNK35" s="205"/>
      <c r="GNL35" s="205"/>
      <c r="GNM35" s="205"/>
      <c r="GNN35" s="205"/>
      <c r="GNO35" s="205"/>
      <c r="GNP35" s="205"/>
      <c r="GNQ35" s="205"/>
      <c r="GNR35" s="205"/>
      <c r="GNS35" s="205"/>
      <c r="GNT35" s="205"/>
      <c r="GNU35" s="205"/>
      <c r="GNV35" s="205"/>
      <c r="GNW35" s="205"/>
      <c r="GNX35" s="205"/>
      <c r="GNY35" s="205"/>
      <c r="GNZ35" s="205"/>
      <c r="GOA35" s="205"/>
      <c r="GOB35" s="205"/>
      <c r="GOC35" s="205"/>
      <c r="GOD35" s="205"/>
      <c r="GOE35" s="205"/>
      <c r="GOF35" s="205"/>
      <c r="GOG35" s="205"/>
      <c r="GOH35" s="205"/>
      <c r="GOI35" s="205"/>
      <c r="GOJ35" s="205"/>
      <c r="GOK35" s="205"/>
      <c r="GOL35" s="205"/>
      <c r="GOM35" s="205"/>
      <c r="GON35" s="205"/>
      <c r="GOO35" s="205"/>
      <c r="GOP35" s="205"/>
      <c r="GOQ35" s="205"/>
      <c r="GOR35" s="205"/>
      <c r="GOS35" s="205"/>
      <c r="GOT35" s="205"/>
      <c r="GOU35" s="205"/>
      <c r="GOV35" s="205"/>
      <c r="GOW35" s="205"/>
      <c r="GOX35" s="205"/>
      <c r="GOY35" s="205"/>
      <c r="GOZ35" s="205"/>
      <c r="GPA35" s="205"/>
      <c r="GPB35" s="205"/>
      <c r="GPC35" s="205"/>
      <c r="GPD35" s="205"/>
      <c r="GPE35" s="205"/>
      <c r="GPF35" s="205"/>
      <c r="GPG35" s="205"/>
      <c r="GPH35" s="205"/>
      <c r="GPI35" s="205"/>
      <c r="GPJ35" s="205"/>
      <c r="GPK35" s="205"/>
      <c r="GPL35" s="205"/>
      <c r="GPM35" s="205"/>
      <c r="GPN35" s="205"/>
      <c r="GPO35" s="205"/>
      <c r="GPP35" s="205"/>
      <c r="GPQ35" s="205"/>
      <c r="GPR35" s="205"/>
      <c r="GPS35" s="205"/>
      <c r="GPT35" s="205"/>
      <c r="GPU35" s="205"/>
      <c r="GPV35" s="205"/>
      <c r="GPW35" s="205"/>
      <c r="GPX35" s="205"/>
      <c r="GPY35" s="205"/>
      <c r="GPZ35" s="205"/>
      <c r="GQA35" s="205"/>
      <c r="GQB35" s="205"/>
      <c r="GQC35" s="205"/>
      <c r="GQD35" s="205"/>
      <c r="GQE35" s="205"/>
      <c r="GQF35" s="205"/>
      <c r="GQG35" s="205"/>
      <c r="GQH35" s="205"/>
      <c r="GQI35" s="205"/>
      <c r="GQJ35" s="205"/>
      <c r="GQK35" s="205"/>
      <c r="GQL35" s="205"/>
      <c r="GQM35" s="205"/>
      <c r="GQN35" s="205"/>
      <c r="GQO35" s="205"/>
      <c r="GQP35" s="205"/>
      <c r="GQQ35" s="205"/>
      <c r="GQR35" s="205"/>
      <c r="GQS35" s="205"/>
      <c r="GQT35" s="205"/>
      <c r="GQU35" s="205"/>
      <c r="GQV35" s="205"/>
      <c r="GQW35" s="205"/>
      <c r="GQX35" s="205"/>
      <c r="GQY35" s="205"/>
      <c r="GQZ35" s="205"/>
      <c r="GRA35" s="205"/>
      <c r="GRB35" s="205"/>
      <c r="GRC35" s="205"/>
      <c r="GRD35" s="205"/>
      <c r="GRE35" s="205"/>
      <c r="GRF35" s="205"/>
      <c r="GRG35" s="205"/>
      <c r="GRH35" s="205"/>
      <c r="GRI35" s="205"/>
      <c r="GRJ35" s="205"/>
      <c r="GRK35" s="205"/>
      <c r="GRL35" s="205"/>
      <c r="GRM35" s="205"/>
      <c r="GRN35" s="205"/>
      <c r="GRO35" s="205"/>
      <c r="GRP35" s="205"/>
      <c r="GRQ35" s="205"/>
      <c r="GRR35" s="205"/>
      <c r="GRS35" s="205"/>
      <c r="GRT35" s="205"/>
      <c r="GRU35" s="205"/>
      <c r="GRV35" s="205"/>
      <c r="GRW35" s="205"/>
      <c r="GRX35" s="205"/>
      <c r="GRY35" s="205"/>
      <c r="GRZ35" s="205"/>
      <c r="GSA35" s="205"/>
      <c r="GSB35" s="205"/>
      <c r="GSC35" s="205"/>
      <c r="GSD35" s="205"/>
      <c r="GSE35" s="205"/>
      <c r="GSF35" s="205"/>
      <c r="GSG35" s="205"/>
      <c r="GSH35" s="205"/>
      <c r="GSI35" s="205"/>
      <c r="GSJ35" s="205"/>
      <c r="GSK35" s="205"/>
      <c r="GSL35" s="205"/>
      <c r="GSM35" s="205"/>
      <c r="GSN35" s="205"/>
      <c r="GSO35" s="205"/>
      <c r="GSP35" s="205"/>
      <c r="GSQ35" s="205"/>
      <c r="GSR35" s="205"/>
      <c r="GSS35" s="205"/>
      <c r="GST35" s="205"/>
      <c r="GSU35" s="205"/>
      <c r="GSV35" s="205"/>
      <c r="GSW35" s="205"/>
      <c r="GSX35" s="205"/>
      <c r="GSY35" s="205"/>
      <c r="GSZ35" s="205"/>
      <c r="GTA35" s="205"/>
      <c r="GTB35" s="205"/>
      <c r="GTC35" s="205"/>
      <c r="GTD35" s="205"/>
      <c r="GTE35" s="205"/>
      <c r="GTF35" s="205"/>
      <c r="GTG35" s="205"/>
      <c r="GTH35" s="205"/>
      <c r="GTI35" s="205"/>
      <c r="GTJ35" s="205"/>
      <c r="GTK35" s="205"/>
      <c r="GTL35" s="205"/>
      <c r="GTM35" s="205"/>
      <c r="GTN35" s="205"/>
      <c r="GTO35" s="205"/>
      <c r="GTP35" s="205"/>
      <c r="GTQ35" s="205"/>
      <c r="GTR35" s="205"/>
      <c r="GTS35" s="205"/>
      <c r="GTT35" s="205"/>
      <c r="GTU35" s="205"/>
      <c r="GTV35" s="205"/>
      <c r="GTW35" s="205"/>
      <c r="GTX35" s="205"/>
      <c r="GTY35" s="205"/>
      <c r="GTZ35" s="205"/>
      <c r="GUA35" s="205"/>
      <c r="GUB35" s="205"/>
      <c r="GUC35" s="205"/>
      <c r="GUD35" s="205"/>
      <c r="GUE35" s="205"/>
      <c r="GUF35" s="205"/>
      <c r="GUG35" s="205"/>
      <c r="GUH35" s="205"/>
      <c r="GUI35" s="205"/>
      <c r="GUJ35" s="205"/>
      <c r="GUK35" s="205"/>
      <c r="GUL35" s="205"/>
      <c r="GUM35" s="205"/>
      <c r="GUN35" s="205"/>
      <c r="GUO35" s="205"/>
      <c r="GUP35" s="205"/>
      <c r="GUQ35" s="205"/>
      <c r="GUR35" s="205"/>
      <c r="GUS35" s="205"/>
      <c r="GUT35" s="205"/>
      <c r="GUU35" s="205"/>
      <c r="GUV35" s="205"/>
      <c r="GUW35" s="205"/>
      <c r="GUX35" s="205"/>
      <c r="GUY35" s="205"/>
      <c r="GUZ35" s="205"/>
      <c r="GVA35" s="205"/>
      <c r="GVB35" s="205"/>
      <c r="GVC35" s="205"/>
      <c r="GVD35" s="205"/>
      <c r="GVE35" s="205"/>
      <c r="GVF35" s="205"/>
      <c r="GVG35" s="205"/>
      <c r="GVH35" s="205"/>
      <c r="GVI35" s="205"/>
      <c r="GVJ35" s="205"/>
      <c r="GVK35" s="205"/>
      <c r="GVL35" s="205"/>
      <c r="GVM35" s="205"/>
      <c r="GVN35" s="205"/>
      <c r="GVO35" s="205"/>
      <c r="GVP35" s="205"/>
      <c r="GVQ35" s="205"/>
      <c r="GVR35" s="205"/>
      <c r="GVS35" s="205"/>
      <c r="GVT35" s="205"/>
      <c r="GVU35" s="205"/>
      <c r="GVV35" s="205"/>
      <c r="GVW35" s="205"/>
      <c r="GVX35" s="205"/>
      <c r="GVY35" s="205"/>
      <c r="GVZ35" s="205"/>
      <c r="GWA35" s="205"/>
      <c r="GWB35" s="205"/>
      <c r="GWC35" s="205"/>
      <c r="GWD35" s="205"/>
      <c r="GWE35" s="205"/>
      <c r="GWF35" s="205"/>
      <c r="GWG35" s="205"/>
      <c r="GWH35" s="205"/>
      <c r="GWI35" s="205"/>
      <c r="GWJ35" s="205"/>
      <c r="GWK35" s="205"/>
      <c r="GWL35" s="205"/>
      <c r="GWM35" s="205"/>
      <c r="GWN35" s="205"/>
      <c r="GWO35" s="205"/>
      <c r="GWP35" s="205"/>
      <c r="GWQ35" s="205"/>
      <c r="GWR35" s="205"/>
      <c r="GWS35" s="205"/>
      <c r="GWT35" s="205"/>
      <c r="GWU35" s="205"/>
      <c r="GWV35" s="205"/>
      <c r="GWW35" s="205"/>
      <c r="GWX35" s="205"/>
      <c r="GWY35" s="205"/>
      <c r="GWZ35" s="205"/>
      <c r="GXA35" s="205"/>
      <c r="GXB35" s="205"/>
      <c r="GXC35" s="205"/>
      <c r="GXD35" s="205"/>
      <c r="GXE35" s="205"/>
      <c r="GXF35" s="205"/>
      <c r="GXG35" s="205"/>
      <c r="GXH35" s="205"/>
      <c r="GXI35" s="205"/>
      <c r="GXJ35" s="205"/>
      <c r="GXK35" s="205"/>
      <c r="GXL35" s="205"/>
      <c r="GXM35" s="205"/>
      <c r="GXN35" s="205"/>
      <c r="GXO35" s="205"/>
      <c r="GXP35" s="205"/>
      <c r="GXQ35" s="205"/>
      <c r="GXR35" s="205"/>
      <c r="GXS35" s="205"/>
      <c r="GXT35" s="205"/>
      <c r="GXU35" s="205"/>
      <c r="GXV35" s="205"/>
      <c r="GXW35" s="205"/>
      <c r="GXX35" s="205"/>
      <c r="GXY35" s="205"/>
      <c r="GXZ35" s="205"/>
      <c r="GYA35" s="205"/>
      <c r="GYB35" s="205"/>
      <c r="GYC35" s="205"/>
      <c r="GYD35" s="205"/>
      <c r="GYE35" s="205"/>
      <c r="GYF35" s="205"/>
      <c r="GYG35" s="205"/>
      <c r="GYH35" s="205"/>
      <c r="GYI35" s="205"/>
      <c r="GYJ35" s="205"/>
      <c r="GYK35" s="205"/>
      <c r="GYL35" s="205"/>
      <c r="GYM35" s="205"/>
      <c r="GYN35" s="205"/>
      <c r="GYO35" s="205"/>
      <c r="GYP35" s="205"/>
      <c r="GYQ35" s="205"/>
      <c r="GYR35" s="205"/>
      <c r="GYS35" s="205"/>
      <c r="GYT35" s="205"/>
      <c r="GYU35" s="205"/>
      <c r="GYV35" s="205"/>
      <c r="GYW35" s="205"/>
      <c r="GYX35" s="205"/>
      <c r="GYY35" s="205"/>
      <c r="GYZ35" s="205"/>
      <c r="GZA35" s="205"/>
      <c r="GZB35" s="205"/>
      <c r="GZC35" s="205"/>
      <c r="GZD35" s="205"/>
      <c r="GZE35" s="205"/>
      <c r="GZF35" s="205"/>
      <c r="GZG35" s="205"/>
      <c r="GZH35" s="205"/>
      <c r="GZI35" s="205"/>
      <c r="GZJ35" s="205"/>
      <c r="GZK35" s="205"/>
      <c r="GZL35" s="205"/>
      <c r="GZM35" s="205"/>
      <c r="GZN35" s="205"/>
      <c r="GZO35" s="205"/>
      <c r="GZP35" s="205"/>
      <c r="GZQ35" s="205"/>
      <c r="GZR35" s="205"/>
      <c r="GZS35" s="205"/>
      <c r="GZT35" s="205"/>
      <c r="GZU35" s="205"/>
      <c r="GZV35" s="205"/>
      <c r="GZW35" s="205"/>
      <c r="GZX35" s="205"/>
      <c r="GZY35" s="205"/>
      <c r="GZZ35" s="205"/>
      <c r="HAA35" s="205"/>
      <c r="HAB35" s="205"/>
      <c r="HAC35" s="205"/>
      <c r="HAD35" s="205"/>
      <c r="HAE35" s="205"/>
      <c r="HAF35" s="205"/>
      <c r="HAG35" s="205"/>
      <c r="HAH35" s="205"/>
      <c r="HAI35" s="205"/>
      <c r="HAJ35" s="205"/>
      <c r="HAK35" s="205"/>
      <c r="HAL35" s="205"/>
      <c r="HAM35" s="205"/>
      <c r="HAN35" s="205"/>
      <c r="HAO35" s="205"/>
      <c r="HAP35" s="205"/>
      <c r="HAQ35" s="205"/>
      <c r="HAR35" s="205"/>
      <c r="HAS35" s="205"/>
      <c r="HAT35" s="205"/>
      <c r="HAU35" s="205"/>
      <c r="HAV35" s="205"/>
      <c r="HAW35" s="205"/>
      <c r="HAX35" s="205"/>
      <c r="HAY35" s="205"/>
      <c r="HAZ35" s="205"/>
      <c r="HBA35" s="205"/>
      <c r="HBB35" s="205"/>
      <c r="HBC35" s="205"/>
      <c r="HBD35" s="205"/>
      <c r="HBE35" s="205"/>
      <c r="HBF35" s="205"/>
      <c r="HBG35" s="205"/>
      <c r="HBH35" s="205"/>
      <c r="HBI35" s="205"/>
      <c r="HBJ35" s="205"/>
      <c r="HBK35" s="205"/>
      <c r="HBL35" s="205"/>
      <c r="HBM35" s="205"/>
      <c r="HBN35" s="205"/>
      <c r="HBO35" s="205"/>
      <c r="HBP35" s="205"/>
      <c r="HBQ35" s="205"/>
      <c r="HBR35" s="205"/>
      <c r="HBS35" s="205"/>
      <c r="HBT35" s="205"/>
      <c r="HBU35" s="205"/>
      <c r="HBV35" s="205"/>
      <c r="HBW35" s="205"/>
      <c r="HBX35" s="205"/>
      <c r="HBY35" s="205"/>
      <c r="HBZ35" s="205"/>
      <c r="HCA35" s="205"/>
      <c r="HCB35" s="205"/>
      <c r="HCC35" s="205"/>
      <c r="HCD35" s="205"/>
      <c r="HCE35" s="205"/>
      <c r="HCF35" s="205"/>
      <c r="HCG35" s="205"/>
      <c r="HCH35" s="205"/>
      <c r="HCI35" s="205"/>
      <c r="HCJ35" s="205"/>
      <c r="HCK35" s="205"/>
      <c r="HCL35" s="205"/>
      <c r="HCM35" s="205"/>
      <c r="HCN35" s="205"/>
      <c r="HCO35" s="205"/>
      <c r="HCP35" s="205"/>
      <c r="HCQ35" s="205"/>
      <c r="HCR35" s="205"/>
      <c r="HCS35" s="205"/>
      <c r="HCT35" s="205"/>
      <c r="HCU35" s="205"/>
      <c r="HCV35" s="205"/>
      <c r="HCW35" s="205"/>
      <c r="HCX35" s="205"/>
      <c r="HCY35" s="205"/>
      <c r="HCZ35" s="205"/>
      <c r="HDA35" s="205"/>
      <c r="HDB35" s="205"/>
      <c r="HDC35" s="205"/>
      <c r="HDD35" s="205"/>
      <c r="HDE35" s="205"/>
      <c r="HDF35" s="205"/>
      <c r="HDG35" s="205"/>
      <c r="HDH35" s="205"/>
      <c r="HDI35" s="205"/>
      <c r="HDJ35" s="205"/>
      <c r="HDK35" s="205"/>
      <c r="HDL35" s="205"/>
      <c r="HDM35" s="205"/>
      <c r="HDN35" s="205"/>
      <c r="HDO35" s="205"/>
      <c r="HDP35" s="205"/>
      <c r="HDQ35" s="205"/>
      <c r="HDR35" s="205"/>
      <c r="HDS35" s="205"/>
      <c r="HDT35" s="205"/>
      <c r="HDU35" s="205"/>
      <c r="HDV35" s="205"/>
      <c r="HDW35" s="205"/>
      <c r="HDX35" s="205"/>
      <c r="HDY35" s="205"/>
      <c r="HDZ35" s="205"/>
      <c r="HEA35" s="205"/>
      <c r="HEB35" s="205"/>
      <c r="HEC35" s="205"/>
      <c r="HED35" s="205"/>
      <c r="HEE35" s="205"/>
      <c r="HEF35" s="205"/>
      <c r="HEG35" s="205"/>
      <c r="HEH35" s="205"/>
      <c r="HEI35" s="205"/>
      <c r="HEJ35" s="205"/>
      <c r="HEK35" s="205"/>
      <c r="HEL35" s="205"/>
      <c r="HEM35" s="205"/>
      <c r="HEN35" s="205"/>
      <c r="HEO35" s="205"/>
      <c r="HEP35" s="205"/>
      <c r="HEQ35" s="205"/>
      <c r="HER35" s="205"/>
      <c r="HES35" s="205"/>
      <c r="HET35" s="205"/>
      <c r="HEU35" s="205"/>
      <c r="HEV35" s="205"/>
      <c r="HEW35" s="205"/>
      <c r="HEX35" s="205"/>
      <c r="HEY35" s="205"/>
      <c r="HEZ35" s="205"/>
      <c r="HFA35" s="205"/>
      <c r="HFB35" s="205"/>
      <c r="HFC35" s="205"/>
      <c r="HFD35" s="205"/>
      <c r="HFE35" s="205"/>
      <c r="HFF35" s="205"/>
      <c r="HFG35" s="205"/>
      <c r="HFH35" s="205"/>
      <c r="HFI35" s="205"/>
      <c r="HFJ35" s="205"/>
      <c r="HFK35" s="205"/>
      <c r="HFL35" s="205"/>
      <c r="HFM35" s="205"/>
      <c r="HFN35" s="205"/>
      <c r="HFO35" s="205"/>
      <c r="HFP35" s="205"/>
      <c r="HFQ35" s="205"/>
      <c r="HFR35" s="205"/>
      <c r="HFS35" s="205"/>
      <c r="HFT35" s="205"/>
      <c r="HFU35" s="205"/>
      <c r="HFV35" s="205"/>
      <c r="HFW35" s="205"/>
      <c r="HFX35" s="205"/>
      <c r="HFY35" s="205"/>
      <c r="HFZ35" s="205"/>
      <c r="HGA35" s="205"/>
      <c r="HGB35" s="205"/>
      <c r="HGC35" s="205"/>
      <c r="HGD35" s="205"/>
      <c r="HGE35" s="205"/>
      <c r="HGF35" s="205"/>
      <c r="HGG35" s="205"/>
      <c r="HGH35" s="205"/>
      <c r="HGI35" s="205"/>
      <c r="HGJ35" s="205"/>
      <c r="HGK35" s="205"/>
      <c r="HGL35" s="205"/>
      <c r="HGM35" s="205"/>
      <c r="HGN35" s="205"/>
      <c r="HGO35" s="205"/>
      <c r="HGP35" s="205"/>
      <c r="HGQ35" s="205"/>
      <c r="HGR35" s="205"/>
      <c r="HGS35" s="205"/>
      <c r="HGT35" s="205"/>
      <c r="HGU35" s="205"/>
      <c r="HGV35" s="205"/>
      <c r="HGW35" s="205"/>
      <c r="HGX35" s="205"/>
      <c r="HGY35" s="205"/>
      <c r="HGZ35" s="205"/>
      <c r="HHA35" s="205"/>
      <c r="HHB35" s="205"/>
      <c r="HHC35" s="205"/>
      <c r="HHD35" s="205"/>
      <c r="HHE35" s="205"/>
      <c r="HHF35" s="205"/>
      <c r="HHG35" s="205"/>
      <c r="HHH35" s="205"/>
      <c r="HHI35" s="205"/>
      <c r="HHJ35" s="205"/>
      <c r="HHK35" s="205"/>
      <c r="HHL35" s="205"/>
      <c r="HHM35" s="205"/>
      <c r="HHN35" s="205"/>
      <c r="HHO35" s="205"/>
      <c r="HHP35" s="205"/>
      <c r="HHQ35" s="205"/>
      <c r="HHR35" s="205"/>
      <c r="HHS35" s="205"/>
      <c r="HHT35" s="205"/>
      <c r="HHU35" s="205"/>
      <c r="HHV35" s="205"/>
      <c r="HHW35" s="205"/>
      <c r="HHX35" s="205"/>
      <c r="HHY35" s="205"/>
      <c r="HHZ35" s="205"/>
      <c r="HIA35" s="205"/>
      <c r="HIB35" s="205"/>
      <c r="HIC35" s="205"/>
      <c r="HID35" s="205"/>
      <c r="HIE35" s="205"/>
      <c r="HIF35" s="205"/>
      <c r="HIG35" s="205"/>
      <c r="HIH35" s="205"/>
      <c r="HII35" s="205"/>
      <c r="HIJ35" s="205"/>
      <c r="HIK35" s="205"/>
      <c r="HIL35" s="205"/>
      <c r="HIM35" s="205"/>
      <c r="HIN35" s="205"/>
      <c r="HIO35" s="205"/>
      <c r="HIP35" s="205"/>
      <c r="HIQ35" s="205"/>
      <c r="HIR35" s="205"/>
      <c r="HIS35" s="205"/>
      <c r="HIT35" s="205"/>
      <c r="HIU35" s="205"/>
      <c r="HIV35" s="205"/>
      <c r="HIW35" s="205"/>
      <c r="HIX35" s="205"/>
      <c r="HIY35" s="205"/>
      <c r="HIZ35" s="205"/>
      <c r="HJA35" s="205"/>
      <c r="HJB35" s="205"/>
      <c r="HJC35" s="205"/>
      <c r="HJD35" s="205"/>
      <c r="HJE35" s="205"/>
      <c r="HJF35" s="205"/>
      <c r="HJG35" s="205"/>
      <c r="HJH35" s="205"/>
      <c r="HJI35" s="205"/>
      <c r="HJJ35" s="205"/>
      <c r="HJK35" s="205"/>
      <c r="HJL35" s="205"/>
      <c r="HJM35" s="205"/>
      <c r="HJN35" s="205"/>
      <c r="HJO35" s="205"/>
      <c r="HJP35" s="205"/>
      <c r="HJQ35" s="205"/>
      <c r="HJR35" s="205"/>
      <c r="HJS35" s="205"/>
      <c r="HJT35" s="205"/>
      <c r="HJU35" s="205"/>
      <c r="HJV35" s="205"/>
      <c r="HJW35" s="205"/>
      <c r="HJX35" s="205"/>
      <c r="HJY35" s="205"/>
      <c r="HJZ35" s="205"/>
      <c r="HKA35" s="205"/>
      <c r="HKB35" s="205"/>
      <c r="HKC35" s="205"/>
      <c r="HKD35" s="205"/>
      <c r="HKE35" s="205"/>
      <c r="HKF35" s="205"/>
      <c r="HKG35" s="205"/>
      <c r="HKH35" s="205"/>
      <c r="HKI35" s="205"/>
      <c r="HKJ35" s="205"/>
      <c r="HKK35" s="205"/>
      <c r="HKL35" s="205"/>
      <c r="HKM35" s="205"/>
      <c r="HKN35" s="205"/>
      <c r="HKO35" s="205"/>
      <c r="HKP35" s="205"/>
      <c r="HKQ35" s="205"/>
      <c r="HKR35" s="205"/>
      <c r="HKS35" s="205"/>
      <c r="HKT35" s="205"/>
      <c r="HKU35" s="205"/>
      <c r="HKV35" s="205"/>
      <c r="HKW35" s="205"/>
      <c r="HKX35" s="205"/>
      <c r="HKY35" s="205"/>
      <c r="HKZ35" s="205"/>
      <c r="HLA35" s="205"/>
      <c r="HLB35" s="205"/>
      <c r="HLC35" s="205"/>
      <c r="HLD35" s="205"/>
      <c r="HLE35" s="205"/>
      <c r="HLF35" s="205"/>
      <c r="HLG35" s="205"/>
      <c r="HLH35" s="205"/>
      <c r="HLI35" s="205"/>
      <c r="HLJ35" s="205"/>
      <c r="HLK35" s="205"/>
      <c r="HLL35" s="205"/>
      <c r="HLM35" s="205"/>
      <c r="HLN35" s="205"/>
      <c r="HLO35" s="205"/>
      <c r="HLP35" s="205"/>
      <c r="HLQ35" s="205"/>
      <c r="HLR35" s="205"/>
      <c r="HLS35" s="205"/>
      <c r="HLT35" s="205"/>
      <c r="HLU35" s="205"/>
      <c r="HLV35" s="205"/>
      <c r="HLW35" s="205"/>
      <c r="HLX35" s="205"/>
      <c r="HLY35" s="205"/>
      <c r="HLZ35" s="205"/>
      <c r="HMA35" s="205"/>
      <c r="HMB35" s="205"/>
      <c r="HMC35" s="205"/>
      <c r="HMD35" s="205"/>
      <c r="HME35" s="205"/>
      <c r="HMF35" s="205"/>
      <c r="HMG35" s="205"/>
      <c r="HMH35" s="205"/>
      <c r="HMI35" s="205"/>
      <c r="HMJ35" s="205"/>
      <c r="HMK35" s="205"/>
      <c r="HML35" s="205"/>
      <c r="HMM35" s="205"/>
      <c r="HMN35" s="205"/>
      <c r="HMO35" s="205"/>
      <c r="HMP35" s="205"/>
      <c r="HMQ35" s="205"/>
      <c r="HMR35" s="205"/>
      <c r="HMS35" s="205"/>
      <c r="HMT35" s="205"/>
      <c r="HMU35" s="205"/>
      <c r="HMV35" s="205"/>
      <c r="HMW35" s="205"/>
      <c r="HMX35" s="205"/>
      <c r="HMY35" s="205"/>
      <c r="HMZ35" s="205"/>
      <c r="HNA35" s="205"/>
      <c r="HNB35" s="205"/>
      <c r="HNC35" s="205"/>
      <c r="HND35" s="205"/>
      <c r="HNE35" s="205"/>
      <c r="HNF35" s="205"/>
      <c r="HNG35" s="205"/>
      <c r="HNH35" s="205"/>
      <c r="HNI35" s="205"/>
      <c r="HNJ35" s="205"/>
      <c r="HNK35" s="205"/>
      <c r="HNL35" s="205"/>
      <c r="HNM35" s="205"/>
      <c r="HNN35" s="205"/>
      <c r="HNO35" s="205"/>
      <c r="HNP35" s="205"/>
      <c r="HNQ35" s="205"/>
      <c r="HNR35" s="205"/>
      <c r="HNS35" s="205"/>
      <c r="HNT35" s="205"/>
      <c r="HNU35" s="205"/>
      <c r="HNV35" s="205"/>
      <c r="HNW35" s="205"/>
      <c r="HNX35" s="205"/>
      <c r="HNY35" s="205"/>
      <c r="HNZ35" s="205"/>
      <c r="HOA35" s="205"/>
      <c r="HOB35" s="205"/>
      <c r="HOC35" s="205"/>
      <c r="HOD35" s="205"/>
      <c r="HOE35" s="205"/>
      <c r="HOF35" s="205"/>
      <c r="HOG35" s="205"/>
      <c r="HOH35" s="205"/>
      <c r="HOI35" s="205"/>
      <c r="HOJ35" s="205"/>
      <c r="HOK35" s="205"/>
      <c r="HOL35" s="205"/>
      <c r="HOM35" s="205"/>
      <c r="HON35" s="205"/>
      <c r="HOO35" s="205"/>
      <c r="HOP35" s="205"/>
      <c r="HOQ35" s="205"/>
      <c r="HOR35" s="205"/>
      <c r="HOS35" s="205"/>
      <c r="HOT35" s="205"/>
      <c r="HOU35" s="205"/>
      <c r="HOV35" s="205"/>
      <c r="HOW35" s="205"/>
      <c r="HOX35" s="205"/>
      <c r="HOY35" s="205"/>
      <c r="HOZ35" s="205"/>
      <c r="HPA35" s="205"/>
      <c r="HPB35" s="205"/>
      <c r="HPC35" s="205"/>
      <c r="HPD35" s="205"/>
      <c r="HPE35" s="205"/>
      <c r="HPF35" s="205"/>
      <c r="HPG35" s="205"/>
      <c r="HPH35" s="205"/>
      <c r="HPI35" s="205"/>
      <c r="HPJ35" s="205"/>
      <c r="HPK35" s="205"/>
      <c r="HPL35" s="205"/>
      <c r="HPM35" s="205"/>
      <c r="HPN35" s="205"/>
      <c r="HPO35" s="205"/>
      <c r="HPP35" s="205"/>
      <c r="HPQ35" s="205"/>
      <c r="HPR35" s="205"/>
      <c r="HPS35" s="205"/>
      <c r="HPT35" s="205"/>
      <c r="HPU35" s="205"/>
      <c r="HPV35" s="205"/>
      <c r="HPW35" s="205"/>
      <c r="HPX35" s="205"/>
      <c r="HPY35" s="205"/>
      <c r="HPZ35" s="205"/>
      <c r="HQA35" s="205"/>
      <c r="HQB35" s="205"/>
      <c r="HQC35" s="205"/>
      <c r="HQD35" s="205"/>
      <c r="HQE35" s="205"/>
      <c r="HQF35" s="205"/>
      <c r="HQG35" s="205"/>
      <c r="HQH35" s="205"/>
      <c r="HQI35" s="205"/>
      <c r="HQJ35" s="205"/>
      <c r="HQK35" s="205"/>
      <c r="HQL35" s="205"/>
      <c r="HQM35" s="205"/>
      <c r="HQN35" s="205"/>
      <c r="HQO35" s="205"/>
      <c r="HQP35" s="205"/>
      <c r="HQQ35" s="205"/>
      <c r="HQR35" s="205"/>
      <c r="HQS35" s="205"/>
      <c r="HQT35" s="205"/>
      <c r="HQU35" s="205"/>
      <c r="HQV35" s="205"/>
      <c r="HQW35" s="205"/>
      <c r="HQX35" s="205"/>
      <c r="HQY35" s="205"/>
      <c r="HQZ35" s="205"/>
      <c r="HRA35" s="205"/>
      <c r="HRB35" s="205"/>
      <c r="HRC35" s="205"/>
      <c r="HRD35" s="205"/>
      <c r="HRE35" s="205"/>
      <c r="HRF35" s="205"/>
      <c r="HRG35" s="205"/>
      <c r="HRH35" s="205"/>
      <c r="HRI35" s="205"/>
      <c r="HRJ35" s="205"/>
      <c r="HRK35" s="205"/>
      <c r="HRL35" s="205"/>
      <c r="HRM35" s="205"/>
      <c r="HRN35" s="205"/>
      <c r="HRO35" s="205"/>
      <c r="HRP35" s="205"/>
      <c r="HRQ35" s="205"/>
      <c r="HRR35" s="205"/>
      <c r="HRS35" s="205"/>
      <c r="HRT35" s="205"/>
      <c r="HRU35" s="205"/>
      <c r="HRV35" s="205"/>
      <c r="HRW35" s="205"/>
      <c r="HRX35" s="205"/>
      <c r="HRY35" s="205"/>
      <c r="HRZ35" s="205"/>
      <c r="HSA35" s="205"/>
      <c r="HSB35" s="205"/>
      <c r="HSC35" s="205"/>
      <c r="HSD35" s="205"/>
      <c r="HSE35" s="205"/>
      <c r="HSF35" s="205"/>
      <c r="HSG35" s="205"/>
      <c r="HSH35" s="205"/>
      <c r="HSI35" s="205"/>
      <c r="HSJ35" s="205"/>
      <c r="HSK35" s="205"/>
      <c r="HSL35" s="205"/>
      <c r="HSM35" s="205"/>
      <c r="HSN35" s="205"/>
      <c r="HSO35" s="205"/>
      <c r="HSP35" s="205"/>
      <c r="HSQ35" s="205"/>
      <c r="HSR35" s="205"/>
      <c r="HSS35" s="205"/>
      <c r="HST35" s="205"/>
      <c r="HSU35" s="205"/>
      <c r="HSV35" s="205"/>
      <c r="HSW35" s="205"/>
      <c r="HSX35" s="205"/>
      <c r="HSY35" s="205"/>
      <c r="HSZ35" s="205"/>
      <c r="HTA35" s="205"/>
      <c r="HTB35" s="205"/>
      <c r="HTC35" s="205"/>
      <c r="HTD35" s="205"/>
      <c r="HTE35" s="205"/>
      <c r="HTF35" s="205"/>
      <c r="HTG35" s="205"/>
      <c r="HTH35" s="205"/>
      <c r="HTI35" s="205"/>
      <c r="HTJ35" s="205"/>
      <c r="HTK35" s="205"/>
      <c r="HTL35" s="205"/>
      <c r="HTM35" s="205"/>
      <c r="HTN35" s="205"/>
      <c r="HTO35" s="205"/>
      <c r="HTP35" s="205"/>
      <c r="HTQ35" s="205"/>
      <c r="HTR35" s="205"/>
      <c r="HTS35" s="205"/>
      <c r="HTT35" s="205"/>
      <c r="HTU35" s="205"/>
      <c r="HTV35" s="205"/>
      <c r="HTW35" s="205"/>
      <c r="HTX35" s="205"/>
      <c r="HTY35" s="205"/>
      <c r="HTZ35" s="205"/>
      <c r="HUA35" s="205"/>
      <c r="HUB35" s="205"/>
      <c r="HUC35" s="205"/>
      <c r="HUD35" s="205"/>
      <c r="HUE35" s="205"/>
      <c r="HUF35" s="205"/>
      <c r="HUG35" s="205"/>
      <c r="HUH35" s="205"/>
      <c r="HUI35" s="205"/>
      <c r="HUJ35" s="205"/>
      <c r="HUK35" s="205"/>
      <c r="HUL35" s="205"/>
      <c r="HUM35" s="205"/>
      <c r="HUN35" s="205"/>
      <c r="HUO35" s="205"/>
      <c r="HUP35" s="205"/>
      <c r="HUQ35" s="205"/>
      <c r="HUR35" s="205"/>
      <c r="HUS35" s="205"/>
      <c r="HUT35" s="205"/>
      <c r="HUU35" s="205"/>
      <c r="HUV35" s="205"/>
      <c r="HUW35" s="205"/>
      <c r="HUX35" s="205"/>
      <c r="HUY35" s="205"/>
      <c r="HUZ35" s="205"/>
      <c r="HVA35" s="205"/>
      <c r="HVB35" s="205"/>
      <c r="HVC35" s="205"/>
      <c r="HVD35" s="205"/>
      <c r="HVE35" s="205"/>
      <c r="HVF35" s="205"/>
      <c r="HVG35" s="205"/>
      <c r="HVH35" s="205"/>
      <c r="HVI35" s="205"/>
      <c r="HVJ35" s="205"/>
      <c r="HVK35" s="205"/>
      <c r="HVL35" s="205"/>
      <c r="HVM35" s="205"/>
      <c r="HVN35" s="205"/>
      <c r="HVO35" s="205"/>
      <c r="HVP35" s="205"/>
      <c r="HVQ35" s="205"/>
      <c r="HVR35" s="205"/>
      <c r="HVS35" s="205"/>
      <c r="HVT35" s="205"/>
      <c r="HVU35" s="205"/>
      <c r="HVV35" s="205"/>
      <c r="HVW35" s="205"/>
      <c r="HVX35" s="205"/>
      <c r="HVY35" s="205"/>
      <c r="HVZ35" s="205"/>
      <c r="HWA35" s="205"/>
      <c r="HWB35" s="205"/>
      <c r="HWC35" s="205"/>
      <c r="HWD35" s="205"/>
      <c r="HWE35" s="205"/>
      <c r="HWF35" s="205"/>
      <c r="HWG35" s="205"/>
      <c r="HWH35" s="205"/>
      <c r="HWI35" s="205"/>
      <c r="HWJ35" s="205"/>
      <c r="HWK35" s="205"/>
      <c r="HWL35" s="205"/>
      <c r="HWM35" s="205"/>
      <c r="HWN35" s="205"/>
      <c r="HWO35" s="205"/>
      <c r="HWP35" s="205"/>
      <c r="HWQ35" s="205"/>
      <c r="HWR35" s="205"/>
      <c r="HWS35" s="205"/>
      <c r="HWT35" s="205"/>
      <c r="HWU35" s="205"/>
      <c r="HWV35" s="205"/>
      <c r="HWW35" s="205"/>
      <c r="HWX35" s="205"/>
      <c r="HWY35" s="205"/>
      <c r="HWZ35" s="205"/>
      <c r="HXA35" s="205"/>
      <c r="HXB35" s="205"/>
      <c r="HXC35" s="205"/>
      <c r="HXD35" s="205"/>
      <c r="HXE35" s="205"/>
      <c r="HXF35" s="205"/>
      <c r="HXG35" s="205"/>
      <c r="HXH35" s="205"/>
      <c r="HXI35" s="205"/>
      <c r="HXJ35" s="205"/>
      <c r="HXK35" s="205"/>
      <c r="HXL35" s="205"/>
      <c r="HXM35" s="205"/>
      <c r="HXN35" s="205"/>
      <c r="HXO35" s="205"/>
      <c r="HXP35" s="205"/>
      <c r="HXQ35" s="205"/>
      <c r="HXR35" s="205"/>
      <c r="HXS35" s="205"/>
      <c r="HXT35" s="205"/>
      <c r="HXU35" s="205"/>
      <c r="HXV35" s="205"/>
      <c r="HXW35" s="205"/>
      <c r="HXX35" s="205"/>
      <c r="HXY35" s="205"/>
      <c r="HXZ35" s="205"/>
      <c r="HYA35" s="205"/>
      <c r="HYB35" s="205"/>
      <c r="HYC35" s="205"/>
      <c r="HYD35" s="205"/>
      <c r="HYE35" s="205"/>
      <c r="HYF35" s="205"/>
      <c r="HYG35" s="205"/>
      <c r="HYH35" s="205"/>
      <c r="HYI35" s="205"/>
      <c r="HYJ35" s="205"/>
      <c r="HYK35" s="205"/>
      <c r="HYL35" s="205"/>
      <c r="HYM35" s="205"/>
      <c r="HYN35" s="205"/>
      <c r="HYO35" s="205"/>
      <c r="HYP35" s="205"/>
      <c r="HYQ35" s="205"/>
      <c r="HYR35" s="205"/>
      <c r="HYS35" s="205"/>
      <c r="HYT35" s="205"/>
      <c r="HYU35" s="205"/>
      <c r="HYV35" s="205"/>
      <c r="HYW35" s="205"/>
      <c r="HYX35" s="205"/>
      <c r="HYY35" s="205"/>
      <c r="HYZ35" s="205"/>
      <c r="HZA35" s="205"/>
      <c r="HZB35" s="205"/>
      <c r="HZC35" s="205"/>
      <c r="HZD35" s="205"/>
      <c r="HZE35" s="205"/>
      <c r="HZF35" s="205"/>
      <c r="HZG35" s="205"/>
      <c r="HZH35" s="205"/>
      <c r="HZI35" s="205"/>
      <c r="HZJ35" s="205"/>
      <c r="HZK35" s="205"/>
      <c r="HZL35" s="205"/>
      <c r="HZM35" s="205"/>
      <c r="HZN35" s="205"/>
      <c r="HZO35" s="205"/>
      <c r="HZP35" s="205"/>
      <c r="HZQ35" s="205"/>
      <c r="HZR35" s="205"/>
      <c r="HZS35" s="205"/>
      <c r="HZT35" s="205"/>
      <c r="HZU35" s="205"/>
      <c r="HZV35" s="205"/>
      <c r="HZW35" s="205"/>
      <c r="HZX35" s="205"/>
      <c r="HZY35" s="205"/>
      <c r="HZZ35" s="205"/>
      <c r="IAA35" s="205"/>
      <c r="IAB35" s="205"/>
      <c r="IAC35" s="205"/>
      <c r="IAD35" s="205"/>
      <c r="IAE35" s="205"/>
      <c r="IAF35" s="205"/>
      <c r="IAG35" s="205"/>
      <c r="IAH35" s="205"/>
      <c r="IAI35" s="205"/>
      <c r="IAJ35" s="205"/>
      <c r="IAK35" s="205"/>
      <c r="IAL35" s="205"/>
      <c r="IAM35" s="205"/>
      <c r="IAN35" s="205"/>
      <c r="IAO35" s="205"/>
      <c r="IAP35" s="205"/>
      <c r="IAQ35" s="205"/>
      <c r="IAR35" s="205"/>
      <c r="IAS35" s="205"/>
      <c r="IAT35" s="205"/>
      <c r="IAU35" s="205"/>
      <c r="IAV35" s="205"/>
      <c r="IAW35" s="205"/>
      <c r="IAX35" s="205"/>
      <c r="IAY35" s="205"/>
      <c r="IAZ35" s="205"/>
      <c r="IBA35" s="205"/>
      <c r="IBB35" s="205"/>
      <c r="IBC35" s="205"/>
      <c r="IBD35" s="205"/>
      <c r="IBE35" s="205"/>
      <c r="IBF35" s="205"/>
      <c r="IBG35" s="205"/>
      <c r="IBH35" s="205"/>
      <c r="IBI35" s="205"/>
      <c r="IBJ35" s="205"/>
      <c r="IBK35" s="205"/>
      <c r="IBL35" s="205"/>
      <c r="IBM35" s="205"/>
      <c r="IBN35" s="205"/>
      <c r="IBO35" s="205"/>
      <c r="IBP35" s="205"/>
      <c r="IBQ35" s="205"/>
      <c r="IBR35" s="205"/>
      <c r="IBS35" s="205"/>
      <c r="IBT35" s="205"/>
      <c r="IBU35" s="205"/>
      <c r="IBV35" s="205"/>
      <c r="IBW35" s="205"/>
      <c r="IBX35" s="205"/>
      <c r="IBY35" s="205"/>
      <c r="IBZ35" s="205"/>
      <c r="ICA35" s="205"/>
      <c r="ICB35" s="205"/>
      <c r="ICC35" s="205"/>
      <c r="ICD35" s="205"/>
      <c r="ICE35" s="205"/>
      <c r="ICF35" s="205"/>
      <c r="ICG35" s="205"/>
      <c r="ICH35" s="205"/>
      <c r="ICI35" s="205"/>
      <c r="ICJ35" s="205"/>
      <c r="ICK35" s="205"/>
      <c r="ICL35" s="205"/>
      <c r="ICM35" s="205"/>
      <c r="ICN35" s="205"/>
      <c r="ICO35" s="205"/>
      <c r="ICP35" s="205"/>
      <c r="ICQ35" s="205"/>
      <c r="ICR35" s="205"/>
      <c r="ICS35" s="205"/>
      <c r="ICT35" s="205"/>
      <c r="ICU35" s="205"/>
      <c r="ICV35" s="205"/>
      <c r="ICW35" s="205"/>
      <c r="ICX35" s="205"/>
      <c r="ICY35" s="205"/>
      <c r="ICZ35" s="205"/>
      <c r="IDA35" s="205"/>
      <c r="IDB35" s="205"/>
      <c r="IDC35" s="205"/>
      <c r="IDD35" s="205"/>
      <c r="IDE35" s="205"/>
      <c r="IDF35" s="205"/>
      <c r="IDG35" s="205"/>
      <c r="IDH35" s="205"/>
      <c r="IDI35" s="205"/>
      <c r="IDJ35" s="205"/>
      <c r="IDK35" s="205"/>
      <c r="IDL35" s="205"/>
      <c r="IDM35" s="205"/>
      <c r="IDN35" s="205"/>
      <c r="IDO35" s="205"/>
      <c r="IDP35" s="205"/>
      <c r="IDQ35" s="205"/>
      <c r="IDR35" s="205"/>
      <c r="IDS35" s="205"/>
      <c r="IDT35" s="205"/>
      <c r="IDU35" s="205"/>
      <c r="IDV35" s="205"/>
      <c r="IDW35" s="205"/>
      <c r="IDX35" s="205"/>
      <c r="IDY35" s="205"/>
      <c r="IDZ35" s="205"/>
      <c r="IEA35" s="205"/>
      <c r="IEB35" s="205"/>
      <c r="IEC35" s="205"/>
      <c r="IED35" s="205"/>
      <c r="IEE35" s="205"/>
      <c r="IEF35" s="205"/>
      <c r="IEG35" s="205"/>
      <c r="IEH35" s="205"/>
      <c r="IEI35" s="205"/>
      <c r="IEJ35" s="205"/>
      <c r="IEK35" s="205"/>
      <c r="IEL35" s="205"/>
      <c r="IEM35" s="205"/>
      <c r="IEN35" s="205"/>
      <c r="IEO35" s="205"/>
      <c r="IEP35" s="205"/>
      <c r="IEQ35" s="205"/>
      <c r="IER35" s="205"/>
      <c r="IES35" s="205"/>
      <c r="IET35" s="205"/>
      <c r="IEU35" s="205"/>
      <c r="IEV35" s="205"/>
      <c r="IEW35" s="205"/>
      <c r="IEX35" s="205"/>
      <c r="IEY35" s="205"/>
      <c r="IEZ35" s="205"/>
      <c r="IFA35" s="205"/>
      <c r="IFB35" s="205"/>
      <c r="IFC35" s="205"/>
      <c r="IFD35" s="205"/>
      <c r="IFE35" s="205"/>
      <c r="IFF35" s="205"/>
      <c r="IFG35" s="205"/>
      <c r="IFH35" s="205"/>
      <c r="IFI35" s="205"/>
      <c r="IFJ35" s="205"/>
      <c r="IFK35" s="205"/>
      <c r="IFL35" s="205"/>
      <c r="IFM35" s="205"/>
      <c r="IFN35" s="205"/>
      <c r="IFO35" s="205"/>
      <c r="IFP35" s="205"/>
      <c r="IFQ35" s="205"/>
      <c r="IFR35" s="205"/>
      <c r="IFS35" s="205"/>
      <c r="IFT35" s="205"/>
      <c r="IFU35" s="205"/>
      <c r="IFV35" s="205"/>
      <c r="IFW35" s="205"/>
      <c r="IFX35" s="205"/>
      <c r="IFY35" s="205"/>
      <c r="IFZ35" s="205"/>
      <c r="IGA35" s="205"/>
      <c r="IGB35" s="205"/>
      <c r="IGC35" s="205"/>
      <c r="IGD35" s="205"/>
      <c r="IGE35" s="205"/>
      <c r="IGF35" s="205"/>
      <c r="IGG35" s="205"/>
      <c r="IGH35" s="205"/>
      <c r="IGI35" s="205"/>
      <c r="IGJ35" s="205"/>
      <c r="IGK35" s="205"/>
      <c r="IGL35" s="205"/>
      <c r="IGM35" s="205"/>
      <c r="IGN35" s="205"/>
      <c r="IGO35" s="205"/>
      <c r="IGP35" s="205"/>
      <c r="IGQ35" s="205"/>
      <c r="IGR35" s="205"/>
      <c r="IGS35" s="205"/>
      <c r="IGT35" s="205"/>
      <c r="IGU35" s="205"/>
      <c r="IGV35" s="205"/>
      <c r="IGW35" s="205"/>
      <c r="IGX35" s="205"/>
      <c r="IGY35" s="205"/>
      <c r="IGZ35" s="205"/>
      <c r="IHA35" s="205"/>
      <c r="IHB35" s="205"/>
      <c r="IHC35" s="205"/>
      <c r="IHD35" s="205"/>
      <c r="IHE35" s="205"/>
      <c r="IHF35" s="205"/>
      <c r="IHG35" s="205"/>
      <c r="IHH35" s="205"/>
      <c r="IHI35" s="205"/>
      <c r="IHJ35" s="205"/>
      <c r="IHK35" s="205"/>
      <c r="IHL35" s="205"/>
      <c r="IHM35" s="205"/>
      <c r="IHN35" s="205"/>
      <c r="IHO35" s="205"/>
      <c r="IHP35" s="205"/>
      <c r="IHQ35" s="205"/>
      <c r="IHR35" s="205"/>
      <c r="IHS35" s="205"/>
      <c r="IHT35" s="205"/>
      <c r="IHU35" s="205"/>
      <c r="IHV35" s="205"/>
      <c r="IHW35" s="205"/>
      <c r="IHX35" s="205"/>
      <c r="IHY35" s="205"/>
      <c r="IHZ35" s="205"/>
      <c r="IIA35" s="205"/>
      <c r="IIB35" s="205"/>
      <c r="IIC35" s="205"/>
      <c r="IID35" s="205"/>
      <c r="IIE35" s="205"/>
      <c r="IIF35" s="205"/>
      <c r="IIG35" s="205"/>
      <c r="IIH35" s="205"/>
      <c r="III35" s="205"/>
      <c r="IIJ35" s="205"/>
      <c r="IIK35" s="205"/>
      <c r="IIL35" s="205"/>
      <c r="IIM35" s="205"/>
      <c r="IIN35" s="205"/>
      <c r="IIO35" s="205"/>
      <c r="IIP35" s="205"/>
      <c r="IIQ35" s="205"/>
      <c r="IIR35" s="205"/>
      <c r="IIS35" s="205"/>
      <c r="IIT35" s="205"/>
      <c r="IIU35" s="205"/>
      <c r="IIV35" s="205"/>
      <c r="IIW35" s="205"/>
      <c r="IIX35" s="205"/>
      <c r="IIY35" s="205"/>
      <c r="IIZ35" s="205"/>
      <c r="IJA35" s="205"/>
      <c r="IJB35" s="205"/>
      <c r="IJC35" s="205"/>
      <c r="IJD35" s="205"/>
      <c r="IJE35" s="205"/>
      <c r="IJF35" s="205"/>
      <c r="IJG35" s="205"/>
      <c r="IJH35" s="205"/>
      <c r="IJI35" s="205"/>
      <c r="IJJ35" s="205"/>
      <c r="IJK35" s="205"/>
      <c r="IJL35" s="205"/>
      <c r="IJM35" s="205"/>
      <c r="IJN35" s="205"/>
      <c r="IJO35" s="205"/>
      <c r="IJP35" s="205"/>
      <c r="IJQ35" s="205"/>
      <c r="IJR35" s="205"/>
      <c r="IJS35" s="205"/>
      <c r="IJT35" s="205"/>
      <c r="IJU35" s="205"/>
      <c r="IJV35" s="205"/>
      <c r="IJW35" s="205"/>
      <c r="IJX35" s="205"/>
      <c r="IJY35" s="205"/>
      <c r="IJZ35" s="205"/>
      <c r="IKA35" s="205"/>
      <c r="IKB35" s="205"/>
      <c r="IKC35" s="205"/>
      <c r="IKD35" s="205"/>
      <c r="IKE35" s="205"/>
      <c r="IKF35" s="205"/>
      <c r="IKG35" s="205"/>
      <c r="IKH35" s="205"/>
      <c r="IKI35" s="205"/>
      <c r="IKJ35" s="205"/>
      <c r="IKK35" s="205"/>
      <c r="IKL35" s="205"/>
      <c r="IKM35" s="205"/>
      <c r="IKN35" s="205"/>
      <c r="IKO35" s="205"/>
      <c r="IKP35" s="205"/>
      <c r="IKQ35" s="205"/>
      <c r="IKR35" s="205"/>
      <c r="IKS35" s="205"/>
      <c r="IKT35" s="205"/>
      <c r="IKU35" s="205"/>
      <c r="IKV35" s="205"/>
      <c r="IKW35" s="205"/>
      <c r="IKX35" s="205"/>
      <c r="IKY35" s="205"/>
      <c r="IKZ35" s="205"/>
      <c r="ILA35" s="205"/>
      <c r="ILB35" s="205"/>
      <c r="ILC35" s="205"/>
      <c r="ILD35" s="205"/>
      <c r="ILE35" s="205"/>
      <c r="ILF35" s="205"/>
      <c r="ILG35" s="205"/>
      <c r="ILH35" s="205"/>
      <c r="ILI35" s="205"/>
      <c r="ILJ35" s="205"/>
      <c r="ILK35" s="205"/>
      <c r="ILL35" s="205"/>
      <c r="ILM35" s="205"/>
      <c r="ILN35" s="205"/>
      <c r="ILO35" s="205"/>
      <c r="ILP35" s="205"/>
      <c r="ILQ35" s="205"/>
      <c r="ILR35" s="205"/>
      <c r="ILS35" s="205"/>
      <c r="ILT35" s="205"/>
      <c r="ILU35" s="205"/>
      <c r="ILV35" s="205"/>
      <c r="ILW35" s="205"/>
      <c r="ILX35" s="205"/>
      <c r="ILY35" s="205"/>
      <c r="ILZ35" s="205"/>
      <c r="IMA35" s="205"/>
      <c r="IMB35" s="205"/>
      <c r="IMC35" s="205"/>
      <c r="IMD35" s="205"/>
      <c r="IME35" s="205"/>
      <c r="IMF35" s="205"/>
      <c r="IMG35" s="205"/>
      <c r="IMH35" s="205"/>
      <c r="IMI35" s="205"/>
      <c r="IMJ35" s="205"/>
      <c r="IMK35" s="205"/>
      <c r="IML35" s="205"/>
      <c r="IMM35" s="205"/>
      <c r="IMN35" s="205"/>
      <c r="IMO35" s="205"/>
      <c r="IMP35" s="205"/>
      <c r="IMQ35" s="205"/>
      <c r="IMR35" s="205"/>
      <c r="IMS35" s="205"/>
      <c r="IMT35" s="205"/>
      <c r="IMU35" s="205"/>
      <c r="IMV35" s="205"/>
      <c r="IMW35" s="205"/>
      <c r="IMX35" s="205"/>
      <c r="IMY35" s="205"/>
      <c r="IMZ35" s="205"/>
      <c r="INA35" s="205"/>
      <c r="INB35" s="205"/>
      <c r="INC35" s="205"/>
      <c r="IND35" s="205"/>
      <c r="INE35" s="205"/>
      <c r="INF35" s="205"/>
      <c r="ING35" s="205"/>
      <c r="INH35" s="205"/>
      <c r="INI35" s="205"/>
      <c r="INJ35" s="205"/>
      <c r="INK35" s="205"/>
      <c r="INL35" s="205"/>
      <c r="INM35" s="205"/>
      <c r="INN35" s="205"/>
      <c r="INO35" s="205"/>
      <c r="INP35" s="205"/>
      <c r="INQ35" s="205"/>
      <c r="INR35" s="205"/>
      <c r="INS35" s="205"/>
      <c r="INT35" s="205"/>
      <c r="INU35" s="205"/>
      <c r="INV35" s="205"/>
      <c r="INW35" s="205"/>
      <c r="INX35" s="205"/>
      <c r="INY35" s="205"/>
      <c r="INZ35" s="205"/>
      <c r="IOA35" s="205"/>
      <c r="IOB35" s="205"/>
      <c r="IOC35" s="205"/>
      <c r="IOD35" s="205"/>
      <c r="IOE35" s="205"/>
      <c r="IOF35" s="205"/>
      <c r="IOG35" s="205"/>
      <c r="IOH35" s="205"/>
      <c r="IOI35" s="205"/>
      <c r="IOJ35" s="205"/>
      <c r="IOK35" s="205"/>
      <c r="IOL35" s="205"/>
      <c r="IOM35" s="205"/>
      <c r="ION35" s="205"/>
      <c r="IOO35" s="205"/>
      <c r="IOP35" s="205"/>
      <c r="IOQ35" s="205"/>
      <c r="IOR35" s="205"/>
      <c r="IOS35" s="205"/>
      <c r="IOT35" s="205"/>
      <c r="IOU35" s="205"/>
      <c r="IOV35" s="205"/>
      <c r="IOW35" s="205"/>
      <c r="IOX35" s="205"/>
      <c r="IOY35" s="205"/>
      <c r="IOZ35" s="205"/>
      <c r="IPA35" s="205"/>
      <c r="IPB35" s="205"/>
      <c r="IPC35" s="205"/>
      <c r="IPD35" s="205"/>
      <c r="IPE35" s="205"/>
      <c r="IPF35" s="205"/>
      <c r="IPG35" s="205"/>
      <c r="IPH35" s="205"/>
      <c r="IPI35" s="205"/>
      <c r="IPJ35" s="205"/>
      <c r="IPK35" s="205"/>
      <c r="IPL35" s="205"/>
      <c r="IPM35" s="205"/>
      <c r="IPN35" s="205"/>
      <c r="IPO35" s="205"/>
      <c r="IPP35" s="205"/>
      <c r="IPQ35" s="205"/>
      <c r="IPR35" s="205"/>
      <c r="IPS35" s="205"/>
      <c r="IPT35" s="205"/>
      <c r="IPU35" s="205"/>
      <c r="IPV35" s="205"/>
      <c r="IPW35" s="205"/>
      <c r="IPX35" s="205"/>
      <c r="IPY35" s="205"/>
      <c r="IPZ35" s="205"/>
      <c r="IQA35" s="205"/>
      <c r="IQB35" s="205"/>
      <c r="IQC35" s="205"/>
      <c r="IQD35" s="205"/>
      <c r="IQE35" s="205"/>
      <c r="IQF35" s="205"/>
      <c r="IQG35" s="205"/>
      <c r="IQH35" s="205"/>
      <c r="IQI35" s="205"/>
      <c r="IQJ35" s="205"/>
      <c r="IQK35" s="205"/>
      <c r="IQL35" s="205"/>
      <c r="IQM35" s="205"/>
      <c r="IQN35" s="205"/>
      <c r="IQO35" s="205"/>
      <c r="IQP35" s="205"/>
      <c r="IQQ35" s="205"/>
      <c r="IQR35" s="205"/>
      <c r="IQS35" s="205"/>
      <c r="IQT35" s="205"/>
      <c r="IQU35" s="205"/>
      <c r="IQV35" s="205"/>
      <c r="IQW35" s="205"/>
      <c r="IQX35" s="205"/>
      <c r="IQY35" s="205"/>
      <c r="IQZ35" s="205"/>
      <c r="IRA35" s="205"/>
      <c r="IRB35" s="205"/>
      <c r="IRC35" s="205"/>
      <c r="IRD35" s="205"/>
      <c r="IRE35" s="205"/>
      <c r="IRF35" s="205"/>
      <c r="IRG35" s="205"/>
      <c r="IRH35" s="205"/>
      <c r="IRI35" s="205"/>
      <c r="IRJ35" s="205"/>
      <c r="IRK35" s="205"/>
      <c r="IRL35" s="205"/>
      <c r="IRM35" s="205"/>
      <c r="IRN35" s="205"/>
      <c r="IRO35" s="205"/>
      <c r="IRP35" s="205"/>
      <c r="IRQ35" s="205"/>
      <c r="IRR35" s="205"/>
      <c r="IRS35" s="205"/>
      <c r="IRT35" s="205"/>
      <c r="IRU35" s="205"/>
      <c r="IRV35" s="205"/>
      <c r="IRW35" s="205"/>
      <c r="IRX35" s="205"/>
      <c r="IRY35" s="205"/>
      <c r="IRZ35" s="205"/>
      <c r="ISA35" s="205"/>
      <c r="ISB35" s="205"/>
      <c r="ISC35" s="205"/>
      <c r="ISD35" s="205"/>
      <c r="ISE35" s="205"/>
      <c r="ISF35" s="205"/>
      <c r="ISG35" s="205"/>
      <c r="ISH35" s="205"/>
      <c r="ISI35" s="205"/>
      <c r="ISJ35" s="205"/>
      <c r="ISK35" s="205"/>
      <c r="ISL35" s="205"/>
      <c r="ISM35" s="205"/>
      <c r="ISN35" s="205"/>
      <c r="ISO35" s="205"/>
      <c r="ISP35" s="205"/>
      <c r="ISQ35" s="205"/>
      <c r="ISR35" s="205"/>
      <c r="ISS35" s="205"/>
      <c r="IST35" s="205"/>
      <c r="ISU35" s="205"/>
      <c r="ISV35" s="205"/>
      <c r="ISW35" s="205"/>
      <c r="ISX35" s="205"/>
      <c r="ISY35" s="205"/>
      <c r="ISZ35" s="205"/>
      <c r="ITA35" s="205"/>
      <c r="ITB35" s="205"/>
      <c r="ITC35" s="205"/>
      <c r="ITD35" s="205"/>
      <c r="ITE35" s="205"/>
      <c r="ITF35" s="205"/>
      <c r="ITG35" s="205"/>
      <c r="ITH35" s="205"/>
      <c r="ITI35" s="205"/>
      <c r="ITJ35" s="205"/>
      <c r="ITK35" s="205"/>
      <c r="ITL35" s="205"/>
      <c r="ITM35" s="205"/>
      <c r="ITN35" s="205"/>
      <c r="ITO35" s="205"/>
      <c r="ITP35" s="205"/>
      <c r="ITQ35" s="205"/>
      <c r="ITR35" s="205"/>
      <c r="ITS35" s="205"/>
      <c r="ITT35" s="205"/>
      <c r="ITU35" s="205"/>
      <c r="ITV35" s="205"/>
      <c r="ITW35" s="205"/>
      <c r="ITX35" s="205"/>
      <c r="ITY35" s="205"/>
      <c r="ITZ35" s="205"/>
      <c r="IUA35" s="205"/>
      <c r="IUB35" s="205"/>
      <c r="IUC35" s="205"/>
      <c r="IUD35" s="205"/>
      <c r="IUE35" s="205"/>
      <c r="IUF35" s="205"/>
      <c r="IUG35" s="205"/>
      <c r="IUH35" s="205"/>
      <c r="IUI35" s="205"/>
      <c r="IUJ35" s="205"/>
      <c r="IUK35" s="205"/>
      <c r="IUL35" s="205"/>
      <c r="IUM35" s="205"/>
      <c r="IUN35" s="205"/>
      <c r="IUO35" s="205"/>
      <c r="IUP35" s="205"/>
      <c r="IUQ35" s="205"/>
      <c r="IUR35" s="205"/>
      <c r="IUS35" s="205"/>
      <c r="IUT35" s="205"/>
      <c r="IUU35" s="205"/>
      <c r="IUV35" s="205"/>
      <c r="IUW35" s="205"/>
      <c r="IUX35" s="205"/>
      <c r="IUY35" s="205"/>
      <c r="IUZ35" s="205"/>
      <c r="IVA35" s="205"/>
      <c r="IVB35" s="205"/>
      <c r="IVC35" s="205"/>
      <c r="IVD35" s="205"/>
      <c r="IVE35" s="205"/>
      <c r="IVF35" s="205"/>
      <c r="IVG35" s="205"/>
      <c r="IVH35" s="205"/>
      <c r="IVI35" s="205"/>
      <c r="IVJ35" s="205"/>
      <c r="IVK35" s="205"/>
      <c r="IVL35" s="205"/>
      <c r="IVM35" s="205"/>
      <c r="IVN35" s="205"/>
      <c r="IVO35" s="205"/>
      <c r="IVP35" s="205"/>
      <c r="IVQ35" s="205"/>
      <c r="IVR35" s="205"/>
      <c r="IVS35" s="205"/>
      <c r="IVT35" s="205"/>
      <c r="IVU35" s="205"/>
      <c r="IVV35" s="205"/>
      <c r="IVW35" s="205"/>
      <c r="IVX35" s="205"/>
      <c r="IVY35" s="205"/>
      <c r="IVZ35" s="205"/>
      <c r="IWA35" s="205"/>
      <c r="IWB35" s="205"/>
      <c r="IWC35" s="205"/>
      <c r="IWD35" s="205"/>
      <c r="IWE35" s="205"/>
      <c r="IWF35" s="205"/>
      <c r="IWG35" s="205"/>
      <c r="IWH35" s="205"/>
      <c r="IWI35" s="205"/>
      <c r="IWJ35" s="205"/>
      <c r="IWK35" s="205"/>
      <c r="IWL35" s="205"/>
      <c r="IWM35" s="205"/>
      <c r="IWN35" s="205"/>
      <c r="IWO35" s="205"/>
      <c r="IWP35" s="205"/>
      <c r="IWQ35" s="205"/>
      <c r="IWR35" s="205"/>
      <c r="IWS35" s="205"/>
      <c r="IWT35" s="205"/>
      <c r="IWU35" s="205"/>
      <c r="IWV35" s="205"/>
      <c r="IWW35" s="205"/>
      <c r="IWX35" s="205"/>
      <c r="IWY35" s="205"/>
      <c r="IWZ35" s="205"/>
      <c r="IXA35" s="205"/>
      <c r="IXB35" s="205"/>
      <c r="IXC35" s="205"/>
      <c r="IXD35" s="205"/>
      <c r="IXE35" s="205"/>
      <c r="IXF35" s="205"/>
      <c r="IXG35" s="205"/>
      <c r="IXH35" s="205"/>
      <c r="IXI35" s="205"/>
      <c r="IXJ35" s="205"/>
      <c r="IXK35" s="205"/>
      <c r="IXL35" s="205"/>
      <c r="IXM35" s="205"/>
      <c r="IXN35" s="205"/>
      <c r="IXO35" s="205"/>
      <c r="IXP35" s="205"/>
      <c r="IXQ35" s="205"/>
      <c r="IXR35" s="205"/>
      <c r="IXS35" s="205"/>
      <c r="IXT35" s="205"/>
      <c r="IXU35" s="205"/>
      <c r="IXV35" s="205"/>
      <c r="IXW35" s="205"/>
      <c r="IXX35" s="205"/>
      <c r="IXY35" s="205"/>
      <c r="IXZ35" s="205"/>
      <c r="IYA35" s="205"/>
      <c r="IYB35" s="205"/>
      <c r="IYC35" s="205"/>
      <c r="IYD35" s="205"/>
      <c r="IYE35" s="205"/>
      <c r="IYF35" s="205"/>
      <c r="IYG35" s="205"/>
      <c r="IYH35" s="205"/>
      <c r="IYI35" s="205"/>
      <c r="IYJ35" s="205"/>
      <c r="IYK35" s="205"/>
      <c r="IYL35" s="205"/>
      <c r="IYM35" s="205"/>
      <c r="IYN35" s="205"/>
      <c r="IYO35" s="205"/>
      <c r="IYP35" s="205"/>
      <c r="IYQ35" s="205"/>
      <c r="IYR35" s="205"/>
      <c r="IYS35" s="205"/>
      <c r="IYT35" s="205"/>
      <c r="IYU35" s="205"/>
      <c r="IYV35" s="205"/>
      <c r="IYW35" s="205"/>
      <c r="IYX35" s="205"/>
      <c r="IYY35" s="205"/>
      <c r="IYZ35" s="205"/>
      <c r="IZA35" s="205"/>
      <c r="IZB35" s="205"/>
      <c r="IZC35" s="205"/>
      <c r="IZD35" s="205"/>
      <c r="IZE35" s="205"/>
      <c r="IZF35" s="205"/>
      <c r="IZG35" s="205"/>
      <c r="IZH35" s="205"/>
      <c r="IZI35" s="205"/>
      <c r="IZJ35" s="205"/>
      <c r="IZK35" s="205"/>
      <c r="IZL35" s="205"/>
      <c r="IZM35" s="205"/>
      <c r="IZN35" s="205"/>
      <c r="IZO35" s="205"/>
      <c r="IZP35" s="205"/>
      <c r="IZQ35" s="205"/>
      <c r="IZR35" s="205"/>
      <c r="IZS35" s="205"/>
      <c r="IZT35" s="205"/>
      <c r="IZU35" s="205"/>
      <c r="IZV35" s="205"/>
      <c r="IZW35" s="205"/>
      <c r="IZX35" s="205"/>
      <c r="IZY35" s="205"/>
      <c r="IZZ35" s="205"/>
      <c r="JAA35" s="205"/>
      <c r="JAB35" s="205"/>
      <c r="JAC35" s="205"/>
      <c r="JAD35" s="205"/>
      <c r="JAE35" s="205"/>
      <c r="JAF35" s="205"/>
      <c r="JAG35" s="205"/>
      <c r="JAH35" s="205"/>
      <c r="JAI35" s="205"/>
      <c r="JAJ35" s="205"/>
      <c r="JAK35" s="205"/>
      <c r="JAL35" s="205"/>
      <c r="JAM35" s="205"/>
      <c r="JAN35" s="205"/>
      <c r="JAO35" s="205"/>
      <c r="JAP35" s="205"/>
      <c r="JAQ35" s="205"/>
      <c r="JAR35" s="205"/>
      <c r="JAS35" s="205"/>
      <c r="JAT35" s="205"/>
      <c r="JAU35" s="205"/>
      <c r="JAV35" s="205"/>
      <c r="JAW35" s="205"/>
      <c r="JAX35" s="205"/>
      <c r="JAY35" s="205"/>
      <c r="JAZ35" s="205"/>
      <c r="JBA35" s="205"/>
      <c r="JBB35" s="205"/>
      <c r="JBC35" s="205"/>
      <c r="JBD35" s="205"/>
      <c r="JBE35" s="205"/>
      <c r="JBF35" s="205"/>
      <c r="JBG35" s="205"/>
      <c r="JBH35" s="205"/>
      <c r="JBI35" s="205"/>
      <c r="JBJ35" s="205"/>
      <c r="JBK35" s="205"/>
      <c r="JBL35" s="205"/>
      <c r="JBM35" s="205"/>
      <c r="JBN35" s="205"/>
      <c r="JBO35" s="205"/>
      <c r="JBP35" s="205"/>
      <c r="JBQ35" s="205"/>
      <c r="JBR35" s="205"/>
      <c r="JBS35" s="205"/>
      <c r="JBT35" s="205"/>
      <c r="JBU35" s="205"/>
      <c r="JBV35" s="205"/>
      <c r="JBW35" s="205"/>
      <c r="JBX35" s="205"/>
      <c r="JBY35" s="205"/>
      <c r="JBZ35" s="205"/>
      <c r="JCA35" s="205"/>
      <c r="JCB35" s="205"/>
      <c r="JCC35" s="205"/>
      <c r="JCD35" s="205"/>
      <c r="JCE35" s="205"/>
      <c r="JCF35" s="205"/>
      <c r="JCG35" s="205"/>
      <c r="JCH35" s="205"/>
      <c r="JCI35" s="205"/>
      <c r="JCJ35" s="205"/>
      <c r="JCK35" s="205"/>
      <c r="JCL35" s="205"/>
      <c r="JCM35" s="205"/>
      <c r="JCN35" s="205"/>
      <c r="JCO35" s="205"/>
      <c r="JCP35" s="205"/>
      <c r="JCQ35" s="205"/>
      <c r="JCR35" s="205"/>
      <c r="JCS35" s="205"/>
      <c r="JCT35" s="205"/>
      <c r="JCU35" s="205"/>
      <c r="JCV35" s="205"/>
      <c r="JCW35" s="205"/>
      <c r="JCX35" s="205"/>
      <c r="JCY35" s="205"/>
      <c r="JCZ35" s="205"/>
      <c r="JDA35" s="205"/>
      <c r="JDB35" s="205"/>
      <c r="JDC35" s="205"/>
      <c r="JDD35" s="205"/>
      <c r="JDE35" s="205"/>
      <c r="JDF35" s="205"/>
      <c r="JDG35" s="205"/>
      <c r="JDH35" s="205"/>
      <c r="JDI35" s="205"/>
      <c r="JDJ35" s="205"/>
      <c r="JDK35" s="205"/>
      <c r="JDL35" s="205"/>
      <c r="JDM35" s="205"/>
      <c r="JDN35" s="205"/>
      <c r="JDO35" s="205"/>
      <c r="JDP35" s="205"/>
      <c r="JDQ35" s="205"/>
      <c r="JDR35" s="205"/>
      <c r="JDS35" s="205"/>
      <c r="JDT35" s="205"/>
      <c r="JDU35" s="205"/>
      <c r="JDV35" s="205"/>
      <c r="JDW35" s="205"/>
      <c r="JDX35" s="205"/>
      <c r="JDY35" s="205"/>
      <c r="JDZ35" s="205"/>
      <c r="JEA35" s="205"/>
      <c r="JEB35" s="205"/>
      <c r="JEC35" s="205"/>
      <c r="JED35" s="205"/>
      <c r="JEE35" s="205"/>
      <c r="JEF35" s="205"/>
      <c r="JEG35" s="205"/>
      <c r="JEH35" s="205"/>
      <c r="JEI35" s="205"/>
      <c r="JEJ35" s="205"/>
      <c r="JEK35" s="205"/>
      <c r="JEL35" s="205"/>
      <c r="JEM35" s="205"/>
      <c r="JEN35" s="205"/>
      <c r="JEO35" s="205"/>
      <c r="JEP35" s="205"/>
      <c r="JEQ35" s="205"/>
      <c r="JER35" s="205"/>
      <c r="JES35" s="205"/>
      <c r="JET35" s="205"/>
      <c r="JEU35" s="205"/>
      <c r="JEV35" s="205"/>
      <c r="JEW35" s="205"/>
      <c r="JEX35" s="205"/>
      <c r="JEY35" s="205"/>
      <c r="JEZ35" s="205"/>
      <c r="JFA35" s="205"/>
      <c r="JFB35" s="205"/>
      <c r="JFC35" s="205"/>
      <c r="JFD35" s="205"/>
      <c r="JFE35" s="205"/>
      <c r="JFF35" s="205"/>
      <c r="JFG35" s="205"/>
      <c r="JFH35" s="205"/>
      <c r="JFI35" s="205"/>
      <c r="JFJ35" s="205"/>
      <c r="JFK35" s="205"/>
      <c r="JFL35" s="205"/>
      <c r="JFM35" s="205"/>
      <c r="JFN35" s="205"/>
      <c r="JFO35" s="205"/>
      <c r="JFP35" s="205"/>
      <c r="JFQ35" s="205"/>
      <c r="JFR35" s="205"/>
      <c r="JFS35" s="205"/>
      <c r="JFT35" s="205"/>
      <c r="JFU35" s="205"/>
      <c r="JFV35" s="205"/>
      <c r="JFW35" s="205"/>
      <c r="JFX35" s="205"/>
      <c r="JFY35" s="205"/>
      <c r="JFZ35" s="205"/>
      <c r="JGA35" s="205"/>
      <c r="JGB35" s="205"/>
      <c r="JGC35" s="205"/>
      <c r="JGD35" s="205"/>
      <c r="JGE35" s="205"/>
      <c r="JGF35" s="205"/>
      <c r="JGG35" s="205"/>
      <c r="JGH35" s="205"/>
      <c r="JGI35" s="205"/>
      <c r="JGJ35" s="205"/>
      <c r="JGK35" s="205"/>
      <c r="JGL35" s="205"/>
      <c r="JGM35" s="205"/>
      <c r="JGN35" s="205"/>
      <c r="JGO35" s="205"/>
      <c r="JGP35" s="205"/>
      <c r="JGQ35" s="205"/>
      <c r="JGR35" s="205"/>
      <c r="JGS35" s="205"/>
      <c r="JGT35" s="205"/>
      <c r="JGU35" s="205"/>
      <c r="JGV35" s="205"/>
      <c r="JGW35" s="205"/>
      <c r="JGX35" s="205"/>
      <c r="JGY35" s="205"/>
      <c r="JGZ35" s="205"/>
      <c r="JHA35" s="205"/>
      <c r="JHB35" s="205"/>
      <c r="JHC35" s="205"/>
      <c r="JHD35" s="205"/>
      <c r="JHE35" s="205"/>
      <c r="JHF35" s="205"/>
      <c r="JHG35" s="205"/>
      <c r="JHH35" s="205"/>
      <c r="JHI35" s="205"/>
      <c r="JHJ35" s="205"/>
      <c r="JHK35" s="205"/>
      <c r="JHL35" s="205"/>
      <c r="JHM35" s="205"/>
      <c r="JHN35" s="205"/>
      <c r="JHO35" s="205"/>
      <c r="JHP35" s="205"/>
      <c r="JHQ35" s="205"/>
      <c r="JHR35" s="205"/>
      <c r="JHS35" s="205"/>
      <c r="JHT35" s="205"/>
      <c r="JHU35" s="205"/>
      <c r="JHV35" s="205"/>
      <c r="JHW35" s="205"/>
      <c r="JHX35" s="205"/>
      <c r="JHY35" s="205"/>
      <c r="JHZ35" s="205"/>
      <c r="JIA35" s="205"/>
      <c r="JIB35" s="205"/>
      <c r="JIC35" s="205"/>
      <c r="JID35" s="205"/>
      <c r="JIE35" s="205"/>
      <c r="JIF35" s="205"/>
      <c r="JIG35" s="205"/>
      <c r="JIH35" s="205"/>
      <c r="JII35" s="205"/>
      <c r="JIJ35" s="205"/>
      <c r="JIK35" s="205"/>
      <c r="JIL35" s="205"/>
      <c r="JIM35" s="205"/>
      <c r="JIN35" s="205"/>
      <c r="JIO35" s="205"/>
      <c r="JIP35" s="205"/>
      <c r="JIQ35" s="205"/>
      <c r="JIR35" s="205"/>
      <c r="JIS35" s="205"/>
      <c r="JIT35" s="205"/>
      <c r="JIU35" s="205"/>
      <c r="JIV35" s="205"/>
      <c r="JIW35" s="205"/>
      <c r="JIX35" s="205"/>
      <c r="JIY35" s="205"/>
      <c r="JIZ35" s="205"/>
      <c r="JJA35" s="205"/>
      <c r="JJB35" s="205"/>
      <c r="JJC35" s="205"/>
      <c r="JJD35" s="205"/>
      <c r="JJE35" s="205"/>
      <c r="JJF35" s="205"/>
      <c r="JJG35" s="205"/>
      <c r="JJH35" s="205"/>
      <c r="JJI35" s="205"/>
      <c r="JJJ35" s="205"/>
      <c r="JJK35" s="205"/>
      <c r="JJL35" s="205"/>
      <c r="JJM35" s="205"/>
      <c r="JJN35" s="205"/>
      <c r="JJO35" s="205"/>
      <c r="JJP35" s="205"/>
      <c r="JJQ35" s="205"/>
      <c r="JJR35" s="205"/>
      <c r="JJS35" s="205"/>
      <c r="JJT35" s="205"/>
      <c r="JJU35" s="205"/>
      <c r="JJV35" s="205"/>
      <c r="JJW35" s="205"/>
      <c r="JJX35" s="205"/>
      <c r="JJY35" s="205"/>
      <c r="JJZ35" s="205"/>
      <c r="JKA35" s="205"/>
      <c r="JKB35" s="205"/>
      <c r="JKC35" s="205"/>
      <c r="JKD35" s="205"/>
      <c r="JKE35" s="205"/>
      <c r="JKF35" s="205"/>
      <c r="JKG35" s="205"/>
      <c r="JKH35" s="205"/>
      <c r="JKI35" s="205"/>
      <c r="JKJ35" s="205"/>
      <c r="JKK35" s="205"/>
      <c r="JKL35" s="205"/>
      <c r="JKM35" s="205"/>
      <c r="JKN35" s="205"/>
      <c r="JKO35" s="205"/>
      <c r="JKP35" s="205"/>
      <c r="JKQ35" s="205"/>
      <c r="JKR35" s="205"/>
      <c r="JKS35" s="205"/>
      <c r="JKT35" s="205"/>
      <c r="JKU35" s="205"/>
      <c r="JKV35" s="205"/>
      <c r="JKW35" s="205"/>
      <c r="JKX35" s="205"/>
      <c r="JKY35" s="205"/>
      <c r="JKZ35" s="205"/>
      <c r="JLA35" s="205"/>
      <c r="JLB35" s="205"/>
      <c r="JLC35" s="205"/>
      <c r="JLD35" s="205"/>
      <c r="JLE35" s="205"/>
      <c r="JLF35" s="205"/>
      <c r="JLG35" s="205"/>
      <c r="JLH35" s="205"/>
      <c r="JLI35" s="205"/>
      <c r="JLJ35" s="205"/>
      <c r="JLK35" s="205"/>
      <c r="JLL35" s="205"/>
      <c r="JLM35" s="205"/>
      <c r="JLN35" s="205"/>
      <c r="JLO35" s="205"/>
      <c r="JLP35" s="205"/>
      <c r="JLQ35" s="205"/>
      <c r="JLR35" s="205"/>
      <c r="JLS35" s="205"/>
      <c r="JLT35" s="205"/>
      <c r="JLU35" s="205"/>
      <c r="JLV35" s="205"/>
      <c r="JLW35" s="205"/>
      <c r="JLX35" s="205"/>
      <c r="JLY35" s="205"/>
      <c r="JLZ35" s="205"/>
      <c r="JMA35" s="205"/>
      <c r="JMB35" s="205"/>
      <c r="JMC35" s="205"/>
      <c r="JMD35" s="205"/>
      <c r="JME35" s="205"/>
      <c r="JMF35" s="205"/>
      <c r="JMG35" s="205"/>
      <c r="JMH35" s="205"/>
      <c r="JMI35" s="205"/>
      <c r="JMJ35" s="205"/>
      <c r="JMK35" s="205"/>
      <c r="JML35" s="205"/>
      <c r="JMM35" s="205"/>
      <c r="JMN35" s="205"/>
      <c r="JMO35" s="205"/>
      <c r="JMP35" s="205"/>
      <c r="JMQ35" s="205"/>
      <c r="JMR35" s="205"/>
      <c r="JMS35" s="205"/>
      <c r="JMT35" s="205"/>
      <c r="JMU35" s="205"/>
      <c r="JMV35" s="205"/>
      <c r="JMW35" s="205"/>
      <c r="JMX35" s="205"/>
      <c r="JMY35" s="205"/>
      <c r="JMZ35" s="205"/>
      <c r="JNA35" s="205"/>
      <c r="JNB35" s="205"/>
      <c r="JNC35" s="205"/>
      <c r="JND35" s="205"/>
      <c r="JNE35" s="205"/>
      <c r="JNF35" s="205"/>
      <c r="JNG35" s="205"/>
      <c r="JNH35" s="205"/>
      <c r="JNI35" s="205"/>
      <c r="JNJ35" s="205"/>
      <c r="JNK35" s="205"/>
      <c r="JNL35" s="205"/>
      <c r="JNM35" s="205"/>
      <c r="JNN35" s="205"/>
      <c r="JNO35" s="205"/>
      <c r="JNP35" s="205"/>
      <c r="JNQ35" s="205"/>
      <c r="JNR35" s="205"/>
      <c r="JNS35" s="205"/>
      <c r="JNT35" s="205"/>
      <c r="JNU35" s="205"/>
      <c r="JNV35" s="205"/>
      <c r="JNW35" s="205"/>
      <c r="JNX35" s="205"/>
      <c r="JNY35" s="205"/>
      <c r="JNZ35" s="205"/>
      <c r="JOA35" s="205"/>
      <c r="JOB35" s="205"/>
      <c r="JOC35" s="205"/>
      <c r="JOD35" s="205"/>
      <c r="JOE35" s="205"/>
      <c r="JOF35" s="205"/>
      <c r="JOG35" s="205"/>
      <c r="JOH35" s="205"/>
      <c r="JOI35" s="205"/>
      <c r="JOJ35" s="205"/>
      <c r="JOK35" s="205"/>
      <c r="JOL35" s="205"/>
      <c r="JOM35" s="205"/>
      <c r="JON35" s="205"/>
      <c r="JOO35" s="205"/>
      <c r="JOP35" s="205"/>
      <c r="JOQ35" s="205"/>
      <c r="JOR35" s="205"/>
      <c r="JOS35" s="205"/>
      <c r="JOT35" s="205"/>
      <c r="JOU35" s="205"/>
      <c r="JOV35" s="205"/>
      <c r="JOW35" s="205"/>
      <c r="JOX35" s="205"/>
      <c r="JOY35" s="205"/>
      <c r="JOZ35" s="205"/>
      <c r="JPA35" s="205"/>
      <c r="JPB35" s="205"/>
      <c r="JPC35" s="205"/>
      <c r="JPD35" s="205"/>
      <c r="JPE35" s="205"/>
      <c r="JPF35" s="205"/>
      <c r="JPG35" s="205"/>
      <c r="JPH35" s="205"/>
      <c r="JPI35" s="205"/>
      <c r="JPJ35" s="205"/>
      <c r="JPK35" s="205"/>
      <c r="JPL35" s="205"/>
      <c r="JPM35" s="205"/>
      <c r="JPN35" s="205"/>
      <c r="JPO35" s="205"/>
      <c r="JPP35" s="205"/>
      <c r="JPQ35" s="205"/>
      <c r="JPR35" s="205"/>
      <c r="JPS35" s="205"/>
      <c r="JPT35" s="205"/>
      <c r="JPU35" s="205"/>
      <c r="JPV35" s="205"/>
      <c r="JPW35" s="205"/>
      <c r="JPX35" s="205"/>
      <c r="JPY35" s="205"/>
      <c r="JPZ35" s="205"/>
      <c r="JQA35" s="205"/>
      <c r="JQB35" s="205"/>
      <c r="JQC35" s="205"/>
      <c r="JQD35" s="205"/>
      <c r="JQE35" s="205"/>
      <c r="JQF35" s="205"/>
      <c r="JQG35" s="205"/>
      <c r="JQH35" s="205"/>
      <c r="JQI35" s="205"/>
      <c r="JQJ35" s="205"/>
      <c r="JQK35" s="205"/>
      <c r="JQL35" s="205"/>
      <c r="JQM35" s="205"/>
      <c r="JQN35" s="205"/>
      <c r="JQO35" s="205"/>
      <c r="JQP35" s="205"/>
      <c r="JQQ35" s="205"/>
      <c r="JQR35" s="205"/>
      <c r="JQS35" s="205"/>
      <c r="JQT35" s="205"/>
      <c r="JQU35" s="205"/>
      <c r="JQV35" s="205"/>
      <c r="JQW35" s="205"/>
      <c r="JQX35" s="205"/>
      <c r="JQY35" s="205"/>
      <c r="JQZ35" s="205"/>
      <c r="JRA35" s="205"/>
      <c r="JRB35" s="205"/>
      <c r="JRC35" s="205"/>
      <c r="JRD35" s="205"/>
      <c r="JRE35" s="205"/>
      <c r="JRF35" s="205"/>
      <c r="JRG35" s="205"/>
      <c r="JRH35" s="205"/>
      <c r="JRI35" s="205"/>
      <c r="JRJ35" s="205"/>
      <c r="JRK35" s="205"/>
      <c r="JRL35" s="205"/>
      <c r="JRM35" s="205"/>
      <c r="JRN35" s="205"/>
      <c r="JRO35" s="205"/>
      <c r="JRP35" s="205"/>
      <c r="JRQ35" s="205"/>
      <c r="JRR35" s="205"/>
      <c r="JRS35" s="205"/>
      <c r="JRT35" s="205"/>
      <c r="JRU35" s="205"/>
      <c r="JRV35" s="205"/>
      <c r="JRW35" s="205"/>
      <c r="JRX35" s="205"/>
      <c r="JRY35" s="205"/>
      <c r="JRZ35" s="205"/>
      <c r="JSA35" s="205"/>
      <c r="JSB35" s="205"/>
      <c r="JSC35" s="205"/>
      <c r="JSD35" s="205"/>
      <c r="JSE35" s="205"/>
      <c r="JSF35" s="205"/>
      <c r="JSG35" s="205"/>
      <c r="JSH35" s="205"/>
      <c r="JSI35" s="205"/>
      <c r="JSJ35" s="205"/>
      <c r="JSK35" s="205"/>
      <c r="JSL35" s="205"/>
      <c r="JSM35" s="205"/>
      <c r="JSN35" s="205"/>
      <c r="JSO35" s="205"/>
      <c r="JSP35" s="205"/>
      <c r="JSQ35" s="205"/>
      <c r="JSR35" s="205"/>
      <c r="JSS35" s="205"/>
      <c r="JST35" s="205"/>
      <c r="JSU35" s="205"/>
      <c r="JSV35" s="205"/>
      <c r="JSW35" s="205"/>
      <c r="JSX35" s="205"/>
      <c r="JSY35" s="205"/>
      <c r="JSZ35" s="205"/>
      <c r="JTA35" s="205"/>
      <c r="JTB35" s="205"/>
      <c r="JTC35" s="205"/>
      <c r="JTD35" s="205"/>
      <c r="JTE35" s="205"/>
      <c r="JTF35" s="205"/>
      <c r="JTG35" s="205"/>
      <c r="JTH35" s="205"/>
      <c r="JTI35" s="205"/>
      <c r="JTJ35" s="205"/>
      <c r="JTK35" s="205"/>
      <c r="JTL35" s="205"/>
      <c r="JTM35" s="205"/>
      <c r="JTN35" s="205"/>
      <c r="JTO35" s="205"/>
      <c r="JTP35" s="205"/>
      <c r="JTQ35" s="205"/>
      <c r="JTR35" s="205"/>
      <c r="JTS35" s="205"/>
      <c r="JTT35" s="205"/>
      <c r="JTU35" s="205"/>
      <c r="JTV35" s="205"/>
      <c r="JTW35" s="205"/>
      <c r="JTX35" s="205"/>
      <c r="JTY35" s="205"/>
      <c r="JTZ35" s="205"/>
      <c r="JUA35" s="205"/>
      <c r="JUB35" s="205"/>
      <c r="JUC35" s="205"/>
      <c r="JUD35" s="205"/>
      <c r="JUE35" s="205"/>
      <c r="JUF35" s="205"/>
      <c r="JUG35" s="205"/>
      <c r="JUH35" s="205"/>
      <c r="JUI35" s="205"/>
      <c r="JUJ35" s="205"/>
      <c r="JUK35" s="205"/>
      <c r="JUL35" s="205"/>
      <c r="JUM35" s="205"/>
      <c r="JUN35" s="205"/>
      <c r="JUO35" s="205"/>
      <c r="JUP35" s="205"/>
      <c r="JUQ35" s="205"/>
      <c r="JUR35" s="205"/>
      <c r="JUS35" s="205"/>
      <c r="JUT35" s="205"/>
      <c r="JUU35" s="205"/>
      <c r="JUV35" s="205"/>
      <c r="JUW35" s="205"/>
      <c r="JUX35" s="205"/>
      <c r="JUY35" s="205"/>
      <c r="JUZ35" s="205"/>
      <c r="JVA35" s="205"/>
      <c r="JVB35" s="205"/>
      <c r="JVC35" s="205"/>
      <c r="JVD35" s="205"/>
      <c r="JVE35" s="205"/>
      <c r="JVF35" s="205"/>
      <c r="JVG35" s="205"/>
      <c r="JVH35" s="205"/>
      <c r="JVI35" s="205"/>
      <c r="JVJ35" s="205"/>
      <c r="JVK35" s="205"/>
      <c r="JVL35" s="205"/>
      <c r="JVM35" s="205"/>
      <c r="JVN35" s="205"/>
      <c r="JVO35" s="205"/>
      <c r="JVP35" s="205"/>
      <c r="JVQ35" s="205"/>
      <c r="JVR35" s="205"/>
      <c r="JVS35" s="205"/>
      <c r="JVT35" s="205"/>
      <c r="JVU35" s="205"/>
      <c r="JVV35" s="205"/>
      <c r="JVW35" s="205"/>
      <c r="JVX35" s="205"/>
      <c r="JVY35" s="205"/>
      <c r="JVZ35" s="205"/>
      <c r="JWA35" s="205"/>
      <c r="JWB35" s="205"/>
      <c r="JWC35" s="205"/>
      <c r="JWD35" s="205"/>
      <c r="JWE35" s="205"/>
      <c r="JWF35" s="205"/>
      <c r="JWG35" s="205"/>
      <c r="JWH35" s="205"/>
      <c r="JWI35" s="205"/>
      <c r="JWJ35" s="205"/>
      <c r="JWK35" s="205"/>
      <c r="JWL35" s="205"/>
      <c r="JWM35" s="205"/>
      <c r="JWN35" s="205"/>
      <c r="JWO35" s="205"/>
      <c r="JWP35" s="205"/>
      <c r="JWQ35" s="205"/>
      <c r="JWR35" s="205"/>
      <c r="JWS35" s="205"/>
      <c r="JWT35" s="205"/>
      <c r="JWU35" s="205"/>
      <c r="JWV35" s="205"/>
      <c r="JWW35" s="205"/>
      <c r="JWX35" s="205"/>
      <c r="JWY35" s="205"/>
      <c r="JWZ35" s="205"/>
      <c r="JXA35" s="205"/>
      <c r="JXB35" s="205"/>
      <c r="JXC35" s="205"/>
      <c r="JXD35" s="205"/>
      <c r="JXE35" s="205"/>
      <c r="JXF35" s="205"/>
      <c r="JXG35" s="205"/>
      <c r="JXH35" s="205"/>
      <c r="JXI35" s="205"/>
      <c r="JXJ35" s="205"/>
      <c r="JXK35" s="205"/>
      <c r="JXL35" s="205"/>
      <c r="JXM35" s="205"/>
      <c r="JXN35" s="205"/>
      <c r="JXO35" s="205"/>
      <c r="JXP35" s="205"/>
      <c r="JXQ35" s="205"/>
      <c r="JXR35" s="205"/>
      <c r="JXS35" s="205"/>
      <c r="JXT35" s="205"/>
      <c r="JXU35" s="205"/>
      <c r="JXV35" s="205"/>
      <c r="JXW35" s="205"/>
      <c r="JXX35" s="205"/>
      <c r="JXY35" s="205"/>
      <c r="JXZ35" s="205"/>
      <c r="JYA35" s="205"/>
      <c r="JYB35" s="205"/>
      <c r="JYC35" s="205"/>
      <c r="JYD35" s="205"/>
      <c r="JYE35" s="205"/>
      <c r="JYF35" s="205"/>
      <c r="JYG35" s="205"/>
      <c r="JYH35" s="205"/>
      <c r="JYI35" s="205"/>
      <c r="JYJ35" s="205"/>
      <c r="JYK35" s="205"/>
      <c r="JYL35" s="205"/>
      <c r="JYM35" s="205"/>
      <c r="JYN35" s="205"/>
      <c r="JYO35" s="205"/>
      <c r="JYP35" s="205"/>
      <c r="JYQ35" s="205"/>
      <c r="JYR35" s="205"/>
      <c r="JYS35" s="205"/>
      <c r="JYT35" s="205"/>
      <c r="JYU35" s="205"/>
      <c r="JYV35" s="205"/>
      <c r="JYW35" s="205"/>
      <c r="JYX35" s="205"/>
      <c r="JYY35" s="205"/>
      <c r="JYZ35" s="205"/>
      <c r="JZA35" s="205"/>
      <c r="JZB35" s="205"/>
      <c r="JZC35" s="205"/>
      <c r="JZD35" s="205"/>
      <c r="JZE35" s="205"/>
      <c r="JZF35" s="205"/>
      <c r="JZG35" s="205"/>
      <c r="JZH35" s="205"/>
      <c r="JZI35" s="205"/>
      <c r="JZJ35" s="205"/>
      <c r="JZK35" s="205"/>
      <c r="JZL35" s="205"/>
      <c r="JZM35" s="205"/>
      <c r="JZN35" s="205"/>
      <c r="JZO35" s="205"/>
      <c r="JZP35" s="205"/>
      <c r="JZQ35" s="205"/>
      <c r="JZR35" s="205"/>
      <c r="JZS35" s="205"/>
      <c r="JZT35" s="205"/>
      <c r="JZU35" s="205"/>
      <c r="JZV35" s="205"/>
      <c r="JZW35" s="205"/>
      <c r="JZX35" s="205"/>
      <c r="JZY35" s="205"/>
      <c r="JZZ35" s="205"/>
      <c r="KAA35" s="205"/>
      <c r="KAB35" s="205"/>
      <c r="KAC35" s="205"/>
      <c r="KAD35" s="205"/>
      <c r="KAE35" s="205"/>
      <c r="KAF35" s="205"/>
      <c r="KAG35" s="205"/>
      <c r="KAH35" s="205"/>
      <c r="KAI35" s="205"/>
      <c r="KAJ35" s="205"/>
      <c r="KAK35" s="205"/>
      <c r="KAL35" s="205"/>
      <c r="KAM35" s="205"/>
      <c r="KAN35" s="205"/>
      <c r="KAO35" s="205"/>
      <c r="KAP35" s="205"/>
      <c r="KAQ35" s="205"/>
      <c r="KAR35" s="205"/>
      <c r="KAS35" s="205"/>
      <c r="KAT35" s="205"/>
      <c r="KAU35" s="205"/>
      <c r="KAV35" s="205"/>
      <c r="KAW35" s="205"/>
      <c r="KAX35" s="205"/>
      <c r="KAY35" s="205"/>
      <c r="KAZ35" s="205"/>
      <c r="KBA35" s="205"/>
      <c r="KBB35" s="205"/>
      <c r="KBC35" s="205"/>
      <c r="KBD35" s="205"/>
      <c r="KBE35" s="205"/>
      <c r="KBF35" s="205"/>
      <c r="KBG35" s="205"/>
      <c r="KBH35" s="205"/>
      <c r="KBI35" s="205"/>
      <c r="KBJ35" s="205"/>
      <c r="KBK35" s="205"/>
      <c r="KBL35" s="205"/>
      <c r="KBM35" s="205"/>
      <c r="KBN35" s="205"/>
      <c r="KBO35" s="205"/>
      <c r="KBP35" s="205"/>
      <c r="KBQ35" s="205"/>
      <c r="KBR35" s="205"/>
      <c r="KBS35" s="205"/>
      <c r="KBT35" s="205"/>
      <c r="KBU35" s="205"/>
      <c r="KBV35" s="205"/>
      <c r="KBW35" s="205"/>
      <c r="KBX35" s="205"/>
      <c r="KBY35" s="205"/>
      <c r="KBZ35" s="205"/>
      <c r="KCA35" s="205"/>
      <c r="KCB35" s="205"/>
      <c r="KCC35" s="205"/>
      <c r="KCD35" s="205"/>
      <c r="KCE35" s="205"/>
      <c r="KCF35" s="205"/>
      <c r="KCG35" s="205"/>
      <c r="KCH35" s="205"/>
      <c r="KCI35" s="205"/>
      <c r="KCJ35" s="205"/>
      <c r="KCK35" s="205"/>
      <c r="KCL35" s="205"/>
      <c r="KCM35" s="205"/>
      <c r="KCN35" s="205"/>
      <c r="KCO35" s="205"/>
      <c r="KCP35" s="205"/>
      <c r="KCQ35" s="205"/>
      <c r="KCR35" s="205"/>
      <c r="KCS35" s="205"/>
      <c r="KCT35" s="205"/>
      <c r="KCU35" s="205"/>
      <c r="KCV35" s="205"/>
      <c r="KCW35" s="205"/>
      <c r="KCX35" s="205"/>
      <c r="KCY35" s="205"/>
      <c r="KCZ35" s="205"/>
      <c r="KDA35" s="205"/>
      <c r="KDB35" s="205"/>
      <c r="KDC35" s="205"/>
      <c r="KDD35" s="205"/>
      <c r="KDE35" s="205"/>
      <c r="KDF35" s="205"/>
      <c r="KDG35" s="205"/>
      <c r="KDH35" s="205"/>
      <c r="KDI35" s="205"/>
      <c r="KDJ35" s="205"/>
      <c r="KDK35" s="205"/>
      <c r="KDL35" s="205"/>
      <c r="KDM35" s="205"/>
      <c r="KDN35" s="205"/>
      <c r="KDO35" s="205"/>
      <c r="KDP35" s="205"/>
      <c r="KDQ35" s="205"/>
      <c r="KDR35" s="205"/>
      <c r="KDS35" s="205"/>
      <c r="KDT35" s="205"/>
      <c r="KDU35" s="205"/>
      <c r="KDV35" s="205"/>
      <c r="KDW35" s="205"/>
      <c r="KDX35" s="205"/>
      <c r="KDY35" s="205"/>
      <c r="KDZ35" s="205"/>
      <c r="KEA35" s="205"/>
      <c r="KEB35" s="205"/>
      <c r="KEC35" s="205"/>
      <c r="KED35" s="205"/>
      <c r="KEE35" s="205"/>
      <c r="KEF35" s="205"/>
      <c r="KEG35" s="205"/>
      <c r="KEH35" s="205"/>
      <c r="KEI35" s="205"/>
      <c r="KEJ35" s="205"/>
      <c r="KEK35" s="205"/>
      <c r="KEL35" s="205"/>
      <c r="KEM35" s="205"/>
      <c r="KEN35" s="205"/>
      <c r="KEO35" s="205"/>
      <c r="KEP35" s="205"/>
      <c r="KEQ35" s="205"/>
      <c r="KER35" s="205"/>
      <c r="KES35" s="205"/>
      <c r="KET35" s="205"/>
      <c r="KEU35" s="205"/>
      <c r="KEV35" s="205"/>
      <c r="KEW35" s="205"/>
      <c r="KEX35" s="205"/>
      <c r="KEY35" s="205"/>
      <c r="KEZ35" s="205"/>
      <c r="KFA35" s="205"/>
      <c r="KFB35" s="205"/>
      <c r="KFC35" s="205"/>
      <c r="KFD35" s="205"/>
      <c r="KFE35" s="205"/>
      <c r="KFF35" s="205"/>
      <c r="KFG35" s="205"/>
      <c r="KFH35" s="205"/>
      <c r="KFI35" s="205"/>
      <c r="KFJ35" s="205"/>
      <c r="KFK35" s="205"/>
      <c r="KFL35" s="205"/>
      <c r="KFM35" s="205"/>
      <c r="KFN35" s="205"/>
      <c r="KFO35" s="205"/>
      <c r="KFP35" s="205"/>
      <c r="KFQ35" s="205"/>
      <c r="KFR35" s="205"/>
      <c r="KFS35" s="205"/>
      <c r="KFT35" s="205"/>
      <c r="KFU35" s="205"/>
      <c r="KFV35" s="205"/>
      <c r="KFW35" s="205"/>
      <c r="KFX35" s="205"/>
      <c r="KFY35" s="205"/>
      <c r="KFZ35" s="205"/>
      <c r="KGA35" s="205"/>
      <c r="KGB35" s="205"/>
      <c r="KGC35" s="205"/>
      <c r="KGD35" s="205"/>
      <c r="KGE35" s="205"/>
      <c r="KGF35" s="205"/>
      <c r="KGG35" s="205"/>
      <c r="KGH35" s="205"/>
      <c r="KGI35" s="205"/>
      <c r="KGJ35" s="205"/>
      <c r="KGK35" s="205"/>
      <c r="KGL35" s="205"/>
      <c r="KGM35" s="205"/>
      <c r="KGN35" s="205"/>
      <c r="KGO35" s="205"/>
      <c r="KGP35" s="205"/>
      <c r="KGQ35" s="205"/>
      <c r="KGR35" s="205"/>
      <c r="KGS35" s="205"/>
      <c r="KGT35" s="205"/>
      <c r="KGU35" s="205"/>
      <c r="KGV35" s="205"/>
      <c r="KGW35" s="205"/>
      <c r="KGX35" s="205"/>
      <c r="KGY35" s="205"/>
      <c r="KGZ35" s="205"/>
      <c r="KHA35" s="205"/>
      <c r="KHB35" s="205"/>
      <c r="KHC35" s="205"/>
      <c r="KHD35" s="205"/>
      <c r="KHE35" s="205"/>
      <c r="KHF35" s="205"/>
      <c r="KHG35" s="205"/>
      <c r="KHH35" s="205"/>
      <c r="KHI35" s="205"/>
      <c r="KHJ35" s="205"/>
      <c r="KHK35" s="205"/>
      <c r="KHL35" s="205"/>
      <c r="KHM35" s="205"/>
      <c r="KHN35" s="205"/>
      <c r="KHO35" s="205"/>
      <c r="KHP35" s="205"/>
      <c r="KHQ35" s="205"/>
      <c r="KHR35" s="205"/>
      <c r="KHS35" s="205"/>
      <c r="KHT35" s="205"/>
      <c r="KHU35" s="205"/>
      <c r="KHV35" s="205"/>
      <c r="KHW35" s="205"/>
      <c r="KHX35" s="205"/>
      <c r="KHY35" s="205"/>
      <c r="KHZ35" s="205"/>
      <c r="KIA35" s="205"/>
      <c r="KIB35" s="205"/>
      <c r="KIC35" s="205"/>
      <c r="KID35" s="205"/>
      <c r="KIE35" s="205"/>
      <c r="KIF35" s="205"/>
      <c r="KIG35" s="205"/>
      <c r="KIH35" s="205"/>
      <c r="KII35" s="205"/>
      <c r="KIJ35" s="205"/>
      <c r="KIK35" s="205"/>
      <c r="KIL35" s="205"/>
      <c r="KIM35" s="205"/>
      <c r="KIN35" s="205"/>
      <c r="KIO35" s="205"/>
      <c r="KIP35" s="205"/>
      <c r="KIQ35" s="205"/>
      <c r="KIR35" s="205"/>
      <c r="KIS35" s="205"/>
      <c r="KIT35" s="205"/>
      <c r="KIU35" s="205"/>
      <c r="KIV35" s="205"/>
      <c r="KIW35" s="205"/>
      <c r="KIX35" s="205"/>
      <c r="KIY35" s="205"/>
      <c r="KIZ35" s="205"/>
      <c r="KJA35" s="205"/>
      <c r="KJB35" s="205"/>
      <c r="KJC35" s="205"/>
      <c r="KJD35" s="205"/>
      <c r="KJE35" s="205"/>
      <c r="KJF35" s="205"/>
      <c r="KJG35" s="205"/>
      <c r="KJH35" s="205"/>
      <c r="KJI35" s="205"/>
      <c r="KJJ35" s="205"/>
      <c r="KJK35" s="205"/>
      <c r="KJL35" s="205"/>
      <c r="KJM35" s="205"/>
      <c r="KJN35" s="205"/>
      <c r="KJO35" s="205"/>
      <c r="KJP35" s="205"/>
      <c r="KJQ35" s="205"/>
      <c r="KJR35" s="205"/>
      <c r="KJS35" s="205"/>
      <c r="KJT35" s="205"/>
      <c r="KJU35" s="205"/>
      <c r="KJV35" s="205"/>
      <c r="KJW35" s="205"/>
      <c r="KJX35" s="205"/>
      <c r="KJY35" s="205"/>
      <c r="KJZ35" s="205"/>
      <c r="KKA35" s="205"/>
      <c r="KKB35" s="205"/>
      <c r="KKC35" s="205"/>
      <c r="KKD35" s="205"/>
      <c r="KKE35" s="205"/>
      <c r="KKF35" s="205"/>
      <c r="KKG35" s="205"/>
      <c r="KKH35" s="205"/>
      <c r="KKI35" s="205"/>
      <c r="KKJ35" s="205"/>
      <c r="KKK35" s="205"/>
      <c r="KKL35" s="205"/>
      <c r="KKM35" s="205"/>
      <c r="KKN35" s="205"/>
      <c r="KKO35" s="205"/>
      <c r="KKP35" s="205"/>
      <c r="KKQ35" s="205"/>
      <c r="KKR35" s="205"/>
      <c r="KKS35" s="205"/>
      <c r="KKT35" s="205"/>
      <c r="KKU35" s="205"/>
      <c r="KKV35" s="205"/>
      <c r="KKW35" s="205"/>
      <c r="KKX35" s="205"/>
      <c r="KKY35" s="205"/>
      <c r="KKZ35" s="205"/>
      <c r="KLA35" s="205"/>
      <c r="KLB35" s="205"/>
      <c r="KLC35" s="205"/>
      <c r="KLD35" s="205"/>
      <c r="KLE35" s="205"/>
      <c r="KLF35" s="205"/>
      <c r="KLG35" s="205"/>
      <c r="KLH35" s="205"/>
      <c r="KLI35" s="205"/>
      <c r="KLJ35" s="205"/>
      <c r="KLK35" s="205"/>
      <c r="KLL35" s="205"/>
      <c r="KLM35" s="205"/>
      <c r="KLN35" s="205"/>
      <c r="KLO35" s="205"/>
      <c r="KLP35" s="205"/>
      <c r="KLQ35" s="205"/>
      <c r="KLR35" s="205"/>
      <c r="KLS35" s="205"/>
      <c r="KLT35" s="205"/>
      <c r="KLU35" s="205"/>
      <c r="KLV35" s="205"/>
      <c r="KLW35" s="205"/>
      <c r="KLX35" s="205"/>
      <c r="KLY35" s="205"/>
      <c r="KLZ35" s="205"/>
      <c r="KMA35" s="205"/>
      <c r="KMB35" s="205"/>
      <c r="KMC35" s="205"/>
      <c r="KMD35" s="205"/>
      <c r="KME35" s="205"/>
      <c r="KMF35" s="205"/>
      <c r="KMG35" s="205"/>
      <c r="KMH35" s="205"/>
      <c r="KMI35" s="205"/>
      <c r="KMJ35" s="205"/>
      <c r="KMK35" s="205"/>
      <c r="KML35" s="205"/>
      <c r="KMM35" s="205"/>
      <c r="KMN35" s="205"/>
      <c r="KMO35" s="205"/>
      <c r="KMP35" s="205"/>
      <c r="KMQ35" s="205"/>
      <c r="KMR35" s="205"/>
      <c r="KMS35" s="205"/>
      <c r="KMT35" s="205"/>
      <c r="KMU35" s="205"/>
      <c r="KMV35" s="205"/>
      <c r="KMW35" s="205"/>
      <c r="KMX35" s="205"/>
      <c r="KMY35" s="205"/>
      <c r="KMZ35" s="205"/>
      <c r="KNA35" s="205"/>
      <c r="KNB35" s="205"/>
      <c r="KNC35" s="205"/>
      <c r="KND35" s="205"/>
      <c r="KNE35" s="205"/>
      <c r="KNF35" s="205"/>
      <c r="KNG35" s="205"/>
      <c r="KNH35" s="205"/>
      <c r="KNI35" s="205"/>
      <c r="KNJ35" s="205"/>
      <c r="KNK35" s="205"/>
      <c r="KNL35" s="205"/>
      <c r="KNM35" s="205"/>
      <c r="KNN35" s="205"/>
      <c r="KNO35" s="205"/>
      <c r="KNP35" s="205"/>
      <c r="KNQ35" s="205"/>
      <c r="KNR35" s="205"/>
      <c r="KNS35" s="205"/>
      <c r="KNT35" s="205"/>
      <c r="KNU35" s="205"/>
      <c r="KNV35" s="205"/>
      <c r="KNW35" s="205"/>
      <c r="KNX35" s="205"/>
      <c r="KNY35" s="205"/>
      <c r="KNZ35" s="205"/>
      <c r="KOA35" s="205"/>
      <c r="KOB35" s="205"/>
      <c r="KOC35" s="205"/>
      <c r="KOD35" s="205"/>
      <c r="KOE35" s="205"/>
      <c r="KOF35" s="205"/>
      <c r="KOG35" s="205"/>
      <c r="KOH35" s="205"/>
      <c r="KOI35" s="205"/>
      <c r="KOJ35" s="205"/>
      <c r="KOK35" s="205"/>
      <c r="KOL35" s="205"/>
      <c r="KOM35" s="205"/>
      <c r="KON35" s="205"/>
      <c r="KOO35" s="205"/>
      <c r="KOP35" s="205"/>
      <c r="KOQ35" s="205"/>
      <c r="KOR35" s="205"/>
      <c r="KOS35" s="205"/>
      <c r="KOT35" s="205"/>
      <c r="KOU35" s="205"/>
      <c r="KOV35" s="205"/>
      <c r="KOW35" s="205"/>
      <c r="KOX35" s="205"/>
      <c r="KOY35" s="205"/>
      <c r="KOZ35" s="205"/>
      <c r="KPA35" s="205"/>
      <c r="KPB35" s="205"/>
      <c r="KPC35" s="205"/>
      <c r="KPD35" s="205"/>
      <c r="KPE35" s="205"/>
      <c r="KPF35" s="205"/>
      <c r="KPG35" s="205"/>
      <c r="KPH35" s="205"/>
      <c r="KPI35" s="205"/>
      <c r="KPJ35" s="205"/>
      <c r="KPK35" s="205"/>
      <c r="KPL35" s="205"/>
      <c r="KPM35" s="205"/>
      <c r="KPN35" s="205"/>
      <c r="KPO35" s="205"/>
      <c r="KPP35" s="205"/>
      <c r="KPQ35" s="205"/>
      <c r="KPR35" s="205"/>
      <c r="KPS35" s="205"/>
      <c r="KPT35" s="205"/>
      <c r="KPU35" s="205"/>
      <c r="KPV35" s="205"/>
      <c r="KPW35" s="205"/>
      <c r="KPX35" s="205"/>
      <c r="KPY35" s="205"/>
      <c r="KPZ35" s="205"/>
      <c r="KQA35" s="205"/>
      <c r="KQB35" s="205"/>
      <c r="KQC35" s="205"/>
      <c r="KQD35" s="205"/>
      <c r="KQE35" s="205"/>
      <c r="KQF35" s="205"/>
      <c r="KQG35" s="205"/>
      <c r="KQH35" s="205"/>
      <c r="KQI35" s="205"/>
      <c r="KQJ35" s="205"/>
      <c r="KQK35" s="205"/>
      <c r="KQL35" s="205"/>
      <c r="KQM35" s="205"/>
      <c r="KQN35" s="205"/>
      <c r="KQO35" s="205"/>
      <c r="KQP35" s="205"/>
      <c r="KQQ35" s="205"/>
      <c r="KQR35" s="205"/>
      <c r="KQS35" s="205"/>
      <c r="KQT35" s="205"/>
      <c r="KQU35" s="205"/>
      <c r="KQV35" s="205"/>
      <c r="KQW35" s="205"/>
      <c r="KQX35" s="205"/>
      <c r="KQY35" s="205"/>
      <c r="KQZ35" s="205"/>
      <c r="KRA35" s="205"/>
      <c r="KRB35" s="205"/>
      <c r="KRC35" s="205"/>
      <c r="KRD35" s="205"/>
      <c r="KRE35" s="205"/>
      <c r="KRF35" s="205"/>
      <c r="KRG35" s="205"/>
      <c r="KRH35" s="205"/>
      <c r="KRI35" s="205"/>
      <c r="KRJ35" s="205"/>
      <c r="KRK35" s="205"/>
      <c r="KRL35" s="205"/>
      <c r="KRM35" s="205"/>
      <c r="KRN35" s="205"/>
    </row>
    <row r="36" spans="1:7918" s="307" customFormat="1">
      <c r="A36" s="26" t="e">
        <f t="shared" si="0"/>
        <v>#REF!</v>
      </c>
      <c r="B36" s="421" t="s">
        <v>638</v>
      </c>
      <c r="C36" s="368" t="s">
        <v>653</v>
      </c>
      <c r="D36" s="421" t="s">
        <v>638</v>
      </c>
      <c r="E36" s="305" t="str">
        <f>VLOOKUP(B36,distribucion!B$9:FK$227,2,0)</f>
        <v>Encargado de Proveeduria</v>
      </c>
      <c r="F36" s="371">
        <f>VLOOKUP($B36,'Nomina Unhesa'!$B$4:$AB$209,4,0)</f>
        <v>30</v>
      </c>
      <c r="G36" s="426">
        <f>VLOOKUP($B36,'Nomina Unhesa'!$B$4:$AB$209,6,0)</f>
        <v>3450</v>
      </c>
      <c r="H36" s="426">
        <f>VLOOKUP($B36,'Nomina Unhesa'!$B$4:$AB$209,7,0)</f>
        <v>750</v>
      </c>
      <c r="I36" s="426">
        <f>VLOOKUP($B36,'Nomina Unhesa'!$B$4:$AB$209,9,0)</f>
        <v>0</v>
      </c>
      <c r="J36" s="306">
        <f>VLOOKUP($B36,'Nomina Unhesa'!$B$4:$AB$209,10,0)</f>
        <v>0</v>
      </c>
      <c r="K36" s="426">
        <f>VLOOKUP($B36,'Nomina Unhesa'!$B$4:$AB$209,11,0)</f>
        <v>0</v>
      </c>
      <c r="L36" s="426">
        <f>VLOOKUP($B36,'Nomina Unhesa'!$B$4:$AB$209,12,0)</f>
        <v>0</v>
      </c>
      <c r="M36" s="426">
        <f>VLOOKUP($B36,'Nomina Unhesa'!$B$4:$AB$209,14,0)</f>
        <v>0</v>
      </c>
      <c r="N36" s="306">
        <f>VLOOKUP($B36,'Nomina Unhesa'!$B$4:$AB$209,15,0)</f>
        <v>4200</v>
      </c>
      <c r="O36" s="306">
        <f>VLOOKUP($B36,'Nomina Unhesa'!$B$4:$AB$209,16,0)</f>
        <v>166.64</v>
      </c>
      <c r="P36" s="306">
        <f>VLOOKUP($B36,'Nomina Unhesa'!$B$4:$AB$209,17,0)</f>
        <v>0</v>
      </c>
      <c r="Q36" s="306">
        <f>VLOOKUP($B36,'Nomina Unhesa'!$B$4:$AB$209,18,0)</f>
        <v>747.15</v>
      </c>
      <c r="R36" s="306">
        <f>VLOOKUP($B36,'Nomina Unhesa'!$B$4:$AB$209,19,0)</f>
        <v>0</v>
      </c>
      <c r="S36" s="306">
        <f>VLOOKUP($B36,'Nomina Unhesa'!$B$4:$AB$209,20,0)</f>
        <v>0</v>
      </c>
      <c r="T36" s="306">
        <f>VLOOKUP($B36,'Nomina Unhesa'!$B$4:$AB$209,21,0)</f>
        <v>0</v>
      </c>
      <c r="U36" s="306">
        <f>VLOOKUP($B36,'Nomina Unhesa'!$B$4:$AB$209,22,0)</f>
        <v>451</v>
      </c>
      <c r="V36" s="306">
        <f>ROUND((VLOOKUP($B36,'Nomina Unhesa'!$B$4:$AB$209,23,0)),2)</f>
        <v>50</v>
      </c>
      <c r="W36" s="306">
        <f>VLOOKUP($B36,'Nomina Unhesa'!$B$4:$AB$209,24,0)</f>
        <v>1414.79</v>
      </c>
      <c r="X36" s="306">
        <f>VLOOKUP(B36,'Nomina Unhesa'!$B$9:$Z$163,25,FALSE)</f>
        <v>2785.21</v>
      </c>
      <c r="Y36" s="306">
        <f>ROUND((VLOOKUP(B36,'Nomina Unhesa'!$B$9:$AB$157,26,FALSE)),2)</f>
        <v>1562.1</v>
      </c>
      <c r="Z36" s="422">
        <f>VLOOKUP(B36,'Nomina Unhesa'!$B$9:$AB$158,27,FALSE)</f>
        <v>1223.1100000000001</v>
      </c>
      <c r="AA36" s="445"/>
      <c r="AB36" s="427"/>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18"/>
      <c r="BK36" s="218"/>
      <c r="BL36" s="218"/>
      <c r="BM36" s="218"/>
      <c r="BN36" s="218"/>
      <c r="BO36" s="218"/>
      <c r="BP36" s="218"/>
      <c r="BQ36" s="218"/>
      <c r="BR36" s="218"/>
      <c r="BS36" s="218"/>
      <c r="BT36" s="218"/>
      <c r="BU36" s="218"/>
      <c r="BV36" s="218"/>
      <c r="BW36" s="218"/>
      <c r="BX36" s="218"/>
      <c r="BY36" s="218"/>
      <c r="BZ36" s="218"/>
      <c r="CA36" s="218"/>
      <c r="CB36" s="218"/>
      <c r="CC36" s="218"/>
      <c r="CD36" s="218"/>
      <c r="CE36" s="218"/>
      <c r="CF36" s="218"/>
      <c r="CG36" s="218"/>
      <c r="CH36" s="218"/>
      <c r="CI36" s="218"/>
      <c r="CJ36" s="218"/>
      <c r="CK36" s="218"/>
      <c r="CL36" s="218"/>
      <c r="CM36" s="218"/>
      <c r="CN36" s="218"/>
      <c r="CO36" s="218"/>
      <c r="CP36" s="218"/>
      <c r="CQ36" s="218"/>
      <c r="CR36" s="218"/>
      <c r="CS36" s="218"/>
      <c r="CT36" s="218"/>
      <c r="CU36" s="218"/>
      <c r="CV36" s="218"/>
      <c r="CW36" s="218"/>
      <c r="CX36" s="218"/>
      <c r="CY36" s="218"/>
      <c r="CZ36" s="218"/>
      <c r="DA36" s="218"/>
      <c r="DB36" s="218"/>
      <c r="DC36" s="218"/>
      <c r="DD36" s="218"/>
      <c r="DE36" s="218"/>
      <c r="DF36" s="218"/>
      <c r="DG36" s="218"/>
      <c r="DH36" s="218"/>
      <c r="DI36" s="218"/>
      <c r="DJ36" s="218"/>
      <c r="DK36" s="218"/>
      <c r="DL36" s="218"/>
      <c r="DM36" s="218"/>
      <c r="DN36" s="218"/>
      <c r="DO36" s="218"/>
      <c r="DP36" s="218"/>
      <c r="DQ36" s="218"/>
      <c r="DR36" s="218"/>
      <c r="DS36" s="218"/>
      <c r="DT36" s="218"/>
      <c r="DU36" s="218"/>
      <c r="DV36" s="218"/>
      <c r="DW36" s="218"/>
      <c r="DX36" s="218"/>
      <c r="DY36" s="218"/>
      <c r="DZ36" s="218"/>
      <c r="EA36" s="218"/>
      <c r="EB36" s="218"/>
      <c r="EC36" s="218"/>
      <c r="ED36" s="218"/>
      <c r="EE36" s="218"/>
      <c r="EF36" s="218"/>
      <c r="EG36" s="218"/>
      <c r="EH36" s="218"/>
      <c r="EI36" s="218"/>
      <c r="EJ36" s="218"/>
      <c r="EK36" s="218"/>
      <c r="EL36" s="218"/>
      <c r="EM36" s="218"/>
      <c r="EN36" s="218"/>
      <c r="EO36" s="218"/>
      <c r="EP36" s="218"/>
      <c r="EQ36" s="218"/>
      <c r="ER36" s="218"/>
      <c r="ES36" s="218"/>
      <c r="ET36" s="218"/>
      <c r="EU36" s="218"/>
      <c r="EV36" s="218"/>
      <c r="EW36" s="218"/>
      <c r="EX36" s="218"/>
      <c r="EY36" s="218"/>
      <c r="EZ36" s="218"/>
      <c r="FA36" s="218"/>
      <c r="FB36" s="218"/>
      <c r="FC36" s="218"/>
      <c r="FD36" s="218"/>
      <c r="FE36" s="218"/>
      <c r="FF36" s="218"/>
      <c r="FG36" s="218"/>
      <c r="FH36" s="218"/>
      <c r="FI36" s="218"/>
      <c r="FJ36" s="218"/>
      <c r="FK36" s="218"/>
      <c r="FL36" s="218"/>
      <c r="FM36" s="218"/>
      <c r="FN36" s="218"/>
      <c r="FO36" s="218"/>
      <c r="FP36" s="218"/>
      <c r="FQ36" s="218"/>
      <c r="FR36" s="218"/>
      <c r="FS36" s="218"/>
      <c r="FT36" s="218"/>
      <c r="FU36" s="218"/>
      <c r="FV36" s="218"/>
      <c r="FW36" s="218"/>
      <c r="FX36" s="218"/>
      <c r="FY36" s="218"/>
      <c r="FZ36" s="218"/>
      <c r="GA36" s="218"/>
      <c r="GB36" s="218"/>
      <c r="GC36" s="218"/>
      <c r="GD36" s="218"/>
      <c r="GE36" s="218"/>
      <c r="GF36" s="218"/>
      <c r="GG36" s="218"/>
      <c r="GH36" s="218"/>
      <c r="GI36" s="218"/>
      <c r="GJ36" s="218"/>
      <c r="GK36" s="218"/>
      <c r="GL36" s="218"/>
      <c r="GM36" s="218"/>
      <c r="GN36" s="218"/>
      <c r="GO36" s="218"/>
      <c r="GP36" s="218"/>
      <c r="GQ36" s="218"/>
      <c r="GR36" s="218"/>
      <c r="GS36" s="218"/>
      <c r="GT36" s="218"/>
      <c r="GU36" s="218"/>
      <c r="GV36" s="218"/>
      <c r="GW36" s="218"/>
      <c r="GX36" s="218"/>
      <c r="GY36" s="218"/>
      <c r="GZ36" s="218"/>
      <c r="HA36" s="218"/>
      <c r="HB36" s="218"/>
      <c r="HC36" s="218"/>
      <c r="HD36" s="218"/>
      <c r="HE36" s="218"/>
      <c r="HF36" s="218"/>
      <c r="HG36" s="218"/>
      <c r="HH36" s="218"/>
      <c r="HI36" s="218"/>
      <c r="HJ36" s="218"/>
      <c r="HK36" s="218"/>
      <c r="HL36" s="218"/>
      <c r="HM36" s="218"/>
      <c r="HN36" s="218"/>
      <c r="HO36" s="218"/>
      <c r="HP36" s="218"/>
      <c r="HQ36" s="218"/>
      <c r="HR36" s="218"/>
      <c r="HS36" s="218"/>
      <c r="HT36" s="218"/>
      <c r="HU36" s="218"/>
      <c r="HV36" s="218"/>
      <c r="HW36" s="218"/>
      <c r="HX36" s="218"/>
      <c r="HY36" s="218"/>
      <c r="HZ36" s="218"/>
      <c r="IA36" s="218"/>
      <c r="IB36" s="218"/>
      <c r="IC36" s="218"/>
      <c r="ID36" s="218"/>
      <c r="IE36" s="218"/>
      <c r="IF36" s="218"/>
      <c r="IG36" s="218"/>
      <c r="IH36" s="218"/>
      <c r="II36" s="218"/>
      <c r="IJ36" s="218"/>
      <c r="IK36" s="218"/>
      <c r="IL36" s="218"/>
      <c r="IM36" s="218"/>
      <c r="IN36" s="218"/>
      <c r="IO36" s="218"/>
      <c r="IP36" s="218"/>
      <c r="IQ36" s="218"/>
      <c r="IR36" s="218"/>
      <c r="IS36" s="218"/>
      <c r="IT36" s="218"/>
      <c r="IU36" s="218"/>
      <c r="IV36" s="218"/>
      <c r="IW36" s="218"/>
      <c r="IX36" s="218"/>
      <c r="IY36" s="218"/>
      <c r="IZ36" s="218"/>
      <c r="JA36" s="218"/>
      <c r="JB36" s="218"/>
      <c r="JC36" s="218"/>
      <c r="JD36" s="218"/>
      <c r="JE36" s="218"/>
      <c r="JF36" s="218"/>
      <c r="JG36" s="218"/>
      <c r="JH36" s="218"/>
      <c r="JI36" s="218"/>
      <c r="JJ36" s="218"/>
      <c r="JK36" s="218"/>
      <c r="JL36" s="218"/>
      <c r="JM36" s="218"/>
      <c r="JN36" s="218"/>
      <c r="JO36" s="218"/>
      <c r="JP36" s="218"/>
      <c r="JQ36" s="218"/>
      <c r="JR36" s="218"/>
      <c r="JS36" s="218"/>
      <c r="JT36" s="218"/>
      <c r="JU36" s="218"/>
      <c r="JV36" s="218"/>
      <c r="JW36" s="218"/>
      <c r="JX36" s="218"/>
      <c r="JY36" s="218"/>
      <c r="JZ36" s="218"/>
      <c r="KA36" s="218"/>
      <c r="KB36" s="218"/>
      <c r="KC36" s="218"/>
      <c r="KD36" s="218"/>
      <c r="KE36" s="218"/>
      <c r="KF36" s="218"/>
      <c r="KG36" s="218"/>
      <c r="KH36" s="218"/>
      <c r="KI36" s="218"/>
      <c r="KJ36" s="218"/>
      <c r="KK36" s="218"/>
      <c r="KL36" s="218"/>
      <c r="KM36" s="218"/>
      <c r="KN36" s="218"/>
      <c r="KO36" s="218"/>
      <c r="KP36" s="218"/>
      <c r="KQ36" s="218"/>
      <c r="KR36" s="218"/>
      <c r="KS36" s="218"/>
      <c r="KT36" s="218"/>
      <c r="KU36" s="218"/>
      <c r="KV36" s="218"/>
      <c r="KW36" s="218"/>
      <c r="KX36" s="218"/>
      <c r="KY36" s="218"/>
      <c r="KZ36" s="218"/>
      <c r="LA36" s="218"/>
      <c r="LB36" s="218"/>
      <c r="LC36" s="218"/>
      <c r="LD36" s="218"/>
      <c r="LE36" s="218"/>
      <c r="LF36" s="218"/>
      <c r="LG36" s="218"/>
      <c r="LH36" s="218"/>
      <c r="LI36" s="218"/>
      <c r="LJ36" s="218"/>
      <c r="LK36" s="218"/>
      <c r="LL36" s="218"/>
      <c r="LM36" s="218"/>
      <c r="LN36" s="218"/>
      <c r="LO36" s="218"/>
      <c r="LP36" s="218"/>
      <c r="LQ36" s="218"/>
      <c r="LR36" s="218"/>
      <c r="LS36" s="218"/>
      <c r="LT36" s="218"/>
      <c r="LU36" s="218"/>
      <c r="LV36" s="218"/>
      <c r="LW36" s="218"/>
      <c r="LX36" s="218"/>
      <c r="LY36" s="218"/>
      <c r="LZ36" s="218"/>
      <c r="MA36" s="218"/>
      <c r="MB36" s="218"/>
      <c r="MC36" s="218"/>
      <c r="MD36" s="218"/>
      <c r="ME36" s="218"/>
      <c r="MF36" s="218"/>
      <c r="MG36" s="218"/>
      <c r="MH36" s="218"/>
      <c r="MI36" s="218"/>
      <c r="MJ36" s="218"/>
      <c r="MK36" s="218"/>
      <c r="ML36" s="218"/>
      <c r="MM36" s="218"/>
      <c r="MN36" s="218"/>
      <c r="MO36" s="218"/>
      <c r="MP36" s="218"/>
      <c r="MQ36" s="218"/>
      <c r="MR36" s="218"/>
      <c r="MS36" s="218"/>
      <c r="MT36" s="218"/>
      <c r="MU36" s="218"/>
      <c r="MV36" s="218"/>
      <c r="MW36" s="218"/>
      <c r="MX36" s="218"/>
      <c r="MY36" s="218"/>
      <c r="MZ36" s="218"/>
      <c r="NA36" s="218"/>
      <c r="NB36" s="218"/>
      <c r="NC36" s="218"/>
      <c r="ND36" s="218"/>
      <c r="NE36" s="218"/>
      <c r="NF36" s="218"/>
      <c r="NG36" s="218"/>
      <c r="NH36" s="218"/>
      <c r="NI36" s="218"/>
      <c r="NJ36" s="218"/>
      <c r="NK36" s="218"/>
      <c r="NL36" s="218"/>
      <c r="NM36" s="218"/>
      <c r="NN36" s="218"/>
      <c r="NO36" s="218"/>
      <c r="NP36" s="218"/>
      <c r="NQ36" s="218"/>
      <c r="NR36" s="218"/>
      <c r="NS36" s="218"/>
      <c r="NT36" s="218"/>
      <c r="NU36" s="218"/>
      <c r="NV36" s="218"/>
      <c r="NW36" s="218"/>
      <c r="NX36" s="218"/>
      <c r="NY36" s="218"/>
      <c r="NZ36" s="218"/>
      <c r="OA36" s="218"/>
      <c r="OB36" s="218"/>
      <c r="OC36" s="218"/>
      <c r="OD36" s="218"/>
      <c r="OE36" s="218"/>
      <c r="OF36" s="218"/>
      <c r="OG36" s="218"/>
      <c r="OH36" s="218"/>
      <c r="OI36" s="218"/>
      <c r="OJ36" s="218"/>
      <c r="OK36" s="218"/>
      <c r="OL36" s="218"/>
      <c r="OM36" s="218"/>
      <c r="ON36" s="218"/>
      <c r="OO36" s="218"/>
      <c r="OP36" s="218"/>
      <c r="OQ36" s="218"/>
      <c r="OR36" s="218"/>
      <c r="OS36" s="218"/>
      <c r="OT36" s="218"/>
      <c r="OU36" s="218"/>
      <c r="OV36" s="218"/>
      <c r="OW36" s="218"/>
      <c r="OX36" s="218"/>
      <c r="OY36" s="218"/>
      <c r="OZ36" s="218"/>
      <c r="PA36" s="218"/>
      <c r="PB36" s="218"/>
      <c r="PC36" s="218"/>
      <c r="PD36" s="218"/>
      <c r="PE36" s="218"/>
      <c r="PF36" s="218"/>
      <c r="PG36" s="218"/>
      <c r="PH36" s="218"/>
      <c r="PI36" s="218"/>
      <c r="PJ36" s="218"/>
      <c r="PK36" s="218"/>
      <c r="PL36" s="218"/>
      <c r="PM36" s="218"/>
      <c r="PN36" s="218"/>
      <c r="PO36" s="218"/>
      <c r="PP36" s="218"/>
      <c r="PQ36" s="218"/>
      <c r="PR36" s="218"/>
      <c r="PS36" s="218"/>
      <c r="PT36" s="218"/>
      <c r="PU36" s="218"/>
      <c r="PV36" s="218"/>
      <c r="PW36" s="218"/>
      <c r="PX36" s="218"/>
      <c r="PY36" s="218"/>
      <c r="PZ36" s="218"/>
      <c r="QA36" s="218"/>
      <c r="QB36" s="218"/>
      <c r="QC36" s="218"/>
      <c r="QD36" s="218"/>
      <c r="QE36" s="218"/>
      <c r="QF36" s="218"/>
      <c r="QG36" s="218"/>
      <c r="QH36" s="218"/>
      <c r="QI36" s="218"/>
      <c r="QJ36" s="218"/>
      <c r="QK36" s="218"/>
      <c r="QL36" s="218"/>
      <c r="QM36" s="218"/>
      <c r="QN36" s="218"/>
      <c r="QO36" s="218"/>
      <c r="QP36" s="218"/>
      <c r="QQ36" s="218"/>
      <c r="QR36" s="218"/>
      <c r="QS36" s="218"/>
      <c r="QT36" s="218"/>
      <c r="QU36" s="218"/>
      <c r="QV36" s="218"/>
      <c r="QW36" s="218"/>
      <c r="QX36" s="218"/>
      <c r="QY36" s="218"/>
      <c r="QZ36" s="218"/>
      <c r="RA36" s="218"/>
      <c r="RB36" s="218"/>
      <c r="RC36" s="218"/>
      <c r="RD36" s="218"/>
      <c r="RE36" s="218"/>
      <c r="RF36" s="218"/>
      <c r="RG36" s="218"/>
      <c r="RH36" s="218"/>
      <c r="RI36" s="218"/>
      <c r="RJ36" s="218"/>
      <c r="RK36" s="218"/>
      <c r="RL36" s="218"/>
      <c r="RM36" s="218"/>
      <c r="RN36" s="218"/>
      <c r="RO36" s="218"/>
      <c r="RP36" s="218"/>
      <c r="RQ36" s="218"/>
      <c r="RR36" s="218"/>
      <c r="RS36" s="218"/>
      <c r="RT36" s="218"/>
      <c r="RU36" s="218"/>
      <c r="RV36" s="218"/>
      <c r="RW36" s="218"/>
      <c r="RX36" s="218"/>
      <c r="RY36" s="218"/>
      <c r="RZ36" s="218"/>
      <c r="SA36" s="218"/>
      <c r="SB36" s="218"/>
      <c r="SC36" s="218"/>
      <c r="SD36" s="218"/>
      <c r="SE36" s="218"/>
      <c r="SF36" s="218"/>
      <c r="SG36" s="218"/>
      <c r="SH36" s="218"/>
      <c r="SI36" s="218"/>
      <c r="SJ36" s="218"/>
      <c r="SK36" s="218"/>
      <c r="SL36" s="218"/>
      <c r="SM36" s="218"/>
      <c r="SN36" s="218"/>
      <c r="SO36" s="218"/>
      <c r="SP36" s="218"/>
      <c r="SQ36" s="218"/>
      <c r="SR36" s="218"/>
      <c r="SS36" s="218"/>
      <c r="ST36" s="218"/>
      <c r="SU36" s="218"/>
      <c r="SV36" s="218"/>
      <c r="SW36" s="218"/>
      <c r="SX36" s="218"/>
      <c r="SY36" s="218"/>
      <c r="SZ36" s="218"/>
      <c r="TA36" s="218"/>
      <c r="TB36" s="218"/>
      <c r="TC36" s="218"/>
      <c r="TD36" s="218"/>
      <c r="TE36" s="218"/>
      <c r="TF36" s="218"/>
      <c r="TG36" s="218"/>
      <c r="TH36" s="218"/>
      <c r="TI36" s="218"/>
      <c r="TJ36" s="218"/>
      <c r="TK36" s="218"/>
      <c r="TL36" s="218"/>
      <c r="TM36" s="218"/>
      <c r="TN36" s="218"/>
      <c r="TO36" s="218"/>
      <c r="TP36" s="218"/>
      <c r="TQ36" s="218"/>
      <c r="TR36" s="218"/>
      <c r="TS36" s="218"/>
      <c r="TT36" s="218"/>
      <c r="TU36" s="218"/>
      <c r="TV36" s="218"/>
      <c r="TW36" s="218"/>
      <c r="TX36" s="218"/>
      <c r="TY36" s="218"/>
      <c r="TZ36" s="218"/>
      <c r="UA36" s="218"/>
      <c r="UB36" s="218"/>
      <c r="UC36" s="218"/>
      <c r="UD36" s="218"/>
      <c r="UE36" s="218"/>
      <c r="UF36" s="218"/>
      <c r="UG36" s="218"/>
      <c r="UH36" s="218"/>
      <c r="UI36" s="218"/>
      <c r="UJ36" s="218"/>
      <c r="UK36" s="218"/>
      <c r="UL36" s="218"/>
      <c r="UM36" s="218"/>
      <c r="UN36" s="218"/>
      <c r="UO36" s="218"/>
      <c r="UP36" s="218"/>
      <c r="UQ36" s="218"/>
      <c r="UR36" s="218"/>
      <c r="US36" s="218"/>
      <c r="UT36" s="218"/>
      <c r="UU36" s="218"/>
      <c r="UV36" s="218"/>
      <c r="UW36" s="218"/>
      <c r="UX36" s="218"/>
      <c r="UY36" s="218"/>
      <c r="UZ36" s="218"/>
      <c r="VA36" s="218"/>
      <c r="VB36" s="218"/>
      <c r="VC36" s="218"/>
      <c r="VD36" s="218"/>
      <c r="VE36" s="218"/>
      <c r="VF36" s="218"/>
      <c r="VG36" s="218"/>
      <c r="VH36" s="218"/>
      <c r="VI36" s="218"/>
      <c r="VJ36" s="218"/>
      <c r="VK36" s="218"/>
      <c r="VL36" s="218"/>
      <c r="VM36" s="218"/>
      <c r="VN36" s="218"/>
      <c r="VO36" s="218"/>
      <c r="VP36" s="218"/>
      <c r="VQ36" s="218"/>
      <c r="VR36" s="218"/>
      <c r="VS36" s="218"/>
      <c r="VT36" s="218"/>
      <c r="VU36" s="218"/>
      <c r="VV36" s="218"/>
      <c r="VW36" s="218"/>
      <c r="VX36" s="218"/>
      <c r="VY36" s="218"/>
      <c r="VZ36" s="218"/>
      <c r="WA36" s="218"/>
      <c r="WB36" s="218"/>
      <c r="WC36" s="218"/>
      <c r="WD36" s="218"/>
      <c r="WE36" s="218"/>
      <c r="WF36" s="218"/>
      <c r="WG36" s="218"/>
      <c r="WH36" s="218"/>
      <c r="WI36" s="218"/>
      <c r="WJ36" s="218"/>
      <c r="WK36" s="218"/>
      <c r="WL36" s="218"/>
      <c r="WM36" s="218"/>
      <c r="WN36" s="218"/>
      <c r="WO36" s="218"/>
      <c r="WP36" s="218"/>
      <c r="WQ36" s="218"/>
      <c r="WR36" s="218"/>
      <c r="WS36" s="218"/>
      <c r="WT36" s="218"/>
      <c r="WU36" s="218"/>
      <c r="WV36" s="218"/>
      <c r="WW36" s="218"/>
      <c r="WX36" s="218"/>
      <c r="WY36" s="218"/>
      <c r="WZ36" s="218"/>
      <c r="XA36" s="218"/>
      <c r="XB36" s="218"/>
      <c r="XC36" s="218"/>
      <c r="XD36" s="218"/>
      <c r="XE36" s="218"/>
      <c r="XF36" s="218"/>
      <c r="XG36" s="218"/>
      <c r="XH36" s="218"/>
      <c r="XI36" s="218"/>
      <c r="XJ36" s="218"/>
      <c r="XK36" s="218"/>
      <c r="XL36" s="218"/>
      <c r="XM36" s="218"/>
      <c r="XN36" s="218"/>
      <c r="XO36" s="218"/>
      <c r="XP36" s="218"/>
      <c r="XQ36" s="218"/>
      <c r="XR36" s="218"/>
      <c r="XS36" s="218"/>
      <c r="XT36" s="218"/>
      <c r="XU36" s="218"/>
      <c r="XV36" s="218"/>
      <c r="XW36" s="218"/>
      <c r="XX36" s="218"/>
      <c r="XY36" s="218"/>
      <c r="XZ36" s="218"/>
      <c r="YA36" s="218"/>
      <c r="YB36" s="218"/>
      <c r="YC36" s="218"/>
      <c r="YD36" s="218"/>
      <c r="YE36" s="218"/>
      <c r="YF36" s="218"/>
      <c r="YG36" s="218"/>
      <c r="YH36" s="218"/>
      <c r="YI36" s="218"/>
      <c r="YJ36" s="218"/>
      <c r="YK36" s="218"/>
      <c r="YL36" s="218"/>
      <c r="YM36" s="218"/>
      <c r="YN36" s="218"/>
      <c r="YO36" s="218"/>
      <c r="YP36" s="218"/>
      <c r="YQ36" s="218"/>
      <c r="YR36" s="218"/>
      <c r="YS36" s="218"/>
      <c r="YT36" s="218"/>
      <c r="YU36" s="218"/>
      <c r="YV36" s="218"/>
      <c r="YW36" s="218"/>
      <c r="YX36" s="218"/>
      <c r="YY36" s="218"/>
      <c r="YZ36" s="218"/>
      <c r="ZA36" s="218"/>
      <c r="ZB36" s="218"/>
      <c r="ZC36" s="218"/>
      <c r="ZD36" s="218"/>
      <c r="ZE36" s="218"/>
      <c r="ZF36" s="218"/>
      <c r="ZG36" s="218"/>
      <c r="ZH36" s="218"/>
      <c r="ZI36" s="218"/>
      <c r="ZJ36" s="218"/>
      <c r="ZK36" s="218"/>
      <c r="ZL36" s="218"/>
      <c r="ZM36" s="218"/>
      <c r="ZN36" s="218"/>
      <c r="ZO36" s="218"/>
      <c r="ZP36" s="218"/>
      <c r="ZQ36" s="218"/>
      <c r="ZR36" s="218"/>
      <c r="ZS36" s="218"/>
      <c r="ZT36" s="218"/>
      <c r="ZU36" s="218"/>
      <c r="ZV36" s="218"/>
      <c r="ZW36" s="218"/>
      <c r="ZX36" s="218"/>
      <c r="ZY36" s="218"/>
      <c r="ZZ36" s="218"/>
      <c r="AAA36" s="218"/>
      <c r="AAB36" s="218"/>
      <c r="AAC36" s="218"/>
      <c r="AAD36" s="218"/>
      <c r="AAE36" s="218"/>
      <c r="AAF36" s="218"/>
      <c r="AAG36" s="218"/>
      <c r="AAH36" s="218"/>
      <c r="AAI36" s="218"/>
      <c r="AAJ36" s="218"/>
      <c r="AAK36" s="218"/>
      <c r="AAL36" s="218"/>
      <c r="AAM36" s="218"/>
      <c r="AAN36" s="218"/>
      <c r="AAO36" s="218"/>
      <c r="AAP36" s="218"/>
      <c r="AAQ36" s="218"/>
      <c r="AAR36" s="218"/>
      <c r="AAS36" s="218"/>
      <c r="AAT36" s="218"/>
      <c r="AAU36" s="218"/>
      <c r="AAV36" s="218"/>
      <c r="AAW36" s="218"/>
      <c r="AAX36" s="218"/>
      <c r="AAY36" s="218"/>
      <c r="AAZ36" s="218"/>
      <c r="ABA36" s="218"/>
      <c r="ABB36" s="218"/>
      <c r="ABC36" s="218"/>
      <c r="ABD36" s="218"/>
      <c r="ABE36" s="218"/>
      <c r="ABF36" s="218"/>
      <c r="ABG36" s="218"/>
      <c r="ABH36" s="218"/>
      <c r="ABI36" s="218"/>
      <c r="ABJ36" s="218"/>
      <c r="ABK36" s="218"/>
      <c r="ABL36" s="218"/>
      <c r="ABM36" s="218"/>
      <c r="ABN36" s="218"/>
      <c r="ABO36" s="218"/>
      <c r="ABP36" s="218"/>
      <c r="ABQ36" s="218"/>
      <c r="ABR36" s="218"/>
      <c r="ABS36" s="218"/>
      <c r="ABT36" s="218"/>
      <c r="ABU36" s="218"/>
      <c r="ABV36" s="218"/>
      <c r="ABW36" s="218"/>
      <c r="ABX36" s="218"/>
      <c r="ABY36" s="218"/>
      <c r="ABZ36" s="218"/>
      <c r="ACA36" s="218"/>
      <c r="ACB36" s="218"/>
      <c r="ACC36" s="218"/>
      <c r="ACD36" s="218"/>
      <c r="ACE36" s="218"/>
      <c r="ACF36" s="218"/>
      <c r="ACG36" s="218"/>
      <c r="ACH36" s="218"/>
      <c r="ACI36" s="218"/>
      <c r="ACJ36" s="218"/>
      <c r="ACK36" s="218"/>
      <c r="ACL36" s="218"/>
      <c r="ACM36" s="218"/>
      <c r="ACN36" s="218"/>
      <c r="ACO36" s="218"/>
      <c r="ACP36" s="218"/>
      <c r="ACQ36" s="218"/>
      <c r="ACR36" s="218"/>
      <c r="ACS36" s="218"/>
      <c r="ACT36" s="218"/>
      <c r="ACU36" s="218"/>
      <c r="ACV36" s="218"/>
      <c r="ACW36" s="218"/>
      <c r="ACX36" s="218"/>
      <c r="ACY36" s="218"/>
      <c r="ACZ36" s="218"/>
      <c r="ADA36" s="218"/>
      <c r="ADB36" s="218"/>
      <c r="ADC36" s="218"/>
      <c r="ADD36" s="218"/>
      <c r="ADE36" s="218"/>
      <c r="ADF36" s="218"/>
      <c r="ADG36" s="218"/>
      <c r="ADH36" s="218"/>
      <c r="ADI36" s="218"/>
      <c r="ADJ36" s="218"/>
      <c r="ADK36" s="218"/>
      <c r="ADL36" s="218"/>
      <c r="ADM36" s="218"/>
      <c r="ADN36" s="218"/>
      <c r="ADO36" s="218"/>
      <c r="ADP36" s="218"/>
      <c r="ADQ36" s="218"/>
      <c r="ADR36" s="218"/>
      <c r="ADS36" s="218"/>
      <c r="ADT36" s="218"/>
      <c r="ADU36" s="218"/>
      <c r="ADV36" s="218"/>
      <c r="ADW36" s="218"/>
      <c r="ADX36" s="218"/>
      <c r="ADY36" s="218"/>
      <c r="ADZ36" s="218"/>
      <c r="AEA36" s="218"/>
      <c r="AEB36" s="218"/>
      <c r="AEC36" s="218"/>
      <c r="AED36" s="218"/>
      <c r="AEE36" s="218"/>
      <c r="AEF36" s="218"/>
      <c r="AEG36" s="218"/>
      <c r="AEH36" s="218"/>
      <c r="AEI36" s="218"/>
      <c r="AEJ36" s="218"/>
      <c r="AEK36" s="218"/>
      <c r="AEL36" s="218"/>
      <c r="AEM36" s="218"/>
      <c r="AEN36" s="218"/>
      <c r="AEO36" s="218"/>
      <c r="AEP36" s="218"/>
      <c r="AEQ36" s="218"/>
      <c r="AER36" s="218"/>
      <c r="AES36" s="218"/>
      <c r="AET36" s="218"/>
      <c r="AEU36" s="218"/>
      <c r="AEV36" s="218"/>
      <c r="AEW36" s="218"/>
      <c r="AEX36" s="218"/>
      <c r="AEY36" s="218"/>
      <c r="AEZ36" s="218"/>
      <c r="AFA36" s="218"/>
      <c r="AFB36" s="218"/>
      <c r="AFC36" s="218"/>
      <c r="AFD36" s="218"/>
      <c r="AFE36" s="218"/>
      <c r="AFF36" s="218"/>
      <c r="AFG36" s="218"/>
      <c r="AFH36" s="218"/>
      <c r="AFI36" s="218"/>
      <c r="AFJ36" s="218"/>
      <c r="AFK36" s="218"/>
      <c r="AFL36" s="218"/>
      <c r="AFM36" s="218"/>
      <c r="AFN36" s="218"/>
      <c r="AFO36" s="218"/>
      <c r="AFP36" s="218"/>
      <c r="AFQ36" s="218"/>
      <c r="AFR36" s="218"/>
      <c r="AFS36" s="218"/>
      <c r="AFT36" s="218"/>
      <c r="AFU36" s="218"/>
      <c r="AFV36" s="218"/>
      <c r="AFW36" s="218"/>
      <c r="AFX36" s="218"/>
      <c r="AFY36" s="218"/>
      <c r="AFZ36" s="218"/>
      <c r="AGA36" s="218"/>
      <c r="AGB36" s="218"/>
      <c r="AGC36" s="218"/>
      <c r="AGD36" s="218"/>
      <c r="AGE36" s="218"/>
      <c r="AGF36" s="218"/>
      <c r="AGG36" s="218"/>
      <c r="AGH36" s="218"/>
      <c r="AGI36" s="218"/>
      <c r="AGJ36" s="218"/>
      <c r="AGK36" s="218"/>
      <c r="AGL36" s="218"/>
      <c r="AGM36" s="218"/>
      <c r="AGN36" s="218"/>
      <c r="AGO36" s="218"/>
      <c r="AGP36" s="218"/>
      <c r="AGQ36" s="218"/>
      <c r="AGR36" s="218"/>
      <c r="AGS36" s="218"/>
      <c r="AGT36" s="218"/>
      <c r="AGU36" s="218"/>
      <c r="AGV36" s="218"/>
      <c r="AGW36" s="218"/>
      <c r="AGX36" s="218"/>
      <c r="AGY36" s="218"/>
      <c r="AGZ36" s="218"/>
      <c r="AHA36" s="218"/>
      <c r="AHB36" s="218"/>
      <c r="AHC36" s="218"/>
      <c r="AHD36" s="218"/>
      <c r="AHE36" s="218"/>
      <c r="AHF36" s="218"/>
      <c r="AHG36" s="218"/>
      <c r="AHH36" s="218"/>
      <c r="AHI36" s="218"/>
      <c r="AHJ36" s="218"/>
      <c r="AHK36" s="218"/>
      <c r="AHL36" s="218"/>
      <c r="AHM36" s="218"/>
      <c r="AHN36" s="218"/>
      <c r="AHO36" s="218"/>
      <c r="AHP36" s="218"/>
      <c r="AHQ36" s="218"/>
      <c r="AHR36" s="218"/>
      <c r="AHS36" s="218"/>
      <c r="AHT36" s="218"/>
      <c r="AHU36" s="218"/>
      <c r="AHV36" s="218"/>
      <c r="AHW36" s="218"/>
      <c r="AHX36" s="218"/>
      <c r="AHY36" s="218"/>
      <c r="AHZ36" s="218"/>
      <c r="AIA36" s="218"/>
      <c r="AIB36" s="218"/>
      <c r="AIC36" s="218"/>
      <c r="AID36" s="218"/>
      <c r="AIE36" s="218"/>
      <c r="AIF36" s="218"/>
      <c r="AIG36" s="218"/>
      <c r="AIH36" s="218"/>
      <c r="AII36" s="218"/>
      <c r="AIJ36" s="218"/>
      <c r="AIK36" s="218"/>
      <c r="AIL36" s="218"/>
      <c r="AIM36" s="218"/>
      <c r="AIN36" s="218"/>
      <c r="AIO36" s="218"/>
      <c r="AIP36" s="218"/>
      <c r="AIQ36" s="218"/>
      <c r="AIR36" s="218"/>
      <c r="AIS36" s="218"/>
      <c r="AIT36" s="218"/>
      <c r="AIU36" s="218"/>
      <c r="AIV36" s="218"/>
      <c r="AIW36" s="218"/>
      <c r="AIX36" s="218"/>
      <c r="AIY36" s="218"/>
      <c r="AIZ36" s="218"/>
      <c r="AJA36" s="218"/>
      <c r="AJB36" s="218"/>
      <c r="AJC36" s="218"/>
      <c r="AJD36" s="218"/>
      <c r="AJE36" s="218"/>
      <c r="AJF36" s="218"/>
      <c r="AJG36" s="218"/>
      <c r="AJH36" s="218"/>
      <c r="AJI36" s="218"/>
      <c r="AJJ36" s="218"/>
      <c r="AJK36" s="218"/>
      <c r="AJL36" s="218"/>
      <c r="AJM36" s="218"/>
      <c r="AJN36" s="218"/>
      <c r="AJO36" s="218"/>
      <c r="AJP36" s="218"/>
      <c r="AJQ36" s="218"/>
      <c r="AJR36" s="218"/>
      <c r="AJS36" s="218"/>
      <c r="AJT36" s="218"/>
      <c r="AJU36" s="218"/>
      <c r="AJV36" s="218"/>
      <c r="AJW36" s="218"/>
      <c r="AJX36" s="218"/>
      <c r="AJY36" s="218"/>
      <c r="AJZ36" s="218"/>
      <c r="AKA36" s="218"/>
      <c r="AKB36" s="218"/>
      <c r="AKC36" s="218"/>
      <c r="AKD36" s="218"/>
      <c r="AKE36" s="218"/>
      <c r="AKF36" s="218"/>
      <c r="AKG36" s="218"/>
      <c r="AKH36" s="218"/>
      <c r="AKI36" s="218"/>
      <c r="AKJ36" s="218"/>
      <c r="AKK36" s="218"/>
      <c r="AKL36" s="218"/>
      <c r="AKM36" s="218"/>
      <c r="AKN36" s="218"/>
      <c r="AKO36" s="218"/>
      <c r="AKP36" s="218"/>
      <c r="AKQ36" s="218"/>
      <c r="AKR36" s="218"/>
      <c r="AKS36" s="218"/>
      <c r="AKT36" s="218"/>
      <c r="AKU36" s="218"/>
      <c r="AKV36" s="218"/>
      <c r="AKW36" s="218"/>
      <c r="AKX36" s="218"/>
      <c r="AKY36" s="218"/>
      <c r="AKZ36" s="218"/>
      <c r="ALA36" s="218"/>
      <c r="ALB36" s="218"/>
      <c r="ALC36" s="218"/>
      <c r="ALD36" s="218"/>
      <c r="ALE36" s="218"/>
      <c r="ALF36" s="218"/>
      <c r="ALG36" s="218"/>
      <c r="ALH36" s="218"/>
      <c r="ALI36" s="218"/>
      <c r="ALJ36" s="218"/>
      <c r="ALK36" s="218"/>
      <c r="ALL36" s="218"/>
      <c r="ALM36" s="218"/>
      <c r="ALN36" s="218"/>
      <c r="ALO36" s="218"/>
      <c r="ALP36" s="218"/>
      <c r="ALQ36" s="218"/>
      <c r="ALR36" s="218"/>
      <c r="ALS36" s="218"/>
      <c r="ALT36" s="218"/>
      <c r="ALU36" s="218"/>
      <c r="ALV36" s="218"/>
      <c r="ALW36" s="218"/>
      <c r="ALX36" s="218"/>
      <c r="ALY36" s="218"/>
      <c r="ALZ36" s="218"/>
      <c r="AMA36" s="218"/>
      <c r="AMB36" s="218"/>
      <c r="AMC36" s="218"/>
      <c r="AMD36" s="218"/>
      <c r="AME36" s="218"/>
      <c r="AMF36" s="218"/>
      <c r="AMG36" s="218"/>
      <c r="AMH36" s="218"/>
      <c r="AMI36" s="218"/>
      <c r="AMJ36" s="218"/>
      <c r="AMK36" s="218"/>
      <c r="AML36" s="218"/>
      <c r="AMM36" s="218"/>
      <c r="AMN36" s="218"/>
      <c r="AMO36" s="218"/>
      <c r="AMP36" s="218"/>
      <c r="AMQ36" s="218"/>
      <c r="AMR36" s="218"/>
      <c r="AMS36" s="218"/>
      <c r="AMT36" s="218"/>
      <c r="AMU36" s="218"/>
      <c r="AMV36" s="218"/>
      <c r="AMW36" s="218"/>
      <c r="AMX36" s="218"/>
      <c r="AMY36" s="218"/>
      <c r="AMZ36" s="218"/>
      <c r="ANA36" s="218"/>
      <c r="ANB36" s="218"/>
      <c r="ANC36" s="218"/>
      <c r="AND36" s="218"/>
      <c r="ANE36" s="218"/>
      <c r="ANF36" s="218"/>
      <c r="ANG36" s="218"/>
      <c r="ANH36" s="218"/>
      <c r="ANI36" s="218"/>
      <c r="ANJ36" s="218"/>
      <c r="ANK36" s="218"/>
      <c r="ANL36" s="218"/>
      <c r="ANM36" s="218"/>
      <c r="ANN36" s="218"/>
      <c r="ANO36" s="218"/>
      <c r="ANP36" s="218"/>
      <c r="ANQ36" s="218"/>
      <c r="ANR36" s="218"/>
      <c r="ANS36" s="218"/>
      <c r="ANT36" s="218"/>
      <c r="ANU36" s="218"/>
      <c r="ANV36" s="218"/>
      <c r="ANW36" s="218"/>
      <c r="ANX36" s="218"/>
      <c r="ANY36" s="218"/>
      <c r="ANZ36" s="218"/>
      <c r="AOA36" s="218"/>
      <c r="AOB36" s="218"/>
      <c r="AOC36" s="218"/>
      <c r="AOD36" s="218"/>
      <c r="AOE36" s="218"/>
      <c r="AOF36" s="218"/>
      <c r="AOG36" s="218"/>
      <c r="AOH36" s="218"/>
      <c r="AOI36" s="218"/>
      <c r="AOJ36" s="218"/>
      <c r="AOK36" s="218"/>
      <c r="AOL36" s="218"/>
      <c r="AOM36" s="218"/>
      <c r="AON36" s="218"/>
      <c r="AOO36" s="218"/>
      <c r="AOP36" s="218"/>
      <c r="AOQ36" s="218"/>
      <c r="AOR36" s="218"/>
      <c r="AOS36" s="218"/>
      <c r="AOT36" s="218"/>
      <c r="AOU36" s="218"/>
      <c r="AOV36" s="218"/>
      <c r="AOW36" s="218"/>
      <c r="AOX36" s="218"/>
      <c r="AOY36" s="218"/>
      <c r="AOZ36" s="218"/>
      <c r="APA36" s="218"/>
      <c r="APB36" s="218"/>
      <c r="APC36" s="218"/>
      <c r="APD36" s="218"/>
      <c r="APE36" s="218"/>
      <c r="APF36" s="218"/>
      <c r="APG36" s="218"/>
      <c r="APH36" s="218"/>
      <c r="API36" s="218"/>
      <c r="APJ36" s="218"/>
      <c r="APK36" s="218"/>
      <c r="APL36" s="218"/>
      <c r="APM36" s="218"/>
      <c r="APN36" s="218"/>
      <c r="APO36" s="218"/>
      <c r="APP36" s="218"/>
      <c r="APQ36" s="218"/>
      <c r="APR36" s="218"/>
      <c r="APS36" s="218"/>
      <c r="APT36" s="218"/>
      <c r="APU36" s="218"/>
      <c r="APV36" s="218"/>
      <c r="APW36" s="218"/>
      <c r="APX36" s="218"/>
      <c r="APY36" s="218"/>
      <c r="APZ36" s="218"/>
      <c r="AQA36" s="218"/>
      <c r="AQB36" s="218"/>
      <c r="AQC36" s="218"/>
      <c r="AQD36" s="218"/>
      <c r="AQE36" s="218"/>
      <c r="AQF36" s="218"/>
      <c r="AQG36" s="218"/>
      <c r="AQH36" s="218"/>
      <c r="AQI36" s="218"/>
      <c r="AQJ36" s="218"/>
      <c r="AQK36" s="218"/>
      <c r="AQL36" s="218"/>
      <c r="AQM36" s="218"/>
      <c r="AQN36" s="218"/>
      <c r="AQO36" s="218"/>
      <c r="AQP36" s="218"/>
      <c r="AQQ36" s="218"/>
      <c r="AQR36" s="218"/>
      <c r="AQS36" s="218"/>
      <c r="AQT36" s="218"/>
      <c r="AQU36" s="218"/>
      <c r="AQV36" s="218"/>
      <c r="AQW36" s="218"/>
      <c r="AQX36" s="218"/>
      <c r="AQY36" s="218"/>
      <c r="AQZ36" s="218"/>
      <c r="ARA36" s="218"/>
      <c r="ARB36" s="218"/>
      <c r="ARC36" s="218"/>
      <c r="ARD36" s="218"/>
      <c r="ARE36" s="218"/>
      <c r="ARF36" s="218"/>
      <c r="ARG36" s="218"/>
      <c r="ARH36" s="218"/>
      <c r="ARI36" s="218"/>
      <c r="ARJ36" s="218"/>
      <c r="ARK36" s="218"/>
      <c r="ARL36" s="218"/>
      <c r="ARM36" s="218"/>
      <c r="ARN36" s="218"/>
      <c r="ARO36" s="218"/>
      <c r="ARP36" s="218"/>
      <c r="ARQ36" s="218"/>
      <c r="ARR36" s="218"/>
      <c r="ARS36" s="218"/>
      <c r="ART36" s="218"/>
      <c r="ARU36" s="218"/>
      <c r="ARV36" s="218"/>
      <c r="ARW36" s="218"/>
      <c r="ARX36" s="218"/>
      <c r="ARY36" s="218"/>
      <c r="ARZ36" s="218"/>
      <c r="ASA36" s="218"/>
      <c r="ASB36" s="218"/>
      <c r="ASC36" s="218"/>
      <c r="ASD36" s="218"/>
      <c r="ASE36" s="218"/>
      <c r="ASF36" s="218"/>
      <c r="ASG36" s="218"/>
      <c r="ASH36" s="218"/>
      <c r="ASI36" s="218"/>
      <c r="ASJ36" s="218"/>
      <c r="ASK36" s="218"/>
      <c r="ASL36" s="218"/>
      <c r="ASM36" s="218"/>
      <c r="ASN36" s="218"/>
      <c r="ASO36" s="218"/>
      <c r="ASP36" s="218"/>
      <c r="ASQ36" s="218"/>
      <c r="ASR36" s="218"/>
      <c r="ASS36" s="218"/>
      <c r="AST36" s="218"/>
      <c r="ASU36" s="218"/>
      <c r="ASV36" s="218"/>
      <c r="ASW36" s="218"/>
      <c r="ASX36" s="218"/>
      <c r="ASY36" s="218"/>
      <c r="ASZ36" s="218"/>
      <c r="ATA36" s="218"/>
      <c r="ATB36" s="218"/>
      <c r="ATC36" s="218"/>
      <c r="ATD36" s="218"/>
      <c r="ATE36" s="218"/>
      <c r="ATF36" s="218"/>
      <c r="ATG36" s="218"/>
      <c r="ATH36" s="218"/>
      <c r="ATI36" s="218"/>
      <c r="ATJ36" s="218"/>
      <c r="ATK36" s="218"/>
      <c r="ATL36" s="218"/>
      <c r="ATM36" s="218"/>
      <c r="ATN36" s="218"/>
      <c r="ATO36" s="218"/>
      <c r="ATP36" s="218"/>
      <c r="ATQ36" s="218"/>
      <c r="ATR36" s="218"/>
      <c r="ATS36" s="218"/>
      <c r="ATT36" s="218"/>
      <c r="ATU36" s="218"/>
      <c r="ATV36" s="218"/>
      <c r="ATW36" s="218"/>
      <c r="ATX36" s="218"/>
      <c r="ATY36" s="218"/>
      <c r="ATZ36" s="218"/>
      <c r="AUA36" s="218"/>
      <c r="AUB36" s="218"/>
      <c r="AUC36" s="218"/>
      <c r="AUD36" s="218"/>
      <c r="AUE36" s="218"/>
      <c r="AUF36" s="218"/>
      <c r="AUG36" s="218"/>
      <c r="AUH36" s="218"/>
      <c r="AUI36" s="218"/>
      <c r="AUJ36" s="218"/>
      <c r="AUK36" s="218"/>
      <c r="AUL36" s="218"/>
      <c r="AUM36" s="218"/>
      <c r="AUN36" s="218"/>
      <c r="AUO36" s="218"/>
      <c r="AUP36" s="218"/>
      <c r="AUQ36" s="218"/>
      <c r="AUR36" s="218"/>
      <c r="AUS36" s="218"/>
      <c r="AUT36" s="218"/>
      <c r="AUU36" s="218"/>
      <c r="AUV36" s="218"/>
      <c r="AUW36" s="218"/>
      <c r="AUX36" s="218"/>
      <c r="AUY36" s="218"/>
      <c r="AUZ36" s="218"/>
      <c r="AVA36" s="218"/>
      <c r="AVB36" s="218"/>
      <c r="AVC36" s="218"/>
      <c r="AVD36" s="218"/>
      <c r="AVE36" s="218"/>
      <c r="AVF36" s="218"/>
      <c r="AVG36" s="218"/>
      <c r="AVH36" s="218"/>
      <c r="AVI36" s="218"/>
      <c r="AVJ36" s="218"/>
      <c r="AVK36" s="218"/>
      <c r="AVL36" s="218"/>
      <c r="AVM36" s="218"/>
      <c r="AVN36" s="218"/>
      <c r="AVO36" s="218"/>
      <c r="AVP36" s="218"/>
      <c r="AVQ36" s="218"/>
      <c r="AVR36" s="218"/>
      <c r="AVS36" s="218"/>
      <c r="AVT36" s="218"/>
      <c r="AVU36" s="218"/>
      <c r="AVV36" s="218"/>
      <c r="AVW36" s="218"/>
      <c r="AVX36" s="218"/>
      <c r="AVY36" s="218"/>
      <c r="AVZ36" s="218"/>
      <c r="AWA36" s="218"/>
      <c r="AWB36" s="218"/>
      <c r="AWC36" s="218"/>
      <c r="AWD36" s="218"/>
      <c r="AWE36" s="218"/>
      <c r="AWF36" s="218"/>
      <c r="AWG36" s="218"/>
      <c r="AWH36" s="218"/>
      <c r="AWI36" s="218"/>
      <c r="AWJ36" s="218"/>
      <c r="AWK36" s="218"/>
      <c r="AWL36" s="218"/>
      <c r="AWM36" s="218"/>
      <c r="AWN36" s="218"/>
      <c r="AWO36" s="218"/>
      <c r="AWP36" s="218"/>
      <c r="AWQ36" s="218"/>
      <c r="AWR36" s="218"/>
      <c r="AWS36" s="218"/>
      <c r="AWT36" s="218"/>
      <c r="AWU36" s="218"/>
      <c r="AWV36" s="218"/>
      <c r="AWW36" s="218"/>
      <c r="AWX36" s="218"/>
      <c r="AWY36" s="218"/>
      <c r="AWZ36" s="218"/>
      <c r="AXA36" s="218"/>
      <c r="AXB36" s="218"/>
      <c r="AXC36" s="218"/>
      <c r="AXD36" s="218"/>
      <c r="AXE36" s="218"/>
      <c r="AXF36" s="218"/>
      <c r="AXG36" s="218"/>
      <c r="AXH36" s="218"/>
      <c r="AXI36" s="218"/>
      <c r="AXJ36" s="218"/>
      <c r="AXK36" s="218"/>
      <c r="AXL36" s="218"/>
      <c r="AXM36" s="218"/>
      <c r="AXN36" s="218"/>
      <c r="AXO36" s="218"/>
      <c r="AXP36" s="218"/>
      <c r="AXQ36" s="218"/>
      <c r="AXR36" s="218"/>
      <c r="AXS36" s="218"/>
      <c r="AXT36" s="218"/>
      <c r="AXU36" s="218"/>
      <c r="AXV36" s="218"/>
      <c r="AXW36" s="218"/>
      <c r="AXX36" s="218"/>
      <c r="AXY36" s="218"/>
      <c r="AXZ36" s="218"/>
      <c r="AYA36" s="218"/>
      <c r="AYB36" s="218"/>
      <c r="AYC36" s="218"/>
      <c r="AYD36" s="218"/>
      <c r="AYE36" s="218"/>
      <c r="AYF36" s="218"/>
      <c r="AYG36" s="218"/>
      <c r="AYH36" s="218"/>
      <c r="AYI36" s="218"/>
      <c r="AYJ36" s="218"/>
      <c r="AYK36" s="218"/>
      <c r="AYL36" s="218"/>
      <c r="AYM36" s="218"/>
      <c r="AYN36" s="218"/>
      <c r="AYO36" s="218"/>
      <c r="AYP36" s="218"/>
      <c r="AYQ36" s="218"/>
      <c r="AYR36" s="218"/>
      <c r="AYS36" s="218"/>
      <c r="AYT36" s="218"/>
      <c r="AYU36" s="218"/>
      <c r="AYV36" s="218"/>
      <c r="AYW36" s="218"/>
      <c r="AYX36" s="218"/>
      <c r="AYY36" s="218"/>
      <c r="AYZ36" s="218"/>
      <c r="AZA36" s="218"/>
      <c r="AZB36" s="218"/>
      <c r="AZC36" s="218"/>
      <c r="AZD36" s="218"/>
      <c r="AZE36" s="218"/>
      <c r="AZF36" s="218"/>
      <c r="AZG36" s="218"/>
      <c r="AZH36" s="218"/>
      <c r="AZI36" s="218"/>
      <c r="AZJ36" s="218"/>
      <c r="AZK36" s="218"/>
      <c r="AZL36" s="218"/>
      <c r="AZM36" s="218"/>
      <c r="AZN36" s="218"/>
      <c r="AZO36" s="218"/>
      <c r="AZP36" s="218"/>
      <c r="AZQ36" s="218"/>
      <c r="AZR36" s="218"/>
      <c r="AZS36" s="218"/>
      <c r="AZT36" s="218"/>
      <c r="AZU36" s="218"/>
      <c r="AZV36" s="218"/>
      <c r="AZW36" s="218"/>
      <c r="AZX36" s="218"/>
      <c r="AZY36" s="218"/>
      <c r="AZZ36" s="218"/>
      <c r="BAA36" s="218"/>
      <c r="BAB36" s="218"/>
      <c r="BAC36" s="218"/>
      <c r="BAD36" s="218"/>
      <c r="BAE36" s="218"/>
      <c r="BAF36" s="218"/>
      <c r="BAG36" s="218"/>
      <c r="BAH36" s="218"/>
      <c r="BAI36" s="218"/>
      <c r="BAJ36" s="218"/>
      <c r="BAK36" s="218"/>
      <c r="BAL36" s="218"/>
      <c r="BAM36" s="218"/>
      <c r="BAN36" s="218"/>
      <c r="BAO36" s="218"/>
      <c r="BAP36" s="218"/>
      <c r="BAQ36" s="218"/>
      <c r="BAR36" s="218"/>
      <c r="BAS36" s="218"/>
      <c r="BAT36" s="218"/>
      <c r="BAU36" s="218"/>
      <c r="BAV36" s="218"/>
      <c r="BAW36" s="218"/>
      <c r="BAX36" s="218"/>
      <c r="BAY36" s="218"/>
      <c r="BAZ36" s="218"/>
      <c r="BBA36" s="218"/>
      <c r="BBB36" s="218"/>
      <c r="BBC36" s="218"/>
      <c r="BBD36" s="218"/>
      <c r="BBE36" s="218"/>
      <c r="BBF36" s="218"/>
      <c r="BBG36" s="218"/>
      <c r="BBH36" s="218"/>
      <c r="BBI36" s="218"/>
      <c r="BBJ36" s="218"/>
      <c r="BBK36" s="218"/>
      <c r="BBL36" s="218"/>
      <c r="BBM36" s="218"/>
      <c r="BBN36" s="218"/>
      <c r="BBO36" s="218"/>
      <c r="BBP36" s="218"/>
      <c r="BBQ36" s="218"/>
      <c r="BBR36" s="218"/>
      <c r="BBS36" s="218"/>
      <c r="BBT36" s="218"/>
      <c r="BBU36" s="218"/>
      <c r="BBV36" s="218"/>
      <c r="BBW36" s="218"/>
      <c r="BBX36" s="218"/>
      <c r="BBY36" s="218"/>
      <c r="BBZ36" s="218"/>
      <c r="BCA36" s="218"/>
      <c r="BCB36" s="218"/>
      <c r="BCC36" s="218"/>
      <c r="BCD36" s="218"/>
      <c r="BCE36" s="218"/>
      <c r="BCF36" s="218"/>
      <c r="BCG36" s="218"/>
      <c r="BCH36" s="218"/>
      <c r="BCI36" s="218"/>
      <c r="BCJ36" s="218"/>
      <c r="BCK36" s="218"/>
      <c r="BCL36" s="218"/>
      <c r="BCM36" s="218"/>
      <c r="BCN36" s="218"/>
      <c r="BCO36" s="218"/>
      <c r="BCP36" s="218"/>
      <c r="BCQ36" s="218"/>
      <c r="BCR36" s="218"/>
      <c r="BCS36" s="218"/>
      <c r="BCT36" s="218"/>
      <c r="BCU36" s="218"/>
      <c r="BCV36" s="218"/>
      <c r="BCW36" s="218"/>
      <c r="BCX36" s="218"/>
      <c r="BCY36" s="218"/>
      <c r="BCZ36" s="218"/>
      <c r="BDA36" s="218"/>
      <c r="BDB36" s="218"/>
      <c r="BDC36" s="218"/>
      <c r="BDD36" s="218"/>
      <c r="BDE36" s="218"/>
      <c r="BDF36" s="218"/>
      <c r="BDG36" s="218"/>
      <c r="BDH36" s="218"/>
      <c r="BDI36" s="218"/>
      <c r="BDJ36" s="218"/>
      <c r="BDK36" s="218"/>
      <c r="BDL36" s="218"/>
      <c r="BDM36" s="218"/>
      <c r="BDN36" s="218"/>
      <c r="BDO36" s="218"/>
      <c r="BDP36" s="218"/>
      <c r="BDQ36" s="218"/>
      <c r="BDR36" s="218"/>
      <c r="BDS36" s="218"/>
      <c r="BDT36" s="218"/>
      <c r="BDU36" s="218"/>
      <c r="BDV36" s="218"/>
      <c r="BDW36" s="218"/>
      <c r="BDX36" s="218"/>
      <c r="BDY36" s="218"/>
      <c r="BDZ36" s="218"/>
      <c r="BEA36" s="218"/>
      <c r="BEB36" s="218"/>
      <c r="BEC36" s="218"/>
      <c r="BED36" s="218"/>
      <c r="BEE36" s="218"/>
      <c r="BEF36" s="218"/>
      <c r="BEG36" s="218"/>
      <c r="BEH36" s="218"/>
      <c r="BEI36" s="218"/>
      <c r="BEJ36" s="218"/>
      <c r="BEK36" s="218"/>
      <c r="BEL36" s="218"/>
      <c r="BEM36" s="218"/>
      <c r="BEN36" s="218"/>
      <c r="BEO36" s="218"/>
      <c r="BEP36" s="218"/>
      <c r="BEQ36" s="218"/>
      <c r="BER36" s="218"/>
      <c r="BES36" s="218"/>
      <c r="BET36" s="218"/>
      <c r="BEU36" s="218"/>
      <c r="BEV36" s="218"/>
      <c r="BEW36" s="218"/>
      <c r="BEX36" s="218"/>
      <c r="BEY36" s="218"/>
      <c r="BEZ36" s="218"/>
      <c r="BFA36" s="218"/>
      <c r="BFB36" s="218"/>
      <c r="BFC36" s="218"/>
      <c r="BFD36" s="218"/>
      <c r="BFE36" s="218"/>
      <c r="BFF36" s="218"/>
      <c r="BFG36" s="218"/>
      <c r="BFH36" s="218"/>
      <c r="BFI36" s="218"/>
      <c r="BFJ36" s="218"/>
      <c r="BFK36" s="218"/>
      <c r="BFL36" s="218"/>
      <c r="BFM36" s="218"/>
      <c r="BFN36" s="218"/>
      <c r="BFO36" s="218"/>
      <c r="BFP36" s="218"/>
      <c r="BFQ36" s="218"/>
      <c r="BFR36" s="218"/>
      <c r="BFS36" s="218"/>
      <c r="BFT36" s="218"/>
      <c r="BFU36" s="218"/>
      <c r="BFV36" s="218"/>
      <c r="BFW36" s="218"/>
      <c r="BFX36" s="218"/>
      <c r="BFY36" s="218"/>
      <c r="BFZ36" s="218"/>
      <c r="BGA36" s="218"/>
      <c r="BGB36" s="218"/>
      <c r="BGC36" s="218"/>
      <c r="BGD36" s="218"/>
      <c r="BGE36" s="218"/>
      <c r="BGF36" s="218"/>
      <c r="BGG36" s="218"/>
      <c r="BGH36" s="218"/>
      <c r="BGI36" s="218"/>
      <c r="BGJ36" s="218"/>
      <c r="BGK36" s="218"/>
      <c r="BGL36" s="218"/>
      <c r="BGM36" s="218"/>
      <c r="BGN36" s="218"/>
      <c r="BGO36" s="218"/>
      <c r="BGP36" s="218"/>
      <c r="BGQ36" s="218"/>
      <c r="BGR36" s="218"/>
      <c r="BGS36" s="218"/>
      <c r="BGT36" s="218"/>
      <c r="BGU36" s="218"/>
      <c r="BGV36" s="218"/>
      <c r="BGW36" s="218"/>
      <c r="BGX36" s="218"/>
      <c r="BGY36" s="218"/>
      <c r="BGZ36" s="218"/>
      <c r="BHA36" s="218"/>
      <c r="BHB36" s="218"/>
      <c r="BHC36" s="218"/>
      <c r="BHD36" s="218"/>
      <c r="BHE36" s="218"/>
      <c r="BHF36" s="218"/>
      <c r="BHG36" s="218"/>
      <c r="BHH36" s="218"/>
      <c r="BHI36" s="218"/>
      <c r="BHJ36" s="218"/>
      <c r="BHK36" s="218"/>
      <c r="BHL36" s="218"/>
      <c r="BHM36" s="218"/>
      <c r="BHN36" s="218"/>
      <c r="BHO36" s="218"/>
      <c r="BHP36" s="218"/>
      <c r="BHQ36" s="218"/>
      <c r="BHR36" s="218"/>
      <c r="BHS36" s="218"/>
      <c r="BHT36" s="218"/>
      <c r="BHU36" s="218"/>
      <c r="BHV36" s="218"/>
      <c r="BHW36" s="218"/>
      <c r="BHX36" s="218"/>
      <c r="BHY36" s="218"/>
      <c r="BHZ36" s="218"/>
      <c r="BIA36" s="218"/>
      <c r="BIB36" s="218"/>
      <c r="BIC36" s="218"/>
      <c r="BID36" s="218"/>
      <c r="BIE36" s="218"/>
      <c r="BIF36" s="218"/>
      <c r="BIG36" s="218"/>
      <c r="BIH36" s="218"/>
      <c r="BII36" s="218"/>
      <c r="BIJ36" s="218"/>
      <c r="BIK36" s="218"/>
      <c r="BIL36" s="218"/>
      <c r="BIM36" s="218"/>
      <c r="BIN36" s="218"/>
      <c r="BIO36" s="218"/>
      <c r="BIP36" s="218"/>
      <c r="BIQ36" s="218"/>
      <c r="BIR36" s="218"/>
      <c r="BIS36" s="218"/>
      <c r="BIT36" s="218"/>
      <c r="BIU36" s="218"/>
      <c r="BIV36" s="218"/>
      <c r="BIW36" s="218"/>
      <c r="BIX36" s="218"/>
      <c r="BIY36" s="218"/>
      <c r="BIZ36" s="218"/>
      <c r="BJA36" s="218"/>
      <c r="BJB36" s="218"/>
      <c r="BJC36" s="218"/>
      <c r="BJD36" s="218"/>
      <c r="BJE36" s="218"/>
      <c r="BJF36" s="218"/>
      <c r="BJG36" s="218"/>
      <c r="BJH36" s="218"/>
      <c r="BJI36" s="218"/>
      <c r="BJJ36" s="218"/>
      <c r="BJK36" s="218"/>
      <c r="BJL36" s="218"/>
      <c r="BJM36" s="218"/>
      <c r="BJN36" s="218"/>
      <c r="BJO36" s="218"/>
      <c r="BJP36" s="218"/>
      <c r="BJQ36" s="218"/>
      <c r="BJR36" s="218"/>
      <c r="BJS36" s="218"/>
      <c r="BJT36" s="218"/>
      <c r="BJU36" s="218"/>
      <c r="BJV36" s="218"/>
      <c r="BJW36" s="218"/>
      <c r="BJX36" s="218"/>
      <c r="BJY36" s="218"/>
      <c r="BJZ36" s="218"/>
      <c r="BKA36" s="218"/>
      <c r="BKB36" s="218"/>
      <c r="BKC36" s="218"/>
      <c r="BKD36" s="218"/>
      <c r="BKE36" s="218"/>
      <c r="BKF36" s="218"/>
      <c r="BKG36" s="218"/>
      <c r="BKH36" s="218"/>
      <c r="BKI36" s="218"/>
      <c r="BKJ36" s="218"/>
      <c r="BKK36" s="218"/>
      <c r="BKL36" s="218"/>
      <c r="BKM36" s="218"/>
      <c r="BKN36" s="218"/>
      <c r="BKO36" s="218"/>
      <c r="BKP36" s="218"/>
      <c r="BKQ36" s="218"/>
      <c r="BKR36" s="218"/>
      <c r="BKS36" s="218"/>
      <c r="BKT36" s="218"/>
      <c r="BKU36" s="218"/>
      <c r="BKV36" s="218"/>
      <c r="BKW36" s="218"/>
      <c r="BKX36" s="218"/>
      <c r="BKY36" s="218"/>
      <c r="BKZ36" s="218"/>
      <c r="BLA36" s="218"/>
      <c r="BLB36" s="218"/>
      <c r="BLC36" s="218"/>
      <c r="BLD36" s="218"/>
      <c r="BLE36" s="218"/>
      <c r="BLF36" s="218"/>
      <c r="BLG36" s="218"/>
      <c r="BLH36" s="218"/>
      <c r="BLI36" s="218"/>
      <c r="BLJ36" s="218"/>
      <c r="BLK36" s="218"/>
      <c r="BLL36" s="218"/>
      <c r="BLM36" s="218"/>
      <c r="BLN36" s="218"/>
      <c r="BLO36" s="218"/>
      <c r="BLP36" s="218"/>
      <c r="BLQ36" s="218"/>
      <c r="BLR36" s="218"/>
      <c r="BLS36" s="218"/>
      <c r="BLT36" s="218"/>
      <c r="BLU36" s="218"/>
      <c r="BLV36" s="218"/>
      <c r="BLW36" s="218"/>
      <c r="BLX36" s="218"/>
      <c r="BLY36" s="218"/>
      <c r="BLZ36" s="218"/>
      <c r="BMA36" s="218"/>
      <c r="BMB36" s="218"/>
      <c r="BMC36" s="218"/>
      <c r="BMD36" s="218"/>
      <c r="BME36" s="218"/>
      <c r="BMF36" s="218"/>
      <c r="BMG36" s="218"/>
      <c r="BMH36" s="218"/>
      <c r="BMI36" s="218"/>
      <c r="BMJ36" s="218"/>
      <c r="BMK36" s="218"/>
      <c r="BML36" s="218"/>
      <c r="BMM36" s="218"/>
      <c r="BMN36" s="218"/>
      <c r="BMO36" s="218"/>
      <c r="BMP36" s="218"/>
      <c r="BMQ36" s="218"/>
      <c r="BMR36" s="218"/>
      <c r="BMS36" s="218"/>
      <c r="BMT36" s="218"/>
      <c r="BMU36" s="218"/>
      <c r="BMV36" s="218"/>
      <c r="BMW36" s="218"/>
      <c r="BMX36" s="218"/>
      <c r="BMY36" s="218"/>
      <c r="BMZ36" s="218"/>
      <c r="BNA36" s="218"/>
      <c r="BNB36" s="218"/>
      <c r="BNC36" s="218"/>
      <c r="BND36" s="218"/>
      <c r="BNE36" s="218"/>
      <c r="BNF36" s="218"/>
      <c r="BNG36" s="218"/>
      <c r="BNH36" s="218"/>
      <c r="BNI36" s="218"/>
      <c r="BNJ36" s="218"/>
      <c r="BNK36" s="218"/>
      <c r="BNL36" s="218"/>
      <c r="BNM36" s="218"/>
      <c r="BNN36" s="218"/>
      <c r="BNO36" s="218"/>
      <c r="BNP36" s="218"/>
      <c r="BNQ36" s="218"/>
      <c r="BNR36" s="218"/>
      <c r="BNS36" s="218"/>
      <c r="BNT36" s="218"/>
      <c r="BNU36" s="218"/>
      <c r="BNV36" s="218"/>
      <c r="BNW36" s="218"/>
      <c r="BNX36" s="218"/>
      <c r="BNY36" s="218"/>
      <c r="BNZ36" s="218"/>
      <c r="BOA36" s="218"/>
      <c r="BOB36" s="218"/>
      <c r="BOC36" s="218"/>
      <c r="BOD36" s="218"/>
      <c r="BOE36" s="218"/>
      <c r="BOF36" s="218"/>
      <c r="BOG36" s="218"/>
      <c r="BOH36" s="218"/>
      <c r="BOI36" s="218"/>
      <c r="BOJ36" s="218"/>
      <c r="BOK36" s="218"/>
      <c r="BOL36" s="218"/>
      <c r="BOM36" s="218"/>
      <c r="BON36" s="218"/>
      <c r="BOO36" s="218"/>
      <c r="BOP36" s="218"/>
      <c r="BOQ36" s="218"/>
      <c r="BOR36" s="218"/>
      <c r="BOS36" s="218"/>
      <c r="BOT36" s="218"/>
      <c r="BOU36" s="218"/>
      <c r="BOV36" s="218"/>
      <c r="BOW36" s="218"/>
      <c r="BOX36" s="218"/>
      <c r="BOY36" s="218"/>
      <c r="BOZ36" s="218"/>
      <c r="BPA36" s="218"/>
      <c r="BPB36" s="218"/>
      <c r="BPC36" s="218"/>
      <c r="BPD36" s="218"/>
      <c r="BPE36" s="218"/>
      <c r="BPF36" s="218"/>
      <c r="BPG36" s="218"/>
      <c r="BPH36" s="218"/>
      <c r="BPI36" s="218"/>
      <c r="BPJ36" s="218"/>
      <c r="BPK36" s="218"/>
      <c r="BPL36" s="218"/>
      <c r="BPM36" s="218"/>
      <c r="BPN36" s="218"/>
      <c r="BPO36" s="218"/>
      <c r="BPP36" s="218"/>
      <c r="BPQ36" s="218"/>
      <c r="BPR36" s="218"/>
      <c r="BPS36" s="218"/>
      <c r="BPT36" s="218"/>
      <c r="BPU36" s="218"/>
      <c r="BPV36" s="218"/>
      <c r="BPW36" s="218"/>
      <c r="BPX36" s="218"/>
      <c r="BPY36" s="218"/>
      <c r="BPZ36" s="218"/>
      <c r="BQA36" s="218"/>
      <c r="BQB36" s="218"/>
      <c r="BQC36" s="218"/>
      <c r="BQD36" s="218"/>
      <c r="BQE36" s="218"/>
      <c r="BQF36" s="218"/>
      <c r="BQG36" s="218"/>
      <c r="BQH36" s="218"/>
      <c r="BQI36" s="218"/>
      <c r="BQJ36" s="218"/>
      <c r="BQK36" s="218"/>
      <c r="BQL36" s="218"/>
      <c r="BQM36" s="218"/>
      <c r="BQN36" s="218"/>
      <c r="BQO36" s="218"/>
      <c r="BQP36" s="218"/>
      <c r="BQQ36" s="218"/>
      <c r="BQR36" s="218"/>
      <c r="BQS36" s="218"/>
      <c r="BQT36" s="218"/>
      <c r="BQU36" s="218"/>
      <c r="BQV36" s="218"/>
      <c r="BQW36" s="218"/>
      <c r="BQX36" s="218"/>
      <c r="BQY36" s="218"/>
      <c r="BQZ36" s="218"/>
      <c r="BRA36" s="218"/>
      <c r="BRB36" s="218"/>
      <c r="BRC36" s="218"/>
      <c r="BRD36" s="218"/>
      <c r="BRE36" s="218"/>
      <c r="BRF36" s="218"/>
      <c r="BRG36" s="218"/>
      <c r="BRH36" s="218"/>
      <c r="BRI36" s="218"/>
      <c r="BRJ36" s="218"/>
      <c r="BRK36" s="218"/>
      <c r="BRL36" s="218"/>
      <c r="BRM36" s="218"/>
      <c r="BRN36" s="218"/>
      <c r="BRO36" s="218"/>
      <c r="BRP36" s="218"/>
      <c r="BRQ36" s="218"/>
      <c r="BRR36" s="218"/>
      <c r="BRS36" s="218"/>
      <c r="BRT36" s="218"/>
      <c r="BRU36" s="218"/>
      <c r="BRV36" s="218"/>
      <c r="BRW36" s="218"/>
      <c r="BRX36" s="218"/>
      <c r="BRY36" s="218"/>
      <c r="BRZ36" s="218"/>
      <c r="BSA36" s="218"/>
      <c r="BSB36" s="218"/>
      <c r="BSC36" s="218"/>
      <c r="BSD36" s="218"/>
      <c r="BSE36" s="218"/>
      <c r="BSF36" s="218"/>
      <c r="BSG36" s="218"/>
      <c r="BSH36" s="218"/>
      <c r="BSI36" s="218"/>
      <c r="BSJ36" s="218"/>
      <c r="BSK36" s="218"/>
      <c r="BSL36" s="218"/>
      <c r="BSM36" s="218"/>
      <c r="BSN36" s="218"/>
      <c r="BSO36" s="218"/>
      <c r="BSP36" s="218"/>
      <c r="BSQ36" s="218"/>
      <c r="BSR36" s="218"/>
      <c r="BSS36" s="218"/>
      <c r="BST36" s="218"/>
      <c r="BSU36" s="218"/>
      <c r="BSV36" s="218"/>
      <c r="BSW36" s="218"/>
      <c r="BSX36" s="218"/>
      <c r="BSY36" s="218"/>
      <c r="BSZ36" s="218"/>
      <c r="BTA36" s="218"/>
      <c r="BTB36" s="218"/>
      <c r="BTC36" s="218"/>
      <c r="BTD36" s="218"/>
      <c r="BTE36" s="218"/>
      <c r="BTF36" s="218"/>
      <c r="BTG36" s="218"/>
      <c r="BTH36" s="218"/>
      <c r="BTI36" s="218"/>
      <c r="BTJ36" s="218"/>
      <c r="BTK36" s="218"/>
      <c r="BTL36" s="218"/>
      <c r="BTM36" s="218"/>
      <c r="BTN36" s="218"/>
      <c r="BTO36" s="218"/>
      <c r="BTP36" s="218"/>
      <c r="BTQ36" s="218"/>
      <c r="BTR36" s="218"/>
      <c r="BTS36" s="218"/>
      <c r="BTT36" s="218"/>
      <c r="BTU36" s="218"/>
      <c r="BTV36" s="218"/>
      <c r="BTW36" s="218"/>
      <c r="BTX36" s="218"/>
      <c r="BTY36" s="218"/>
      <c r="BTZ36" s="218"/>
      <c r="BUA36" s="218"/>
      <c r="BUB36" s="218"/>
      <c r="BUC36" s="218"/>
      <c r="BUD36" s="218"/>
      <c r="BUE36" s="218"/>
      <c r="BUF36" s="218"/>
      <c r="BUG36" s="218"/>
      <c r="BUH36" s="218"/>
      <c r="BUI36" s="218"/>
      <c r="BUJ36" s="218"/>
      <c r="BUK36" s="218"/>
      <c r="BUL36" s="218"/>
      <c r="BUM36" s="218"/>
      <c r="BUN36" s="218"/>
      <c r="BUO36" s="218"/>
      <c r="BUP36" s="218"/>
      <c r="BUQ36" s="218"/>
      <c r="BUR36" s="218"/>
      <c r="BUS36" s="218"/>
      <c r="BUT36" s="218"/>
      <c r="BUU36" s="218"/>
      <c r="BUV36" s="218"/>
      <c r="BUW36" s="218"/>
      <c r="BUX36" s="218"/>
      <c r="BUY36" s="218"/>
      <c r="BUZ36" s="218"/>
      <c r="BVA36" s="218"/>
      <c r="BVB36" s="218"/>
      <c r="BVC36" s="218"/>
      <c r="BVD36" s="218"/>
      <c r="BVE36" s="218"/>
      <c r="BVF36" s="218"/>
      <c r="BVG36" s="218"/>
      <c r="BVH36" s="218"/>
      <c r="BVI36" s="218"/>
      <c r="BVJ36" s="218"/>
      <c r="BVK36" s="218"/>
      <c r="BVL36" s="218"/>
      <c r="BVM36" s="218"/>
      <c r="BVN36" s="218"/>
      <c r="BVO36" s="218"/>
      <c r="BVP36" s="218"/>
      <c r="BVQ36" s="218"/>
      <c r="BVR36" s="218"/>
      <c r="BVS36" s="218"/>
      <c r="BVT36" s="218"/>
      <c r="BVU36" s="218"/>
      <c r="BVV36" s="218"/>
      <c r="BVW36" s="218"/>
      <c r="BVX36" s="218"/>
      <c r="BVY36" s="218"/>
      <c r="BVZ36" s="218"/>
      <c r="BWA36" s="218"/>
      <c r="BWB36" s="218"/>
      <c r="BWC36" s="218"/>
      <c r="BWD36" s="218"/>
      <c r="BWE36" s="218"/>
      <c r="BWF36" s="218"/>
      <c r="BWG36" s="218"/>
      <c r="BWH36" s="218"/>
      <c r="BWI36" s="218"/>
      <c r="BWJ36" s="218"/>
      <c r="BWK36" s="218"/>
      <c r="BWL36" s="218"/>
      <c r="BWM36" s="218"/>
      <c r="BWN36" s="218"/>
      <c r="BWO36" s="218"/>
      <c r="BWP36" s="218"/>
      <c r="BWQ36" s="218"/>
      <c r="BWR36" s="218"/>
      <c r="BWS36" s="218"/>
      <c r="BWT36" s="218"/>
      <c r="BWU36" s="218"/>
      <c r="BWV36" s="218"/>
      <c r="BWW36" s="218"/>
      <c r="BWX36" s="218"/>
      <c r="BWY36" s="218"/>
      <c r="BWZ36" s="218"/>
      <c r="BXA36" s="218"/>
      <c r="BXB36" s="218"/>
      <c r="BXC36" s="218"/>
      <c r="BXD36" s="218"/>
      <c r="BXE36" s="218"/>
      <c r="BXF36" s="218"/>
      <c r="BXG36" s="218"/>
      <c r="BXH36" s="218"/>
      <c r="BXI36" s="218"/>
      <c r="BXJ36" s="218"/>
      <c r="BXK36" s="218"/>
      <c r="BXL36" s="218"/>
      <c r="BXM36" s="218"/>
      <c r="BXN36" s="218"/>
      <c r="BXO36" s="218"/>
      <c r="BXP36" s="218"/>
      <c r="BXQ36" s="218"/>
      <c r="BXR36" s="218"/>
      <c r="BXS36" s="218"/>
      <c r="BXT36" s="218"/>
      <c r="BXU36" s="218"/>
      <c r="BXV36" s="218"/>
      <c r="BXW36" s="218"/>
      <c r="BXX36" s="218"/>
      <c r="BXY36" s="218"/>
      <c r="BXZ36" s="218"/>
      <c r="BYA36" s="218"/>
      <c r="BYB36" s="218"/>
      <c r="BYC36" s="218"/>
      <c r="BYD36" s="218"/>
      <c r="BYE36" s="218"/>
      <c r="BYF36" s="218"/>
      <c r="BYG36" s="218"/>
      <c r="BYH36" s="218"/>
      <c r="BYI36" s="218"/>
      <c r="BYJ36" s="218"/>
      <c r="BYK36" s="218"/>
      <c r="BYL36" s="218"/>
      <c r="BYM36" s="218"/>
      <c r="BYN36" s="218"/>
      <c r="BYO36" s="218"/>
      <c r="BYP36" s="218"/>
      <c r="BYQ36" s="218"/>
      <c r="BYR36" s="218"/>
      <c r="BYS36" s="218"/>
      <c r="BYT36" s="218"/>
      <c r="BYU36" s="218"/>
      <c r="BYV36" s="218"/>
      <c r="BYW36" s="218"/>
      <c r="BYX36" s="218"/>
      <c r="BYY36" s="218"/>
      <c r="BYZ36" s="218"/>
      <c r="BZA36" s="218"/>
      <c r="BZB36" s="218"/>
      <c r="BZC36" s="218"/>
      <c r="BZD36" s="218"/>
      <c r="BZE36" s="218"/>
      <c r="BZF36" s="218"/>
      <c r="BZG36" s="218"/>
      <c r="BZH36" s="218"/>
      <c r="BZI36" s="218"/>
      <c r="BZJ36" s="218"/>
      <c r="BZK36" s="218"/>
      <c r="BZL36" s="218"/>
      <c r="BZM36" s="218"/>
      <c r="BZN36" s="218"/>
      <c r="BZO36" s="218"/>
      <c r="BZP36" s="218"/>
      <c r="BZQ36" s="218"/>
      <c r="BZR36" s="218"/>
      <c r="BZS36" s="218"/>
      <c r="BZT36" s="218"/>
      <c r="BZU36" s="218"/>
      <c r="BZV36" s="218"/>
      <c r="BZW36" s="218"/>
      <c r="BZX36" s="218"/>
      <c r="BZY36" s="218"/>
      <c r="BZZ36" s="218"/>
      <c r="CAA36" s="218"/>
      <c r="CAB36" s="218"/>
      <c r="CAC36" s="218"/>
      <c r="CAD36" s="218"/>
      <c r="CAE36" s="218"/>
      <c r="CAF36" s="218"/>
      <c r="CAG36" s="218"/>
      <c r="CAH36" s="218"/>
      <c r="CAI36" s="218"/>
      <c r="CAJ36" s="218"/>
      <c r="CAK36" s="218"/>
      <c r="CAL36" s="218"/>
      <c r="CAM36" s="218"/>
      <c r="CAN36" s="218"/>
      <c r="CAO36" s="218"/>
      <c r="CAP36" s="218"/>
      <c r="CAQ36" s="218"/>
      <c r="CAR36" s="218"/>
      <c r="CAS36" s="218"/>
      <c r="CAT36" s="218"/>
      <c r="CAU36" s="218"/>
      <c r="CAV36" s="218"/>
      <c r="CAW36" s="218"/>
      <c r="CAX36" s="218"/>
      <c r="CAY36" s="218"/>
      <c r="CAZ36" s="218"/>
      <c r="CBA36" s="218"/>
      <c r="CBB36" s="218"/>
      <c r="CBC36" s="218"/>
      <c r="CBD36" s="218"/>
      <c r="CBE36" s="218"/>
      <c r="CBF36" s="218"/>
      <c r="CBG36" s="218"/>
      <c r="CBH36" s="218"/>
      <c r="CBI36" s="218"/>
      <c r="CBJ36" s="218"/>
      <c r="CBK36" s="218"/>
      <c r="CBL36" s="218"/>
      <c r="CBM36" s="218"/>
      <c r="CBN36" s="218"/>
      <c r="CBO36" s="218"/>
      <c r="CBP36" s="218"/>
      <c r="CBQ36" s="218"/>
      <c r="CBR36" s="218"/>
      <c r="CBS36" s="218"/>
      <c r="CBT36" s="218"/>
      <c r="CBU36" s="218"/>
      <c r="CBV36" s="218"/>
      <c r="CBW36" s="218"/>
      <c r="CBX36" s="218"/>
      <c r="CBY36" s="218"/>
      <c r="CBZ36" s="218"/>
      <c r="CCA36" s="218"/>
      <c r="CCB36" s="218"/>
      <c r="CCC36" s="218"/>
      <c r="CCD36" s="218"/>
      <c r="CCE36" s="218"/>
      <c r="CCF36" s="218"/>
      <c r="CCG36" s="218"/>
      <c r="CCH36" s="218"/>
      <c r="CCI36" s="218"/>
      <c r="CCJ36" s="218"/>
      <c r="CCK36" s="218"/>
      <c r="CCL36" s="218"/>
      <c r="CCM36" s="218"/>
      <c r="CCN36" s="218"/>
      <c r="CCO36" s="218"/>
      <c r="CCP36" s="218"/>
      <c r="CCQ36" s="218"/>
      <c r="CCR36" s="218"/>
      <c r="CCS36" s="218"/>
      <c r="CCT36" s="218"/>
      <c r="CCU36" s="218"/>
      <c r="CCV36" s="218"/>
      <c r="CCW36" s="218"/>
      <c r="CCX36" s="218"/>
      <c r="CCY36" s="218"/>
      <c r="CCZ36" s="218"/>
      <c r="CDA36" s="218"/>
      <c r="CDB36" s="218"/>
      <c r="CDC36" s="218"/>
      <c r="CDD36" s="218"/>
      <c r="CDE36" s="218"/>
      <c r="CDF36" s="218"/>
      <c r="CDG36" s="218"/>
      <c r="CDH36" s="218"/>
      <c r="CDI36" s="218"/>
      <c r="CDJ36" s="218"/>
      <c r="CDK36" s="218"/>
      <c r="CDL36" s="218"/>
      <c r="CDM36" s="218"/>
      <c r="CDN36" s="218"/>
      <c r="CDO36" s="218"/>
      <c r="CDP36" s="218"/>
      <c r="CDQ36" s="218"/>
      <c r="CDR36" s="218"/>
      <c r="CDS36" s="218"/>
      <c r="CDT36" s="218"/>
      <c r="CDU36" s="218"/>
      <c r="CDV36" s="218"/>
      <c r="CDW36" s="218"/>
      <c r="CDX36" s="218"/>
      <c r="CDY36" s="218"/>
      <c r="CDZ36" s="218"/>
      <c r="CEA36" s="218"/>
      <c r="CEB36" s="218"/>
      <c r="CEC36" s="218"/>
      <c r="CED36" s="218"/>
      <c r="CEE36" s="218"/>
      <c r="CEF36" s="218"/>
      <c r="CEG36" s="218"/>
      <c r="CEH36" s="218"/>
      <c r="CEI36" s="218"/>
      <c r="CEJ36" s="218"/>
      <c r="CEK36" s="218"/>
      <c r="CEL36" s="218"/>
      <c r="CEM36" s="218"/>
      <c r="CEN36" s="218"/>
      <c r="CEO36" s="218"/>
      <c r="CEP36" s="218"/>
      <c r="CEQ36" s="218"/>
      <c r="CER36" s="218"/>
      <c r="CES36" s="218"/>
      <c r="CET36" s="218"/>
      <c r="CEU36" s="218"/>
      <c r="CEV36" s="218"/>
      <c r="CEW36" s="218"/>
      <c r="CEX36" s="218"/>
      <c r="CEY36" s="218"/>
      <c r="CEZ36" s="218"/>
      <c r="CFA36" s="218"/>
      <c r="CFB36" s="218"/>
      <c r="CFC36" s="218"/>
      <c r="CFD36" s="218"/>
      <c r="CFE36" s="218"/>
      <c r="CFF36" s="218"/>
      <c r="CFG36" s="218"/>
      <c r="CFH36" s="218"/>
      <c r="CFI36" s="218"/>
      <c r="CFJ36" s="218"/>
      <c r="CFK36" s="218"/>
      <c r="CFL36" s="218"/>
      <c r="CFM36" s="218"/>
      <c r="CFN36" s="218"/>
      <c r="CFO36" s="218"/>
      <c r="CFP36" s="218"/>
      <c r="CFQ36" s="218"/>
      <c r="CFR36" s="218"/>
      <c r="CFS36" s="218"/>
      <c r="CFT36" s="218"/>
      <c r="CFU36" s="218"/>
      <c r="CFV36" s="218"/>
      <c r="CFW36" s="218"/>
      <c r="CFX36" s="218"/>
      <c r="CFY36" s="218"/>
      <c r="CFZ36" s="218"/>
      <c r="CGA36" s="218"/>
      <c r="CGB36" s="218"/>
      <c r="CGC36" s="218"/>
      <c r="CGD36" s="218"/>
      <c r="CGE36" s="218"/>
      <c r="CGF36" s="218"/>
      <c r="CGG36" s="218"/>
      <c r="CGH36" s="218"/>
      <c r="CGI36" s="218"/>
      <c r="CGJ36" s="218"/>
      <c r="CGK36" s="218"/>
      <c r="CGL36" s="218"/>
      <c r="CGM36" s="218"/>
      <c r="CGN36" s="218"/>
      <c r="CGO36" s="218"/>
      <c r="CGP36" s="218"/>
      <c r="CGQ36" s="218"/>
      <c r="CGR36" s="218"/>
      <c r="CGS36" s="218"/>
      <c r="CGT36" s="218"/>
      <c r="CGU36" s="218"/>
      <c r="CGV36" s="218"/>
      <c r="CGW36" s="218"/>
      <c r="CGX36" s="218"/>
      <c r="CGY36" s="218"/>
      <c r="CGZ36" s="218"/>
      <c r="CHA36" s="218"/>
      <c r="CHB36" s="218"/>
      <c r="CHC36" s="218"/>
      <c r="CHD36" s="218"/>
      <c r="CHE36" s="218"/>
      <c r="CHF36" s="218"/>
      <c r="CHG36" s="218"/>
      <c r="CHH36" s="218"/>
      <c r="CHI36" s="218"/>
      <c r="CHJ36" s="218"/>
      <c r="CHK36" s="218"/>
      <c r="CHL36" s="218"/>
      <c r="CHM36" s="218"/>
      <c r="CHN36" s="218"/>
      <c r="CHO36" s="218"/>
      <c r="CHP36" s="218"/>
      <c r="CHQ36" s="218"/>
      <c r="CHR36" s="218"/>
      <c r="CHS36" s="218"/>
      <c r="CHT36" s="218"/>
      <c r="CHU36" s="218"/>
      <c r="CHV36" s="218"/>
      <c r="CHW36" s="218"/>
      <c r="CHX36" s="218"/>
      <c r="CHY36" s="218"/>
      <c r="CHZ36" s="218"/>
      <c r="CIA36" s="218"/>
      <c r="CIB36" s="218"/>
      <c r="CIC36" s="218"/>
      <c r="CID36" s="218"/>
      <c r="CIE36" s="218"/>
      <c r="CIF36" s="218"/>
      <c r="CIG36" s="218"/>
      <c r="CIH36" s="218"/>
      <c r="CII36" s="218"/>
      <c r="CIJ36" s="218"/>
      <c r="CIK36" s="218"/>
      <c r="CIL36" s="218"/>
      <c r="CIM36" s="218"/>
      <c r="CIN36" s="218"/>
      <c r="CIO36" s="218"/>
      <c r="CIP36" s="218"/>
      <c r="CIQ36" s="218"/>
      <c r="CIR36" s="218"/>
      <c r="CIS36" s="218"/>
      <c r="CIT36" s="218"/>
      <c r="CIU36" s="218"/>
      <c r="CIV36" s="218"/>
      <c r="CIW36" s="218"/>
      <c r="CIX36" s="218"/>
      <c r="CIY36" s="218"/>
      <c r="CIZ36" s="218"/>
      <c r="CJA36" s="218"/>
      <c r="CJB36" s="218"/>
      <c r="CJC36" s="218"/>
      <c r="CJD36" s="218"/>
      <c r="CJE36" s="218"/>
      <c r="CJF36" s="218"/>
      <c r="CJG36" s="218"/>
      <c r="CJH36" s="218"/>
      <c r="CJI36" s="218"/>
      <c r="CJJ36" s="218"/>
      <c r="CJK36" s="218"/>
      <c r="CJL36" s="218"/>
      <c r="CJM36" s="218"/>
      <c r="CJN36" s="218"/>
      <c r="CJO36" s="218"/>
      <c r="CJP36" s="218"/>
      <c r="CJQ36" s="218"/>
      <c r="CJR36" s="218"/>
      <c r="CJS36" s="218"/>
      <c r="CJT36" s="218"/>
      <c r="CJU36" s="218"/>
      <c r="CJV36" s="218"/>
      <c r="CJW36" s="218"/>
      <c r="CJX36" s="218"/>
      <c r="CJY36" s="218"/>
      <c r="CJZ36" s="218"/>
      <c r="CKA36" s="218"/>
      <c r="CKB36" s="218"/>
      <c r="CKC36" s="218"/>
      <c r="CKD36" s="218"/>
      <c r="CKE36" s="218"/>
      <c r="CKF36" s="218"/>
      <c r="CKG36" s="218"/>
      <c r="CKH36" s="218"/>
      <c r="CKI36" s="218"/>
      <c r="CKJ36" s="218"/>
      <c r="CKK36" s="218"/>
      <c r="CKL36" s="218"/>
      <c r="CKM36" s="218"/>
      <c r="CKN36" s="218"/>
      <c r="CKO36" s="218"/>
      <c r="CKP36" s="218"/>
      <c r="CKQ36" s="218"/>
      <c r="CKR36" s="218"/>
      <c r="CKS36" s="218"/>
      <c r="CKT36" s="218"/>
      <c r="CKU36" s="218"/>
      <c r="CKV36" s="218"/>
      <c r="CKW36" s="218"/>
      <c r="CKX36" s="218"/>
      <c r="CKY36" s="218"/>
      <c r="CKZ36" s="218"/>
      <c r="CLA36" s="218"/>
      <c r="CLB36" s="218"/>
      <c r="CLC36" s="218"/>
      <c r="CLD36" s="218"/>
      <c r="CLE36" s="218"/>
      <c r="CLF36" s="218"/>
      <c r="CLG36" s="218"/>
      <c r="CLH36" s="218"/>
      <c r="CLI36" s="218"/>
      <c r="CLJ36" s="218"/>
      <c r="CLK36" s="218"/>
      <c r="CLL36" s="218"/>
      <c r="CLM36" s="218"/>
      <c r="CLN36" s="218"/>
      <c r="CLO36" s="218"/>
      <c r="CLP36" s="218"/>
      <c r="CLQ36" s="218"/>
      <c r="CLR36" s="218"/>
      <c r="CLS36" s="218"/>
      <c r="CLT36" s="218"/>
      <c r="CLU36" s="218"/>
      <c r="CLV36" s="218"/>
      <c r="CLW36" s="218"/>
      <c r="CLX36" s="218"/>
      <c r="CLY36" s="218"/>
      <c r="CLZ36" s="218"/>
      <c r="CMA36" s="218"/>
      <c r="CMB36" s="218"/>
      <c r="CMC36" s="218"/>
      <c r="CMD36" s="218"/>
      <c r="CME36" s="218"/>
      <c r="CMF36" s="218"/>
      <c r="CMG36" s="218"/>
      <c r="CMH36" s="218"/>
      <c r="CMI36" s="218"/>
      <c r="CMJ36" s="218"/>
      <c r="CMK36" s="218"/>
      <c r="CML36" s="218"/>
      <c r="CMM36" s="218"/>
      <c r="CMN36" s="218"/>
      <c r="CMO36" s="218"/>
      <c r="CMP36" s="218"/>
      <c r="CMQ36" s="218"/>
      <c r="CMR36" s="218"/>
      <c r="CMS36" s="218"/>
      <c r="CMT36" s="218"/>
      <c r="CMU36" s="218"/>
      <c r="CMV36" s="218"/>
      <c r="CMW36" s="218"/>
      <c r="CMX36" s="218"/>
      <c r="CMY36" s="218"/>
      <c r="CMZ36" s="218"/>
      <c r="CNA36" s="218"/>
      <c r="CNB36" s="218"/>
      <c r="CNC36" s="218"/>
      <c r="CND36" s="218"/>
      <c r="CNE36" s="218"/>
      <c r="CNF36" s="218"/>
      <c r="CNG36" s="218"/>
      <c r="CNH36" s="218"/>
      <c r="CNI36" s="218"/>
      <c r="CNJ36" s="218"/>
      <c r="CNK36" s="218"/>
      <c r="CNL36" s="218"/>
      <c r="CNM36" s="218"/>
      <c r="CNN36" s="218"/>
      <c r="CNO36" s="218"/>
      <c r="CNP36" s="218"/>
      <c r="CNQ36" s="218"/>
      <c r="CNR36" s="218"/>
      <c r="CNS36" s="218"/>
      <c r="CNT36" s="218"/>
      <c r="CNU36" s="218"/>
      <c r="CNV36" s="218"/>
      <c r="CNW36" s="218"/>
      <c r="CNX36" s="218"/>
      <c r="CNY36" s="218"/>
      <c r="CNZ36" s="218"/>
      <c r="COA36" s="218"/>
      <c r="COB36" s="218"/>
      <c r="COC36" s="218"/>
      <c r="COD36" s="218"/>
      <c r="COE36" s="218"/>
      <c r="COF36" s="218"/>
      <c r="COG36" s="218"/>
      <c r="COH36" s="218"/>
      <c r="COI36" s="218"/>
      <c r="COJ36" s="218"/>
      <c r="COK36" s="218"/>
      <c r="COL36" s="218"/>
      <c r="COM36" s="218"/>
      <c r="CON36" s="218"/>
      <c r="COO36" s="218"/>
      <c r="COP36" s="218"/>
      <c r="COQ36" s="218"/>
      <c r="COR36" s="218"/>
      <c r="COS36" s="218"/>
      <c r="COT36" s="218"/>
      <c r="COU36" s="218"/>
      <c r="COV36" s="218"/>
      <c r="COW36" s="218"/>
      <c r="COX36" s="218"/>
      <c r="COY36" s="218"/>
      <c r="COZ36" s="218"/>
      <c r="CPA36" s="218"/>
      <c r="CPB36" s="218"/>
      <c r="CPC36" s="218"/>
      <c r="CPD36" s="218"/>
      <c r="CPE36" s="218"/>
      <c r="CPF36" s="218"/>
      <c r="CPG36" s="218"/>
      <c r="CPH36" s="218"/>
      <c r="CPI36" s="218"/>
      <c r="CPJ36" s="218"/>
      <c r="CPK36" s="218"/>
      <c r="CPL36" s="218"/>
      <c r="CPM36" s="218"/>
      <c r="CPN36" s="218"/>
      <c r="CPO36" s="218"/>
      <c r="CPP36" s="218"/>
      <c r="CPQ36" s="218"/>
      <c r="CPR36" s="218"/>
      <c r="CPS36" s="218"/>
      <c r="CPT36" s="218"/>
      <c r="CPU36" s="218"/>
      <c r="CPV36" s="218"/>
      <c r="CPW36" s="218"/>
      <c r="CPX36" s="218"/>
      <c r="CPY36" s="218"/>
      <c r="CPZ36" s="218"/>
      <c r="CQA36" s="218"/>
      <c r="CQB36" s="218"/>
      <c r="CQC36" s="218"/>
      <c r="CQD36" s="218"/>
      <c r="CQE36" s="218"/>
      <c r="CQF36" s="218"/>
      <c r="CQG36" s="218"/>
      <c r="CQH36" s="218"/>
      <c r="CQI36" s="218"/>
      <c r="CQJ36" s="218"/>
      <c r="CQK36" s="218"/>
      <c r="CQL36" s="218"/>
      <c r="CQM36" s="218"/>
      <c r="CQN36" s="218"/>
      <c r="CQO36" s="218"/>
      <c r="CQP36" s="218"/>
      <c r="CQQ36" s="218"/>
      <c r="CQR36" s="218"/>
      <c r="CQS36" s="218"/>
      <c r="CQT36" s="218"/>
      <c r="CQU36" s="218"/>
      <c r="CQV36" s="218"/>
      <c r="CQW36" s="218"/>
      <c r="CQX36" s="218"/>
      <c r="CQY36" s="218"/>
      <c r="CQZ36" s="218"/>
      <c r="CRA36" s="218"/>
      <c r="CRB36" s="218"/>
      <c r="CRC36" s="218"/>
      <c r="CRD36" s="218"/>
      <c r="CRE36" s="218"/>
      <c r="CRF36" s="218"/>
      <c r="CRG36" s="218"/>
      <c r="CRH36" s="218"/>
      <c r="CRI36" s="218"/>
      <c r="CRJ36" s="218"/>
      <c r="CRK36" s="218"/>
      <c r="CRL36" s="218"/>
      <c r="CRM36" s="218"/>
      <c r="CRN36" s="218"/>
      <c r="CRO36" s="218"/>
      <c r="CRP36" s="218"/>
      <c r="CRQ36" s="218"/>
      <c r="CRR36" s="218"/>
      <c r="CRS36" s="218"/>
      <c r="CRT36" s="218"/>
      <c r="CRU36" s="218"/>
      <c r="CRV36" s="218"/>
      <c r="CRW36" s="218"/>
      <c r="CRX36" s="218"/>
      <c r="CRY36" s="218"/>
      <c r="CRZ36" s="218"/>
      <c r="CSA36" s="218"/>
      <c r="CSB36" s="218"/>
      <c r="CSC36" s="218"/>
      <c r="CSD36" s="218"/>
      <c r="CSE36" s="218"/>
      <c r="CSF36" s="218"/>
      <c r="CSG36" s="218"/>
      <c r="CSH36" s="218"/>
      <c r="CSI36" s="218"/>
      <c r="CSJ36" s="218"/>
      <c r="CSK36" s="218"/>
      <c r="CSL36" s="218"/>
      <c r="CSM36" s="218"/>
      <c r="CSN36" s="218"/>
      <c r="CSO36" s="218"/>
      <c r="CSP36" s="218"/>
      <c r="CSQ36" s="218"/>
      <c r="CSR36" s="218"/>
      <c r="CSS36" s="218"/>
      <c r="CST36" s="218"/>
      <c r="CSU36" s="218"/>
      <c r="CSV36" s="218"/>
      <c r="CSW36" s="218"/>
      <c r="CSX36" s="218"/>
      <c r="CSY36" s="218"/>
      <c r="CSZ36" s="218"/>
      <c r="CTA36" s="218"/>
      <c r="CTB36" s="218"/>
      <c r="CTC36" s="218"/>
      <c r="CTD36" s="218"/>
      <c r="CTE36" s="218"/>
      <c r="CTF36" s="218"/>
      <c r="CTG36" s="218"/>
      <c r="CTH36" s="218"/>
      <c r="CTI36" s="218"/>
      <c r="CTJ36" s="218"/>
      <c r="CTK36" s="218"/>
      <c r="CTL36" s="218"/>
      <c r="CTM36" s="218"/>
      <c r="CTN36" s="218"/>
      <c r="CTO36" s="218"/>
      <c r="CTP36" s="218"/>
      <c r="CTQ36" s="218"/>
      <c r="CTR36" s="218"/>
      <c r="CTS36" s="218"/>
      <c r="CTT36" s="218"/>
      <c r="CTU36" s="218"/>
      <c r="CTV36" s="218"/>
      <c r="CTW36" s="218"/>
      <c r="CTX36" s="218"/>
      <c r="CTY36" s="218"/>
      <c r="CTZ36" s="218"/>
      <c r="CUA36" s="218"/>
      <c r="CUB36" s="218"/>
      <c r="CUC36" s="218"/>
      <c r="CUD36" s="218"/>
      <c r="CUE36" s="218"/>
      <c r="CUF36" s="218"/>
      <c r="CUG36" s="218"/>
      <c r="CUH36" s="218"/>
      <c r="CUI36" s="218"/>
      <c r="CUJ36" s="218"/>
      <c r="CUK36" s="218"/>
      <c r="CUL36" s="218"/>
      <c r="CUM36" s="218"/>
      <c r="CUN36" s="218"/>
      <c r="CUO36" s="218"/>
      <c r="CUP36" s="218"/>
      <c r="CUQ36" s="218"/>
      <c r="CUR36" s="218"/>
      <c r="CUS36" s="218"/>
      <c r="CUT36" s="218"/>
      <c r="CUU36" s="218"/>
      <c r="CUV36" s="218"/>
      <c r="CUW36" s="218"/>
      <c r="CUX36" s="218"/>
      <c r="CUY36" s="218"/>
      <c r="CUZ36" s="218"/>
      <c r="CVA36" s="218"/>
      <c r="CVB36" s="218"/>
      <c r="CVC36" s="218"/>
      <c r="CVD36" s="218"/>
      <c r="CVE36" s="218"/>
      <c r="CVF36" s="218"/>
      <c r="CVG36" s="218"/>
      <c r="CVH36" s="218"/>
      <c r="CVI36" s="218"/>
      <c r="CVJ36" s="218"/>
      <c r="CVK36" s="218"/>
      <c r="CVL36" s="218"/>
      <c r="CVM36" s="218"/>
      <c r="CVN36" s="218"/>
      <c r="CVO36" s="218"/>
      <c r="CVP36" s="218"/>
      <c r="CVQ36" s="218"/>
      <c r="CVR36" s="218"/>
      <c r="CVS36" s="218"/>
      <c r="CVT36" s="218"/>
      <c r="CVU36" s="218"/>
      <c r="CVV36" s="218"/>
      <c r="CVW36" s="218"/>
      <c r="CVX36" s="218"/>
      <c r="CVY36" s="218"/>
      <c r="CVZ36" s="218"/>
      <c r="CWA36" s="218"/>
      <c r="CWB36" s="218"/>
      <c r="CWC36" s="218"/>
      <c r="CWD36" s="218"/>
      <c r="CWE36" s="218"/>
      <c r="CWF36" s="218"/>
      <c r="CWG36" s="218"/>
      <c r="CWH36" s="218"/>
      <c r="CWI36" s="218"/>
      <c r="CWJ36" s="218"/>
      <c r="CWK36" s="218"/>
      <c r="CWL36" s="218"/>
      <c r="CWM36" s="218"/>
      <c r="CWN36" s="218"/>
      <c r="CWO36" s="218"/>
      <c r="CWP36" s="218"/>
      <c r="CWQ36" s="218"/>
      <c r="CWR36" s="218"/>
      <c r="CWS36" s="218"/>
      <c r="CWT36" s="218"/>
      <c r="CWU36" s="218"/>
      <c r="CWV36" s="218"/>
      <c r="CWW36" s="218"/>
      <c r="CWX36" s="218"/>
      <c r="CWY36" s="218"/>
      <c r="CWZ36" s="218"/>
      <c r="CXA36" s="218"/>
      <c r="CXB36" s="218"/>
      <c r="CXC36" s="218"/>
      <c r="CXD36" s="218"/>
      <c r="CXE36" s="218"/>
      <c r="CXF36" s="218"/>
      <c r="CXG36" s="218"/>
      <c r="CXH36" s="218"/>
      <c r="CXI36" s="218"/>
      <c r="CXJ36" s="218"/>
      <c r="CXK36" s="218"/>
      <c r="CXL36" s="218"/>
      <c r="CXM36" s="218"/>
      <c r="CXN36" s="218"/>
      <c r="CXO36" s="218"/>
      <c r="CXP36" s="218"/>
      <c r="CXQ36" s="218"/>
      <c r="CXR36" s="218"/>
      <c r="CXS36" s="218"/>
      <c r="CXT36" s="218"/>
      <c r="CXU36" s="218"/>
      <c r="CXV36" s="218"/>
      <c r="CXW36" s="218"/>
      <c r="CXX36" s="218"/>
      <c r="CXY36" s="218"/>
      <c r="CXZ36" s="218"/>
      <c r="CYA36" s="218"/>
      <c r="CYB36" s="218"/>
      <c r="CYC36" s="218"/>
      <c r="CYD36" s="218"/>
      <c r="CYE36" s="218"/>
      <c r="CYF36" s="218"/>
      <c r="CYG36" s="218"/>
      <c r="CYH36" s="218"/>
      <c r="CYI36" s="218"/>
      <c r="CYJ36" s="218"/>
      <c r="CYK36" s="218"/>
      <c r="CYL36" s="218"/>
      <c r="CYM36" s="218"/>
      <c r="CYN36" s="218"/>
      <c r="CYO36" s="218"/>
      <c r="CYP36" s="218"/>
      <c r="CYQ36" s="218"/>
      <c r="CYR36" s="218"/>
      <c r="CYS36" s="218"/>
      <c r="CYT36" s="218"/>
      <c r="CYU36" s="218"/>
      <c r="CYV36" s="218"/>
      <c r="CYW36" s="218"/>
      <c r="CYX36" s="218"/>
      <c r="CYY36" s="218"/>
      <c r="CYZ36" s="218"/>
      <c r="CZA36" s="218"/>
      <c r="CZB36" s="218"/>
      <c r="CZC36" s="218"/>
      <c r="CZD36" s="218"/>
      <c r="CZE36" s="218"/>
      <c r="CZF36" s="218"/>
      <c r="CZG36" s="218"/>
      <c r="CZH36" s="218"/>
      <c r="CZI36" s="218"/>
      <c r="CZJ36" s="218"/>
      <c r="CZK36" s="218"/>
      <c r="CZL36" s="218"/>
      <c r="CZM36" s="218"/>
      <c r="CZN36" s="218"/>
      <c r="CZO36" s="218"/>
      <c r="CZP36" s="218"/>
      <c r="CZQ36" s="218"/>
      <c r="CZR36" s="218"/>
      <c r="CZS36" s="218"/>
      <c r="CZT36" s="218"/>
      <c r="CZU36" s="218"/>
      <c r="CZV36" s="218"/>
      <c r="CZW36" s="218"/>
      <c r="CZX36" s="218"/>
      <c r="CZY36" s="218"/>
      <c r="CZZ36" s="218"/>
      <c r="DAA36" s="218"/>
      <c r="DAB36" s="218"/>
      <c r="DAC36" s="218"/>
      <c r="DAD36" s="218"/>
      <c r="DAE36" s="218"/>
      <c r="DAF36" s="218"/>
      <c r="DAG36" s="218"/>
      <c r="DAH36" s="218"/>
      <c r="DAI36" s="218"/>
      <c r="DAJ36" s="218"/>
      <c r="DAK36" s="218"/>
      <c r="DAL36" s="218"/>
      <c r="DAM36" s="218"/>
      <c r="DAN36" s="218"/>
      <c r="DAO36" s="218"/>
      <c r="DAP36" s="218"/>
      <c r="DAQ36" s="218"/>
      <c r="DAR36" s="218"/>
      <c r="DAS36" s="218"/>
      <c r="DAT36" s="218"/>
      <c r="DAU36" s="218"/>
      <c r="DAV36" s="218"/>
      <c r="DAW36" s="218"/>
      <c r="DAX36" s="218"/>
      <c r="DAY36" s="218"/>
      <c r="DAZ36" s="218"/>
      <c r="DBA36" s="218"/>
      <c r="DBB36" s="218"/>
      <c r="DBC36" s="218"/>
      <c r="DBD36" s="218"/>
      <c r="DBE36" s="218"/>
      <c r="DBF36" s="218"/>
      <c r="DBG36" s="218"/>
      <c r="DBH36" s="218"/>
      <c r="DBI36" s="218"/>
      <c r="DBJ36" s="218"/>
      <c r="DBK36" s="218"/>
      <c r="DBL36" s="218"/>
      <c r="DBM36" s="218"/>
      <c r="DBN36" s="218"/>
      <c r="DBO36" s="218"/>
      <c r="DBP36" s="218"/>
      <c r="DBQ36" s="218"/>
      <c r="DBR36" s="218"/>
      <c r="DBS36" s="218"/>
      <c r="DBT36" s="218"/>
      <c r="DBU36" s="218"/>
      <c r="DBV36" s="218"/>
      <c r="DBW36" s="218"/>
      <c r="DBX36" s="218"/>
      <c r="DBY36" s="218"/>
      <c r="DBZ36" s="218"/>
      <c r="DCA36" s="218"/>
      <c r="DCB36" s="218"/>
      <c r="DCC36" s="218"/>
      <c r="DCD36" s="218"/>
      <c r="DCE36" s="218"/>
      <c r="DCF36" s="218"/>
      <c r="DCG36" s="218"/>
      <c r="DCH36" s="218"/>
      <c r="DCI36" s="218"/>
      <c r="DCJ36" s="218"/>
      <c r="DCK36" s="218"/>
      <c r="DCL36" s="218"/>
      <c r="DCM36" s="218"/>
      <c r="DCN36" s="218"/>
      <c r="DCO36" s="218"/>
      <c r="DCP36" s="218"/>
      <c r="DCQ36" s="218"/>
      <c r="DCR36" s="218"/>
      <c r="DCS36" s="218"/>
      <c r="DCT36" s="218"/>
      <c r="DCU36" s="218"/>
      <c r="DCV36" s="218"/>
      <c r="DCW36" s="218"/>
      <c r="DCX36" s="218"/>
      <c r="DCY36" s="218"/>
      <c r="DCZ36" s="218"/>
      <c r="DDA36" s="218"/>
      <c r="DDB36" s="218"/>
      <c r="DDC36" s="218"/>
      <c r="DDD36" s="218"/>
      <c r="DDE36" s="218"/>
      <c r="DDF36" s="218"/>
      <c r="DDG36" s="218"/>
      <c r="DDH36" s="218"/>
      <c r="DDI36" s="218"/>
      <c r="DDJ36" s="218"/>
      <c r="DDK36" s="218"/>
      <c r="DDL36" s="218"/>
      <c r="DDM36" s="218"/>
      <c r="DDN36" s="218"/>
      <c r="DDO36" s="218"/>
      <c r="DDP36" s="218"/>
      <c r="DDQ36" s="218"/>
      <c r="DDR36" s="218"/>
      <c r="DDS36" s="218"/>
      <c r="DDT36" s="218"/>
      <c r="DDU36" s="218"/>
      <c r="DDV36" s="218"/>
      <c r="DDW36" s="218"/>
      <c r="DDX36" s="218"/>
      <c r="DDY36" s="218"/>
      <c r="DDZ36" s="218"/>
      <c r="DEA36" s="218"/>
      <c r="DEB36" s="218"/>
      <c r="DEC36" s="218"/>
      <c r="DED36" s="218"/>
      <c r="DEE36" s="218"/>
      <c r="DEF36" s="218"/>
      <c r="DEG36" s="218"/>
      <c r="DEH36" s="218"/>
      <c r="DEI36" s="218"/>
      <c r="DEJ36" s="218"/>
      <c r="DEK36" s="218"/>
      <c r="DEL36" s="218"/>
      <c r="DEM36" s="218"/>
      <c r="DEN36" s="218"/>
      <c r="DEO36" s="218"/>
      <c r="DEP36" s="218"/>
      <c r="DEQ36" s="218"/>
      <c r="DER36" s="218"/>
      <c r="DES36" s="218"/>
      <c r="DET36" s="218"/>
      <c r="DEU36" s="218"/>
      <c r="DEV36" s="218"/>
      <c r="DEW36" s="218"/>
      <c r="DEX36" s="218"/>
      <c r="DEY36" s="218"/>
      <c r="DEZ36" s="218"/>
      <c r="DFA36" s="218"/>
      <c r="DFB36" s="218"/>
      <c r="DFC36" s="218"/>
      <c r="DFD36" s="218"/>
      <c r="DFE36" s="218"/>
      <c r="DFF36" s="218"/>
      <c r="DFG36" s="218"/>
      <c r="DFH36" s="218"/>
      <c r="DFI36" s="218"/>
      <c r="DFJ36" s="218"/>
      <c r="DFK36" s="218"/>
      <c r="DFL36" s="218"/>
      <c r="DFM36" s="218"/>
      <c r="DFN36" s="218"/>
      <c r="DFO36" s="218"/>
      <c r="DFP36" s="218"/>
      <c r="DFQ36" s="218"/>
      <c r="DFR36" s="218"/>
      <c r="DFS36" s="218"/>
      <c r="DFT36" s="218"/>
      <c r="DFU36" s="218"/>
      <c r="DFV36" s="218"/>
      <c r="DFW36" s="218"/>
      <c r="DFX36" s="218"/>
      <c r="DFY36" s="218"/>
      <c r="DFZ36" s="218"/>
      <c r="DGA36" s="218"/>
      <c r="DGB36" s="218"/>
      <c r="DGC36" s="218"/>
      <c r="DGD36" s="218"/>
      <c r="DGE36" s="218"/>
      <c r="DGF36" s="218"/>
      <c r="DGG36" s="218"/>
      <c r="DGH36" s="218"/>
      <c r="DGI36" s="218"/>
      <c r="DGJ36" s="218"/>
      <c r="DGK36" s="218"/>
      <c r="DGL36" s="218"/>
      <c r="DGM36" s="218"/>
      <c r="DGN36" s="218"/>
      <c r="DGO36" s="218"/>
      <c r="DGP36" s="218"/>
      <c r="DGQ36" s="218"/>
      <c r="DGR36" s="218"/>
      <c r="DGS36" s="218"/>
      <c r="DGT36" s="218"/>
      <c r="DGU36" s="218"/>
      <c r="DGV36" s="218"/>
      <c r="DGW36" s="218"/>
      <c r="DGX36" s="218"/>
      <c r="DGY36" s="218"/>
      <c r="DGZ36" s="218"/>
      <c r="DHA36" s="218"/>
      <c r="DHB36" s="218"/>
      <c r="DHC36" s="218"/>
      <c r="DHD36" s="218"/>
      <c r="DHE36" s="218"/>
      <c r="DHF36" s="218"/>
      <c r="DHG36" s="218"/>
      <c r="DHH36" s="218"/>
      <c r="DHI36" s="218"/>
      <c r="DHJ36" s="218"/>
      <c r="DHK36" s="218"/>
      <c r="DHL36" s="218"/>
      <c r="DHM36" s="218"/>
      <c r="DHN36" s="218"/>
      <c r="DHO36" s="218"/>
      <c r="DHP36" s="218"/>
      <c r="DHQ36" s="218"/>
      <c r="DHR36" s="218"/>
      <c r="DHS36" s="218"/>
      <c r="DHT36" s="218"/>
      <c r="DHU36" s="218"/>
      <c r="DHV36" s="218"/>
      <c r="DHW36" s="218"/>
      <c r="DHX36" s="218"/>
      <c r="DHY36" s="218"/>
      <c r="DHZ36" s="218"/>
      <c r="DIA36" s="218"/>
      <c r="DIB36" s="218"/>
      <c r="DIC36" s="218"/>
      <c r="DID36" s="218"/>
      <c r="DIE36" s="218"/>
      <c r="DIF36" s="218"/>
      <c r="DIG36" s="218"/>
      <c r="DIH36" s="218"/>
      <c r="DII36" s="218"/>
      <c r="DIJ36" s="218"/>
      <c r="DIK36" s="218"/>
      <c r="DIL36" s="218"/>
      <c r="DIM36" s="218"/>
      <c r="DIN36" s="218"/>
      <c r="DIO36" s="218"/>
      <c r="DIP36" s="218"/>
      <c r="DIQ36" s="218"/>
      <c r="DIR36" s="218"/>
      <c r="DIS36" s="218"/>
      <c r="DIT36" s="218"/>
      <c r="DIU36" s="218"/>
      <c r="DIV36" s="218"/>
      <c r="DIW36" s="218"/>
      <c r="DIX36" s="218"/>
      <c r="DIY36" s="218"/>
      <c r="DIZ36" s="218"/>
      <c r="DJA36" s="218"/>
      <c r="DJB36" s="218"/>
      <c r="DJC36" s="218"/>
      <c r="DJD36" s="218"/>
      <c r="DJE36" s="218"/>
      <c r="DJF36" s="218"/>
      <c r="DJG36" s="218"/>
      <c r="DJH36" s="218"/>
      <c r="DJI36" s="218"/>
      <c r="DJJ36" s="218"/>
      <c r="DJK36" s="218"/>
      <c r="DJL36" s="218"/>
      <c r="DJM36" s="218"/>
      <c r="DJN36" s="218"/>
      <c r="DJO36" s="218"/>
      <c r="DJP36" s="218"/>
      <c r="DJQ36" s="218"/>
      <c r="DJR36" s="218"/>
      <c r="DJS36" s="218"/>
      <c r="DJT36" s="218"/>
      <c r="DJU36" s="218"/>
      <c r="DJV36" s="218"/>
      <c r="DJW36" s="218"/>
      <c r="DJX36" s="218"/>
      <c r="DJY36" s="218"/>
      <c r="DJZ36" s="218"/>
      <c r="DKA36" s="218"/>
      <c r="DKB36" s="218"/>
      <c r="DKC36" s="218"/>
      <c r="DKD36" s="218"/>
      <c r="DKE36" s="218"/>
      <c r="DKF36" s="218"/>
      <c r="DKG36" s="218"/>
      <c r="DKH36" s="218"/>
      <c r="DKI36" s="218"/>
      <c r="DKJ36" s="218"/>
      <c r="DKK36" s="218"/>
      <c r="DKL36" s="218"/>
      <c r="DKM36" s="218"/>
      <c r="DKN36" s="218"/>
      <c r="DKO36" s="218"/>
      <c r="DKP36" s="218"/>
      <c r="DKQ36" s="218"/>
      <c r="DKR36" s="218"/>
      <c r="DKS36" s="218"/>
      <c r="DKT36" s="218"/>
      <c r="DKU36" s="218"/>
      <c r="DKV36" s="218"/>
      <c r="DKW36" s="218"/>
      <c r="DKX36" s="218"/>
      <c r="DKY36" s="218"/>
      <c r="DKZ36" s="218"/>
      <c r="DLA36" s="218"/>
      <c r="DLB36" s="218"/>
      <c r="DLC36" s="218"/>
      <c r="DLD36" s="218"/>
      <c r="DLE36" s="218"/>
      <c r="DLF36" s="218"/>
      <c r="DLG36" s="218"/>
      <c r="DLH36" s="218"/>
      <c r="DLI36" s="218"/>
      <c r="DLJ36" s="218"/>
      <c r="DLK36" s="218"/>
      <c r="DLL36" s="218"/>
      <c r="DLM36" s="218"/>
      <c r="DLN36" s="218"/>
      <c r="DLO36" s="218"/>
      <c r="DLP36" s="218"/>
      <c r="DLQ36" s="218"/>
      <c r="DLR36" s="218"/>
      <c r="DLS36" s="218"/>
      <c r="DLT36" s="218"/>
      <c r="DLU36" s="218"/>
      <c r="DLV36" s="218"/>
      <c r="DLW36" s="218"/>
      <c r="DLX36" s="218"/>
      <c r="DLY36" s="218"/>
      <c r="DLZ36" s="218"/>
      <c r="DMA36" s="218"/>
      <c r="DMB36" s="218"/>
      <c r="DMC36" s="218"/>
      <c r="DMD36" s="218"/>
      <c r="DME36" s="218"/>
      <c r="DMF36" s="218"/>
      <c r="DMG36" s="218"/>
      <c r="DMH36" s="218"/>
      <c r="DMI36" s="218"/>
      <c r="DMJ36" s="218"/>
      <c r="DMK36" s="218"/>
      <c r="DML36" s="218"/>
      <c r="DMM36" s="218"/>
      <c r="DMN36" s="218"/>
      <c r="DMO36" s="218"/>
      <c r="DMP36" s="218"/>
      <c r="DMQ36" s="218"/>
      <c r="DMR36" s="218"/>
      <c r="DMS36" s="218"/>
      <c r="DMT36" s="218"/>
      <c r="DMU36" s="218"/>
      <c r="DMV36" s="218"/>
      <c r="DMW36" s="218"/>
      <c r="DMX36" s="218"/>
      <c r="DMY36" s="218"/>
      <c r="DMZ36" s="218"/>
      <c r="DNA36" s="218"/>
      <c r="DNB36" s="218"/>
      <c r="DNC36" s="218"/>
      <c r="DND36" s="218"/>
      <c r="DNE36" s="218"/>
      <c r="DNF36" s="218"/>
      <c r="DNG36" s="218"/>
      <c r="DNH36" s="218"/>
      <c r="DNI36" s="218"/>
      <c r="DNJ36" s="218"/>
      <c r="DNK36" s="218"/>
      <c r="DNL36" s="218"/>
      <c r="DNM36" s="218"/>
      <c r="DNN36" s="218"/>
      <c r="DNO36" s="218"/>
      <c r="DNP36" s="218"/>
      <c r="DNQ36" s="218"/>
      <c r="DNR36" s="218"/>
      <c r="DNS36" s="218"/>
      <c r="DNT36" s="218"/>
      <c r="DNU36" s="218"/>
      <c r="DNV36" s="218"/>
      <c r="DNW36" s="218"/>
      <c r="DNX36" s="218"/>
      <c r="DNY36" s="218"/>
      <c r="DNZ36" s="218"/>
      <c r="DOA36" s="218"/>
      <c r="DOB36" s="218"/>
      <c r="DOC36" s="218"/>
      <c r="DOD36" s="218"/>
      <c r="DOE36" s="218"/>
      <c r="DOF36" s="218"/>
      <c r="DOG36" s="218"/>
      <c r="DOH36" s="218"/>
      <c r="DOI36" s="218"/>
      <c r="DOJ36" s="218"/>
      <c r="DOK36" s="218"/>
      <c r="DOL36" s="218"/>
      <c r="DOM36" s="218"/>
      <c r="DON36" s="218"/>
      <c r="DOO36" s="218"/>
      <c r="DOP36" s="218"/>
      <c r="DOQ36" s="218"/>
      <c r="DOR36" s="218"/>
      <c r="DOS36" s="218"/>
      <c r="DOT36" s="218"/>
      <c r="DOU36" s="218"/>
      <c r="DOV36" s="218"/>
      <c r="DOW36" s="218"/>
      <c r="DOX36" s="218"/>
      <c r="DOY36" s="218"/>
      <c r="DOZ36" s="218"/>
      <c r="DPA36" s="218"/>
      <c r="DPB36" s="218"/>
      <c r="DPC36" s="218"/>
      <c r="DPD36" s="218"/>
      <c r="DPE36" s="218"/>
      <c r="DPF36" s="218"/>
      <c r="DPG36" s="218"/>
      <c r="DPH36" s="218"/>
      <c r="DPI36" s="218"/>
      <c r="DPJ36" s="218"/>
      <c r="DPK36" s="218"/>
      <c r="DPL36" s="218"/>
      <c r="DPM36" s="218"/>
      <c r="DPN36" s="218"/>
      <c r="DPO36" s="218"/>
      <c r="DPP36" s="218"/>
      <c r="DPQ36" s="218"/>
      <c r="DPR36" s="218"/>
      <c r="DPS36" s="218"/>
      <c r="DPT36" s="218"/>
      <c r="DPU36" s="218"/>
      <c r="DPV36" s="218"/>
      <c r="DPW36" s="218"/>
      <c r="DPX36" s="218"/>
      <c r="DPY36" s="218"/>
      <c r="DPZ36" s="218"/>
      <c r="DQA36" s="218"/>
      <c r="DQB36" s="218"/>
      <c r="DQC36" s="218"/>
      <c r="DQD36" s="218"/>
      <c r="DQE36" s="218"/>
      <c r="DQF36" s="218"/>
      <c r="DQG36" s="218"/>
      <c r="DQH36" s="218"/>
      <c r="DQI36" s="218"/>
      <c r="DQJ36" s="218"/>
      <c r="DQK36" s="218"/>
      <c r="DQL36" s="218"/>
      <c r="DQM36" s="218"/>
      <c r="DQN36" s="218"/>
      <c r="DQO36" s="218"/>
      <c r="DQP36" s="218"/>
      <c r="DQQ36" s="218"/>
      <c r="DQR36" s="218"/>
      <c r="DQS36" s="218"/>
      <c r="DQT36" s="218"/>
      <c r="DQU36" s="218"/>
      <c r="DQV36" s="218"/>
      <c r="DQW36" s="218"/>
      <c r="DQX36" s="218"/>
      <c r="DQY36" s="218"/>
      <c r="DQZ36" s="218"/>
      <c r="DRA36" s="218"/>
      <c r="DRB36" s="218"/>
      <c r="DRC36" s="218"/>
      <c r="DRD36" s="218"/>
      <c r="DRE36" s="218"/>
      <c r="DRF36" s="218"/>
      <c r="DRG36" s="218"/>
      <c r="DRH36" s="218"/>
      <c r="DRI36" s="218"/>
      <c r="DRJ36" s="218"/>
      <c r="DRK36" s="218"/>
      <c r="DRL36" s="218"/>
      <c r="DRM36" s="218"/>
      <c r="DRN36" s="218"/>
      <c r="DRO36" s="218"/>
      <c r="DRP36" s="218"/>
      <c r="DRQ36" s="218"/>
      <c r="DRR36" s="218"/>
      <c r="DRS36" s="218"/>
      <c r="DRT36" s="218"/>
      <c r="DRU36" s="218"/>
      <c r="DRV36" s="218"/>
      <c r="DRW36" s="218"/>
      <c r="DRX36" s="218"/>
      <c r="DRY36" s="218"/>
      <c r="DRZ36" s="218"/>
      <c r="DSA36" s="218"/>
      <c r="DSB36" s="218"/>
      <c r="DSC36" s="218"/>
      <c r="DSD36" s="218"/>
      <c r="DSE36" s="218"/>
      <c r="DSF36" s="218"/>
      <c r="DSG36" s="218"/>
      <c r="DSH36" s="218"/>
      <c r="DSI36" s="218"/>
      <c r="DSJ36" s="218"/>
      <c r="DSK36" s="218"/>
      <c r="DSL36" s="218"/>
      <c r="DSM36" s="218"/>
      <c r="DSN36" s="218"/>
      <c r="DSO36" s="218"/>
      <c r="DSP36" s="218"/>
      <c r="DSQ36" s="218"/>
      <c r="DSR36" s="218"/>
      <c r="DSS36" s="218"/>
      <c r="DST36" s="218"/>
      <c r="DSU36" s="218"/>
      <c r="DSV36" s="218"/>
      <c r="DSW36" s="218"/>
      <c r="DSX36" s="218"/>
      <c r="DSY36" s="218"/>
      <c r="DSZ36" s="218"/>
      <c r="DTA36" s="218"/>
      <c r="DTB36" s="218"/>
      <c r="DTC36" s="218"/>
      <c r="DTD36" s="218"/>
      <c r="DTE36" s="218"/>
      <c r="DTF36" s="218"/>
      <c r="DTG36" s="218"/>
      <c r="DTH36" s="218"/>
      <c r="DTI36" s="218"/>
      <c r="DTJ36" s="218"/>
      <c r="DTK36" s="218"/>
      <c r="DTL36" s="218"/>
      <c r="DTM36" s="218"/>
      <c r="DTN36" s="218"/>
      <c r="DTO36" s="218"/>
      <c r="DTP36" s="218"/>
      <c r="DTQ36" s="218"/>
      <c r="DTR36" s="218"/>
      <c r="DTS36" s="218"/>
      <c r="DTT36" s="218"/>
      <c r="DTU36" s="218"/>
      <c r="DTV36" s="218"/>
      <c r="DTW36" s="218"/>
      <c r="DTX36" s="218"/>
      <c r="DTY36" s="218"/>
      <c r="DTZ36" s="218"/>
      <c r="DUA36" s="218"/>
      <c r="DUB36" s="218"/>
      <c r="DUC36" s="218"/>
      <c r="DUD36" s="218"/>
      <c r="DUE36" s="218"/>
      <c r="DUF36" s="218"/>
      <c r="DUG36" s="218"/>
      <c r="DUH36" s="218"/>
      <c r="DUI36" s="218"/>
      <c r="DUJ36" s="218"/>
      <c r="DUK36" s="218"/>
      <c r="DUL36" s="218"/>
      <c r="DUM36" s="218"/>
      <c r="DUN36" s="218"/>
      <c r="DUO36" s="218"/>
      <c r="DUP36" s="218"/>
      <c r="DUQ36" s="218"/>
      <c r="DUR36" s="218"/>
      <c r="DUS36" s="218"/>
      <c r="DUT36" s="218"/>
      <c r="DUU36" s="218"/>
      <c r="DUV36" s="218"/>
      <c r="DUW36" s="218"/>
      <c r="DUX36" s="218"/>
      <c r="DUY36" s="218"/>
      <c r="DUZ36" s="218"/>
      <c r="DVA36" s="218"/>
      <c r="DVB36" s="218"/>
      <c r="DVC36" s="218"/>
      <c r="DVD36" s="218"/>
      <c r="DVE36" s="218"/>
      <c r="DVF36" s="218"/>
      <c r="DVG36" s="218"/>
      <c r="DVH36" s="218"/>
      <c r="DVI36" s="218"/>
      <c r="DVJ36" s="218"/>
      <c r="DVK36" s="218"/>
      <c r="DVL36" s="218"/>
      <c r="DVM36" s="218"/>
      <c r="DVN36" s="218"/>
      <c r="DVO36" s="218"/>
      <c r="DVP36" s="218"/>
      <c r="DVQ36" s="218"/>
      <c r="DVR36" s="218"/>
      <c r="DVS36" s="218"/>
      <c r="DVT36" s="218"/>
      <c r="DVU36" s="218"/>
      <c r="DVV36" s="218"/>
      <c r="DVW36" s="218"/>
      <c r="DVX36" s="218"/>
      <c r="DVY36" s="218"/>
      <c r="DVZ36" s="218"/>
      <c r="DWA36" s="218"/>
      <c r="DWB36" s="218"/>
      <c r="DWC36" s="218"/>
      <c r="DWD36" s="218"/>
      <c r="DWE36" s="218"/>
      <c r="DWF36" s="218"/>
      <c r="DWG36" s="218"/>
      <c r="DWH36" s="218"/>
      <c r="DWI36" s="218"/>
      <c r="DWJ36" s="218"/>
      <c r="DWK36" s="218"/>
      <c r="DWL36" s="218"/>
      <c r="DWM36" s="218"/>
      <c r="DWN36" s="218"/>
      <c r="DWO36" s="218"/>
      <c r="DWP36" s="218"/>
      <c r="DWQ36" s="218"/>
      <c r="DWR36" s="218"/>
      <c r="DWS36" s="218"/>
      <c r="DWT36" s="218"/>
      <c r="DWU36" s="218"/>
      <c r="DWV36" s="218"/>
      <c r="DWW36" s="218"/>
      <c r="DWX36" s="218"/>
      <c r="DWY36" s="218"/>
      <c r="DWZ36" s="218"/>
      <c r="DXA36" s="218"/>
      <c r="DXB36" s="218"/>
      <c r="DXC36" s="218"/>
      <c r="DXD36" s="218"/>
      <c r="DXE36" s="218"/>
      <c r="DXF36" s="218"/>
      <c r="DXG36" s="218"/>
      <c r="DXH36" s="218"/>
      <c r="DXI36" s="218"/>
      <c r="DXJ36" s="218"/>
      <c r="DXK36" s="218"/>
      <c r="DXL36" s="218"/>
      <c r="DXM36" s="218"/>
      <c r="DXN36" s="218"/>
      <c r="DXO36" s="218"/>
      <c r="DXP36" s="218"/>
      <c r="DXQ36" s="218"/>
      <c r="DXR36" s="218"/>
      <c r="DXS36" s="218"/>
      <c r="DXT36" s="218"/>
      <c r="DXU36" s="218"/>
      <c r="DXV36" s="218"/>
      <c r="DXW36" s="218"/>
      <c r="DXX36" s="218"/>
      <c r="DXY36" s="218"/>
      <c r="DXZ36" s="218"/>
      <c r="DYA36" s="218"/>
      <c r="DYB36" s="218"/>
      <c r="DYC36" s="218"/>
      <c r="DYD36" s="218"/>
      <c r="DYE36" s="218"/>
      <c r="DYF36" s="218"/>
      <c r="DYG36" s="218"/>
      <c r="DYH36" s="218"/>
      <c r="DYI36" s="218"/>
      <c r="DYJ36" s="218"/>
      <c r="DYK36" s="218"/>
      <c r="DYL36" s="218"/>
      <c r="DYM36" s="218"/>
      <c r="DYN36" s="218"/>
      <c r="DYO36" s="218"/>
      <c r="DYP36" s="218"/>
      <c r="DYQ36" s="218"/>
      <c r="DYR36" s="218"/>
      <c r="DYS36" s="218"/>
      <c r="DYT36" s="218"/>
      <c r="DYU36" s="218"/>
      <c r="DYV36" s="218"/>
      <c r="DYW36" s="218"/>
      <c r="DYX36" s="218"/>
      <c r="DYY36" s="218"/>
      <c r="DYZ36" s="218"/>
      <c r="DZA36" s="218"/>
      <c r="DZB36" s="218"/>
      <c r="DZC36" s="218"/>
      <c r="DZD36" s="218"/>
      <c r="DZE36" s="218"/>
      <c r="DZF36" s="218"/>
      <c r="DZG36" s="218"/>
      <c r="DZH36" s="218"/>
      <c r="DZI36" s="218"/>
      <c r="DZJ36" s="218"/>
      <c r="DZK36" s="218"/>
      <c r="DZL36" s="218"/>
      <c r="DZM36" s="218"/>
      <c r="DZN36" s="218"/>
      <c r="DZO36" s="218"/>
      <c r="DZP36" s="218"/>
      <c r="DZQ36" s="218"/>
      <c r="DZR36" s="218"/>
      <c r="DZS36" s="218"/>
      <c r="DZT36" s="218"/>
      <c r="DZU36" s="218"/>
      <c r="DZV36" s="218"/>
      <c r="DZW36" s="218"/>
      <c r="DZX36" s="218"/>
      <c r="DZY36" s="218"/>
      <c r="DZZ36" s="218"/>
      <c r="EAA36" s="218"/>
      <c r="EAB36" s="218"/>
      <c r="EAC36" s="218"/>
      <c r="EAD36" s="218"/>
      <c r="EAE36" s="218"/>
      <c r="EAF36" s="218"/>
      <c r="EAG36" s="218"/>
      <c r="EAH36" s="218"/>
      <c r="EAI36" s="218"/>
      <c r="EAJ36" s="218"/>
      <c r="EAK36" s="218"/>
      <c r="EAL36" s="218"/>
      <c r="EAM36" s="218"/>
      <c r="EAN36" s="218"/>
      <c r="EAO36" s="218"/>
      <c r="EAP36" s="218"/>
      <c r="EAQ36" s="218"/>
      <c r="EAR36" s="218"/>
      <c r="EAS36" s="218"/>
      <c r="EAT36" s="218"/>
      <c r="EAU36" s="218"/>
      <c r="EAV36" s="218"/>
      <c r="EAW36" s="218"/>
      <c r="EAX36" s="218"/>
      <c r="EAY36" s="218"/>
      <c r="EAZ36" s="218"/>
      <c r="EBA36" s="218"/>
      <c r="EBB36" s="218"/>
      <c r="EBC36" s="218"/>
      <c r="EBD36" s="218"/>
      <c r="EBE36" s="218"/>
      <c r="EBF36" s="218"/>
      <c r="EBG36" s="218"/>
      <c r="EBH36" s="218"/>
      <c r="EBI36" s="218"/>
      <c r="EBJ36" s="218"/>
      <c r="EBK36" s="218"/>
      <c r="EBL36" s="218"/>
      <c r="EBM36" s="218"/>
      <c r="EBN36" s="218"/>
      <c r="EBO36" s="218"/>
      <c r="EBP36" s="218"/>
      <c r="EBQ36" s="218"/>
      <c r="EBR36" s="218"/>
      <c r="EBS36" s="218"/>
      <c r="EBT36" s="218"/>
      <c r="EBU36" s="218"/>
      <c r="EBV36" s="218"/>
      <c r="EBW36" s="218"/>
      <c r="EBX36" s="218"/>
      <c r="EBY36" s="218"/>
      <c r="EBZ36" s="218"/>
      <c r="ECA36" s="218"/>
      <c r="ECB36" s="218"/>
      <c r="ECC36" s="218"/>
      <c r="ECD36" s="218"/>
      <c r="ECE36" s="218"/>
      <c r="ECF36" s="218"/>
      <c r="ECG36" s="218"/>
      <c r="ECH36" s="218"/>
      <c r="ECI36" s="218"/>
      <c r="ECJ36" s="218"/>
      <c r="ECK36" s="218"/>
      <c r="ECL36" s="218"/>
      <c r="ECM36" s="218"/>
      <c r="ECN36" s="218"/>
      <c r="ECO36" s="218"/>
      <c r="ECP36" s="218"/>
      <c r="ECQ36" s="218"/>
      <c r="ECR36" s="218"/>
      <c r="ECS36" s="218"/>
      <c r="ECT36" s="218"/>
      <c r="ECU36" s="218"/>
      <c r="ECV36" s="218"/>
      <c r="ECW36" s="218"/>
      <c r="ECX36" s="218"/>
      <c r="ECY36" s="218"/>
      <c r="ECZ36" s="218"/>
      <c r="EDA36" s="218"/>
      <c r="EDB36" s="218"/>
      <c r="EDC36" s="218"/>
      <c r="EDD36" s="218"/>
      <c r="EDE36" s="218"/>
      <c r="EDF36" s="218"/>
      <c r="EDG36" s="218"/>
      <c r="EDH36" s="218"/>
      <c r="EDI36" s="218"/>
      <c r="EDJ36" s="218"/>
      <c r="EDK36" s="218"/>
      <c r="EDL36" s="218"/>
      <c r="EDM36" s="218"/>
      <c r="EDN36" s="218"/>
      <c r="EDO36" s="218"/>
      <c r="EDP36" s="218"/>
      <c r="EDQ36" s="218"/>
      <c r="EDR36" s="218"/>
      <c r="EDS36" s="218"/>
      <c r="EDT36" s="218"/>
      <c r="EDU36" s="218"/>
      <c r="EDV36" s="218"/>
      <c r="EDW36" s="218"/>
      <c r="EDX36" s="218"/>
      <c r="EDY36" s="218"/>
      <c r="EDZ36" s="218"/>
      <c r="EEA36" s="218"/>
      <c r="EEB36" s="218"/>
      <c r="EEC36" s="218"/>
      <c r="EED36" s="218"/>
      <c r="EEE36" s="218"/>
      <c r="EEF36" s="218"/>
      <c r="EEG36" s="218"/>
      <c r="EEH36" s="218"/>
      <c r="EEI36" s="218"/>
      <c r="EEJ36" s="218"/>
      <c r="EEK36" s="218"/>
      <c r="EEL36" s="218"/>
      <c r="EEM36" s="218"/>
      <c r="EEN36" s="218"/>
      <c r="EEO36" s="218"/>
      <c r="EEP36" s="218"/>
      <c r="EEQ36" s="218"/>
      <c r="EER36" s="218"/>
      <c r="EES36" s="218"/>
      <c r="EET36" s="218"/>
      <c r="EEU36" s="218"/>
      <c r="EEV36" s="218"/>
      <c r="EEW36" s="218"/>
      <c r="EEX36" s="218"/>
      <c r="EEY36" s="218"/>
      <c r="EEZ36" s="218"/>
      <c r="EFA36" s="218"/>
      <c r="EFB36" s="218"/>
      <c r="EFC36" s="218"/>
      <c r="EFD36" s="218"/>
      <c r="EFE36" s="218"/>
      <c r="EFF36" s="218"/>
      <c r="EFG36" s="218"/>
      <c r="EFH36" s="218"/>
      <c r="EFI36" s="218"/>
      <c r="EFJ36" s="218"/>
      <c r="EFK36" s="218"/>
      <c r="EFL36" s="218"/>
      <c r="EFM36" s="218"/>
      <c r="EFN36" s="218"/>
      <c r="EFO36" s="218"/>
      <c r="EFP36" s="218"/>
      <c r="EFQ36" s="218"/>
      <c r="EFR36" s="218"/>
      <c r="EFS36" s="218"/>
      <c r="EFT36" s="218"/>
      <c r="EFU36" s="218"/>
      <c r="EFV36" s="218"/>
      <c r="EFW36" s="218"/>
      <c r="EFX36" s="218"/>
      <c r="EFY36" s="218"/>
      <c r="EFZ36" s="218"/>
      <c r="EGA36" s="218"/>
      <c r="EGB36" s="218"/>
      <c r="EGC36" s="218"/>
      <c r="EGD36" s="218"/>
      <c r="EGE36" s="218"/>
      <c r="EGF36" s="218"/>
      <c r="EGG36" s="218"/>
      <c r="EGH36" s="218"/>
      <c r="EGI36" s="218"/>
      <c r="EGJ36" s="218"/>
      <c r="EGK36" s="218"/>
      <c r="EGL36" s="218"/>
      <c r="EGM36" s="218"/>
      <c r="EGN36" s="218"/>
      <c r="EGO36" s="218"/>
      <c r="EGP36" s="218"/>
      <c r="EGQ36" s="218"/>
      <c r="EGR36" s="218"/>
      <c r="EGS36" s="218"/>
      <c r="EGT36" s="218"/>
      <c r="EGU36" s="218"/>
      <c r="EGV36" s="218"/>
      <c r="EGW36" s="218"/>
      <c r="EGX36" s="218"/>
      <c r="EGY36" s="218"/>
      <c r="EGZ36" s="218"/>
      <c r="EHA36" s="218"/>
      <c r="EHB36" s="218"/>
      <c r="EHC36" s="218"/>
      <c r="EHD36" s="218"/>
      <c r="EHE36" s="218"/>
      <c r="EHF36" s="218"/>
      <c r="EHG36" s="218"/>
      <c r="EHH36" s="218"/>
      <c r="EHI36" s="218"/>
      <c r="EHJ36" s="218"/>
      <c r="EHK36" s="218"/>
      <c r="EHL36" s="218"/>
      <c r="EHM36" s="218"/>
      <c r="EHN36" s="218"/>
      <c r="EHO36" s="218"/>
      <c r="EHP36" s="218"/>
      <c r="EHQ36" s="218"/>
      <c r="EHR36" s="218"/>
      <c r="EHS36" s="218"/>
      <c r="EHT36" s="218"/>
      <c r="EHU36" s="218"/>
      <c r="EHV36" s="218"/>
      <c r="EHW36" s="218"/>
      <c r="EHX36" s="218"/>
      <c r="EHY36" s="218"/>
      <c r="EHZ36" s="218"/>
      <c r="EIA36" s="218"/>
      <c r="EIB36" s="218"/>
      <c r="EIC36" s="218"/>
      <c r="EID36" s="218"/>
      <c r="EIE36" s="218"/>
      <c r="EIF36" s="218"/>
      <c r="EIG36" s="218"/>
      <c r="EIH36" s="218"/>
      <c r="EII36" s="218"/>
      <c r="EIJ36" s="218"/>
      <c r="EIK36" s="218"/>
      <c r="EIL36" s="218"/>
      <c r="EIM36" s="218"/>
      <c r="EIN36" s="218"/>
      <c r="EIO36" s="218"/>
      <c r="EIP36" s="218"/>
      <c r="EIQ36" s="218"/>
      <c r="EIR36" s="218"/>
      <c r="EIS36" s="218"/>
      <c r="EIT36" s="218"/>
      <c r="EIU36" s="218"/>
      <c r="EIV36" s="218"/>
      <c r="EIW36" s="218"/>
      <c r="EIX36" s="218"/>
      <c r="EIY36" s="218"/>
      <c r="EIZ36" s="218"/>
      <c r="EJA36" s="218"/>
      <c r="EJB36" s="218"/>
      <c r="EJC36" s="218"/>
      <c r="EJD36" s="218"/>
      <c r="EJE36" s="218"/>
      <c r="EJF36" s="218"/>
      <c r="EJG36" s="218"/>
      <c r="EJH36" s="218"/>
      <c r="EJI36" s="218"/>
      <c r="EJJ36" s="218"/>
      <c r="EJK36" s="218"/>
      <c r="EJL36" s="218"/>
      <c r="EJM36" s="218"/>
      <c r="EJN36" s="218"/>
      <c r="EJO36" s="218"/>
      <c r="EJP36" s="218"/>
      <c r="EJQ36" s="218"/>
      <c r="EJR36" s="218"/>
      <c r="EJS36" s="218"/>
      <c r="EJT36" s="218"/>
      <c r="EJU36" s="218"/>
      <c r="EJV36" s="218"/>
      <c r="EJW36" s="218"/>
      <c r="EJX36" s="218"/>
      <c r="EJY36" s="218"/>
      <c r="EJZ36" s="218"/>
      <c r="EKA36" s="218"/>
      <c r="EKB36" s="218"/>
      <c r="EKC36" s="218"/>
      <c r="EKD36" s="218"/>
      <c r="EKE36" s="218"/>
      <c r="EKF36" s="218"/>
      <c r="EKG36" s="218"/>
      <c r="EKH36" s="218"/>
      <c r="EKI36" s="218"/>
      <c r="EKJ36" s="218"/>
      <c r="EKK36" s="218"/>
      <c r="EKL36" s="218"/>
      <c r="EKM36" s="218"/>
      <c r="EKN36" s="218"/>
      <c r="EKO36" s="218"/>
      <c r="EKP36" s="218"/>
      <c r="EKQ36" s="218"/>
      <c r="EKR36" s="218"/>
      <c r="EKS36" s="218"/>
      <c r="EKT36" s="218"/>
      <c r="EKU36" s="218"/>
      <c r="EKV36" s="218"/>
      <c r="EKW36" s="218"/>
      <c r="EKX36" s="218"/>
      <c r="EKY36" s="218"/>
      <c r="EKZ36" s="218"/>
      <c r="ELA36" s="218"/>
      <c r="ELB36" s="218"/>
      <c r="ELC36" s="218"/>
      <c r="ELD36" s="218"/>
      <c r="ELE36" s="218"/>
      <c r="ELF36" s="218"/>
      <c r="ELG36" s="218"/>
      <c r="ELH36" s="218"/>
      <c r="ELI36" s="218"/>
      <c r="ELJ36" s="218"/>
      <c r="ELK36" s="218"/>
      <c r="ELL36" s="218"/>
      <c r="ELM36" s="218"/>
      <c r="ELN36" s="218"/>
      <c r="ELO36" s="218"/>
      <c r="ELP36" s="218"/>
      <c r="ELQ36" s="218"/>
      <c r="ELR36" s="218"/>
      <c r="ELS36" s="218"/>
      <c r="ELT36" s="218"/>
      <c r="ELU36" s="218"/>
      <c r="ELV36" s="218"/>
      <c r="ELW36" s="218"/>
      <c r="ELX36" s="218"/>
      <c r="ELY36" s="218"/>
      <c r="ELZ36" s="218"/>
      <c r="EMA36" s="218"/>
      <c r="EMB36" s="218"/>
      <c r="EMC36" s="218"/>
      <c r="EMD36" s="218"/>
      <c r="EME36" s="218"/>
      <c r="EMF36" s="218"/>
      <c r="EMG36" s="218"/>
      <c r="EMH36" s="218"/>
      <c r="EMI36" s="218"/>
      <c r="EMJ36" s="218"/>
      <c r="EMK36" s="218"/>
      <c r="EML36" s="218"/>
      <c r="EMM36" s="218"/>
      <c r="EMN36" s="218"/>
      <c r="EMO36" s="218"/>
      <c r="EMP36" s="218"/>
      <c r="EMQ36" s="218"/>
      <c r="EMR36" s="218"/>
      <c r="EMS36" s="218"/>
      <c r="EMT36" s="218"/>
      <c r="EMU36" s="218"/>
      <c r="EMV36" s="218"/>
      <c r="EMW36" s="218"/>
      <c r="EMX36" s="218"/>
      <c r="EMY36" s="218"/>
      <c r="EMZ36" s="218"/>
      <c r="ENA36" s="218"/>
      <c r="ENB36" s="218"/>
      <c r="ENC36" s="218"/>
      <c r="END36" s="218"/>
      <c r="ENE36" s="218"/>
      <c r="ENF36" s="218"/>
      <c r="ENG36" s="218"/>
      <c r="ENH36" s="218"/>
      <c r="ENI36" s="218"/>
      <c r="ENJ36" s="218"/>
      <c r="ENK36" s="218"/>
      <c r="ENL36" s="218"/>
      <c r="ENM36" s="218"/>
      <c r="ENN36" s="218"/>
      <c r="ENO36" s="218"/>
      <c r="ENP36" s="218"/>
      <c r="ENQ36" s="218"/>
      <c r="ENR36" s="218"/>
      <c r="ENS36" s="218"/>
      <c r="ENT36" s="218"/>
      <c r="ENU36" s="218"/>
      <c r="ENV36" s="218"/>
      <c r="ENW36" s="218"/>
      <c r="ENX36" s="218"/>
      <c r="ENY36" s="218"/>
      <c r="ENZ36" s="218"/>
      <c r="EOA36" s="218"/>
      <c r="EOB36" s="218"/>
      <c r="EOC36" s="218"/>
      <c r="EOD36" s="218"/>
      <c r="EOE36" s="218"/>
      <c r="EOF36" s="218"/>
      <c r="EOG36" s="218"/>
      <c r="EOH36" s="218"/>
      <c r="EOI36" s="218"/>
      <c r="EOJ36" s="218"/>
      <c r="EOK36" s="218"/>
      <c r="EOL36" s="218"/>
      <c r="EOM36" s="218"/>
      <c r="EON36" s="218"/>
      <c r="EOO36" s="218"/>
      <c r="EOP36" s="218"/>
      <c r="EOQ36" s="218"/>
      <c r="EOR36" s="218"/>
      <c r="EOS36" s="218"/>
      <c r="EOT36" s="218"/>
      <c r="EOU36" s="218"/>
      <c r="EOV36" s="218"/>
      <c r="EOW36" s="218"/>
      <c r="EOX36" s="218"/>
      <c r="EOY36" s="218"/>
      <c r="EOZ36" s="218"/>
      <c r="EPA36" s="218"/>
      <c r="EPB36" s="218"/>
      <c r="EPC36" s="218"/>
      <c r="EPD36" s="218"/>
      <c r="EPE36" s="218"/>
      <c r="EPF36" s="218"/>
      <c r="EPG36" s="218"/>
      <c r="EPH36" s="218"/>
      <c r="EPI36" s="218"/>
      <c r="EPJ36" s="218"/>
      <c r="EPK36" s="218"/>
      <c r="EPL36" s="218"/>
      <c r="EPM36" s="218"/>
      <c r="EPN36" s="218"/>
      <c r="EPO36" s="218"/>
      <c r="EPP36" s="218"/>
      <c r="EPQ36" s="218"/>
      <c r="EPR36" s="218"/>
      <c r="EPS36" s="218"/>
      <c r="EPT36" s="218"/>
      <c r="EPU36" s="218"/>
      <c r="EPV36" s="218"/>
      <c r="EPW36" s="218"/>
      <c r="EPX36" s="218"/>
      <c r="EPY36" s="218"/>
      <c r="EPZ36" s="218"/>
      <c r="EQA36" s="218"/>
      <c r="EQB36" s="218"/>
      <c r="EQC36" s="218"/>
      <c r="EQD36" s="218"/>
      <c r="EQE36" s="218"/>
      <c r="EQF36" s="218"/>
      <c r="EQG36" s="218"/>
      <c r="EQH36" s="218"/>
      <c r="EQI36" s="218"/>
      <c r="EQJ36" s="218"/>
      <c r="EQK36" s="218"/>
      <c r="EQL36" s="218"/>
      <c r="EQM36" s="218"/>
      <c r="EQN36" s="218"/>
      <c r="EQO36" s="218"/>
      <c r="EQP36" s="218"/>
      <c r="EQQ36" s="218"/>
      <c r="EQR36" s="218"/>
      <c r="EQS36" s="218"/>
      <c r="EQT36" s="218"/>
      <c r="EQU36" s="218"/>
      <c r="EQV36" s="218"/>
      <c r="EQW36" s="218"/>
      <c r="EQX36" s="218"/>
      <c r="EQY36" s="218"/>
      <c r="EQZ36" s="218"/>
      <c r="ERA36" s="218"/>
      <c r="ERB36" s="218"/>
      <c r="ERC36" s="218"/>
      <c r="ERD36" s="218"/>
      <c r="ERE36" s="218"/>
      <c r="ERF36" s="218"/>
      <c r="ERG36" s="218"/>
      <c r="ERH36" s="218"/>
      <c r="ERI36" s="218"/>
      <c r="ERJ36" s="218"/>
      <c r="ERK36" s="218"/>
      <c r="ERL36" s="218"/>
      <c r="ERM36" s="218"/>
      <c r="ERN36" s="218"/>
      <c r="ERO36" s="218"/>
      <c r="ERP36" s="218"/>
      <c r="ERQ36" s="218"/>
      <c r="ERR36" s="218"/>
      <c r="ERS36" s="218"/>
      <c r="ERT36" s="218"/>
      <c r="ERU36" s="218"/>
      <c r="ERV36" s="218"/>
      <c r="ERW36" s="218"/>
      <c r="ERX36" s="218"/>
      <c r="ERY36" s="218"/>
      <c r="ERZ36" s="218"/>
      <c r="ESA36" s="218"/>
      <c r="ESB36" s="218"/>
      <c r="ESC36" s="218"/>
      <c r="ESD36" s="218"/>
      <c r="ESE36" s="218"/>
      <c r="ESF36" s="218"/>
      <c r="ESG36" s="218"/>
      <c r="ESH36" s="218"/>
      <c r="ESI36" s="218"/>
      <c r="ESJ36" s="218"/>
      <c r="ESK36" s="218"/>
      <c r="ESL36" s="218"/>
      <c r="ESM36" s="218"/>
      <c r="ESN36" s="218"/>
      <c r="ESO36" s="218"/>
      <c r="ESP36" s="218"/>
      <c r="ESQ36" s="218"/>
      <c r="ESR36" s="218"/>
      <c r="ESS36" s="218"/>
      <c r="EST36" s="218"/>
      <c r="ESU36" s="218"/>
      <c r="ESV36" s="218"/>
      <c r="ESW36" s="218"/>
      <c r="ESX36" s="218"/>
      <c r="ESY36" s="218"/>
      <c r="ESZ36" s="218"/>
      <c r="ETA36" s="218"/>
      <c r="ETB36" s="218"/>
      <c r="ETC36" s="218"/>
      <c r="ETD36" s="218"/>
      <c r="ETE36" s="218"/>
      <c r="ETF36" s="218"/>
      <c r="ETG36" s="218"/>
      <c r="ETH36" s="218"/>
      <c r="ETI36" s="218"/>
      <c r="ETJ36" s="218"/>
      <c r="ETK36" s="218"/>
      <c r="ETL36" s="218"/>
      <c r="ETM36" s="218"/>
      <c r="ETN36" s="218"/>
      <c r="ETO36" s="218"/>
      <c r="ETP36" s="218"/>
      <c r="ETQ36" s="218"/>
      <c r="ETR36" s="218"/>
      <c r="ETS36" s="218"/>
      <c r="ETT36" s="218"/>
      <c r="ETU36" s="218"/>
      <c r="ETV36" s="218"/>
      <c r="ETW36" s="218"/>
      <c r="ETX36" s="218"/>
      <c r="ETY36" s="218"/>
      <c r="ETZ36" s="218"/>
      <c r="EUA36" s="218"/>
      <c r="EUB36" s="218"/>
      <c r="EUC36" s="218"/>
      <c r="EUD36" s="218"/>
      <c r="EUE36" s="218"/>
      <c r="EUF36" s="218"/>
      <c r="EUG36" s="218"/>
      <c r="EUH36" s="218"/>
      <c r="EUI36" s="218"/>
      <c r="EUJ36" s="218"/>
      <c r="EUK36" s="218"/>
      <c r="EUL36" s="218"/>
      <c r="EUM36" s="218"/>
      <c r="EUN36" s="218"/>
      <c r="EUO36" s="218"/>
      <c r="EUP36" s="218"/>
      <c r="EUQ36" s="218"/>
      <c r="EUR36" s="218"/>
      <c r="EUS36" s="218"/>
      <c r="EUT36" s="218"/>
      <c r="EUU36" s="218"/>
      <c r="EUV36" s="218"/>
      <c r="EUW36" s="218"/>
      <c r="EUX36" s="218"/>
      <c r="EUY36" s="218"/>
      <c r="EUZ36" s="218"/>
      <c r="EVA36" s="218"/>
      <c r="EVB36" s="218"/>
      <c r="EVC36" s="218"/>
      <c r="EVD36" s="218"/>
      <c r="EVE36" s="218"/>
      <c r="EVF36" s="218"/>
      <c r="EVG36" s="218"/>
      <c r="EVH36" s="218"/>
      <c r="EVI36" s="218"/>
      <c r="EVJ36" s="218"/>
      <c r="EVK36" s="218"/>
      <c r="EVL36" s="218"/>
      <c r="EVM36" s="218"/>
      <c r="EVN36" s="218"/>
      <c r="EVO36" s="218"/>
      <c r="EVP36" s="218"/>
      <c r="EVQ36" s="218"/>
      <c r="EVR36" s="218"/>
      <c r="EVS36" s="218"/>
      <c r="EVT36" s="218"/>
      <c r="EVU36" s="218"/>
      <c r="EVV36" s="218"/>
      <c r="EVW36" s="218"/>
      <c r="EVX36" s="218"/>
      <c r="EVY36" s="218"/>
      <c r="EVZ36" s="218"/>
      <c r="EWA36" s="218"/>
      <c r="EWB36" s="218"/>
      <c r="EWC36" s="218"/>
      <c r="EWD36" s="218"/>
      <c r="EWE36" s="218"/>
      <c r="EWF36" s="218"/>
      <c r="EWG36" s="218"/>
      <c r="EWH36" s="218"/>
      <c r="EWI36" s="218"/>
      <c r="EWJ36" s="218"/>
      <c r="EWK36" s="218"/>
      <c r="EWL36" s="218"/>
      <c r="EWM36" s="218"/>
      <c r="EWN36" s="218"/>
      <c r="EWO36" s="218"/>
      <c r="EWP36" s="218"/>
      <c r="EWQ36" s="218"/>
      <c r="EWR36" s="218"/>
      <c r="EWS36" s="218"/>
      <c r="EWT36" s="218"/>
      <c r="EWU36" s="218"/>
      <c r="EWV36" s="218"/>
      <c r="EWW36" s="218"/>
      <c r="EWX36" s="218"/>
      <c r="EWY36" s="218"/>
      <c r="EWZ36" s="218"/>
      <c r="EXA36" s="218"/>
      <c r="EXB36" s="218"/>
      <c r="EXC36" s="218"/>
      <c r="EXD36" s="218"/>
      <c r="EXE36" s="218"/>
      <c r="EXF36" s="218"/>
      <c r="EXG36" s="218"/>
      <c r="EXH36" s="218"/>
      <c r="EXI36" s="218"/>
      <c r="EXJ36" s="218"/>
      <c r="EXK36" s="218"/>
      <c r="EXL36" s="218"/>
      <c r="EXM36" s="218"/>
      <c r="EXN36" s="218"/>
      <c r="EXO36" s="218"/>
      <c r="EXP36" s="218"/>
      <c r="EXQ36" s="218"/>
      <c r="EXR36" s="218"/>
      <c r="EXS36" s="218"/>
      <c r="EXT36" s="218"/>
      <c r="EXU36" s="218"/>
      <c r="EXV36" s="218"/>
      <c r="EXW36" s="218"/>
      <c r="EXX36" s="218"/>
      <c r="EXY36" s="218"/>
      <c r="EXZ36" s="218"/>
      <c r="EYA36" s="218"/>
      <c r="EYB36" s="218"/>
      <c r="EYC36" s="218"/>
      <c r="EYD36" s="218"/>
      <c r="EYE36" s="218"/>
      <c r="EYF36" s="218"/>
      <c r="EYG36" s="218"/>
      <c r="EYH36" s="218"/>
      <c r="EYI36" s="218"/>
      <c r="EYJ36" s="218"/>
      <c r="EYK36" s="218"/>
      <c r="EYL36" s="218"/>
      <c r="EYM36" s="218"/>
      <c r="EYN36" s="218"/>
      <c r="EYO36" s="218"/>
      <c r="EYP36" s="218"/>
      <c r="EYQ36" s="218"/>
      <c r="EYR36" s="218"/>
      <c r="EYS36" s="218"/>
      <c r="EYT36" s="218"/>
      <c r="EYU36" s="218"/>
      <c r="EYV36" s="218"/>
      <c r="EYW36" s="218"/>
      <c r="EYX36" s="218"/>
      <c r="EYY36" s="218"/>
      <c r="EYZ36" s="218"/>
      <c r="EZA36" s="218"/>
      <c r="EZB36" s="218"/>
      <c r="EZC36" s="218"/>
      <c r="EZD36" s="218"/>
      <c r="EZE36" s="218"/>
      <c r="EZF36" s="218"/>
      <c r="EZG36" s="218"/>
      <c r="EZH36" s="218"/>
      <c r="EZI36" s="218"/>
      <c r="EZJ36" s="218"/>
      <c r="EZK36" s="218"/>
      <c r="EZL36" s="218"/>
      <c r="EZM36" s="218"/>
      <c r="EZN36" s="218"/>
      <c r="EZO36" s="218"/>
      <c r="EZP36" s="218"/>
      <c r="EZQ36" s="218"/>
      <c r="EZR36" s="218"/>
      <c r="EZS36" s="218"/>
      <c r="EZT36" s="218"/>
      <c r="EZU36" s="218"/>
      <c r="EZV36" s="218"/>
      <c r="EZW36" s="218"/>
      <c r="EZX36" s="218"/>
      <c r="EZY36" s="218"/>
      <c r="EZZ36" s="218"/>
      <c r="FAA36" s="218"/>
      <c r="FAB36" s="218"/>
      <c r="FAC36" s="218"/>
      <c r="FAD36" s="218"/>
      <c r="FAE36" s="218"/>
      <c r="FAF36" s="218"/>
      <c r="FAG36" s="218"/>
      <c r="FAH36" s="218"/>
      <c r="FAI36" s="218"/>
      <c r="FAJ36" s="218"/>
      <c r="FAK36" s="218"/>
      <c r="FAL36" s="218"/>
      <c r="FAM36" s="218"/>
      <c r="FAN36" s="218"/>
      <c r="FAO36" s="218"/>
      <c r="FAP36" s="218"/>
      <c r="FAQ36" s="218"/>
      <c r="FAR36" s="218"/>
      <c r="FAS36" s="218"/>
      <c r="FAT36" s="218"/>
      <c r="FAU36" s="218"/>
      <c r="FAV36" s="218"/>
      <c r="FAW36" s="218"/>
      <c r="FAX36" s="218"/>
      <c r="FAY36" s="218"/>
      <c r="FAZ36" s="218"/>
      <c r="FBA36" s="218"/>
      <c r="FBB36" s="218"/>
      <c r="FBC36" s="218"/>
      <c r="FBD36" s="218"/>
      <c r="FBE36" s="218"/>
      <c r="FBF36" s="218"/>
      <c r="FBG36" s="218"/>
      <c r="FBH36" s="218"/>
      <c r="FBI36" s="218"/>
      <c r="FBJ36" s="218"/>
      <c r="FBK36" s="218"/>
      <c r="FBL36" s="218"/>
      <c r="FBM36" s="218"/>
      <c r="FBN36" s="218"/>
      <c r="FBO36" s="218"/>
      <c r="FBP36" s="218"/>
      <c r="FBQ36" s="218"/>
      <c r="FBR36" s="218"/>
      <c r="FBS36" s="218"/>
      <c r="FBT36" s="218"/>
      <c r="FBU36" s="218"/>
      <c r="FBV36" s="218"/>
      <c r="FBW36" s="218"/>
      <c r="FBX36" s="218"/>
      <c r="FBY36" s="218"/>
      <c r="FBZ36" s="218"/>
      <c r="FCA36" s="218"/>
      <c r="FCB36" s="218"/>
      <c r="FCC36" s="218"/>
      <c r="FCD36" s="218"/>
      <c r="FCE36" s="218"/>
      <c r="FCF36" s="218"/>
      <c r="FCG36" s="218"/>
      <c r="FCH36" s="218"/>
      <c r="FCI36" s="218"/>
      <c r="FCJ36" s="218"/>
      <c r="FCK36" s="218"/>
      <c r="FCL36" s="218"/>
      <c r="FCM36" s="218"/>
      <c r="FCN36" s="218"/>
      <c r="FCO36" s="218"/>
      <c r="FCP36" s="218"/>
      <c r="FCQ36" s="218"/>
      <c r="FCR36" s="218"/>
      <c r="FCS36" s="218"/>
      <c r="FCT36" s="218"/>
      <c r="FCU36" s="218"/>
      <c r="FCV36" s="218"/>
      <c r="FCW36" s="218"/>
      <c r="FCX36" s="218"/>
      <c r="FCY36" s="218"/>
      <c r="FCZ36" s="218"/>
      <c r="FDA36" s="218"/>
      <c r="FDB36" s="218"/>
      <c r="FDC36" s="218"/>
      <c r="FDD36" s="218"/>
      <c r="FDE36" s="218"/>
      <c r="FDF36" s="218"/>
      <c r="FDG36" s="218"/>
      <c r="FDH36" s="218"/>
      <c r="FDI36" s="218"/>
      <c r="FDJ36" s="218"/>
      <c r="FDK36" s="218"/>
      <c r="FDL36" s="218"/>
      <c r="FDM36" s="218"/>
      <c r="FDN36" s="218"/>
      <c r="FDO36" s="218"/>
      <c r="FDP36" s="218"/>
      <c r="FDQ36" s="218"/>
      <c r="FDR36" s="218"/>
      <c r="FDS36" s="218"/>
      <c r="FDT36" s="218"/>
      <c r="FDU36" s="218"/>
      <c r="FDV36" s="218"/>
      <c r="FDW36" s="218"/>
      <c r="FDX36" s="218"/>
      <c r="FDY36" s="218"/>
      <c r="FDZ36" s="218"/>
      <c r="FEA36" s="218"/>
      <c r="FEB36" s="218"/>
      <c r="FEC36" s="218"/>
      <c r="FED36" s="218"/>
      <c r="FEE36" s="218"/>
      <c r="FEF36" s="218"/>
      <c r="FEG36" s="218"/>
      <c r="FEH36" s="218"/>
      <c r="FEI36" s="218"/>
      <c r="FEJ36" s="218"/>
      <c r="FEK36" s="218"/>
      <c r="FEL36" s="218"/>
      <c r="FEM36" s="218"/>
      <c r="FEN36" s="218"/>
      <c r="FEO36" s="218"/>
      <c r="FEP36" s="218"/>
      <c r="FEQ36" s="218"/>
      <c r="FER36" s="218"/>
      <c r="FES36" s="218"/>
      <c r="FET36" s="218"/>
      <c r="FEU36" s="218"/>
      <c r="FEV36" s="218"/>
      <c r="FEW36" s="218"/>
      <c r="FEX36" s="218"/>
      <c r="FEY36" s="218"/>
      <c r="FEZ36" s="218"/>
      <c r="FFA36" s="218"/>
      <c r="FFB36" s="218"/>
      <c r="FFC36" s="218"/>
      <c r="FFD36" s="218"/>
      <c r="FFE36" s="218"/>
      <c r="FFF36" s="218"/>
      <c r="FFG36" s="218"/>
      <c r="FFH36" s="218"/>
      <c r="FFI36" s="218"/>
      <c r="FFJ36" s="218"/>
      <c r="FFK36" s="218"/>
      <c r="FFL36" s="218"/>
      <c r="FFM36" s="218"/>
      <c r="FFN36" s="218"/>
      <c r="FFO36" s="218"/>
      <c r="FFP36" s="218"/>
      <c r="FFQ36" s="218"/>
      <c r="FFR36" s="218"/>
      <c r="FFS36" s="218"/>
      <c r="FFT36" s="218"/>
      <c r="FFU36" s="218"/>
      <c r="FFV36" s="218"/>
      <c r="FFW36" s="218"/>
      <c r="FFX36" s="218"/>
      <c r="FFY36" s="218"/>
      <c r="FFZ36" s="218"/>
      <c r="FGA36" s="218"/>
      <c r="FGB36" s="218"/>
      <c r="FGC36" s="218"/>
      <c r="FGD36" s="218"/>
      <c r="FGE36" s="218"/>
      <c r="FGF36" s="218"/>
      <c r="FGG36" s="218"/>
      <c r="FGH36" s="218"/>
      <c r="FGI36" s="218"/>
      <c r="FGJ36" s="218"/>
      <c r="FGK36" s="218"/>
      <c r="FGL36" s="218"/>
      <c r="FGM36" s="218"/>
      <c r="FGN36" s="218"/>
      <c r="FGO36" s="218"/>
      <c r="FGP36" s="218"/>
      <c r="FGQ36" s="218"/>
      <c r="FGR36" s="218"/>
      <c r="FGS36" s="218"/>
      <c r="FGT36" s="218"/>
      <c r="FGU36" s="218"/>
      <c r="FGV36" s="218"/>
      <c r="FGW36" s="218"/>
      <c r="FGX36" s="218"/>
      <c r="FGY36" s="218"/>
      <c r="FGZ36" s="218"/>
      <c r="FHA36" s="218"/>
      <c r="FHB36" s="218"/>
      <c r="FHC36" s="218"/>
      <c r="FHD36" s="218"/>
      <c r="FHE36" s="218"/>
      <c r="FHF36" s="218"/>
      <c r="FHG36" s="218"/>
      <c r="FHH36" s="218"/>
      <c r="FHI36" s="218"/>
      <c r="FHJ36" s="218"/>
      <c r="FHK36" s="218"/>
      <c r="FHL36" s="218"/>
      <c r="FHM36" s="218"/>
      <c r="FHN36" s="218"/>
      <c r="FHO36" s="218"/>
      <c r="FHP36" s="218"/>
      <c r="FHQ36" s="218"/>
      <c r="FHR36" s="218"/>
      <c r="FHS36" s="218"/>
      <c r="FHT36" s="218"/>
      <c r="FHU36" s="218"/>
      <c r="FHV36" s="218"/>
      <c r="FHW36" s="218"/>
      <c r="FHX36" s="218"/>
      <c r="FHY36" s="218"/>
      <c r="FHZ36" s="218"/>
      <c r="FIA36" s="218"/>
      <c r="FIB36" s="218"/>
      <c r="FIC36" s="218"/>
      <c r="FID36" s="218"/>
      <c r="FIE36" s="218"/>
      <c r="FIF36" s="218"/>
      <c r="FIG36" s="218"/>
      <c r="FIH36" s="218"/>
      <c r="FII36" s="218"/>
      <c r="FIJ36" s="218"/>
      <c r="FIK36" s="218"/>
      <c r="FIL36" s="218"/>
      <c r="FIM36" s="218"/>
      <c r="FIN36" s="218"/>
      <c r="FIO36" s="218"/>
      <c r="FIP36" s="218"/>
      <c r="FIQ36" s="218"/>
      <c r="FIR36" s="218"/>
      <c r="FIS36" s="218"/>
      <c r="FIT36" s="218"/>
      <c r="FIU36" s="218"/>
      <c r="FIV36" s="218"/>
      <c r="FIW36" s="218"/>
      <c r="FIX36" s="218"/>
      <c r="FIY36" s="218"/>
      <c r="FIZ36" s="218"/>
      <c r="FJA36" s="218"/>
      <c r="FJB36" s="218"/>
      <c r="FJC36" s="218"/>
      <c r="FJD36" s="218"/>
      <c r="FJE36" s="218"/>
      <c r="FJF36" s="218"/>
      <c r="FJG36" s="218"/>
      <c r="FJH36" s="218"/>
      <c r="FJI36" s="218"/>
      <c r="FJJ36" s="218"/>
      <c r="FJK36" s="218"/>
      <c r="FJL36" s="218"/>
      <c r="FJM36" s="218"/>
      <c r="FJN36" s="218"/>
      <c r="FJO36" s="218"/>
      <c r="FJP36" s="218"/>
      <c r="FJQ36" s="218"/>
      <c r="FJR36" s="218"/>
      <c r="FJS36" s="218"/>
      <c r="FJT36" s="218"/>
      <c r="FJU36" s="218"/>
      <c r="FJV36" s="218"/>
      <c r="FJW36" s="218"/>
      <c r="FJX36" s="218"/>
      <c r="FJY36" s="218"/>
      <c r="FJZ36" s="218"/>
      <c r="FKA36" s="218"/>
      <c r="FKB36" s="218"/>
      <c r="FKC36" s="218"/>
      <c r="FKD36" s="218"/>
      <c r="FKE36" s="218"/>
      <c r="FKF36" s="218"/>
      <c r="FKG36" s="218"/>
      <c r="FKH36" s="218"/>
      <c r="FKI36" s="218"/>
      <c r="FKJ36" s="218"/>
      <c r="FKK36" s="218"/>
      <c r="FKL36" s="218"/>
      <c r="FKM36" s="218"/>
      <c r="FKN36" s="218"/>
      <c r="FKO36" s="218"/>
      <c r="FKP36" s="218"/>
      <c r="FKQ36" s="218"/>
      <c r="FKR36" s="218"/>
      <c r="FKS36" s="218"/>
      <c r="FKT36" s="218"/>
      <c r="FKU36" s="218"/>
      <c r="FKV36" s="218"/>
      <c r="FKW36" s="218"/>
      <c r="FKX36" s="218"/>
      <c r="FKY36" s="218"/>
      <c r="FKZ36" s="218"/>
      <c r="FLA36" s="218"/>
      <c r="FLB36" s="218"/>
      <c r="FLC36" s="218"/>
      <c r="FLD36" s="218"/>
      <c r="FLE36" s="218"/>
      <c r="FLF36" s="218"/>
      <c r="FLG36" s="218"/>
      <c r="FLH36" s="218"/>
      <c r="FLI36" s="218"/>
      <c r="FLJ36" s="218"/>
      <c r="FLK36" s="218"/>
      <c r="FLL36" s="218"/>
      <c r="FLM36" s="218"/>
      <c r="FLN36" s="218"/>
      <c r="FLO36" s="218"/>
      <c r="FLP36" s="218"/>
      <c r="FLQ36" s="218"/>
      <c r="FLR36" s="218"/>
      <c r="FLS36" s="218"/>
      <c r="FLT36" s="218"/>
      <c r="FLU36" s="218"/>
      <c r="FLV36" s="218"/>
      <c r="FLW36" s="218"/>
      <c r="FLX36" s="218"/>
      <c r="FLY36" s="218"/>
      <c r="FLZ36" s="218"/>
      <c r="FMA36" s="218"/>
      <c r="FMB36" s="218"/>
      <c r="FMC36" s="218"/>
      <c r="FMD36" s="218"/>
      <c r="FME36" s="218"/>
      <c r="FMF36" s="218"/>
      <c r="FMG36" s="218"/>
      <c r="FMH36" s="218"/>
      <c r="FMI36" s="218"/>
      <c r="FMJ36" s="218"/>
      <c r="FMK36" s="218"/>
      <c r="FML36" s="218"/>
      <c r="FMM36" s="218"/>
      <c r="FMN36" s="218"/>
      <c r="FMO36" s="218"/>
      <c r="FMP36" s="218"/>
      <c r="FMQ36" s="218"/>
      <c r="FMR36" s="218"/>
      <c r="FMS36" s="218"/>
      <c r="FMT36" s="218"/>
      <c r="FMU36" s="218"/>
      <c r="FMV36" s="218"/>
      <c r="FMW36" s="218"/>
      <c r="FMX36" s="218"/>
      <c r="FMY36" s="218"/>
      <c r="FMZ36" s="218"/>
      <c r="FNA36" s="218"/>
      <c r="FNB36" s="218"/>
      <c r="FNC36" s="218"/>
      <c r="FND36" s="218"/>
      <c r="FNE36" s="218"/>
      <c r="FNF36" s="218"/>
      <c r="FNG36" s="218"/>
      <c r="FNH36" s="218"/>
      <c r="FNI36" s="218"/>
      <c r="FNJ36" s="218"/>
      <c r="FNK36" s="218"/>
      <c r="FNL36" s="218"/>
      <c r="FNM36" s="218"/>
      <c r="FNN36" s="218"/>
      <c r="FNO36" s="218"/>
      <c r="FNP36" s="218"/>
      <c r="FNQ36" s="218"/>
      <c r="FNR36" s="218"/>
      <c r="FNS36" s="218"/>
      <c r="FNT36" s="218"/>
      <c r="FNU36" s="218"/>
      <c r="FNV36" s="218"/>
      <c r="FNW36" s="218"/>
      <c r="FNX36" s="218"/>
      <c r="FNY36" s="218"/>
      <c r="FNZ36" s="218"/>
      <c r="FOA36" s="218"/>
      <c r="FOB36" s="218"/>
      <c r="FOC36" s="218"/>
      <c r="FOD36" s="218"/>
      <c r="FOE36" s="218"/>
      <c r="FOF36" s="218"/>
      <c r="FOG36" s="218"/>
      <c r="FOH36" s="218"/>
      <c r="FOI36" s="218"/>
      <c r="FOJ36" s="218"/>
      <c r="FOK36" s="218"/>
      <c r="FOL36" s="218"/>
      <c r="FOM36" s="218"/>
      <c r="FON36" s="218"/>
      <c r="FOO36" s="218"/>
      <c r="FOP36" s="218"/>
      <c r="FOQ36" s="218"/>
      <c r="FOR36" s="218"/>
      <c r="FOS36" s="218"/>
      <c r="FOT36" s="218"/>
      <c r="FOU36" s="218"/>
      <c r="FOV36" s="218"/>
      <c r="FOW36" s="218"/>
      <c r="FOX36" s="218"/>
      <c r="FOY36" s="218"/>
      <c r="FOZ36" s="218"/>
      <c r="FPA36" s="218"/>
      <c r="FPB36" s="218"/>
      <c r="FPC36" s="218"/>
      <c r="FPD36" s="218"/>
      <c r="FPE36" s="218"/>
      <c r="FPF36" s="218"/>
      <c r="FPG36" s="218"/>
      <c r="FPH36" s="218"/>
      <c r="FPI36" s="218"/>
      <c r="FPJ36" s="218"/>
      <c r="FPK36" s="218"/>
      <c r="FPL36" s="218"/>
      <c r="FPM36" s="218"/>
      <c r="FPN36" s="218"/>
      <c r="FPO36" s="218"/>
      <c r="FPP36" s="218"/>
      <c r="FPQ36" s="218"/>
      <c r="FPR36" s="218"/>
      <c r="FPS36" s="218"/>
      <c r="FPT36" s="218"/>
      <c r="FPU36" s="218"/>
      <c r="FPV36" s="218"/>
      <c r="FPW36" s="218"/>
      <c r="FPX36" s="218"/>
      <c r="FPY36" s="218"/>
      <c r="FPZ36" s="218"/>
      <c r="FQA36" s="218"/>
      <c r="FQB36" s="218"/>
      <c r="FQC36" s="218"/>
      <c r="FQD36" s="218"/>
      <c r="FQE36" s="218"/>
      <c r="FQF36" s="218"/>
      <c r="FQG36" s="218"/>
      <c r="FQH36" s="218"/>
      <c r="FQI36" s="218"/>
      <c r="FQJ36" s="218"/>
      <c r="FQK36" s="218"/>
      <c r="FQL36" s="218"/>
      <c r="FQM36" s="218"/>
      <c r="FQN36" s="218"/>
      <c r="FQO36" s="218"/>
      <c r="FQP36" s="218"/>
      <c r="FQQ36" s="218"/>
      <c r="FQR36" s="218"/>
      <c r="FQS36" s="218"/>
      <c r="FQT36" s="218"/>
      <c r="FQU36" s="218"/>
      <c r="FQV36" s="218"/>
      <c r="FQW36" s="218"/>
      <c r="FQX36" s="218"/>
      <c r="FQY36" s="218"/>
      <c r="FQZ36" s="218"/>
      <c r="FRA36" s="218"/>
      <c r="FRB36" s="218"/>
      <c r="FRC36" s="218"/>
      <c r="FRD36" s="218"/>
      <c r="FRE36" s="218"/>
      <c r="FRF36" s="218"/>
      <c r="FRG36" s="218"/>
      <c r="FRH36" s="218"/>
      <c r="FRI36" s="218"/>
      <c r="FRJ36" s="218"/>
      <c r="FRK36" s="218"/>
      <c r="FRL36" s="218"/>
      <c r="FRM36" s="218"/>
      <c r="FRN36" s="218"/>
      <c r="FRO36" s="218"/>
      <c r="FRP36" s="218"/>
      <c r="FRQ36" s="218"/>
      <c r="FRR36" s="218"/>
      <c r="FRS36" s="218"/>
      <c r="FRT36" s="218"/>
      <c r="FRU36" s="218"/>
      <c r="FRV36" s="218"/>
      <c r="FRW36" s="218"/>
      <c r="FRX36" s="218"/>
      <c r="FRY36" s="218"/>
      <c r="FRZ36" s="218"/>
      <c r="FSA36" s="218"/>
      <c r="FSB36" s="218"/>
      <c r="FSC36" s="218"/>
      <c r="FSD36" s="218"/>
      <c r="FSE36" s="218"/>
      <c r="FSF36" s="218"/>
      <c r="FSG36" s="218"/>
      <c r="FSH36" s="218"/>
      <c r="FSI36" s="218"/>
      <c r="FSJ36" s="218"/>
      <c r="FSK36" s="218"/>
      <c r="FSL36" s="218"/>
      <c r="FSM36" s="218"/>
      <c r="FSN36" s="218"/>
      <c r="FSO36" s="218"/>
      <c r="FSP36" s="218"/>
      <c r="FSQ36" s="218"/>
      <c r="FSR36" s="218"/>
      <c r="FSS36" s="218"/>
      <c r="FST36" s="218"/>
      <c r="FSU36" s="218"/>
      <c r="FSV36" s="218"/>
      <c r="FSW36" s="218"/>
      <c r="FSX36" s="218"/>
      <c r="FSY36" s="218"/>
      <c r="FSZ36" s="218"/>
      <c r="FTA36" s="218"/>
      <c r="FTB36" s="218"/>
      <c r="FTC36" s="218"/>
      <c r="FTD36" s="218"/>
      <c r="FTE36" s="218"/>
      <c r="FTF36" s="218"/>
      <c r="FTG36" s="218"/>
      <c r="FTH36" s="218"/>
      <c r="FTI36" s="218"/>
      <c r="FTJ36" s="218"/>
      <c r="FTK36" s="218"/>
      <c r="FTL36" s="218"/>
      <c r="FTM36" s="218"/>
      <c r="FTN36" s="218"/>
      <c r="FTO36" s="218"/>
      <c r="FTP36" s="218"/>
      <c r="FTQ36" s="218"/>
      <c r="FTR36" s="218"/>
      <c r="FTS36" s="218"/>
      <c r="FTT36" s="218"/>
      <c r="FTU36" s="218"/>
      <c r="FTV36" s="218"/>
      <c r="FTW36" s="218"/>
      <c r="FTX36" s="218"/>
      <c r="FTY36" s="218"/>
      <c r="FTZ36" s="218"/>
      <c r="FUA36" s="218"/>
      <c r="FUB36" s="218"/>
      <c r="FUC36" s="218"/>
      <c r="FUD36" s="218"/>
      <c r="FUE36" s="218"/>
      <c r="FUF36" s="218"/>
      <c r="FUG36" s="218"/>
      <c r="FUH36" s="218"/>
      <c r="FUI36" s="218"/>
      <c r="FUJ36" s="218"/>
      <c r="FUK36" s="218"/>
      <c r="FUL36" s="218"/>
      <c r="FUM36" s="218"/>
      <c r="FUN36" s="218"/>
      <c r="FUO36" s="218"/>
      <c r="FUP36" s="218"/>
      <c r="FUQ36" s="218"/>
      <c r="FUR36" s="218"/>
      <c r="FUS36" s="218"/>
      <c r="FUT36" s="218"/>
      <c r="FUU36" s="218"/>
      <c r="FUV36" s="218"/>
      <c r="FUW36" s="218"/>
      <c r="FUX36" s="218"/>
      <c r="FUY36" s="218"/>
      <c r="FUZ36" s="218"/>
      <c r="FVA36" s="218"/>
      <c r="FVB36" s="218"/>
      <c r="FVC36" s="218"/>
      <c r="FVD36" s="218"/>
      <c r="FVE36" s="218"/>
      <c r="FVF36" s="218"/>
      <c r="FVG36" s="218"/>
      <c r="FVH36" s="218"/>
      <c r="FVI36" s="218"/>
      <c r="FVJ36" s="218"/>
      <c r="FVK36" s="218"/>
      <c r="FVL36" s="218"/>
      <c r="FVM36" s="218"/>
      <c r="FVN36" s="218"/>
      <c r="FVO36" s="218"/>
      <c r="FVP36" s="218"/>
      <c r="FVQ36" s="218"/>
      <c r="FVR36" s="218"/>
      <c r="FVS36" s="218"/>
      <c r="FVT36" s="218"/>
      <c r="FVU36" s="218"/>
      <c r="FVV36" s="218"/>
      <c r="FVW36" s="218"/>
      <c r="FVX36" s="218"/>
      <c r="FVY36" s="218"/>
      <c r="FVZ36" s="218"/>
      <c r="FWA36" s="218"/>
      <c r="FWB36" s="218"/>
      <c r="FWC36" s="218"/>
      <c r="FWD36" s="218"/>
      <c r="FWE36" s="218"/>
      <c r="FWF36" s="218"/>
      <c r="FWG36" s="218"/>
      <c r="FWH36" s="218"/>
      <c r="FWI36" s="218"/>
      <c r="FWJ36" s="218"/>
      <c r="FWK36" s="218"/>
      <c r="FWL36" s="218"/>
      <c r="FWM36" s="218"/>
      <c r="FWN36" s="218"/>
      <c r="FWO36" s="218"/>
      <c r="FWP36" s="218"/>
      <c r="FWQ36" s="218"/>
      <c r="FWR36" s="218"/>
      <c r="FWS36" s="218"/>
      <c r="FWT36" s="218"/>
      <c r="FWU36" s="218"/>
      <c r="FWV36" s="218"/>
      <c r="FWW36" s="218"/>
      <c r="FWX36" s="218"/>
      <c r="FWY36" s="218"/>
      <c r="FWZ36" s="218"/>
      <c r="FXA36" s="218"/>
      <c r="FXB36" s="218"/>
      <c r="FXC36" s="218"/>
      <c r="FXD36" s="218"/>
      <c r="FXE36" s="218"/>
      <c r="FXF36" s="218"/>
      <c r="FXG36" s="218"/>
      <c r="FXH36" s="218"/>
      <c r="FXI36" s="218"/>
      <c r="FXJ36" s="218"/>
      <c r="FXK36" s="218"/>
      <c r="FXL36" s="218"/>
      <c r="FXM36" s="218"/>
      <c r="FXN36" s="218"/>
      <c r="FXO36" s="218"/>
      <c r="FXP36" s="218"/>
      <c r="FXQ36" s="218"/>
      <c r="FXR36" s="218"/>
      <c r="FXS36" s="218"/>
      <c r="FXT36" s="218"/>
      <c r="FXU36" s="218"/>
      <c r="FXV36" s="218"/>
      <c r="FXW36" s="218"/>
      <c r="FXX36" s="218"/>
      <c r="FXY36" s="218"/>
      <c r="FXZ36" s="218"/>
      <c r="FYA36" s="218"/>
      <c r="FYB36" s="218"/>
      <c r="FYC36" s="218"/>
      <c r="FYD36" s="218"/>
      <c r="FYE36" s="218"/>
      <c r="FYF36" s="218"/>
      <c r="FYG36" s="218"/>
      <c r="FYH36" s="218"/>
      <c r="FYI36" s="218"/>
      <c r="FYJ36" s="218"/>
      <c r="FYK36" s="218"/>
      <c r="FYL36" s="218"/>
      <c r="FYM36" s="218"/>
      <c r="FYN36" s="218"/>
      <c r="FYO36" s="218"/>
      <c r="FYP36" s="218"/>
      <c r="FYQ36" s="218"/>
      <c r="FYR36" s="218"/>
      <c r="FYS36" s="218"/>
      <c r="FYT36" s="218"/>
      <c r="FYU36" s="218"/>
      <c r="FYV36" s="218"/>
      <c r="FYW36" s="218"/>
      <c r="FYX36" s="218"/>
      <c r="FYY36" s="218"/>
      <c r="FYZ36" s="218"/>
      <c r="FZA36" s="218"/>
      <c r="FZB36" s="218"/>
      <c r="FZC36" s="218"/>
      <c r="FZD36" s="218"/>
      <c r="FZE36" s="218"/>
      <c r="FZF36" s="218"/>
      <c r="FZG36" s="218"/>
      <c r="FZH36" s="218"/>
      <c r="FZI36" s="218"/>
      <c r="FZJ36" s="218"/>
      <c r="FZK36" s="218"/>
      <c r="FZL36" s="218"/>
      <c r="FZM36" s="218"/>
      <c r="FZN36" s="218"/>
      <c r="FZO36" s="218"/>
      <c r="FZP36" s="218"/>
      <c r="FZQ36" s="218"/>
      <c r="FZR36" s="218"/>
      <c r="FZS36" s="218"/>
      <c r="FZT36" s="218"/>
      <c r="FZU36" s="218"/>
      <c r="FZV36" s="218"/>
      <c r="FZW36" s="218"/>
      <c r="FZX36" s="218"/>
      <c r="FZY36" s="218"/>
      <c r="FZZ36" s="218"/>
      <c r="GAA36" s="218"/>
      <c r="GAB36" s="218"/>
      <c r="GAC36" s="218"/>
      <c r="GAD36" s="218"/>
      <c r="GAE36" s="218"/>
      <c r="GAF36" s="218"/>
      <c r="GAG36" s="218"/>
      <c r="GAH36" s="218"/>
      <c r="GAI36" s="218"/>
      <c r="GAJ36" s="218"/>
      <c r="GAK36" s="218"/>
      <c r="GAL36" s="218"/>
      <c r="GAM36" s="218"/>
      <c r="GAN36" s="218"/>
      <c r="GAO36" s="218"/>
      <c r="GAP36" s="218"/>
      <c r="GAQ36" s="218"/>
      <c r="GAR36" s="218"/>
      <c r="GAS36" s="218"/>
      <c r="GAT36" s="218"/>
      <c r="GAU36" s="218"/>
      <c r="GAV36" s="218"/>
      <c r="GAW36" s="218"/>
      <c r="GAX36" s="218"/>
      <c r="GAY36" s="218"/>
      <c r="GAZ36" s="218"/>
      <c r="GBA36" s="218"/>
      <c r="GBB36" s="218"/>
      <c r="GBC36" s="218"/>
      <c r="GBD36" s="218"/>
      <c r="GBE36" s="218"/>
      <c r="GBF36" s="218"/>
      <c r="GBG36" s="218"/>
      <c r="GBH36" s="218"/>
      <c r="GBI36" s="218"/>
      <c r="GBJ36" s="218"/>
      <c r="GBK36" s="218"/>
      <c r="GBL36" s="218"/>
      <c r="GBM36" s="218"/>
      <c r="GBN36" s="218"/>
      <c r="GBO36" s="218"/>
      <c r="GBP36" s="218"/>
      <c r="GBQ36" s="218"/>
      <c r="GBR36" s="218"/>
      <c r="GBS36" s="218"/>
      <c r="GBT36" s="218"/>
      <c r="GBU36" s="218"/>
      <c r="GBV36" s="218"/>
      <c r="GBW36" s="218"/>
      <c r="GBX36" s="218"/>
      <c r="GBY36" s="218"/>
      <c r="GBZ36" s="218"/>
      <c r="GCA36" s="218"/>
      <c r="GCB36" s="218"/>
      <c r="GCC36" s="218"/>
      <c r="GCD36" s="218"/>
      <c r="GCE36" s="218"/>
      <c r="GCF36" s="218"/>
      <c r="GCG36" s="218"/>
      <c r="GCH36" s="218"/>
      <c r="GCI36" s="218"/>
      <c r="GCJ36" s="218"/>
      <c r="GCK36" s="218"/>
      <c r="GCL36" s="218"/>
      <c r="GCM36" s="218"/>
      <c r="GCN36" s="218"/>
      <c r="GCO36" s="218"/>
      <c r="GCP36" s="218"/>
      <c r="GCQ36" s="218"/>
      <c r="GCR36" s="218"/>
      <c r="GCS36" s="218"/>
      <c r="GCT36" s="218"/>
      <c r="GCU36" s="218"/>
      <c r="GCV36" s="218"/>
      <c r="GCW36" s="218"/>
      <c r="GCX36" s="218"/>
      <c r="GCY36" s="218"/>
      <c r="GCZ36" s="218"/>
      <c r="GDA36" s="218"/>
      <c r="GDB36" s="218"/>
      <c r="GDC36" s="218"/>
      <c r="GDD36" s="218"/>
      <c r="GDE36" s="218"/>
      <c r="GDF36" s="218"/>
      <c r="GDG36" s="218"/>
      <c r="GDH36" s="218"/>
      <c r="GDI36" s="218"/>
      <c r="GDJ36" s="218"/>
      <c r="GDK36" s="218"/>
      <c r="GDL36" s="218"/>
      <c r="GDM36" s="218"/>
      <c r="GDN36" s="218"/>
      <c r="GDO36" s="218"/>
      <c r="GDP36" s="218"/>
      <c r="GDQ36" s="218"/>
      <c r="GDR36" s="218"/>
      <c r="GDS36" s="218"/>
      <c r="GDT36" s="218"/>
      <c r="GDU36" s="218"/>
      <c r="GDV36" s="218"/>
      <c r="GDW36" s="218"/>
      <c r="GDX36" s="218"/>
      <c r="GDY36" s="218"/>
      <c r="GDZ36" s="218"/>
      <c r="GEA36" s="218"/>
      <c r="GEB36" s="218"/>
      <c r="GEC36" s="218"/>
      <c r="GED36" s="218"/>
      <c r="GEE36" s="218"/>
      <c r="GEF36" s="218"/>
      <c r="GEG36" s="218"/>
      <c r="GEH36" s="218"/>
      <c r="GEI36" s="218"/>
      <c r="GEJ36" s="218"/>
      <c r="GEK36" s="218"/>
      <c r="GEL36" s="218"/>
      <c r="GEM36" s="218"/>
      <c r="GEN36" s="218"/>
      <c r="GEO36" s="218"/>
      <c r="GEP36" s="218"/>
      <c r="GEQ36" s="218"/>
      <c r="GER36" s="218"/>
      <c r="GES36" s="218"/>
      <c r="GET36" s="218"/>
      <c r="GEU36" s="218"/>
      <c r="GEV36" s="218"/>
      <c r="GEW36" s="218"/>
      <c r="GEX36" s="218"/>
      <c r="GEY36" s="218"/>
      <c r="GEZ36" s="218"/>
      <c r="GFA36" s="218"/>
      <c r="GFB36" s="218"/>
      <c r="GFC36" s="218"/>
      <c r="GFD36" s="218"/>
      <c r="GFE36" s="218"/>
      <c r="GFF36" s="218"/>
      <c r="GFG36" s="218"/>
      <c r="GFH36" s="218"/>
      <c r="GFI36" s="218"/>
      <c r="GFJ36" s="218"/>
      <c r="GFK36" s="218"/>
      <c r="GFL36" s="218"/>
      <c r="GFM36" s="218"/>
      <c r="GFN36" s="218"/>
      <c r="GFO36" s="218"/>
      <c r="GFP36" s="218"/>
      <c r="GFQ36" s="218"/>
      <c r="GFR36" s="218"/>
      <c r="GFS36" s="218"/>
      <c r="GFT36" s="218"/>
      <c r="GFU36" s="218"/>
      <c r="GFV36" s="218"/>
      <c r="GFW36" s="218"/>
      <c r="GFX36" s="218"/>
      <c r="GFY36" s="218"/>
      <c r="GFZ36" s="218"/>
      <c r="GGA36" s="218"/>
      <c r="GGB36" s="218"/>
      <c r="GGC36" s="218"/>
      <c r="GGD36" s="218"/>
      <c r="GGE36" s="218"/>
      <c r="GGF36" s="218"/>
      <c r="GGG36" s="218"/>
      <c r="GGH36" s="218"/>
      <c r="GGI36" s="218"/>
      <c r="GGJ36" s="218"/>
      <c r="GGK36" s="218"/>
      <c r="GGL36" s="218"/>
      <c r="GGM36" s="218"/>
      <c r="GGN36" s="218"/>
      <c r="GGO36" s="218"/>
      <c r="GGP36" s="218"/>
      <c r="GGQ36" s="218"/>
      <c r="GGR36" s="218"/>
      <c r="GGS36" s="218"/>
      <c r="GGT36" s="218"/>
      <c r="GGU36" s="218"/>
      <c r="GGV36" s="218"/>
      <c r="GGW36" s="218"/>
      <c r="GGX36" s="218"/>
      <c r="GGY36" s="218"/>
      <c r="GGZ36" s="218"/>
      <c r="GHA36" s="218"/>
      <c r="GHB36" s="218"/>
      <c r="GHC36" s="218"/>
      <c r="GHD36" s="218"/>
      <c r="GHE36" s="218"/>
      <c r="GHF36" s="218"/>
      <c r="GHG36" s="218"/>
      <c r="GHH36" s="218"/>
      <c r="GHI36" s="218"/>
      <c r="GHJ36" s="218"/>
      <c r="GHK36" s="218"/>
      <c r="GHL36" s="218"/>
      <c r="GHM36" s="218"/>
      <c r="GHN36" s="218"/>
      <c r="GHO36" s="218"/>
      <c r="GHP36" s="218"/>
      <c r="GHQ36" s="218"/>
      <c r="GHR36" s="218"/>
      <c r="GHS36" s="218"/>
      <c r="GHT36" s="218"/>
      <c r="GHU36" s="218"/>
      <c r="GHV36" s="218"/>
      <c r="GHW36" s="218"/>
      <c r="GHX36" s="218"/>
      <c r="GHY36" s="218"/>
      <c r="GHZ36" s="218"/>
      <c r="GIA36" s="218"/>
      <c r="GIB36" s="218"/>
      <c r="GIC36" s="218"/>
      <c r="GID36" s="218"/>
      <c r="GIE36" s="218"/>
      <c r="GIF36" s="218"/>
      <c r="GIG36" s="218"/>
      <c r="GIH36" s="218"/>
      <c r="GII36" s="218"/>
      <c r="GIJ36" s="218"/>
      <c r="GIK36" s="218"/>
      <c r="GIL36" s="218"/>
      <c r="GIM36" s="218"/>
      <c r="GIN36" s="218"/>
      <c r="GIO36" s="218"/>
      <c r="GIP36" s="218"/>
      <c r="GIQ36" s="218"/>
      <c r="GIR36" s="218"/>
      <c r="GIS36" s="218"/>
      <c r="GIT36" s="218"/>
      <c r="GIU36" s="218"/>
      <c r="GIV36" s="218"/>
      <c r="GIW36" s="218"/>
      <c r="GIX36" s="218"/>
      <c r="GIY36" s="218"/>
      <c r="GIZ36" s="218"/>
      <c r="GJA36" s="218"/>
      <c r="GJB36" s="218"/>
      <c r="GJC36" s="218"/>
      <c r="GJD36" s="218"/>
      <c r="GJE36" s="218"/>
      <c r="GJF36" s="218"/>
      <c r="GJG36" s="218"/>
      <c r="GJH36" s="218"/>
      <c r="GJI36" s="218"/>
      <c r="GJJ36" s="218"/>
      <c r="GJK36" s="218"/>
      <c r="GJL36" s="218"/>
      <c r="GJM36" s="218"/>
      <c r="GJN36" s="218"/>
      <c r="GJO36" s="218"/>
      <c r="GJP36" s="218"/>
      <c r="GJQ36" s="218"/>
      <c r="GJR36" s="218"/>
      <c r="GJS36" s="218"/>
      <c r="GJT36" s="218"/>
      <c r="GJU36" s="218"/>
      <c r="GJV36" s="218"/>
      <c r="GJW36" s="218"/>
      <c r="GJX36" s="218"/>
      <c r="GJY36" s="218"/>
      <c r="GJZ36" s="218"/>
      <c r="GKA36" s="218"/>
      <c r="GKB36" s="218"/>
      <c r="GKC36" s="218"/>
      <c r="GKD36" s="218"/>
      <c r="GKE36" s="218"/>
      <c r="GKF36" s="218"/>
      <c r="GKG36" s="218"/>
      <c r="GKH36" s="218"/>
      <c r="GKI36" s="218"/>
      <c r="GKJ36" s="218"/>
      <c r="GKK36" s="218"/>
      <c r="GKL36" s="218"/>
      <c r="GKM36" s="218"/>
      <c r="GKN36" s="218"/>
      <c r="GKO36" s="218"/>
      <c r="GKP36" s="218"/>
      <c r="GKQ36" s="218"/>
      <c r="GKR36" s="218"/>
      <c r="GKS36" s="218"/>
      <c r="GKT36" s="218"/>
      <c r="GKU36" s="218"/>
      <c r="GKV36" s="218"/>
      <c r="GKW36" s="218"/>
      <c r="GKX36" s="218"/>
      <c r="GKY36" s="218"/>
      <c r="GKZ36" s="218"/>
      <c r="GLA36" s="218"/>
      <c r="GLB36" s="218"/>
      <c r="GLC36" s="218"/>
      <c r="GLD36" s="218"/>
      <c r="GLE36" s="218"/>
      <c r="GLF36" s="218"/>
      <c r="GLG36" s="218"/>
      <c r="GLH36" s="218"/>
      <c r="GLI36" s="218"/>
      <c r="GLJ36" s="218"/>
      <c r="GLK36" s="218"/>
      <c r="GLL36" s="218"/>
      <c r="GLM36" s="218"/>
      <c r="GLN36" s="218"/>
      <c r="GLO36" s="218"/>
      <c r="GLP36" s="218"/>
      <c r="GLQ36" s="218"/>
      <c r="GLR36" s="218"/>
      <c r="GLS36" s="218"/>
      <c r="GLT36" s="218"/>
      <c r="GLU36" s="218"/>
      <c r="GLV36" s="218"/>
      <c r="GLW36" s="218"/>
      <c r="GLX36" s="218"/>
      <c r="GLY36" s="218"/>
      <c r="GLZ36" s="218"/>
      <c r="GMA36" s="218"/>
      <c r="GMB36" s="218"/>
      <c r="GMC36" s="218"/>
      <c r="GMD36" s="218"/>
      <c r="GME36" s="218"/>
      <c r="GMF36" s="218"/>
      <c r="GMG36" s="218"/>
      <c r="GMH36" s="218"/>
      <c r="GMI36" s="218"/>
      <c r="GMJ36" s="218"/>
      <c r="GMK36" s="218"/>
      <c r="GML36" s="218"/>
      <c r="GMM36" s="218"/>
      <c r="GMN36" s="218"/>
      <c r="GMO36" s="218"/>
      <c r="GMP36" s="218"/>
      <c r="GMQ36" s="218"/>
      <c r="GMR36" s="218"/>
      <c r="GMS36" s="218"/>
      <c r="GMT36" s="218"/>
      <c r="GMU36" s="218"/>
      <c r="GMV36" s="218"/>
      <c r="GMW36" s="218"/>
      <c r="GMX36" s="218"/>
      <c r="GMY36" s="218"/>
      <c r="GMZ36" s="218"/>
      <c r="GNA36" s="218"/>
      <c r="GNB36" s="218"/>
      <c r="GNC36" s="218"/>
      <c r="GND36" s="218"/>
      <c r="GNE36" s="218"/>
      <c r="GNF36" s="218"/>
      <c r="GNG36" s="218"/>
      <c r="GNH36" s="218"/>
      <c r="GNI36" s="218"/>
      <c r="GNJ36" s="218"/>
      <c r="GNK36" s="218"/>
      <c r="GNL36" s="218"/>
      <c r="GNM36" s="218"/>
      <c r="GNN36" s="218"/>
      <c r="GNO36" s="218"/>
      <c r="GNP36" s="218"/>
      <c r="GNQ36" s="218"/>
      <c r="GNR36" s="218"/>
      <c r="GNS36" s="218"/>
      <c r="GNT36" s="218"/>
      <c r="GNU36" s="218"/>
      <c r="GNV36" s="218"/>
      <c r="GNW36" s="218"/>
      <c r="GNX36" s="218"/>
      <c r="GNY36" s="218"/>
      <c r="GNZ36" s="218"/>
      <c r="GOA36" s="218"/>
      <c r="GOB36" s="218"/>
      <c r="GOC36" s="218"/>
      <c r="GOD36" s="218"/>
      <c r="GOE36" s="218"/>
      <c r="GOF36" s="218"/>
      <c r="GOG36" s="218"/>
      <c r="GOH36" s="218"/>
      <c r="GOI36" s="218"/>
      <c r="GOJ36" s="218"/>
      <c r="GOK36" s="218"/>
      <c r="GOL36" s="218"/>
      <c r="GOM36" s="218"/>
      <c r="GON36" s="218"/>
      <c r="GOO36" s="218"/>
      <c r="GOP36" s="218"/>
      <c r="GOQ36" s="218"/>
      <c r="GOR36" s="218"/>
      <c r="GOS36" s="218"/>
      <c r="GOT36" s="218"/>
      <c r="GOU36" s="218"/>
      <c r="GOV36" s="218"/>
      <c r="GOW36" s="218"/>
      <c r="GOX36" s="218"/>
      <c r="GOY36" s="218"/>
      <c r="GOZ36" s="218"/>
      <c r="GPA36" s="218"/>
      <c r="GPB36" s="218"/>
      <c r="GPC36" s="218"/>
      <c r="GPD36" s="218"/>
      <c r="GPE36" s="218"/>
      <c r="GPF36" s="218"/>
      <c r="GPG36" s="218"/>
      <c r="GPH36" s="218"/>
      <c r="GPI36" s="218"/>
      <c r="GPJ36" s="218"/>
      <c r="GPK36" s="218"/>
      <c r="GPL36" s="218"/>
      <c r="GPM36" s="218"/>
      <c r="GPN36" s="218"/>
      <c r="GPO36" s="218"/>
      <c r="GPP36" s="218"/>
      <c r="GPQ36" s="218"/>
      <c r="GPR36" s="218"/>
      <c r="GPS36" s="218"/>
      <c r="GPT36" s="218"/>
      <c r="GPU36" s="218"/>
      <c r="GPV36" s="218"/>
      <c r="GPW36" s="218"/>
      <c r="GPX36" s="218"/>
      <c r="GPY36" s="218"/>
      <c r="GPZ36" s="218"/>
      <c r="GQA36" s="218"/>
      <c r="GQB36" s="218"/>
      <c r="GQC36" s="218"/>
      <c r="GQD36" s="218"/>
      <c r="GQE36" s="218"/>
      <c r="GQF36" s="218"/>
      <c r="GQG36" s="218"/>
      <c r="GQH36" s="218"/>
      <c r="GQI36" s="218"/>
      <c r="GQJ36" s="218"/>
      <c r="GQK36" s="218"/>
      <c r="GQL36" s="218"/>
      <c r="GQM36" s="218"/>
      <c r="GQN36" s="218"/>
      <c r="GQO36" s="218"/>
      <c r="GQP36" s="218"/>
      <c r="GQQ36" s="218"/>
      <c r="GQR36" s="218"/>
      <c r="GQS36" s="218"/>
      <c r="GQT36" s="218"/>
      <c r="GQU36" s="218"/>
      <c r="GQV36" s="218"/>
      <c r="GQW36" s="218"/>
      <c r="GQX36" s="218"/>
      <c r="GQY36" s="218"/>
      <c r="GQZ36" s="218"/>
      <c r="GRA36" s="218"/>
      <c r="GRB36" s="218"/>
      <c r="GRC36" s="218"/>
      <c r="GRD36" s="218"/>
      <c r="GRE36" s="218"/>
      <c r="GRF36" s="218"/>
      <c r="GRG36" s="218"/>
      <c r="GRH36" s="218"/>
      <c r="GRI36" s="218"/>
      <c r="GRJ36" s="218"/>
      <c r="GRK36" s="218"/>
      <c r="GRL36" s="218"/>
      <c r="GRM36" s="218"/>
      <c r="GRN36" s="218"/>
      <c r="GRO36" s="218"/>
      <c r="GRP36" s="218"/>
      <c r="GRQ36" s="218"/>
      <c r="GRR36" s="218"/>
      <c r="GRS36" s="218"/>
      <c r="GRT36" s="218"/>
      <c r="GRU36" s="218"/>
      <c r="GRV36" s="218"/>
      <c r="GRW36" s="218"/>
      <c r="GRX36" s="218"/>
      <c r="GRY36" s="218"/>
      <c r="GRZ36" s="218"/>
      <c r="GSA36" s="218"/>
      <c r="GSB36" s="218"/>
      <c r="GSC36" s="218"/>
      <c r="GSD36" s="218"/>
      <c r="GSE36" s="218"/>
      <c r="GSF36" s="218"/>
      <c r="GSG36" s="218"/>
      <c r="GSH36" s="218"/>
      <c r="GSI36" s="218"/>
      <c r="GSJ36" s="218"/>
      <c r="GSK36" s="218"/>
      <c r="GSL36" s="218"/>
      <c r="GSM36" s="218"/>
      <c r="GSN36" s="218"/>
      <c r="GSO36" s="218"/>
      <c r="GSP36" s="218"/>
      <c r="GSQ36" s="218"/>
      <c r="GSR36" s="218"/>
      <c r="GSS36" s="218"/>
      <c r="GST36" s="218"/>
      <c r="GSU36" s="218"/>
      <c r="GSV36" s="218"/>
      <c r="GSW36" s="218"/>
      <c r="GSX36" s="218"/>
      <c r="GSY36" s="218"/>
      <c r="GSZ36" s="218"/>
      <c r="GTA36" s="218"/>
      <c r="GTB36" s="218"/>
      <c r="GTC36" s="218"/>
      <c r="GTD36" s="218"/>
      <c r="GTE36" s="218"/>
      <c r="GTF36" s="218"/>
      <c r="GTG36" s="218"/>
      <c r="GTH36" s="218"/>
      <c r="GTI36" s="218"/>
      <c r="GTJ36" s="218"/>
      <c r="GTK36" s="218"/>
      <c r="GTL36" s="218"/>
      <c r="GTM36" s="218"/>
      <c r="GTN36" s="218"/>
      <c r="GTO36" s="218"/>
      <c r="GTP36" s="218"/>
      <c r="GTQ36" s="218"/>
      <c r="GTR36" s="218"/>
      <c r="GTS36" s="218"/>
      <c r="GTT36" s="218"/>
      <c r="GTU36" s="218"/>
      <c r="GTV36" s="218"/>
      <c r="GTW36" s="218"/>
      <c r="GTX36" s="218"/>
      <c r="GTY36" s="218"/>
      <c r="GTZ36" s="218"/>
      <c r="GUA36" s="218"/>
      <c r="GUB36" s="218"/>
      <c r="GUC36" s="218"/>
      <c r="GUD36" s="218"/>
      <c r="GUE36" s="218"/>
      <c r="GUF36" s="218"/>
      <c r="GUG36" s="218"/>
      <c r="GUH36" s="218"/>
      <c r="GUI36" s="218"/>
      <c r="GUJ36" s="218"/>
      <c r="GUK36" s="218"/>
      <c r="GUL36" s="218"/>
      <c r="GUM36" s="218"/>
      <c r="GUN36" s="218"/>
      <c r="GUO36" s="218"/>
      <c r="GUP36" s="218"/>
      <c r="GUQ36" s="218"/>
      <c r="GUR36" s="218"/>
      <c r="GUS36" s="218"/>
      <c r="GUT36" s="218"/>
      <c r="GUU36" s="218"/>
      <c r="GUV36" s="218"/>
      <c r="GUW36" s="218"/>
      <c r="GUX36" s="218"/>
      <c r="GUY36" s="218"/>
      <c r="GUZ36" s="218"/>
      <c r="GVA36" s="218"/>
      <c r="GVB36" s="218"/>
      <c r="GVC36" s="218"/>
      <c r="GVD36" s="218"/>
      <c r="GVE36" s="218"/>
      <c r="GVF36" s="218"/>
      <c r="GVG36" s="218"/>
      <c r="GVH36" s="218"/>
      <c r="GVI36" s="218"/>
      <c r="GVJ36" s="218"/>
      <c r="GVK36" s="218"/>
      <c r="GVL36" s="218"/>
      <c r="GVM36" s="218"/>
      <c r="GVN36" s="218"/>
      <c r="GVO36" s="218"/>
      <c r="GVP36" s="218"/>
      <c r="GVQ36" s="218"/>
      <c r="GVR36" s="218"/>
      <c r="GVS36" s="218"/>
      <c r="GVT36" s="218"/>
      <c r="GVU36" s="218"/>
      <c r="GVV36" s="218"/>
      <c r="GVW36" s="218"/>
      <c r="GVX36" s="218"/>
      <c r="GVY36" s="218"/>
      <c r="GVZ36" s="218"/>
      <c r="GWA36" s="218"/>
      <c r="GWB36" s="218"/>
      <c r="GWC36" s="218"/>
      <c r="GWD36" s="218"/>
      <c r="GWE36" s="218"/>
      <c r="GWF36" s="218"/>
      <c r="GWG36" s="218"/>
      <c r="GWH36" s="218"/>
      <c r="GWI36" s="218"/>
      <c r="GWJ36" s="218"/>
      <c r="GWK36" s="218"/>
      <c r="GWL36" s="218"/>
      <c r="GWM36" s="218"/>
      <c r="GWN36" s="218"/>
      <c r="GWO36" s="218"/>
      <c r="GWP36" s="218"/>
      <c r="GWQ36" s="218"/>
      <c r="GWR36" s="218"/>
      <c r="GWS36" s="218"/>
      <c r="GWT36" s="218"/>
      <c r="GWU36" s="218"/>
      <c r="GWV36" s="218"/>
      <c r="GWW36" s="218"/>
      <c r="GWX36" s="218"/>
      <c r="GWY36" s="218"/>
      <c r="GWZ36" s="218"/>
      <c r="GXA36" s="218"/>
      <c r="GXB36" s="218"/>
      <c r="GXC36" s="218"/>
      <c r="GXD36" s="218"/>
      <c r="GXE36" s="218"/>
      <c r="GXF36" s="218"/>
      <c r="GXG36" s="218"/>
      <c r="GXH36" s="218"/>
      <c r="GXI36" s="218"/>
      <c r="GXJ36" s="218"/>
      <c r="GXK36" s="218"/>
      <c r="GXL36" s="218"/>
      <c r="GXM36" s="218"/>
      <c r="GXN36" s="218"/>
      <c r="GXO36" s="218"/>
      <c r="GXP36" s="218"/>
      <c r="GXQ36" s="218"/>
      <c r="GXR36" s="218"/>
      <c r="GXS36" s="218"/>
      <c r="GXT36" s="218"/>
      <c r="GXU36" s="218"/>
      <c r="GXV36" s="218"/>
      <c r="GXW36" s="218"/>
      <c r="GXX36" s="218"/>
      <c r="GXY36" s="218"/>
      <c r="GXZ36" s="218"/>
      <c r="GYA36" s="218"/>
      <c r="GYB36" s="218"/>
      <c r="GYC36" s="218"/>
      <c r="GYD36" s="218"/>
      <c r="GYE36" s="218"/>
      <c r="GYF36" s="218"/>
      <c r="GYG36" s="218"/>
      <c r="GYH36" s="218"/>
      <c r="GYI36" s="218"/>
      <c r="GYJ36" s="218"/>
      <c r="GYK36" s="218"/>
      <c r="GYL36" s="218"/>
      <c r="GYM36" s="218"/>
      <c r="GYN36" s="218"/>
      <c r="GYO36" s="218"/>
      <c r="GYP36" s="218"/>
      <c r="GYQ36" s="218"/>
      <c r="GYR36" s="218"/>
      <c r="GYS36" s="218"/>
      <c r="GYT36" s="218"/>
      <c r="GYU36" s="218"/>
      <c r="GYV36" s="218"/>
      <c r="GYW36" s="218"/>
      <c r="GYX36" s="218"/>
      <c r="GYY36" s="218"/>
      <c r="GYZ36" s="218"/>
      <c r="GZA36" s="218"/>
      <c r="GZB36" s="218"/>
      <c r="GZC36" s="218"/>
      <c r="GZD36" s="218"/>
      <c r="GZE36" s="218"/>
      <c r="GZF36" s="218"/>
      <c r="GZG36" s="218"/>
      <c r="GZH36" s="218"/>
      <c r="GZI36" s="218"/>
      <c r="GZJ36" s="218"/>
      <c r="GZK36" s="218"/>
      <c r="GZL36" s="218"/>
      <c r="GZM36" s="218"/>
      <c r="GZN36" s="218"/>
      <c r="GZO36" s="218"/>
      <c r="GZP36" s="218"/>
      <c r="GZQ36" s="218"/>
      <c r="GZR36" s="218"/>
      <c r="GZS36" s="218"/>
      <c r="GZT36" s="218"/>
      <c r="GZU36" s="218"/>
      <c r="GZV36" s="218"/>
      <c r="GZW36" s="218"/>
      <c r="GZX36" s="218"/>
      <c r="GZY36" s="218"/>
      <c r="GZZ36" s="218"/>
      <c r="HAA36" s="218"/>
      <c r="HAB36" s="218"/>
      <c r="HAC36" s="218"/>
      <c r="HAD36" s="218"/>
      <c r="HAE36" s="218"/>
      <c r="HAF36" s="218"/>
      <c r="HAG36" s="218"/>
      <c r="HAH36" s="218"/>
      <c r="HAI36" s="218"/>
      <c r="HAJ36" s="218"/>
      <c r="HAK36" s="218"/>
      <c r="HAL36" s="218"/>
      <c r="HAM36" s="218"/>
      <c r="HAN36" s="218"/>
      <c r="HAO36" s="218"/>
      <c r="HAP36" s="218"/>
      <c r="HAQ36" s="218"/>
      <c r="HAR36" s="218"/>
      <c r="HAS36" s="218"/>
      <c r="HAT36" s="218"/>
      <c r="HAU36" s="218"/>
      <c r="HAV36" s="218"/>
      <c r="HAW36" s="218"/>
      <c r="HAX36" s="218"/>
      <c r="HAY36" s="218"/>
      <c r="HAZ36" s="218"/>
      <c r="HBA36" s="218"/>
      <c r="HBB36" s="218"/>
      <c r="HBC36" s="218"/>
      <c r="HBD36" s="218"/>
      <c r="HBE36" s="218"/>
      <c r="HBF36" s="218"/>
      <c r="HBG36" s="218"/>
      <c r="HBH36" s="218"/>
      <c r="HBI36" s="218"/>
      <c r="HBJ36" s="218"/>
      <c r="HBK36" s="218"/>
      <c r="HBL36" s="218"/>
      <c r="HBM36" s="218"/>
      <c r="HBN36" s="218"/>
      <c r="HBO36" s="218"/>
      <c r="HBP36" s="218"/>
      <c r="HBQ36" s="218"/>
      <c r="HBR36" s="218"/>
      <c r="HBS36" s="218"/>
      <c r="HBT36" s="218"/>
      <c r="HBU36" s="218"/>
      <c r="HBV36" s="218"/>
      <c r="HBW36" s="218"/>
      <c r="HBX36" s="218"/>
      <c r="HBY36" s="218"/>
      <c r="HBZ36" s="218"/>
      <c r="HCA36" s="218"/>
      <c r="HCB36" s="218"/>
      <c r="HCC36" s="218"/>
      <c r="HCD36" s="218"/>
      <c r="HCE36" s="218"/>
      <c r="HCF36" s="218"/>
      <c r="HCG36" s="218"/>
      <c r="HCH36" s="218"/>
      <c r="HCI36" s="218"/>
      <c r="HCJ36" s="218"/>
      <c r="HCK36" s="218"/>
      <c r="HCL36" s="218"/>
      <c r="HCM36" s="218"/>
      <c r="HCN36" s="218"/>
      <c r="HCO36" s="218"/>
      <c r="HCP36" s="218"/>
      <c r="HCQ36" s="218"/>
      <c r="HCR36" s="218"/>
      <c r="HCS36" s="218"/>
      <c r="HCT36" s="218"/>
      <c r="HCU36" s="218"/>
      <c r="HCV36" s="218"/>
      <c r="HCW36" s="218"/>
      <c r="HCX36" s="218"/>
      <c r="HCY36" s="218"/>
      <c r="HCZ36" s="218"/>
      <c r="HDA36" s="218"/>
      <c r="HDB36" s="218"/>
      <c r="HDC36" s="218"/>
      <c r="HDD36" s="218"/>
      <c r="HDE36" s="218"/>
      <c r="HDF36" s="218"/>
      <c r="HDG36" s="218"/>
      <c r="HDH36" s="218"/>
      <c r="HDI36" s="218"/>
      <c r="HDJ36" s="218"/>
      <c r="HDK36" s="218"/>
      <c r="HDL36" s="218"/>
      <c r="HDM36" s="218"/>
      <c r="HDN36" s="218"/>
      <c r="HDO36" s="218"/>
      <c r="HDP36" s="218"/>
      <c r="HDQ36" s="218"/>
      <c r="HDR36" s="218"/>
      <c r="HDS36" s="218"/>
      <c r="HDT36" s="218"/>
      <c r="HDU36" s="218"/>
      <c r="HDV36" s="218"/>
      <c r="HDW36" s="218"/>
      <c r="HDX36" s="218"/>
      <c r="HDY36" s="218"/>
      <c r="HDZ36" s="218"/>
      <c r="HEA36" s="218"/>
      <c r="HEB36" s="218"/>
      <c r="HEC36" s="218"/>
      <c r="HED36" s="218"/>
      <c r="HEE36" s="218"/>
      <c r="HEF36" s="218"/>
      <c r="HEG36" s="218"/>
      <c r="HEH36" s="218"/>
      <c r="HEI36" s="218"/>
      <c r="HEJ36" s="218"/>
      <c r="HEK36" s="218"/>
      <c r="HEL36" s="218"/>
      <c r="HEM36" s="218"/>
      <c r="HEN36" s="218"/>
      <c r="HEO36" s="218"/>
      <c r="HEP36" s="218"/>
      <c r="HEQ36" s="218"/>
      <c r="HER36" s="218"/>
      <c r="HES36" s="218"/>
      <c r="HET36" s="218"/>
      <c r="HEU36" s="218"/>
      <c r="HEV36" s="218"/>
      <c r="HEW36" s="218"/>
      <c r="HEX36" s="218"/>
      <c r="HEY36" s="218"/>
      <c r="HEZ36" s="218"/>
      <c r="HFA36" s="218"/>
      <c r="HFB36" s="218"/>
      <c r="HFC36" s="218"/>
      <c r="HFD36" s="218"/>
      <c r="HFE36" s="218"/>
      <c r="HFF36" s="218"/>
      <c r="HFG36" s="218"/>
      <c r="HFH36" s="218"/>
      <c r="HFI36" s="218"/>
      <c r="HFJ36" s="218"/>
      <c r="HFK36" s="218"/>
      <c r="HFL36" s="218"/>
      <c r="HFM36" s="218"/>
      <c r="HFN36" s="218"/>
      <c r="HFO36" s="218"/>
      <c r="HFP36" s="218"/>
      <c r="HFQ36" s="218"/>
      <c r="HFR36" s="218"/>
      <c r="HFS36" s="218"/>
      <c r="HFT36" s="218"/>
      <c r="HFU36" s="218"/>
      <c r="HFV36" s="218"/>
      <c r="HFW36" s="218"/>
      <c r="HFX36" s="218"/>
      <c r="HFY36" s="218"/>
      <c r="HFZ36" s="218"/>
      <c r="HGA36" s="218"/>
      <c r="HGB36" s="218"/>
      <c r="HGC36" s="218"/>
      <c r="HGD36" s="218"/>
      <c r="HGE36" s="218"/>
      <c r="HGF36" s="218"/>
      <c r="HGG36" s="218"/>
      <c r="HGH36" s="218"/>
      <c r="HGI36" s="218"/>
      <c r="HGJ36" s="218"/>
      <c r="HGK36" s="218"/>
      <c r="HGL36" s="218"/>
      <c r="HGM36" s="218"/>
      <c r="HGN36" s="218"/>
      <c r="HGO36" s="218"/>
      <c r="HGP36" s="218"/>
      <c r="HGQ36" s="218"/>
      <c r="HGR36" s="218"/>
      <c r="HGS36" s="218"/>
      <c r="HGT36" s="218"/>
      <c r="HGU36" s="218"/>
      <c r="HGV36" s="218"/>
      <c r="HGW36" s="218"/>
      <c r="HGX36" s="218"/>
      <c r="HGY36" s="218"/>
      <c r="HGZ36" s="218"/>
      <c r="HHA36" s="218"/>
      <c r="HHB36" s="218"/>
      <c r="HHC36" s="218"/>
      <c r="HHD36" s="218"/>
      <c r="HHE36" s="218"/>
      <c r="HHF36" s="218"/>
      <c r="HHG36" s="218"/>
      <c r="HHH36" s="218"/>
      <c r="HHI36" s="218"/>
      <c r="HHJ36" s="218"/>
      <c r="HHK36" s="218"/>
      <c r="HHL36" s="218"/>
      <c r="HHM36" s="218"/>
      <c r="HHN36" s="218"/>
      <c r="HHO36" s="218"/>
      <c r="HHP36" s="218"/>
      <c r="HHQ36" s="218"/>
      <c r="HHR36" s="218"/>
      <c r="HHS36" s="218"/>
      <c r="HHT36" s="218"/>
      <c r="HHU36" s="218"/>
      <c r="HHV36" s="218"/>
      <c r="HHW36" s="218"/>
      <c r="HHX36" s="218"/>
      <c r="HHY36" s="218"/>
      <c r="HHZ36" s="218"/>
      <c r="HIA36" s="218"/>
      <c r="HIB36" s="218"/>
      <c r="HIC36" s="218"/>
      <c r="HID36" s="218"/>
      <c r="HIE36" s="218"/>
      <c r="HIF36" s="218"/>
      <c r="HIG36" s="218"/>
      <c r="HIH36" s="218"/>
      <c r="HII36" s="218"/>
      <c r="HIJ36" s="218"/>
      <c r="HIK36" s="218"/>
      <c r="HIL36" s="218"/>
      <c r="HIM36" s="218"/>
      <c r="HIN36" s="218"/>
      <c r="HIO36" s="218"/>
      <c r="HIP36" s="218"/>
      <c r="HIQ36" s="218"/>
      <c r="HIR36" s="218"/>
      <c r="HIS36" s="218"/>
      <c r="HIT36" s="218"/>
      <c r="HIU36" s="218"/>
      <c r="HIV36" s="218"/>
      <c r="HIW36" s="218"/>
      <c r="HIX36" s="218"/>
      <c r="HIY36" s="218"/>
      <c r="HIZ36" s="218"/>
      <c r="HJA36" s="218"/>
      <c r="HJB36" s="218"/>
      <c r="HJC36" s="218"/>
      <c r="HJD36" s="218"/>
      <c r="HJE36" s="218"/>
      <c r="HJF36" s="218"/>
      <c r="HJG36" s="218"/>
      <c r="HJH36" s="218"/>
      <c r="HJI36" s="218"/>
      <c r="HJJ36" s="218"/>
      <c r="HJK36" s="218"/>
      <c r="HJL36" s="218"/>
      <c r="HJM36" s="218"/>
      <c r="HJN36" s="218"/>
      <c r="HJO36" s="218"/>
      <c r="HJP36" s="218"/>
      <c r="HJQ36" s="218"/>
      <c r="HJR36" s="218"/>
      <c r="HJS36" s="218"/>
      <c r="HJT36" s="218"/>
      <c r="HJU36" s="218"/>
      <c r="HJV36" s="218"/>
      <c r="HJW36" s="218"/>
      <c r="HJX36" s="218"/>
      <c r="HJY36" s="218"/>
      <c r="HJZ36" s="218"/>
      <c r="HKA36" s="218"/>
      <c r="HKB36" s="218"/>
      <c r="HKC36" s="218"/>
      <c r="HKD36" s="218"/>
      <c r="HKE36" s="218"/>
      <c r="HKF36" s="218"/>
      <c r="HKG36" s="218"/>
      <c r="HKH36" s="218"/>
      <c r="HKI36" s="218"/>
      <c r="HKJ36" s="218"/>
      <c r="HKK36" s="218"/>
      <c r="HKL36" s="218"/>
      <c r="HKM36" s="218"/>
      <c r="HKN36" s="218"/>
      <c r="HKO36" s="218"/>
      <c r="HKP36" s="218"/>
      <c r="HKQ36" s="218"/>
      <c r="HKR36" s="218"/>
      <c r="HKS36" s="218"/>
      <c r="HKT36" s="218"/>
      <c r="HKU36" s="218"/>
      <c r="HKV36" s="218"/>
      <c r="HKW36" s="218"/>
      <c r="HKX36" s="218"/>
      <c r="HKY36" s="218"/>
      <c r="HKZ36" s="218"/>
      <c r="HLA36" s="218"/>
      <c r="HLB36" s="218"/>
      <c r="HLC36" s="218"/>
      <c r="HLD36" s="218"/>
      <c r="HLE36" s="218"/>
      <c r="HLF36" s="218"/>
      <c r="HLG36" s="218"/>
      <c r="HLH36" s="218"/>
      <c r="HLI36" s="218"/>
      <c r="HLJ36" s="218"/>
      <c r="HLK36" s="218"/>
      <c r="HLL36" s="218"/>
      <c r="HLM36" s="218"/>
      <c r="HLN36" s="218"/>
      <c r="HLO36" s="218"/>
      <c r="HLP36" s="218"/>
      <c r="HLQ36" s="218"/>
      <c r="HLR36" s="218"/>
      <c r="HLS36" s="218"/>
      <c r="HLT36" s="218"/>
      <c r="HLU36" s="218"/>
      <c r="HLV36" s="218"/>
      <c r="HLW36" s="218"/>
      <c r="HLX36" s="218"/>
      <c r="HLY36" s="218"/>
      <c r="HLZ36" s="218"/>
      <c r="HMA36" s="218"/>
      <c r="HMB36" s="218"/>
      <c r="HMC36" s="218"/>
      <c r="HMD36" s="218"/>
      <c r="HME36" s="218"/>
      <c r="HMF36" s="218"/>
      <c r="HMG36" s="218"/>
      <c r="HMH36" s="218"/>
      <c r="HMI36" s="218"/>
      <c r="HMJ36" s="218"/>
      <c r="HMK36" s="218"/>
      <c r="HML36" s="218"/>
      <c r="HMM36" s="218"/>
      <c r="HMN36" s="218"/>
      <c r="HMO36" s="218"/>
      <c r="HMP36" s="218"/>
      <c r="HMQ36" s="218"/>
      <c r="HMR36" s="218"/>
      <c r="HMS36" s="218"/>
      <c r="HMT36" s="218"/>
      <c r="HMU36" s="218"/>
      <c r="HMV36" s="218"/>
      <c r="HMW36" s="218"/>
      <c r="HMX36" s="218"/>
      <c r="HMY36" s="218"/>
      <c r="HMZ36" s="218"/>
      <c r="HNA36" s="218"/>
      <c r="HNB36" s="218"/>
      <c r="HNC36" s="218"/>
      <c r="HND36" s="218"/>
      <c r="HNE36" s="218"/>
      <c r="HNF36" s="218"/>
      <c r="HNG36" s="218"/>
      <c r="HNH36" s="218"/>
      <c r="HNI36" s="218"/>
      <c r="HNJ36" s="218"/>
      <c r="HNK36" s="218"/>
      <c r="HNL36" s="218"/>
      <c r="HNM36" s="218"/>
      <c r="HNN36" s="218"/>
      <c r="HNO36" s="218"/>
      <c r="HNP36" s="218"/>
      <c r="HNQ36" s="218"/>
      <c r="HNR36" s="218"/>
      <c r="HNS36" s="218"/>
      <c r="HNT36" s="218"/>
      <c r="HNU36" s="218"/>
      <c r="HNV36" s="218"/>
      <c r="HNW36" s="218"/>
      <c r="HNX36" s="218"/>
      <c r="HNY36" s="218"/>
      <c r="HNZ36" s="218"/>
      <c r="HOA36" s="218"/>
      <c r="HOB36" s="218"/>
      <c r="HOC36" s="218"/>
      <c r="HOD36" s="218"/>
      <c r="HOE36" s="218"/>
      <c r="HOF36" s="218"/>
      <c r="HOG36" s="218"/>
      <c r="HOH36" s="218"/>
      <c r="HOI36" s="218"/>
      <c r="HOJ36" s="218"/>
      <c r="HOK36" s="218"/>
      <c r="HOL36" s="218"/>
      <c r="HOM36" s="218"/>
      <c r="HON36" s="218"/>
      <c r="HOO36" s="218"/>
      <c r="HOP36" s="218"/>
      <c r="HOQ36" s="218"/>
      <c r="HOR36" s="218"/>
      <c r="HOS36" s="218"/>
      <c r="HOT36" s="218"/>
      <c r="HOU36" s="218"/>
      <c r="HOV36" s="218"/>
      <c r="HOW36" s="218"/>
      <c r="HOX36" s="218"/>
      <c r="HOY36" s="218"/>
      <c r="HOZ36" s="218"/>
      <c r="HPA36" s="218"/>
      <c r="HPB36" s="218"/>
      <c r="HPC36" s="218"/>
      <c r="HPD36" s="218"/>
      <c r="HPE36" s="218"/>
      <c r="HPF36" s="218"/>
      <c r="HPG36" s="218"/>
      <c r="HPH36" s="218"/>
      <c r="HPI36" s="218"/>
      <c r="HPJ36" s="218"/>
      <c r="HPK36" s="218"/>
      <c r="HPL36" s="218"/>
      <c r="HPM36" s="218"/>
      <c r="HPN36" s="218"/>
      <c r="HPO36" s="218"/>
      <c r="HPP36" s="218"/>
      <c r="HPQ36" s="218"/>
      <c r="HPR36" s="218"/>
      <c r="HPS36" s="218"/>
      <c r="HPT36" s="218"/>
      <c r="HPU36" s="218"/>
      <c r="HPV36" s="218"/>
      <c r="HPW36" s="218"/>
      <c r="HPX36" s="218"/>
      <c r="HPY36" s="218"/>
      <c r="HPZ36" s="218"/>
      <c r="HQA36" s="218"/>
      <c r="HQB36" s="218"/>
      <c r="HQC36" s="218"/>
      <c r="HQD36" s="218"/>
      <c r="HQE36" s="218"/>
      <c r="HQF36" s="218"/>
      <c r="HQG36" s="218"/>
      <c r="HQH36" s="218"/>
      <c r="HQI36" s="218"/>
      <c r="HQJ36" s="218"/>
      <c r="HQK36" s="218"/>
      <c r="HQL36" s="218"/>
      <c r="HQM36" s="218"/>
      <c r="HQN36" s="218"/>
      <c r="HQO36" s="218"/>
      <c r="HQP36" s="218"/>
      <c r="HQQ36" s="218"/>
      <c r="HQR36" s="218"/>
      <c r="HQS36" s="218"/>
      <c r="HQT36" s="218"/>
      <c r="HQU36" s="218"/>
      <c r="HQV36" s="218"/>
      <c r="HQW36" s="218"/>
      <c r="HQX36" s="218"/>
      <c r="HQY36" s="218"/>
      <c r="HQZ36" s="218"/>
      <c r="HRA36" s="218"/>
      <c r="HRB36" s="218"/>
      <c r="HRC36" s="218"/>
      <c r="HRD36" s="218"/>
      <c r="HRE36" s="218"/>
      <c r="HRF36" s="218"/>
      <c r="HRG36" s="218"/>
      <c r="HRH36" s="218"/>
      <c r="HRI36" s="218"/>
      <c r="HRJ36" s="218"/>
      <c r="HRK36" s="218"/>
      <c r="HRL36" s="218"/>
      <c r="HRM36" s="218"/>
      <c r="HRN36" s="218"/>
      <c r="HRO36" s="218"/>
      <c r="HRP36" s="218"/>
      <c r="HRQ36" s="218"/>
      <c r="HRR36" s="218"/>
      <c r="HRS36" s="218"/>
      <c r="HRT36" s="218"/>
      <c r="HRU36" s="218"/>
      <c r="HRV36" s="218"/>
      <c r="HRW36" s="218"/>
      <c r="HRX36" s="218"/>
      <c r="HRY36" s="218"/>
      <c r="HRZ36" s="218"/>
      <c r="HSA36" s="218"/>
      <c r="HSB36" s="218"/>
      <c r="HSC36" s="218"/>
      <c r="HSD36" s="218"/>
      <c r="HSE36" s="218"/>
      <c r="HSF36" s="218"/>
      <c r="HSG36" s="218"/>
      <c r="HSH36" s="218"/>
      <c r="HSI36" s="218"/>
      <c r="HSJ36" s="218"/>
      <c r="HSK36" s="218"/>
      <c r="HSL36" s="218"/>
      <c r="HSM36" s="218"/>
      <c r="HSN36" s="218"/>
      <c r="HSO36" s="218"/>
      <c r="HSP36" s="218"/>
      <c r="HSQ36" s="218"/>
      <c r="HSR36" s="218"/>
      <c r="HSS36" s="218"/>
      <c r="HST36" s="218"/>
      <c r="HSU36" s="218"/>
      <c r="HSV36" s="218"/>
      <c r="HSW36" s="218"/>
      <c r="HSX36" s="218"/>
      <c r="HSY36" s="218"/>
      <c r="HSZ36" s="218"/>
      <c r="HTA36" s="218"/>
      <c r="HTB36" s="218"/>
      <c r="HTC36" s="218"/>
      <c r="HTD36" s="218"/>
      <c r="HTE36" s="218"/>
      <c r="HTF36" s="218"/>
      <c r="HTG36" s="218"/>
      <c r="HTH36" s="218"/>
      <c r="HTI36" s="218"/>
      <c r="HTJ36" s="218"/>
      <c r="HTK36" s="218"/>
      <c r="HTL36" s="218"/>
      <c r="HTM36" s="218"/>
      <c r="HTN36" s="218"/>
      <c r="HTO36" s="218"/>
      <c r="HTP36" s="218"/>
      <c r="HTQ36" s="218"/>
      <c r="HTR36" s="218"/>
      <c r="HTS36" s="218"/>
      <c r="HTT36" s="218"/>
      <c r="HTU36" s="218"/>
      <c r="HTV36" s="218"/>
      <c r="HTW36" s="218"/>
      <c r="HTX36" s="218"/>
      <c r="HTY36" s="218"/>
      <c r="HTZ36" s="218"/>
      <c r="HUA36" s="218"/>
      <c r="HUB36" s="218"/>
      <c r="HUC36" s="218"/>
      <c r="HUD36" s="218"/>
      <c r="HUE36" s="218"/>
      <c r="HUF36" s="218"/>
      <c r="HUG36" s="218"/>
      <c r="HUH36" s="218"/>
      <c r="HUI36" s="218"/>
      <c r="HUJ36" s="218"/>
      <c r="HUK36" s="218"/>
      <c r="HUL36" s="218"/>
      <c r="HUM36" s="218"/>
      <c r="HUN36" s="218"/>
      <c r="HUO36" s="218"/>
      <c r="HUP36" s="218"/>
      <c r="HUQ36" s="218"/>
      <c r="HUR36" s="218"/>
      <c r="HUS36" s="218"/>
      <c r="HUT36" s="218"/>
      <c r="HUU36" s="218"/>
      <c r="HUV36" s="218"/>
      <c r="HUW36" s="218"/>
      <c r="HUX36" s="218"/>
      <c r="HUY36" s="218"/>
      <c r="HUZ36" s="218"/>
      <c r="HVA36" s="218"/>
      <c r="HVB36" s="218"/>
      <c r="HVC36" s="218"/>
      <c r="HVD36" s="218"/>
      <c r="HVE36" s="218"/>
      <c r="HVF36" s="218"/>
      <c r="HVG36" s="218"/>
      <c r="HVH36" s="218"/>
      <c r="HVI36" s="218"/>
      <c r="HVJ36" s="218"/>
      <c r="HVK36" s="218"/>
      <c r="HVL36" s="218"/>
      <c r="HVM36" s="218"/>
      <c r="HVN36" s="218"/>
      <c r="HVO36" s="218"/>
      <c r="HVP36" s="218"/>
      <c r="HVQ36" s="218"/>
      <c r="HVR36" s="218"/>
      <c r="HVS36" s="218"/>
      <c r="HVT36" s="218"/>
      <c r="HVU36" s="218"/>
      <c r="HVV36" s="218"/>
      <c r="HVW36" s="218"/>
      <c r="HVX36" s="218"/>
      <c r="HVY36" s="218"/>
      <c r="HVZ36" s="218"/>
      <c r="HWA36" s="218"/>
      <c r="HWB36" s="218"/>
      <c r="HWC36" s="218"/>
      <c r="HWD36" s="218"/>
      <c r="HWE36" s="218"/>
      <c r="HWF36" s="218"/>
      <c r="HWG36" s="218"/>
      <c r="HWH36" s="218"/>
      <c r="HWI36" s="218"/>
      <c r="HWJ36" s="218"/>
      <c r="HWK36" s="218"/>
      <c r="HWL36" s="218"/>
      <c r="HWM36" s="218"/>
      <c r="HWN36" s="218"/>
      <c r="HWO36" s="218"/>
      <c r="HWP36" s="218"/>
      <c r="HWQ36" s="218"/>
      <c r="HWR36" s="218"/>
      <c r="HWS36" s="218"/>
      <c r="HWT36" s="218"/>
      <c r="HWU36" s="218"/>
      <c r="HWV36" s="218"/>
      <c r="HWW36" s="218"/>
      <c r="HWX36" s="218"/>
      <c r="HWY36" s="218"/>
      <c r="HWZ36" s="218"/>
      <c r="HXA36" s="218"/>
      <c r="HXB36" s="218"/>
      <c r="HXC36" s="218"/>
      <c r="HXD36" s="218"/>
      <c r="HXE36" s="218"/>
      <c r="HXF36" s="218"/>
      <c r="HXG36" s="218"/>
      <c r="HXH36" s="218"/>
      <c r="HXI36" s="218"/>
      <c r="HXJ36" s="218"/>
      <c r="HXK36" s="218"/>
      <c r="HXL36" s="218"/>
      <c r="HXM36" s="218"/>
      <c r="HXN36" s="218"/>
      <c r="HXO36" s="218"/>
      <c r="HXP36" s="218"/>
      <c r="HXQ36" s="218"/>
      <c r="HXR36" s="218"/>
      <c r="HXS36" s="218"/>
      <c r="HXT36" s="218"/>
      <c r="HXU36" s="218"/>
      <c r="HXV36" s="218"/>
      <c r="HXW36" s="218"/>
      <c r="HXX36" s="218"/>
      <c r="HXY36" s="218"/>
      <c r="HXZ36" s="218"/>
      <c r="HYA36" s="218"/>
      <c r="HYB36" s="218"/>
      <c r="HYC36" s="218"/>
      <c r="HYD36" s="218"/>
      <c r="HYE36" s="218"/>
      <c r="HYF36" s="218"/>
      <c r="HYG36" s="218"/>
      <c r="HYH36" s="218"/>
      <c r="HYI36" s="218"/>
      <c r="HYJ36" s="218"/>
      <c r="HYK36" s="218"/>
      <c r="HYL36" s="218"/>
      <c r="HYM36" s="218"/>
      <c r="HYN36" s="218"/>
      <c r="HYO36" s="218"/>
      <c r="HYP36" s="218"/>
      <c r="HYQ36" s="218"/>
      <c r="HYR36" s="218"/>
      <c r="HYS36" s="218"/>
      <c r="HYT36" s="218"/>
      <c r="HYU36" s="218"/>
      <c r="HYV36" s="218"/>
      <c r="HYW36" s="218"/>
      <c r="HYX36" s="218"/>
      <c r="HYY36" s="218"/>
      <c r="HYZ36" s="218"/>
      <c r="HZA36" s="218"/>
      <c r="HZB36" s="218"/>
      <c r="HZC36" s="218"/>
      <c r="HZD36" s="218"/>
      <c r="HZE36" s="218"/>
      <c r="HZF36" s="218"/>
      <c r="HZG36" s="218"/>
      <c r="HZH36" s="218"/>
      <c r="HZI36" s="218"/>
      <c r="HZJ36" s="218"/>
      <c r="HZK36" s="218"/>
      <c r="HZL36" s="218"/>
      <c r="HZM36" s="218"/>
      <c r="HZN36" s="218"/>
      <c r="HZO36" s="218"/>
      <c r="HZP36" s="218"/>
      <c r="HZQ36" s="218"/>
      <c r="HZR36" s="218"/>
      <c r="HZS36" s="218"/>
      <c r="HZT36" s="218"/>
      <c r="HZU36" s="218"/>
      <c r="HZV36" s="218"/>
      <c r="HZW36" s="218"/>
      <c r="HZX36" s="218"/>
      <c r="HZY36" s="218"/>
      <c r="HZZ36" s="218"/>
      <c r="IAA36" s="218"/>
      <c r="IAB36" s="218"/>
      <c r="IAC36" s="218"/>
      <c r="IAD36" s="218"/>
      <c r="IAE36" s="218"/>
      <c r="IAF36" s="218"/>
      <c r="IAG36" s="218"/>
      <c r="IAH36" s="218"/>
      <c r="IAI36" s="218"/>
      <c r="IAJ36" s="218"/>
      <c r="IAK36" s="218"/>
      <c r="IAL36" s="218"/>
      <c r="IAM36" s="218"/>
      <c r="IAN36" s="218"/>
      <c r="IAO36" s="218"/>
      <c r="IAP36" s="218"/>
      <c r="IAQ36" s="218"/>
      <c r="IAR36" s="218"/>
      <c r="IAS36" s="218"/>
      <c r="IAT36" s="218"/>
      <c r="IAU36" s="218"/>
      <c r="IAV36" s="218"/>
      <c r="IAW36" s="218"/>
      <c r="IAX36" s="218"/>
      <c r="IAY36" s="218"/>
      <c r="IAZ36" s="218"/>
      <c r="IBA36" s="218"/>
      <c r="IBB36" s="218"/>
      <c r="IBC36" s="218"/>
      <c r="IBD36" s="218"/>
      <c r="IBE36" s="218"/>
      <c r="IBF36" s="218"/>
      <c r="IBG36" s="218"/>
      <c r="IBH36" s="218"/>
      <c r="IBI36" s="218"/>
      <c r="IBJ36" s="218"/>
      <c r="IBK36" s="218"/>
      <c r="IBL36" s="218"/>
      <c r="IBM36" s="218"/>
      <c r="IBN36" s="218"/>
      <c r="IBO36" s="218"/>
      <c r="IBP36" s="218"/>
      <c r="IBQ36" s="218"/>
      <c r="IBR36" s="218"/>
      <c r="IBS36" s="218"/>
      <c r="IBT36" s="218"/>
      <c r="IBU36" s="218"/>
      <c r="IBV36" s="218"/>
      <c r="IBW36" s="218"/>
      <c r="IBX36" s="218"/>
      <c r="IBY36" s="218"/>
      <c r="IBZ36" s="218"/>
      <c r="ICA36" s="218"/>
      <c r="ICB36" s="218"/>
      <c r="ICC36" s="218"/>
      <c r="ICD36" s="218"/>
      <c r="ICE36" s="218"/>
      <c r="ICF36" s="218"/>
      <c r="ICG36" s="218"/>
      <c r="ICH36" s="218"/>
      <c r="ICI36" s="218"/>
      <c r="ICJ36" s="218"/>
      <c r="ICK36" s="218"/>
      <c r="ICL36" s="218"/>
      <c r="ICM36" s="218"/>
      <c r="ICN36" s="218"/>
      <c r="ICO36" s="218"/>
      <c r="ICP36" s="218"/>
      <c r="ICQ36" s="218"/>
      <c r="ICR36" s="218"/>
      <c r="ICS36" s="218"/>
      <c r="ICT36" s="218"/>
      <c r="ICU36" s="218"/>
      <c r="ICV36" s="218"/>
      <c r="ICW36" s="218"/>
      <c r="ICX36" s="218"/>
      <c r="ICY36" s="218"/>
      <c r="ICZ36" s="218"/>
      <c r="IDA36" s="218"/>
      <c r="IDB36" s="218"/>
      <c r="IDC36" s="218"/>
      <c r="IDD36" s="218"/>
      <c r="IDE36" s="218"/>
      <c r="IDF36" s="218"/>
      <c r="IDG36" s="218"/>
      <c r="IDH36" s="218"/>
      <c r="IDI36" s="218"/>
      <c r="IDJ36" s="218"/>
      <c r="IDK36" s="218"/>
      <c r="IDL36" s="218"/>
      <c r="IDM36" s="218"/>
      <c r="IDN36" s="218"/>
      <c r="IDO36" s="218"/>
      <c r="IDP36" s="218"/>
      <c r="IDQ36" s="218"/>
      <c r="IDR36" s="218"/>
      <c r="IDS36" s="218"/>
      <c r="IDT36" s="218"/>
      <c r="IDU36" s="218"/>
      <c r="IDV36" s="218"/>
      <c r="IDW36" s="218"/>
      <c r="IDX36" s="218"/>
      <c r="IDY36" s="218"/>
      <c r="IDZ36" s="218"/>
      <c r="IEA36" s="218"/>
      <c r="IEB36" s="218"/>
      <c r="IEC36" s="218"/>
      <c r="IED36" s="218"/>
      <c r="IEE36" s="218"/>
      <c r="IEF36" s="218"/>
      <c r="IEG36" s="218"/>
      <c r="IEH36" s="218"/>
      <c r="IEI36" s="218"/>
      <c r="IEJ36" s="218"/>
      <c r="IEK36" s="218"/>
      <c r="IEL36" s="218"/>
      <c r="IEM36" s="218"/>
      <c r="IEN36" s="218"/>
      <c r="IEO36" s="218"/>
      <c r="IEP36" s="218"/>
      <c r="IEQ36" s="218"/>
      <c r="IER36" s="218"/>
      <c r="IES36" s="218"/>
      <c r="IET36" s="218"/>
      <c r="IEU36" s="218"/>
      <c r="IEV36" s="218"/>
      <c r="IEW36" s="218"/>
      <c r="IEX36" s="218"/>
      <c r="IEY36" s="218"/>
      <c r="IEZ36" s="218"/>
      <c r="IFA36" s="218"/>
      <c r="IFB36" s="218"/>
      <c r="IFC36" s="218"/>
      <c r="IFD36" s="218"/>
      <c r="IFE36" s="218"/>
      <c r="IFF36" s="218"/>
      <c r="IFG36" s="218"/>
      <c r="IFH36" s="218"/>
      <c r="IFI36" s="218"/>
      <c r="IFJ36" s="218"/>
      <c r="IFK36" s="218"/>
      <c r="IFL36" s="218"/>
      <c r="IFM36" s="218"/>
      <c r="IFN36" s="218"/>
      <c r="IFO36" s="218"/>
      <c r="IFP36" s="218"/>
      <c r="IFQ36" s="218"/>
      <c r="IFR36" s="218"/>
      <c r="IFS36" s="218"/>
      <c r="IFT36" s="218"/>
      <c r="IFU36" s="218"/>
      <c r="IFV36" s="218"/>
      <c r="IFW36" s="218"/>
      <c r="IFX36" s="218"/>
      <c r="IFY36" s="218"/>
      <c r="IFZ36" s="218"/>
      <c r="IGA36" s="218"/>
      <c r="IGB36" s="218"/>
      <c r="IGC36" s="218"/>
      <c r="IGD36" s="218"/>
      <c r="IGE36" s="218"/>
      <c r="IGF36" s="218"/>
      <c r="IGG36" s="218"/>
      <c r="IGH36" s="218"/>
      <c r="IGI36" s="218"/>
      <c r="IGJ36" s="218"/>
      <c r="IGK36" s="218"/>
      <c r="IGL36" s="218"/>
      <c r="IGM36" s="218"/>
      <c r="IGN36" s="218"/>
      <c r="IGO36" s="218"/>
      <c r="IGP36" s="218"/>
      <c r="IGQ36" s="218"/>
      <c r="IGR36" s="218"/>
      <c r="IGS36" s="218"/>
      <c r="IGT36" s="218"/>
      <c r="IGU36" s="218"/>
      <c r="IGV36" s="218"/>
      <c r="IGW36" s="218"/>
      <c r="IGX36" s="218"/>
      <c r="IGY36" s="218"/>
      <c r="IGZ36" s="218"/>
      <c r="IHA36" s="218"/>
      <c r="IHB36" s="218"/>
      <c r="IHC36" s="218"/>
      <c r="IHD36" s="218"/>
      <c r="IHE36" s="218"/>
      <c r="IHF36" s="218"/>
      <c r="IHG36" s="218"/>
      <c r="IHH36" s="218"/>
      <c r="IHI36" s="218"/>
      <c r="IHJ36" s="218"/>
      <c r="IHK36" s="218"/>
      <c r="IHL36" s="218"/>
      <c r="IHM36" s="218"/>
      <c r="IHN36" s="218"/>
      <c r="IHO36" s="218"/>
      <c r="IHP36" s="218"/>
      <c r="IHQ36" s="218"/>
      <c r="IHR36" s="218"/>
      <c r="IHS36" s="218"/>
      <c r="IHT36" s="218"/>
      <c r="IHU36" s="218"/>
      <c r="IHV36" s="218"/>
      <c r="IHW36" s="218"/>
      <c r="IHX36" s="218"/>
      <c r="IHY36" s="218"/>
      <c r="IHZ36" s="218"/>
      <c r="IIA36" s="218"/>
      <c r="IIB36" s="218"/>
      <c r="IIC36" s="218"/>
      <c r="IID36" s="218"/>
      <c r="IIE36" s="218"/>
      <c r="IIF36" s="218"/>
      <c r="IIG36" s="218"/>
      <c r="IIH36" s="218"/>
      <c r="III36" s="218"/>
      <c r="IIJ36" s="218"/>
      <c r="IIK36" s="218"/>
      <c r="IIL36" s="218"/>
      <c r="IIM36" s="218"/>
      <c r="IIN36" s="218"/>
      <c r="IIO36" s="218"/>
      <c r="IIP36" s="218"/>
      <c r="IIQ36" s="218"/>
      <c r="IIR36" s="218"/>
      <c r="IIS36" s="218"/>
      <c r="IIT36" s="218"/>
      <c r="IIU36" s="218"/>
      <c r="IIV36" s="218"/>
      <c r="IIW36" s="218"/>
      <c r="IIX36" s="218"/>
      <c r="IIY36" s="218"/>
      <c r="IIZ36" s="218"/>
      <c r="IJA36" s="218"/>
      <c r="IJB36" s="218"/>
      <c r="IJC36" s="218"/>
      <c r="IJD36" s="218"/>
      <c r="IJE36" s="218"/>
      <c r="IJF36" s="218"/>
      <c r="IJG36" s="218"/>
      <c r="IJH36" s="218"/>
      <c r="IJI36" s="218"/>
      <c r="IJJ36" s="218"/>
      <c r="IJK36" s="218"/>
      <c r="IJL36" s="218"/>
      <c r="IJM36" s="218"/>
      <c r="IJN36" s="218"/>
      <c r="IJO36" s="218"/>
      <c r="IJP36" s="218"/>
      <c r="IJQ36" s="218"/>
      <c r="IJR36" s="218"/>
      <c r="IJS36" s="218"/>
      <c r="IJT36" s="218"/>
      <c r="IJU36" s="218"/>
      <c r="IJV36" s="218"/>
      <c r="IJW36" s="218"/>
      <c r="IJX36" s="218"/>
      <c r="IJY36" s="218"/>
      <c r="IJZ36" s="218"/>
      <c r="IKA36" s="218"/>
      <c r="IKB36" s="218"/>
      <c r="IKC36" s="218"/>
      <c r="IKD36" s="218"/>
      <c r="IKE36" s="218"/>
      <c r="IKF36" s="218"/>
      <c r="IKG36" s="218"/>
      <c r="IKH36" s="218"/>
      <c r="IKI36" s="218"/>
      <c r="IKJ36" s="218"/>
      <c r="IKK36" s="218"/>
      <c r="IKL36" s="218"/>
      <c r="IKM36" s="218"/>
      <c r="IKN36" s="218"/>
      <c r="IKO36" s="218"/>
      <c r="IKP36" s="218"/>
      <c r="IKQ36" s="218"/>
      <c r="IKR36" s="218"/>
      <c r="IKS36" s="218"/>
      <c r="IKT36" s="218"/>
      <c r="IKU36" s="218"/>
      <c r="IKV36" s="218"/>
      <c r="IKW36" s="218"/>
      <c r="IKX36" s="218"/>
      <c r="IKY36" s="218"/>
      <c r="IKZ36" s="218"/>
      <c r="ILA36" s="218"/>
      <c r="ILB36" s="218"/>
      <c r="ILC36" s="218"/>
      <c r="ILD36" s="218"/>
      <c r="ILE36" s="218"/>
      <c r="ILF36" s="218"/>
      <c r="ILG36" s="218"/>
      <c r="ILH36" s="218"/>
      <c r="ILI36" s="218"/>
      <c r="ILJ36" s="218"/>
      <c r="ILK36" s="218"/>
      <c r="ILL36" s="218"/>
      <c r="ILM36" s="218"/>
      <c r="ILN36" s="218"/>
      <c r="ILO36" s="218"/>
      <c r="ILP36" s="218"/>
      <c r="ILQ36" s="218"/>
      <c r="ILR36" s="218"/>
      <c r="ILS36" s="218"/>
      <c r="ILT36" s="218"/>
      <c r="ILU36" s="218"/>
      <c r="ILV36" s="218"/>
      <c r="ILW36" s="218"/>
      <c r="ILX36" s="218"/>
      <c r="ILY36" s="218"/>
      <c r="ILZ36" s="218"/>
      <c r="IMA36" s="218"/>
      <c r="IMB36" s="218"/>
      <c r="IMC36" s="218"/>
      <c r="IMD36" s="218"/>
      <c r="IME36" s="218"/>
      <c r="IMF36" s="218"/>
      <c r="IMG36" s="218"/>
      <c r="IMH36" s="218"/>
      <c r="IMI36" s="218"/>
      <c r="IMJ36" s="218"/>
      <c r="IMK36" s="218"/>
      <c r="IML36" s="218"/>
      <c r="IMM36" s="218"/>
      <c r="IMN36" s="218"/>
      <c r="IMO36" s="218"/>
      <c r="IMP36" s="218"/>
      <c r="IMQ36" s="218"/>
      <c r="IMR36" s="218"/>
      <c r="IMS36" s="218"/>
      <c r="IMT36" s="218"/>
      <c r="IMU36" s="218"/>
      <c r="IMV36" s="218"/>
      <c r="IMW36" s="218"/>
      <c r="IMX36" s="218"/>
      <c r="IMY36" s="218"/>
      <c r="IMZ36" s="218"/>
      <c r="INA36" s="218"/>
      <c r="INB36" s="218"/>
      <c r="INC36" s="218"/>
      <c r="IND36" s="218"/>
      <c r="INE36" s="218"/>
      <c r="INF36" s="218"/>
      <c r="ING36" s="218"/>
      <c r="INH36" s="218"/>
      <c r="INI36" s="218"/>
      <c r="INJ36" s="218"/>
      <c r="INK36" s="218"/>
      <c r="INL36" s="218"/>
      <c r="INM36" s="218"/>
      <c r="INN36" s="218"/>
      <c r="INO36" s="218"/>
      <c r="INP36" s="218"/>
      <c r="INQ36" s="218"/>
      <c r="INR36" s="218"/>
      <c r="INS36" s="218"/>
      <c r="INT36" s="218"/>
      <c r="INU36" s="218"/>
      <c r="INV36" s="218"/>
      <c r="INW36" s="218"/>
      <c r="INX36" s="218"/>
      <c r="INY36" s="218"/>
      <c r="INZ36" s="218"/>
      <c r="IOA36" s="218"/>
      <c r="IOB36" s="218"/>
      <c r="IOC36" s="218"/>
      <c r="IOD36" s="218"/>
      <c r="IOE36" s="218"/>
      <c r="IOF36" s="218"/>
      <c r="IOG36" s="218"/>
      <c r="IOH36" s="218"/>
      <c r="IOI36" s="218"/>
      <c r="IOJ36" s="218"/>
      <c r="IOK36" s="218"/>
      <c r="IOL36" s="218"/>
      <c r="IOM36" s="218"/>
      <c r="ION36" s="218"/>
      <c r="IOO36" s="218"/>
      <c r="IOP36" s="218"/>
      <c r="IOQ36" s="218"/>
      <c r="IOR36" s="218"/>
      <c r="IOS36" s="218"/>
      <c r="IOT36" s="218"/>
      <c r="IOU36" s="218"/>
      <c r="IOV36" s="218"/>
      <c r="IOW36" s="218"/>
      <c r="IOX36" s="218"/>
      <c r="IOY36" s="218"/>
      <c r="IOZ36" s="218"/>
      <c r="IPA36" s="218"/>
      <c r="IPB36" s="218"/>
      <c r="IPC36" s="218"/>
      <c r="IPD36" s="218"/>
      <c r="IPE36" s="218"/>
      <c r="IPF36" s="218"/>
      <c r="IPG36" s="218"/>
      <c r="IPH36" s="218"/>
      <c r="IPI36" s="218"/>
      <c r="IPJ36" s="218"/>
      <c r="IPK36" s="218"/>
      <c r="IPL36" s="218"/>
      <c r="IPM36" s="218"/>
      <c r="IPN36" s="218"/>
      <c r="IPO36" s="218"/>
      <c r="IPP36" s="218"/>
      <c r="IPQ36" s="218"/>
      <c r="IPR36" s="218"/>
      <c r="IPS36" s="218"/>
      <c r="IPT36" s="218"/>
      <c r="IPU36" s="218"/>
      <c r="IPV36" s="218"/>
      <c r="IPW36" s="218"/>
      <c r="IPX36" s="218"/>
      <c r="IPY36" s="218"/>
      <c r="IPZ36" s="218"/>
      <c r="IQA36" s="218"/>
      <c r="IQB36" s="218"/>
      <c r="IQC36" s="218"/>
      <c r="IQD36" s="218"/>
      <c r="IQE36" s="218"/>
      <c r="IQF36" s="218"/>
      <c r="IQG36" s="218"/>
      <c r="IQH36" s="218"/>
      <c r="IQI36" s="218"/>
      <c r="IQJ36" s="218"/>
      <c r="IQK36" s="218"/>
      <c r="IQL36" s="218"/>
      <c r="IQM36" s="218"/>
      <c r="IQN36" s="218"/>
      <c r="IQO36" s="218"/>
      <c r="IQP36" s="218"/>
      <c r="IQQ36" s="218"/>
      <c r="IQR36" s="218"/>
      <c r="IQS36" s="218"/>
      <c r="IQT36" s="218"/>
      <c r="IQU36" s="218"/>
      <c r="IQV36" s="218"/>
      <c r="IQW36" s="218"/>
      <c r="IQX36" s="218"/>
      <c r="IQY36" s="218"/>
      <c r="IQZ36" s="218"/>
      <c r="IRA36" s="218"/>
      <c r="IRB36" s="218"/>
      <c r="IRC36" s="218"/>
      <c r="IRD36" s="218"/>
      <c r="IRE36" s="218"/>
      <c r="IRF36" s="218"/>
      <c r="IRG36" s="218"/>
      <c r="IRH36" s="218"/>
      <c r="IRI36" s="218"/>
      <c r="IRJ36" s="218"/>
      <c r="IRK36" s="218"/>
      <c r="IRL36" s="218"/>
      <c r="IRM36" s="218"/>
      <c r="IRN36" s="218"/>
      <c r="IRO36" s="218"/>
      <c r="IRP36" s="218"/>
      <c r="IRQ36" s="218"/>
      <c r="IRR36" s="218"/>
      <c r="IRS36" s="218"/>
      <c r="IRT36" s="218"/>
      <c r="IRU36" s="218"/>
      <c r="IRV36" s="218"/>
      <c r="IRW36" s="218"/>
      <c r="IRX36" s="218"/>
      <c r="IRY36" s="218"/>
      <c r="IRZ36" s="218"/>
      <c r="ISA36" s="218"/>
      <c r="ISB36" s="218"/>
      <c r="ISC36" s="218"/>
      <c r="ISD36" s="218"/>
      <c r="ISE36" s="218"/>
      <c r="ISF36" s="218"/>
      <c r="ISG36" s="218"/>
      <c r="ISH36" s="218"/>
      <c r="ISI36" s="218"/>
      <c r="ISJ36" s="218"/>
      <c r="ISK36" s="218"/>
      <c r="ISL36" s="218"/>
      <c r="ISM36" s="218"/>
      <c r="ISN36" s="218"/>
      <c r="ISO36" s="218"/>
      <c r="ISP36" s="218"/>
      <c r="ISQ36" s="218"/>
      <c r="ISR36" s="218"/>
      <c r="ISS36" s="218"/>
      <c r="IST36" s="218"/>
      <c r="ISU36" s="218"/>
      <c r="ISV36" s="218"/>
      <c r="ISW36" s="218"/>
      <c r="ISX36" s="218"/>
      <c r="ISY36" s="218"/>
      <c r="ISZ36" s="218"/>
      <c r="ITA36" s="218"/>
      <c r="ITB36" s="218"/>
      <c r="ITC36" s="218"/>
      <c r="ITD36" s="218"/>
      <c r="ITE36" s="218"/>
      <c r="ITF36" s="218"/>
      <c r="ITG36" s="218"/>
      <c r="ITH36" s="218"/>
      <c r="ITI36" s="218"/>
      <c r="ITJ36" s="218"/>
      <c r="ITK36" s="218"/>
      <c r="ITL36" s="218"/>
      <c r="ITM36" s="218"/>
      <c r="ITN36" s="218"/>
      <c r="ITO36" s="218"/>
      <c r="ITP36" s="218"/>
      <c r="ITQ36" s="218"/>
      <c r="ITR36" s="218"/>
      <c r="ITS36" s="218"/>
      <c r="ITT36" s="218"/>
      <c r="ITU36" s="218"/>
      <c r="ITV36" s="218"/>
      <c r="ITW36" s="218"/>
      <c r="ITX36" s="218"/>
      <c r="ITY36" s="218"/>
      <c r="ITZ36" s="218"/>
      <c r="IUA36" s="218"/>
      <c r="IUB36" s="218"/>
      <c r="IUC36" s="218"/>
      <c r="IUD36" s="218"/>
      <c r="IUE36" s="218"/>
      <c r="IUF36" s="218"/>
      <c r="IUG36" s="218"/>
      <c r="IUH36" s="218"/>
      <c r="IUI36" s="218"/>
      <c r="IUJ36" s="218"/>
      <c r="IUK36" s="218"/>
      <c r="IUL36" s="218"/>
      <c r="IUM36" s="218"/>
      <c r="IUN36" s="218"/>
      <c r="IUO36" s="218"/>
      <c r="IUP36" s="218"/>
      <c r="IUQ36" s="218"/>
      <c r="IUR36" s="218"/>
      <c r="IUS36" s="218"/>
      <c r="IUT36" s="218"/>
      <c r="IUU36" s="218"/>
      <c r="IUV36" s="218"/>
      <c r="IUW36" s="218"/>
      <c r="IUX36" s="218"/>
      <c r="IUY36" s="218"/>
      <c r="IUZ36" s="218"/>
      <c r="IVA36" s="218"/>
      <c r="IVB36" s="218"/>
      <c r="IVC36" s="218"/>
      <c r="IVD36" s="218"/>
      <c r="IVE36" s="218"/>
      <c r="IVF36" s="218"/>
      <c r="IVG36" s="218"/>
      <c r="IVH36" s="218"/>
      <c r="IVI36" s="218"/>
      <c r="IVJ36" s="218"/>
      <c r="IVK36" s="218"/>
      <c r="IVL36" s="218"/>
      <c r="IVM36" s="218"/>
      <c r="IVN36" s="218"/>
      <c r="IVO36" s="218"/>
      <c r="IVP36" s="218"/>
      <c r="IVQ36" s="218"/>
      <c r="IVR36" s="218"/>
      <c r="IVS36" s="218"/>
      <c r="IVT36" s="218"/>
      <c r="IVU36" s="218"/>
      <c r="IVV36" s="218"/>
      <c r="IVW36" s="218"/>
      <c r="IVX36" s="218"/>
      <c r="IVY36" s="218"/>
      <c r="IVZ36" s="218"/>
      <c r="IWA36" s="218"/>
      <c r="IWB36" s="218"/>
      <c r="IWC36" s="218"/>
      <c r="IWD36" s="218"/>
      <c r="IWE36" s="218"/>
      <c r="IWF36" s="218"/>
      <c r="IWG36" s="218"/>
      <c r="IWH36" s="218"/>
      <c r="IWI36" s="218"/>
      <c r="IWJ36" s="218"/>
      <c r="IWK36" s="218"/>
      <c r="IWL36" s="218"/>
      <c r="IWM36" s="218"/>
      <c r="IWN36" s="218"/>
      <c r="IWO36" s="218"/>
      <c r="IWP36" s="218"/>
      <c r="IWQ36" s="218"/>
      <c r="IWR36" s="218"/>
      <c r="IWS36" s="218"/>
      <c r="IWT36" s="218"/>
      <c r="IWU36" s="218"/>
      <c r="IWV36" s="218"/>
      <c r="IWW36" s="218"/>
      <c r="IWX36" s="218"/>
      <c r="IWY36" s="218"/>
      <c r="IWZ36" s="218"/>
      <c r="IXA36" s="218"/>
      <c r="IXB36" s="218"/>
      <c r="IXC36" s="218"/>
      <c r="IXD36" s="218"/>
      <c r="IXE36" s="218"/>
      <c r="IXF36" s="218"/>
      <c r="IXG36" s="218"/>
      <c r="IXH36" s="218"/>
      <c r="IXI36" s="218"/>
      <c r="IXJ36" s="218"/>
      <c r="IXK36" s="218"/>
      <c r="IXL36" s="218"/>
      <c r="IXM36" s="218"/>
      <c r="IXN36" s="218"/>
      <c r="IXO36" s="218"/>
      <c r="IXP36" s="218"/>
      <c r="IXQ36" s="218"/>
      <c r="IXR36" s="218"/>
      <c r="IXS36" s="218"/>
      <c r="IXT36" s="218"/>
      <c r="IXU36" s="218"/>
      <c r="IXV36" s="218"/>
      <c r="IXW36" s="218"/>
      <c r="IXX36" s="218"/>
      <c r="IXY36" s="218"/>
      <c r="IXZ36" s="218"/>
      <c r="IYA36" s="218"/>
      <c r="IYB36" s="218"/>
      <c r="IYC36" s="218"/>
      <c r="IYD36" s="218"/>
      <c r="IYE36" s="218"/>
      <c r="IYF36" s="218"/>
      <c r="IYG36" s="218"/>
      <c r="IYH36" s="218"/>
      <c r="IYI36" s="218"/>
      <c r="IYJ36" s="218"/>
      <c r="IYK36" s="218"/>
      <c r="IYL36" s="218"/>
      <c r="IYM36" s="218"/>
      <c r="IYN36" s="218"/>
      <c r="IYO36" s="218"/>
      <c r="IYP36" s="218"/>
      <c r="IYQ36" s="218"/>
      <c r="IYR36" s="218"/>
      <c r="IYS36" s="218"/>
      <c r="IYT36" s="218"/>
      <c r="IYU36" s="218"/>
      <c r="IYV36" s="218"/>
      <c r="IYW36" s="218"/>
      <c r="IYX36" s="218"/>
      <c r="IYY36" s="218"/>
      <c r="IYZ36" s="218"/>
      <c r="IZA36" s="218"/>
      <c r="IZB36" s="218"/>
      <c r="IZC36" s="218"/>
      <c r="IZD36" s="218"/>
      <c r="IZE36" s="218"/>
      <c r="IZF36" s="218"/>
      <c r="IZG36" s="218"/>
      <c r="IZH36" s="218"/>
      <c r="IZI36" s="218"/>
      <c r="IZJ36" s="218"/>
      <c r="IZK36" s="218"/>
      <c r="IZL36" s="218"/>
      <c r="IZM36" s="218"/>
      <c r="IZN36" s="218"/>
      <c r="IZO36" s="218"/>
      <c r="IZP36" s="218"/>
      <c r="IZQ36" s="218"/>
      <c r="IZR36" s="218"/>
      <c r="IZS36" s="218"/>
      <c r="IZT36" s="218"/>
      <c r="IZU36" s="218"/>
      <c r="IZV36" s="218"/>
      <c r="IZW36" s="218"/>
      <c r="IZX36" s="218"/>
      <c r="IZY36" s="218"/>
      <c r="IZZ36" s="218"/>
      <c r="JAA36" s="218"/>
      <c r="JAB36" s="218"/>
      <c r="JAC36" s="218"/>
      <c r="JAD36" s="218"/>
      <c r="JAE36" s="218"/>
      <c r="JAF36" s="218"/>
      <c r="JAG36" s="218"/>
      <c r="JAH36" s="218"/>
      <c r="JAI36" s="218"/>
      <c r="JAJ36" s="218"/>
      <c r="JAK36" s="218"/>
      <c r="JAL36" s="218"/>
      <c r="JAM36" s="218"/>
      <c r="JAN36" s="218"/>
      <c r="JAO36" s="218"/>
      <c r="JAP36" s="218"/>
      <c r="JAQ36" s="218"/>
      <c r="JAR36" s="218"/>
      <c r="JAS36" s="218"/>
      <c r="JAT36" s="218"/>
      <c r="JAU36" s="218"/>
      <c r="JAV36" s="218"/>
      <c r="JAW36" s="218"/>
      <c r="JAX36" s="218"/>
      <c r="JAY36" s="218"/>
      <c r="JAZ36" s="218"/>
      <c r="JBA36" s="218"/>
      <c r="JBB36" s="218"/>
      <c r="JBC36" s="218"/>
      <c r="JBD36" s="218"/>
      <c r="JBE36" s="218"/>
      <c r="JBF36" s="218"/>
      <c r="JBG36" s="218"/>
      <c r="JBH36" s="218"/>
      <c r="JBI36" s="218"/>
      <c r="JBJ36" s="218"/>
      <c r="JBK36" s="218"/>
      <c r="JBL36" s="218"/>
      <c r="JBM36" s="218"/>
      <c r="JBN36" s="218"/>
      <c r="JBO36" s="218"/>
      <c r="JBP36" s="218"/>
      <c r="JBQ36" s="218"/>
      <c r="JBR36" s="218"/>
      <c r="JBS36" s="218"/>
      <c r="JBT36" s="218"/>
      <c r="JBU36" s="218"/>
      <c r="JBV36" s="218"/>
      <c r="JBW36" s="218"/>
      <c r="JBX36" s="218"/>
      <c r="JBY36" s="218"/>
      <c r="JBZ36" s="218"/>
      <c r="JCA36" s="218"/>
      <c r="JCB36" s="218"/>
      <c r="JCC36" s="218"/>
      <c r="JCD36" s="218"/>
      <c r="JCE36" s="218"/>
      <c r="JCF36" s="218"/>
      <c r="JCG36" s="218"/>
      <c r="JCH36" s="218"/>
      <c r="JCI36" s="218"/>
      <c r="JCJ36" s="218"/>
      <c r="JCK36" s="218"/>
      <c r="JCL36" s="218"/>
      <c r="JCM36" s="218"/>
      <c r="JCN36" s="218"/>
      <c r="JCO36" s="218"/>
      <c r="JCP36" s="218"/>
      <c r="JCQ36" s="218"/>
      <c r="JCR36" s="218"/>
      <c r="JCS36" s="218"/>
      <c r="JCT36" s="218"/>
      <c r="JCU36" s="218"/>
      <c r="JCV36" s="218"/>
      <c r="JCW36" s="218"/>
      <c r="JCX36" s="218"/>
      <c r="JCY36" s="218"/>
      <c r="JCZ36" s="218"/>
      <c r="JDA36" s="218"/>
      <c r="JDB36" s="218"/>
      <c r="JDC36" s="218"/>
      <c r="JDD36" s="218"/>
      <c r="JDE36" s="218"/>
      <c r="JDF36" s="218"/>
      <c r="JDG36" s="218"/>
      <c r="JDH36" s="218"/>
      <c r="JDI36" s="218"/>
      <c r="JDJ36" s="218"/>
      <c r="JDK36" s="218"/>
      <c r="JDL36" s="218"/>
      <c r="JDM36" s="218"/>
      <c r="JDN36" s="218"/>
      <c r="JDO36" s="218"/>
      <c r="JDP36" s="218"/>
      <c r="JDQ36" s="218"/>
      <c r="JDR36" s="218"/>
      <c r="JDS36" s="218"/>
      <c r="JDT36" s="218"/>
      <c r="JDU36" s="218"/>
      <c r="JDV36" s="218"/>
      <c r="JDW36" s="218"/>
      <c r="JDX36" s="218"/>
      <c r="JDY36" s="218"/>
      <c r="JDZ36" s="218"/>
      <c r="JEA36" s="218"/>
      <c r="JEB36" s="218"/>
      <c r="JEC36" s="218"/>
      <c r="JED36" s="218"/>
      <c r="JEE36" s="218"/>
      <c r="JEF36" s="218"/>
      <c r="JEG36" s="218"/>
      <c r="JEH36" s="218"/>
      <c r="JEI36" s="218"/>
      <c r="JEJ36" s="218"/>
      <c r="JEK36" s="218"/>
      <c r="JEL36" s="218"/>
      <c r="JEM36" s="218"/>
      <c r="JEN36" s="218"/>
      <c r="JEO36" s="218"/>
      <c r="JEP36" s="218"/>
      <c r="JEQ36" s="218"/>
      <c r="JER36" s="218"/>
      <c r="JES36" s="218"/>
      <c r="JET36" s="218"/>
      <c r="JEU36" s="218"/>
      <c r="JEV36" s="218"/>
      <c r="JEW36" s="218"/>
      <c r="JEX36" s="218"/>
      <c r="JEY36" s="218"/>
      <c r="JEZ36" s="218"/>
      <c r="JFA36" s="218"/>
      <c r="JFB36" s="218"/>
      <c r="JFC36" s="218"/>
      <c r="JFD36" s="218"/>
      <c r="JFE36" s="218"/>
      <c r="JFF36" s="218"/>
      <c r="JFG36" s="218"/>
      <c r="JFH36" s="218"/>
      <c r="JFI36" s="218"/>
      <c r="JFJ36" s="218"/>
      <c r="JFK36" s="218"/>
      <c r="JFL36" s="218"/>
      <c r="JFM36" s="218"/>
      <c r="JFN36" s="218"/>
      <c r="JFO36" s="218"/>
      <c r="JFP36" s="218"/>
      <c r="JFQ36" s="218"/>
      <c r="JFR36" s="218"/>
      <c r="JFS36" s="218"/>
      <c r="JFT36" s="218"/>
      <c r="JFU36" s="218"/>
      <c r="JFV36" s="218"/>
      <c r="JFW36" s="218"/>
      <c r="JFX36" s="218"/>
      <c r="JFY36" s="218"/>
      <c r="JFZ36" s="218"/>
      <c r="JGA36" s="218"/>
      <c r="JGB36" s="218"/>
      <c r="JGC36" s="218"/>
      <c r="JGD36" s="218"/>
      <c r="JGE36" s="218"/>
      <c r="JGF36" s="218"/>
      <c r="JGG36" s="218"/>
      <c r="JGH36" s="218"/>
      <c r="JGI36" s="218"/>
      <c r="JGJ36" s="218"/>
      <c r="JGK36" s="218"/>
      <c r="JGL36" s="218"/>
      <c r="JGM36" s="218"/>
      <c r="JGN36" s="218"/>
      <c r="JGO36" s="218"/>
      <c r="JGP36" s="218"/>
      <c r="JGQ36" s="218"/>
      <c r="JGR36" s="218"/>
      <c r="JGS36" s="218"/>
      <c r="JGT36" s="218"/>
      <c r="JGU36" s="218"/>
      <c r="JGV36" s="218"/>
      <c r="JGW36" s="218"/>
      <c r="JGX36" s="218"/>
      <c r="JGY36" s="218"/>
      <c r="JGZ36" s="218"/>
      <c r="JHA36" s="218"/>
      <c r="JHB36" s="218"/>
      <c r="JHC36" s="218"/>
      <c r="JHD36" s="218"/>
      <c r="JHE36" s="218"/>
      <c r="JHF36" s="218"/>
      <c r="JHG36" s="218"/>
      <c r="JHH36" s="218"/>
      <c r="JHI36" s="218"/>
      <c r="JHJ36" s="218"/>
      <c r="JHK36" s="218"/>
      <c r="JHL36" s="218"/>
      <c r="JHM36" s="218"/>
      <c r="JHN36" s="218"/>
      <c r="JHO36" s="218"/>
      <c r="JHP36" s="218"/>
      <c r="JHQ36" s="218"/>
      <c r="JHR36" s="218"/>
      <c r="JHS36" s="218"/>
      <c r="JHT36" s="218"/>
      <c r="JHU36" s="218"/>
      <c r="JHV36" s="218"/>
      <c r="JHW36" s="218"/>
      <c r="JHX36" s="218"/>
      <c r="JHY36" s="218"/>
      <c r="JHZ36" s="218"/>
      <c r="JIA36" s="218"/>
      <c r="JIB36" s="218"/>
      <c r="JIC36" s="218"/>
      <c r="JID36" s="218"/>
      <c r="JIE36" s="218"/>
      <c r="JIF36" s="218"/>
      <c r="JIG36" s="218"/>
      <c r="JIH36" s="218"/>
      <c r="JII36" s="218"/>
      <c r="JIJ36" s="218"/>
      <c r="JIK36" s="218"/>
      <c r="JIL36" s="218"/>
      <c r="JIM36" s="218"/>
      <c r="JIN36" s="218"/>
      <c r="JIO36" s="218"/>
      <c r="JIP36" s="218"/>
      <c r="JIQ36" s="218"/>
      <c r="JIR36" s="218"/>
      <c r="JIS36" s="218"/>
      <c r="JIT36" s="218"/>
      <c r="JIU36" s="218"/>
      <c r="JIV36" s="218"/>
      <c r="JIW36" s="218"/>
      <c r="JIX36" s="218"/>
      <c r="JIY36" s="218"/>
      <c r="JIZ36" s="218"/>
      <c r="JJA36" s="218"/>
      <c r="JJB36" s="218"/>
      <c r="JJC36" s="218"/>
      <c r="JJD36" s="218"/>
      <c r="JJE36" s="218"/>
      <c r="JJF36" s="218"/>
      <c r="JJG36" s="218"/>
      <c r="JJH36" s="218"/>
      <c r="JJI36" s="218"/>
      <c r="JJJ36" s="218"/>
      <c r="JJK36" s="218"/>
      <c r="JJL36" s="218"/>
      <c r="JJM36" s="218"/>
      <c r="JJN36" s="218"/>
      <c r="JJO36" s="218"/>
      <c r="JJP36" s="218"/>
      <c r="JJQ36" s="218"/>
      <c r="JJR36" s="218"/>
      <c r="JJS36" s="218"/>
      <c r="JJT36" s="218"/>
      <c r="JJU36" s="218"/>
      <c r="JJV36" s="218"/>
      <c r="JJW36" s="218"/>
      <c r="JJX36" s="218"/>
      <c r="JJY36" s="218"/>
      <c r="JJZ36" s="218"/>
      <c r="JKA36" s="218"/>
      <c r="JKB36" s="218"/>
      <c r="JKC36" s="218"/>
      <c r="JKD36" s="218"/>
      <c r="JKE36" s="218"/>
      <c r="JKF36" s="218"/>
      <c r="JKG36" s="218"/>
      <c r="JKH36" s="218"/>
      <c r="JKI36" s="218"/>
      <c r="JKJ36" s="218"/>
      <c r="JKK36" s="218"/>
      <c r="JKL36" s="218"/>
      <c r="JKM36" s="218"/>
      <c r="JKN36" s="218"/>
      <c r="JKO36" s="218"/>
      <c r="JKP36" s="218"/>
      <c r="JKQ36" s="218"/>
      <c r="JKR36" s="218"/>
      <c r="JKS36" s="218"/>
      <c r="JKT36" s="218"/>
      <c r="JKU36" s="218"/>
      <c r="JKV36" s="218"/>
      <c r="JKW36" s="218"/>
      <c r="JKX36" s="218"/>
      <c r="JKY36" s="218"/>
      <c r="JKZ36" s="218"/>
      <c r="JLA36" s="218"/>
      <c r="JLB36" s="218"/>
      <c r="JLC36" s="218"/>
      <c r="JLD36" s="218"/>
      <c r="JLE36" s="218"/>
      <c r="JLF36" s="218"/>
      <c r="JLG36" s="218"/>
      <c r="JLH36" s="218"/>
      <c r="JLI36" s="218"/>
      <c r="JLJ36" s="218"/>
      <c r="JLK36" s="218"/>
      <c r="JLL36" s="218"/>
      <c r="JLM36" s="218"/>
      <c r="JLN36" s="218"/>
      <c r="JLO36" s="218"/>
      <c r="JLP36" s="218"/>
      <c r="JLQ36" s="218"/>
      <c r="JLR36" s="218"/>
      <c r="JLS36" s="218"/>
      <c r="JLT36" s="218"/>
      <c r="JLU36" s="218"/>
      <c r="JLV36" s="218"/>
      <c r="JLW36" s="218"/>
      <c r="JLX36" s="218"/>
      <c r="JLY36" s="218"/>
      <c r="JLZ36" s="218"/>
      <c r="JMA36" s="218"/>
      <c r="JMB36" s="218"/>
      <c r="JMC36" s="218"/>
      <c r="JMD36" s="218"/>
      <c r="JME36" s="218"/>
      <c r="JMF36" s="218"/>
      <c r="JMG36" s="218"/>
      <c r="JMH36" s="218"/>
      <c r="JMI36" s="218"/>
      <c r="JMJ36" s="218"/>
      <c r="JMK36" s="218"/>
      <c r="JML36" s="218"/>
      <c r="JMM36" s="218"/>
      <c r="JMN36" s="218"/>
      <c r="JMO36" s="218"/>
      <c r="JMP36" s="218"/>
      <c r="JMQ36" s="218"/>
      <c r="JMR36" s="218"/>
      <c r="JMS36" s="218"/>
      <c r="JMT36" s="218"/>
      <c r="JMU36" s="218"/>
      <c r="JMV36" s="218"/>
      <c r="JMW36" s="218"/>
      <c r="JMX36" s="218"/>
      <c r="JMY36" s="218"/>
      <c r="JMZ36" s="218"/>
      <c r="JNA36" s="218"/>
      <c r="JNB36" s="218"/>
      <c r="JNC36" s="218"/>
      <c r="JND36" s="218"/>
      <c r="JNE36" s="218"/>
      <c r="JNF36" s="218"/>
      <c r="JNG36" s="218"/>
      <c r="JNH36" s="218"/>
      <c r="JNI36" s="218"/>
      <c r="JNJ36" s="218"/>
      <c r="JNK36" s="218"/>
      <c r="JNL36" s="218"/>
      <c r="JNM36" s="218"/>
      <c r="JNN36" s="218"/>
      <c r="JNO36" s="218"/>
      <c r="JNP36" s="218"/>
      <c r="JNQ36" s="218"/>
      <c r="JNR36" s="218"/>
      <c r="JNS36" s="218"/>
      <c r="JNT36" s="218"/>
      <c r="JNU36" s="218"/>
      <c r="JNV36" s="218"/>
      <c r="JNW36" s="218"/>
      <c r="JNX36" s="218"/>
      <c r="JNY36" s="218"/>
      <c r="JNZ36" s="218"/>
      <c r="JOA36" s="218"/>
      <c r="JOB36" s="218"/>
      <c r="JOC36" s="218"/>
      <c r="JOD36" s="218"/>
      <c r="JOE36" s="218"/>
      <c r="JOF36" s="218"/>
      <c r="JOG36" s="218"/>
      <c r="JOH36" s="218"/>
      <c r="JOI36" s="218"/>
      <c r="JOJ36" s="218"/>
      <c r="JOK36" s="218"/>
      <c r="JOL36" s="218"/>
      <c r="JOM36" s="218"/>
      <c r="JON36" s="218"/>
      <c r="JOO36" s="218"/>
      <c r="JOP36" s="218"/>
      <c r="JOQ36" s="218"/>
      <c r="JOR36" s="218"/>
      <c r="JOS36" s="218"/>
      <c r="JOT36" s="218"/>
      <c r="JOU36" s="218"/>
      <c r="JOV36" s="218"/>
      <c r="JOW36" s="218"/>
      <c r="JOX36" s="218"/>
      <c r="JOY36" s="218"/>
      <c r="JOZ36" s="218"/>
      <c r="JPA36" s="218"/>
      <c r="JPB36" s="218"/>
      <c r="JPC36" s="218"/>
      <c r="JPD36" s="218"/>
      <c r="JPE36" s="218"/>
      <c r="JPF36" s="218"/>
      <c r="JPG36" s="218"/>
      <c r="JPH36" s="218"/>
      <c r="JPI36" s="218"/>
      <c r="JPJ36" s="218"/>
      <c r="JPK36" s="218"/>
      <c r="JPL36" s="218"/>
      <c r="JPM36" s="218"/>
      <c r="JPN36" s="218"/>
      <c r="JPO36" s="218"/>
      <c r="JPP36" s="218"/>
      <c r="JPQ36" s="218"/>
      <c r="JPR36" s="218"/>
      <c r="JPS36" s="218"/>
      <c r="JPT36" s="218"/>
      <c r="JPU36" s="218"/>
      <c r="JPV36" s="218"/>
      <c r="JPW36" s="218"/>
      <c r="JPX36" s="218"/>
      <c r="JPY36" s="218"/>
      <c r="JPZ36" s="218"/>
      <c r="JQA36" s="218"/>
      <c r="JQB36" s="218"/>
      <c r="JQC36" s="218"/>
      <c r="JQD36" s="218"/>
      <c r="JQE36" s="218"/>
      <c r="JQF36" s="218"/>
      <c r="JQG36" s="218"/>
      <c r="JQH36" s="218"/>
      <c r="JQI36" s="218"/>
      <c r="JQJ36" s="218"/>
      <c r="JQK36" s="218"/>
      <c r="JQL36" s="218"/>
      <c r="JQM36" s="218"/>
      <c r="JQN36" s="218"/>
      <c r="JQO36" s="218"/>
      <c r="JQP36" s="218"/>
      <c r="JQQ36" s="218"/>
      <c r="JQR36" s="218"/>
      <c r="JQS36" s="218"/>
      <c r="JQT36" s="218"/>
      <c r="JQU36" s="218"/>
      <c r="JQV36" s="218"/>
      <c r="JQW36" s="218"/>
      <c r="JQX36" s="218"/>
      <c r="JQY36" s="218"/>
      <c r="JQZ36" s="218"/>
      <c r="JRA36" s="218"/>
      <c r="JRB36" s="218"/>
      <c r="JRC36" s="218"/>
      <c r="JRD36" s="218"/>
      <c r="JRE36" s="218"/>
      <c r="JRF36" s="218"/>
      <c r="JRG36" s="218"/>
      <c r="JRH36" s="218"/>
      <c r="JRI36" s="218"/>
      <c r="JRJ36" s="218"/>
      <c r="JRK36" s="218"/>
      <c r="JRL36" s="218"/>
      <c r="JRM36" s="218"/>
      <c r="JRN36" s="218"/>
      <c r="JRO36" s="218"/>
      <c r="JRP36" s="218"/>
      <c r="JRQ36" s="218"/>
      <c r="JRR36" s="218"/>
      <c r="JRS36" s="218"/>
      <c r="JRT36" s="218"/>
      <c r="JRU36" s="218"/>
      <c r="JRV36" s="218"/>
      <c r="JRW36" s="218"/>
      <c r="JRX36" s="218"/>
      <c r="JRY36" s="218"/>
      <c r="JRZ36" s="218"/>
      <c r="JSA36" s="218"/>
      <c r="JSB36" s="218"/>
      <c r="JSC36" s="218"/>
      <c r="JSD36" s="218"/>
      <c r="JSE36" s="218"/>
      <c r="JSF36" s="218"/>
      <c r="JSG36" s="218"/>
      <c r="JSH36" s="218"/>
      <c r="JSI36" s="218"/>
      <c r="JSJ36" s="218"/>
      <c r="JSK36" s="218"/>
      <c r="JSL36" s="218"/>
      <c r="JSM36" s="218"/>
      <c r="JSN36" s="218"/>
      <c r="JSO36" s="218"/>
      <c r="JSP36" s="218"/>
      <c r="JSQ36" s="218"/>
      <c r="JSR36" s="218"/>
      <c r="JSS36" s="218"/>
      <c r="JST36" s="218"/>
      <c r="JSU36" s="218"/>
      <c r="JSV36" s="218"/>
      <c r="JSW36" s="218"/>
      <c r="JSX36" s="218"/>
      <c r="JSY36" s="218"/>
      <c r="JSZ36" s="218"/>
      <c r="JTA36" s="218"/>
      <c r="JTB36" s="218"/>
      <c r="JTC36" s="218"/>
      <c r="JTD36" s="218"/>
      <c r="JTE36" s="218"/>
      <c r="JTF36" s="218"/>
      <c r="JTG36" s="218"/>
      <c r="JTH36" s="218"/>
      <c r="JTI36" s="218"/>
      <c r="JTJ36" s="218"/>
      <c r="JTK36" s="218"/>
      <c r="JTL36" s="218"/>
      <c r="JTM36" s="218"/>
      <c r="JTN36" s="218"/>
      <c r="JTO36" s="218"/>
      <c r="JTP36" s="218"/>
      <c r="JTQ36" s="218"/>
      <c r="JTR36" s="218"/>
      <c r="JTS36" s="218"/>
      <c r="JTT36" s="218"/>
      <c r="JTU36" s="218"/>
      <c r="JTV36" s="218"/>
      <c r="JTW36" s="218"/>
      <c r="JTX36" s="218"/>
      <c r="JTY36" s="218"/>
      <c r="JTZ36" s="218"/>
      <c r="JUA36" s="218"/>
      <c r="JUB36" s="218"/>
      <c r="JUC36" s="218"/>
      <c r="JUD36" s="218"/>
      <c r="JUE36" s="218"/>
      <c r="JUF36" s="218"/>
      <c r="JUG36" s="218"/>
      <c r="JUH36" s="218"/>
      <c r="JUI36" s="218"/>
      <c r="JUJ36" s="218"/>
      <c r="JUK36" s="218"/>
      <c r="JUL36" s="218"/>
      <c r="JUM36" s="218"/>
      <c r="JUN36" s="218"/>
      <c r="JUO36" s="218"/>
      <c r="JUP36" s="218"/>
      <c r="JUQ36" s="218"/>
      <c r="JUR36" s="218"/>
      <c r="JUS36" s="218"/>
      <c r="JUT36" s="218"/>
      <c r="JUU36" s="218"/>
      <c r="JUV36" s="218"/>
      <c r="JUW36" s="218"/>
      <c r="JUX36" s="218"/>
      <c r="JUY36" s="218"/>
      <c r="JUZ36" s="218"/>
      <c r="JVA36" s="218"/>
      <c r="JVB36" s="218"/>
      <c r="JVC36" s="218"/>
      <c r="JVD36" s="218"/>
      <c r="JVE36" s="218"/>
      <c r="JVF36" s="218"/>
      <c r="JVG36" s="218"/>
      <c r="JVH36" s="218"/>
      <c r="JVI36" s="218"/>
      <c r="JVJ36" s="218"/>
      <c r="JVK36" s="218"/>
      <c r="JVL36" s="218"/>
      <c r="JVM36" s="218"/>
      <c r="JVN36" s="218"/>
      <c r="JVO36" s="218"/>
      <c r="JVP36" s="218"/>
      <c r="JVQ36" s="218"/>
      <c r="JVR36" s="218"/>
      <c r="JVS36" s="218"/>
      <c r="JVT36" s="218"/>
      <c r="JVU36" s="218"/>
      <c r="JVV36" s="218"/>
      <c r="JVW36" s="218"/>
      <c r="JVX36" s="218"/>
      <c r="JVY36" s="218"/>
      <c r="JVZ36" s="218"/>
      <c r="JWA36" s="218"/>
      <c r="JWB36" s="218"/>
      <c r="JWC36" s="218"/>
      <c r="JWD36" s="218"/>
      <c r="JWE36" s="218"/>
      <c r="JWF36" s="218"/>
      <c r="JWG36" s="218"/>
      <c r="JWH36" s="218"/>
      <c r="JWI36" s="218"/>
      <c r="JWJ36" s="218"/>
      <c r="JWK36" s="218"/>
      <c r="JWL36" s="218"/>
      <c r="JWM36" s="218"/>
      <c r="JWN36" s="218"/>
      <c r="JWO36" s="218"/>
      <c r="JWP36" s="218"/>
      <c r="JWQ36" s="218"/>
      <c r="JWR36" s="218"/>
      <c r="JWS36" s="218"/>
      <c r="JWT36" s="218"/>
      <c r="JWU36" s="218"/>
      <c r="JWV36" s="218"/>
      <c r="JWW36" s="218"/>
      <c r="JWX36" s="218"/>
      <c r="JWY36" s="218"/>
      <c r="JWZ36" s="218"/>
      <c r="JXA36" s="218"/>
      <c r="JXB36" s="218"/>
      <c r="JXC36" s="218"/>
      <c r="JXD36" s="218"/>
      <c r="JXE36" s="218"/>
      <c r="JXF36" s="218"/>
      <c r="JXG36" s="218"/>
      <c r="JXH36" s="218"/>
      <c r="JXI36" s="218"/>
      <c r="JXJ36" s="218"/>
      <c r="JXK36" s="218"/>
      <c r="JXL36" s="218"/>
      <c r="JXM36" s="218"/>
      <c r="JXN36" s="218"/>
      <c r="JXO36" s="218"/>
      <c r="JXP36" s="218"/>
      <c r="JXQ36" s="218"/>
      <c r="JXR36" s="218"/>
      <c r="JXS36" s="218"/>
      <c r="JXT36" s="218"/>
      <c r="JXU36" s="218"/>
      <c r="JXV36" s="218"/>
      <c r="JXW36" s="218"/>
      <c r="JXX36" s="218"/>
      <c r="JXY36" s="218"/>
      <c r="JXZ36" s="218"/>
      <c r="JYA36" s="218"/>
      <c r="JYB36" s="218"/>
      <c r="JYC36" s="218"/>
      <c r="JYD36" s="218"/>
      <c r="JYE36" s="218"/>
      <c r="JYF36" s="218"/>
      <c r="JYG36" s="218"/>
      <c r="JYH36" s="218"/>
      <c r="JYI36" s="218"/>
      <c r="JYJ36" s="218"/>
      <c r="JYK36" s="218"/>
      <c r="JYL36" s="218"/>
      <c r="JYM36" s="218"/>
      <c r="JYN36" s="218"/>
      <c r="JYO36" s="218"/>
      <c r="JYP36" s="218"/>
      <c r="JYQ36" s="218"/>
      <c r="JYR36" s="218"/>
      <c r="JYS36" s="218"/>
      <c r="JYT36" s="218"/>
      <c r="JYU36" s="218"/>
      <c r="JYV36" s="218"/>
      <c r="JYW36" s="218"/>
      <c r="JYX36" s="218"/>
      <c r="JYY36" s="218"/>
      <c r="JYZ36" s="218"/>
      <c r="JZA36" s="218"/>
      <c r="JZB36" s="218"/>
      <c r="JZC36" s="218"/>
      <c r="JZD36" s="218"/>
      <c r="JZE36" s="218"/>
      <c r="JZF36" s="218"/>
      <c r="JZG36" s="218"/>
      <c r="JZH36" s="218"/>
      <c r="JZI36" s="218"/>
      <c r="JZJ36" s="218"/>
      <c r="JZK36" s="218"/>
      <c r="JZL36" s="218"/>
      <c r="JZM36" s="218"/>
      <c r="JZN36" s="218"/>
      <c r="JZO36" s="218"/>
      <c r="JZP36" s="218"/>
      <c r="JZQ36" s="218"/>
      <c r="JZR36" s="218"/>
      <c r="JZS36" s="218"/>
      <c r="JZT36" s="218"/>
      <c r="JZU36" s="218"/>
      <c r="JZV36" s="218"/>
      <c r="JZW36" s="218"/>
      <c r="JZX36" s="218"/>
      <c r="JZY36" s="218"/>
      <c r="JZZ36" s="218"/>
      <c r="KAA36" s="218"/>
      <c r="KAB36" s="218"/>
      <c r="KAC36" s="218"/>
      <c r="KAD36" s="218"/>
      <c r="KAE36" s="218"/>
      <c r="KAF36" s="218"/>
      <c r="KAG36" s="218"/>
      <c r="KAH36" s="218"/>
      <c r="KAI36" s="218"/>
      <c r="KAJ36" s="218"/>
      <c r="KAK36" s="218"/>
      <c r="KAL36" s="218"/>
      <c r="KAM36" s="218"/>
      <c r="KAN36" s="218"/>
      <c r="KAO36" s="218"/>
      <c r="KAP36" s="218"/>
      <c r="KAQ36" s="218"/>
      <c r="KAR36" s="218"/>
      <c r="KAS36" s="218"/>
      <c r="KAT36" s="218"/>
      <c r="KAU36" s="218"/>
      <c r="KAV36" s="218"/>
      <c r="KAW36" s="218"/>
      <c r="KAX36" s="218"/>
      <c r="KAY36" s="218"/>
      <c r="KAZ36" s="218"/>
      <c r="KBA36" s="218"/>
      <c r="KBB36" s="218"/>
      <c r="KBC36" s="218"/>
      <c r="KBD36" s="218"/>
      <c r="KBE36" s="218"/>
      <c r="KBF36" s="218"/>
      <c r="KBG36" s="218"/>
      <c r="KBH36" s="218"/>
      <c r="KBI36" s="218"/>
      <c r="KBJ36" s="218"/>
      <c r="KBK36" s="218"/>
      <c r="KBL36" s="218"/>
      <c r="KBM36" s="218"/>
      <c r="KBN36" s="218"/>
      <c r="KBO36" s="218"/>
      <c r="KBP36" s="218"/>
      <c r="KBQ36" s="218"/>
      <c r="KBR36" s="218"/>
      <c r="KBS36" s="218"/>
      <c r="KBT36" s="218"/>
      <c r="KBU36" s="218"/>
      <c r="KBV36" s="218"/>
      <c r="KBW36" s="218"/>
      <c r="KBX36" s="218"/>
      <c r="KBY36" s="218"/>
      <c r="KBZ36" s="218"/>
      <c r="KCA36" s="218"/>
      <c r="KCB36" s="218"/>
      <c r="KCC36" s="218"/>
      <c r="KCD36" s="218"/>
      <c r="KCE36" s="218"/>
      <c r="KCF36" s="218"/>
      <c r="KCG36" s="218"/>
      <c r="KCH36" s="218"/>
      <c r="KCI36" s="218"/>
      <c r="KCJ36" s="218"/>
      <c r="KCK36" s="218"/>
      <c r="KCL36" s="218"/>
      <c r="KCM36" s="218"/>
      <c r="KCN36" s="218"/>
      <c r="KCO36" s="218"/>
      <c r="KCP36" s="218"/>
      <c r="KCQ36" s="218"/>
      <c r="KCR36" s="218"/>
      <c r="KCS36" s="218"/>
      <c r="KCT36" s="218"/>
      <c r="KCU36" s="218"/>
      <c r="KCV36" s="218"/>
      <c r="KCW36" s="218"/>
      <c r="KCX36" s="218"/>
      <c r="KCY36" s="218"/>
      <c r="KCZ36" s="218"/>
      <c r="KDA36" s="218"/>
      <c r="KDB36" s="218"/>
      <c r="KDC36" s="218"/>
      <c r="KDD36" s="218"/>
      <c r="KDE36" s="218"/>
      <c r="KDF36" s="218"/>
      <c r="KDG36" s="218"/>
      <c r="KDH36" s="218"/>
      <c r="KDI36" s="218"/>
      <c r="KDJ36" s="218"/>
      <c r="KDK36" s="218"/>
      <c r="KDL36" s="218"/>
      <c r="KDM36" s="218"/>
      <c r="KDN36" s="218"/>
      <c r="KDO36" s="218"/>
      <c r="KDP36" s="218"/>
      <c r="KDQ36" s="218"/>
      <c r="KDR36" s="218"/>
      <c r="KDS36" s="218"/>
      <c r="KDT36" s="218"/>
      <c r="KDU36" s="218"/>
      <c r="KDV36" s="218"/>
      <c r="KDW36" s="218"/>
      <c r="KDX36" s="218"/>
      <c r="KDY36" s="218"/>
      <c r="KDZ36" s="218"/>
      <c r="KEA36" s="218"/>
      <c r="KEB36" s="218"/>
      <c r="KEC36" s="218"/>
      <c r="KED36" s="218"/>
      <c r="KEE36" s="218"/>
      <c r="KEF36" s="218"/>
      <c r="KEG36" s="218"/>
      <c r="KEH36" s="218"/>
      <c r="KEI36" s="218"/>
      <c r="KEJ36" s="218"/>
      <c r="KEK36" s="218"/>
      <c r="KEL36" s="218"/>
      <c r="KEM36" s="218"/>
      <c r="KEN36" s="218"/>
      <c r="KEO36" s="218"/>
      <c r="KEP36" s="218"/>
      <c r="KEQ36" s="218"/>
      <c r="KER36" s="218"/>
      <c r="KES36" s="218"/>
      <c r="KET36" s="218"/>
      <c r="KEU36" s="218"/>
      <c r="KEV36" s="218"/>
      <c r="KEW36" s="218"/>
      <c r="KEX36" s="218"/>
      <c r="KEY36" s="218"/>
      <c r="KEZ36" s="218"/>
      <c r="KFA36" s="218"/>
      <c r="KFB36" s="218"/>
      <c r="KFC36" s="218"/>
      <c r="KFD36" s="218"/>
      <c r="KFE36" s="218"/>
      <c r="KFF36" s="218"/>
      <c r="KFG36" s="218"/>
      <c r="KFH36" s="218"/>
      <c r="KFI36" s="218"/>
      <c r="KFJ36" s="218"/>
      <c r="KFK36" s="218"/>
      <c r="KFL36" s="218"/>
      <c r="KFM36" s="218"/>
      <c r="KFN36" s="218"/>
      <c r="KFO36" s="218"/>
      <c r="KFP36" s="218"/>
      <c r="KFQ36" s="218"/>
      <c r="KFR36" s="218"/>
      <c r="KFS36" s="218"/>
      <c r="KFT36" s="218"/>
      <c r="KFU36" s="218"/>
      <c r="KFV36" s="218"/>
      <c r="KFW36" s="218"/>
      <c r="KFX36" s="218"/>
      <c r="KFY36" s="218"/>
      <c r="KFZ36" s="218"/>
      <c r="KGA36" s="218"/>
      <c r="KGB36" s="218"/>
      <c r="KGC36" s="218"/>
      <c r="KGD36" s="218"/>
      <c r="KGE36" s="218"/>
      <c r="KGF36" s="218"/>
      <c r="KGG36" s="218"/>
      <c r="KGH36" s="218"/>
      <c r="KGI36" s="218"/>
      <c r="KGJ36" s="218"/>
      <c r="KGK36" s="218"/>
      <c r="KGL36" s="218"/>
      <c r="KGM36" s="218"/>
      <c r="KGN36" s="218"/>
      <c r="KGO36" s="218"/>
      <c r="KGP36" s="218"/>
      <c r="KGQ36" s="218"/>
      <c r="KGR36" s="218"/>
      <c r="KGS36" s="218"/>
      <c r="KGT36" s="218"/>
      <c r="KGU36" s="218"/>
      <c r="KGV36" s="218"/>
      <c r="KGW36" s="218"/>
      <c r="KGX36" s="218"/>
      <c r="KGY36" s="218"/>
      <c r="KGZ36" s="218"/>
      <c r="KHA36" s="218"/>
      <c r="KHB36" s="218"/>
      <c r="KHC36" s="218"/>
      <c r="KHD36" s="218"/>
      <c r="KHE36" s="218"/>
      <c r="KHF36" s="218"/>
      <c r="KHG36" s="218"/>
      <c r="KHH36" s="218"/>
      <c r="KHI36" s="218"/>
      <c r="KHJ36" s="218"/>
      <c r="KHK36" s="218"/>
      <c r="KHL36" s="218"/>
      <c r="KHM36" s="218"/>
      <c r="KHN36" s="218"/>
      <c r="KHO36" s="218"/>
      <c r="KHP36" s="218"/>
      <c r="KHQ36" s="218"/>
      <c r="KHR36" s="218"/>
      <c r="KHS36" s="218"/>
      <c r="KHT36" s="218"/>
      <c r="KHU36" s="218"/>
      <c r="KHV36" s="218"/>
      <c r="KHW36" s="218"/>
      <c r="KHX36" s="218"/>
      <c r="KHY36" s="218"/>
      <c r="KHZ36" s="218"/>
      <c r="KIA36" s="218"/>
      <c r="KIB36" s="218"/>
      <c r="KIC36" s="218"/>
      <c r="KID36" s="218"/>
      <c r="KIE36" s="218"/>
      <c r="KIF36" s="218"/>
      <c r="KIG36" s="218"/>
      <c r="KIH36" s="218"/>
      <c r="KII36" s="218"/>
      <c r="KIJ36" s="218"/>
      <c r="KIK36" s="218"/>
      <c r="KIL36" s="218"/>
      <c r="KIM36" s="218"/>
      <c r="KIN36" s="218"/>
      <c r="KIO36" s="218"/>
      <c r="KIP36" s="218"/>
      <c r="KIQ36" s="218"/>
      <c r="KIR36" s="218"/>
      <c r="KIS36" s="218"/>
      <c r="KIT36" s="218"/>
      <c r="KIU36" s="218"/>
      <c r="KIV36" s="218"/>
      <c r="KIW36" s="218"/>
      <c r="KIX36" s="218"/>
      <c r="KIY36" s="218"/>
      <c r="KIZ36" s="218"/>
      <c r="KJA36" s="218"/>
      <c r="KJB36" s="218"/>
      <c r="KJC36" s="218"/>
      <c r="KJD36" s="218"/>
      <c r="KJE36" s="218"/>
      <c r="KJF36" s="218"/>
      <c r="KJG36" s="218"/>
      <c r="KJH36" s="218"/>
      <c r="KJI36" s="218"/>
      <c r="KJJ36" s="218"/>
      <c r="KJK36" s="218"/>
      <c r="KJL36" s="218"/>
      <c r="KJM36" s="218"/>
      <c r="KJN36" s="218"/>
      <c r="KJO36" s="218"/>
      <c r="KJP36" s="218"/>
      <c r="KJQ36" s="218"/>
      <c r="KJR36" s="218"/>
      <c r="KJS36" s="218"/>
      <c r="KJT36" s="218"/>
      <c r="KJU36" s="218"/>
      <c r="KJV36" s="218"/>
      <c r="KJW36" s="218"/>
      <c r="KJX36" s="218"/>
      <c r="KJY36" s="218"/>
      <c r="KJZ36" s="218"/>
      <c r="KKA36" s="218"/>
      <c r="KKB36" s="218"/>
      <c r="KKC36" s="218"/>
      <c r="KKD36" s="218"/>
      <c r="KKE36" s="218"/>
      <c r="KKF36" s="218"/>
      <c r="KKG36" s="218"/>
      <c r="KKH36" s="218"/>
      <c r="KKI36" s="218"/>
      <c r="KKJ36" s="218"/>
      <c r="KKK36" s="218"/>
      <c r="KKL36" s="218"/>
      <c r="KKM36" s="218"/>
      <c r="KKN36" s="218"/>
      <c r="KKO36" s="218"/>
      <c r="KKP36" s="218"/>
      <c r="KKQ36" s="218"/>
      <c r="KKR36" s="218"/>
      <c r="KKS36" s="218"/>
      <c r="KKT36" s="218"/>
      <c r="KKU36" s="218"/>
      <c r="KKV36" s="218"/>
      <c r="KKW36" s="218"/>
      <c r="KKX36" s="218"/>
      <c r="KKY36" s="218"/>
      <c r="KKZ36" s="218"/>
      <c r="KLA36" s="218"/>
      <c r="KLB36" s="218"/>
      <c r="KLC36" s="218"/>
      <c r="KLD36" s="218"/>
      <c r="KLE36" s="218"/>
      <c r="KLF36" s="218"/>
      <c r="KLG36" s="218"/>
      <c r="KLH36" s="218"/>
      <c r="KLI36" s="218"/>
      <c r="KLJ36" s="218"/>
      <c r="KLK36" s="218"/>
      <c r="KLL36" s="218"/>
      <c r="KLM36" s="218"/>
      <c r="KLN36" s="218"/>
      <c r="KLO36" s="218"/>
      <c r="KLP36" s="218"/>
      <c r="KLQ36" s="218"/>
      <c r="KLR36" s="218"/>
      <c r="KLS36" s="218"/>
      <c r="KLT36" s="218"/>
      <c r="KLU36" s="218"/>
      <c r="KLV36" s="218"/>
      <c r="KLW36" s="218"/>
      <c r="KLX36" s="218"/>
      <c r="KLY36" s="218"/>
      <c r="KLZ36" s="218"/>
      <c r="KMA36" s="218"/>
      <c r="KMB36" s="218"/>
      <c r="KMC36" s="218"/>
      <c r="KMD36" s="218"/>
      <c r="KME36" s="218"/>
      <c r="KMF36" s="218"/>
      <c r="KMG36" s="218"/>
      <c r="KMH36" s="218"/>
      <c r="KMI36" s="218"/>
      <c r="KMJ36" s="218"/>
      <c r="KMK36" s="218"/>
      <c r="KML36" s="218"/>
      <c r="KMM36" s="218"/>
      <c r="KMN36" s="218"/>
      <c r="KMO36" s="218"/>
      <c r="KMP36" s="218"/>
      <c r="KMQ36" s="218"/>
      <c r="KMR36" s="218"/>
      <c r="KMS36" s="218"/>
      <c r="KMT36" s="218"/>
      <c r="KMU36" s="218"/>
      <c r="KMV36" s="218"/>
      <c r="KMW36" s="218"/>
      <c r="KMX36" s="218"/>
      <c r="KMY36" s="218"/>
      <c r="KMZ36" s="218"/>
      <c r="KNA36" s="218"/>
      <c r="KNB36" s="218"/>
      <c r="KNC36" s="218"/>
      <c r="KND36" s="218"/>
      <c r="KNE36" s="218"/>
      <c r="KNF36" s="218"/>
      <c r="KNG36" s="218"/>
      <c r="KNH36" s="218"/>
      <c r="KNI36" s="218"/>
      <c r="KNJ36" s="218"/>
      <c r="KNK36" s="218"/>
      <c r="KNL36" s="218"/>
      <c r="KNM36" s="218"/>
      <c r="KNN36" s="218"/>
      <c r="KNO36" s="218"/>
      <c r="KNP36" s="218"/>
      <c r="KNQ36" s="218"/>
      <c r="KNR36" s="218"/>
      <c r="KNS36" s="218"/>
      <c r="KNT36" s="218"/>
      <c r="KNU36" s="218"/>
      <c r="KNV36" s="218"/>
      <c r="KNW36" s="218"/>
      <c r="KNX36" s="218"/>
      <c r="KNY36" s="218"/>
      <c r="KNZ36" s="218"/>
      <c r="KOA36" s="218"/>
      <c r="KOB36" s="218"/>
      <c r="KOC36" s="218"/>
      <c r="KOD36" s="218"/>
      <c r="KOE36" s="218"/>
      <c r="KOF36" s="218"/>
      <c r="KOG36" s="218"/>
      <c r="KOH36" s="218"/>
      <c r="KOI36" s="218"/>
      <c r="KOJ36" s="218"/>
      <c r="KOK36" s="218"/>
      <c r="KOL36" s="218"/>
      <c r="KOM36" s="218"/>
      <c r="KON36" s="218"/>
      <c r="KOO36" s="218"/>
      <c r="KOP36" s="218"/>
      <c r="KOQ36" s="218"/>
      <c r="KOR36" s="218"/>
      <c r="KOS36" s="218"/>
      <c r="KOT36" s="218"/>
      <c r="KOU36" s="218"/>
      <c r="KOV36" s="218"/>
      <c r="KOW36" s="218"/>
      <c r="KOX36" s="218"/>
      <c r="KOY36" s="218"/>
      <c r="KOZ36" s="218"/>
      <c r="KPA36" s="218"/>
      <c r="KPB36" s="218"/>
      <c r="KPC36" s="218"/>
      <c r="KPD36" s="218"/>
      <c r="KPE36" s="218"/>
      <c r="KPF36" s="218"/>
      <c r="KPG36" s="218"/>
      <c r="KPH36" s="218"/>
      <c r="KPI36" s="218"/>
      <c r="KPJ36" s="218"/>
      <c r="KPK36" s="218"/>
      <c r="KPL36" s="218"/>
      <c r="KPM36" s="218"/>
      <c r="KPN36" s="218"/>
      <c r="KPO36" s="218"/>
      <c r="KPP36" s="218"/>
      <c r="KPQ36" s="218"/>
      <c r="KPR36" s="218"/>
      <c r="KPS36" s="218"/>
      <c r="KPT36" s="218"/>
      <c r="KPU36" s="218"/>
      <c r="KPV36" s="218"/>
      <c r="KPW36" s="218"/>
      <c r="KPX36" s="218"/>
      <c r="KPY36" s="218"/>
      <c r="KPZ36" s="218"/>
      <c r="KQA36" s="218"/>
      <c r="KQB36" s="218"/>
      <c r="KQC36" s="218"/>
      <c r="KQD36" s="218"/>
      <c r="KQE36" s="218"/>
      <c r="KQF36" s="218"/>
      <c r="KQG36" s="218"/>
      <c r="KQH36" s="218"/>
      <c r="KQI36" s="218"/>
      <c r="KQJ36" s="218"/>
      <c r="KQK36" s="218"/>
      <c r="KQL36" s="218"/>
      <c r="KQM36" s="218"/>
      <c r="KQN36" s="218"/>
      <c r="KQO36" s="218"/>
      <c r="KQP36" s="218"/>
      <c r="KQQ36" s="218"/>
      <c r="KQR36" s="218"/>
      <c r="KQS36" s="218"/>
      <c r="KQT36" s="218"/>
      <c r="KQU36" s="218"/>
      <c r="KQV36" s="218"/>
      <c r="KQW36" s="218"/>
      <c r="KQX36" s="218"/>
      <c r="KQY36" s="218"/>
      <c r="KQZ36" s="218"/>
      <c r="KRA36" s="218"/>
      <c r="KRB36" s="218"/>
      <c r="KRC36" s="218"/>
      <c r="KRD36" s="218"/>
      <c r="KRE36" s="218"/>
      <c r="KRF36" s="218"/>
      <c r="KRG36" s="218"/>
      <c r="KRH36" s="218"/>
      <c r="KRI36" s="218"/>
      <c r="KRJ36" s="218"/>
      <c r="KRK36" s="218"/>
      <c r="KRL36" s="218"/>
      <c r="KRM36" s="218"/>
      <c r="KRN36" s="218"/>
    </row>
    <row r="37" spans="1:7918" s="205" customFormat="1">
      <c r="A37" s="26" t="e">
        <f t="shared" si="0"/>
        <v>#REF!</v>
      </c>
      <c r="B37" s="418" t="s">
        <v>639</v>
      </c>
      <c r="C37" s="368" t="s">
        <v>667</v>
      </c>
      <c r="D37" s="418" t="s">
        <v>639</v>
      </c>
      <c r="E37" s="244" t="str">
        <f>VLOOKUP(B37,distribucion!B$9:FK$227,2,0)</f>
        <v>Empacadora</v>
      </c>
      <c r="F37" s="221">
        <f>VLOOKUP($B37,'Nomina Unhesa'!$B$4:$AB$209,4,0)</f>
        <v>30</v>
      </c>
      <c r="G37" s="229">
        <f>VLOOKUP($B37,'Nomina Unhesa'!$B$4:$AB$209,6,0)</f>
        <v>3166.38</v>
      </c>
      <c r="H37" s="229">
        <f>VLOOKUP($B37,'Nomina Unhesa'!$B$4:$AB$209,7,0)</f>
        <v>475</v>
      </c>
      <c r="I37" s="229">
        <f>VLOOKUP($B37,'Nomina Unhesa'!$B$4:$AB$209,9,0)</f>
        <v>5</v>
      </c>
      <c r="J37" s="234">
        <f>VLOOKUP($B37,'Nomina Unhesa'!$B$4:$AB$209,10,0)</f>
        <v>98.95</v>
      </c>
      <c r="K37" s="229">
        <f>VLOOKUP($B37,'Nomina Unhesa'!$B$4:$AB$209,11,0)</f>
        <v>0</v>
      </c>
      <c r="L37" s="229">
        <f>VLOOKUP($B37,'Nomina Unhesa'!$B$4:$AB$209,12,0)</f>
        <v>0</v>
      </c>
      <c r="M37" s="229">
        <f>VLOOKUP($B37,'Nomina Unhesa'!$B$4:$AB$209,14,0)</f>
        <v>0</v>
      </c>
      <c r="N37" s="234">
        <f>VLOOKUP($B37,'Nomina Unhesa'!$B$4:$AB$209,15,0)</f>
        <v>3740.33</v>
      </c>
      <c r="O37" s="234">
        <f>VLOOKUP($B37,'Nomina Unhesa'!$B$4:$AB$209,16,0)</f>
        <v>157.72</v>
      </c>
      <c r="P37" s="234">
        <f>VLOOKUP($B37,'Nomina Unhesa'!$B$4:$AB$209,17,0)</f>
        <v>34.81</v>
      </c>
      <c r="Q37" s="234">
        <f>VLOOKUP($B37,'Nomina Unhesa'!$B$4:$AB$209,18,0)</f>
        <v>0</v>
      </c>
      <c r="R37" s="234">
        <f>VLOOKUP($B37,'Nomina Unhesa'!$B$4:$AB$209,19,0)</f>
        <v>0</v>
      </c>
      <c r="S37" s="234">
        <f>VLOOKUP($B37,'Nomina Unhesa'!$B$4:$AB$209,20,0)</f>
        <v>0</v>
      </c>
      <c r="T37" s="234">
        <f>VLOOKUP($B37,'Nomina Unhesa'!$B$4:$AB$209,21,0)</f>
        <v>0</v>
      </c>
      <c r="U37" s="234">
        <f>VLOOKUP($B37,'Nomina Unhesa'!$B$4:$AB$209,22,0)</f>
        <v>517.75</v>
      </c>
      <c r="V37" s="234">
        <f>ROUND((VLOOKUP($B37,'Nomina Unhesa'!$B$4:$AB$209,23,0)),2)</f>
        <v>125</v>
      </c>
      <c r="W37" s="234">
        <f>VLOOKUP($B37,'Nomina Unhesa'!$B$4:$AB$209,24,0)</f>
        <v>835.28</v>
      </c>
      <c r="X37" s="234">
        <f>VLOOKUP(B37,'Nomina Unhesa'!$B$9:$Z$163,25,FALSE)</f>
        <v>2905.05</v>
      </c>
      <c r="Y37" s="234">
        <f>ROUND((VLOOKUP(B37,'Nomina Unhesa'!$B$9:$AB$157,26,FALSE)),2)</f>
        <v>1389.97</v>
      </c>
      <c r="Z37" s="400">
        <f>VLOOKUP(B37,'Nomina Unhesa'!$B$9:$AB$158,27,FALSE)</f>
        <v>1515.0800000000002</v>
      </c>
      <c r="AA37" s="441"/>
      <c r="AB37" s="389"/>
    </row>
    <row r="38" spans="1:7918" s="205" customFormat="1">
      <c r="A38" s="26" t="e">
        <f t="shared" si="0"/>
        <v>#REF!</v>
      </c>
      <c r="B38" s="418" t="s">
        <v>643</v>
      </c>
      <c r="C38" s="368" t="s">
        <v>645</v>
      </c>
      <c r="D38" s="418" t="s">
        <v>643</v>
      </c>
      <c r="E38" s="244" t="str">
        <f>VLOOKUP(B38,distribucion!B$9:FK$227,2,0)</f>
        <v>Auxiliar de Telemarketing</v>
      </c>
      <c r="F38" s="221">
        <f>VLOOKUP($B38,'Nomina Unhesa'!$B$4:$AB$209,4,0)</f>
        <v>30</v>
      </c>
      <c r="G38" s="229">
        <f>VLOOKUP($B38,'Nomina Unhesa'!$B$4:$AB$209,6,0)</f>
        <v>3166.38</v>
      </c>
      <c r="H38" s="229">
        <f>VLOOKUP($B38,'Nomina Unhesa'!$B$4:$AB$209,7,0)</f>
        <v>1704.6</v>
      </c>
      <c r="I38" s="229">
        <f>VLOOKUP($B38,'Nomina Unhesa'!$B$4:$AB$209,9,0)</f>
        <v>0</v>
      </c>
      <c r="J38" s="234">
        <f>VLOOKUP($B38,'Nomina Unhesa'!$B$4:$AB$209,10,0)</f>
        <v>0</v>
      </c>
      <c r="K38" s="229">
        <f>VLOOKUP($B38,'Nomina Unhesa'!$B$4:$AB$209,11,0)</f>
        <v>0</v>
      </c>
      <c r="L38" s="229">
        <f>VLOOKUP($B38,'Nomina Unhesa'!$B$4:$AB$209,12,0)</f>
        <v>0</v>
      </c>
      <c r="M38" s="229">
        <f>VLOOKUP($B38,'Nomina Unhesa'!$B$4:$AB$209,14,0)</f>
        <v>0</v>
      </c>
      <c r="N38" s="234">
        <f>VLOOKUP($B38,'Nomina Unhesa'!$B$4:$AB$209,15,0)</f>
        <v>4870.9799999999996</v>
      </c>
      <c r="O38" s="234">
        <f>VLOOKUP($B38,'Nomina Unhesa'!$B$4:$AB$209,16,0)</f>
        <v>152.94</v>
      </c>
      <c r="P38" s="234">
        <f>VLOOKUP($B38,'Nomina Unhesa'!$B$4:$AB$209,17,0)</f>
        <v>0</v>
      </c>
      <c r="Q38" s="234">
        <f>VLOOKUP($B38,'Nomina Unhesa'!$B$4:$AB$209,18,0)</f>
        <v>0</v>
      </c>
      <c r="R38" s="234">
        <f>VLOOKUP($B38,'Nomina Unhesa'!$B$4:$AB$209,19,0)</f>
        <v>100</v>
      </c>
      <c r="S38" s="234">
        <f>VLOOKUP($B38,'Nomina Unhesa'!$B$4:$AB$209,20,0)</f>
        <v>0</v>
      </c>
      <c r="T38" s="234">
        <f>VLOOKUP($B38,'Nomina Unhesa'!$B$4:$AB$209,21,0)</f>
        <v>0</v>
      </c>
      <c r="U38" s="234">
        <f>VLOOKUP($B38,'Nomina Unhesa'!$B$4:$AB$209,22,0)</f>
        <v>0</v>
      </c>
      <c r="V38" s="234">
        <f>ROUND((VLOOKUP($B38,'Nomina Unhesa'!$B$4:$AB$209,23,0)),2)</f>
        <v>1500</v>
      </c>
      <c r="W38" s="234">
        <f>VLOOKUP($B38,'Nomina Unhesa'!$B$4:$AB$209,24,0)</f>
        <v>1752.94</v>
      </c>
      <c r="X38" s="234">
        <f>VLOOKUP(B38,'Nomina Unhesa'!$B$9:$Z$163,25,FALSE)</f>
        <v>3118.0399999999995</v>
      </c>
      <c r="Y38" s="234">
        <f>ROUND((VLOOKUP(B38,'Nomina Unhesa'!$B$9:$AB$157,26,FALSE)),2)</f>
        <v>3086.32</v>
      </c>
      <c r="Z38" s="430">
        <f>VLOOKUP(B38,'Nomina Unhesa'!$B$9:$AB$158,27,FALSE)</f>
        <v>31.719999999999345</v>
      </c>
      <c r="AA38" s="441"/>
      <c r="AB38" s="389"/>
      <c r="AC38" s="429"/>
    </row>
    <row r="39" spans="1:7918">
      <c r="A39" s="26" t="e">
        <f t="shared" si="0"/>
        <v>#REF!</v>
      </c>
      <c r="B39" s="418" t="str">
        <f>+'Nomina Unhesa'!B49</f>
        <v>Osoy Gonzalez Luis Antonio</v>
      </c>
      <c r="C39" s="425">
        <v>142495877</v>
      </c>
      <c r="D39" s="418" t="str">
        <f>+'Nomina Unhesa'!B49</f>
        <v>Osoy Gonzalez Luis Antonio</v>
      </c>
      <c r="E39" s="244" t="str">
        <f>VLOOKUP(B39,distribucion!B$9:FK$227,2,0)</f>
        <v>Supervisor</v>
      </c>
      <c r="F39" s="221">
        <f>VLOOKUP($B39,'Nomina Unhesa'!$B$4:$AB$209,4,0)</f>
        <v>30</v>
      </c>
      <c r="G39" s="229">
        <f>VLOOKUP($B39,'Nomina Unhesa'!$B$4:$AB$209,6,0)</f>
        <v>3450</v>
      </c>
      <c r="H39" s="229">
        <f>VLOOKUP($B39,'Nomina Unhesa'!$B$4:$AB$209,7,0)</f>
        <v>4702.1899999999996</v>
      </c>
      <c r="I39" s="229">
        <f>VLOOKUP($B39,'Nomina Unhesa'!$B$4:$AB$209,9,0)</f>
        <v>14</v>
      </c>
      <c r="J39" s="234">
        <f>VLOOKUP($B39,'Nomina Unhesa'!$B$4:$AB$209,10,0)</f>
        <v>301.88</v>
      </c>
      <c r="K39" s="229">
        <f>VLOOKUP($B39,'Nomina Unhesa'!$B$4:$AB$209,11,0)</f>
        <v>0</v>
      </c>
      <c r="L39" s="229">
        <f>VLOOKUP($B39,'Nomina Unhesa'!$B$4:$AB$209,12,0)</f>
        <v>0</v>
      </c>
      <c r="M39" s="229">
        <f>VLOOKUP($B39,'Nomina Unhesa'!$B$4:$AB$209,14,0)</f>
        <v>0</v>
      </c>
      <c r="N39" s="234">
        <f>VLOOKUP($B39,'Nomina Unhesa'!$B$4:$AB$209,15,0)</f>
        <v>8454.07</v>
      </c>
      <c r="O39" s="234">
        <f>VLOOKUP($B39,'Nomina Unhesa'!$B$4:$AB$209,16,0)</f>
        <v>181.22</v>
      </c>
      <c r="P39" s="234">
        <f>VLOOKUP($B39,'Nomina Unhesa'!$B$4:$AB$209,17,0)</f>
        <v>139.91999999999999</v>
      </c>
      <c r="Q39" s="234">
        <f>VLOOKUP($B39,'Nomina Unhesa'!$B$4:$AB$209,18,0)</f>
        <v>0</v>
      </c>
      <c r="R39" s="234">
        <f>VLOOKUP($B39,'Nomina Unhesa'!$B$4:$AB$209,19,0)</f>
        <v>0</v>
      </c>
      <c r="S39" s="234">
        <f>VLOOKUP($B39,'Nomina Unhesa'!$B$4:$AB$209,20,0)</f>
        <v>0</v>
      </c>
      <c r="T39" s="234">
        <f>VLOOKUP($B39,'Nomina Unhesa'!$B$4:$AB$209,21,0)</f>
        <v>0</v>
      </c>
      <c r="U39" s="234">
        <f>VLOOKUP($B39,'Nomina Unhesa'!$B$4:$AB$209,22,0)</f>
        <v>590</v>
      </c>
      <c r="V39" s="234">
        <f>ROUND((VLOOKUP($B39,'Nomina Unhesa'!$B$4:$AB$209,23,0)),2)</f>
        <v>463.06</v>
      </c>
      <c r="W39" s="234">
        <f>VLOOKUP($B39,'Nomina Unhesa'!$B$4:$AB$209,24,0)</f>
        <v>1374.2</v>
      </c>
      <c r="X39" s="234">
        <f>VLOOKUP(B39,'Nomina Unhesa'!$B$9:$Z$163,25,FALSE)</f>
        <v>7079.87</v>
      </c>
      <c r="Y39" s="234">
        <f>ROUND((VLOOKUP(B39,'Nomina Unhesa'!$B$9:$AB$157,26,FALSE)),2)</f>
        <v>2697.34</v>
      </c>
      <c r="Z39" s="400">
        <f>VLOOKUP(B39,'Nomina Unhesa'!$B$9:$AB$158,27,FALSE)</f>
        <v>4382.53</v>
      </c>
      <c r="AA39" s="446"/>
      <c r="AB39" s="393"/>
      <c r="AC39" s="407"/>
    </row>
    <row r="40" spans="1:7918">
      <c r="A40" s="26" t="e">
        <f t="shared" si="0"/>
        <v>#REF!</v>
      </c>
      <c r="B40" s="418" t="str">
        <f>+'Nomina Unhesa'!B51</f>
        <v>Maldonado Solval Karla Elizabeth</v>
      </c>
      <c r="C40" s="368">
        <v>6050029120</v>
      </c>
      <c r="D40" s="418" t="str">
        <f>+'Nomina Unhesa'!B51</f>
        <v>Maldonado Solval Karla Elizabeth</v>
      </c>
      <c r="E40" s="244" t="str">
        <f>VLOOKUP(B40,distribucion!B$9:FK$227,2,0)</f>
        <v>Supervisor</v>
      </c>
      <c r="F40" s="221">
        <f>VLOOKUP($B40,'Nomina Unhesa'!$B$4:$AB$209,4,0)</f>
        <v>30</v>
      </c>
      <c r="G40" s="229">
        <f>VLOOKUP($B40,'Nomina Unhesa'!$B$4:$AB$209,6,0)</f>
        <v>3450</v>
      </c>
      <c r="H40" s="229">
        <f>VLOOKUP($B40,'Nomina Unhesa'!$B$4:$AB$209,7,0)</f>
        <v>2815.73</v>
      </c>
      <c r="I40" s="229">
        <f>VLOOKUP($B40,'Nomina Unhesa'!$B$4:$AB$209,9,0)</f>
        <v>20.5</v>
      </c>
      <c r="J40" s="234">
        <f>VLOOKUP($B40,'Nomina Unhesa'!$B$4:$AB$209,10,0)</f>
        <v>442.03</v>
      </c>
      <c r="K40" s="229">
        <f>VLOOKUP($B40,'Nomina Unhesa'!$B$4:$AB$209,11,0)</f>
        <v>0</v>
      </c>
      <c r="L40" s="229">
        <f>VLOOKUP($B40,'Nomina Unhesa'!$B$4:$AB$209,12,0)</f>
        <v>0</v>
      </c>
      <c r="M40" s="229">
        <f>VLOOKUP($B40,'Nomina Unhesa'!$B$4:$AB$209,14,0)</f>
        <v>0</v>
      </c>
      <c r="N40" s="234">
        <f>VLOOKUP($B40,'Nomina Unhesa'!$B$4:$AB$209,15,0)</f>
        <v>6707.7599999999993</v>
      </c>
      <c r="O40" s="234">
        <f>VLOOKUP($B40,'Nomina Unhesa'!$B$4:$AB$209,16,0)</f>
        <v>187.99</v>
      </c>
      <c r="P40" s="234">
        <f>VLOOKUP($B40,'Nomina Unhesa'!$B$4:$AB$209,17,0)</f>
        <v>39.28</v>
      </c>
      <c r="Q40" s="234">
        <f>VLOOKUP($B40,'Nomina Unhesa'!$B$4:$AB$209,18,0)</f>
        <v>0</v>
      </c>
      <c r="R40" s="234">
        <f>VLOOKUP($B40,'Nomina Unhesa'!$B$4:$AB$209,19,0)</f>
        <v>0</v>
      </c>
      <c r="S40" s="234">
        <f>VLOOKUP($B40,'Nomina Unhesa'!$B$4:$AB$209,20,0)</f>
        <v>0</v>
      </c>
      <c r="T40" s="234">
        <f>VLOOKUP($B40,'Nomina Unhesa'!$B$4:$AB$209,21,0)</f>
        <v>0</v>
      </c>
      <c r="U40" s="234">
        <f>VLOOKUP($B40,'Nomina Unhesa'!$B$4:$AB$209,22,0)</f>
        <v>588.5</v>
      </c>
      <c r="V40" s="234">
        <f>ROUND((VLOOKUP($B40,'Nomina Unhesa'!$B$4:$AB$209,23,0)),2)</f>
        <v>421.36</v>
      </c>
      <c r="W40" s="234">
        <f>VLOOKUP($B40,'Nomina Unhesa'!$B$4:$AB$209,24,0)</f>
        <v>1237.1300000000001</v>
      </c>
      <c r="X40" s="234">
        <f>VLOOKUP(B40,'Nomina Unhesa'!$B$9:$Z$163,25,FALSE)</f>
        <v>5470.6299999999992</v>
      </c>
      <c r="Y40" s="234">
        <f>ROUND((VLOOKUP(B40,'Nomina Unhesa'!$B$9:$AB$157,26,FALSE)),2)</f>
        <v>2767.26</v>
      </c>
      <c r="Z40" s="400">
        <f>VLOOKUP(B40,'Nomina Unhesa'!$B$9:$AB$158,27,FALSE)</f>
        <v>2703.369999999999</v>
      </c>
      <c r="AA40" s="446"/>
      <c r="AB40" s="393"/>
      <c r="AC40" s="407"/>
    </row>
    <row r="41" spans="1:7918">
      <c r="A41" s="26" t="e">
        <f t="shared" si="0"/>
        <v>#REF!</v>
      </c>
      <c r="B41" s="418" t="str">
        <f>+'Nomina Unhesa'!B140</f>
        <v>Boror López Mayra Guadalupe</v>
      </c>
      <c r="C41" s="368">
        <v>3170047561</v>
      </c>
      <c r="D41" s="418" t="str">
        <f>+'Nomina Unhesa'!B140</f>
        <v>Boror López Mayra Guadalupe</v>
      </c>
      <c r="E41" s="244" t="str">
        <f>VLOOKUP(B41,distribucion!B$9:FK$227,2,0)</f>
        <v>Empacadora</v>
      </c>
      <c r="F41" s="221">
        <f>VLOOKUP($B41,'Nomina Unhesa'!$B$4:$AB$209,4,0)</f>
        <v>30</v>
      </c>
      <c r="G41" s="229">
        <f>VLOOKUP($B41,'Nomina Unhesa'!$B$4:$AB$209,6,0)</f>
        <v>3166.38</v>
      </c>
      <c r="H41" s="229">
        <f>VLOOKUP($B41,'Nomina Unhesa'!$B$4:$AB$209,7,0)</f>
        <v>925</v>
      </c>
      <c r="I41" s="229">
        <f>VLOOKUP($B41,'Nomina Unhesa'!$B$4:$AB$209,9,0)</f>
        <v>6</v>
      </c>
      <c r="J41" s="234">
        <f>VLOOKUP($B41,'Nomina Unhesa'!$B$4:$AB$209,10,0)</f>
        <v>118.74</v>
      </c>
      <c r="K41" s="229">
        <f>VLOOKUP($B41,'Nomina Unhesa'!$B$4:$AB$209,11,0)</f>
        <v>0</v>
      </c>
      <c r="L41" s="229">
        <f>VLOOKUP($B41,'Nomina Unhesa'!$B$4:$AB$209,12,0)</f>
        <v>0</v>
      </c>
      <c r="M41" s="229">
        <f>VLOOKUP($B41,'Nomina Unhesa'!$B$4:$AB$209,14,0)</f>
        <v>0</v>
      </c>
      <c r="N41" s="234">
        <f>VLOOKUP($B41,'Nomina Unhesa'!$B$4:$AB$209,15,0)</f>
        <v>4210.12</v>
      </c>
      <c r="O41" s="234">
        <f>VLOOKUP($B41,'Nomina Unhesa'!$B$4:$AB$209,16,0)</f>
        <v>158.66999999999999</v>
      </c>
      <c r="P41" s="234">
        <f>VLOOKUP($B41,'Nomina Unhesa'!$B$4:$AB$209,17,0)</f>
        <v>35.270000000000003</v>
      </c>
      <c r="Q41" s="234">
        <f>VLOOKUP($B41,'Nomina Unhesa'!$B$4:$AB$209,18,0)</f>
        <v>1079.7</v>
      </c>
      <c r="R41" s="234">
        <f>VLOOKUP($B41,'Nomina Unhesa'!$B$4:$AB$209,19,0)</f>
        <v>0</v>
      </c>
      <c r="S41" s="234">
        <f>VLOOKUP($B41,'Nomina Unhesa'!$B$4:$AB$209,20,0)</f>
        <v>0</v>
      </c>
      <c r="T41" s="234">
        <f>VLOOKUP($B41,'Nomina Unhesa'!$B$4:$AB$209,21,0)</f>
        <v>0</v>
      </c>
      <c r="U41" s="234">
        <f>VLOOKUP($B41,'Nomina Unhesa'!$B$4:$AB$209,22,0)</f>
        <v>419.25</v>
      </c>
      <c r="V41" s="234">
        <f>ROUND((VLOOKUP($B41,'Nomina Unhesa'!$B$4:$AB$209,23,0)),2)</f>
        <v>50</v>
      </c>
      <c r="W41" s="234">
        <f>VLOOKUP($B41,'Nomina Unhesa'!$B$4:$AB$209,24,0)</f>
        <v>1742.89</v>
      </c>
      <c r="X41" s="234">
        <f>VLOOKUP(B41,'Nomina Unhesa'!$B$9:$Z$163,25,FALSE)</f>
        <v>2467.2299999999996</v>
      </c>
      <c r="Y41" s="234">
        <f>ROUND((VLOOKUP(B41,'Nomina Unhesa'!$B$9:$AB$157,26,FALSE)),2)</f>
        <v>884.12</v>
      </c>
      <c r="Z41" s="400">
        <f>VLOOKUP(B41,'Nomina Unhesa'!$B$9:$AB$158,27,FALSE)</f>
        <v>1583.1099999999997</v>
      </c>
      <c r="AA41" s="446"/>
      <c r="AB41" s="393"/>
      <c r="AC41" s="407"/>
    </row>
    <row r="42" spans="1:7918">
      <c r="A42" s="26" t="e">
        <f t="shared" si="0"/>
        <v>#REF!</v>
      </c>
      <c r="B42" s="418" t="str">
        <f>+'Nomina Unhesa'!B50</f>
        <v>Gonzalez Vasquez Kevin Moises</v>
      </c>
      <c r="C42" s="368">
        <v>4550120622</v>
      </c>
      <c r="D42" s="418" t="str">
        <f>+'Nomina Unhesa'!B50</f>
        <v>Gonzalez Vasquez Kevin Moises</v>
      </c>
      <c r="E42" s="244" t="str">
        <f>VLOOKUP(B42,distribucion!B$9:FK$227,2,0)</f>
        <v>Verificador</v>
      </c>
      <c r="F42" s="221">
        <f>VLOOKUP($B42,'Nomina Unhesa'!$B$4:$AB$209,4,0)</f>
        <v>30</v>
      </c>
      <c r="G42" s="229">
        <f>VLOOKUP($B42,'Nomina Unhesa'!$B$4:$AB$209,6,0)</f>
        <v>3166.38</v>
      </c>
      <c r="H42" s="229">
        <f>VLOOKUP($B42,'Nomina Unhesa'!$B$4:$AB$209,7,0)</f>
        <v>1950</v>
      </c>
      <c r="I42" s="229">
        <f>VLOOKUP($B42,'Nomina Unhesa'!$B$4:$AB$209,9,0)</f>
        <v>0</v>
      </c>
      <c r="J42" s="234">
        <f>VLOOKUP($B42,'Nomina Unhesa'!$B$4:$AB$209,10,0)</f>
        <v>0</v>
      </c>
      <c r="K42" s="229">
        <f>VLOOKUP($B42,'Nomina Unhesa'!$B$4:$AB$209,11,0)</f>
        <v>0</v>
      </c>
      <c r="L42" s="229">
        <f>VLOOKUP($B42,'Nomina Unhesa'!$B$4:$AB$209,12,0)</f>
        <v>0</v>
      </c>
      <c r="M42" s="229">
        <f>VLOOKUP($B42,'Nomina Unhesa'!$B$4:$AB$209,14,0)</f>
        <v>0</v>
      </c>
      <c r="N42" s="234">
        <f>VLOOKUP($B42,'Nomina Unhesa'!$B$4:$AB$209,15,0)</f>
        <v>5116.38</v>
      </c>
      <c r="O42" s="234">
        <f>VLOOKUP($B42,'Nomina Unhesa'!$B$4:$AB$209,16,0)</f>
        <v>152.94</v>
      </c>
      <c r="P42" s="234">
        <f>VLOOKUP($B42,'Nomina Unhesa'!$B$4:$AB$209,17,0)</f>
        <v>0</v>
      </c>
      <c r="Q42" s="234">
        <f>VLOOKUP($B42,'Nomina Unhesa'!$B$4:$AB$209,18,0)</f>
        <v>0</v>
      </c>
      <c r="R42" s="234">
        <f>VLOOKUP($B42,'Nomina Unhesa'!$B$4:$AB$209,19,0)</f>
        <v>0</v>
      </c>
      <c r="S42" s="234">
        <f>VLOOKUP($B42,'Nomina Unhesa'!$B$4:$AB$209,20,0)</f>
        <v>0</v>
      </c>
      <c r="T42" s="234">
        <f>VLOOKUP($B42,'Nomina Unhesa'!$B$4:$AB$209,21,0)</f>
        <v>0</v>
      </c>
      <c r="U42" s="234">
        <f>VLOOKUP($B42,'Nomina Unhesa'!$B$4:$AB$209,22,0)</f>
        <v>579</v>
      </c>
      <c r="V42" s="234">
        <f>ROUND((VLOOKUP($B42,'Nomina Unhesa'!$B$4:$AB$209,23,0)),2)</f>
        <v>50</v>
      </c>
      <c r="W42" s="234">
        <f>VLOOKUP($B42,'Nomina Unhesa'!$B$4:$AB$209,24,0)</f>
        <v>781.94</v>
      </c>
      <c r="X42" s="234">
        <f>VLOOKUP(B42,'Nomina Unhesa'!$B$9:$Z$163,25,FALSE)</f>
        <v>4334.4400000000005</v>
      </c>
      <c r="Y42" s="234">
        <f>ROUND((VLOOKUP(B42,'Nomina Unhesa'!$B$9:$AB$157,26,FALSE)),2)</f>
        <v>1681.22</v>
      </c>
      <c r="Z42" s="400">
        <f>VLOOKUP(B42,'Nomina Unhesa'!$B$9:$AB$158,27,FALSE)</f>
        <v>2653.2200000000003</v>
      </c>
      <c r="AA42" s="446"/>
      <c r="AB42" s="393"/>
      <c r="AC42" s="407"/>
    </row>
    <row r="43" spans="1:7918">
      <c r="A43" s="26" t="e">
        <f t="shared" si="0"/>
        <v>#REF!</v>
      </c>
      <c r="B43" s="418" t="str">
        <f>+'Nomina Unhesa'!B70</f>
        <v>Jimenez Ventura Angel Eduardo</v>
      </c>
      <c r="C43" s="368" t="s">
        <v>739</v>
      </c>
      <c r="D43" s="418" t="str">
        <f>+'Nomina Unhesa'!B70</f>
        <v>Jimenez Ventura Angel Eduardo</v>
      </c>
      <c r="E43" s="244" t="str">
        <f>VLOOKUP(B43,distribucion!B$9:FK$227,2,0)</f>
        <v>Asistente de Vta en Linea</v>
      </c>
      <c r="F43" s="221">
        <f>VLOOKUP($B43,'Nomina Unhesa'!$B$4:$AB$209,4,0)</f>
        <v>30</v>
      </c>
      <c r="G43" s="229">
        <f>VLOOKUP($B43,'Nomina Unhesa'!$B$4:$AB$209,6,0)</f>
        <v>3166.38</v>
      </c>
      <c r="H43" s="229">
        <f>VLOOKUP($B43,'Nomina Unhesa'!$B$4:$AB$209,7,0)</f>
        <v>250</v>
      </c>
      <c r="I43" s="229">
        <f>VLOOKUP($B43,'Nomina Unhesa'!$B$4:$AB$209,9,0)</f>
        <v>22</v>
      </c>
      <c r="J43" s="234">
        <f>VLOOKUP($B43,'Nomina Unhesa'!$B$4:$AB$209,10,0)</f>
        <v>435.38</v>
      </c>
      <c r="K43" s="229">
        <f>VLOOKUP($B43,'Nomina Unhesa'!$B$4:$AB$209,11,0)</f>
        <v>0</v>
      </c>
      <c r="L43" s="229">
        <f>VLOOKUP($B43,'Nomina Unhesa'!$B$4:$AB$209,12,0)</f>
        <v>0</v>
      </c>
      <c r="M43" s="229">
        <f>VLOOKUP($B43,'Nomina Unhesa'!$B$4:$AB$209,14,0)</f>
        <v>0</v>
      </c>
      <c r="N43" s="234">
        <f>VLOOKUP($B43,'Nomina Unhesa'!$B$4:$AB$209,15,0)</f>
        <v>3851.76</v>
      </c>
      <c r="O43" s="234">
        <f>VLOOKUP($B43,'Nomina Unhesa'!$B$4:$AB$209,16,0)</f>
        <v>173.97</v>
      </c>
      <c r="P43" s="234">
        <f>VLOOKUP($B43,'Nomina Unhesa'!$B$4:$AB$209,17,0)</f>
        <v>0</v>
      </c>
      <c r="Q43" s="234">
        <f>VLOOKUP($B43,'Nomina Unhesa'!$B$4:$AB$209,18,0)</f>
        <v>0</v>
      </c>
      <c r="R43" s="234">
        <f>VLOOKUP($B43,'Nomina Unhesa'!$B$4:$AB$209,19,0)</f>
        <v>0</v>
      </c>
      <c r="S43" s="234">
        <f>VLOOKUP($B43,'Nomina Unhesa'!$B$4:$AB$209,20,0)</f>
        <v>0</v>
      </c>
      <c r="T43" s="234">
        <f>VLOOKUP($B43,'Nomina Unhesa'!$B$4:$AB$209,21,0)</f>
        <v>0</v>
      </c>
      <c r="U43" s="234">
        <f>VLOOKUP($B43,'Nomina Unhesa'!$B$4:$AB$209,22,0)</f>
        <v>0</v>
      </c>
      <c r="V43" s="234">
        <f>ROUND((VLOOKUP($B43,'Nomina Unhesa'!$B$4:$AB$209,23,0)),2)</f>
        <v>50</v>
      </c>
      <c r="W43" s="234">
        <f>VLOOKUP($B43,'Nomina Unhesa'!$B$4:$AB$209,24,0)</f>
        <v>223.97</v>
      </c>
      <c r="X43" s="234">
        <f>VLOOKUP(B43,'Nomina Unhesa'!$B$9:$Z$163,25,FALSE)</f>
        <v>3627.7900000000004</v>
      </c>
      <c r="Y43" s="234">
        <f>ROUND((VLOOKUP(B43,'Nomina Unhesa'!$B$9:$AB$157,26,FALSE)),2)</f>
        <v>1631.72</v>
      </c>
      <c r="Z43" s="400">
        <f>VLOOKUP(B43,'Nomina Unhesa'!$B$9:$AB$158,27,FALSE)</f>
        <v>1996.0700000000004</v>
      </c>
      <c r="AA43" s="446"/>
      <c r="AB43" s="393"/>
      <c r="AC43" s="407"/>
    </row>
    <row r="44" spans="1:7918">
      <c r="A44" s="26" t="e">
        <f t="shared" si="0"/>
        <v>#REF!</v>
      </c>
      <c r="B44" s="418" t="str">
        <f>+'Nomina Unhesa'!B119</f>
        <v>Argueta Hernandez Annika Lorena</v>
      </c>
      <c r="C44" s="368" t="s">
        <v>746</v>
      </c>
      <c r="D44" s="418" t="str">
        <f>+'Nomina Unhesa'!B119</f>
        <v>Argueta Hernandez Annika Lorena</v>
      </c>
      <c r="E44" s="244" t="str">
        <f>VLOOKUP(B44,distribucion!B$9:FK$227,2,0)</f>
        <v xml:space="preserve">Vendedor   </v>
      </c>
      <c r="F44" s="221">
        <f>VLOOKUP($B44,'Nomina Unhesa'!$B$4:$AB$209,4,0)</f>
        <v>30</v>
      </c>
      <c r="G44" s="229">
        <f>VLOOKUP($B44,'Nomina Unhesa'!$B$4:$AB$209,6,0)</f>
        <v>3166.38</v>
      </c>
      <c r="H44" s="229">
        <f>VLOOKUP($B44,'Nomina Unhesa'!$B$4:$AB$209,7,0)</f>
        <v>1409.18</v>
      </c>
      <c r="I44" s="229">
        <f>VLOOKUP($B44,'Nomina Unhesa'!$B$4:$AB$209,9,0)</f>
        <v>0</v>
      </c>
      <c r="J44" s="234">
        <f>VLOOKUP($B44,'Nomina Unhesa'!$B$4:$AB$209,10,0)</f>
        <v>0</v>
      </c>
      <c r="K44" s="229">
        <f>VLOOKUP($B44,'Nomina Unhesa'!$B$4:$AB$209,11,0)</f>
        <v>0</v>
      </c>
      <c r="L44" s="229">
        <f>VLOOKUP($B44,'Nomina Unhesa'!$B$4:$AB$209,12,0)</f>
        <v>0</v>
      </c>
      <c r="M44" s="229">
        <f>VLOOKUP($B44,'Nomina Unhesa'!$B$4:$AB$209,14,0)</f>
        <v>0</v>
      </c>
      <c r="N44" s="234">
        <f>VLOOKUP($B44,'Nomina Unhesa'!$B$4:$AB$209,15,0)</f>
        <v>4575.5600000000004</v>
      </c>
      <c r="O44" s="234">
        <f>VLOOKUP($B44,'Nomina Unhesa'!$B$4:$AB$209,16,0)</f>
        <v>152.94</v>
      </c>
      <c r="P44" s="234">
        <f>VLOOKUP($B44,'Nomina Unhesa'!$B$4:$AB$209,17,0)</f>
        <v>0</v>
      </c>
      <c r="Q44" s="234">
        <f>VLOOKUP($B44,'Nomina Unhesa'!$B$4:$AB$209,18,0)</f>
        <v>0</v>
      </c>
      <c r="R44" s="234">
        <f>VLOOKUP($B44,'Nomina Unhesa'!$B$4:$AB$209,19,0)</f>
        <v>0</v>
      </c>
      <c r="S44" s="234">
        <f>VLOOKUP($B44,'Nomina Unhesa'!$B$4:$AB$209,20,0)</f>
        <v>0</v>
      </c>
      <c r="T44" s="234">
        <f>VLOOKUP($B44,'Nomina Unhesa'!$B$4:$AB$209,21,0)</f>
        <v>0</v>
      </c>
      <c r="U44" s="234">
        <f>VLOOKUP($B44,'Nomina Unhesa'!$B$4:$AB$209,22,0)</f>
        <v>0</v>
      </c>
      <c r="V44" s="234">
        <f>ROUND((VLOOKUP($B44,'Nomina Unhesa'!$B$4:$AB$209,23,0)),2)</f>
        <v>50</v>
      </c>
      <c r="W44" s="234">
        <f>VLOOKUP($B44,'Nomina Unhesa'!$B$4:$AB$209,24,0)</f>
        <v>202.94</v>
      </c>
      <c r="X44" s="234">
        <f>VLOOKUP(B44,'Nomina Unhesa'!$B$9:$Z$163,25,FALSE)</f>
        <v>4372.6200000000008</v>
      </c>
      <c r="Y44" s="234">
        <f>ROUND((VLOOKUP(B44,'Nomina Unhesa'!$B$9:$AB$157,26,FALSE)),2)</f>
        <v>2790.9</v>
      </c>
      <c r="Z44" s="400">
        <f>VLOOKUP(B44,'Nomina Unhesa'!$B$9:$AB$158,27,FALSE)</f>
        <v>1581.7200000000007</v>
      </c>
      <c r="AA44" s="446"/>
      <c r="AB44" s="393">
        <v>201201265564</v>
      </c>
      <c r="AC44" s="407"/>
    </row>
    <row r="45" spans="1:7918">
      <c r="A45" s="26" t="e">
        <f t="shared" si="0"/>
        <v>#REF!</v>
      </c>
      <c r="B45" s="418" t="str">
        <f>+'Nomina Unhesa'!B29</f>
        <v>Lopez Teletor Josue Leonel</v>
      </c>
      <c r="C45" s="368" t="s">
        <v>745</v>
      </c>
      <c r="D45" s="1321" t="str">
        <f>+'Nomina Unhesa'!B29</f>
        <v>Lopez Teletor Josue Leonel</v>
      </c>
      <c r="E45" s="244" t="str">
        <f>VLOOKUP(B45,distribucion!B$9:FK$227,2,0)</f>
        <v>Asistente de Auditoria Interna</v>
      </c>
      <c r="F45" s="221">
        <f>VLOOKUP($B45,'Nomina Unhesa'!$B$4:$AB$209,4,0)</f>
        <v>30</v>
      </c>
      <c r="G45" s="229">
        <f>VLOOKUP($B45,'Nomina Unhesa'!$B$4:$AB$209,6,0)</f>
        <v>3750</v>
      </c>
      <c r="H45" s="229">
        <f>VLOOKUP($B45,'Nomina Unhesa'!$B$4:$AB$209,7,0)</f>
        <v>250</v>
      </c>
      <c r="I45" s="229">
        <f>VLOOKUP($B45,'Nomina Unhesa'!$B$4:$AB$209,9,0)</f>
        <v>0</v>
      </c>
      <c r="J45" s="234">
        <f>VLOOKUP($B45,'Nomina Unhesa'!$B$4:$AB$209,10,0)</f>
        <v>0</v>
      </c>
      <c r="K45" s="229">
        <f>VLOOKUP($B45,'Nomina Unhesa'!$B$4:$AB$209,11,0)</f>
        <v>0</v>
      </c>
      <c r="L45" s="229">
        <f>VLOOKUP($B45,'Nomina Unhesa'!$B$4:$AB$209,12,0)</f>
        <v>0</v>
      </c>
      <c r="M45" s="229">
        <f>VLOOKUP($B45,'Nomina Unhesa'!$B$4:$AB$209,14,0)</f>
        <v>0</v>
      </c>
      <c r="N45" s="234">
        <f>VLOOKUP($B45,'Nomina Unhesa'!$B$4:$AB$209,15,0)</f>
        <v>4000</v>
      </c>
      <c r="O45" s="234">
        <f>VLOOKUP($B45,'Nomina Unhesa'!$B$4:$AB$209,16,0)</f>
        <v>181.13</v>
      </c>
      <c r="P45" s="234">
        <f>VLOOKUP($B45,'Nomina Unhesa'!$B$4:$AB$209,17,0)</f>
        <v>0</v>
      </c>
      <c r="Q45" s="234">
        <f>VLOOKUP($B45,'Nomina Unhesa'!$B$4:$AB$209,18,0)</f>
        <v>0</v>
      </c>
      <c r="R45" s="234">
        <f>VLOOKUP($B45,'Nomina Unhesa'!$B$4:$AB$209,19,0)</f>
        <v>0</v>
      </c>
      <c r="S45" s="234">
        <f>VLOOKUP($B45,'Nomina Unhesa'!$B$4:$AB$209,20,0)</f>
        <v>0</v>
      </c>
      <c r="T45" s="234">
        <f>VLOOKUP($B45,'Nomina Unhesa'!$B$4:$AB$209,21,0)</f>
        <v>0</v>
      </c>
      <c r="U45" s="234">
        <f>VLOOKUP($B45,'Nomina Unhesa'!$B$4:$AB$209,22,0)</f>
        <v>0</v>
      </c>
      <c r="V45" s="234">
        <f>ROUND((VLOOKUP($B45,'Nomina Unhesa'!$B$4:$AB$209,23,0)),2)</f>
        <v>50</v>
      </c>
      <c r="W45" s="234">
        <f>VLOOKUP($B45,'Nomina Unhesa'!$B$4:$AB$209,24,0)</f>
        <v>231.13</v>
      </c>
      <c r="X45" s="234">
        <f>VLOOKUP(B45,'Nomina Unhesa'!$B$9:$Z$163,25,FALSE)</f>
        <v>3768.87</v>
      </c>
      <c r="Y45" s="234">
        <f>ROUND((VLOOKUP(B45,'Nomina Unhesa'!$B$9:$AB$157,26,FALSE)),2)</f>
        <v>1909.44</v>
      </c>
      <c r="Z45" s="400">
        <f>VLOOKUP(B45,'Nomina Unhesa'!$B$9:$AB$158,27,FALSE)</f>
        <v>1859.4299999999998</v>
      </c>
      <c r="AA45" s="446"/>
      <c r="AB45" s="393">
        <v>3017188650101</v>
      </c>
      <c r="AC45" s="407"/>
    </row>
    <row r="46" spans="1:7918">
      <c r="A46" s="26" t="e">
        <f t="shared" si="0"/>
        <v>#REF!</v>
      </c>
      <c r="B46" s="418" t="str">
        <f>+'Nomina Unhesa'!B71</f>
        <v>Cajbon Chacat Mario Adolfo</v>
      </c>
      <c r="C46" s="368" t="s">
        <v>756</v>
      </c>
      <c r="D46" s="1321" t="str">
        <f>+'Nomina Unhesa'!B71</f>
        <v>Cajbon Chacat Mario Adolfo</v>
      </c>
      <c r="E46" s="244" t="str">
        <f>VLOOKUP(B46,distribucion!B$9:FK$227,2,0)</f>
        <v xml:space="preserve">Facturador </v>
      </c>
      <c r="F46" s="221">
        <f>VLOOKUP($B46,'Nomina Unhesa'!$B$4:$AB$209,4,0)</f>
        <v>30</v>
      </c>
      <c r="G46" s="229">
        <f>VLOOKUP($B46,'Nomina Unhesa'!$B$4:$AB$209,6,0)</f>
        <v>3166.38</v>
      </c>
      <c r="H46" s="229">
        <f>VLOOKUP($B46,'Nomina Unhesa'!$B$4:$AB$209,7,0)</f>
        <v>250</v>
      </c>
      <c r="I46" s="229">
        <f>VLOOKUP($B46,'Nomina Unhesa'!$B$4:$AB$209,9,0)</f>
        <v>12</v>
      </c>
      <c r="J46" s="234">
        <f>VLOOKUP($B46,'Nomina Unhesa'!$B$4:$AB$209,10,0)</f>
        <v>237.48</v>
      </c>
      <c r="K46" s="229">
        <f>VLOOKUP($B46,'Nomina Unhesa'!$B$4:$AB$209,11,0)</f>
        <v>0</v>
      </c>
      <c r="L46" s="229">
        <f>VLOOKUP($B46,'Nomina Unhesa'!$B$4:$AB$209,12,0)</f>
        <v>0</v>
      </c>
      <c r="M46" s="229">
        <f>VLOOKUP($B46,'Nomina Unhesa'!$B$4:$AB$209,14,0)</f>
        <v>0</v>
      </c>
      <c r="N46" s="234">
        <f>VLOOKUP($B46,'Nomina Unhesa'!$B$4:$AB$209,15,0)</f>
        <v>3653.86</v>
      </c>
      <c r="O46" s="234">
        <f>VLOOKUP($B46,'Nomina Unhesa'!$B$4:$AB$209,16,0)</f>
        <v>164.41</v>
      </c>
      <c r="P46" s="234">
        <f>VLOOKUP($B46,'Nomina Unhesa'!$B$4:$AB$209,17,0)</f>
        <v>0</v>
      </c>
      <c r="Q46" s="234">
        <f>VLOOKUP($B46,'Nomina Unhesa'!$B$4:$AB$209,18,0)</f>
        <v>0</v>
      </c>
      <c r="R46" s="234">
        <f>VLOOKUP($B46,'Nomina Unhesa'!$B$4:$AB$209,19,0)</f>
        <v>0</v>
      </c>
      <c r="S46" s="234">
        <f>VLOOKUP($B46,'Nomina Unhesa'!$B$4:$AB$209,20,0)</f>
        <v>0</v>
      </c>
      <c r="T46" s="234">
        <f>VLOOKUP($B46,'Nomina Unhesa'!$B$4:$AB$209,21,0)</f>
        <v>0</v>
      </c>
      <c r="U46" s="234">
        <f>VLOOKUP($B46,'Nomina Unhesa'!$B$4:$AB$209,22,0)</f>
        <v>142.5</v>
      </c>
      <c r="V46" s="234">
        <f>ROUND((VLOOKUP($B46,'Nomina Unhesa'!$B$4:$AB$209,23,0)),2)</f>
        <v>50</v>
      </c>
      <c r="W46" s="234">
        <f>VLOOKUP($B46,'Nomina Unhesa'!$B$4:$AB$209,24,0)</f>
        <v>356.90999999999997</v>
      </c>
      <c r="X46" s="234">
        <f>VLOOKUP(B46,'Nomina Unhesa'!$B$9:$Z$163,25,FALSE)</f>
        <v>3296.9500000000003</v>
      </c>
      <c r="Y46" s="234">
        <f>ROUND((VLOOKUP(B46,'Nomina Unhesa'!$B$9:$AB$157,26,FALSE)),2)</f>
        <v>1599.72</v>
      </c>
      <c r="Z46" s="400">
        <f>VLOOKUP(B46,'Nomina Unhesa'!$B$9:$AB$158,27,FALSE)</f>
        <v>1697.2300000000002</v>
      </c>
      <c r="AA46" s="446"/>
      <c r="AB46" s="393"/>
      <c r="AC46" s="407"/>
    </row>
    <row r="47" spans="1:7918">
      <c r="A47" s="26" t="e">
        <f t="shared" si="0"/>
        <v>#REF!</v>
      </c>
      <c r="B47" s="418" t="str">
        <f>+'Nomina Unhesa'!B42</f>
        <v>Gomez Aldana Jenifer Melissa</v>
      </c>
      <c r="C47" s="368" t="s">
        <v>749</v>
      </c>
      <c r="D47" s="1321" t="str">
        <f>+'Nomina Unhesa'!B42</f>
        <v>Gomez Aldana Jenifer Melissa</v>
      </c>
      <c r="E47" s="244" t="str">
        <f>VLOOKUP(B47,distribucion!B$9:FK$227,2,0)</f>
        <v>Asistente de Aseguramiento de Calidad</v>
      </c>
      <c r="F47" s="221">
        <f>VLOOKUP($B47,'Nomina Unhesa'!$B$4:$AB$209,4,0)</f>
        <v>30</v>
      </c>
      <c r="G47" s="229">
        <f>VLOOKUP($B47,'Nomina Unhesa'!$B$4:$AB$209,6,0)</f>
        <v>4500</v>
      </c>
      <c r="H47" s="229">
        <f>VLOOKUP($B47,'Nomina Unhesa'!$B$4:$AB$209,7,0)</f>
        <v>500</v>
      </c>
      <c r="I47" s="229">
        <f>VLOOKUP($B47,'Nomina Unhesa'!$B$4:$AB$209,9,0)</f>
        <v>8</v>
      </c>
      <c r="J47" s="234">
        <f>VLOOKUP($B47,'Nomina Unhesa'!$B$4:$AB$209,10,0)</f>
        <v>225</v>
      </c>
      <c r="K47" s="229">
        <f>VLOOKUP($B47,'Nomina Unhesa'!$B$4:$AB$209,11,0)</f>
        <v>0</v>
      </c>
      <c r="L47" s="229">
        <f>VLOOKUP($B47,'Nomina Unhesa'!$B$4:$AB$209,12,0)</f>
        <v>0</v>
      </c>
      <c r="M47" s="229">
        <f>VLOOKUP($B47,'Nomina Unhesa'!$B$4:$AB$209,14,0)</f>
        <v>0</v>
      </c>
      <c r="N47" s="234">
        <f>VLOOKUP($B47,'Nomina Unhesa'!$B$4:$AB$209,15,0)</f>
        <v>5225</v>
      </c>
      <c r="O47" s="234">
        <f>VLOOKUP($B47,'Nomina Unhesa'!$B$4:$AB$209,16,0)</f>
        <v>228.22</v>
      </c>
      <c r="P47" s="234">
        <f>VLOOKUP($B47,'Nomina Unhesa'!$B$4:$AB$209,17,0)</f>
        <v>39.130000000000003</v>
      </c>
      <c r="Q47" s="234">
        <f>VLOOKUP($B47,'Nomina Unhesa'!$B$4:$AB$209,18,0)</f>
        <v>0</v>
      </c>
      <c r="R47" s="234">
        <f>VLOOKUP($B47,'Nomina Unhesa'!$B$4:$AB$209,19,0)</f>
        <v>0</v>
      </c>
      <c r="S47" s="234">
        <f>VLOOKUP($B47,'Nomina Unhesa'!$B$4:$AB$209,20,0)</f>
        <v>0</v>
      </c>
      <c r="T47" s="234">
        <f>VLOOKUP($B47,'Nomina Unhesa'!$B$4:$AB$209,21,0)</f>
        <v>0</v>
      </c>
      <c r="U47" s="234">
        <f>VLOOKUP($B47,'Nomina Unhesa'!$B$4:$AB$209,22,0)</f>
        <v>191</v>
      </c>
      <c r="V47" s="234">
        <f>ROUND((VLOOKUP($B47,'Nomina Unhesa'!$B$4:$AB$209,23,0)),2)</f>
        <v>50</v>
      </c>
      <c r="W47" s="234">
        <f>VLOOKUP($B47,'Nomina Unhesa'!$B$4:$AB$209,24,0)</f>
        <v>508.35</v>
      </c>
      <c r="X47" s="234">
        <f>VLOOKUP(B47,'Nomina Unhesa'!$B$9:$Z$163,25,FALSE)</f>
        <v>4716.6499999999996</v>
      </c>
      <c r="Y47" s="234">
        <f>ROUND((VLOOKUP(B47,'Nomina Unhesa'!$B$9:$AB$157,26,FALSE)),2)</f>
        <v>2308.8200000000002</v>
      </c>
      <c r="Z47" s="400">
        <f>VLOOKUP(B47,'Nomina Unhesa'!$B$9:$AB$158,27,FALSE)</f>
        <v>2407.8299999999995</v>
      </c>
      <c r="AA47" s="446"/>
      <c r="AB47" s="393">
        <v>3006725860101</v>
      </c>
      <c r="AC47" s="407"/>
    </row>
    <row r="48" spans="1:7918">
      <c r="A48" s="26" t="e">
        <f t="shared" si="0"/>
        <v>#REF!</v>
      </c>
      <c r="B48" s="418" t="str">
        <f>+'Nomina Unhesa'!B108</f>
        <v>Borrayo  Martinez Barbara Ivon</v>
      </c>
      <c r="C48" s="368">
        <v>770271</v>
      </c>
      <c r="D48" s="1321" t="str">
        <f>+'Nomina Unhesa'!B108</f>
        <v>Borrayo  Martinez Barbara Ivon</v>
      </c>
      <c r="E48" s="244" t="str">
        <f>VLOOKUP(B48,distribucion!B$9:FK$227,2,0)</f>
        <v>Vendedor</v>
      </c>
      <c r="F48" s="221">
        <f>VLOOKUP($B48,'Nomina Unhesa'!$B$4:$AB$209,4,0)</f>
        <v>30</v>
      </c>
      <c r="G48" s="229">
        <f>VLOOKUP($B48,'Nomina Unhesa'!$B$4:$AB$209,6,0)</f>
        <v>3166.38</v>
      </c>
      <c r="H48" s="229">
        <f>VLOOKUP($B48,'Nomina Unhesa'!$B$4:$AB$209,7,0)</f>
        <v>897.54</v>
      </c>
      <c r="I48" s="229">
        <f>VLOOKUP($B48,'Nomina Unhesa'!$B$4:$AB$209,9,0)</f>
        <v>0</v>
      </c>
      <c r="J48" s="234">
        <f>VLOOKUP($B48,'Nomina Unhesa'!$B$4:$AB$209,10,0)</f>
        <v>0</v>
      </c>
      <c r="K48" s="229">
        <f>VLOOKUP($B48,'Nomina Unhesa'!$B$4:$AB$209,11,0)</f>
        <v>0</v>
      </c>
      <c r="L48" s="229">
        <f>VLOOKUP($B48,'Nomina Unhesa'!$B$4:$AB$209,12,0)</f>
        <v>0</v>
      </c>
      <c r="M48" s="229">
        <f>VLOOKUP($B48,'Nomina Unhesa'!$B$4:$AB$209,14,0)</f>
        <v>0</v>
      </c>
      <c r="N48" s="234">
        <f>VLOOKUP($B48,'Nomina Unhesa'!$B$4:$AB$209,15,0)</f>
        <v>4063.92</v>
      </c>
      <c r="O48" s="234">
        <f>VLOOKUP($B48,'Nomina Unhesa'!$B$4:$AB$209,16,0)</f>
        <v>152.94</v>
      </c>
      <c r="P48" s="234">
        <f>VLOOKUP($B48,'Nomina Unhesa'!$B$4:$AB$209,17,0)</f>
        <v>0</v>
      </c>
      <c r="Q48" s="234">
        <f>VLOOKUP($B48,'Nomina Unhesa'!$B$4:$AB$209,18,0)</f>
        <v>0</v>
      </c>
      <c r="R48" s="234">
        <f>VLOOKUP($B48,'Nomina Unhesa'!$B$4:$AB$209,19,0)</f>
        <v>0</v>
      </c>
      <c r="S48" s="234">
        <f>VLOOKUP($B48,'Nomina Unhesa'!$B$4:$AB$209,20,0)</f>
        <v>0</v>
      </c>
      <c r="T48" s="234">
        <f>VLOOKUP($B48,'Nomina Unhesa'!$B$4:$AB$209,21,0)</f>
        <v>0</v>
      </c>
      <c r="U48" s="234">
        <f>VLOOKUP($B48,'Nomina Unhesa'!$B$4:$AB$209,22,0)</f>
        <v>0</v>
      </c>
      <c r="V48" s="234">
        <f>ROUND((VLOOKUP($B48,'Nomina Unhesa'!$B$4:$AB$209,23,0)),2)</f>
        <v>50</v>
      </c>
      <c r="W48" s="234">
        <f>VLOOKUP($B48,'Nomina Unhesa'!$B$4:$AB$209,24,0)</f>
        <v>202.94</v>
      </c>
      <c r="X48" s="234">
        <f>VLOOKUP(B48,'Nomina Unhesa'!$B$9:$Z$163,25,FALSE)</f>
        <v>3860.98</v>
      </c>
      <c r="Y48" s="234">
        <f>ROUND((VLOOKUP(B48,'Nomina Unhesa'!$B$9:$AB$157,26,FALSE)),2)</f>
        <v>2279.2600000000002</v>
      </c>
      <c r="Z48" s="400">
        <f>VLOOKUP(B48,'Nomina Unhesa'!$B$9:$AB$158,27,FALSE)</f>
        <v>1581.7199999999998</v>
      </c>
      <c r="AA48" s="446"/>
      <c r="AB48" s="393">
        <v>3006725860101</v>
      </c>
      <c r="AC48" s="407"/>
    </row>
    <row r="49" spans="1:29">
      <c r="A49" s="26" t="e">
        <f t="shared" si="0"/>
        <v>#REF!</v>
      </c>
      <c r="B49" s="418" t="str">
        <f>+'Nomina Unhesa'!B11</f>
        <v>Quevedo Lopez Ingrid Aracely</v>
      </c>
      <c r="C49" s="368" t="s">
        <v>754</v>
      </c>
      <c r="D49" s="1321" t="str">
        <f>+'Nomina Unhesa'!B11</f>
        <v>Quevedo Lopez Ingrid Aracely</v>
      </c>
      <c r="E49" s="244" t="str">
        <f>VLOOKUP(B49,distribucion!B$9:FK$227,2,0)</f>
        <v>Conserje</v>
      </c>
      <c r="F49" s="221">
        <f>VLOOKUP($B49,'Nomina Unhesa'!$B$4:$AB$209,4,0)</f>
        <v>30</v>
      </c>
      <c r="G49" s="229">
        <f>VLOOKUP($B49,'Nomina Unhesa'!$B$4:$AB$209,6,0)</f>
        <v>3166.38</v>
      </c>
      <c r="H49" s="229">
        <f>VLOOKUP($B49,'Nomina Unhesa'!$B$4:$AB$209,7,0)</f>
        <v>250</v>
      </c>
      <c r="I49" s="229">
        <f>VLOOKUP($B49,'Nomina Unhesa'!$B$4:$AB$209,9,0)</f>
        <v>0</v>
      </c>
      <c r="J49" s="234">
        <f>VLOOKUP($B49,'Nomina Unhesa'!$B$4:$AB$209,10,0)</f>
        <v>0</v>
      </c>
      <c r="K49" s="229">
        <f>VLOOKUP($B49,'Nomina Unhesa'!$B$4:$AB$209,11,0)</f>
        <v>0</v>
      </c>
      <c r="L49" s="229">
        <f>VLOOKUP($B49,'Nomina Unhesa'!$B$4:$AB$209,12,0)</f>
        <v>0</v>
      </c>
      <c r="M49" s="229">
        <f>VLOOKUP($B49,'Nomina Unhesa'!$B$4:$AB$209,14,0)</f>
        <v>0</v>
      </c>
      <c r="N49" s="234">
        <f>VLOOKUP($B49,'Nomina Unhesa'!$B$4:$AB$209,15,0)</f>
        <v>3416.38</v>
      </c>
      <c r="O49" s="234">
        <f>VLOOKUP($B49,'Nomina Unhesa'!$B$4:$AB$209,16,0)</f>
        <v>152.94</v>
      </c>
      <c r="P49" s="234">
        <f>VLOOKUP($B49,'Nomina Unhesa'!$B$4:$AB$209,17,0)</f>
        <v>0</v>
      </c>
      <c r="Q49" s="234">
        <f>VLOOKUP($B49,'Nomina Unhesa'!$B$4:$AB$209,18,0)</f>
        <v>0</v>
      </c>
      <c r="R49" s="234">
        <f>VLOOKUP($B49,'Nomina Unhesa'!$B$4:$AB$209,19,0)</f>
        <v>0</v>
      </c>
      <c r="S49" s="234">
        <f>VLOOKUP($B49,'Nomina Unhesa'!$B$4:$AB$209,20,0)</f>
        <v>0</v>
      </c>
      <c r="T49" s="234">
        <f>VLOOKUP($B49,'Nomina Unhesa'!$B$4:$AB$209,21,0)</f>
        <v>0</v>
      </c>
      <c r="U49" s="234">
        <f>VLOOKUP($B49,'Nomina Unhesa'!$B$4:$AB$209,22,0)</f>
        <v>0</v>
      </c>
      <c r="V49" s="234">
        <f>ROUND((VLOOKUP($B49,'Nomina Unhesa'!$B$4:$AB$209,23,0)),2)</f>
        <v>50</v>
      </c>
      <c r="W49" s="234">
        <f>VLOOKUP($B49,'Nomina Unhesa'!$B$4:$AB$209,24,0)</f>
        <v>202.94</v>
      </c>
      <c r="X49" s="234">
        <f>VLOOKUP(B49,'Nomina Unhesa'!$B$9:$Z$163,25,FALSE)</f>
        <v>3213.44</v>
      </c>
      <c r="Y49" s="234">
        <f>ROUND((VLOOKUP(B49,'Nomina Unhesa'!$B$9:$AB$157,26,FALSE)),2)</f>
        <v>1631.72</v>
      </c>
      <c r="Z49" s="400">
        <f>VLOOKUP(B49,'Nomina Unhesa'!$B$9:$AB$158,27,FALSE)</f>
        <v>1581.72</v>
      </c>
      <c r="AA49" s="446"/>
      <c r="AB49" s="393">
        <v>3006725860101</v>
      </c>
      <c r="AC49" s="407"/>
    </row>
    <row r="50" spans="1:29">
      <c r="A50" s="26" t="e">
        <f t="shared" si="0"/>
        <v>#REF!</v>
      </c>
      <c r="B50" s="418" t="str">
        <f>+'Nomina Unhesa'!B12</f>
        <v>Morales Alvarez Yony</v>
      </c>
      <c r="C50" s="368" t="s">
        <v>755</v>
      </c>
      <c r="D50" s="1321" t="str">
        <f>+'Nomina Unhesa'!B12</f>
        <v>Morales Alvarez Yony</v>
      </c>
      <c r="E50" s="244" t="str">
        <f>VLOOKUP(B50,distribucion!B$9:FK$227,2,0)</f>
        <v>Conserje</v>
      </c>
      <c r="F50" s="221">
        <f>VLOOKUP($B50,'Nomina Unhesa'!$B$4:$AB$209,4,0)</f>
        <v>30</v>
      </c>
      <c r="G50" s="229">
        <f>VLOOKUP($B50,'Nomina Unhesa'!$B$4:$AB$209,6,0)</f>
        <v>3166.38</v>
      </c>
      <c r="H50" s="229">
        <f>VLOOKUP($B50,'Nomina Unhesa'!$B$4:$AB$209,7,0)</f>
        <v>250</v>
      </c>
      <c r="I50" s="229">
        <f>VLOOKUP($B50,'Nomina Unhesa'!$B$4:$AB$209,9,0)</f>
        <v>0</v>
      </c>
      <c r="J50" s="234">
        <f>VLOOKUP($B50,'Nomina Unhesa'!$B$4:$AB$209,10,0)</f>
        <v>0</v>
      </c>
      <c r="K50" s="229">
        <f>VLOOKUP($B50,'Nomina Unhesa'!$B$4:$AB$209,11,0)</f>
        <v>0</v>
      </c>
      <c r="L50" s="229">
        <f>VLOOKUP($B50,'Nomina Unhesa'!$B$4:$AB$209,12,0)</f>
        <v>0</v>
      </c>
      <c r="M50" s="229">
        <f>VLOOKUP($B50,'Nomina Unhesa'!$B$4:$AB$209,14,0)</f>
        <v>0</v>
      </c>
      <c r="N50" s="234">
        <f>VLOOKUP($B50,'Nomina Unhesa'!$B$4:$AB$209,15,0)</f>
        <v>3416.38</v>
      </c>
      <c r="O50" s="234">
        <f>VLOOKUP($B50,'Nomina Unhesa'!$B$4:$AB$209,16,0)</f>
        <v>152.94</v>
      </c>
      <c r="P50" s="234">
        <f>VLOOKUP($B50,'Nomina Unhesa'!$B$4:$AB$209,17,0)</f>
        <v>0</v>
      </c>
      <c r="Q50" s="234">
        <f>VLOOKUP($B50,'Nomina Unhesa'!$B$4:$AB$209,18,0)</f>
        <v>0</v>
      </c>
      <c r="R50" s="234">
        <f>VLOOKUP($B50,'Nomina Unhesa'!$B$4:$AB$209,19,0)</f>
        <v>0</v>
      </c>
      <c r="S50" s="234">
        <f>VLOOKUP($B50,'Nomina Unhesa'!$B$4:$AB$209,20,0)</f>
        <v>0</v>
      </c>
      <c r="T50" s="234">
        <f>VLOOKUP($B50,'Nomina Unhesa'!$B$4:$AB$209,21,0)</f>
        <v>0</v>
      </c>
      <c r="U50" s="234">
        <f>VLOOKUP($B50,'Nomina Unhesa'!$B$4:$AB$209,22,0)</f>
        <v>0</v>
      </c>
      <c r="V50" s="234">
        <f>ROUND((VLOOKUP($B50,'Nomina Unhesa'!$B$4:$AB$209,23,0)),2)</f>
        <v>50</v>
      </c>
      <c r="W50" s="234">
        <f>VLOOKUP($B50,'Nomina Unhesa'!$B$4:$AB$209,24,0)</f>
        <v>202.94</v>
      </c>
      <c r="X50" s="234">
        <f>VLOOKUP(B50,'Nomina Unhesa'!$B$9:$Z$163,25,FALSE)</f>
        <v>3213.44</v>
      </c>
      <c r="Y50" s="234">
        <f>ROUND((VLOOKUP(B50,'Nomina Unhesa'!$B$9:$AB$157,26,FALSE)),2)</f>
        <v>1631.72</v>
      </c>
      <c r="Z50" s="400">
        <f>VLOOKUP(B50,'Nomina Unhesa'!$B$9:$AB$158,27,FALSE)</f>
        <v>1581.72</v>
      </c>
      <c r="AA50" s="446"/>
      <c r="AB50" s="393">
        <v>3006725860101</v>
      </c>
      <c r="AC50" s="407"/>
    </row>
    <row r="51" spans="1:29">
      <c r="A51" s="26" t="e">
        <f t="shared" si="0"/>
        <v>#REF!</v>
      </c>
      <c r="B51" s="418" t="str">
        <f>+'Nomina Unhesa'!B10</f>
        <v xml:space="preserve">Muñoz Laparra Orly Gabriela </v>
      </c>
      <c r="C51" s="368" t="s">
        <v>760</v>
      </c>
      <c r="D51" s="1321" t="str">
        <f>+'Nomina Unhesa'!B10</f>
        <v xml:space="preserve">Muñoz Laparra Orly Gabriela </v>
      </c>
      <c r="E51" s="244" t="str">
        <f>VLOOKUP(B51,distribucion!B$9:FK$227,2,0)</f>
        <v xml:space="preserve"> </v>
      </c>
      <c r="F51" s="221">
        <f>VLOOKUP($B51,'Nomina Unhesa'!$B$4:$AB$209,4,0)</f>
        <v>30</v>
      </c>
      <c r="G51" s="229">
        <f>VLOOKUP($B51,'Nomina Unhesa'!$B$4:$AB$209,6,0)</f>
        <v>5000</v>
      </c>
      <c r="H51" s="229">
        <f>VLOOKUP($B51,'Nomina Unhesa'!$B$4:$AB$209,7,0)</f>
        <v>4000</v>
      </c>
      <c r="I51" s="229">
        <f>VLOOKUP($B51,'Nomina Unhesa'!$B$4:$AB$209,9,0)</f>
        <v>0</v>
      </c>
      <c r="J51" s="234">
        <f>VLOOKUP($B51,'Nomina Unhesa'!$B$4:$AB$209,10,0)</f>
        <v>0</v>
      </c>
      <c r="K51" s="229">
        <f>VLOOKUP($B51,'Nomina Unhesa'!$B$4:$AB$209,11,0)</f>
        <v>0</v>
      </c>
      <c r="L51" s="229">
        <f>VLOOKUP($B51,'Nomina Unhesa'!$B$4:$AB$209,12,0)</f>
        <v>0</v>
      </c>
      <c r="M51" s="229">
        <f>VLOOKUP($B51,'Nomina Unhesa'!$B$4:$AB$209,14,0)</f>
        <v>0</v>
      </c>
      <c r="N51" s="234">
        <f>VLOOKUP($B51,'Nomina Unhesa'!$B$4:$AB$209,15,0)</f>
        <v>9000</v>
      </c>
      <c r="O51" s="234">
        <f>VLOOKUP($B51,'Nomina Unhesa'!$B$4:$AB$209,16,0)</f>
        <v>241.5</v>
      </c>
      <c r="P51" s="234">
        <f>VLOOKUP($B51,'Nomina Unhesa'!$B$4:$AB$209,17,0)</f>
        <v>237.93</v>
      </c>
      <c r="Q51" s="234">
        <f>VLOOKUP($B51,'Nomina Unhesa'!$B$4:$AB$209,18,0)</f>
        <v>0</v>
      </c>
      <c r="R51" s="234">
        <f>VLOOKUP($B51,'Nomina Unhesa'!$B$4:$AB$209,19,0)</f>
        <v>0</v>
      </c>
      <c r="S51" s="234">
        <f>VLOOKUP($B51,'Nomina Unhesa'!$B$4:$AB$209,20,0)</f>
        <v>0</v>
      </c>
      <c r="T51" s="234">
        <f>VLOOKUP($B51,'Nomina Unhesa'!$B$4:$AB$209,21,0)</f>
        <v>0</v>
      </c>
      <c r="U51" s="234">
        <f>VLOOKUP($B51,'Nomina Unhesa'!$B$4:$AB$209,22,0)</f>
        <v>80</v>
      </c>
      <c r="V51" s="234">
        <f>ROUND((VLOOKUP($B51,'Nomina Unhesa'!$B$4:$AB$209,23,0)),2)</f>
        <v>315</v>
      </c>
      <c r="W51" s="234">
        <f>VLOOKUP($B51,'Nomina Unhesa'!$B$4:$AB$209,24,0)</f>
        <v>874.43000000000006</v>
      </c>
      <c r="X51" s="234">
        <f>VLOOKUP(B51,'Nomina Unhesa'!$B$9:$Z$163,25,FALSE)</f>
        <v>8125.57</v>
      </c>
      <c r="Y51" s="234">
        <f>ROUND((VLOOKUP(B51,'Nomina Unhesa'!$B$9:$AB$157,26,FALSE)),2)</f>
        <v>4232.25</v>
      </c>
      <c r="Z51" s="400">
        <f>VLOOKUP(B51,'Nomina Unhesa'!$B$9:$AB$158,27,FALSE)</f>
        <v>3893.3199999999997</v>
      </c>
      <c r="AA51" s="446"/>
      <c r="AB51" s="393">
        <v>3006725860101</v>
      </c>
      <c r="AC51" s="407"/>
    </row>
    <row r="52" spans="1:29">
      <c r="B52" s="418" t="str">
        <f>+'Nomina Unhesa'!B57</f>
        <v>Contreras Vasquez Oscar Jose</v>
      </c>
      <c r="C52" s="368" t="s">
        <v>869</v>
      </c>
      <c r="D52" s="1321" t="str">
        <f>+'Nomina Unhesa'!B57</f>
        <v>Contreras Vasquez Oscar Jose</v>
      </c>
      <c r="E52" s="244" t="str">
        <f>VLOOKUP(B52,distribucion!B$9:FK$227,2,0)</f>
        <v>Operario</v>
      </c>
      <c r="F52" s="221">
        <f>VLOOKUP($B52,'Nomina Unhesa'!$B$4:$AB$209,4,0)</f>
        <v>3</v>
      </c>
      <c r="G52" s="229">
        <f>VLOOKUP($B52,'Nomina Unhesa'!$B$4:$AB$209,6,0)</f>
        <v>316.64</v>
      </c>
      <c r="H52" s="229">
        <f>VLOOKUP($B52,'Nomina Unhesa'!$B$4:$AB$209,7,0)</f>
        <v>25</v>
      </c>
      <c r="I52" s="229">
        <f>VLOOKUP($B52,'Nomina Unhesa'!$B$4:$AB$209,9,0)</f>
        <v>0</v>
      </c>
      <c r="J52" s="234">
        <f>VLOOKUP($B52,'Nomina Unhesa'!$B$4:$AB$209,10,0)</f>
        <v>0</v>
      </c>
      <c r="K52" s="229">
        <f>VLOOKUP($B52,'Nomina Unhesa'!$B$4:$AB$209,11,0)</f>
        <v>0</v>
      </c>
      <c r="L52" s="229">
        <f>VLOOKUP($B52,'Nomina Unhesa'!$B$4:$AB$209,12,0)</f>
        <v>0</v>
      </c>
      <c r="M52" s="229">
        <f>VLOOKUP($B52,'Nomina Unhesa'!$B$4:$AB$209,14,0)</f>
        <v>0</v>
      </c>
      <c r="N52" s="234">
        <f>VLOOKUP($B52,'Nomina Unhesa'!$B$4:$AB$209,15,0)</f>
        <v>341.64</v>
      </c>
      <c r="O52" s="234">
        <f>VLOOKUP($B52,'Nomina Unhesa'!$B$4:$AB$209,16,0)</f>
        <v>15.29</v>
      </c>
      <c r="P52" s="234">
        <f>VLOOKUP($B52,'Nomina Unhesa'!$B$4:$AB$209,17,0)</f>
        <v>0</v>
      </c>
      <c r="Q52" s="234">
        <f>VLOOKUP($B52,'Nomina Unhesa'!$B$4:$AB$209,18,0)</f>
        <v>0</v>
      </c>
      <c r="R52" s="234">
        <f>VLOOKUP($B52,'Nomina Unhesa'!$B$4:$AB$209,19,0)</f>
        <v>0</v>
      </c>
      <c r="S52" s="234">
        <f>VLOOKUP($B52,'Nomina Unhesa'!$B$4:$AB$209,20,0)</f>
        <v>0</v>
      </c>
      <c r="T52" s="234">
        <f>VLOOKUP($B52,'Nomina Unhesa'!$B$4:$AB$209,21,0)</f>
        <v>0</v>
      </c>
      <c r="U52" s="234">
        <f>VLOOKUP($B52,'Nomina Unhesa'!$B$4:$AB$209,22,0)</f>
        <v>0</v>
      </c>
      <c r="V52" s="234">
        <f>ROUND((VLOOKUP($B52,'Nomina Unhesa'!$B$4:$AB$209,23,0)),2)</f>
        <v>0</v>
      </c>
      <c r="W52" s="234">
        <f>VLOOKUP($B52,'Nomina Unhesa'!$B$4:$AB$209,24,0)</f>
        <v>15.29</v>
      </c>
      <c r="X52" s="234">
        <f>VLOOKUP(B52,'Nomina Unhesa'!$B$9:$Z$163,25,FALSE)</f>
        <v>326.34999999999997</v>
      </c>
      <c r="Y52" s="234">
        <f>ROUND((VLOOKUP(B52,'Nomina Unhesa'!$B$9:$AB$157,26,FALSE)),2)</f>
        <v>326.35000000000002</v>
      </c>
      <c r="Z52" s="400">
        <f>VLOOKUP(B52,'Nomina Unhesa'!$B$9:$AB$158,27,FALSE)</f>
        <v>0</v>
      </c>
      <c r="AA52" s="446"/>
      <c r="AB52" s="393">
        <v>3006725860101</v>
      </c>
      <c r="AC52" s="407"/>
    </row>
    <row r="53" spans="1:29">
      <c r="A53" s="26" t="e">
        <f>+#REF!+1</f>
        <v>#REF!</v>
      </c>
      <c r="B53" s="418" t="str">
        <f>+'Nomina Unhesa'!B123</f>
        <v>Recinos Martinez Dany Gudiel</v>
      </c>
      <c r="C53" s="368">
        <v>3290074982</v>
      </c>
      <c r="D53" s="1321" t="str">
        <f>+'Nomina Unhesa'!B123</f>
        <v>Recinos Martinez Dany Gudiel</v>
      </c>
      <c r="E53" s="244" t="str">
        <f>VLOOKUP(B53,distribucion!B$9:FK$227,2,0)</f>
        <v>Vendedor Mayorista</v>
      </c>
      <c r="F53" s="221">
        <f>VLOOKUP($B53,'Nomina Unhesa'!$B$4:$AB$209,4,0)</f>
        <v>30</v>
      </c>
      <c r="G53" s="229">
        <f>VLOOKUP($B53,'Nomina Unhesa'!$B$4:$AB$209,6,0)</f>
        <v>3166.38</v>
      </c>
      <c r="H53" s="229">
        <f>VLOOKUP($B53,'Nomina Unhesa'!$B$4:$AB$209,7,0)</f>
        <v>1892.36</v>
      </c>
      <c r="I53" s="229">
        <f>VLOOKUP($B53,'Nomina Unhesa'!$B$4:$AB$209,9,0)</f>
        <v>0</v>
      </c>
      <c r="J53" s="234">
        <f>VLOOKUP($B53,'Nomina Unhesa'!$B$4:$AB$209,10,0)</f>
        <v>0</v>
      </c>
      <c r="K53" s="229">
        <f>VLOOKUP($B53,'Nomina Unhesa'!$B$4:$AB$209,11,0)</f>
        <v>0</v>
      </c>
      <c r="L53" s="229">
        <f>VLOOKUP($B53,'Nomina Unhesa'!$B$4:$AB$209,12,0)</f>
        <v>0</v>
      </c>
      <c r="M53" s="229">
        <f>VLOOKUP($B53,'Nomina Unhesa'!$B$4:$AB$209,14,0)</f>
        <v>0</v>
      </c>
      <c r="N53" s="234">
        <f>VLOOKUP($B53,'Nomina Unhesa'!$B$4:$AB$209,15,0)</f>
        <v>5058.74</v>
      </c>
      <c r="O53" s="234">
        <f>VLOOKUP($B53,'Nomina Unhesa'!$B$4:$AB$209,16,0)</f>
        <v>152.94</v>
      </c>
      <c r="P53" s="234">
        <f>VLOOKUP($B53,'Nomina Unhesa'!$B$4:$AB$209,17,0)</f>
        <v>0</v>
      </c>
      <c r="Q53" s="234">
        <f>VLOOKUP($B53,'Nomina Unhesa'!$B$4:$AB$209,18,0)</f>
        <v>0</v>
      </c>
      <c r="R53" s="234">
        <f>VLOOKUP($B53,'Nomina Unhesa'!$B$4:$AB$209,19,0)</f>
        <v>0</v>
      </c>
      <c r="S53" s="234">
        <f>VLOOKUP($B53,'Nomina Unhesa'!$B$4:$AB$209,20,0)</f>
        <v>0</v>
      </c>
      <c r="T53" s="234">
        <f>VLOOKUP($B53,'Nomina Unhesa'!$B$4:$AB$209,21,0)</f>
        <v>0</v>
      </c>
      <c r="U53" s="234">
        <f>VLOOKUP($B53,'Nomina Unhesa'!$B$4:$AB$209,22,0)</f>
        <v>0</v>
      </c>
      <c r="V53" s="234">
        <f>ROUND((VLOOKUP($B53,'Nomina Unhesa'!$B$4:$AB$209,23,0)),2)</f>
        <v>50</v>
      </c>
      <c r="W53" s="234">
        <f>VLOOKUP($B53,'Nomina Unhesa'!$B$4:$AB$209,24,0)</f>
        <v>202.94</v>
      </c>
      <c r="X53" s="234">
        <f>VLOOKUP(B53,'Nomina Unhesa'!$B$9:$Z$163,25,FALSE)</f>
        <v>4855.8</v>
      </c>
      <c r="Y53" s="234">
        <f>ROUND((VLOOKUP(B53,'Nomina Unhesa'!$B$9:$AB$157,26,FALSE)),2)</f>
        <v>3274.08</v>
      </c>
      <c r="Z53" s="400">
        <f>VLOOKUP(B53,'Nomina Unhesa'!$B$9:$AB$158,27,FALSE)</f>
        <v>1581.7199999999998</v>
      </c>
      <c r="AA53" s="446"/>
      <c r="AB53" s="393">
        <v>3006725860101</v>
      </c>
      <c r="AC53" s="407"/>
    </row>
    <row r="54" spans="1:29">
      <c r="A54" s="26" t="e">
        <f t="shared" si="0"/>
        <v>#REF!</v>
      </c>
      <c r="B54" s="418" t="str">
        <f>+'Nomina Unhesa'!B56</f>
        <v>Ramirez Ramos Brayan Neptaly</v>
      </c>
      <c r="C54" s="368" t="s">
        <v>791</v>
      </c>
      <c r="D54" s="1321" t="str">
        <f>+'Nomina Unhesa'!B56</f>
        <v>Ramirez Ramos Brayan Neptaly</v>
      </c>
      <c r="E54" s="244" t="str">
        <f>VLOOKUP(B54,distribucion!B$9:FK$227,2,0)</f>
        <v>Operario</v>
      </c>
      <c r="F54" s="221">
        <f>VLOOKUP($B54,'Nomina Unhesa'!$B$4:$AB$209,4,0)</f>
        <v>30</v>
      </c>
      <c r="G54" s="229">
        <f>VLOOKUP($B54,'Nomina Unhesa'!$B$4:$AB$209,6,0)</f>
        <v>3166.38</v>
      </c>
      <c r="H54" s="229">
        <f>VLOOKUP($B54,'Nomina Unhesa'!$B$4:$AB$209,7,0)</f>
        <v>1600</v>
      </c>
      <c r="I54" s="229">
        <f>VLOOKUP($B54,'Nomina Unhesa'!$B$4:$AB$209,9,0)</f>
        <v>33</v>
      </c>
      <c r="J54" s="234">
        <f>VLOOKUP($B54,'Nomina Unhesa'!$B$4:$AB$209,10,0)</f>
        <v>653.07000000000005</v>
      </c>
      <c r="K54" s="229">
        <f>VLOOKUP($B54,'Nomina Unhesa'!$B$4:$AB$209,11,0)</f>
        <v>0</v>
      </c>
      <c r="L54" s="229">
        <f>VLOOKUP($B54,'Nomina Unhesa'!$B$4:$AB$209,12,0)</f>
        <v>0</v>
      </c>
      <c r="M54" s="229">
        <f>VLOOKUP($B54,'Nomina Unhesa'!$B$4:$AB$209,14,0)</f>
        <v>0</v>
      </c>
      <c r="N54" s="234">
        <f>VLOOKUP($B54,'Nomina Unhesa'!$B$4:$AB$209,15,0)</f>
        <v>5419.45</v>
      </c>
      <c r="O54" s="234">
        <f>VLOOKUP($B54,'Nomina Unhesa'!$B$4:$AB$209,16,0)</f>
        <v>184.48</v>
      </c>
      <c r="P54" s="234">
        <f>VLOOKUP($B54,'Nomina Unhesa'!$B$4:$AB$209,17,0)</f>
        <v>0</v>
      </c>
      <c r="Q54" s="234">
        <f>VLOOKUP($B54,'Nomina Unhesa'!$B$4:$AB$209,18,0)</f>
        <v>0</v>
      </c>
      <c r="R54" s="234">
        <f>VLOOKUP($B54,'Nomina Unhesa'!$B$4:$AB$209,19,0)</f>
        <v>0</v>
      </c>
      <c r="S54" s="234">
        <f>VLOOKUP($B54,'Nomina Unhesa'!$B$4:$AB$209,20,0)</f>
        <v>0</v>
      </c>
      <c r="T54" s="234">
        <f>VLOOKUP($B54,'Nomina Unhesa'!$B$4:$AB$209,21,0)</f>
        <v>0</v>
      </c>
      <c r="U54" s="234">
        <f>VLOOKUP($B54,'Nomina Unhesa'!$B$4:$AB$209,22,0)</f>
        <v>0</v>
      </c>
      <c r="V54" s="234">
        <f>ROUND((VLOOKUP($B54,'Nomina Unhesa'!$B$4:$AB$209,23,0)),2)</f>
        <v>50</v>
      </c>
      <c r="W54" s="234">
        <f>VLOOKUP($B54,'Nomina Unhesa'!$B$4:$AB$209,24,0)</f>
        <v>234.48</v>
      </c>
      <c r="X54" s="234">
        <f>VLOOKUP(B54,'Nomina Unhesa'!$B$9:$Z$163,25,FALSE)</f>
        <v>5184.97</v>
      </c>
      <c r="Y54" s="234">
        <f>ROUND((VLOOKUP(B54,'Nomina Unhesa'!$B$9:$AB$157,26,FALSE)),2)</f>
        <v>1631.72</v>
      </c>
      <c r="Z54" s="400">
        <f>VLOOKUP(B54,'Nomina Unhesa'!$B$9:$AB$158,27,FALSE)</f>
        <v>3553.25</v>
      </c>
      <c r="AA54" s="446"/>
      <c r="AB54" s="393">
        <v>3006725860101</v>
      </c>
      <c r="AC54" s="407"/>
    </row>
    <row r="55" spans="1:29">
      <c r="A55" s="26" t="e">
        <f t="shared" si="0"/>
        <v>#REF!</v>
      </c>
      <c r="B55" s="418" t="str">
        <f>+'Nomina Unhesa'!B25</f>
        <v>Lorenzana Gonzalez Cesar Leonel</v>
      </c>
      <c r="C55" s="368" t="s">
        <v>808</v>
      </c>
      <c r="D55" s="1321" t="str">
        <f>+'Nomina Unhesa'!B25</f>
        <v>Lorenzana Gonzalez Cesar Leonel</v>
      </c>
      <c r="E55" s="244" t="str">
        <f>VLOOKUP(B55,distribucion!B$9:FK$227,2,0)</f>
        <v>Gerente Financiero</v>
      </c>
      <c r="F55" s="221">
        <f>VLOOKUP($B55,'Nomina Unhesa'!$B$4:$AB$209,4,0)</f>
        <v>30</v>
      </c>
      <c r="G55" s="229">
        <f>VLOOKUP($B55,'Nomina Unhesa'!$B$4:$AB$209,6,0)</f>
        <v>18000</v>
      </c>
      <c r="H55" s="229">
        <f>VLOOKUP($B55,'Nomina Unhesa'!$B$4:$AB$209,7,0)</f>
        <v>5000</v>
      </c>
      <c r="I55" s="229">
        <f>VLOOKUP($B55,'Nomina Unhesa'!$B$4:$AB$209,9,0)</f>
        <v>0</v>
      </c>
      <c r="J55" s="234">
        <f>VLOOKUP($B55,'Nomina Unhesa'!$B$4:$AB$209,10,0)</f>
        <v>0</v>
      </c>
      <c r="K55" s="229">
        <f>VLOOKUP($B55,'Nomina Unhesa'!$B$4:$AB$209,11,0)</f>
        <v>0</v>
      </c>
      <c r="L55" s="229">
        <f>VLOOKUP($B55,'Nomina Unhesa'!$B$4:$AB$209,12,0)</f>
        <v>0</v>
      </c>
      <c r="M55" s="229">
        <f>VLOOKUP($B55,'Nomina Unhesa'!$B$4:$AB$209,14,0)</f>
        <v>0</v>
      </c>
      <c r="N55" s="234">
        <f>VLOOKUP($B55,'Nomina Unhesa'!$B$4:$AB$209,15,0)</f>
        <v>23000</v>
      </c>
      <c r="O55" s="234">
        <f>VLOOKUP($B55,'Nomina Unhesa'!$B$4:$AB$209,16,0)</f>
        <v>869.4</v>
      </c>
      <c r="P55" s="234">
        <f>VLOOKUP($B55,'Nomina Unhesa'!$B$4:$AB$209,17,0)</f>
        <v>906.53</v>
      </c>
      <c r="Q55" s="234">
        <f>VLOOKUP($B55,'Nomina Unhesa'!$B$4:$AB$209,18,0)</f>
        <v>0</v>
      </c>
      <c r="R55" s="234">
        <f>VLOOKUP($B55,'Nomina Unhesa'!$B$4:$AB$209,19,0)</f>
        <v>0</v>
      </c>
      <c r="S55" s="234">
        <f>VLOOKUP($B55,'Nomina Unhesa'!$B$4:$AB$209,20,0)</f>
        <v>0</v>
      </c>
      <c r="T55" s="234">
        <f>VLOOKUP($B55,'Nomina Unhesa'!$B$4:$AB$209,21,0)</f>
        <v>0</v>
      </c>
      <c r="U55" s="234">
        <f>VLOOKUP($B55,'Nomina Unhesa'!$B$4:$AB$209,22,0)</f>
        <v>0</v>
      </c>
      <c r="V55" s="234">
        <f>ROUND((VLOOKUP($B55,'Nomina Unhesa'!$B$4:$AB$209,23,0)),2)</f>
        <v>150</v>
      </c>
      <c r="W55" s="234">
        <f>VLOOKUP($B55,'Nomina Unhesa'!$B$4:$AB$209,24,0)</f>
        <v>1925.9299999999998</v>
      </c>
      <c r="X55" s="234">
        <f>VLOOKUP(B55,'Nomina Unhesa'!$B$9:$Z$163,25,FALSE)</f>
        <v>21074.07</v>
      </c>
      <c r="Y55" s="234">
        <f>ROUND((VLOOKUP(B55,'Nomina Unhesa'!$B$9:$AB$157,26,FALSE)),2)</f>
        <v>10389.41</v>
      </c>
      <c r="Z55" s="400">
        <f>VLOOKUP(B55,'Nomina Unhesa'!$B$9:$AB$158,27,FALSE)</f>
        <v>10684.66</v>
      </c>
      <c r="AA55" s="446"/>
      <c r="AB55" s="393">
        <v>3006725860101</v>
      </c>
      <c r="AC55" s="407"/>
    </row>
    <row r="56" spans="1:29">
      <c r="A56" s="26" t="e">
        <f t="shared" si="0"/>
        <v>#REF!</v>
      </c>
      <c r="B56" s="418" t="str">
        <f>+'Nomina Unhesa'!B43</f>
        <v>Curruchiche Aguilar Triana Maria</v>
      </c>
      <c r="C56" s="368" t="s">
        <v>810</v>
      </c>
      <c r="D56" s="1321" t="str">
        <f>+'Nomina Unhesa'!B43</f>
        <v>Curruchiche Aguilar Triana Maria</v>
      </c>
      <c r="E56" s="244" t="str">
        <f>VLOOKUP(B56,distribucion!B$9:FK$227,2,0)</f>
        <v>Auxiliar de Control De Calidad</v>
      </c>
      <c r="F56" s="221">
        <f>VLOOKUP($B56,'Nomina Unhesa'!$B$4:$AB$209,4,0)</f>
        <v>30</v>
      </c>
      <c r="G56" s="229">
        <f>VLOOKUP($B56,'Nomina Unhesa'!$B$4:$AB$209,6,0)</f>
        <v>3166.38</v>
      </c>
      <c r="H56" s="229">
        <f>VLOOKUP($B56,'Nomina Unhesa'!$B$4:$AB$209,7,0)</f>
        <v>833.62</v>
      </c>
      <c r="I56" s="229">
        <f>VLOOKUP($B56,'Nomina Unhesa'!$B$4:$AB$209,9,0)</f>
        <v>10.5</v>
      </c>
      <c r="J56" s="234">
        <f>VLOOKUP($B56,'Nomina Unhesa'!$B$4:$AB$209,10,0)</f>
        <v>207.79</v>
      </c>
      <c r="K56" s="229">
        <f>VLOOKUP($B56,'Nomina Unhesa'!$B$4:$AB$209,11,0)</f>
        <v>0</v>
      </c>
      <c r="L56" s="229">
        <f>VLOOKUP($B56,'Nomina Unhesa'!$B$4:$AB$209,12,0)</f>
        <v>0</v>
      </c>
      <c r="M56" s="229">
        <f>VLOOKUP($B56,'Nomina Unhesa'!$B$4:$AB$209,14,0)</f>
        <v>0</v>
      </c>
      <c r="N56" s="234">
        <f>VLOOKUP($B56,'Nomina Unhesa'!$B$4:$AB$209,15,0)</f>
        <v>4207.79</v>
      </c>
      <c r="O56" s="234">
        <f>VLOOKUP($B56,'Nomina Unhesa'!$B$4:$AB$209,16,0)</f>
        <v>162.97</v>
      </c>
      <c r="P56" s="234">
        <f>VLOOKUP($B56,'Nomina Unhesa'!$B$4:$AB$209,17,0)</f>
        <v>0</v>
      </c>
      <c r="Q56" s="234">
        <f>VLOOKUP($B56,'Nomina Unhesa'!$B$4:$AB$209,18,0)</f>
        <v>0</v>
      </c>
      <c r="R56" s="234">
        <f>VLOOKUP($B56,'Nomina Unhesa'!$B$4:$AB$209,19,0)</f>
        <v>0</v>
      </c>
      <c r="S56" s="234">
        <f>VLOOKUP($B56,'Nomina Unhesa'!$B$4:$AB$209,20,0)</f>
        <v>0</v>
      </c>
      <c r="T56" s="234">
        <f>VLOOKUP($B56,'Nomina Unhesa'!$B$4:$AB$209,21,0)</f>
        <v>0</v>
      </c>
      <c r="U56" s="234">
        <f>VLOOKUP($B56,'Nomina Unhesa'!$B$4:$AB$209,22,0)</f>
        <v>71.5</v>
      </c>
      <c r="V56" s="234">
        <f>ROUND((VLOOKUP($B56,'Nomina Unhesa'!$B$4:$AB$209,23,0)),2)</f>
        <v>290</v>
      </c>
      <c r="W56" s="234">
        <f>VLOOKUP($B56,'Nomina Unhesa'!$B$4:$AB$209,24,0)</f>
        <v>524.47</v>
      </c>
      <c r="X56" s="234">
        <f>VLOOKUP(B56,'Nomina Unhesa'!$B$9:$Z$163,25,FALSE)</f>
        <v>3683.3199999999997</v>
      </c>
      <c r="Y56" s="234">
        <f>ROUND((VLOOKUP(B56,'Nomina Unhesa'!$B$9:$AB$157,26,FALSE)),2)</f>
        <v>1803.53</v>
      </c>
      <c r="Z56" s="400">
        <f>VLOOKUP(B56,'Nomina Unhesa'!$B$9:$AB$158,27,FALSE)</f>
        <v>1879.7899999999997</v>
      </c>
      <c r="AA56" s="446"/>
      <c r="AB56" s="393">
        <v>3006725860101</v>
      </c>
      <c r="AC56" s="407"/>
    </row>
    <row r="57" spans="1:29">
      <c r="A57" s="26" t="e">
        <f t="shared" si="0"/>
        <v>#REF!</v>
      </c>
      <c r="B57" s="418" t="str">
        <f>+'Nomina Unhesa'!B44</f>
        <v>Hernandez Brenes Juan Pablo Jose</v>
      </c>
      <c r="C57" s="368" t="s">
        <v>813</v>
      </c>
      <c r="D57" s="1321" t="str">
        <f>+'Nomina Unhesa'!B44</f>
        <v>Hernandez Brenes Juan Pablo Jose</v>
      </c>
      <c r="E57" s="244" t="str">
        <f>VLOOKUP(B57,distribucion!B$9:FK$227,2,0)</f>
        <v>Asistente de Control de Calidad</v>
      </c>
      <c r="F57" s="221">
        <f>VLOOKUP($B57,'Nomina Unhesa'!$B$4:$AB$209,4,0)</f>
        <v>15</v>
      </c>
      <c r="G57" s="229">
        <f>VLOOKUP($B57,'Nomina Unhesa'!$B$4:$AB$209,6,0)</f>
        <v>2000</v>
      </c>
      <c r="H57" s="229">
        <f>VLOOKUP($B57,'Nomina Unhesa'!$B$4:$AB$209,7,0)</f>
        <v>500</v>
      </c>
      <c r="I57" s="229">
        <f>VLOOKUP($B57,'Nomina Unhesa'!$B$4:$AB$209,9,0)</f>
        <v>2</v>
      </c>
      <c r="J57" s="234">
        <f>VLOOKUP($B57,'Nomina Unhesa'!$B$4:$AB$209,10,0)</f>
        <v>50</v>
      </c>
      <c r="K57" s="229">
        <f>VLOOKUP($B57,'Nomina Unhesa'!$B$4:$AB$209,11,0)</f>
        <v>0</v>
      </c>
      <c r="L57" s="229">
        <f>VLOOKUP($B57,'Nomina Unhesa'!$B$4:$AB$209,12,0)</f>
        <v>0</v>
      </c>
      <c r="M57" s="229">
        <f>VLOOKUP($B57,'Nomina Unhesa'!$B$4:$AB$209,14,0)</f>
        <v>0</v>
      </c>
      <c r="N57" s="234">
        <f>VLOOKUP($B57,'Nomina Unhesa'!$B$4:$AB$209,15,0)</f>
        <v>2550</v>
      </c>
      <c r="O57" s="234">
        <f>VLOOKUP($B57,'Nomina Unhesa'!$B$4:$AB$209,16,0)</f>
        <v>99.02</v>
      </c>
      <c r="P57" s="234">
        <f>VLOOKUP($B57,'Nomina Unhesa'!$B$4:$AB$209,17,0)</f>
        <v>0</v>
      </c>
      <c r="Q57" s="234">
        <f>VLOOKUP($B57,'Nomina Unhesa'!$B$4:$AB$209,18,0)</f>
        <v>0</v>
      </c>
      <c r="R57" s="234">
        <f>VLOOKUP($B57,'Nomina Unhesa'!$B$4:$AB$209,19,0)</f>
        <v>0</v>
      </c>
      <c r="S57" s="234">
        <f>VLOOKUP($B57,'Nomina Unhesa'!$B$4:$AB$209,20,0)</f>
        <v>0</v>
      </c>
      <c r="T57" s="234">
        <f>VLOOKUP($B57,'Nomina Unhesa'!$B$4:$AB$209,21,0)</f>
        <v>0</v>
      </c>
      <c r="U57" s="234">
        <f>VLOOKUP($B57,'Nomina Unhesa'!$B$4:$AB$209,22,0)</f>
        <v>0</v>
      </c>
      <c r="V57" s="234">
        <f>ROUND((VLOOKUP($B57,'Nomina Unhesa'!$B$4:$AB$209,23,0)),2)</f>
        <v>0</v>
      </c>
      <c r="W57" s="234">
        <f>VLOOKUP($B57,'Nomina Unhesa'!$B$4:$AB$209,24,0)</f>
        <v>99.02</v>
      </c>
      <c r="X57" s="234">
        <f>VLOOKUP(B57,'Nomina Unhesa'!$B$9:$Z$163,25,FALSE)</f>
        <v>2450.98</v>
      </c>
      <c r="Y57" s="234">
        <f>ROUND((VLOOKUP(B57,'Nomina Unhesa'!$B$9:$AB$157,26,FALSE)),2)</f>
        <v>2450.98</v>
      </c>
      <c r="Z57" s="400">
        <f>VLOOKUP(B57,'Nomina Unhesa'!$B$9:$AB$158,27,FALSE)</f>
        <v>0</v>
      </c>
      <c r="AA57" s="446"/>
      <c r="AB57" s="393">
        <v>3006725860101</v>
      </c>
      <c r="AC57" s="407"/>
    </row>
    <row r="58" spans="1:29">
      <c r="A58" s="26" t="e">
        <f>+#REF!+1</f>
        <v>#REF!</v>
      </c>
      <c r="B58" s="418" t="str">
        <f>+'Nomina Unhesa'!B77</f>
        <v>Marroquin Cruz Kevin Omar</v>
      </c>
      <c r="C58" s="368" t="s">
        <v>828</v>
      </c>
      <c r="D58" s="1321" t="str">
        <f>+'Nomina Unhesa'!B77</f>
        <v>Marroquin Cruz Kevin Omar</v>
      </c>
      <c r="E58" s="244" t="str">
        <f>VLOOKUP(B58,distribucion!B$9:FK$227,2,0)</f>
        <v>Auxiliar de Bodega</v>
      </c>
      <c r="F58" s="221">
        <f>VLOOKUP($B58,'Nomina Unhesa'!$B$4:$AB$209,4,0)</f>
        <v>30</v>
      </c>
      <c r="G58" s="229">
        <f>VLOOKUP($B58,'Nomina Unhesa'!$B$4:$AB$209,6,0)</f>
        <v>3166.38</v>
      </c>
      <c r="H58" s="229">
        <f>VLOOKUP($B58,'Nomina Unhesa'!$B$4:$AB$209,7,0)</f>
        <v>490</v>
      </c>
      <c r="I58" s="229">
        <f>VLOOKUP($B58,'Nomina Unhesa'!$B$4:$AB$209,9,0)</f>
        <v>34</v>
      </c>
      <c r="J58" s="234">
        <f>VLOOKUP($B58,'Nomina Unhesa'!$B$4:$AB$209,10,0)</f>
        <v>672.86</v>
      </c>
      <c r="K58" s="229">
        <f>VLOOKUP($B58,'Nomina Unhesa'!$B$4:$AB$209,11,0)</f>
        <v>0</v>
      </c>
      <c r="L58" s="229">
        <f>VLOOKUP($B58,'Nomina Unhesa'!$B$4:$AB$209,12,0)</f>
        <v>0</v>
      </c>
      <c r="M58" s="229">
        <f>VLOOKUP($B58,'Nomina Unhesa'!$B$4:$AB$209,14,0)</f>
        <v>0</v>
      </c>
      <c r="N58" s="234">
        <f>VLOOKUP($B58,'Nomina Unhesa'!$B$4:$AB$209,15,0)</f>
        <v>4329.24</v>
      </c>
      <c r="O58" s="234">
        <f>VLOOKUP($B58,'Nomina Unhesa'!$B$4:$AB$209,16,0)</f>
        <v>185.44</v>
      </c>
      <c r="P58" s="234">
        <f>VLOOKUP($B58,'Nomina Unhesa'!$B$4:$AB$209,17,0)</f>
        <v>0</v>
      </c>
      <c r="Q58" s="234">
        <f>VLOOKUP($B58,'Nomina Unhesa'!$B$4:$AB$209,18,0)</f>
        <v>0</v>
      </c>
      <c r="R58" s="234">
        <f>VLOOKUP($B58,'Nomina Unhesa'!$B$4:$AB$209,19,0)</f>
        <v>0</v>
      </c>
      <c r="S58" s="234">
        <f>VLOOKUP($B58,'Nomina Unhesa'!$B$4:$AB$209,20,0)</f>
        <v>0</v>
      </c>
      <c r="T58" s="234">
        <f>VLOOKUP($B58,'Nomina Unhesa'!$B$4:$AB$209,21,0)</f>
        <v>0</v>
      </c>
      <c r="U58" s="234">
        <f>VLOOKUP($B58,'Nomina Unhesa'!$B$4:$AB$209,22,0)</f>
        <v>0</v>
      </c>
      <c r="V58" s="234">
        <f>ROUND((VLOOKUP($B58,'Nomina Unhesa'!$B$4:$AB$209,23,0)),2)</f>
        <v>50</v>
      </c>
      <c r="W58" s="234">
        <f>VLOOKUP($B58,'Nomina Unhesa'!$B$4:$AB$209,24,0)</f>
        <v>235.44</v>
      </c>
      <c r="X58" s="234">
        <f>VLOOKUP(B58,'Nomina Unhesa'!$B$9:$Z$163,25,FALSE)</f>
        <v>4093.7999999999997</v>
      </c>
      <c r="Y58" s="234">
        <f>ROUND((VLOOKUP(B58,'Nomina Unhesa'!$B$9:$AB$157,26,FALSE)),2)</f>
        <v>1631.72</v>
      </c>
      <c r="Z58" s="400">
        <f>VLOOKUP(B58,'Nomina Unhesa'!$B$9:$AB$158,27,FALSE)</f>
        <v>2462.08</v>
      </c>
      <c r="AA58" s="446"/>
      <c r="AB58" s="393">
        <v>3006725860101</v>
      </c>
      <c r="AC58" s="407"/>
    </row>
    <row r="59" spans="1:29">
      <c r="A59" s="26" t="e">
        <f t="shared" si="0"/>
        <v>#REF!</v>
      </c>
      <c r="B59" s="418" t="str">
        <f>+'Nomina Unhesa'!B28</f>
        <v>Cruz Salguero Aramis Antonio</v>
      </c>
      <c r="C59" s="368" t="s">
        <v>829</v>
      </c>
      <c r="D59" s="1321" t="str">
        <f>+'Nomina Unhesa'!B28</f>
        <v>Cruz Salguero Aramis Antonio</v>
      </c>
      <c r="E59" s="244" t="str">
        <f>VLOOKUP(B59,distribucion!B$9:FK$227,2,0)</f>
        <v>Auxiliar Contable</v>
      </c>
      <c r="F59" s="221">
        <f>VLOOKUP($B59,'Nomina Unhesa'!$B$4:$AB$209,4,0)</f>
        <v>30</v>
      </c>
      <c r="G59" s="229">
        <f>VLOOKUP($B59,'Nomina Unhesa'!$B$4:$AB$209,6,0)</f>
        <v>3166.38</v>
      </c>
      <c r="H59" s="229">
        <f>VLOOKUP($B59,'Nomina Unhesa'!$B$4:$AB$209,7,0)</f>
        <v>833.62</v>
      </c>
      <c r="I59" s="229">
        <f>VLOOKUP($B59,'Nomina Unhesa'!$B$4:$AB$209,9,0)</f>
        <v>0</v>
      </c>
      <c r="J59" s="234">
        <f>VLOOKUP($B59,'Nomina Unhesa'!$B$4:$AB$209,10,0)</f>
        <v>0</v>
      </c>
      <c r="K59" s="229">
        <f>VLOOKUP($B59,'Nomina Unhesa'!$B$4:$AB$209,11,0)</f>
        <v>0</v>
      </c>
      <c r="L59" s="229">
        <f>VLOOKUP($B59,'Nomina Unhesa'!$B$4:$AB$209,12,0)</f>
        <v>0</v>
      </c>
      <c r="M59" s="229">
        <f>VLOOKUP($B59,'Nomina Unhesa'!$B$4:$AB$209,14,0)</f>
        <v>0</v>
      </c>
      <c r="N59" s="234">
        <f>VLOOKUP($B59,'Nomina Unhesa'!$B$4:$AB$209,15,0)</f>
        <v>4000</v>
      </c>
      <c r="O59" s="234">
        <f>VLOOKUP($B59,'Nomina Unhesa'!$B$4:$AB$209,16,0)</f>
        <v>152.94</v>
      </c>
      <c r="P59" s="234">
        <f>VLOOKUP($B59,'Nomina Unhesa'!$B$4:$AB$209,17,0)</f>
        <v>0</v>
      </c>
      <c r="Q59" s="234">
        <f>VLOOKUP($B59,'Nomina Unhesa'!$B$4:$AB$209,18,0)</f>
        <v>0</v>
      </c>
      <c r="R59" s="234">
        <f>VLOOKUP($B59,'Nomina Unhesa'!$B$4:$AB$209,19,0)</f>
        <v>0</v>
      </c>
      <c r="S59" s="234">
        <f>VLOOKUP($B59,'Nomina Unhesa'!$B$4:$AB$209,20,0)</f>
        <v>0</v>
      </c>
      <c r="T59" s="234">
        <f>VLOOKUP($B59,'Nomina Unhesa'!$B$4:$AB$209,21,0)</f>
        <v>0</v>
      </c>
      <c r="U59" s="234">
        <f>VLOOKUP($B59,'Nomina Unhesa'!$B$4:$AB$209,22,0)</f>
        <v>0</v>
      </c>
      <c r="V59" s="234">
        <f>ROUND((VLOOKUP($B59,'Nomina Unhesa'!$B$4:$AB$209,23,0)),2)</f>
        <v>50</v>
      </c>
      <c r="W59" s="234">
        <f>VLOOKUP($B59,'Nomina Unhesa'!$B$4:$AB$209,24,0)</f>
        <v>202.94</v>
      </c>
      <c r="X59" s="234">
        <f>VLOOKUP(B59,'Nomina Unhesa'!$B$9:$Z$163,25,FALSE)</f>
        <v>3797.06</v>
      </c>
      <c r="Y59" s="234">
        <f>ROUND((VLOOKUP(B59,'Nomina Unhesa'!$B$9:$AB$157,26,FALSE)),2)</f>
        <v>1923.53</v>
      </c>
      <c r="Z59" s="400">
        <f>VLOOKUP(B59,'Nomina Unhesa'!$B$9:$AB$158,27,FALSE)</f>
        <v>1873.53</v>
      </c>
      <c r="AA59" s="446"/>
      <c r="AB59" s="393">
        <v>3006725860101</v>
      </c>
      <c r="AC59" s="407"/>
    </row>
  </sheetData>
  <sheetProtection selectLockedCells="1" selectUnlockedCells="1"/>
  <autoFilter ref="A2:XER38" xr:uid="{00000000-0009-0000-0000-000007000000}"/>
  <conditionalFormatting sqref="B60:B1048576 B1:B3">
    <cfRule type="duplicateValues" dxfId="80" priority="186"/>
  </conditionalFormatting>
  <conditionalFormatting sqref="B60:B1048576">
    <cfRule type="duplicateValues" dxfId="79" priority="167"/>
  </conditionalFormatting>
  <conditionalFormatting sqref="A60:B1048576 A1:B3 A4">
    <cfRule type="duplicateValues" dxfId="78" priority="868"/>
  </conditionalFormatting>
  <conditionalFormatting sqref="B60:B1048576 B1:B3">
    <cfRule type="duplicateValues" dxfId="77" priority="944"/>
  </conditionalFormatting>
  <conditionalFormatting sqref="B38">
    <cfRule type="duplicateValues" dxfId="76" priority="125"/>
  </conditionalFormatting>
  <conditionalFormatting sqref="B38">
    <cfRule type="duplicateValues" dxfId="75" priority="126"/>
  </conditionalFormatting>
  <conditionalFormatting sqref="B38">
    <cfRule type="duplicateValues" dxfId="74" priority="127"/>
  </conditionalFormatting>
  <conditionalFormatting sqref="B38">
    <cfRule type="duplicateValues" dxfId="73" priority="124"/>
  </conditionalFormatting>
  <conditionalFormatting sqref="B38">
    <cfRule type="duplicateValues" dxfId="72" priority="123"/>
  </conditionalFormatting>
  <conditionalFormatting sqref="B38">
    <cfRule type="duplicateValues" dxfId="71" priority="128"/>
  </conditionalFormatting>
  <conditionalFormatting sqref="D38">
    <cfRule type="duplicateValues" dxfId="70" priority="119"/>
  </conditionalFormatting>
  <conditionalFormatting sqref="D38">
    <cfRule type="duplicateValues" dxfId="69" priority="120"/>
  </conditionalFormatting>
  <conditionalFormatting sqref="D38">
    <cfRule type="duplicateValues" dxfId="68" priority="121"/>
  </conditionalFormatting>
  <conditionalFormatting sqref="D38">
    <cfRule type="duplicateValues" dxfId="67" priority="118"/>
  </conditionalFormatting>
  <conditionalFormatting sqref="D38">
    <cfRule type="duplicateValues" dxfId="66" priority="117"/>
  </conditionalFormatting>
  <conditionalFormatting sqref="D38">
    <cfRule type="duplicateValues" dxfId="65" priority="122"/>
  </conditionalFormatting>
  <conditionalFormatting sqref="B39">
    <cfRule type="duplicateValues" dxfId="64" priority="101"/>
  </conditionalFormatting>
  <conditionalFormatting sqref="D39">
    <cfRule type="duplicateValues" dxfId="63" priority="102"/>
  </conditionalFormatting>
  <conditionalFormatting sqref="B40">
    <cfRule type="duplicateValues" dxfId="62" priority="98"/>
  </conditionalFormatting>
  <conditionalFormatting sqref="D40">
    <cfRule type="duplicateValues" dxfId="61" priority="99"/>
  </conditionalFormatting>
  <conditionalFormatting sqref="B41">
    <cfRule type="duplicateValues" dxfId="60" priority="95"/>
  </conditionalFormatting>
  <conditionalFormatting sqref="D41">
    <cfRule type="duplicateValues" dxfId="59" priority="96"/>
  </conditionalFormatting>
  <conditionalFormatting sqref="B42">
    <cfRule type="duplicateValues" dxfId="58" priority="88"/>
  </conditionalFormatting>
  <conditionalFormatting sqref="D42">
    <cfRule type="duplicateValues" dxfId="57" priority="89"/>
  </conditionalFormatting>
  <conditionalFormatting sqref="C39">
    <cfRule type="duplicateValues" dxfId="56" priority="87"/>
  </conditionalFormatting>
  <conditionalFormatting sqref="B43">
    <cfRule type="duplicateValues" dxfId="55" priority="84"/>
  </conditionalFormatting>
  <conditionalFormatting sqref="D43">
    <cfRule type="duplicateValues" dxfId="54" priority="85"/>
  </conditionalFormatting>
  <conditionalFormatting sqref="B44">
    <cfRule type="duplicateValues" dxfId="53" priority="72"/>
  </conditionalFormatting>
  <conditionalFormatting sqref="D44">
    <cfRule type="duplicateValues" dxfId="52" priority="73"/>
  </conditionalFormatting>
  <conditionalFormatting sqref="B45">
    <cfRule type="duplicateValues" dxfId="51" priority="66"/>
  </conditionalFormatting>
  <conditionalFormatting sqref="D45">
    <cfRule type="duplicateValues" dxfId="50" priority="67"/>
  </conditionalFormatting>
  <conditionalFormatting sqref="B37">
    <cfRule type="duplicateValues" dxfId="49" priority="4810"/>
    <cfRule type="duplicateValues" dxfId="48" priority="4811"/>
  </conditionalFormatting>
  <conditionalFormatting sqref="B37">
    <cfRule type="duplicateValues" dxfId="47" priority="4812"/>
  </conditionalFormatting>
  <conditionalFormatting sqref="D35:D36">
    <cfRule type="duplicateValues" dxfId="46" priority="4824"/>
  </conditionalFormatting>
  <conditionalFormatting sqref="D35:D36">
    <cfRule type="duplicateValues" dxfId="45" priority="4826"/>
  </conditionalFormatting>
  <conditionalFormatting sqref="B46">
    <cfRule type="duplicateValues" dxfId="44" priority="60"/>
  </conditionalFormatting>
  <conditionalFormatting sqref="D46">
    <cfRule type="duplicateValues" dxfId="43" priority="61"/>
  </conditionalFormatting>
  <conditionalFormatting sqref="B47">
    <cfRule type="duplicateValues" dxfId="42" priority="54"/>
  </conditionalFormatting>
  <conditionalFormatting sqref="D47">
    <cfRule type="duplicateValues" dxfId="41" priority="55"/>
  </conditionalFormatting>
  <conditionalFormatting sqref="B48">
    <cfRule type="duplicateValues" dxfId="40" priority="51"/>
  </conditionalFormatting>
  <conditionalFormatting sqref="D48">
    <cfRule type="duplicateValues" dxfId="39" priority="52"/>
  </conditionalFormatting>
  <conditionalFormatting sqref="A5">
    <cfRule type="duplicateValues" dxfId="38" priority="5466"/>
  </conditionalFormatting>
  <conditionalFormatting sqref="B49">
    <cfRule type="duplicateValues" dxfId="37" priority="47"/>
  </conditionalFormatting>
  <conditionalFormatting sqref="D49">
    <cfRule type="duplicateValues" dxfId="36" priority="48"/>
  </conditionalFormatting>
  <conditionalFormatting sqref="B50">
    <cfRule type="duplicateValues" dxfId="35" priority="44"/>
  </conditionalFormatting>
  <conditionalFormatting sqref="D50">
    <cfRule type="duplicateValues" dxfId="34" priority="45"/>
  </conditionalFormatting>
  <conditionalFormatting sqref="B51:B52">
    <cfRule type="duplicateValues" dxfId="33" priority="40"/>
  </conditionalFormatting>
  <conditionalFormatting sqref="D51:D52">
    <cfRule type="duplicateValues" dxfId="32" priority="41"/>
  </conditionalFormatting>
  <conditionalFormatting sqref="B53">
    <cfRule type="duplicateValues" dxfId="31" priority="33"/>
  </conditionalFormatting>
  <conditionalFormatting sqref="D53">
    <cfRule type="duplicateValues" dxfId="30" priority="34"/>
  </conditionalFormatting>
  <conditionalFormatting sqref="B54">
    <cfRule type="duplicateValues" dxfId="29" priority="30"/>
  </conditionalFormatting>
  <conditionalFormatting sqref="D54">
    <cfRule type="duplicateValues" dxfId="28" priority="31"/>
  </conditionalFormatting>
  <conditionalFormatting sqref="B55">
    <cfRule type="duplicateValues" dxfId="27" priority="27"/>
  </conditionalFormatting>
  <conditionalFormatting sqref="D55">
    <cfRule type="duplicateValues" dxfId="26" priority="28"/>
  </conditionalFormatting>
  <conditionalFormatting sqref="B56">
    <cfRule type="duplicateValues" dxfId="25" priority="24"/>
  </conditionalFormatting>
  <conditionalFormatting sqref="D56">
    <cfRule type="duplicateValues" dxfId="24" priority="25"/>
  </conditionalFormatting>
  <conditionalFormatting sqref="B57">
    <cfRule type="duplicateValues" dxfId="23" priority="21"/>
  </conditionalFormatting>
  <conditionalFormatting sqref="D57">
    <cfRule type="duplicateValues" dxfId="22" priority="22"/>
  </conditionalFormatting>
  <conditionalFormatting sqref="D37">
    <cfRule type="duplicateValues" dxfId="21" priority="6049"/>
    <cfRule type="duplicateValues" dxfId="20" priority="6050"/>
  </conditionalFormatting>
  <conditionalFormatting sqref="D37">
    <cfRule type="duplicateValues" dxfId="19" priority="6051"/>
  </conditionalFormatting>
  <conditionalFormatting sqref="B58">
    <cfRule type="duplicateValues" dxfId="18" priority="15"/>
  </conditionalFormatting>
  <conditionalFormatting sqref="D58">
    <cfRule type="duplicateValues" dxfId="17" priority="16"/>
  </conditionalFormatting>
  <conditionalFormatting sqref="B59">
    <cfRule type="duplicateValues" dxfId="16" priority="5"/>
  </conditionalFormatting>
  <conditionalFormatting sqref="D59">
    <cfRule type="duplicateValues" dxfId="15" priority="6"/>
  </conditionalFormatting>
  <conditionalFormatting sqref="A59">
    <cfRule type="duplicateValues" dxfId="14" priority="4"/>
  </conditionalFormatting>
  <conditionalFormatting sqref="D3:D34">
    <cfRule type="duplicateValues" dxfId="13" priority="7046"/>
  </conditionalFormatting>
  <conditionalFormatting sqref="D3:D34">
    <cfRule type="duplicateValues" dxfId="12" priority="7048"/>
  </conditionalFormatting>
  <conditionalFormatting sqref="B4:B36">
    <cfRule type="duplicateValues" dxfId="11" priority="7050"/>
  </conditionalFormatting>
  <conditionalFormatting sqref="B4:B36">
    <cfRule type="duplicateValues" dxfId="10" priority="7052"/>
  </conditionalFormatting>
  <conditionalFormatting sqref="A6:A58">
    <cfRule type="duplicateValues" dxfId="9" priority="7589"/>
  </conditionalFormatting>
  <pageMargins left="0.7" right="0.7" top="0.75" bottom="0.75" header="0.51180555555555551" footer="0.51180555555555551"/>
  <pageSetup firstPageNumber="0"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6"/>
  <dimension ref="A1:AC156"/>
  <sheetViews>
    <sheetView showGridLines="0" workbookViewId="0">
      <pane xSplit="6" ySplit="6" topLeftCell="G7" activePane="bottomRight" state="frozen"/>
      <selection pane="topRight" activeCell="W1" sqref="W1"/>
      <selection pane="bottomLeft" activeCell="A19" sqref="A19"/>
      <selection pane="bottomRight" activeCell="B19" sqref="B19"/>
    </sheetView>
  </sheetViews>
  <sheetFormatPr baseColWidth="10" defaultColWidth="11.42578125" defaultRowHeight="11.25"/>
  <cols>
    <col min="1" max="1" width="7" style="4" customWidth="1"/>
    <col min="2" max="2" width="28.7109375" style="4" customWidth="1"/>
    <col min="3" max="3" width="13.140625" style="4" customWidth="1"/>
    <col min="4" max="4" width="11.42578125" style="4" customWidth="1"/>
    <col min="5" max="5" width="7.5703125" style="4" customWidth="1"/>
    <col min="6" max="6" width="14.5703125" style="78" customWidth="1"/>
    <col min="7" max="7" width="14.140625" style="79" customWidth="1"/>
    <col min="8" max="8" width="15.28515625" style="79" customWidth="1"/>
    <col min="9" max="9" width="11.140625" style="79" customWidth="1"/>
    <col min="10" max="13" width="9" style="79" customWidth="1"/>
    <col min="14" max="16" width="10.5703125" style="79" customWidth="1"/>
    <col min="17" max="17" width="8.7109375" style="79" customWidth="1"/>
    <col min="18" max="18" width="9.42578125" style="79" customWidth="1"/>
    <col min="19" max="22" width="11.42578125" style="79" customWidth="1"/>
    <col min="23" max="23" width="12.5703125" style="79" customWidth="1"/>
    <col min="24" max="24" width="12" style="79" customWidth="1"/>
    <col min="25" max="25" width="12.140625" style="79" customWidth="1"/>
    <col min="26" max="27" width="13.28515625" style="79" customWidth="1"/>
    <col min="28" max="28" width="12.140625" style="19" hidden="1" customWidth="1"/>
    <col min="29" max="29" width="10" style="4" hidden="1" customWidth="1"/>
    <col min="30" max="16384" width="11.42578125" style="4"/>
  </cols>
  <sheetData>
    <row r="1" spans="1:29">
      <c r="B1" s="4">
        <v>1</v>
      </c>
      <c r="C1" s="4">
        <v>2</v>
      </c>
      <c r="D1" s="4">
        <v>3</v>
      </c>
      <c r="E1" s="4">
        <v>4</v>
      </c>
      <c r="F1" s="4">
        <v>5</v>
      </c>
      <c r="G1" s="19">
        <v>6</v>
      </c>
      <c r="H1" s="19">
        <v>7</v>
      </c>
      <c r="I1" s="19">
        <v>8</v>
      </c>
      <c r="J1" s="19">
        <v>9</v>
      </c>
      <c r="K1" s="19">
        <v>10</v>
      </c>
      <c r="L1" s="19">
        <v>11</v>
      </c>
      <c r="M1" s="19">
        <v>12</v>
      </c>
      <c r="N1" s="19">
        <v>13</v>
      </c>
      <c r="O1" s="19">
        <v>14</v>
      </c>
      <c r="P1" s="19">
        <v>15</v>
      </c>
      <c r="Q1" s="19">
        <v>16</v>
      </c>
      <c r="R1" s="19">
        <v>17</v>
      </c>
      <c r="S1" s="19">
        <v>18</v>
      </c>
      <c r="T1" s="19">
        <v>19</v>
      </c>
      <c r="U1" s="19">
        <v>20</v>
      </c>
      <c r="V1" s="19">
        <v>21</v>
      </c>
      <c r="W1" s="19">
        <v>22</v>
      </c>
      <c r="X1" s="19">
        <v>23</v>
      </c>
      <c r="Y1" s="19">
        <v>24</v>
      </c>
      <c r="Z1" s="19">
        <v>25</v>
      </c>
      <c r="AA1" s="19">
        <v>26</v>
      </c>
      <c r="AB1" s="19">
        <v>27</v>
      </c>
    </row>
    <row r="2" spans="1:29" ht="15.75">
      <c r="A2" s="6" t="s">
        <v>332</v>
      </c>
      <c r="C2" s="9"/>
      <c r="F2" s="4"/>
      <c r="G2" s="80"/>
      <c r="H2" s="80"/>
      <c r="I2" s="80"/>
      <c r="J2" s="80"/>
      <c r="K2" s="80"/>
      <c r="L2" s="80"/>
      <c r="M2" s="80"/>
      <c r="N2" s="80"/>
      <c r="O2" s="80"/>
      <c r="P2" s="80"/>
      <c r="Q2" s="80"/>
      <c r="R2" s="80"/>
      <c r="S2" s="80"/>
      <c r="T2" s="80"/>
      <c r="U2" s="80"/>
      <c r="V2" s="80"/>
      <c r="W2" s="80"/>
      <c r="X2" s="80"/>
      <c r="Y2" s="80"/>
      <c r="Z2" s="80"/>
      <c r="AA2" s="80"/>
    </row>
    <row r="3" spans="1:29" ht="15.75">
      <c r="A3" s="8" t="str">
        <f>+distribucion!B3</f>
        <v>NOMINA MES DE: ENERO   2,023  2da Quincena)</v>
      </c>
      <c r="C3" s="9"/>
      <c r="F3" s="4"/>
      <c r="G3" s="80"/>
      <c r="H3" s="80"/>
      <c r="I3" s="80"/>
      <c r="J3" s="80"/>
      <c r="K3" s="80"/>
      <c r="L3" s="80"/>
      <c r="M3" s="80"/>
      <c r="N3" s="80"/>
      <c r="O3" s="80"/>
      <c r="P3" s="80"/>
      <c r="Q3" s="80"/>
      <c r="R3" s="80"/>
      <c r="S3" s="80"/>
      <c r="T3" s="80"/>
      <c r="U3" s="80"/>
      <c r="V3" s="80"/>
      <c r="W3" s="80"/>
      <c r="X3" s="80"/>
      <c r="Y3" s="80"/>
      <c r="Z3" s="80"/>
      <c r="AA3" s="80"/>
    </row>
    <row r="4" spans="1:29" s="10" customFormat="1" ht="15" customHeight="1">
      <c r="A4" s="2293" t="s">
        <v>207</v>
      </c>
      <c r="B4" s="2294" t="s">
        <v>37</v>
      </c>
      <c r="C4" s="2295" t="s">
        <v>38</v>
      </c>
      <c r="D4" s="2296" t="s">
        <v>208</v>
      </c>
      <c r="E4" s="2297" t="s">
        <v>209</v>
      </c>
      <c r="F4" s="2292" t="s">
        <v>210</v>
      </c>
      <c r="G4" s="2291" t="s">
        <v>211</v>
      </c>
      <c r="H4" s="2288" t="s">
        <v>212</v>
      </c>
      <c r="I4" s="2288" t="s">
        <v>213</v>
      </c>
      <c r="J4" s="2288" t="s">
        <v>214</v>
      </c>
      <c r="K4" s="2288" t="s">
        <v>215</v>
      </c>
      <c r="L4" s="2288" t="s">
        <v>216</v>
      </c>
      <c r="M4" s="2288" t="s">
        <v>217</v>
      </c>
      <c r="N4" s="2289" t="s">
        <v>411</v>
      </c>
      <c r="O4" s="2289" t="s">
        <v>219</v>
      </c>
      <c r="P4" s="2289" t="s">
        <v>220</v>
      </c>
      <c r="Q4" s="2289" t="s">
        <v>31</v>
      </c>
      <c r="R4" s="2290" t="s">
        <v>453</v>
      </c>
      <c r="S4" s="2289" t="s">
        <v>221</v>
      </c>
      <c r="T4" s="2289" t="s">
        <v>35</v>
      </c>
      <c r="U4" s="2289" t="s">
        <v>34</v>
      </c>
      <c r="V4" s="2289" t="s">
        <v>33</v>
      </c>
      <c r="W4" s="2289" t="s">
        <v>222</v>
      </c>
      <c r="X4" s="2289" t="s">
        <v>223</v>
      </c>
      <c r="Y4" s="2288" t="s">
        <v>224</v>
      </c>
      <c r="Z4" s="2288" t="s">
        <v>225</v>
      </c>
      <c r="AA4" s="2288" t="s">
        <v>226</v>
      </c>
      <c r="AB4" s="81"/>
    </row>
    <row r="5" spans="1:29">
      <c r="A5" s="2293"/>
      <c r="B5" s="2294"/>
      <c r="C5" s="2294"/>
      <c r="D5" s="2296"/>
      <c r="E5" s="2297"/>
      <c r="F5" s="2292"/>
      <c r="G5" s="2291"/>
      <c r="H5" s="2288"/>
      <c r="I5" s="2288"/>
      <c r="J5" s="2288"/>
      <c r="K5" s="2288"/>
      <c r="L5" s="2288"/>
      <c r="M5" s="2288"/>
      <c r="N5" s="2289"/>
      <c r="O5" s="2289"/>
      <c r="P5" s="2289"/>
      <c r="Q5" s="2289"/>
      <c r="R5" s="2290"/>
      <c r="S5" s="2289"/>
      <c r="T5" s="2289"/>
      <c r="U5" s="2289"/>
      <c r="V5" s="2289"/>
      <c r="W5" s="2289"/>
      <c r="X5" s="2289"/>
      <c r="Y5" s="2288"/>
      <c r="Z5" s="2288"/>
      <c r="AA5" s="2288"/>
      <c r="AB5" s="18"/>
    </row>
    <row r="6" spans="1:29">
      <c r="A6" s="2293"/>
      <c r="B6" s="2294"/>
      <c r="C6" s="2295"/>
      <c r="D6" s="2296"/>
      <c r="E6" s="2297"/>
      <c r="F6" s="2292"/>
      <c r="G6" s="2291"/>
      <c r="H6" s="2288"/>
      <c r="I6" s="2288"/>
      <c r="J6" s="2288"/>
      <c r="K6" s="2288"/>
      <c r="L6" s="2288"/>
      <c r="M6" s="2288"/>
      <c r="N6" s="2289"/>
      <c r="O6" s="2289"/>
      <c r="P6" s="2289"/>
      <c r="Q6" s="2289"/>
      <c r="R6" s="2290"/>
      <c r="S6" s="2289"/>
      <c r="T6" s="2289"/>
      <c r="U6" s="2289"/>
      <c r="V6" s="2289"/>
      <c r="W6" s="2289"/>
      <c r="X6" s="2289"/>
      <c r="Y6" s="2288"/>
      <c r="Z6" s="2288"/>
      <c r="AA6" s="2288"/>
      <c r="AB6" s="18"/>
    </row>
    <row r="7" spans="1:29" ht="12.75">
      <c r="A7" s="11"/>
      <c r="B7" s="82" t="s">
        <v>53</v>
      </c>
      <c r="C7" s="11"/>
      <c r="D7" s="61"/>
      <c r="E7" s="61"/>
      <c r="F7" s="16"/>
      <c r="G7" s="83"/>
      <c r="H7" s="83"/>
      <c r="I7" s="83"/>
      <c r="J7" s="83"/>
      <c r="K7" s="83"/>
      <c r="L7" s="83"/>
      <c r="M7" s="83"/>
      <c r="N7" s="84"/>
      <c r="O7" s="84"/>
      <c r="P7" s="84"/>
      <c r="Q7" s="84"/>
      <c r="R7" s="84"/>
      <c r="S7" s="84"/>
      <c r="T7" s="84"/>
      <c r="U7" s="84"/>
      <c r="V7" s="84"/>
      <c r="W7" s="84"/>
      <c r="X7" s="84"/>
      <c r="Y7" s="83"/>
      <c r="Z7" s="83"/>
      <c r="AA7" s="83"/>
      <c r="AB7" s="18"/>
    </row>
    <row r="8" spans="1:29" ht="12.75">
      <c r="A8" s="11"/>
      <c r="B8" s="13" t="s">
        <v>56</v>
      </c>
      <c r="C8" s="11"/>
      <c r="D8" s="61"/>
      <c r="E8" s="61"/>
      <c r="F8" s="16"/>
      <c r="G8" s="83"/>
      <c r="H8" s="83"/>
      <c r="I8" s="83"/>
      <c r="J8" s="83"/>
      <c r="K8" s="83"/>
      <c r="L8" s="83"/>
      <c r="M8" s="83"/>
      <c r="N8" s="84"/>
      <c r="O8" s="84"/>
      <c r="P8" s="84"/>
      <c r="Q8" s="84"/>
      <c r="R8" s="84"/>
      <c r="S8" s="84"/>
      <c r="T8" s="84"/>
      <c r="U8" s="84"/>
      <c r="V8" s="84"/>
      <c r="W8" s="84"/>
      <c r="X8" s="84"/>
      <c r="Y8" s="83"/>
      <c r="Z8" s="83"/>
      <c r="AA8" s="83"/>
      <c r="AB8" s="18"/>
      <c r="AC8" s="120">
        <f>Y8-Z8-AA8</f>
        <v>0</v>
      </c>
    </row>
    <row r="9" spans="1:29" s="132" customFormat="1">
      <c r="A9" s="147">
        <v>1</v>
      </c>
      <c r="B9" s="129">
        <v>0</v>
      </c>
      <c r="C9" s="130" t="e">
        <f>VLOOKUP(B9,distribucion!B$9:FK$200,2,0)</f>
        <v>#N/A</v>
      </c>
      <c r="D9" s="130" t="e">
        <f>G9+K9+M9</f>
        <v>#N/A</v>
      </c>
      <c r="E9" s="133" t="e">
        <f>VLOOKUP(B9,distribucion!B$9:FK$200,7,0)</f>
        <v>#N/A</v>
      </c>
      <c r="F9" s="131" t="e">
        <f>VLOOKUP(B9,distribucion!$B$9:$DQ$288,14,0)</f>
        <v>#N/A</v>
      </c>
      <c r="G9" s="148" t="e">
        <f>ROUND((VLOOKUP(B9,distribucion!B$9:FK$200,121,0)),2)</f>
        <v>#N/A</v>
      </c>
      <c r="H9" s="148" t="e">
        <f>ROUND((VLOOKUP(B9,distribucion!B$9:FK$200,122,0)),2)</f>
        <v>#N/A</v>
      </c>
      <c r="I9" s="126" t="e">
        <f>G9+H9</f>
        <v>#N/A</v>
      </c>
      <c r="J9" s="126" t="e">
        <f>VLOOKUP(B9,distribucion!B$9:FK$200,123,0)</f>
        <v>#N/A</v>
      </c>
      <c r="K9" s="126" t="e">
        <f>ROUND((VLOOKUP(B9,distribucion!B$9:FK$200,124,0)),2)</f>
        <v>#N/A</v>
      </c>
      <c r="L9" s="126" t="e">
        <f>VLOOKUP(B9,distribucion!B$9:FK$200,125,0)</f>
        <v>#N/A</v>
      </c>
      <c r="M9" s="126" t="e">
        <f>ROUND((VLOOKUP(B9,distribucion!B$9:FK$200,126,0)),2)</f>
        <v>#N/A</v>
      </c>
      <c r="N9" s="126" t="e">
        <f>ROUND((VLOOKUP(B9,distribucion!B$9:FK$200,127,0)),2)</f>
        <v>#N/A</v>
      </c>
      <c r="O9" s="126" t="e">
        <f>SUM(I9:N9)-J9-L9</f>
        <v>#N/A</v>
      </c>
      <c r="P9" s="126">
        <v>0</v>
      </c>
      <c r="Q9" s="126" t="e">
        <f>ROUND((VLOOKUP(B9,distribucion!B$9:FK$200,148,0)),2)</f>
        <v>#N/A</v>
      </c>
      <c r="R9" s="126" t="e">
        <f>ROUND((VLOOKUP(B9,distribucion!B$9:FK$200,149,0)),2)</f>
        <v>#N/A</v>
      </c>
      <c r="S9" s="126">
        <v>0</v>
      </c>
      <c r="T9" s="126" t="e">
        <f>ROUND((VLOOKUP(B9,distribucion!B1:FE228,153,0)),2)</f>
        <v>#N/A</v>
      </c>
      <c r="U9" s="126" t="e">
        <f>ROUND((VLOOKUP(B9,distribucion!B1:FE228,152,0)),2)</f>
        <v>#N/A</v>
      </c>
      <c r="V9" s="126" t="e">
        <f>ROUND((VLOOKUP(B9,distribucion!B1:FE228,151,0)),2)</f>
        <v>#N/A</v>
      </c>
      <c r="W9" s="126" t="e">
        <f>ROUND((VLOOKUP(B9,distribucion!B$9:FK$200,154,0)),2)</f>
        <v>#N/A</v>
      </c>
      <c r="X9" s="126" t="e">
        <f>SUM(P9:W9)</f>
        <v>#N/A</v>
      </c>
      <c r="Y9" s="126" t="e">
        <f>O9-X9</f>
        <v>#N/A</v>
      </c>
      <c r="Z9" s="126">
        <v>0</v>
      </c>
      <c r="AA9" s="126">
        <v>0</v>
      </c>
      <c r="AB9" s="145">
        <v>20000</v>
      </c>
      <c r="AC9" s="146">
        <f>+AA9-AB9</f>
        <v>-20000</v>
      </c>
    </row>
    <row r="10" spans="1:29" ht="12" thickBot="1">
      <c r="A10" s="11"/>
      <c r="B10" s="11"/>
      <c r="C10" s="11"/>
      <c r="D10" s="61"/>
      <c r="E10" s="61"/>
      <c r="F10" s="16"/>
      <c r="G10" s="85" t="e">
        <f>SUM(G9)</f>
        <v>#N/A</v>
      </c>
      <c r="H10" s="86" t="e">
        <f>SUM(H9)</f>
        <v>#N/A</v>
      </c>
      <c r="I10" s="86" t="e">
        <f>SUM(I9)</f>
        <v>#N/A</v>
      </c>
      <c r="J10" s="86" t="e">
        <f t="shared" ref="J10:X10" si="0">SUM(J9)</f>
        <v>#N/A</v>
      </c>
      <c r="K10" s="86" t="e">
        <f t="shared" si="0"/>
        <v>#N/A</v>
      </c>
      <c r="L10" s="86" t="e">
        <f t="shared" si="0"/>
        <v>#N/A</v>
      </c>
      <c r="M10" s="86" t="e">
        <f t="shared" si="0"/>
        <v>#N/A</v>
      </c>
      <c r="N10" s="86" t="e">
        <f t="shared" si="0"/>
        <v>#N/A</v>
      </c>
      <c r="O10" s="86" t="e">
        <f>SUM(O9)</f>
        <v>#N/A</v>
      </c>
      <c r="P10" s="86">
        <f t="shared" si="0"/>
        <v>0</v>
      </c>
      <c r="Q10" s="86" t="e">
        <f t="shared" si="0"/>
        <v>#N/A</v>
      </c>
      <c r="R10" s="86" t="e">
        <f t="shared" si="0"/>
        <v>#N/A</v>
      </c>
      <c r="S10" s="86">
        <f t="shared" si="0"/>
        <v>0</v>
      </c>
      <c r="T10" s="86" t="e">
        <f t="shared" si="0"/>
        <v>#N/A</v>
      </c>
      <c r="U10" s="86" t="e">
        <f t="shared" si="0"/>
        <v>#N/A</v>
      </c>
      <c r="V10" s="86" t="e">
        <f t="shared" si="0"/>
        <v>#N/A</v>
      </c>
      <c r="W10" s="86" t="e">
        <f t="shared" si="0"/>
        <v>#N/A</v>
      </c>
      <c r="X10" s="86" t="e">
        <f t="shared" si="0"/>
        <v>#N/A</v>
      </c>
      <c r="Y10" s="86" t="e">
        <f>SUM(Y9)</f>
        <v>#N/A</v>
      </c>
      <c r="Z10" s="86">
        <f>SUM(Z9)</f>
        <v>0</v>
      </c>
      <c r="AA10" s="86">
        <f>SUM(AA9)</f>
        <v>0</v>
      </c>
      <c r="AB10" s="124" t="s">
        <v>404</v>
      </c>
      <c r="AC10" s="123" t="e">
        <f t="shared" ref="AC10:AC20" si="1">Y10-Z10-AA10</f>
        <v>#N/A</v>
      </c>
    </row>
    <row r="11" spans="1:29" ht="12" thickTop="1">
      <c r="A11" s="11"/>
      <c r="B11" s="11"/>
      <c r="C11" s="11"/>
      <c r="D11" s="61"/>
      <c r="E11" s="61"/>
      <c r="F11" s="16"/>
      <c r="G11" s="87"/>
      <c r="H11" s="87"/>
      <c r="I11" s="87"/>
      <c r="J11" s="87"/>
      <c r="K11" s="87"/>
      <c r="L11" s="87"/>
      <c r="M11" s="87"/>
      <c r="N11" s="87"/>
      <c r="O11" s="87"/>
      <c r="P11" s="87"/>
      <c r="Q11" s="87"/>
      <c r="R11" s="87"/>
      <c r="S11" s="87"/>
      <c r="T11" s="87"/>
      <c r="U11" s="87"/>
      <c r="V11" s="87"/>
      <c r="W11" s="87"/>
      <c r="X11" s="87"/>
      <c r="Y11" s="87"/>
      <c r="Z11" s="87"/>
      <c r="AA11" s="87"/>
      <c r="AB11" s="124" t="s">
        <v>404</v>
      </c>
      <c r="AC11" s="123">
        <f t="shared" si="1"/>
        <v>0</v>
      </c>
    </row>
    <row r="12" spans="1:29" ht="12.75">
      <c r="A12" s="7"/>
      <c r="B12" s="12" t="s">
        <v>85</v>
      </c>
      <c r="C12" s="7"/>
      <c r="D12" s="7"/>
      <c r="E12" s="63"/>
      <c r="F12" s="16"/>
      <c r="G12" s="66"/>
      <c r="H12" s="66"/>
      <c r="I12" s="66"/>
      <c r="J12" s="67"/>
      <c r="K12" s="66"/>
      <c r="L12" s="66"/>
      <c r="M12" s="66"/>
      <c r="N12" s="66"/>
      <c r="O12" s="66"/>
      <c r="P12" s="66"/>
      <c r="Q12" s="66"/>
      <c r="R12" s="66"/>
      <c r="S12" s="66"/>
      <c r="T12" s="66"/>
      <c r="U12" s="66"/>
      <c r="V12" s="66"/>
      <c r="W12" s="66"/>
      <c r="X12" s="66"/>
      <c r="Y12" s="66"/>
      <c r="Z12" s="66"/>
      <c r="AA12" s="66"/>
      <c r="AB12" s="124" t="s">
        <v>404</v>
      </c>
      <c r="AC12" s="123">
        <f t="shared" si="1"/>
        <v>0</v>
      </c>
    </row>
    <row r="13" spans="1:29" s="20" customFormat="1" ht="12.75">
      <c r="A13" s="7"/>
      <c r="B13" s="13" t="s">
        <v>89</v>
      </c>
      <c r="C13" s="7"/>
      <c r="D13" s="7"/>
      <c r="E13" s="63"/>
      <c r="F13" s="16"/>
      <c r="G13" s="66"/>
      <c r="H13" s="66"/>
      <c r="I13" s="66"/>
      <c r="J13" s="67"/>
      <c r="K13" s="66"/>
      <c r="L13" s="66"/>
      <c r="M13" s="66"/>
      <c r="N13" s="66"/>
      <c r="O13" s="66"/>
      <c r="P13" s="66"/>
      <c r="Q13" s="66"/>
      <c r="R13" s="66"/>
      <c r="S13" s="66"/>
      <c r="T13" s="66"/>
      <c r="U13" s="66"/>
      <c r="V13" s="66"/>
      <c r="W13" s="66"/>
      <c r="X13" s="66"/>
      <c r="Y13" s="66"/>
      <c r="Z13" s="66"/>
      <c r="AA13" s="66"/>
      <c r="AB13" s="124" t="s">
        <v>404</v>
      </c>
      <c r="AC13" s="123">
        <f t="shared" si="1"/>
        <v>0</v>
      </c>
    </row>
    <row r="14" spans="1:29" ht="12.75">
      <c r="A14" s="7"/>
      <c r="B14" s="82" t="s">
        <v>233</v>
      </c>
      <c r="C14" s="7"/>
      <c r="D14" s="7"/>
      <c r="E14" s="63"/>
      <c r="F14" s="16"/>
      <c r="G14" s="66"/>
      <c r="H14" s="66"/>
      <c r="I14" s="66"/>
      <c r="J14" s="67"/>
      <c r="K14" s="66"/>
      <c r="L14" s="66"/>
      <c r="M14" s="66"/>
      <c r="N14" s="66"/>
      <c r="O14" s="66"/>
      <c r="P14" s="66"/>
      <c r="Q14" s="66"/>
      <c r="R14" s="66"/>
      <c r="S14" s="66"/>
      <c r="T14" s="66"/>
      <c r="U14" s="66"/>
      <c r="V14" s="66"/>
      <c r="W14" s="66"/>
      <c r="X14" s="66"/>
      <c r="Y14" s="66"/>
      <c r="Z14" s="66"/>
      <c r="AA14" s="66"/>
      <c r="AB14" s="124" t="s">
        <v>404</v>
      </c>
      <c r="AC14" s="123">
        <f t="shared" si="1"/>
        <v>0</v>
      </c>
    </row>
    <row r="15" spans="1:29" ht="15">
      <c r="A15" s="21"/>
      <c r="B15" s="21"/>
      <c r="C15" s="21"/>
      <c r="D15" s="21"/>
      <c r="E15" s="64"/>
      <c r="F15" s="69"/>
      <c r="G15" s="122"/>
      <c r="H15" s="122"/>
      <c r="I15" s="122"/>
      <c r="J15" s="122"/>
      <c r="K15" s="122"/>
      <c r="L15" s="122"/>
      <c r="M15" s="122"/>
      <c r="N15" s="122"/>
      <c r="O15" s="122"/>
      <c r="P15" s="122"/>
      <c r="Q15" s="122"/>
      <c r="R15" s="122"/>
      <c r="S15" s="122"/>
      <c r="T15" s="122"/>
      <c r="U15" s="122"/>
      <c r="V15" s="122"/>
      <c r="W15" s="122"/>
      <c r="X15" s="122"/>
      <c r="Y15" s="122"/>
      <c r="Z15" s="122"/>
      <c r="AA15" s="122"/>
      <c r="AB15" s="124" t="s">
        <v>404</v>
      </c>
      <c r="AC15" s="123">
        <f t="shared" si="1"/>
        <v>0</v>
      </c>
    </row>
    <row r="16" spans="1:29" ht="15">
      <c r="A16" s="21"/>
      <c r="B16" s="13" t="s">
        <v>104</v>
      </c>
      <c r="C16" s="21"/>
      <c r="D16" s="21"/>
      <c r="E16" s="64"/>
      <c r="F16" s="69"/>
      <c r="G16" s="122"/>
      <c r="H16" s="122"/>
      <c r="I16" s="122"/>
      <c r="J16" s="122"/>
      <c r="K16" s="122"/>
      <c r="L16" s="122"/>
      <c r="M16" s="122"/>
      <c r="N16" s="122"/>
      <c r="O16" s="122"/>
      <c r="P16" s="122"/>
      <c r="Q16" s="122"/>
      <c r="R16" s="122"/>
      <c r="S16" s="122"/>
      <c r="T16" s="122"/>
      <c r="U16" s="122"/>
      <c r="V16" s="122"/>
      <c r="W16" s="122"/>
      <c r="X16" s="122"/>
      <c r="Y16" s="122"/>
      <c r="Z16" s="122"/>
      <c r="AA16" s="122"/>
      <c r="AB16" s="124" t="s">
        <v>404</v>
      </c>
      <c r="AC16" s="123">
        <f t="shared" si="1"/>
        <v>0</v>
      </c>
    </row>
    <row r="17" spans="1:29" ht="15">
      <c r="A17" s="21"/>
      <c r="B17" s="21" t="s">
        <v>387</v>
      </c>
      <c r="C17" s="21"/>
      <c r="D17" s="21"/>
      <c r="E17" s="64"/>
      <c r="F17" s="69"/>
      <c r="G17" s="122"/>
      <c r="H17" s="122"/>
      <c r="I17" s="122"/>
      <c r="J17" s="122"/>
      <c r="K17" s="122"/>
      <c r="L17" s="122"/>
      <c r="M17" s="122"/>
      <c r="N17" s="122"/>
      <c r="O17" s="122"/>
      <c r="P17" s="122"/>
      <c r="Q17" s="122"/>
      <c r="R17" s="122"/>
      <c r="S17" s="122"/>
      <c r="T17" s="122"/>
      <c r="U17" s="122"/>
      <c r="V17" s="122"/>
      <c r="W17" s="122"/>
      <c r="X17" s="122"/>
      <c r="Y17" s="122"/>
      <c r="Z17" s="122"/>
      <c r="AA17" s="122"/>
      <c r="AB17" s="124" t="s">
        <v>404</v>
      </c>
      <c r="AC17" s="123">
        <f t="shared" si="1"/>
        <v>0</v>
      </c>
    </row>
    <row r="18" spans="1:29" s="8" customFormat="1">
      <c r="A18" s="7">
        <v>2</v>
      </c>
      <c r="B18" s="22">
        <v>0</v>
      </c>
      <c r="C18" s="15" t="e">
        <f>VLOOKUP(B18,distribucion!B$9:FK$200,2,0)</f>
        <v>#N/A</v>
      </c>
      <c r="D18" s="15" t="e">
        <f>G18+K18+M18</f>
        <v>#N/A</v>
      </c>
      <c r="E18" s="63" t="e">
        <f>VLOOKUP(B18,distribucion!B$9:FK$200,7,0)</f>
        <v>#N/A</v>
      </c>
      <c r="F18" s="16" t="e">
        <f>VLOOKUP(B18,distribucion!$B$9:$DQ$288,14,0)</f>
        <v>#N/A</v>
      </c>
      <c r="G18" s="67" t="e">
        <f>ROUND((VLOOKUP(B18,distribucion!B$9:FK$200,121,0)),2)</f>
        <v>#N/A</v>
      </c>
      <c r="H18" s="67" t="e">
        <f>ROUND((VLOOKUP(B18,distribucion!B$9:FK$200,122,0)),2)</f>
        <v>#N/A</v>
      </c>
      <c r="I18" s="62" t="e">
        <f>G18+H18</f>
        <v>#N/A</v>
      </c>
      <c r="J18" s="62" t="e">
        <f>VLOOKUP(B18,distribucion!B$9:FK$200,123,0)</f>
        <v>#N/A</v>
      </c>
      <c r="K18" s="62" t="e">
        <f>ROUND((VLOOKUP(B18,distribucion!B$9:FK$200,124,0)),2)</f>
        <v>#N/A</v>
      </c>
      <c r="L18" s="62" t="e">
        <f>VLOOKUP(B18,distribucion!B$9:FK$200,125,0)</f>
        <v>#N/A</v>
      </c>
      <c r="M18" s="62" t="e">
        <f>ROUND((VLOOKUP(B18,distribucion!B$9:FK$200,126,0)),2)</f>
        <v>#N/A</v>
      </c>
      <c r="N18" s="62" t="e">
        <f>ROUND((VLOOKUP(B18,distribucion!B$9:FK$200,127,0)),2)</f>
        <v>#N/A</v>
      </c>
      <c r="O18" s="62" t="e">
        <f>SUM(I18:N18)-J18-L18</f>
        <v>#N/A</v>
      </c>
      <c r="P18" s="62" t="e">
        <f>ROUND(((G18+K18+M18+N18)*0.0483),2)</f>
        <v>#N/A</v>
      </c>
      <c r="Q18" s="62" t="e">
        <f>ROUND((VLOOKUP(B18,distribucion!B$9:FK$200,148,0)),2)</f>
        <v>#N/A</v>
      </c>
      <c r="R18" s="62" t="e">
        <f>ROUND((VLOOKUP(B18,distribucion!B$9:FK$200,149,0)),2)</f>
        <v>#N/A</v>
      </c>
      <c r="S18" s="62">
        <v>0</v>
      </c>
      <c r="T18" s="62" t="e">
        <f>ROUND((VLOOKUP(B18,distribucion!B19:FE244,153,0)),2)</f>
        <v>#N/A</v>
      </c>
      <c r="U18" s="62" t="e">
        <f>ROUND((VLOOKUP(B18,distribucion!B19:FE244,152,0)),2)</f>
        <v>#N/A</v>
      </c>
      <c r="V18" s="62" t="e">
        <f>ROUND((VLOOKUP(B18,distribucion!B19:FE244,151,0)),2)</f>
        <v>#N/A</v>
      </c>
      <c r="W18" s="62" t="e">
        <f>ROUND((VLOOKUP(B18,distribucion!B$9:FK$200,154,0)),2)</f>
        <v>#N/A</v>
      </c>
      <c r="X18" s="62" t="e">
        <f>SUM(P18:W18)</f>
        <v>#N/A</v>
      </c>
      <c r="Y18" s="62" t="e">
        <f>O18-X18</f>
        <v>#N/A</v>
      </c>
      <c r="Z18" s="126" t="e">
        <f>+Y18</f>
        <v>#N/A</v>
      </c>
      <c r="AA18" s="62" t="e">
        <f>+Y18-Z18</f>
        <v>#N/A</v>
      </c>
      <c r="AB18" s="124"/>
      <c r="AC18" s="123"/>
    </row>
    <row r="19" spans="1:29" ht="15.75" thickBot="1">
      <c r="A19" s="21"/>
      <c r="B19" s="21"/>
      <c r="C19" s="21"/>
      <c r="D19" s="21"/>
      <c r="E19" s="64"/>
      <c r="F19" s="69"/>
      <c r="G19" s="88" t="e">
        <f>+G18</f>
        <v>#N/A</v>
      </c>
      <c r="H19" s="88" t="e">
        <f t="shared" ref="H19:Z19" si="2">+H18</f>
        <v>#N/A</v>
      </c>
      <c r="I19" s="88" t="e">
        <f t="shared" si="2"/>
        <v>#N/A</v>
      </c>
      <c r="J19" s="88" t="e">
        <f t="shared" si="2"/>
        <v>#N/A</v>
      </c>
      <c r="K19" s="88" t="e">
        <f t="shared" si="2"/>
        <v>#N/A</v>
      </c>
      <c r="L19" s="88" t="e">
        <f t="shared" si="2"/>
        <v>#N/A</v>
      </c>
      <c r="M19" s="88" t="e">
        <f t="shared" si="2"/>
        <v>#N/A</v>
      </c>
      <c r="N19" s="88" t="e">
        <f t="shared" si="2"/>
        <v>#N/A</v>
      </c>
      <c r="O19" s="88" t="e">
        <f t="shared" si="2"/>
        <v>#N/A</v>
      </c>
      <c r="P19" s="88" t="e">
        <f t="shared" si="2"/>
        <v>#N/A</v>
      </c>
      <c r="Q19" s="88" t="e">
        <f t="shared" si="2"/>
        <v>#N/A</v>
      </c>
      <c r="R19" s="88" t="e">
        <f t="shared" si="2"/>
        <v>#N/A</v>
      </c>
      <c r="S19" s="88">
        <f t="shared" si="2"/>
        <v>0</v>
      </c>
      <c r="T19" s="88" t="e">
        <f t="shared" si="2"/>
        <v>#N/A</v>
      </c>
      <c r="U19" s="88" t="e">
        <f t="shared" si="2"/>
        <v>#N/A</v>
      </c>
      <c r="V19" s="88" t="e">
        <f t="shared" si="2"/>
        <v>#N/A</v>
      </c>
      <c r="W19" s="88" t="e">
        <f t="shared" si="2"/>
        <v>#N/A</v>
      </c>
      <c r="X19" s="88" t="e">
        <f t="shared" si="2"/>
        <v>#N/A</v>
      </c>
      <c r="Y19" s="88" t="e">
        <f t="shared" si="2"/>
        <v>#N/A</v>
      </c>
      <c r="Z19" s="88" t="e">
        <f t="shared" si="2"/>
        <v>#N/A</v>
      </c>
      <c r="AA19" s="88" t="e">
        <f>+AA18</f>
        <v>#N/A</v>
      </c>
      <c r="AB19" s="124" t="s">
        <v>404</v>
      </c>
      <c r="AC19" s="123" t="e">
        <f t="shared" si="1"/>
        <v>#N/A</v>
      </c>
    </row>
    <row r="20" spans="1:29" s="8" customFormat="1" ht="12" thickTop="1">
      <c r="A20" s="7"/>
      <c r="B20" s="23" t="s">
        <v>13</v>
      </c>
      <c r="C20" s="15"/>
      <c r="D20" s="15"/>
      <c r="E20" s="63"/>
      <c r="F20" s="16"/>
      <c r="G20" s="67"/>
      <c r="H20" s="67"/>
      <c r="I20" s="62"/>
      <c r="J20" s="62"/>
      <c r="K20" s="62"/>
      <c r="L20" s="62"/>
      <c r="M20" s="62"/>
      <c r="N20" s="62"/>
      <c r="O20" s="62"/>
      <c r="P20" s="62"/>
      <c r="Q20" s="62"/>
      <c r="R20" s="62"/>
      <c r="S20" s="62"/>
      <c r="T20" s="62"/>
      <c r="U20" s="62"/>
      <c r="V20" s="62"/>
      <c r="W20" s="62"/>
      <c r="X20" s="62"/>
      <c r="Y20" s="62"/>
      <c r="Z20" s="62"/>
      <c r="AA20" s="62"/>
      <c r="AB20" s="124" t="s">
        <v>404</v>
      </c>
      <c r="AC20" s="123">
        <f t="shared" si="1"/>
        <v>0</v>
      </c>
    </row>
    <row r="21" spans="1:29" s="8" customFormat="1">
      <c r="A21" s="7">
        <v>3</v>
      </c>
      <c r="B21" s="22">
        <v>0</v>
      </c>
      <c r="C21" s="15" t="e">
        <f>VLOOKUP(B21,distribucion!B$9:FK$200,2,0)</f>
        <v>#N/A</v>
      </c>
      <c r="D21" s="15" t="e">
        <f>G21+K21+M21</f>
        <v>#N/A</v>
      </c>
      <c r="E21" s="63" t="e">
        <f>VLOOKUP(B21,distribucion!B$9:FK$200,7,0)</f>
        <v>#N/A</v>
      </c>
      <c r="F21" s="16" t="e">
        <f>VLOOKUP(B21,distribucion!$B$9:$DQ$288,14,0)</f>
        <v>#N/A</v>
      </c>
      <c r="G21" s="67" t="e">
        <f>ROUND((VLOOKUP(B21,distribucion!B$9:FK$200,121,0)),2)</f>
        <v>#N/A</v>
      </c>
      <c r="H21" s="67" t="e">
        <f>ROUND((VLOOKUP(B21,distribucion!B$9:FK$200,122,0)),2)</f>
        <v>#N/A</v>
      </c>
      <c r="I21" s="62" t="e">
        <f t="shared" ref="I21:I29" si="3">G21+H21</f>
        <v>#N/A</v>
      </c>
      <c r="J21" s="62" t="e">
        <f>VLOOKUP(B21,distribucion!B$9:FK$200,123,0)</f>
        <v>#N/A</v>
      </c>
      <c r="K21" s="62" t="e">
        <f>ROUND((VLOOKUP(B21,distribucion!B$9:FK$200,124,0)),2)</f>
        <v>#N/A</v>
      </c>
      <c r="L21" s="62" t="e">
        <f>VLOOKUP(B21,distribucion!B$9:FK$200,125,0)</f>
        <v>#N/A</v>
      </c>
      <c r="M21" s="62" t="e">
        <f>ROUND((VLOOKUP(B21,distribucion!B$9:FK$200,126,0)),2)</f>
        <v>#N/A</v>
      </c>
      <c r="N21" s="62" t="e">
        <f>ROUND((VLOOKUP(B21,distribucion!B$9:FK$200,127,0)),2)</f>
        <v>#N/A</v>
      </c>
      <c r="O21" s="62" t="e">
        <f t="shared" ref="O21:O29" si="4">SUM(I21:N21)-J21-L21</f>
        <v>#N/A</v>
      </c>
      <c r="P21" s="62" t="e">
        <f t="shared" ref="P21:P29" si="5">ROUND(((G21+K21+M21+N21)*0.0483),2)</f>
        <v>#N/A</v>
      </c>
      <c r="Q21" s="62" t="e">
        <f>ROUND((VLOOKUP(B21,distribucion!B$9:FK$200,148,0)),2)</f>
        <v>#N/A</v>
      </c>
      <c r="R21" s="62" t="e">
        <f>ROUND((VLOOKUP(B21,distribucion!B$9:FK$200,149,0)),2)</f>
        <v>#N/A</v>
      </c>
      <c r="S21" s="62">
        <v>0</v>
      </c>
      <c r="T21" s="62" t="e">
        <f>ROUND((VLOOKUP(B21,distribucion!B20:FE247,153,0)),2)</f>
        <v>#N/A</v>
      </c>
      <c r="U21" s="62" t="e">
        <f>ROUND((VLOOKUP(B21,distribucion!B20:FE247,152,0)),2)</f>
        <v>#N/A</v>
      </c>
      <c r="V21" s="62" t="e">
        <f>ROUND((VLOOKUP(B21,distribucion!B20:FE247,151,0)),2)</f>
        <v>#N/A</v>
      </c>
      <c r="W21" s="62" t="e">
        <f>ROUND((VLOOKUP(B21,distribucion!B$9:FK$200,154,0)),2)</f>
        <v>#N/A</v>
      </c>
      <c r="X21" s="62" t="e">
        <f>SUM(P21:W21)</f>
        <v>#N/A</v>
      </c>
      <c r="Y21" s="62" t="e">
        <f t="shared" ref="Y21:Y29" si="6">O21-X21</f>
        <v>#N/A</v>
      </c>
      <c r="Z21" s="126" t="e">
        <f>+Y21</f>
        <v>#N/A</v>
      </c>
      <c r="AA21" s="62" t="e">
        <f>+Y21-Z21</f>
        <v>#N/A</v>
      </c>
      <c r="AB21" s="124" t="e">
        <f>+Z21</f>
        <v>#N/A</v>
      </c>
      <c r="AC21" s="123" t="e">
        <f>+AA21-AB21</f>
        <v>#N/A</v>
      </c>
    </row>
    <row r="22" spans="1:29" s="8" customFormat="1">
      <c r="A22" s="7">
        <v>4</v>
      </c>
      <c r="B22" s="22">
        <v>0</v>
      </c>
      <c r="C22" s="15" t="e">
        <f>VLOOKUP(B22,distribucion!B$9:FK$200,2,0)</f>
        <v>#N/A</v>
      </c>
      <c r="D22" s="130" t="e">
        <f t="shared" ref="D22:D27" si="7">G22+K22+M22+N22</f>
        <v>#N/A</v>
      </c>
      <c r="E22" s="63" t="e">
        <f>VLOOKUP(B22,distribucion!B$9:FK$200,7,0)</f>
        <v>#N/A</v>
      </c>
      <c r="F22" s="16" t="e">
        <f>VLOOKUP(B22,distribucion!$B$9:$DQ$288,14,0)</f>
        <v>#N/A</v>
      </c>
      <c r="G22" s="67" t="e">
        <f>ROUND((VLOOKUP(B22,distribucion!B$9:FK$200,121,0)),2)</f>
        <v>#N/A</v>
      </c>
      <c r="H22" s="67" t="e">
        <f>ROUND((VLOOKUP(B22,distribucion!B$9:FK$200,122,0)),2)</f>
        <v>#N/A</v>
      </c>
      <c r="I22" s="62" t="e">
        <f>G22+H22</f>
        <v>#N/A</v>
      </c>
      <c r="J22" s="62" t="e">
        <f>VLOOKUP(B22,distribucion!B$9:FK$200,123,0)</f>
        <v>#N/A</v>
      </c>
      <c r="K22" s="62" t="e">
        <f>ROUND((VLOOKUP(B22,distribucion!B$9:FK$200,124,0)),2)</f>
        <v>#N/A</v>
      </c>
      <c r="L22" s="62" t="e">
        <f>VLOOKUP(B22,distribucion!B$9:FK$200,125,0)</f>
        <v>#N/A</v>
      </c>
      <c r="M22" s="62" t="e">
        <f>ROUND((VLOOKUP(B22,distribucion!B$9:FK$200,126,0)),2)</f>
        <v>#N/A</v>
      </c>
      <c r="N22" s="62" t="e">
        <f>ROUND((VLOOKUP(B22,distribucion!B$9:FK$200,127,0)),2)</f>
        <v>#N/A</v>
      </c>
      <c r="O22" s="62" t="e">
        <f>SUM(I22:N22)-J22-L22</f>
        <v>#N/A</v>
      </c>
      <c r="P22" s="62" t="e">
        <f>ROUND(((G22+K22+M22+N22)*0.0483),2)</f>
        <v>#N/A</v>
      </c>
      <c r="Q22" s="62" t="e">
        <f>ROUND((VLOOKUP(B22,distribucion!B$9:FK$200,148,0)),2)</f>
        <v>#N/A</v>
      </c>
      <c r="R22" s="62" t="e">
        <f>ROUND((VLOOKUP(B22,distribucion!B$9:FK$200,149,0)),2)</f>
        <v>#N/A</v>
      </c>
      <c r="S22" s="62">
        <v>0</v>
      </c>
      <c r="T22" s="62" t="e">
        <f>ROUND((VLOOKUP(B22,distribucion!B25:FE252,153,0)),2)</f>
        <v>#N/A</v>
      </c>
      <c r="U22" s="62" t="e">
        <f>ROUND((VLOOKUP(B22,distribucion!B25:FE252,152,0)),2)</f>
        <v>#N/A</v>
      </c>
      <c r="V22" s="62" t="e">
        <f>ROUND((VLOOKUP(B22,distribucion!B25:FE252,151,0)),2)</f>
        <v>#N/A</v>
      </c>
      <c r="W22" s="62" t="e">
        <f>ROUND((VLOOKUP(B22,distribucion!B$9:FK$200,154,0)),2)</f>
        <v>#N/A</v>
      </c>
      <c r="X22" s="62" t="e">
        <f t="shared" ref="X22:X27" si="8">SUM(P22:W22)</f>
        <v>#N/A</v>
      </c>
      <c r="Y22" s="62" t="e">
        <f>O22-X22</f>
        <v>#N/A</v>
      </c>
      <c r="Z22" s="126" t="e">
        <f t="shared" ref="Z22:Z29" si="9">+Y22</f>
        <v>#N/A</v>
      </c>
      <c r="AA22" s="62" t="e">
        <f t="shared" ref="AA22:AA29" si="10">+Y22-Z22</f>
        <v>#N/A</v>
      </c>
      <c r="AB22" s="124" t="e">
        <f t="shared" ref="AB22:AB38" si="11">+Z22</f>
        <v>#N/A</v>
      </c>
      <c r="AC22" s="123" t="e">
        <f t="shared" ref="AC22:AC38" si="12">+AA22-AB22</f>
        <v>#N/A</v>
      </c>
    </row>
    <row r="23" spans="1:29" s="8" customFormat="1">
      <c r="A23" s="7">
        <v>5</v>
      </c>
      <c r="B23" s="22">
        <v>0</v>
      </c>
      <c r="C23" s="15" t="e">
        <f>VLOOKUP(B23,distribucion!B$9:FK$200,2,0)</f>
        <v>#N/A</v>
      </c>
      <c r="D23" s="130" t="e">
        <f>G23+K23+M23+N23</f>
        <v>#N/A</v>
      </c>
      <c r="E23" s="63" t="e">
        <f>VLOOKUP(B23,distribucion!B$9:FK$200,7,0)</f>
        <v>#N/A</v>
      </c>
      <c r="F23" s="16" t="e">
        <f>VLOOKUP(B23,distribucion!$B$9:$DQ$288,14,0)</f>
        <v>#N/A</v>
      </c>
      <c r="G23" s="67" t="e">
        <f>ROUND((VLOOKUP(B23,distribucion!B$9:FK$200,121,0)),2)</f>
        <v>#N/A</v>
      </c>
      <c r="H23" s="67" t="e">
        <f>ROUND((VLOOKUP(B23,distribucion!B$9:FK$200,122,0)),2)</f>
        <v>#N/A</v>
      </c>
      <c r="I23" s="62" t="e">
        <f>G23+H23</f>
        <v>#N/A</v>
      </c>
      <c r="J23" s="62" t="e">
        <f>VLOOKUP(B23,distribucion!B$9:FK$200,123,0)</f>
        <v>#N/A</v>
      </c>
      <c r="K23" s="62" t="e">
        <f>ROUND((VLOOKUP(B23,distribucion!B$9:FK$200,124,0)),2)</f>
        <v>#N/A</v>
      </c>
      <c r="L23" s="62" t="e">
        <f>VLOOKUP(B23,distribucion!B$9:FK$200,125,0)</f>
        <v>#N/A</v>
      </c>
      <c r="M23" s="62" t="e">
        <f>ROUND((VLOOKUP(B23,distribucion!B$9:FK$200,126,0)),2)</f>
        <v>#N/A</v>
      </c>
      <c r="N23" s="62" t="e">
        <f>ROUND((VLOOKUP(B23,distribucion!B$9:FK$200,127,0)),2)</f>
        <v>#N/A</v>
      </c>
      <c r="O23" s="62" t="e">
        <f>SUM(I23:N23)-J23-L23</f>
        <v>#N/A</v>
      </c>
      <c r="P23" s="62" t="e">
        <f>ROUND(((G23+K23+M23+N23)*0.0483),2)</f>
        <v>#N/A</v>
      </c>
      <c r="Q23" s="62" t="e">
        <f>ROUND((VLOOKUP(B23,distribucion!B$9:FK$200,148,0)),2)</f>
        <v>#N/A</v>
      </c>
      <c r="R23" s="62" t="e">
        <f>ROUND((VLOOKUP(B23,distribucion!B$9:FK$200,149,0)),2)</f>
        <v>#N/A</v>
      </c>
      <c r="S23" s="62">
        <v>0</v>
      </c>
      <c r="T23" s="62" t="e">
        <f>ROUND((VLOOKUP(B23,distribucion!B25:FE253,153,0)),2)</f>
        <v>#N/A</v>
      </c>
      <c r="U23" s="62" t="e">
        <f>ROUND((VLOOKUP(B23,distribucion!B25:FE253,152,0)),2)</f>
        <v>#N/A</v>
      </c>
      <c r="V23" s="62" t="e">
        <f>ROUND((VLOOKUP(B23,distribucion!B25:FE253,151,0)),2)</f>
        <v>#N/A</v>
      </c>
      <c r="W23" s="62" t="e">
        <f>ROUND((VLOOKUP(B23,distribucion!B$9:FK$200,154,0)),2)</f>
        <v>#N/A</v>
      </c>
      <c r="X23" s="62" t="e">
        <f t="shared" si="8"/>
        <v>#N/A</v>
      </c>
      <c r="Y23" s="62" t="e">
        <f>O23-X23</f>
        <v>#N/A</v>
      </c>
      <c r="Z23" s="126" t="e">
        <f t="shared" si="9"/>
        <v>#N/A</v>
      </c>
      <c r="AA23" s="62" t="e">
        <f t="shared" si="10"/>
        <v>#N/A</v>
      </c>
      <c r="AB23" s="124" t="e">
        <f t="shared" si="11"/>
        <v>#N/A</v>
      </c>
      <c r="AC23" s="123" t="e">
        <f t="shared" si="12"/>
        <v>#N/A</v>
      </c>
    </row>
    <row r="24" spans="1:29" s="8" customFormat="1">
      <c r="A24" s="7">
        <v>6</v>
      </c>
      <c r="B24" s="22">
        <v>0</v>
      </c>
      <c r="C24" s="15" t="e">
        <f>VLOOKUP(B24,distribucion!B$9:FK$200,2,0)</f>
        <v>#N/A</v>
      </c>
      <c r="D24" s="130" t="e">
        <f t="shared" si="7"/>
        <v>#N/A</v>
      </c>
      <c r="E24" s="63" t="e">
        <f>VLOOKUP(B24,distribucion!B$9:FK$200,7,0)</f>
        <v>#N/A</v>
      </c>
      <c r="F24" s="16" t="e">
        <f>VLOOKUP(B24,distribucion!$B$9:$DQ$288,14,0)</f>
        <v>#N/A</v>
      </c>
      <c r="G24" s="67" t="e">
        <f>ROUND((VLOOKUP(B24,distribucion!B$9:FK$200,121,0)),2)</f>
        <v>#N/A</v>
      </c>
      <c r="H24" s="67" t="e">
        <f>ROUND((VLOOKUP(B24,distribucion!B$9:FK$200,122,0)),2)</f>
        <v>#N/A</v>
      </c>
      <c r="I24" s="62" t="e">
        <f>G24+H24</f>
        <v>#N/A</v>
      </c>
      <c r="J24" s="62" t="e">
        <f>VLOOKUP(B24,distribucion!B$9:FK$200,123,0)</f>
        <v>#N/A</v>
      </c>
      <c r="K24" s="62" t="e">
        <f>ROUND((VLOOKUP(B24,distribucion!B$9:FK$200,124,0)),2)</f>
        <v>#N/A</v>
      </c>
      <c r="L24" s="62" t="e">
        <f>VLOOKUP(B24,distribucion!B$9:FK$200,125,0)</f>
        <v>#N/A</v>
      </c>
      <c r="M24" s="62" t="e">
        <f>ROUND((VLOOKUP(B24,distribucion!B$9:FK$200,126,0)),2)</f>
        <v>#N/A</v>
      </c>
      <c r="N24" s="62" t="e">
        <f>ROUND((VLOOKUP(B24,distribucion!B$9:FK$200,127,0)),2)</f>
        <v>#N/A</v>
      </c>
      <c r="O24" s="62" t="e">
        <f>SUM(I24:N24)-J24-L24</f>
        <v>#N/A</v>
      </c>
      <c r="P24" s="62" t="e">
        <f>ROUND(((G24+K24+M24+N24)*0.0483),2)</f>
        <v>#N/A</v>
      </c>
      <c r="Q24" s="62" t="e">
        <f>ROUND((VLOOKUP(B24,distribucion!B$9:FK$200,148,0)),2)</f>
        <v>#N/A</v>
      </c>
      <c r="R24" s="62" t="e">
        <f>ROUND((VLOOKUP(B24,distribucion!B$9:FK$200,149,0)),2)</f>
        <v>#N/A</v>
      </c>
      <c r="S24" s="62">
        <v>0</v>
      </c>
      <c r="T24" s="62" t="e">
        <f>ROUND((VLOOKUP(B24,distribucion!B25:FE253,153,0)),2)</f>
        <v>#N/A</v>
      </c>
      <c r="U24" s="62" t="e">
        <f>ROUND((VLOOKUP(B24,distribucion!B25:FE253,152,0)),2)</f>
        <v>#N/A</v>
      </c>
      <c r="V24" s="62" t="e">
        <f>ROUND((VLOOKUP(B24,distribucion!B25:FE253,151,0)),2)</f>
        <v>#N/A</v>
      </c>
      <c r="W24" s="62" t="e">
        <f>ROUND((VLOOKUP(B24,distribucion!B$9:FK$200,154,0)),2)</f>
        <v>#N/A</v>
      </c>
      <c r="X24" s="62" t="e">
        <f t="shared" si="8"/>
        <v>#N/A</v>
      </c>
      <c r="Y24" s="62" t="e">
        <f>O24-X24</f>
        <v>#N/A</v>
      </c>
      <c r="Z24" s="126" t="e">
        <f t="shared" si="9"/>
        <v>#N/A</v>
      </c>
      <c r="AA24" s="62" t="e">
        <f t="shared" si="10"/>
        <v>#N/A</v>
      </c>
      <c r="AB24" s="124" t="e">
        <f t="shared" si="11"/>
        <v>#N/A</v>
      </c>
      <c r="AC24" s="123" t="e">
        <f t="shared" si="12"/>
        <v>#N/A</v>
      </c>
    </row>
    <row r="25" spans="1:29" s="8" customFormat="1">
      <c r="A25" s="7">
        <v>7</v>
      </c>
      <c r="B25" s="22">
        <v>0</v>
      </c>
      <c r="C25" s="15" t="e">
        <f>VLOOKUP(B25,distribucion!B$9:FK$200,2,0)</f>
        <v>#N/A</v>
      </c>
      <c r="D25" s="130" t="e">
        <f t="shared" si="7"/>
        <v>#N/A</v>
      </c>
      <c r="E25" s="63" t="e">
        <f>VLOOKUP(B25,distribucion!B$9:FK$200,7,0)</f>
        <v>#N/A</v>
      </c>
      <c r="F25" s="16" t="e">
        <f>VLOOKUP(B25,distribucion!$B$9:$DQ$288,14,0)</f>
        <v>#N/A</v>
      </c>
      <c r="G25" s="67" t="e">
        <f>ROUND((VLOOKUP(B25,distribucion!B$9:FK$200,121,0)),2)</f>
        <v>#N/A</v>
      </c>
      <c r="H25" s="67" t="e">
        <f>ROUND((VLOOKUP(B25,distribucion!B$9:FK$200,122,0)),2)</f>
        <v>#N/A</v>
      </c>
      <c r="I25" s="62" t="e">
        <f>G25+H25</f>
        <v>#N/A</v>
      </c>
      <c r="J25" s="62" t="e">
        <f>VLOOKUP(B25,distribucion!B$9:FK$200,123,0)</f>
        <v>#N/A</v>
      </c>
      <c r="K25" s="62" t="e">
        <f>ROUND((VLOOKUP(B25,distribucion!B$9:FK$200,124,0)),2)</f>
        <v>#N/A</v>
      </c>
      <c r="L25" s="62" t="e">
        <f>VLOOKUP(B25,distribucion!B$9:FK$200,125,0)</f>
        <v>#N/A</v>
      </c>
      <c r="M25" s="62" t="e">
        <f>ROUND((VLOOKUP(B25,distribucion!B$9:FK$200,126,0)),2)</f>
        <v>#N/A</v>
      </c>
      <c r="N25" s="62" t="e">
        <f>ROUND((VLOOKUP(B25,distribucion!B$9:FK$200,127,0)),2)</f>
        <v>#N/A</v>
      </c>
      <c r="O25" s="62" t="e">
        <f>SUM(I25:N25)-J25-L25</f>
        <v>#N/A</v>
      </c>
      <c r="P25" s="62" t="e">
        <f>ROUND(((G25+K25+M25+N25)*0.0483),2)</f>
        <v>#N/A</v>
      </c>
      <c r="Q25" s="62" t="e">
        <f>ROUND((VLOOKUP(B25,distribucion!B$9:FK$200,148,0)),2)</f>
        <v>#N/A</v>
      </c>
      <c r="R25" s="62" t="e">
        <f>ROUND((VLOOKUP(B25,distribucion!B$9:FK$200,149,0)),2)</f>
        <v>#N/A</v>
      </c>
      <c r="S25" s="62">
        <v>0</v>
      </c>
      <c r="T25" s="62" t="e">
        <f>ROUND((VLOOKUP(B25,distribucion!B25:FE252,153,0)),2)</f>
        <v>#N/A</v>
      </c>
      <c r="U25" s="62" t="e">
        <f>ROUND((VLOOKUP(B25,distribucion!B25:FE252,152,0)),2)</f>
        <v>#N/A</v>
      </c>
      <c r="V25" s="62" t="e">
        <f>ROUND((VLOOKUP(B25,distribucion!B25:FE252,151,0)),2)</f>
        <v>#N/A</v>
      </c>
      <c r="W25" s="62" t="e">
        <f>ROUND((VLOOKUP(B25,distribucion!B$9:FK$200,154,0)),2)</f>
        <v>#N/A</v>
      </c>
      <c r="X25" s="62" t="e">
        <f t="shared" si="8"/>
        <v>#N/A</v>
      </c>
      <c r="Y25" s="62" t="e">
        <f>O25-X25</f>
        <v>#N/A</v>
      </c>
      <c r="Z25" s="126" t="e">
        <f t="shared" si="9"/>
        <v>#N/A</v>
      </c>
      <c r="AA25" s="62" t="e">
        <f t="shared" si="10"/>
        <v>#N/A</v>
      </c>
      <c r="AB25" s="124" t="e">
        <f t="shared" si="11"/>
        <v>#N/A</v>
      </c>
      <c r="AC25" s="123" t="e">
        <f t="shared" si="12"/>
        <v>#N/A</v>
      </c>
    </row>
    <row r="26" spans="1:29" s="8" customFormat="1">
      <c r="A26" s="7">
        <v>8</v>
      </c>
      <c r="B26" s="22">
        <v>0</v>
      </c>
      <c r="C26" s="15" t="e">
        <f>VLOOKUP(B26,distribucion!B$9:FK$200,2,0)</f>
        <v>#N/A</v>
      </c>
      <c r="D26" s="130" t="e">
        <f t="shared" si="7"/>
        <v>#N/A</v>
      </c>
      <c r="E26" s="63" t="e">
        <f>VLOOKUP(B26,distribucion!B$9:FK$200,7,0)</f>
        <v>#N/A</v>
      </c>
      <c r="F26" s="16" t="e">
        <f>VLOOKUP(B26,distribucion!$B$9:$DQ$288,14,0)</f>
        <v>#N/A</v>
      </c>
      <c r="G26" s="67" t="e">
        <f>ROUND((VLOOKUP(B26,distribucion!B$9:FK$200,121,0)),2)</f>
        <v>#N/A</v>
      </c>
      <c r="H26" s="67" t="e">
        <f>ROUND((VLOOKUP(B26,distribucion!B$9:FK$200,122,0)),2)</f>
        <v>#N/A</v>
      </c>
      <c r="I26" s="62" t="e">
        <f>G26+H26</f>
        <v>#N/A</v>
      </c>
      <c r="J26" s="62" t="e">
        <f>VLOOKUP(B26,distribucion!B$9:FK$200,123,0)</f>
        <v>#N/A</v>
      </c>
      <c r="K26" s="62" t="e">
        <f>ROUND((VLOOKUP(B26,distribucion!B$9:FK$200,124,0)),2)</f>
        <v>#N/A</v>
      </c>
      <c r="L26" s="62" t="e">
        <f>VLOOKUP(B26,distribucion!B$9:FK$200,125,0)</f>
        <v>#N/A</v>
      </c>
      <c r="M26" s="62" t="e">
        <f>ROUND((VLOOKUP(B26,distribucion!B$9:FK$200,126,0)),2)</f>
        <v>#N/A</v>
      </c>
      <c r="N26" s="62" t="e">
        <f>ROUND((VLOOKUP(B26,distribucion!B$9:FK$200,127,0)),2)</f>
        <v>#N/A</v>
      </c>
      <c r="O26" s="62" t="e">
        <f>SUM(I26:N26)-J26-L26</f>
        <v>#N/A</v>
      </c>
      <c r="P26" s="62" t="e">
        <f>ROUND(((G26+K26+M26+N26)*0.0483),2)</f>
        <v>#N/A</v>
      </c>
      <c r="Q26" s="62" t="e">
        <f>ROUND((VLOOKUP(B26,distribucion!B$9:FK$200,148,0)),2)</f>
        <v>#N/A</v>
      </c>
      <c r="R26" s="62" t="e">
        <f>ROUND((VLOOKUP(B26,distribucion!B$9:FK$200,149,0)),2)</f>
        <v>#N/A</v>
      </c>
      <c r="S26" s="62">
        <v>0</v>
      </c>
      <c r="T26" s="62" t="e">
        <f>ROUND((VLOOKUP(B26,distribucion!B22:FE249,153,0)),2)</f>
        <v>#N/A</v>
      </c>
      <c r="U26" s="62" t="e">
        <f>ROUND((VLOOKUP(B26,distribucion!B22:FE249,152,0)),2)</f>
        <v>#N/A</v>
      </c>
      <c r="V26" s="62" t="e">
        <f>ROUND((VLOOKUP(B26,distribucion!B22:FE249,151,0)),2)</f>
        <v>#N/A</v>
      </c>
      <c r="W26" s="62" t="e">
        <f>ROUND((VLOOKUP(B26,distribucion!B$9:FK$200,154,0)),2)</f>
        <v>#N/A</v>
      </c>
      <c r="X26" s="62" t="e">
        <f t="shared" si="8"/>
        <v>#N/A</v>
      </c>
      <c r="Y26" s="62" t="e">
        <f>O26-X26</f>
        <v>#N/A</v>
      </c>
      <c r="Z26" s="126" t="e">
        <f t="shared" si="9"/>
        <v>#N/A</v>
      </c>
      <c r="AA26" s="62" t="e">
        <f t="shared" si="10"/>
        <v>#N/A</v>
      </c>
      <c r="AB26" s="124" t="e">
        <f t="shared" si="11"/>
        <v>#N/A</v>
      </c>
      <c r="AC26" s="123" t="e">
        <f t="shared" si="12"/>
        <v>#N/A</v>
      </c>
    </row>
    <row r="27" spans="1:29" s="8" customFormat="1">
      <c r="A27" s="7">
        <v>9</v>
      </c>
      <c r="B27" s="22">
        <v>0</v>
      </c>
      <c r="C27" s="15" t="e">
        <f>VLOOKUP(B27,distribucion!B$9:FK$200,2,0)</f>
        <v>#N/A</v>
      </c>
      <c r="D27" s="130" t="e">
        <f t="shared" si="7"/>
        <v>#N/A</v>
      </c>
      <c r="E27" s="63" t="e">
        <f>VLOOKUP(B27,distribucion!B$9:FK$200,7,0)</f>
        <v>#N/A</v>
      </c>
      <c r="F27" s="16" t="e">
        <f>VLOOKUP(B27,distribucion!$B$9:$DQ$288,14,0)</f>
        <v>#N/A</v>
      </c>
      <c r="G27" s="67" t="e">
        <f>ROUND((VLOOKUP(B27,distribucion!B$9:FK$200,121,0)),2)</f>
        <v>#N/A</v>
      </c>
      <c r="H27" s="67" t="e">
        <f>ROUND((VLOOKUP(B27,distribucion!B$9:FK$200,122,0)),2)</f>
        <v>#N/A</v>
      </c>
      <c r="I27" s="62" t="e">
        <f t="shared" si="3"/>
        <v>#N/A</v>
      </c>
      <c r="J27" s="62" t="e">
        <f>VLOOKUP(B27,distribucion!B$9:FK$200,123,0)</f>
        <v>#N/A</v>
      </c>
      <c r="K27" s="62" t="e">
        <f>ROUND((VLOOKUP(B27,distribucion!B$9:FK$200,124,0)),2)</f>
        <v>#N/A</v>
      </c>
      <c r="L27" s="62" t="e">
        <f>VLOOKUP(B27,distribucion!B$9:FK$200,125,0)</f>
        <v>#N/A</v>
      </c>
      <c r="M27" s="62" t="e">
        <f>ROUND((VLOOKUP(B27,distribucion!B$9:FK$200,126,0)),2)</f>
        <v>#N/A</v>
      </c>
      <c r="N27" s="62" t="e">
        <f>ROUND((VLOOKUP(B27,distribucion!B$9:FK$200,127,0)),2)</f>
        <v>#N/A</v>
      </c>
      <c r="O27" s="62" t="e">
        <f t="shared" si="4"/>
        <v>#N/A</v>
      </c>
      <c r="P27" s="62" t="e">
        <f t="shared" si="5"/>
        <v>#N/A</v>
      </c>
      <c r="Q27" s="62" t="e">
        <f>ROUND((VLOOKUP(B27,distribucion!B$9:FK$200,148,0)),2)</f>
        <v>#N/A</v>
      </c>
      <c r="R27" s="62" t="e">
        <f>ROUND((VLOOKUP(B27,distribucion!B$9:FK$200,149,0)),2)</f>
        <v>#N/A</v>
      </c>
      <c r="S27" s="62">
        <v>0</v>
      </c>
      <c r="T27" s="62" t="e">
        <f>ROUND((VLOOKUP(B27,distribucion!B24:FE250,153,0)),2)</f>
        <v>#N/A</v>
      </c>
      <c r="U27" s="62" t="e">
        <f>ROUND((VLOOKUP(B27,distribucion!B24:FE250,152,0)),2)</f>
        <v>#N/A</v>
      </c>
      <c r="V27" s="62" t="e">
        <f>ROUND((VLOOKUP(B27,distribucion!B24:FE250,151,0)),2)</f>
        <v>#N/A</v>
      </c>
      <c r="W27" s="62" t="e">
        <f>ROUND((VLOOKUP(B27,distribucion!B$9:FK$200,154,0)),2)</f>
        <v>#N/A</v>
      </c>
      <c r="X27" s="62" t="e">
        <f t="shared" si="8"/>
        <v>#N/A</v>
      </c>
      <c r="Y27" s="62" t="e">
        <f t="shared" si="6"/>
        <v>#N/A</v>
      </c>
      <c r="Z27" s="126" t="e">
        <f t="shared" si="9"/>
        <v>#N/A</v>
      </c>
      <c r="AA27" s="62" t="e">
        <f t="shared" si="10"/>
        <v>#N/A</v>
      </c>
      <c r="AB27" s="124" t="e">
        <f t="shared" si="11"/>
        <v>#N/A</v>
      </c>
      <c r="AC27" s="123" t="e">
        <f t="shared" si="12"/>
        <v>#N/A</v>
      </c>
    </row>
    <row r="28" spans="1:29" s="8" customFormat="1">
      <c r="A28" s="7">
        <v>10</v>
      </c>
      <c r="B28" s="22">
        <v>0</v>
      </c>
      <c r="C28" s="15" t="e">
        <f>VLOOKUP(B28,distribucion!B$9:FK$200,2,0)</f>
        <v>#N/A</v>
      </c>
      <c r="D28" s="15" t="e">
        <f>G28+K28+M28</f>
        <v>#N/A</v>
      </c>
      <c r="E28" s="63" t="e">
        <f>VLOOKUP(B28,distribucion!B$9:FK$200,7,0)</f>
        <v>#N/A</v>
      </c>
      <c r="F28" s="16" t="e">
        <f>VLOOKUP(B28,distribucion!$B$9:$DQ$288,14,0)</f>
        <v>#N/A</v>
      </c>
      <c r="G28" s="67" t="e">
        <f>ROUND((VLOOKUP(B28,distribucion!B$9:FK$200,121,0)),2)</f>
        <v>#N/A</v>
      </c>
      <c r="H28" s="67" t="e">
        <f>ROUND((VLOOKUP(B28,distribucion!B$9:FK$200,122,0)),2)</f>
        <v>#N/A</v>
      </c>
      <c r="I28" s="62" t="e">
        <f t="shared" si="3"/>
        <v>#N/A</v>
      </c>
      <c r="J28" s="62" t="e">
        <f>VLOOKUP(B28,distribucion!B$9:FK$200,123,0)</f>
        <v>#N/A</v>
      </c>
      <c r="K28" s="62" t="e">
        <f>ROUND((VLOOKUP(B28,distribucion!B$9:FK$200,124,0)),2)</f>
        <v>#N/A</v>
      </c>
      <c r="L28" s="62" t="e">
        <f>VLOOKUP(B28,distribucion!B$9:FK$200,125,0)</f>
        <v>#N/A</v>
      </c>
      <c r="M28" s="62" t="e">
        <f>ROUND((VLOOKUP(B28,distribucion!B$9:FK$200,126,0)),2)</f>
        <v>#N/A</v>
      </c>
      <c r="N28" s="62" t="e">
        <f>ROUND((VLOOKUP(B28,distribucion!B$9:FK$200,127,0)),2)</f>
        <v>#N/A</v>
      </c>
      <c r="O28" s="62" t="e">
        <f t="shared" si="4"/>
        <v>#N/A</v>
      </c>
      <c r="P28" s="62" t="e">
        <f t="shared" si="5"/>
        <v>#N/A</v>
      </c>
      <c r="Q28" s="62" t="e">
        <f>ROUND((VLOOKUP(B28,distribucion!B$9:FK$200,148,0)),2)</f>
        <v>#N/A</v>
      </c>
      <c r="R28" s="62" t="e">
        <f>ROUND((VLOOKUP(B28,distribucion!B$9:FK$200,149,0)),2)</f>
        <v>#N/A</v>
      </c>
      <c r="S28" s="62">
        <v>0</v>
      </c>
      <c r="T28" s="62" t="e">
        <f>ROUND((VLOOKUP(B28,distribucion!B21:FE248,153,0)),2)</f>
        <v>#N/A</v>
      </c>
      <c r="U28" s="62" t="e">
        <f>ROUND((VLOOKUP(B28,distribucion!B21:FE248,152,0)),2)</f>
        <v>#N/A</v>
      </c>
      <c r="V28" s="62" t="e">
        <f>ROUND((VLOOKUP(B28,distribucion!B21:FE248,151,0)),2)</f>
        <v>#N/A</v>
      </c>
      <c r="W28" s="62" t="e">
        <f>ROUND((VLOOKUP(B28,distribucion!B$9:FK$200,154,0)),2)</f>
        <v>#N/A</v>
      </c>
      <c r="X28" s="62" t="e">
        <f>SUM(P28:W28)</f>
        <v>#N/A</v>
      </c>
      <c r="Y28" s="62" t="e">
        <f t="shared" si="6"/>
        <v>#N/A</v>
      </c>
      <c r="Z28" s="126" t="e">
        <f t="shared" si="9"/>
        <v>#N/A</v>
      </c>
      <c r="AA28" s="62" t="e">
        <f t="shared" si="10"/>
        <v>#N/A</v>
      </c>
      <c r="AB28" s="124" t="e">
        <f t="shared" si="11"/>
        <v>#N/A</v>
      </c>
      <c r="AC28" s="123" t="e">
        <f t="shared" si="12"/>
        <v>#N/A</v>
      </c>
    </row>
    <row r="29" spans="1:29" s="8" customFormat="1">
      <c r="A29" s="7">
        <v>11</v>
      </c>
      <c r="B29" s="22">
        <v>0</v>
      </c>
      <c r="C29" s="15" t="e">
        <f>VLOOKUP(B29,distribucion!B$9:FK$200,2,0)</f>
        <v>#N/A</v>
      </c>
      <c r="D29" s="15" t="e">
        <f>G29+K29+M29</f>
        <v>#N/A</v>
      </c>
      <c r="E29" s="63" t="e">
        <f>VLOOKUP(B29,distribucion!B$9:FK$200,7,0)</f>
        <v>#N/A</v>
      </c>
      <c r="F29" s="16" t="e">
        <f>VLOOKUP(B29,distribucion!$B$9:$DQ$288,14,0)</f>
        <v>#N/A</v>
      </c>
      <c r="G29" s="67" t="e">
        <f>ROUND((VLOOKUP(B29,distribucion!B$9:FK$200,121,0)),2)</f>
        <v>#N/A</v>
      </c>
      <c r="H29" s="67" t="e">
        <f>ROUND((VLOOKUP(B29,distribucion!B$9:FK$200,122,0)),2)</f>
        <v>#N/A</v>
      </c>
      <c r="I29" s="62" t="e">
        <f t="shared" si="3"/>
        <v>#N/A</v>
      </c>
      <c r="J29" s="62" t="e">
        <f>VLOOKUP(B29,distribucion!B$9:FK$200,123,0)</f>
        <v>#N/A</v>
      </c>
      <c r="K29" s="62" t="e">
        <f>ROUND((VLOOKUP(B29,distribucion!B$9:FK$200,124,0)),2)</f>
        <v>#N/A</v>
      </c>
      <c r="L29" s="62" t="e">
        <f>VLOOKUP(B29,distribucion!B$9:FK$200,125,0)</f>
        <v>#N/A</v>
      </c>
      <c r="M29" s="62" t="e">
        <f>ROUND((VLOOKUP(B29,distribucion!B$9:FK$200,126,0)),2)</f>
        <v>#N/A</v>
      </c>
      <c r="N29" s="62" t="e">
        <f>ROUND((VLOOKUP(B29,distribucion!B$9:FK$200,127,0)),2)</f>
        <v>#N/A</v>
      </c>
      <c r="O29" s="62" t="e">
        <f t="shared" si="4"/>
        <v>#N/A</v>
      </c>
      <c r="P29" s="62" t="e">
        <f t="shared" si="5"/>
        <v>#N/A</v>
      </c>
      <c r="Q29" s="62" t="e">
        <f>ROUND((VLOOKUP(B29,distribucion!B$9:FK$200,148,0)),2)</f>
        <v>#N/A</v>
      </c>
      <c r="R29" s="62" t="e">
        <f>ROUND((VLOOKUP(B29,distribucion!B$9:FK$200,149,0)),2)</f>
        <v>#N/A</v>
      </c>
      <c r="S29" s="62">
        <v>0</v>
      </c>
      <c r="T29" s="62" t="e">
        <f>ROUND((VLOOKUP(B29,distribucion!B21:FE248,153,0)),2)</f>
        <v>#N/A</v>
      </c>
      <c r="U29" s="62" t="e">
        <f>ROUND((VLOOKUP(B29,distribucion!B21:FE248,152,0)),2)</f>
        <v>#N/A</v>
      </c>
      <c r="V29" s="62" t="e">
        <f>ROUND((VLOOKUP(B29,distribucion!B21:FE248,151,0)),2)</f>
        <v>#N/A</v>
      </c>
      <c r="W29" s="62" t="e">
        <f>ROUND((VLOOKUP(B29,distribucion!B$9:FK$200,154,0)),2)</f>
        <v>#N/A</v>
      </c>
      <c r="X29" s="62" t="e">
        <f>SUM(P29:W29)</f>
        <v>#N/A</v>
      </c>
      <c r="Y29" s="62" t="e">
        <f t="shared" si="6"/>
        <v>#N/A</v>
      </c>
      <c r="Z29" s="126" t="e">
        <f t="shared" si="9"/>
        <v>#N/A</v>
      </c>
      <c r="AA29" s="62" t="e">
        <f t="shared" si="10"/>
        <v>#N/A</v>
      </c>
      <c r="AB29" s="124" t="e">
        <f t="shared" si="11"/>
        <v>#N/A</v>
      </c>
      <c r="AC29" s="123" t="e">
        <f t="shared" si="12"/>
        <v>#N/A</v>
      </c>
    </row>
    <row r="30" spans="1:29" s="8" customFormat="1" ht="13.5" thickBot="1">
      <c r="A30" s="7"/>
      <c r="B30" s="13"/>
      <c r="C30" s="21" t="s">
        <v>204</v>
      </c>
      <c r="D30" s="21" t="s">
        <v>204</v>
      </c>
      <c r="E30" s="63"/>
      <c r="F30" s="16"/>
      <c r="G30" s="89" t="e">
        <f t="shared" ref="G30:Y30" si="13">SUM(G21:G29)</f>
        <v>#N/A</v>
      </c>
      <c r="H30" s="89" t="e">
        <f t="shared" si="13"/>
        <v>#N/A</v>
      </c>
      <c r="I30" s="89" t="e">
        <f t="shared" si="13"/>
        <v>#N/A</v>
      </c>
      <c r="J30" s="89" t="e">
        <f t="shared" si="13"/>
        <v>#N/A</v>
      </c>
      <c r="K30" s="89" t="e">
        <f t="shared" si="13"/>
        <v>#N/A</v>
      </c>
      <c r="L30" s="89" t="e">
        <f t="shared" si="13"/>
        <v>#N/A</v>
      </c>
      <c r="M30" s="89" t="e">
        <f t="shared" si="13"/>
        <v>#N/A</v>
      </c>
      <c r="N30" s="89" t="e">
        <f t="shared" si="13"/>
        <v>#N/A</v>
      </c>
      <c r="O30" s="89" t="e">
        <f t="shared" si="13"/>
        <v>#N/A</v>
      </c>
      <c r="P30" s="89" t="e">
        <f t="shared" si="13"/>
        <v>#N/A</v>
      </c>
      <c r="Q30" s="89" t="e">
        <f t="shared" si="13"/>
        <v>#N/A</v>
      </c>
      <c r="R30" s="89" t="e">
        <f t="shared" si="13"/>
        <v>#N/A</v>
      </c>
      <c r="S30" s="89">
        <f t="shared" si="13"/>
        <v>0</v>
      </c>
      <c r="T30" s="89" t="e">
        <f t="shared" si="13"/>
        <v>#N/A</v>
      </c>
      <c r="U30" s="89" t="e">
        <f t="shared" si="13"/>
        <v>#N/A</v>
      </c>
      <c r="V30" s="89" t="e">
        <f t="shared" si="13"/>
        <v>#N/A</v>
      </c>
      <c r="W30" s="89" t="e">
        <f t="shared" si="13"/>
        <v>#N/A</v>
      </c>
      <c r="X30" s="89" t="e">
        <f t="shared" si="13"/>
        <v>#N/A</v>
      </c>
      <c r="Y30" s="89" t="e">
        <f t="shared" si="13"/>
        <v>#N/A</v>
      </c>
      <c r="Z30" s="89" t="e">
        <f>SUM(Z21:Z29)</f>
        <v>#N/A</v>
      </c>
      <c r="AA30" s="89" t="e">
        <f>SUM(AA21:AA29)</f>
        <v>#N/A</v>
      </c>
      <c r="AB30" s="124" t="e">
        <f t="shared" si="11"/>
        <v>#N/A</v>
      </c>
      <c r="AC30" s="123" t="e">
        <f t="shared" si="12"/>
        <v>#N/A</v>
      </c>
    </row>
    <row r="31" spans="1:29" s="8" customFormat="1" ht="13.5" thickTop="1">
      <c r="A31" s="7"/>
      <c r="B31" s="13"/>
      <c r="C31" s="21"/>
      <c r="D31" s="21"/>
      <c r="E31" s="63"/>
      <c r="F31" s="16"/>
      <c r="G31" s="65"/>
      <c r="H31" s="65"/>
      <c r="I31" s="65"/>
      <c r="J31" s="65"/>
      <c r="K31" s="65"/>
      <c r="L31" s="65"/>
      <c r="M31" s="65"/>
      <c r="N31" s="65"/>
      <c r="O31" s="65"/>
      <c r="P31" s="65"/>
      <c r="Q31" s="65"/>
      <c r="R31" s="65"/>
      <c r="S31" s="65"/>
      <c r="T31" s="65"/>
      <c r="U31" s="65"/>
      <c r="V31" s="65"/>
      <c r="W31" s="65"/>
      <c r="X31" s="65"/>
      <c r="Y31" s="65"/>
      <c r="Z31" s="65"/>
      <c r="AA31" s="65"/>
      <c r="AB31" s="124">
        <f t="shared" si="11"/>
        <v>0</v>
      </c>
      <c r="AC31" s="123">
        <f t="shared" si="12"/>
        <v>0</v>
      </c>
    </row>
    <row r="32" spans="1:29" s="8" customFormat="1">
      <c r="A32" s="7"/>
      <c r="B32" s="23" t="s">
        <v>418</v>
      </c>
      <c r="C32" s="21"/>
      <c r="D32" s="21"/>
      <c r="E32" s="63"/>
      <c r="F32" s="16"/>
      <c r="G32" s="65"/>
      <c r="H32" s="65"/>
      <c r="I32" s="65"/>
      <c r="J32" s="65"/>
      <c r="K32" s="65"/>
      <c r="L32" s="65"/>
      <c r="M32" s="65"/>
      <c r="N32" s="65"/>
      <c r="O32" s="65"/>
      <c r="P32" s="65"/>
      <c r="Q32" s="65"/>
      <c r="R32" s="65"/>
      <c r="S32" s="65"/>
      <c r="T32" s="65"/>
      <c r="U32" s="65"/>
      <c r="V32" s="65"/>
      <c r="W32" s="65"/>
      <c r="X32" s="65"/>
      <c r="Y32" s="65"/>
      <c r="Z32" s="65"/>
      <c r="AA32" s="65"/>
      <c r="AB32" s="124">
        <f t="shared" si="11"/>
        <v>0</v>
      </c>
      <c r="AC32" s="123">
        <f t="shared" si="12"/>
        <v>0</v>
      </c>
    </row>
    <row r="33" spans="1:29" s="8" customFormat="1">
      <c r="A33" s="7">
        <v>12</v>
      </c>
      <c r="B33" s="22">
        <v>0</v>
      </c>
      <c r="C33" s="15" t="e">
        <f>VLOOKUP(B33,distribucion!B$9:FK$200,2,0)</f>
        <v>#N/A</v>
      </c>
      <c r="D33" s="15" t="e">
        <f>G33+K33+M33</f>
        <v>#N/A</v>
      </c>
      <c r="E33" s="63" t="e">
        <f>VLOOKUP(B33,distribucion!B$9:FK$200,7,0)</f>
        <v>#N/A</v>
      </c>
      <c r="F33" s="16" t="e">
        <f>VLOOKUP(B33,distribucion!$B$9:$DQ$288,14,0)</f>
        <v>#N/A</v>
      </c>
      <c r="G33" s="67" t="e">
        <f>ROUND((VLOOKUP(B33,distribucion!B$9:FK$200,121,0)),2)</f>
        <v>#N/A</v>
      </c>
      <c r="H33" s="67" t="e">
        <f>ROUND((VLOOKUP(B33,distribucion!B$9:FK$200,122,0)),2)</f>
        <v>#N/A</v>
      </c>
      <c r="I33" s="62" t="e">
        <f>G33+H33</f>
        <v>#N/A</v>
      </c>
      <c r="J33" s="62" t="e">
        <f>VLOOKUP(B33,distribucion!B$9:FK$200,123,0)</f>
        <v>#N/A</v>
      </c>
      <c r="K33" s="62" t="e">
        <f>ROUND((VLOOKUP(B33,distribucion!B$9:FK$200,124,0)),2)</f>
        <v>#N/A</v>
      </c>
      <c r="L33" s="62" t="e">
        <f>VLOOKUP(B33,distribucion!B$9:FK$200,125,0)</f>
        <v>#N/A</v>
      </c>
      <c r="M33" s="62" t="e">
        <f>ROUND((VLOOKUP(B33,distribucion!B$9:FK$200,126,0)),2)</f>
        <v>#N/A</v>
      </c>
      <c r="N33" s="62" t="e">
        <f>ROUND((VLOOKUP(B33,distribucion!B$9:FK$200,127,0)),2)</f>
        <v>#N/A</v>
      </c>
      <c r="O33" s="62" t="e">
        <f>SUM(I33:N33)-J33-L33</f>
        <v>#N/A</v>
      </c>
      <c r="P33" s="62" t="e">
        <f>ROUND(((G33+K33+M33+N33)*0.0483),2)</f>
        <v>#N/A</v>
      </c>
      <c r="Q33" s="62" t="e">
        <f>ROUND((VLOOKUP(B33,distribucion!B$9:FK$200,148,0)),2)</f>
        <v>#N/A</v>
      </c>
      <c r="R33" s="62" t="e">
        <f>ROUND((VLOOKUP(B33,distribucion!B$9:FK$200,149,0)),2)</f>
        <v>#N/A</v>
      </c>
      <c r="S33" s="62">
        <v>0</v>
      </c>
      <c r="T33" s="62" t="e">
        <f>ROUND((VLOOKUP(B33,distribucion!B25:FE252,153,0)),2)</f>
        <v>#N/A</v>
      </c>
      <c r="U33" s="62" t="e">
        <f>ROUND((VLOOKUP(B33,distribucion!B25:FE252,152,0)),2)</f>
        <v>#N/A</v>
      </c>
      <c r="V33" s="62" t="e">
        <f>ROUND((VLOOKUP(B33,distribucion!B25:FE252,151,0)),2)</f>
        <v>#N/A</v>
      </c>
      <c r="W33" s="62" t="e">
        <f>ROUND((VLOOKUP(B33,distribucion!B$9:FK$200,154,0)),2)</f>
        <v>#N/A</v>
      </c>
      <c r="X33" s="62" t="e">
        <f>SUM(P33:W33)</f>
        <v>#N/A</v>
      </c>
      <c r="Y33" s="62" t="e">
        <f>O33-X33</f>
        <v>#N/A</v>
      </c>
      <c r="Z33" s="126" t="e">
        <f>+Y33</f>
        <v>#N/A</v>
      </c>
      <c r="AA33" s="62" t="e">
        <f>+Y33-Z33</f>
        <v>#N/A</v>
      </c>
      <c r="AB33" s="124" t="e">
        <f t="shared" si="11"/>
        <v>#N/A</v>
      </c>
      <c r="AC33" s="123" t="e">
        <f t="shared" si="12"/>
        <v>#N/A</v>
      </c>
    </row>
    <row r="34" spans="1:29" s="8" customFormat="1" ht="13.5" thickBot="1">
      <c r="A34" s="7"/>
      <c r="B34" s="13"/>
      <c r="C34" s="21"/>
      <c r="D34" s="21"/>
      <c r="E34" s="63"/>
      <c r="F34" s="16"/>
      <c r="G34" s="89" t="e">
        <f>+G33</f>
        <v>#N/A</v>
      </c>
      <c r="H34" s="89" t="e">
        <f t="shared" ref="H34:Z34" si="14">+H33</f>
        <v>#N/A</v>
      </c>
      <c r="I34" s="89" t="e">
        <f t="shared" si="14"/>
        <v>#N/A</v>
      </c>
      <c r="J34" s="89" t="e">
        <f t="shared" si="14"/>
        <v>#N/A</v>
      </c>
      <c r="K34" s="89" t="e">
        <f t="shared" si="14"/>
        <v>#N/A</v>
      </c>
      <c r="L34" s="89" t="e">
        <f t="shared" si="14"/>
        <v>#N/A</v>
      </c>
      <c r="M34" s="89" t="e">
        <f t="shared" si="14"/>
        <v>#N/A</v>
      </c>
      <c r="N34" s="89" t="e">
        <f t="shared" si="14"/>
        <v>#N/A</v>
      </c>
      <c r="O34" s="89" t="e">
        <f t="shared" si="14"/>
        <v>#N/A</v>
      </c>
      <c r="P34" s="89" t="e">
        <f t="shared" si="14"/>
        <v>#N/A</v>
      </c>
      <c r="Q34" s="89" t="e">
        <f t="shared" si="14"/>
        <v>#N/A</v>
      </c>
      <c r="R34" s="89" t="e">
        <f t="shared" si="14"/>
        <v>#N/A</v>
      </c>
      <c r="S34" s="89">
        <f t="shared" si="14"/>
        <v>0</v>
      </c>
      <c r="T34" s="89" t="e">
        <f t="shared" si="14"/>
        <v>#N/A</v>
      </c>
      <c r="U34" s="89" t="e">
        <f t="shared" si="14"/>
        <v>#N/A</v>
      </c>
      <c r="V34" s="89" t="e">
        <f t="shared" si="14"/>
        <v>#N/A</v>
      </c>
      <c r="W34" s="89" t="e">
        <f t="shared" si="14"/>
        <v>#N/A</v>
      </c>
      <c r="X34" s="89" t="e">
        <f t="shared" si="14"/>
        <v>#N/A</v>
      </c>
      <c r="Y34" s="89" t="e">
        <f t="shared" si="14"/>
        <v>#N/A</v>
      </c>
      <c r="Z34" s="89" t="e">
        <f t="shared" si="14"/>
        <v>#N/A</v>
      </c>
      <c r="AA34" s="89" t="e">
        <f>+AA33</f>
        <v>#N/A</v>
      </c>
      <c r="AB34" s="124" t="e">
        <f t="shared" si="11"/>
        <v>#N/A</v>
      </c>
      <c r="AC34" s="123" t="e">
        <f t="shared" si="12"/>
        <v>#N/A</v>
      </c>
    </row>
    <row r="35" spans="1:29" s="8" customFormat="1" ht="13.5" thickTop="1">
      <c r="A35" s="7"/>
      <c r="B35" s="13"/>
      <c r="C35" s="21"/>
      <c r="D35" s="21"/>
      <c r="E35" s="63"/>
      <c r="F35" s="16"/>
      <c r="G35" s="65"/>
      <c r="H35" s="65"/>
      <c r="I35" s="65"/>
      <c r="J35" s="65"/>
      <c r="K35" s="65"/>
      <c r="L35" s="65"/>
      <c r="M35" s="65"/>
      <c r="N35" s="65"/>
      <c r="O35" s="65"/>
      <c r="P35" s="65"/>
      <c r="Q35" s="65"/>
      <c r="R35" s="65"/>
      <c r="S35" s="65"/>
      <c r="T35" s="65"/>
      <c r="U35" s="65"/>
      <c r="V35" s="65"/>
      <c r="W35" s="65"/>
      <c r="X35" s="65"/>
      <c r="Y35" s="65"/>
      <c r="Z35" s="65"/>
      <c r="AA35" s="65"/>
      <c r="AB35" s="124">
        <f t="shared" si="11"/>
        <v>0</v>
      </c>
      <c r="AC35" s="123">
        <f t="shared" si="12"/>
        <v>0</v>
      </c>
    </row>
    <row r="36" spans="1:29" s="8" customFormat="1" ht="12.75">
      <c r="A36" s="7"/>
      <c r="B36" s="13"/>
      <c r="C36" s="21"/>
      <c r="D36" s="21"/>
      <c r="E36" s="63"/>
      <c r="F36" s="68" t="s">
        <v>234</v>
      </c>
      <c r="G36" s="90" t="e">
        <f t="shared" ref="G36:AA36" si="15">+G19+G30+G34</f>
        <v>#N/A</v>
      </c>
      <c r="H36" s="90" t="e">
        <f t="shared" si="15"/>
        <v>#N/A</v>
      </c>
      <c r="I36" s="90" t="e">
        <f t="shared" si="15"/>
        <v>#N/A</v>
      </c>
      <c r="J36" s="90" t="e">
        <f t="shared" si="15"/>
        <v>#N/A</v>
      </c>
      <c r="K36" s="90" t="e">
        <f t="shared" si="15"/>
        <v>#N/A</v>
      </c>
      <c r="L36" s="90" t="e">
        <f t="shared" si="15"/>
        <v>#N/A</v>
      </c>
      <c r="M36" s="90" t="e">
        <f t="shared" si="15"/>
        <v>#N/A</v>
      </c>
      <c r="N36" s="90" t="e">
        <f t="shared" si="15"/>
        <v>#N/A</v>
      </c>
      <c r="O36" s="90" t="e">
        <f t="shared" si="15"/>
        <v>#N/A</v>
      </c>
      <c r="P36" s="90" t="e">
        <f t="shared" si="15"/>
        <v>#N/A</v>
      </c>
      <c r="Q36" s="90" t="e">
        <f t="shared" si="15"/>
        <v>#N/A</v>
      </c>
      <c r="R36" s="90" t="e">
        <f t="shared" si="15"/>
        <v>#N/A</v>
      </c>
      <c r="S36" s="90">
        <f t="shared" si="15"/>
        <v>0</v>
      </c>
      <c r="T36" s="90" t="e">
        <f t="shared" si="15"/>
        <v>#N/A</v>
      </c>
      <c r="U36" s="90" t="e">
        <f t="shared" si="15"/>
        <v>#N/A</v>
      </c>
      <c r="V36" s="90" t="e">
        <f t="shared" si="15"/>
        <v>#N/A</v>
      </c>
      <c r="W36" s="90" t="e">
        <f t="shared" si="15"/>
        <v>#N/A</v>
      </c>
      <c r="X36" s="90" t="e">
        <f t="shared" si="15"/>
        <v>#N/A</v>
      </c>
      <c r="Y36" s="90" t="e">
        <f t="shared" si="15"/>
        <v>#N/A</v>
      </c>
      <c r="Z36" s="90" t="e">
        <f t="shared" si="15"/>
        <v>#N/A</v>
      </c>
      <c r="AA36" s="90" t="e">
        <f t="shared" si="15"/>
        <v>#N/A</v>
      </c>
      <c r="AB36" s="124" t="e">
        <f t="shared" si="11"/>
        <v>#N/A</v>
      </c>
      <c r="AC36" s="123" t="e">
        <f t="shared" si="12"/>
        <v>#N/A</v>
      </c>
    </row>
    <row r="37" spans="1:29" s="8" customFormat="1" ht="12.75">
      <c r="A37" s="7"/>
      <c r="B37" s="13"/>
      <c r="C37" s="21"/>
      <c r="D37" s="21"/>
      <c r="E37" s="63"/>
      <c r="F37" s="16"/>
      <c r="G37" s="65"/>
      <c r="H37" s="65"/>
      <c r="I37" s="65"/>
      <c r="J37" s="65"/>
      <c r="K37" s="65"/>
      <c r="L37" s="65"/>
      <c r="M37" s="65"/>
      <c r="N37" s="65"/>
      <c r="O37" s="65"/>
      <c r="P37" s="65"/>
      <c r="Q37" s="65"/>
      <c r="R37" s="65"/>
      <c r="S37" s="65"/>
      <c r="T37" s="65"/>
      <c r="U37" s="65"/>
      <c r="V37" s="65"/>
      <c r="W37" s="65"/>
      <c r="X37" s="65"/>
      <c r="Y37" s="65"/>
      <c r="Z37" s="65"/>
      <c r="AA37" s="65"/>
      <c r="AB37" s="124">
        <f t="shared" si="11"/>
        <v>0</v>
      </c>
      <c r="AC37" s="123">
        <f t="shared" si="12"/>
        <v>0</v>
      </c>
    </row>
    <row r="38" spans="1:29" ht="12" thickBot="1">
      <c r="A38" s="14"/>
      <c r="B38" s="14"/>
      <c r="C38" s="14" t="s">
        <v>140</v>
      </c>
      <c r="D38" s="14"/>
      <c r="E38" s="14"/>
      <c r="F38" s="16"/>
      <c r="G38" s="70" t="e">
        <f t="shared" ref="G38:AA38" si="16">G36+G10</f>
        <v>#N/A</v>
      </c>
      <c r="H38" s="70" t="e">
        <f t="shared" si="16"/>
        <v>#N/A</v>
      </c>
      <c r="I38" s="70" t="e">
        <f t="shared" si="16"/>
        <v>#N/A</v>
      </c>
      <c r="J38" s="70" t="e">
        <f t="shared" si="16"/>
        <v>#N/A</v>
      </c>
      <c r="K38" s="70" t="e">
        <f t="shared" si="16"/>
        <v>#N/A</v>
      </c>
      <c r="L38" s="70" t="e">
        <f t="shared" si="16"/>
        <v>#N/A</v>
      </c>
      <c r="M38" s="70" t="e">
        <f t="shared" si="16"/>
        <v>#N/A</v>
      </c>
      <c r="N38" s="70" t="e">
        <f t="shared" si="16"/>
        <v>#N/A</v>
      </c>
      <c r="O38" s="70" t="e">
        <f t="shared" si="16"/>
        <v>#N/A</v>
      </c>
      <c r="P38" s="70" t="e">
        <f t="shared" si="16"/>
        <v>#N/A</v>
      </c>
      <c r="Q38" s="70" t="e">
        <f t="shared" si="16"/>
        <v>#N/A</v>
      </c>
      <c r="R38" s="70" t="e">
        <f t="shared" si="16"/>
        <v>#N/A</v>
      </c>
      <c r="S38" s="70">
        <f t="shared" si="16"/>
        <v>0</v>
      </c>
      <c r="T38" s="70" t="e">
        <f t="shared" si="16"/>
        <v>#N/A</v>
      </c>
      <c r="U38" s="70" t="e">
        <f t="shared" si="16"/>
        <v>#N/A</v>
      </c>
      <c r="V38" s="70" t="e">
        <f t="shared" si="16"/>
        <v>#N/A</v>
      </c>
      <c r="W38" s="70" t="e">
        <f t="shared" si="16"/>
        <v>#N/A</v>
      </c>
      <c r="X38" s="70" t="e">
        <f t="shared" si="16"/>
        <v>#N/A</v>
      </c>
      <c r="Y38" s="70" t="e">
        <f t="shared" si="16"/>
        <v>#N/A</v>
      </c>
      <c r="Z38" s="70" t="e">
        <f t="shared" si="16"/>
        <v>#N/A</v>
      </c>
      <c r="AA38" s="70" t="e">
        <f t="shared" si="16"/>
        <v>#N/A</v>
      </c>
      <c r="AB38" s="124" t="e">
        <f t="shared" si="11"/>
        <v>#N/A</v>
      </c>
      <c r="AC38" s="123" t="e">
        <f t="shared" si="12"/>
        <v>#N/A</v>
      </c>
    </row>
    <row r="39" spans="1:29" ht="12" thickTop="1">
      <c r="A39" s="7"/>
      <c r="B39" s="7"/>
      <c r="C39" s="7"/>
      <c r="D39" s="7"/>
      <c r="E39" s="7"/>
      <c r="F39" s="16"/>
      <c r="G39" s="62"/>
      <c r="H39" s="62"/>
      <c r="I39" s="62"/>
      <c r="J39" s="62"/>
      <c r="K39" s="62"/>
      <c r="L39" s="62"/>
      <c r="M39" s="62"/>
      <c r="N39" s="62"/>
      <c r="O39" s="62"/>
      <c r="P39" s="62"/>
      <c r="Q39" s="62"/>
      <c r="R39" s="62"/>
      <c r="S39" s="62"/>
      <c r="T39" s="62"/>
      <c r="U39" s="62"/>
      <c r="V39" s="62"/>
      <c r="W39" s="62"/>
      <c r="X39" s="62"/>
      <c r="Y39" s="62"/>
      <c r="Z39" s="62"/>
      <c r="AA39" s="62"/>
      <c r="AC39" s="120" t="e">
        <f>+Y40-Z40-AA40</f>
        <v>#N/A</v>
      </c>
    </row>
    <row r="40" spans="1:29">
      <c r="A40" s="7"/>
      <c r="B40" s="7"/>
      <c r="C40" s="7"/>
      <c r="D40" s="7"/>
      <c r="E40" s="7"/>
      <c r="F40" s="16"/>
      <c r="G40" s="125" t="e">
        <f t="shared" ref="G40:AA40" si="17">SUM(G7:G38)-G10-G19-G30-G36-G38-G34</f>
        <v>#N/A</v>
      </c>
      <c r="H40" s="125" t="e">
        <f t="shared" si="17"/>
        <v>#N/A</v>
      </c>
      <c r="I40" s="125" t="e">
        <f t="shared" si="17"/>
        <v>#N/A</v>
      </c>
      <c r="J40" s="125" t="e">
        <f t="shared" si="17"/>
        <v>#N/A</v>
      </c>
      <c r="K40" s="125" t="e">
        <f t="shared" si="17"/>
        <v>#N/A</v>
      </c>
      <c r="L40" s="125" t="e">
        <f t="shared" si="17"/>
        <v>#N/A</v>
      </c>
      <c r="M40" s="125" t="e">
        <f t="shared" si="17"/>
        <v>#N/A</v>
      </c>
      <c r="N40" s="125" t="e">
        <f t="shared" si="17"/>
        <v>#N/A</v>
      </c>
      <c r="O40" s="125" t="e">
        <f t="shared" si="17"/>
        <v>#N/A</v>
      </c>
      <c r="P40" s="125" t="e">
        <f t="shared" si="17"/>
        <v>#N/A</v>
      </c>
      <c r="Q40" s="125" t="e">
        <f t="shared" si="17"/>
        <v>#N/A</v>
      </c>
      <c r="R40" s="125" t="e">
        <f t="shared" si="17"/>
        <v>#N/A</v>
      </c>
      <c r="S40" s="125">
        <f t="shared" si="17"/>
        <v>0</v>
      </c>
      <c r="T40" s="125" t="e">
        <f t="shared" si="17"/>
        <v>#N/A</v>
      </c>
      <c r="U40" s="125" t="e">
        <f t="shared" si="17"/>
        <v>#N/A</v>
      </c>
      <c r="V40" s="125" t="e">
        <f t="shared" si="17"/>
        <v>#N/A</v>
      </c>
      <c r="W40" s="125" t="e">
        <f t="shared" si="17"/>
        <v>#N/A</v>
      </c>
      <c r="X40" s="125" t="e">
        <f t="shared" si="17"/>
        <v>#N/A</v>
      </c>
      <c r="Y40" s="125" t="e">
        <f t="shared" si="17"/>
        <v>#N/A</v>
      </c>
      <c r="Z40" s="125" t="e">
        <f t="shared" si="17"/>
        <v>#N/A</v>
      </c>
      <c r="AA40" s="125" t="e">
        <f t="shared" si="17"/>
        <v>#N/A</v>
      </c>
    </row>
    <row r="41" spans="1:29">
      <c r="A41" s="7"/>
      <c r="B41" s="7"/>
      <c r="C41" s="7"/>
      <c r="D41" s="7"/>
      <c r="E41" s="7"/>
      <c r="F41" s="16"/>
      <c r="G41" s="123" t="e">
        <f>ROUND((G40-G38),2)</f>
        <v>#N/A</v>
      </c>
      <c r="H41" s="123" t="e">
        <f t="shared" ref="H41:AA41" si="18">ROUND((H40-H38),2)</f>
        <v>#N/A</v>
      </c>
      <c r="I41" s="123" t="e">
        <f t="shared" si="18"/>
        <v>#N/A</v>
      </c>
      <c r="J41" s="123" t="e">
        <f t="shared" si="18"/>
        <v>#N/A</v>
      </c>
      <c r="K41" s="123" t="e">
        <f t="shared" si="18"/>
        <v>#N/A</v>
      </c>
      <c r="L41" s="123" t="e">
        <f t="shared" si="18"/>
        <v>#N/A</v>
      </c>
      <c r="M41" s="123" t="e">
        <f t="shared" si="18"/>
        <v>#N/A</v>
      </c>
      <c r="N41" s="123" t="e">
        <f t="shared" si="18"/>
        <v>#N/A</v>
      </c>
      <c r="O41" s="123" t="e">
        <f t="shared" si="18"/>
        <v>#N/A</v>
      </c>
      <c r="P41" s="123" t="e">
        <f t="shared" si="18"/>
        <v>#N/A</v>
      </c>
      <c r="Q41" s="123" t="e">
        <f t="shared" si="18"/>
        <v>#N/A</v>
      </c>
      <c r="R41" s="123" t="e">
        <f t="shared" si="18"/>
        <v>#N/A</v>
      </c>
      <c r="S41" s="123">
        <f t="shared" si="18"/>
        <v>0</v>
      </c>
      <c r="T41" s="123" t="e">
        <f t="shared" si="18"/>
        <v>#N/A</v>
      </c>
      <c r="U41" s="123" t="e">
        <f t="shared" si="18"/>
        <v>#N/A</v>
      </c>
      <c r="V41" s="123" t="e">
        <f t="shared" si="18"/>
        <v>#N/A</v>
      </c>
      <c r="W41" s="123" t="e">
        <f t="shared" si="18"/>
        <v>#N/A</v>
      </c>
      <c r="X41" s="123" t="e">
        <f t="shared" si="18"/>
        <v>#N/A</v>
      </c>
      <c r="Y41" s="123" t="e">
        <f t="shared" si="18"/>
        <v>#N/A</v>
      </c>
      <c r="Z41" s="123" t="e">
        <f t="shared" si="18"/>
        <v>#N/A</v>
      </c>
      <c r="AA41" s="123" t="e">
        <f t="shared" si="18"/>
        <v>#N/A</v>
      </c>
    </row>
    <row r="42" spans="1:29">
      <c r="A42" s="7"/>
      <c r="B42" s="7"/>
      <c r="C42" s="7"/>
      <c r="D42" s="7"/>
      <c r="E42" s="7"/>
      <c r="F42" s="16"/>
      <c r="G42" s="124" t="e">
        <f>IF(G41&lt;&gt;0,"Error,  Total general no coincide  con la suma individual","")</f>
        <v>#N/A</v>
      </c>
      <c r="H42" s="124" t="e">
        <f t="shared" ref="H42:AA42" si="19">IF(H41&lt;&gt;0,"Error,  Total general no coincide  con la suma individual","")</f>
        <v>#N/A</v>
      </c>
      <c r="I42" s="124" t="e">
        <f t="shared" si="19"/>
        <v>#N/A</v>
      </c>
      <c r="J42" s="124" t="e">
        <f t="shared" si="19"/>
        <v>#N/A</v>
      </c>
      <c r="K42" s="124" t="e">
        <f t="shared" si="19"/>
        <v>#N/A</v>
      </c>
      <c r="L42" s="124" t="e">
        <f t="shared" si="19"/>
        <v>#N/A</v>
      </c>
      <c r="M42" s="124" t="e">
        <f t="shared" si="19"/>
        <v>#N/A</v>
      </c>
      <c r="N42" s="124" t="e">
        <f t="shared" si="19"/>
        <v>#N/A</v>
      </c>
      <c r="O42" s="124" t="e">
        <f t="shared" si="19"/>
        <v>#N/A</v>
      </c>
      <c r="P42" s="124" t="e">
        <f t="shared" si="19"/>
        <v>#N/A</v>
      </c>
      <c r="Q42" s="124" t="e">
        <f t="shared" si="19"/>
        <v>#N/A</v>
      </c>
      <c r="R42" s="124" t="e">
        <f t="shared" si="19"/>
        <v>#N/A</v>
      </c>
      <c r="S42" s="124" t="str">
        <f t="shared" si="19"/>
        <v/>
      </c>
      <c r="T42" s="124" t="e">
        <f t="shared" si="19"/>
        <v>#N/A</v>
      </c>
      <c r="U42" s="124" t="e">
        <f t="shared" si="19"/>
        <v>#N/A</v>
      </c>
      <c r="V42" s="124" t="e">
        <f t="shared" si="19"/>
        <v>#N/A</v>
      </c>
      <c r="W42" s="124" t="e">
        <f t="shared" si="19"/>
        <v>#N/A</v>
      </c>
      <c r="X42" s="124" t="e">
        <f t="shared" si="19"/>
        <v>#N/A</v>
      </c>
      <c r="Y42" s="124" t="e">
        <f t="shared" si="19"/>
        <v>#N/A</v>
      </c>
      <c r="Z42" s="124" t="e">
        <f t="shared" si="19"/>
        <v>#N/A</v>
      </c>
      <c r="AA42" s="124" t="e">
        <f t="shared" si="19"/>
        <v>#N/A</v>
      </c>
    </row>
    <row r="43" spans="1:29">
      <c r="A43" s="7"/>
      <c r="B43" s="7"/>
      <c r="C43" s="24" t="s">
        <v>238</v>
      </c>
      <c r="D43" s="18"/>
      <c r="E43" s="18"/>
      <c r="F43" s="18" t="s">
        <v>54</v>
      </c>
      <c r="G43" s="17"/>
      <c r="H43" s="62"/>
      <c r="I43" s="62"/>
      <c r="J43" s="62"/>
      <c r="K43" s="62"/>
      <c r="L43" s="62"/>
      <c r="M43" s="62"/>
      <c r="N43" s="62"/>
      <c r="O43" s="62"/>
      <c r="P43" s="62"/>
      <c r="Q43" s="62"/>
      <c r="R43" s="62"/>
      <c r="S43" s="62"/>
      <c r="T43" s="62"/>
      <c r="U43" s="62"/>
      <c r="V43" s="62"/>
      <c r="W43" s="62"/>
      <c r="X43" s="62"/>
      <c r="Y43" s="62"/>
      <c r="Z43" s="62"/>
      <c r="AA43" s="62"/>
    </row>
    <row r="44" spans="1:29">
      <c r="A44" s="7"/>
      <c r="B44" s="7"/>
      <c r="C44" s="7" t="s">
        <v>163</v>
      </c>
      <c r="D44" s="18"/>
      <c r="E44" s="18"/>
      <c r="F44" s="18"/>
      <c r="G44" s="17" t="e">
        <f>+G38</f>
        <v>#N/A</v>
      </c>
      <c r="H44" s="62"/>
      <c r="I44" s="62"/>
      <c r="J44" s="62"/>
      <c r="K44" s="62"/>
      <c r="L44" s="62"/>
      <c r="M44" s="62"/>
      <c r="N44" s="62"/>
      <c r="O44" s="62"/>
      <c r="P44" s="62"/>
      <c r="Q44" s="62"/>
      <c r="R44" s="62"/>
      <c r="S44" s="62"/>
      <c r="T44" s="62"/>
      <c r="U44" s="62"/>
      <c r="V44" s="62"/>
      <c r="W44" s="62"/>
      <c r="X44" s="62"/>
      <c r="Y44" s="62"/>
      <c r="Z44" s="62"/>
      <c r="AA44" s="62"/>
    </row>
    <row r="45" spans="1:29">
      <c r="A45" s="7"/>
      <c r="B45" s="7"/>
      <c r="C45" s="7" t="s">
        <v>239</v>
      </c>
      <c r="D45" s="18"/>
      <c r="E45" s="18"/>
      <c r="F45" s="18"/>
      <c r="G45" s="17" t="e">
        <f>+H38</f>
        <v>#N/A</v>
      </c>
      <c r="H45" s="62"/>
      <c r="I45" s="62"/>
      <c r="J45" s="62"/>
      <c r="K45" s="62"/>
      <c r="L45" s="62"/>
      <c r="M45" s="62"/>
      <c r="N45" s="62"/>
      <c r="O45" s="62"/>
      <c r="P45" s="62"/>
      <c r="Q45" s="62"/>
      <c r="R45" s="62"/>
      <c r="S45" s="62"/>
      <c r="T45" s="62"/>
      <c r="U45" s="62"/>
      <c r="V45" s="62"/>
      <c r="W45" s="62"/>
      <c r="X45" s="62"/>
      <c r="Y45" s="62"/>
      <c r="Z45" s="62"/>
      <c r="AA45" s="62"/>
    </row>
    <row r="46" spans="1:29">
      <c r="A46" s="7"/>
      <c r="B46" s="7"/>
      <c r="C46" s="7" t="s">
        <v>165</v>
      </c>
      <c r="D46" s="18"/>
      <c r="E46" s="18"/>
      <c r="F46" s="18"/>
      <c r="G46" s="17" t="e">
        <f>+K38+M38</f>
        <v>#N/A</v>
      </c>
      <c r="H46" s="62"/>
      <c r="I46" s="62"/>
      <c r="J46" s="62"/>
      <c r="K46" s="62"/>
      <c r="L46" s="62"/>
      <c r="M46" s="62"/>
      <c r="N46" s="62"/>
      <c r="O46" s="62"/>
      <c r="P46" s="62"/>
      <c r="Q46" s="62"/>
      <c r="R46" s="62"/>
      <c r="S46" s="62"/>
      <c r="T46" s="62"/>
      <c r="U46" s="62"/>
      <c r="V46" s="62"/>
      <c r="W46" s="62"/>
      <c r="X46" s="62"/>
      <c r="Y46" s="62"/>
      <c r="Z46" s="62"/>
      <c r="AA46" s="62"/>
    </row>
    <row r="47" spans="1:29">
      <c r="A47" s="7"/>
      <c r="B47" s="7"/>
      <c r="C47" s="7" t="s">
        <v>9</v>
      </c>
      <c r="D47" s="18"/>
      <c r="E47" s="18"/>
      <c r="F47" s="18"/>
      <c r="G47" s="17" t="e">
        <f>+N38</f>
        <v>#N/A</v>
      </c>
      <c r="H47" s="62"/>
      <c r="I47" s="62"/>
      <c r="J47" s="62"/>
      <c r="K47" s="62"/>
      <c r="L47" s="62"/>
      <c r="M47" s="62"/>
      <c r="N47" s="62"/>
      <c r="O47" s="62"/>
      <c r="P47" s="62"/>
      <c r="Q47" s="62"/>
      <c r="R47" s="62"/>
      <c r="S47" s="62"/>
      <c r="T47" s="62"/>
      <c r="U47" s="62"/>
      <c r="V47" s="62"/>
      <c r="W47" s="62"/>
      <c r="X47" s="62"/>
      <c r="Y47" s="62"/>
      <c r="Z47" s="62"/>
      <c r="AA47" s="62"/>
    </row>
    <row r="48" spans="1:29" ht="12" thickBot="1">
      <c r="A48" s="7"/>
      <c r="B48" s="7"/>
      <c r="C48" s="7"/>
      <c r="D48" s="18"/>
      <c r="E48" s="18"/>
      <c r="F48" s="18"/>
      <c r="G48" s="25" t="e">
        <f>SUM(G44:G47)</f>
        <v>#N/A</v>
      </c>
      <c r="H48" s="62"/>
      <c r="I48" s="62"/>
      <c r="J48" s="62"/>
      <c r="K48" s="62"/>
      <c r="L48" s="62"/>
      <c r="M48" s="62"/>
      <c r="N48" s="62"/>
      <c r="O48" s="62"/>
      <c r="P48" s="62"/>
      <c r="Q48" s="62"/>
      <c r="R48" s="62"/>
      <c r="S48" s="62"/>
      <c r="T48" s="62"/>
      <c r="U48" s="62"/>
      <c r="V48" s="62"/>
      <c r="W48" s="62"/>
      <c r="X48" s="62"/>
      <c r="Y48" s="62"/>
      <c r="Z48" s="62"/>
      <c r="AA48" s="62"/>
    </row>
    <row r="49" spans="1:27" ht="12" thickTop="1">
      <c r="A49" s="7"/>
      <c r="B49" s="7"/>
      <c r="C49" s="7"/>
      <c r="D49" s="7"/>
      <c r="E49" s="7"/>
      <c r="G49" s="62"/>
      <c r="H49" s="62"/>
      <c r="I49" s="62"/>
      <c r="J49" s="62"/>
      <c r="K49" s="62"/>
      <c r="L49" s="62"/>
      <c r="M49" s="62"/>
      <c r="N49" s="62"/>
      <c r="O49" s="62"/>
      <c r="P49" s="62"/>
      <c r="Q49" s="62"/>
      <c r="R49" s="62"/>
      <c r="S49" s="62"/>
      <c r="T49" s="62"/>
      <c r="U49" s="62"/>
      <c r="V49" s="62"/>
      <c r="W49" s="62"/>
      <c r="X49" s="62"/>
      <c r="Y49" s="62"/>
      <c r="Z49" s="62"/>
      <c r="AA49" s="62"/>
    </row>
    <row r="50" spans="1:27">
      <c r="A50" s="7"/>
      <c r="B50" s="7"/>
      <c r="C50" s="7"/>
      <c r="D50" s="7"/>
      <c r="E50" s="7"/>
      <c r="G50" s="62"/>
      <c r="H50" s="62"/>
      <c r="I50" s="62"/>
      <c r="J50" s="62"/>
      <c r="K50" s="62"/>
      <c r="L50" s="62"/>
      <c r="M50" s="62"/>
      <c r="N50" s="62"/>
      <c r="O50" s="62"/>
      <c r="P50" s="62"/>
      <c r="Q50" s="62"/>
      <c r="R50" s="62"/>
      <c r="S50" s="62"/>
      <c r="T50" s="62"/>
      <c r="U50" s="62"/>
      <c r="V50" s="62"/>
      <c r="W50" s="62"/>
      <c r="X50" s="62"/>
      <c r="Y50" s="62"/>
      <c r="Z50" s="62"/>
      <c r="AA50" s="62"/>
    </row>
    <row r="51" spans="1:27">
      <c r="A51" s="7"/>
      <c r="B51" s="7"/>
      <c r="C51" s="7"/>
      <c r="D51" s="7"/>
      <c r="E51" s="7"/>
      <c r="G51" s="62"/>
      <c r="H51" s="62"/>
      <c r="I51" s="62"/>
      <c r="J51" s="62"/>
      <c r="K51" s="62"/>
      <c r="L51" s="62"/>
      <c r="M51" s="62"/>
      <c r="N51" s="62"/>
      <c r="O51" s="62"/>
      <c r="P51" s="62"/>
      <c r="Q51" s="62"/>
      <c r="R51" s="62"/>
      <c r="S51" s="62"/>
      <c r="T51" s="62"/>
      <c r="U51" s="62"/>
      <c r="V51" s="62"/>
      <c r="W51" s="62"/>
      <c r="X51" s="62"/>
      <c r="Y51" s="62"/>
      <c r="Z51" s="62"/>
      <c r="AA51" s="62"/>
    </row>
    <row r="52" spans="1:27">
      <c r="A52" s="7"/>
      <c r="B52" s="7"/>
      <c r="C52" s="7"/>
      <c r="D52" s="7"/>
      <c r="E52" s="7"/>
      <c r="G52" s="62"/>
      <c r="H52" s="62"/>
      <c r="I52" s="62"/>
      <c r="J52" s="62"/>
      <c r="K52" s="62"/>
      <c r="L52" s="62"/>
      <c r="M52" s="62"/>
      <c r="N52" s="62"/>
      <c r="O52" s="62"/>
      <c r="P52" s="62"/>
      <c r="Q52" s="62"/>
      <c r="R52" s="62"/>
      <c r="S52" s="62"/>
      <c r="T52" s="62"/>
      <c r="U52" s="62"/>
      <c r="V52" s="62"/>
      <c r="W52" s="62"/>
      <c r="X52" s="62"/>
      <c r="Y52" s="62"/>
      <c r="Z52" s="62"/>
      <c r="AA52" s="62"/>
    </row>
    <row r="53" spans="1:27">
      <c r="A53" s="7"/>
      <c r="B53" s="7"/>
      <c r="C53" s="7"/>
      <c r="D53" s="7"/>
      <c r="E53" s="7"/>
      <c r="G53" s="62"/>
      <c r="H53" s="62"/>
      <c r="I53" s="62"/>
      <c r="J53" s="62"/>
      <c r="K53" s="62"/>
      <c r="L53" s="62"/>
      <c r="M53" s="62"/>
      <c r="N53" s="62"/>
      <c r="O53" s="62"/>
      <c r="P53" s="62"/>
      <c r="Q53" s="62"/>
      <c r="R53" s="62"/>
      <c r="S53" s="62"/>
      <c r="T53" s="62"/>
      <c r="U53" s="62"/>
      <c r="V53" s="62"/>
      <c r="W53" s="62"/>
      <c r="X53" s="62"/>
      <c r="Y53" s="62"/>
      <c r="Z53" s="62"/>
      <c r="AA53" s="62"/>
    </row>
    <row r="54" spans="1:27">
      <c r="A54" s="7"/>
      <c r="B54" s="7"/>
      <c r="C54" s="7"/>
      <c r="D54" s="7"/>
      <c r="E54" s="7"/>
      <c r="G54" s="62"/>
      <c r="H54" s="62"/>
      <c r="I54" s="62"/>
      <c r="J54" s="62"/>
      <c r="K54" s="62"/>
      <c r="L54" s="62"/>
      <c r="M54" s="62"/>
      <c r="N54" s="62"/>
      <c r="O54" s="62"/>
      <c r="P54" s="62"/>
      <c r="Q54" s="62"/>
      <c r="R54" s="62"/>
      <c r="S54" s="62"/>
      <c r="T54" s="62"/>
      <c r="U54" s="62"/>
      <c r="V54" s="62"/>
      <c r="W54" s="62"/>
      <c r="X54" s="62"/>
      <c r="Y54" s="62"/>
      <c r="Z54" s="62"/>
      <c r="AA54" s="62"/>
    </row>
    <row r="55" spans="1:27">
      <c r="A55" s="7"/>
      <c r="B55" s="7"/>
      <c r="C55" s="7"/>
      <c r="D55" s="7"/>
      <c r="E55" s="7"/>
      <c r="G55" s="62"/>
      <c r="H55" s="62"/>
      <c r="I55" s="62"/>
      <c r="J55" s="62"/>
      <c r="K55" s="62"/>
      <c r="L55" s="62"/>
      <c r="M55" s="62"/>
      <c r="N55" s="62"/>
      <c r="O55" s="62"/>
      <c r="P55" s="62"/>
      <c r="Q55" s="62"/>
      <c r="R55" s="62"/>
      <c r="S55" s="62"/>
      <c r="T55" s="62"/>
      <c r="U55" s="62"/>
      <c r="V55" s="62"/>
      <c r="W55" s="62"/>
      <c r="X55" s="62"/>
      <c r="Y55" s="62"/>
      <c r="Z55" s="62"/>
      <c r="AA55" s="62"/>
    </row>
    <row r="56" spans="1:27">
      <c r="A56" s="7"/>
      <c r="B56" s="7"/>
      <c r="C56" s="7"/>
      <c r="D56" s="7"/>
      <c r="E56" s="7"/>
      <c r="G56" s="62"/>
      <c r="H56" s="62"/>
      <c r="I56" s="62"/>
      <c r="J56" s="62"/>
      <c r="K56" s="62"/>
      <c r="L56" s="62"/>
      <c r="M56" s="62"/>
      <c r="N56" s="62"/>
      <c r="O56" s="62"/>
      <c r="P56" s="62"/>
      <c r="Q56" s="62"/>
      <c r="R56" s="62"/>
      <c r="S56" s="62"/>
      <c r="T56" s="62"/>
      <c r="U56" s="62"/>
      <c r="V56" s="62"/>
      <c r="W56" s="62"/>
      <c r="X56" s="62"/>
      <c r="Y56" s="62"/>
      <c r="Z56" s="62"/>
      <c r="AA56" s="62"/>
    </row>
    <row r="57" spans="1:27">
      <c r="A57" s="7"/>
      <c r="B57" s="7"/>
      <c r="C57" s="7"/>
      <c r="D57" s="7"/>
      <c r="E57" s="7"/>
      <c r="G57" s="62"/>
      <c r="H57" s="62"/>
      <c r="I57" s="62"/>
      <c r="J57" s="62"/>
      <c r="K57" s="62"/>
      <c r="L57" s="62"/>
      <c r="M57" s="62"/>
      <c r="N57" s="62"/>
      <c r="O57" s="62"/>
      <c r="P57" s="62"/>
      <c r="Q57" s="62"/>
      <c r="R57" s="62"/>
      <c r="S57" s="62"/>
      <c r="T57" s="62"/>
      <c r="U57" s="62"/>
      <c r="V57" s="62"/>
      <c r="W57" s="62"/>
      <c r="X57" s="62"/>
      <c r="Y57" s="62"/>
      <c r="Z57" s="62"/>
      <c r="AA57" s="62"/>
    </row>
    <row r="58" spans="1:27">
      <c r="A58" s="7"/>
      <c r="B58" s="7"/>
      <c r="C58" s="7"/>
      <c r="D58" s="7"/>
      <c r="E58" s="7"/>
      <c r="G58" s="62"/>
      <c r="H58" s="62"/>
      <c r="I58" s="62"/>
      <c r="J58" s="62"/>
      <c r="K58" s="62"/>
      <c r="L58" s="62"/>
      <c r="M58" s="62"/>
      <c r="N58" s="62"/>
      <c r="O58" s="62"/>
      <c r="P58" s="62"/>
      <c r="Q58" s="62"/>
      <c r="R58" s="62"/>
      <c r="S58" s="62"/>
      <c r="T58" s="62"/>
      <c r="U58" s="62"/>
      <c r="V58" s="62"/>
      <c r="W58" s="62"/>
      <c r="X58" s="62"/>
      <c r="Y58" s="62"/>
      <c r="Z58" s="62"/>
      <c r="AA58" s="62"/>
    </row>
    <row r="59" spans="1:27">
      <c r="A59" s="7"/>
      <c r="B59" s="7"/>
      <c r="C59" s="7"/>
      <c r="D59" s="7"/>
      <c r="E59" s="7"/>
      <c r="G59" s="62"/>
      <c r="H59" s="62"/>
      <c r="I59" s="62"/>
      <c r="J59" s="62"/>
      <c r="K59" s="62"/>
      <c r="L59" s="62"/>
      <c r="M59" s="62"/>
      <c r="N59" s="62"/>
      <c r="O59" s="62"/>
      <c r="P59" s="62"/>
      <c r="Q59" s="62"/>
      <c r="R59" s="62"/>
      <c r="S59" s="62"/>
      <c r="T59" s="62"/>
      <c r="U59" s="62"/>
      <c r="V59" s="62"/>
      <c r="W59" s="62"/>
      <c r="X59" s="62"/>
      <c r="Y59" s="62"/>
      <c r="Z59" s="62"/>
      <c r="AA59" s="62"/>
    </row>
    <row r="60" spans="1:27">
      <c r="A60" s="7"/>
      <c r="B60" s="7"/>
      <c r="C60" s="7"/>
      <c r="D60" s="7"/>
      <c r="E60" s="7"/>
      <c r="G60" s="62"/>
      <c r="H60" s="62"/>
      <c r="I60" s="62"/>
      <c r="J60" s="62"/>
      <c r="K60" s="62"/>
      <c r="L60" s="62"/>
      <c r="M60" s="62"/>
      <c r="N60" s="62"/>
      <c r="O60" s="62"/>
      <c r="P60" s="62"/>
      <c r="Q60" s="62"/>
      <c r="R60" s="62"/>
      <c r="S60" s="62"/>
      <c r="T60" s="62"/>
      <c r="U60" s="62"/>
      <c r="V60" s="62"/>
      <c r="W60" s="62"/>
      <c r="X60" s="62"/>
      <c r="Y60" s="62"/>
      <c r="Z60" s="62"/>
      <c r="AA60" s="62"/>
    </row>
    <row r="61" spans="1:27">
      <c r="A61" s="7"/>
      <c r="B61" s="7"/>
      <c r="C61" s="7"/>
      <c r="D61" s="7"/>
      <c r="E61" s="7"/>
      <c r="G61" s="62"/>
      <c r="H61" s="62"/>
      <c r="I61" s="62"/>
      <c r="J61" s="62"/>
      <c r="K61" s="62"/>
      <c r="L61" s="62"/>
      <c r="M61" s="62"/>
      <c r="N61" s="62"/>
      <c r="O61" s="62"/>
      <c r="P61" s="62"/>
      <c r="Q61" s="62"/>
      <c r="R61" s="62"/>
      <c r="S61" s="62"/>
      <c r="T61" s="62"/>
      <c r="U61" s="62"/>
      <c r="V61" s="62"/>
      <c r="W61" s="62"/>
      <c r="X61" s="62"/>
      <c r="Y61" s="62"/>
      <c r="Z61" s="62"/>
      <c r="AA61" s="62"/>
    </row>
    <row r="62" spans="1:27">
      <c r="A62" s="7"/>
      <c r="B62" s="7"/>
      <c r="C62" s="7"/>
      <c r="D62" s="7"/>
      <c r="E62" s="7"/>
      <c r="G62" s="62"/>
      <c r="H62" s="62"/>
      <c r="I62" s="62"/>
      <c r="J62" s="62"/>
      <c r="K62" s="62"/>
      <c r="L62" s="62"/>
      <c r="M62" s="62"/>
      <c r="N62" s="62"/>
      <c r="O62" s="62"/>
      <c r="P62" s="62"/>
      <c r="Q62" s="62"/>
      <c r="R62" s="62"/>
      <c r="S62" s="62"/>
      <c r="T62" s="62"/>
      <c r="U62" s="62"/>
      <c r="V62" s="62"/>
      <c r="W62" s="62"/>
      <c r="X62" s="62"/>
      <c r="Y62" s="62"/>
      <c r="Z62" s="62"/>
      <c r="AA62" s="62"/>
    </row>
    <row r="63" spans="1:27">
      <c r="A63" s="7"/>
      <c r="B63" s="7"/>
      <c r="C63" s="7"/>
      <c r="D63" s="7"/>
      <c r="E63" s="7"/>
      <c r="G63" s="62"/>
      <c r="H63" s="62"/>
      <c r="I63" s="62"/>
      <c r="J63" s="62"/>
      <c r="K63" s="62"/>
      <c r="L63" s="62"/>
      <c r="M63" s="62"/>
      <c r="N63" s="62"/>
      <c r="O63" s="62"/>
      <c r="P63" s="62"/>
      <c r="Q63" s="62"/>
      <c r="R63" s="62"/>
      <c r="S63" s="62"/>
      <c r="T63" s="62"/>
      <c r="U63" s="62"/>
      <c r="V63" s="62"/>
      <c r="W63" s="62"/>
      <c r="X63" s="62"/>
      <c r="Y63" s="62"/>
      <c r="Z63" s="62"/>
      <c r="AA63" s="62"/>
    </row>
    <row r="64" spans="1:27">
      <c r="A64" s="7"/>
      <c r="B64" s="7"/>
      <c r="C64" s="7"/>
      <c r="D64" s="7"/>
      <c r="E64" s="7"/>
      <c r="G64" s="62"/>
      <c r="H64" s="62"/>
      <c r="I64" s="62"/>
      <c r="J64" s="62"/>
      <c r="K64" s="62"/>
      <c r="L64" s="62"/>
      <c r="M64" s="62"/>
      <c r="N64" s="62"/>
      <c r="O64" s="62"/>
      <c r="P64" s="62"/>
      <c r="Q64" s="62"/>
      <c r="R64" s="62"/>
      <c r="S64" s="62"/>
      <c r="T64" s="62"/>
      <c r="U64" s="62"/>
      <c r="V64" s="62"/>
      <c r="W64" s="62"/>
      <c r="X64" s="62"/>
      <c r="Y64" s="62"/>
      <c r="Z64" s="62"/>
      <c r="AA64" s="62"/>
    </row>
    <row r="65" spans="1:27">
      <c r="A65" s="7"/>
      <c r="B65" s="7"/>
      <c r="C65" s="7"/>
      <c r="D65" s="7"/>
      <c r="E65" s="7"/>
      <c r="G65" s="62"/>
      <c r="H65" s="62"/>
      <c r="I65" s="62"/>
      <c r="J65" s="62"/>
      <c r="K65" s="62"/>
      <c r="L65" s="62"/>
      <c r="M65" s="62"/>
      <c r="N65" s="62"/>
      <c r="O65" s="62"/>
      <c r="P65" s="62"/>
      <c r="Q65" s="62"/>
      <c r="R65" s="62"/>
      <c r="S65" s="62"/>
      <c r="T65" s="62"/>
      <c r="U65" s="62"/>
      <c r="V65" s="62"/>
      <c r="W65" s="62"/>
      <c r="X65" s="62"/>
      <c r="Y65" s="62"/>
      <c r="Z65" s="62"/>
      <c r="AA65" s="62"/>
    </row>
    <row r="66" spans="1:27">
      <c r="A66" s="7"/>
      <c r="B66" s="7"/>
      <c r="C66" s="7"/>
      <c r="D66" s="7"/>
      <c r="E66" s="7"/>
      <c r="G66" s="62"/>
      <c r="H66" s="62"/>
      <c r="I66" s="62"/>
      <c r="J66" s="62"/>
      <c r="K66" s="62"/>
      <c r="L66" s="62"/>
      <c r="M66" s="62"/>
      <c r="N66" s="62"/>
      <c r="O66" s="62"/>
      <c r="P66" s="62"/>
      <c r="Q66" s="62"/>
      <c r="R66" s="62"/>
      <c r="S66" s="62"/>
      <c r="T66" s="62"/>
      <c r="U66" s="62"/>
      <c r="V66" s="62"/>
      <c r="W66" s="62"/>
      <c r="X66" s="62"/>
      <c r="Y66" s="62"/>
      <c r="Z66" s="62"/>
      <c r="AA66" s="62"/>
    </row>
    <row r="67" spans="1:27">
      <c r="A67" s="7"/>
      <c r="B67" s="7"/>
      <c r="C67" s="7"/>
      <c r="D67" s="7"/>
      <c r="E67" s="7"/>
      <c r="G67" s="62"/>
      <c r="H67" s="62"/>
      <c r="I67" s="62"/>
      <c r="J67" s="62"/>
      <c r="K67" s="62"/>
      <c r="L67" s="62"/>
      <c r="M67" s="62"/>
      <c r="N67" s="62"/>
      <c r="O67" s="62"/>
      <c r="P67" s="62"/>
      <c r="Q67" s="62"/>
      <c r="R67" s="62"/>
      <c r="S67" s="62"/>
      <c r="T67" s="62"/>
      <c r="U67" s="62"/>
      <c r="V67" s="62"/>
      <c r="W67" s="62"/>
      <c r="X67" s="62"/>
      <c r="Y67" s="62"/>
      <c r="Z67" s="62"/>
      <c r="AA67" s="62"/>
    </row>
    <row r="68" spans="1:27">
      <c r="A68" s="7"/>
      <c r="B68" s="7"/>
      <c r="C68" s="7"/>
      <c r="D68" s="7"/>
      <c r="E68" s="7"/>
      <c r="G68" s="62"/>
      <c r="H68" s="62"/>
      <c r="I68" s="62"/>
      <c r="J68" s="62"/>
      <c r="K68" s="62"/>
      <c r="L68" s="62"/>
      <c r="M68" s="62"/>
      <c r="N68" s="62"/>
      <c r="O68" s="62"/>
      <c r="P68" s="62"/>
      <c r="Q68" s="62"/>
      <c r="R68" s="62"/>
      <c r="S68" s="62"/>
      <c r="T68" s="62"/>
      <c r="U68" s="62"/>
      <c r="V68" s="62"/>
      <c r="W68" s="62"/>
      <c r="X68" s="62"/>
      <c r="Y68" s="62"/>
      <c r="Z68" s="62"/>
      <c r="AA68" s="62"/>
    </row>
    <row r="69" spans="1:27">
      <c r="A69" s="7"/>
      <c r="B69" s="7"/>
      <c r="C69" s="7"/>
      <c r="D69" s="7"/>
      <c r="E69" s="7"/>
      <c r="G69" s="62"/>
      <c r="H69" s="62"/>
      <c r="I69" s="62"/>
      <c r="J69" s="62"/>
      <c r="K69" s="62"/>
      <c r="L69" s="62"/>
      <c r="M69" s="62"/>
      <c r="N69" s="62"/>
      <c r="O69" s="62"/>
      <c r="P69" s="62"/>
      <c r="Q69" s="62"/>
      <c r="R69" s="62"/>
      <c r="S69" s="62"/>
      <c r="T69" s="62"/>
      <c r="U69" s="62"/>
      <c r="V69" s="62"/>
      <c r="W69" s="62"/>
      <c r="X69" s="62"/>
      <c r="Y69" s="62"/>
      <c r="Z69" s="62"/>
      <c r="AA69" s="62"/>
    </row>
    <row r="70" spans="1:27">
      <c r="A70" s="7"/>
      <c r="B70" s="7"/>
      <c r="C70" s="7"/>
      <c r="D70" s="7"/>
      <c r="E70" s="7"/>
      <c r="G70" s="62"/>
      <c r="H70" s="62"/>
      <c r="I70" s="62"/>
      <c r="J70" s="62"/>
      <c r="K70" s="62"/>
      <c r="L70" s="62"/>
      <c r="M70" s="62"/>
      <c r="N70" s="62"/>
      <c r="O70" s="62"/>
      <c r="P70" s="62"/>
      <c r="Q70" s="62"/>
      <c r="R70" s="62"/>
      <c r="S70" s="62"/>
      <c r="T70" s="62"/>
      <c r="U70" s="62"/>
      <c r="V70" s="62"/>
      <c r="W70" s="62"/>
      <c r="X70" s="62"/>
      <c r="Y70" s="62"/>
      <c r="Z70" s="62"/>
      <c r="AA70" s="62"/>
    </row>
    <row r="71" spans="1:27">
      <c r="A71" s="7"/>
      <c r="B71" s="7"/>
      <c r="C71" s="7"/>
      <c r="D71" s="7"/>
      <c r="E71" s="7"/>
      <c r="G71" s="62"/>
      <c r="H71" s="62"/>
      <c r="I71" s="62"/>
      <c r="J71" s="62"/>
      <c r="K71" s="62"/>
      <c r="L71" s="62"/>
      <c r="M71" s="62"/>
      <c r="N71" s="62"/>
      <c r="O71" s="62"/>
      <c r="P71" s="62"/>
      <c r="Q71" s="62"/>
      <c r="R71" s="62"/>
      <c r="S71" s="62"/>
      <c r="T71" s="62"/>
      <c r="U71" s="62"/>
      <c r="V71" s="62"/>
      <c r="W71" s="62"/>
      <c r="X71" s="62"/>
      <c r="Y71" s="62"/>
      <c r="Z71" s="62"/>
      <c r="AA71" s="62"/>
    </row>
    <row r="72" spans="1:27">
      <c r="A72" s="7"/>
      <c r="B72" s="7"/>
      <c r="C72" s="7"/>
      <c r="D72" s="7"/>
      <c r="E72" s="7"/>
      <c r="G72" s="62"/>
      <c r="H72" s="62"/>
      <c r="I72" s="62"/>
      <c r="J72" s="62"/>
      <c r="K72" s="62"/>
      <c r="L72" s="62"/>
      <c r="M72" s="62"/>
      <c r="N72" s="62"/>
      <c r="O72" s="62"/>
      <c r="P72" s="62"/>
      <c r="Q72" s="62"/>
      <c r="R72" s="62"/>
      <c r="S72" s="62"/>
      <c r="T72" s="62"/>
      <c r="U72" s="62"/>
      <c r="V72" s="62"/>
      <c r="W72" s="62"/>
      <c r="X72" s="62"/>
      <c r="Y72" s="62"/>
      <c r="Z72" s="62"/>
      <c r="AA72" s="62"/>
    </row>
    <row r="73" spans="1:27">
      <c r="A73" s="7"/>
      <c r="B73" s="7"/>
      <c r="C73" s="7"/>
      <c r="D73" s="7"/>
      <c r="E73" s="7"/>
      <c r="G73" s="62"/>
      <c r="H73" s="62"/>
      <c r="I73" s="62"/>
      <c r="J73" s="62"/>
      <c r="K73" s="62"/>
      <c r="L73" s="62"/>
      <c r="M73" s="62"/>
      <c r="N73" s="62"/>
      <c r="O73" s="62"/>
      <c r="P73" s="62"/>
      <c r="Q73" s="62"/>
      <c r="R73" s="62"/>
      <c r="S73" s="62"/>
      <c r="T73" s="62"/>
      <c r="U73" s="62"/>
      <c r="V73" s="62"/>
      <c r="W73" s="62"/>
      <c r="X73" s="62"/>
      <c r="Y73" s="62"/>
      <c r="Z73" s="62"/>
      <c r="AA73" s="62"/>
    </row>
    <row r="74" spans="1:27">
      <c r="A74" s="7"/>
      <c r="B74" s="7"/>
      <c r="C74" s="7"/>
      <c r="D74" s="7"/>
      <c r="E74" s="7"/>
      <c r="G74" s="17"/>
      <c r="H74" s="17"/>
      <c r="I74" s="17"/>
      <c r="J74" s="17"/>
      <c r="K74" s="17"/>
      <c r="L74" s="17"/>
      <c r="M74" s="17"/>
      <c r="N74" s="17"/>
      <c r="O74" s="17"/>
      <c r="P74" s="17"/>
      <c r="Q74" s="17"/>
      <c r="R74" s="17"/>
      <c r="S74" s="17"/>
      <c r="T74" s="17"/>
      <c r="U74" s="17"/>
      <c r="V74" s="17"/>
      <c r="W74" s="17"/>
      <c r="X74" s="17"/>
      <c r="Y74" s="17"/>
      <c r="Z74" s="17"/>
      <c r="AA74" s="17"/>
    </row>
    <row r="75" spans="1:27">
      <c r="A75" s="7"/>
      <c r="B75" s="7"/>
      <c r="C75" s="7"/>
      <c r="D75" s="7"/>
      <c r="E75" s="7"/>
      <c r="G75" s="17"/>
      <c r="H75" s="17"/>
      <c r="I75" s="17"/>
      <c r="J75" s="17"/>
      <c r="K75" s="17"/>
      <c r="L75" s="17"/>
      <c r="M75" s="17"/>
      <c r="N75" s="17"/>
      <c r="O75" s="17"/>
      <c r="P75" s="17"/>
      <c r="Q75" s="17"/>
      <c r="R75" s="17"/>
      <c r="S75" s="17"/>
      <c r="T75" s="17"/>
      <c r="U75" s="17"/>
      <c r="V75" s="17"/>
      <c r="W75" s="17"/>
      <c r="X75" s="17"/>
      <c r="Y75" s="17"/>
      <c r="Z75" s="17"/>
      <c r="AA75" s="17"/>
    </row>
    <row r="76" spans="1:27">
      <c r="A76" s="7"/>
      <c r="B76" s="7"/>
      <c r="C76" s="7"/>
      <c r="D76" s="7"/>
      <c r="E76" s="7"/>
      <c r="G76" s="17"/>
      <c r="H76" s="17"/>
      <c r="I76" s="17"/>
      <c r="J76" s="17"/>
      <c r="K76" s="17"/>
      <c r="L76" s="17"/>
      <c r="M76" s="17"/>
      <c r="N76" s="17"/>
      <c r="O76" s="17"/>
      <c r="P76" s="17"/>
      <c r="Q76" s="17"/>
      <c r="R76" s="17"/>
      <c r="S76" s="17"/>
      <c r="T76" s="17"/>
      <c r="U76" s="17"/>
      <c r="V76" s="17"/>
      <c r="W76" s="17"/>
      <c r="X76" s="17"/>
      <c r="Y76" s="17"/>
      <c r="Z76" s="17"/>
      <c r="AA76" s="17"/>
    </row>
    <row r="77" spans="1:27">
      <c r="A77" s="7"/>
      <c r="B77" s="7"/>
      <c r="C77" s="7"/>
      <c r="D77" s="7"/>
      <c r="E77" s="7"/>
      <c r="G77" s="17"/>
      <c r="H77" s="17"/>
      <c r="I77" s="17"/>
      <c r="J77" s="17"/>
      <c r="K77" s="17"/>
      <c r="L77" s="17"/>
      <c r="M77" s="17"/>
      <c r="N77" s="17"/>
      <c r="O77" s="17"/>
      <c r="P77" s="17"/>
      <c r="Q77" s="17"/>
      <c r="R77" s="17"/>
      <c r="S77" s="17"/>
      <c r="T77" s="17"/>
      <c r="U77" s="17"/>
      <c r="V77" s="17"/>
      <c r="W77" s="17"/>
      <c r="X77" s="17"/>
      <c r="Y77" s="17"/>
      <c r="Z77" s="17"/>
      <c r="AA77" s="17"/>
    </row>
    <row r="78" spans="1:27">
      <c r="A78" s="7"/>
      <c r="B78" s="7"/>
      <c r="C78" s="7"/>
      <c r="D78" s="7"/>
      <c r="E78" s="7"/>
      <c r="G78" s="17"/>
      <c r="H78" s="17"/>
      <c r="I78" s="17"/>
      <c r="J78" s="17"/>
      <c r="K78" s="17"/>
      <c r="L78" s="17"/>
      <c r="M78" s="17"/>
      <c r="N78" s="17"/>
      <c r="O78" s="17"/>
      <c r="P78" s="17"/>
      <c r="Q78" s="17"/>
      <c r="R78" s="17"/>
      <c r="S78" s="17"/>
      <c r="T78" s="17"/>
      <c r="U78" s="17"/>
      <c r="V78" s="17"/>
      <c r="W78" s="17"/>
      <c r="X78" s="17"/>
      <c r="Y78" s="17"/>
      <c r="Z78" s="17"/>
      <c r="AA78" s="17"/>
    </row>
    <row r="79" spans="1:27">
      <c r="A79" s="7"/>
      <c r="B79" s="7"/>
      <c r="C79" s="7"/>
      <c r="D79" s="7"/>
      <c r="E79" s="7"/>
      <c r="G79" s="17"/>
      <c r="H79" s="17"/>
      <c r="I79" s="17"/>
      <c r="J79" s="17"/>
      <c r="K79" s="17"/>
      <c r="L79" s="17"/>
      <c r="M79" s="17"/>
      <c r="N79" s="17"/>
      <c r="O79" s="17"/>
      <c r="P79" s="17"/>
      <c r="Q79" s="17"/>
      <c r="R79" s="17"/>
      <c r="S79" s="17"/>
      <c r="T79" s="17"/>
      <c r="U79" s="17"/>
      <c r="V79" s="17"/>
      <c r="W79" s="17"/>
      <c r="X79" s="17"/>
      <c r="Y79" s="17"/>
      <c r="Z79" s="17"/>
      <c r="AA79" s="17"/>
    </row>
    <row r="80" spans="1:27">
      <c r="A80" s="7"/>
      <c r="B80" s="7"/>
      <c r="C80" s="7"/>
      <c r="D80" s="7"/>
      <c r="E80" s="7"/>
      <c r="G80" s="17"/>
      <c r="H80" s="17"/>
      <c r="I80" s="17"/>
      <c r="J80" s="17"/>
      <c r="K80" s="17"/>
      <c r="L80" s="17"/>
      <c r="M80" s="17"/>
      <c r="N80" s="17"/>
      <c r="O80" s="17"/>
      <c r="P80" s="17"/>
      <c r="Q80" s="17"/>
      <c r="R80" s="17"/>
      <c r="S80" s="17"/>
      <c r="T80" s="17"/>
      <c r="U80" s="17"/>
      <c r="V80" s="17"/>
      <c r="W80" s="17"/>
      <c r="X80" s="17"/>
      <c r="Y80" s="17"/>
      <c r="Z80" s="17"/>
      <c r="AA80" s="17"/>
    </row>
    <row r="81" spans="1:27">
      <c r="A81" s="7"/>
      <c r="B81" s="7"/>
      <c r="C81" s="7"/>
      <c r="D81" s="7"/>
      <c r="E81" s="7"/>
      <c r="G81" s="17"/>
      <c r="H81" s="17"/>
      <c r="I81" s="17"/>
      <c r="J81" s="17"/>
      <c r="K81" s="17"/>
      <c r="L81" s="17"/>
      <c r="M81" s="17"/>
      <c r="N81" s="17"/>
      <c r="O81" s="17"/>
      <c r="P81" s="17"/>
      <c r="Q81" s="17"/>
      <c r="R81" s="17"/>
      <c r="S81" s="17"/>
      <c r="T81" s="17"/>
      <c r="U81" s="17"/>
      <c r="V81" s="17"/>
      <c r="W81" s="17"/>
      <c r="X81" s="17"/>
      <c r="Y81" s="17"/>
      <c r="Z81" s="17"/>
      <c r="AA81" s="17"/>
    </row>
    <row r="82" spans="1:27">
      <c r="A82" s="7"/>
      <c r="B82" s="7"/>
      <c r="C82" s="7"/>
      <c r="D82" s="7"/>
      <c r="E82" s="7"/>
      <c r="G82" s="17"/>
      <c r="H82" s="17"/>
      <c r="I82" s="17"/>
      <c r="J82" s="17"/>
      <c r="K82" s="17"/>
      <c r="L82" s="17"/>
      <c r="M82" s="17"/>
      <c r="N82" s="17"/>
      <c r="O82" s="17"/>
      <c r="P82" s="17"/>
      <c r="Q82" s="17"/>
      <c r="R82" s="17"/>
      <c r="S82" s="17"/>
      <c r="T82" s="17"/>
      <c r="U82" s="17"/>
      <c r="V82" s="17"/>
      <c r="W82" s="17"/>
      <c r="X82" s="17"/>
      <c r="Y82" s="17"/>
      <c r="Z82" s="17"/>
      <c r="AA82" s="17"/>
    </row>
    <row r="83" spans="1:27">
      <c r="A83" s="7"/>
      <c r="B83" s="7"/>
      <c r="C83" s="7"/>
      <c r="D83" s="7"/>
      <c r="E83" s="7"/>
      <c r="G83" s="17"/>
      <c r="H83" s="17"/>
      <c r="I83" s="17"/>
      <c r="J83" s="17"/>
      <c r="K83" s="17"/>
      <c r="L83" s="17"/>
      <c r="M83" s="17"/>
      <c r="N83" s="17"/>
      <c r="O83" s="17"/>
      <c r="P83" s="17"/>
      <c r="Q83" s="17"/>
      <c r="R83" s="17"/>
      <c r="S83" s="17"/>
      <c r="T83" s="17"/>
      <c r="U83" s="17"/>
      <c r="V83" s="17"/>
      <c r="W83" s="17"/>
      <c r="X83" s="17"/>
      <c r="Y83" s="17"/>
      <c r="Z83" s="17"/>
      <c r="AA83" s="17"/>
    </row>
    <row r="84" spans="1:27">
      <c r="A84" s="7"/>
      <c r="B84" s="7"/>
      <c r="C84" s="7"/>
      <c r="D84" s="7"/>
      <c r="E84" s="7"/>
      <c r="G84" s="17"/>
      <c r="H84" s="17"/>
      <c r="I84" s="17"/>
      <c r="J84" s="17"/>
      <c r="K84" s="17"/>
      <c r="L84" s="17"/>
      <c r="M84" s="17"/>
      <c r="N84" s="17"/>
      <c r="O84" s="17"/>
      <c r="P84" s="17"/>
      <c r="Q84" s="17"/>
      <c r="R84" s="17"/>
      <c r="S84" s="17"/>
      <c r="T84" s="17"/>
      <c r="U84" s="17"/>
      <c r="V84" s="17"/>
      <c r="W84" s="17"/>
      <c r="X84" s="17"/>
      <c r="Y84" s="17"/>
      <c r="Z84" s="17"/>
      <c r="AA84" s="17"/>
    </row>
    <row r="85" spans="1:27">
      <c r="A85" s="7"/>
      <c r="B85" s="7"/>
      <c r="C85" s="7"/>
      <c r="D85" s="7"/>
      <c r="E85" s="7"/>
      <c r="G85" s="17"/>
      <c r="H85" s="17"/>
      <c r="I85" s="17"/>
      <c r="J85" s="17"/>
      <c r="K85" s="17"/>
      <c r="L85" s="17"/>
      <c r="M85" s="17"/>
      <c r="N85" s="17"/>
      <c r="O85" s="17"/>
      <c r="P85" s="17"/>
      <c r="Q85" s="17"/>
      <c r="R85" s="17"/>
      <c r="S85" s="17"/>
      <c r="T85" s="17"/>
      <c r="U85" s="17"/>
      <c r="V85" s="17"/>
      <c r="W85" s="17"/>
      <c r="X85" s="17"/>
      <c r="Y85" s="17"/>
      <c r="Z85" s="17"/>
      <c r="AA85" s="17"/>
    </row>
    <row r="86" spans="1:27">
      <c r="A86" s="7"/>
      <c r="B86" s="7"/>
      <c r="C86" s="7"/>
      <c r="D86" s="7"/>
      <c r="E86" s="7"/>
      <c r="G86" s="17"/>
      <c r="H86" s="17"/>
      <c r="I86" s="17"/>
      <c r="J86" s="17"/>
      <c r="K86" s="17"/>
      <c r="L86" s="17"/>
      <c r="M86" s="17"/>
      <c r="N86" s="17"/>
      <c r="O86" s="17"/>
      <c r="P86" s="17"/>
      <c r="Q86" s="17"/>
      <c r="R86" s="17"/>
      <c r="S86" s="17"/>
      <c r="T86" s="17"/>
      <c r="U86" s="17"/>
      <c r="V86" s="17"/>
      <c r="W86" s="17"/>
      <c r="X86" s="17"/>
      <c r="Y86" s="17"/>
      <c r="Z86" s="17"/>
      <c r="AA86" s="17"/>
    </row>
    <row r="87" spans="1:27">
      <c r="A87" s="7"/>
      <c r="B87" s="7"/>
      <c r="C87" s="7"/>
      <c r="D87" s="7"/>
      <c r="E87" s="7"/>
      <c r="G87" s="17"/>
      <c r="H87" s="17"/>
      <c r="I87" s="17"/>
      <c r="J87" s="17"/>
      <c r="K87" s="17"/>
      <c r="L87" s="17"/>
      <c r="M87" s="17"/>
      <c r="N87" s="17"/>
      <c r="O87" s="17"/>
      <c r="P87" s="17"/>
      <c r="Q87" s="17"/>
      <c r="R87" s="17"/>
      <c r="S87" s="17"/>
      <c r="T87" s="17"/>
      <c r="U87" s="17"/>
      <c r="V87" s="17"/>
      <c r="W87" s="17"/>
      <c r="X87" s="17"/>
      <c r="Y87" s="17"/>
      <c r="Z87" s="17"/>
      <c r="AA87" s="17"/>
    </row>
    <row r="88" spans="1:27">
      <c r="A88" s="7"/>
      <c r="B88" s="7"/>
      <c r="C88" s="7"/>
      <c r="D88" s="7"/>
      <c r="E88" s="7"/>
      <c r="G88" s="17"/>
      <c r="H88" s="17"/>
      <c r="I88" s="17"/>
      <c r="J88" s="17"/>
      <c r="K88" s="17"/>
      <c r="L88" s="17"/>
      <c r="M88" s="17"/>
      <c r="N88" s="17"/>
      <c r="O88" s="17"/>
      <c r="P88" s="17"/>
      <c r="Q88" s="17"/>
      <c r="R88" s="17"/>
      <c r="S88" s="17"/>
      <c r="T88" s="17"/>
      <c r="U88" s="17"/>
      <c r="V88" s="17"/>
      <c r="W88" s="17"/>
      <c r="X88" s="17"/>
      <c r="Y88" s="17"/>
      <c r="Z88" s="17"/>
      <c r="AA88" s="17"/>
    </row>
    <row r="89" spans="1:27">
      <c r="A89" s="7"/>
      <c r="B89" s="7"/>
      <c r="C89" s="7"/>
      <c r="D89" s="7"/>
      <c r="E89" s="7"/>
      <c r="G89" s="17"/>
      <c r="H89" s="17"/>
      <c r="I89" s="17"/>
      <c r="J89" s="17"/>
      <c r="K89" s="17"/>
      <c r="L89" s="17"/>
      <c r="M89" s="17"/>
      <c r="N89" s="17"/>
      <c r="O89" s="17"/>
      <c r="P89" s="17"/>
      <c r="Q89" s="17"/>
      <c r="R89" s="17"/>
      <c r="S89" s="17"/>
      <c r="T89" s="17"/>
      <c r="U89" s="17"/>
      <c r="V89" s="17"/>
      <c r="W89" s="17"/>
      <c r="X89" s="17"/>
      <c r="Y89" s="17"/>
      <c r="Z89" s="17"/>
      <c r="AA89" s="17"/>
    </row>
    <row r="90" spans="1:27">
      <c r="A90" s="7"/>
      <c r="B90" s="7"/>
      <c r="C90" s="7"/>
      <c r="D90" s="7"/>
      <c r="E90" s="7"/>
      <c r="G90" s="17"/>
      <c r="H90" s="17"/>
      <c r="I90" s="17"/>
      <c r="J90" s="17"/>
      <c r="K90" s="17"/>
      <c r="L90" s="17"/>
      <c r="M90" s="17"/>
      <c r="N90" s="17"/>
      <c r="O90" s="17"/>
      <c r="P90" s="17"/>
      <c r="Q90" s="17"/>
      <c r="R90" s="17"/>
      <c r="S90" s="17"/>
      <c r="T90" s="17"/>
      <c r="U90" s="17"/>
      <c r="V90" s="17"/>
      <c r="W90" s="17"/>
      <c r="X90" s="17"/>
      <c r="Y90" s="17"/>
      <c r="Z90" s="17"/>
      <c r="AA90" s="17"/>
    </row>
    <row r="91" spans="1:27">
      <c r="A91" s="7"/>
      <c r="B91" s="7"/>
      <c r="C91" s="7"/>
      <c r="D91" s="7"/>
      <c r="E91" s="7"/>
      <c r="G91" s="17"/>
      <c r="H91" s="17"/>
      <c r="I91" s="17"/>
      <c r="J91" s="17"/>
      <c r="K91" s="17"/>
      <c r="L91" s="17"/>
      <c r="M91" s="17"/>
      <c r="N91" s="17"/>
      <c r="O91" s="17"/>
      <c r="P91" s="17"/>
      <c r="Q91" s="17"/>
      <c r="R91" s="17"/>
      <c r="S91" s="17"/>
      <c r="T91" s="17"/>
      <c r="U91" s="17"/>
      <c r="V91" s="17"/>
      <c r="W91" s="17"/>
      <c r="X91" s="17"/>
      <c r="Y91" s="17"/>
      <c r="Z91" s="17"/>
      <c r="AA91" s="17"/>
    </row>
    <row r="92" spans="1:27">
      <c r="A92" s="7"/>
      <c r="B92" s="7"/>
      <c r="C92" s="7"/>
      <c r="D92" s="7"/>
      <c r="E92" s="7"/>
      <c r="G92" s="17"/>
      <c r="H92" s="17"/>
      <c r="I92" s="17"/>
      <c r="J92" s="17"/>
      <c r="K92" s="17"/>
      <c r="L92" s="17"/>
      <c r="M92" s="17"/>
      <c r="N92" s="17"/>
      <c r="O92" s="17"/>
      <c r="P92" s="17"/>
      <c r="Q92" s="17"/>
      <c r="R92" s="17"/>
      <c r="S92" s="17"/>
      <c r="T92" s="17"/>
      <c r="U92" s="17"/>
      <c r="V92" s="17"/>
      <c r="W92" s="17"/>
      <c r="X92" s="17"/>
      <c r="Y92" s="17"/>
      <c r="Z92" s="17"/>
      <c r="AA92" s="17"/>
    </row>
    <row r="93" spans="1:27">
      <c r="A93" s="7"/>
      <c r="B93" s="7"/>
      <c r="C93" s="7"/>
      <c r="D93" s="7"/>
      <c r="E93" s="7"/>
      <c r="G93" s="17"/>
      <c r="H93" s="17"/>
      <c r="I93" s="17"/>
      <c r="J93" s="17"/>
      <c r="K93" s="17"/>
      <c r="L93" s="17"/>
      <c r="M93" s="17"/>
      <c r="N93" s="17"/>
      <c r="O93" s="17"/>
      <c r="P93" s="17"/>
      <c r="Q93" s="17"/>
      <c r="R93" s="17"/>
      <c r="S93" s="17"/>
      <c r="T93" s="17"/>
      <c r="U93" s="17"/>
      <c r="V93" s="17"/>
      <c r="W93" s="17"/>
      <c r="X93" s="17"/>
      <c r="Y93" s="17"/>
      <c r="Z93" s="17"/>
      <c r="AA93" s="17"/>
    </row>
    <row r="94" spans="1:27">
      <c r="A94" s="7"/>
      <c r="B94" s="7"/>
      <c r="C94" s="7"/>
      <c r="D94" s="7"/>
      <c r="E94" s="7"/>
      <c r="G94" s="17"/>
      <c r="H94" s="17"/>
      <c r="I94" s="17"/>
      <c r="J94" s="17"/>
      <c r="K94" s="17"/>
      <c r="L94" s="17"/>
      <c r="M94" s="17"/>
      <c r="N94" s="17"/>
      <c r="O94" s="17"/>
      <c r="P94" s="17"/>
      <c r="Q94" s="17"/>
      <c r="R94" s="17"/>
      <c r="S94" s="17"/>
      <c r="T94" s="17"/>
      <c r="U94" s="17"/>
      <c r="V94" s="17"/>
      <c r="W94" s="17"/>
      <c r="X94" s="17"/>
      <c r="Y94" s="17"/>
      <c r="Z94" s="17"/>
      <c r="AA94" s="17"/>
    </row>
    <row r="95" spans="1:27">
      <c r="A95" s="7"/>
      <c r="B95" s="7"/>
      <c r="C95" s="7"/>
      <c r="D95" s="7"/>
      <c r="E95" s="7"/>
      <c r="G95" s="17"/>
      <c r="H95" s="17"/>
      <c r="I95" s="17"/>
      <c r="J95" s="17"/>
      <c r="K95" s="17"/>
      <c r="L95" s="17"/>
      <c r="M95" s="17"/>
      <c r="N95" s="17"/>
      <c r="O95" s="17"/>
      <c r="P95" s="17"/>
      <c r="Q95" s="17"/>
      <c r="R95" s="17"/>
      <c r="S95" s="17"/>
      <c r="T95" s="17"/>
      <c r="U95" s="17"/>
      <c r="V95" s="17"/>
      <c r="W95" s="17"/>
      <c r="X95" s="17"/>
      <c r="Y95" s="17"/>
      <c r="Z95" s="17"/>
      <c r="AA95" s="17"/>
    </row>
    <row r="96" spans="1:27">
      <c r="A96" s="7"/>
      <c r="B96" s="7"/>
      <c r="C96" s="7"/>
      <c r="D96" s="7"/>
      <c r="E96" s="7"/>
      <c r="G96" s="17"/>
      <c r="H96" s="17"/>
      <c r="I96" s="17"/>
      <c r="J96" s="17"/>
      <c r="K96" s="17"/>
      <c r="L96" s="17"/>
      <c r="M96" s="17"/>
      <c r="N96" s="17"/>
      <c r="O96" s="17"/>
      <c r="P96" s="17"/>
      <c r="Q96" s="17"/>
      <c r="R96" s="17"/>
      <c r="S96" s="17"/>
      <c r="T96" s="17"/>
      <c r="U96" s="17"/>
      <c r="V96" s="17"/>
      <c r="W96" s="17"/>
      <c r="X96" s="17"/>
      <c r="Y96" s="17"/>
      <c r="Z96" s="17"/>
      <c r="AA96" s="17"/>
    </row>
    <row r="97" spans="1:27">
      <c r="A97" s="7"/>
      <c r="B97" s="7"/>
      <c r="C97" s="7"/>
      <c r="D97" s="7"/>
      <c r="E97" s="7"/>
      <c r="G97" s="17"/>
      <c r="H97" s="17"/>
      <c r="I97" s="17"/>
      <c r="J97" s="17"/>
      <c r="K97" s="17"/>
      <c r="L97" s="17"/>
      <c r="M97" s="17"/>
      <c r="N97" s="17"/>
      <c r="O97" s="17"/>
      <c r="P97" s="17"/>
      <c r="Q97" s="17"/>
      <c r="R97" s="17"/>
      <c r="S97" s="17"/>
      <c r="T97" s="17"/>
      <c r="U97" s="17"/>
      <c r="V97" s="17"/>
      <c r="W97" s="17"/>
      <c r="X97" s="17"/>
      <c r="Y97" s="17"/>
      <c r="Z97" s="17"/>
      <c r="AA97" s="17"/>
    </row>
    <row r="98" spans="1:27">
      <c r="A98" s="7"/>
      <c r="B98" s="7"/>
      <c r="C98" s="7"/>
      <c r="D98" s="7"/>
      <c r="E98" s="7"/>
      <c r="G98" s="17"/>
      <c r="H98" s="17"/>
      <c r="I98" s="17"/>
      <c r="J98" s="17"/>
      <c r="K98" s="17"/>
      <c r="L98" s="17"/>
      <c r="M98" s="17"/>
      <c r="N98" s="17"/>
      <c r="O98" s="17"/>
      <c r="P98" s="17"/>
      <c r="Q98" s="17"/>
      <c r="R98" s="17"/>
      <c r="S98" s="17"/>
      <c r="T98" s="17"/>
      <c r="U98" s="17"/>
      <c r="V98" s="17"/>
      <c r="W98" s="17"/>
      <c r="X98" s="17"/>
      <c r="Y98" s="17"/>
      <c r="Z98" s="17"/>
      <c r="AA98" s="17"/>
    </row>
    <row r="99" spans="1:27">
      <c r="A99" s="7"/>
      <c r="B99" s="7"/>
      <c r="C99" s="7"/>
      <c r="D99" s="7"/>
      <c r="E99" s="7"/>
      <c r="G99" s="17"/>
      <c r="H99" s="17"/>
      <c r="I99" s="17"/>
      <c r="J99" s="17"/>
      <c r="K99" s="17"/>
      <c r="L99" s="17"/>
      <c r="M99" s="17"/>
      <c r="N99" s="17"/>
      <c r="O99" s="17"/>
      <c r="P99" s="17"/>
      <c r="Q99" s="17"/>
      <c r="R99" s="17"/>
      <c r="S99" s="17"/>
      <c r="T99" s="17"/>
      <c r="U99" s="17"/>
      <c r="V99" s="17"/>
      <c r="W99" s="17"/>
      <c r="X99" s="17"/>
      <c r="Y99" s="17"/>
      <c r="Z99" s="17"/>
      <c r="AA99" s="17"/>
    </row>
    <row r="100" spans="1:27">
      <c r="A100" s="7"/>
      <c r="B100" s="7"/>
      <c r="C100" s="7"/>
      <c r="D100" s="7"/>
      <c r="E100" s="7"/>
      <c r="G100" s="17"/>
      <c r="H100" s="17"/>
      <c r="I100" s="17"/>
      <c r="J100" s="17"/>
      <c r="K100" s="17"/>
      <c r="L100" s="17"/>
      <c r="M100" s="17"/>
      <c r="N100" s="17"/>
      <c r="O100" s="17"/>
      <c r="P100" s="17"/>
      <c r="Q100" s="17"/>
      <c r="R100" s="17"/>
      <c r="S100" s="17"/>
      <c r="T100" s="17"/>
      <c r="U100" s="17"/>
      <c r="V100" s="17"/>
      <c r="W100" s="17"/>
      <c r="X100" s="17"/>
      <c r="Y100" s="17"/>
      <c r="Z100" s="17"/>
      <c r="AA100" s="17"/>
    </row>
    <row r="101" spans="1:27">
      <c r="A101" s="7"/>
      <c r="B101" s="7"/>
      <c r="C101" s="7"/>
      <c r="D101" s="7"/>
      <c r="E101" s="7"/>
      <c r="G101" s="17"/>
      <c r="H101" s="17"/>
      <c r="I101" s="17"/>
      <c r="J101" s="17"/>
      <c r="K101" s="17"/>
      <c r="L101" s="17"/>
      <c r="M101" s="17"/>
      <c r="N101" s="17"/>
      <c r="O101" s="17"/>
      <c r="P101" s="17"/>
      <c r="Q101" s="17"/>
      <c r="R101" s="17"/>
      <c r="S101" s="17"/>
      <c r="T101" s="17"/>
      <c r="U101" s="17"/>
      <c r="V101" s="17"/>
      <c r="W101" s="17"/>
      <c r="X101" s="17"/>
      <c r="Y101" s="17"/>
      <c r="Z101" s="17"/>
      <c r="AA101" s="17"/>
    </row>
    <row r="102" spans="1:27">
      <c r="A102" s="7"/>
      <c r="B102" s="7"/>
      <c r="C102" s="7"/>
      <c r="D102" s="7"/>
      <c r="E102" s="7"/>
      <c r="G102" s="17"/>
      <c r="H102" s="17"/>
      <c r="I102" s="17"/>
      <c r="J102" s="17"/>
      <c r="K102" s="17"/>
      <c r="L102" s="17"/>
      <c r="M102" s="17"/>
      <c r="N102" s="17"/>
      <c r="O102" s="17"/>
      <c r="P102" s="17"/>
      <c r="Q102" s="17"/>
      <c r="R102" s="17"/>
      <c r="S102" s="17"/>
      <c r="T102" s="17"/>
      <c r="U102" s="17"/>
      <c r="V102" s="17"/>
      <c r="W102" s="17"/>
      <c r="X102" s="17"/>
      <c r="Y102" s="17"/>
      <c r="Z102" s="17"/>
      <c r="AA102" s="17"/>
    </row>
    <row r="103" spans="1:27">
      <c r="A103" s="7"/>
      <c r="B103" s="7"/>
      <c r="C103" s="7"/>
      <c r="D103" s="7"/>
      <c r="E103" s="7"/>
      <c r="G103" s="17"/>
      <c r="H103" s="17"/>
      <c r="I103" s="17"/>
      <c r="J103" s="17"/>
      <c r="K103" s="17"/>
      <c r="L103" s="17"/>
      <c r="M103" s="17"/>
      <c r="N103" s="17"/>
      <c r="O103" s="17"/>
      <c r="P103" s="17"/>
      <c r="Q103" s="17"/>
      <c r="R103" s="17"/>
      <c r="S103" s="17"/>
      <c r="T103" s="17"/>
      <c r="U103" s="17"/>
      <c r="V103" s="17"/>
      <c r="W103" s="17"/>
      <c r="X103" s="17"/>
      <c r="Y103" s="17"/>
      <c r="Z103" s="17"/>
      <c r="AA103" s="17"/>
    </row>
    <row r="104" spans="1:27">
      <c r="A104" s="7"/>
      <c r="B104" s="7"/>
      <c r="C104" s="7"/>
      <c r="D104" s="7"/>
      <c r="E104" s="7"/>
      <c r="G104" s="17"/>
      <c r="H104" s="17"/>
      <c r="I104" s="17"/>
      <c r="J104" s="17"/>
      <c r="K104" s="17"/>
      <c r="L104" s="17"/>
      <c r="M104" s="17"/>
      <c r="N104" s="17"/>
      <c r="O104" s="17"/>
      <c r="P104" s="17"/>
      <c r="Q104" s="17"/>
      <c r="R104" s="17"/>
      <c r="S104" s="17"/>
      <c r="T104" s="17"/>
      <c r="U104" s="17"/>
      <c r="V104" s="17"/>
      <c r="W104" s="17"/>
      <c r="X104" s="17"/>
      <c r="Y104" s="17"/>
      <c r="Z104" s="17"/>
      <c r="AA104" s="17"/>
    </row>
    <row r="105" spans="1:27">
      <c r="A105" s="7"/>
      <c r="B105" s="7"/>
      <c r="C105" s="7"/>
      <c r="D105" s="7"/>
      <c r="E105" s="7"/>
      <c r="G105" s="17"/>
      <c r="H105" s="17"/>
      <c r="I105" s="17"/>
      <c r="J105" s="17"/>
      <c r="K105" s="17"/>
      <c r="L105" s="17"/>
      <c r="M105" s="17"/>
      <c r="N105" s="17"/>
      <c r="O105" s="17"/>
      <c r="P105" s="17"/>
      <c r="Q105" s="17"/>
      <c r="R105" s="17"/>
      <c r="S105" s="17"/>
      <c r="T105" s="17"/>
      <c r="U105" s="17"/>
      <c r="V105" s="17"/>
      <c r="W105" s="17"/>
      <c r="X105" s="17"/>
      <c r="Y105" s="17"/>
      <c r="Z105" s="17"/>
      <c r="AA105" s="17"/>
    </row>
    <row r="106" spans="1:27">
      <c r="A106" s="7"/>
      <c r="B106" s="7"/>
      <c r="C106" s="7"/>
      <c r="D106" s="7"/>
      <c r="E106" s="7"/>
      <c r="G106" s="17"/>
      <c r="H106" s="17"/>
      <c r="I106" s="17"/>
      <c r="J106" s="17"/>
      <c r="K106" s="17"/>
      <c r="L106" s="17"/>
      <c r="M106" s="17"/>
      <c r="N106" s="17"/>
      <c r="O106" s="17"/>
      <c r="P106" s="17"/>
      <c r="Q106" s="17"/>
      <c r="R106" s="17"/>
      <c r="S106" s="17"/>
      <c r="T106" s="17"/>
      <c r="U106" s="17"/>
      <c r="V106" s="17"/>
      <c r="W106" s="17"/>
      <c r="X106" s="17"/>
      <c r="Y106" s="17"/>
      <c r="Z106" s="17"/>
      <c r="AA106" s="17"/>
    </row>
    <row r="107" spans="1:27">
      <c r="A107" s="7"/>
      <c r="B107" s="7"/>
      <c r="C107" s="7"/>
      <c r="D107" s="7"/>
      <c r="E107" s="7"/>
      <c r="G107" s="17"/>
      <c r="H107" s="17"/>
      <c r="I107" s="17"/>
      <c r="J107" s="17"/>
      <c r="K107" s="17"/>
      <c r="L107" s="17"/>
      <c r="M107" s="17"/>
      <c r="N107" s="17"/>
      <c r="O107" s="17"/>
      <c r="P107" s="17"/>
      <c r="Q107" s="17"/>
      <c r="R107" s="17"/>
      <c r="S107" s="17"/>
      <c r="T107" s="17"/>
      <c r="U107" s="17"/>
      <c r="V107" s="17"/>
      <c r="W107" s="17"/>
      <c r="X107" s="17"/>
      <c r="Y107" s="17"/>
      <c r="Z107" s="17"/>
      <c r="AA107" s="17"/>
    </row>
    <row r="108" spans="1:27">
      <c r="A108" s="7"/>
      <c r="B108" s="7"/>
      <c r="C108" s="7"/>
      <c r="D108" s="7"/>
      <c r="E108" s="7"/>
      <c r="G108" s="17"/>
      <c r="H108" s="17"/>
      <c r="I108" s="17"/>
      <c r="J108" s="17"/>
      <c r="K108" s="17"/>
      <c r="L108" s="17"/>
      <c r="M108" s="17"/>
      <c r="N108" s="17"/>
      <c r="O108" s="17"/>
      <c r="P108" s="17"/>
      <c r="Q108" s="17"/>
      <c r="R108" s="17"/>
      <c r="S108" s="17"/>
      <c r="T108" s="17"/>
      <c r="U108" s="17"/>
      <c r="V108" s="17"/>
      <c r="W108" s="17"/>
      <c r="X108" s="17"/>
      <c r="Y108" s="17"/>
      <c r="Z108" s="17"/>
      <c r="AA108" s="17"/>
    </row>
    <row r="109" spans="1:27">
      <c r="A109" s="7"/>
      <c r="B109" s="7"/>
      <c r="C109" s="7"/>
      <c r="D109" s="7"/>
      <c r="E109" s="7"/>
      <c r="G109" s="17"/>
      <c r="H109" s="17"/>
      <c r="I109" s="17"/>
      <c r="J109" s="17"/>
      <c r="K109" s="17"/>
      <c r="L109" s="17"/>
      <c r="M109" s="17"/>
      <c r="N109" s="17"/>
      <c r="O109" s="17"/>
      <c r="P109" s="17"/>
      <c r="Q109" s="17"/>
      <c r="R109" s="17"/>
      <c r="S109" s="17"/>
      <c r="T109" s="17"/>
      <c r="U109" s="17"/>
      <c r="V109" s="17"/>
      <c r="W109" s="17"/>
      <c r="X109" s="17"/>
      <c r="Y109" s="17"/>
      <c r="Z109" s="17"/>
      <c r="AA109" s="17"/>
    </row>
    <row r="110" spans="1:27">
      <c r="A110" s="7"/>
      <c r="B110" s="7"/>
      <c r="C110" s="7"/>
      <c r="D110" s="7"/>
      <c r="E110" s="7"/>
      <c r="G110" s="17"/>
      <c r="H110" s="17"/>
      <c r="I110" s="17"/>
      <c r="J110" s="17"/>
      <c r="K110" s="17"/>
      <c r="L110" s="17"/>
      <c r="M110" s="17"/>
      <c r="N110" s="17"/>
      <c r="O110" s="17"/>
      <c r="P110" s="17"/>
      <c r="Q110" s="17"/>
      <c r="R110" s="17"/>
      <c r="S110" s="17"/>
      <c r="T110" s="17"/>
      <c r="U110" s="17"/>
      <c r="V110" s="17"/>
      <c r="W110" s="17"/>
      <c r="X110" s="17"/>
      <c r="Y110" s="17"/>
      <c r="Z110" s="17"/>
      <c r="AA110" s="17"/>
    </row>
    <row r="111" spans="1:27">
      <c r="A111" s="7"/>
      <c r="B111" s="7"/>
      <c r="C111" s="7"/>
      <c r="D111" s="7"/>
      <c r="E111" s="7"/>
      <c r="G111" s="17"/>
      <c r="H111" s="17"/>
      <c r="I111" s="17"/>
      <c r="J111" s="17"/>
      <c r="K111" s="17"/>
      <c r="L111" s="17"/>
      <c r="M111" s="17"/>
      <c r="N111" s="17"/>
      <c r="O111" s="17"/>
      <c r="P111" s="17"/>
      <c r="Q111" s="17"/>
      <c r="R111" s="17"/>
      <c r="S111" s="17"/>
      <c r="T111" s="17"/>
      <c r="U111" s="17"/>
      <c r="V111" s="17"/>
      <c r="W111" s="17"/>
      <c r="X111" s="17"/>
      <c r="Y111" s="17"/>
      <c r="Z111" s="17"/>
      <c r="AA111" s="17"/>
    </row>
    <row r="112" spans="1:27">
      <c r="A112" s="7"/>
      <c r="B112" s="7"/>
      <c r="C112" s="7"/>
      <c r="D112" s="7"/>
      <c r="E112" s="7"/>
      <c r="G112" s="17"/>
      <c r="H112" s="17"/>
      <c r="I112" s="17"/>
      <c r="J112" s="17"/>
      <c r="K112" s="17"/>
      <c r="L112" s="17"/>
      <c r="M112" s="17"/>
      <c r="N112" s="17"/>
      <c r="O112" s="17"/>
      <c r="P112" s="17"/>
      <c r="Q112" s="17"/>
      <c r="R112" s="17"/>
      <c r="S112" s="17"/>
      <c r="T112" s="17"/>
      <c r="U112" s="17"/>
      <c r="V112" s="17"/>
      <c r="W112" s="17"/>
      <c r="X112" s="17"/>
      <c r="Y112" s="17"/>
      <c r="Z112" s="17"/>
      <c r="AA112" s="17"/>
    </row>
    <row r="113" spans="1:27">
      <c r="A113" s="7"/>
      <c r="B113" s="7"/>
      <c r="C113" s="7"/>
      <c r="D113" s="7"/>
      <c r="E113" s="7"/>
      <c r="G113" s="17"/>
      <c r="H113" s="17"/>
      <c r="I113" s="17"/>
      <c r="J113" s="17"/>
      <c r="K113" s="17"/>
      <c r="L113" s="17"/>
      <c r="M113" s="17"/>
      <c r="N113" s="17"/>
      <c r="O113" s="17"/>
      <c r="P113" s="17"/>
      <c r="Q113" s="17"/>
      <c r="R113" s="17"/>
      <c r="S113" s="17"/>
      <c r="T113" s="17"/>
      <c r="U113" s="17"/>
      <c r="V113" s="17"/>
      <c r="W113" s="17"/>
      <c r="X113" s="17"/>
      <c r="Y113" s="17"/>
      <c r="Z113" s="17"/>
      <c r="AA113" s="17"/>
    </row>
    <row r="114" spans="1:27">
      <c r="A114" s="7"/>
      <c r="B114" s="7"/>
      <c r="C114" s="7"/>
      <c r="D114" s="7"/>
      <c r="E114" s="7"/>
      <c r="G114" s="17"/>
      <c r="H114" s="17"/>
      <c r="I114" s="17"/>
      <c r="J114" s="17"/>
      <c r="K114" s="17"/>
      <c r="L114" s="17"/>
      <c r="M114" s="17"/>
      <c r="N114" s="17"/>
      <c r="O114" s="17"/>
      <c r="P114" s="17"/>
      <c r="Q114" s="17"/>
      <c r="R114" s="17"/>
      <c r="S114" s="17"/>
      <c r="T114" s="17"/>
      <c r="U114" s="17"/>
      <c r="V114" s="17"/>
      <c r="W114" s="17"/>
      <c r="X114" s="17"/>
      <c r="Y114" s="17"/>
      <c r="Z114" s="17"/>
      <c r="AA114" s="17"/>
    </row>
    <row r="115" spans="1:27">
      <c r="A115" s="7"/>
      <c r="B115" s="7"/>
      <c r="C115" s="7"/>
      <c r="D115" s="7"/>
      <c r="E115" s="7"/>
      <c r="G115" s="17"/>
      <c r="H115" s="17"/>
      <c r="I115" s="17"/>
      <c r="J115" s="17"/>
      <c r="K115" s="17"/>
      <c r="L115" s="17"/>
      <c r="M115" s="17"/>
      <c r="N115" s="17"/>
      <c r="O115" s="17"/>
      <c r="P115" s="17"/>
      <c r="Q115" s="17"/>
      <c r="R115" s="17"/>
      <c r="S115" s="17"/>
      <c r="T115" s="17"/>
      <c r="U115" s="17"/>
      <c r="V115" s="17"/>
      <c r="W115" s="17"/>
      <c r="X115" s="17"/>
      <c r="Y115" s="17"/>
      <c r="Z115" s="17"/>
      <c r="AA115" s="17"/>
    </row>
    <row r="116" spans="1:27">
      <c r="A116" s="7"/>
      <c r="B116" s="7"/>
      <c r="C116" s="7"/>
      <c r="D116" s="7"/>
      <c r="E116" s="7"/>
      <c r="G116" s="17"/>
      <c r="H116" s="17"/>
      <c r="I116" s="17"/>
      <c r="J116" s="17"/>
      <c r="K116" s="17"/>
      <c r="L116" s="17"/>
      <c r="M116" s="17"/>
      <c r="N116" s="17"/>
      <c r="O116" s="17"/>
      <c r="P116" s="17"/>
      <c r="Q116" s="17"/>
      <c r="R116" s="17"/>
      <c r="S116" s="17"/>
      <c r="T116" s="17"/>
      <c r="U116" s="17"/>
      <c r="V116" s="17"/>
      <c r="W116" s="17"/>
      <c r="X116" s="17"/>
      <c r="Y116" s="17"/>
      <c r="Z116" s="17"/>
      <c r="AA116" s="17"/>
    </row>
    <row r="117" spans="1:27">
      <c r="A117" s="7"/>
      <c r="B117" s="7"/>
      <c r="C117" s="7"/>
      <c r="D117" s="7"/>
      <c r="E117" s="7"/>
      <c r="G117" s="17"/>
      <c r="H117" s="17"/>
      <c r="I117" s="17"/>
      <c r="J117" s="17"/>
      <c r="K117" s="17"/>
      <c r="L117" s="17"/>
      <c r="M117" s="17"/>
      <c r="N117" s="17"/>
      <c r="O117" s="17"/>
      <c r="P117" s="17"/>
      <c r="Q117" s="17"/>
      <c r="R117" s="17"/>
      <c r="S117" s="17"/>
      <c r="T117" s="17"/>
      <c r="U117" s="17"/>
      <c r="V117" s="17"/>
      <c r="W117" s="17"/>
      <c r="X117" s="17"/>
      <c r="Y117" s="17"/>
      <c r="Z117" s="17"/>
      <c r="AA117" s="17"/>
    </row>
    <row r="118" spans="1:27">
      <c r="A118" s="7"/>
      <c r="B118" s="7"/>
      <c r="C118" s="7"/>
      <c r="D118" s="7"/>
      <c r="E118" s="7"/>
      <c r="G118" s="17"/>
      <c r="H118" s="17"/>
      <c r="I118" s="17"/>
      <c r="J118" s="17"/>
      <c r="K118" s="17"/>
      <c r="L118" s="17"/>
      <c r="M118" s="17"/>
      <c r="N118" s="17"/>
      <c r="O118" s="17"/>
      <c r="P118" s="17"/>
      <c r="Q118" s="17"/>
      <c r="R118" s="17"/>
      <c r="S118" s="17"/>
      <c r="T118" s="17"/>
      <c r="U118" s="17"/>
      <c r="V118" s="17"/>
      <c r="W118" s="17"/>
      <c r="X118" s="17"/>
      <c r="Y118" s="17"/>
      <c r="Z118" s="17"/>
      <c r="AA118" s="17"/>
    </row>
    <row r="119" spans="1:27">
      <c r="A119" s="7"/>
      <c r="B119" s="7"/>
      <c r="C119" s="7"/>
      <c r="D119" s="7"/>
      <c r="E119" s="7"/>
      <c r="G119" s="17"/>
      <c r="H119" s="17"/>
      <c r="I119" s="17"/>
      <c r="J119" s="17"/>
      <c r="K119" s="17"/>
      <c r="L119" s="17"/>
      <c r="M119" s="17"/>
      <c r="N119" s="17"/>
      <c r="O119" s="17"/>
      <c r="P119" s="17"/>
      <c r="Q119" s="17"/>
      <c r="R119" s="17"/>
      <c r="S119" s="17"/>
      <c r="T119" s="17"/>
      <c r="U119" s="17"/>
      <c r="V119" s="17"/>
      <c r="W119" s="17"/>
      <c r="X119" s="17"/>
      <c r="Y119" s="17"/>
      <c r="Z119" s="17"/>
      <c r="AA119" s="17"/>
    </row>
    <row r="120" spans="1:27">
      <c r="A120" s="7"/>
      <c r="B120" s="7"/>
      <c r="C120" s="7"/>
      <c r="D120" s="7"/>
      <c r="E120" s="7"/>
      <c r="G120" s="17"/>
      <c r="H120" s="17"/>
      <c r="I120" s="17"/>
      <c r="J120" s="17"/>
      <c r="K120" s="17"/>
      <c r="L120" s="17"/>
      <c r="M120" s="17"/>
      <c r="N120" s="17"/>
      <c r="O120" s="17"/>
      <c r="P120" s="17"/>
      <c r="Q120" s="17"/>
      <c r="R120" s="17"/>
      <c r="S120" s="17"/>
      <c r="T120" s="17"/>
      <c r="U120" s="17"/>
      <c r="V120" s="17"/>
      <c r="W120" s="17"/>
      <c r="X120" s="17"/>
      <c r="Y120" s="17"/>
      <c r="Z120" s="17"/>
      <c r="AA120" s="17"/>
    </row>
    <row r="121" spans="1:27">
      <c r="A121" s="7"/>
      <c r="B121" s="7"/>
      <c r="C121" s="7"/>
      <c r="D121" s="7"/>
      <c r="E121" s="7"/>
      <c r="G121" s="17"/>
      <c r="H121" s="17"/>
      <c r="I121" s="17"/>
      <c r="J121" s="17"/>
      <c r="K121" s="17"/>
      <c r="L121" s="17"/>
      <c r="M121" s="17"/>
      <c r="N121" s="17"/>
      <c r="O121" s="17"/>
      <c r="P121" s="17"/>
      <c r="Q121" s="17"/>
      <c r="R121" s="17"/>
      <c r="S121" s="17"/>
      <c r="T121" s="17"/>
      <c r="U121" s="17"/>
      <c r="V121" s="17"/>
      <c r="W121" s="17"/>
      <c r="X121" s="17"/>
      <c r="Y121" s="17"/>
      <c r="Z121" s="17"/>
      <c r="AA121" s="17"/>
    </row>
    <row r="122" spans="1:27">
      <c r="A122" s="7"/>
      <c r="B122" s="7"/>
      <c r="C122" s="7"/>
      <c r="D122" s="7"/>
      <c r="E122" s="7"/>
      <c r="G122" s="17"/>
      <c r="H122" s="17"/>
      <c r="I122" s="17"/>
      <c r="J122" s="17"/>
      <c r="K122" s="17"/>
      <c r="L122" s="17"/>
      <c r="M122" s="17"/>
      <c r="N122" s="17"/>
      <c r="O122" s="17"/>
      <c r="P122" s="17"/>
      <c r="Q122" s="17"/>
      <c r="R122" s="17"/>
      <c r="S122" s="17"/>
      <c r="T122" s="17"/>
      <c r="U122" s="17"/>
      <c r="V122" s="17"/>
      <c r="W122" s="17"/>
      <c r="X122" s="17"/>
      <c r="Y122" s="17"/>
      <c r="Z122" s="17"/>
      <c r="AA122" s="17"/>
    </row>
    <row r="123" spans="1:27">
      <c r="A123" s="7"/>
      <c r="B123" s="7"/>
      <c r="C123" s="7"/>
      <c r="D123" s="7"/>
      <c r="E123" s="7"/>
      <c r="G123" s="17"/>
      <c r="H123" s="17"/>
      <c r="I123" s="17"/>
      <c r="J123" s="17"/>
      <c r="K123" s="17"/>
      <c r="L123" s="17"/>
      <c r="M123" s="17"/>
      <c r="N123" s="17"/>
      <c r="O123" s="17"/>
      <c r="P123" s="17"/>
      <c r="Q123" s="17"/>
      <c r="R123" s="17"/>
      <c r="S123" s="17"/>
      <c r="T123" s="17"/>
      <c r="U123" s="17"/>
      <c r="V123" s="17"/>
      <c r="W123" s="17"/>
      <c r="X123" s="17"/>
      <c r="Y123" s="17"/>
      <c r="Z123" s="17"/>
      <c r="AA123" s="17"/>
    </row>
    <row r="124" spans="1:27">
      <c r="A124" s="7"/>
      <c r="B124" s="7"/>
      <c r="C124" s="7"/>
      <c r="D124" s="7"/>
      <c r="E124" s="7"/>
      <c r="G124" s="17"/>
      <c r="H124" s="17"/>
      <c r="I124" s="17"/>
      <c r="J124" s="17"/>
      <c r="K124" s="17"/>
      <c r="L124" s="17"/>
      <c r="M124" s="17"/>
      <c r="N124" s="17"/>
      <c r="O124" s="17"/>
      <c r="P124" s="17"/>
      <c r="Q124" s="17"/>
      <c r="R124" s="17"/>
      <c r="S124" s="17"/>
      <c r="T124" s="17"/>
      <c r="U124" s="17"/>
      <c r="V124" s="17"/>
      <c r="W124" s="17"/>
      <c r="X124" s="17"/>
      <c r="Y124" s="17"/>
      <c r="Z124" s="17"/>
      <c r="AA124" s="17"/>
    </row>
    <row r="125" spans="1:27">
      <c r="A125" s="7"/>
      <c r="B125" s="7"/>
      <c r="C125" s="7"/>
      <c r="D125" s="7"/>
      <c r="E125" s="7"/>
      <c r="G125" s="17"/>
      <c r="H125" s="17"/>
      <c r="I125" s="17"/>
      <c r="J125" s="17"/>
      <c r="K125" s="17"/>
      <c r="L125" s="17"/>
      <c r="M125" s="17"/>
      <c r="N125" s="17"/>
      <c r="O125" s="17"/>
      <c r="P125" s="17"/>
      <c r="Q125" s="17"/>
      <c r="R125" s="17"/>
      <c r="S125" s="17"/>
      <c r="T125" s="17"/>
      <c r="U125" s="17"/>
      <c r="V125" s="17"/>
      <c r="W125" s="17"/>
      <c r="X125" s="17"/>
      <c r="Y125" s="17"/>
      <c r="Z125" s="17"/>
      <c r="AA125" s="17"/>
    </row>
    <row r="126" spans="1:27">
      <c r="A126" s="7"/>
      <c r="B126" s="7"/>
      <c r="C126" s="7"/>
      <c r="D126" s="7"/>
      <c r="E126" s="7"/>
      <c r="G126" s="17"/>
      <c r="H126" s="17"/>
      <c r="I126" s="17"/>
      <c r="J126" s="17"/>
      <c r="K126" s="17"/>
      <c r="L126" s="17"/>
      <c r="M126" s="17"/>
      <c r="N126" s="17"/>
      <c r="O126" s="17"/>
      <c r="P126" s="17"/>
      <c r="Q126" s="17"/>
      <c r="R126" s="17"/>
      <c r="S126" s="17"/>
      <c r="T126" s="17"/>
      <c r="U126" s="17"/>
      <c r="V126" s="17"/>
      <c r="W126" s="17"/>
      <c r="X126" s="17"/>
      <c r="Y126" s="17"/>
      <c r="Z126" s="17"/>
      <c r="AA126" s="17"/>
    </row>
    <row r="127" spans="1:27">
      <c r="A127" s="7"/>
      <c r="B127" s="7"/>
      <c r="C127" s="7"/>
      <c r="D127" s="7"/>
      <c r="E127" s="7"/>
      <c r="G127" s="17"/>
      <c r="H127" s="17"/>
      <c r="I127" s="17"/>
      <c r="J127" s="17"/>
      <c r="K127" s="17"/>
      <c r="L127" s="17"/>
      <c r="M127" s="17"/>
      <c r="N127" s="17"/>
      <c r="O127" s="17"/>
      <c r="P127" s="17"/>
      <c r="Q127" s="17"/>
      <c r="R127" s="17"/>
      <c r="S127" s="17"/>
      <c r="T127" s="17"/>
      <c r="U127" s="17"/>
      <c r="V127" s="17"/>
      <c r="W127" s="17"/>
      <c r="X127" s="17"/>
      <c r="Y127" s="17"/>
      <c r="Z127" s="17"/>
      <c r="AA127" s="17"/>
    </row>
    <row r="128" spans="1:27">
      <c r="A128" s="7"/>
      <c r="B128" s="7"/>
      <c r="C128" s="7"/>
      <c r="D128" s="7"/>
      <c r="E128" s="7"/>
      <c r="G128" s="17"/>
      <c r="H128" s="17"/>
      <c r="I128" s="17"/>
      <c r="J128" s="17"/>
      <c r="K128" s="17"/>
      <c r="L128" s="17"/>
      <c r="M128" s="17"/>
      <c r="N128" s="17"/>
      <c r="O128" s="17"/>
      <c r="P128" s="17"/>
      <c r="Q128" s="17"/>
      <c r="R128" s="17"/>
      <c r="S128" s="17"/>
      <c r="T128" s="17"/>
      <c r="U128" s="17"/>
      <c r="V128" s="17"/>
      <c r="W128" s="17"/>
      <c r="X128" s="17"/>
      <c r="Y128" s="17"/>
      <c r="Z128" s="17"/>
      <c r="AA128" s="17"/>
    </row>
    <row r="129" spans="1:27">
      <c r="A129" s="7"/>
      <c r="B129" s="7"/>
      <c r="C129" s="7"/>
      <c r="D129" s="7"/>
      <c r="E129" s="7"/>
      <c r="G129" s="17"/>
      <c r="H129" s="17"/>
      <c r="I129" s="17"/>
      <c r="J129" s="17"/>
      <c r="K129" s="17"/>
      <c r="L129" s="17"/>
      <c r="M129" s="17"/>
      <c r="N129" s="17"/>
      <c r="O129" s="17"/>
      <c r="P129" s="17"/>
      <c r="Q129" s="17"/>
      <c r="R129" s="17"/>
      <c r="S129" s="17"/>
      <c r="T129" s="17"/>
      <c r="U129" s="17"/>
      <c r="V129" s="17"/>
      <c r="W129" s="17"/>
      <c r="X129" s="17"/>
      <c r="Y129" s="17"/>
      <c r="Z129" s="17"/>
      <c r="AA129" s="17"/>
    </row>
    <row r="130" spans="1:27">
      <c r="A130" s="7"/>
      <c r="B130" s="7"/>
      <c r="C130" s="7"/>
      <c r="D130" s="7"/>
      <c r="E130" s="7"/>
      <c r="G130" s="17"/>
      <c r="H130" s="17"/>
      <c r="I130" s="17"/>
      <c r="J130" s="17"/>
      <c r="K130" s="17"/>
      <c r="L130" s="17"/>
      <c r="M130" s="17"/>
      <c r="N130" s="17"/>
      <c r="O130" s="17"/>
      <c r="P130" s="17"/>
      <c r="Q130" s="17"/>
      <c r="R130" s="17"/>
      <c r="S130" s="17"/>
      <c r="T130" s="17"/>
      <c r="U130" s="17"/>
      <c r="V130" s="17"/>
      <c r="W130" s="17"/>
      <c r="X130" s="17"/>
      <c r="Y130" s="17"/>
      <c r="Z130" s="17"/>
      <c r="AA130" s="17"/>
    </row>
    <row r="131" spans="1:27">
      <c r="A131" s="7"/>
      <c r="B131" s="7"/>
      <c r="C131" s="7"/>
      <c r="D131" s="7"/>
      <c r="E131" s="7"/>
      <c r="G131" s="17"/>
      <c r="H131" s="17"/>
      <c r="I131" s="17"/>
      <c r="J131" s="17"/>
      <c r="K131" s="17"/>
      <c r="L131" s="17"/>
      <c r="M131" s="17"/>
      <c r="N131" s="17"/>
      <c r="O131" s="17"/>
      <c r="P131" s="17"/>
      <c r="Q131" s="17"/>
      <c r="R131" s="17"/>
      <c r="S131" s="17"/>
      <c r="T131" s="17"/>
      <c r="U131" s="17"/>
      <c r="V131" s="17"/>
      <c r="W131" s="17"/>
      <c r="X131" s="17"/>
      <c r="Y131" s="17"/>
      <c r="Z131" s="17"/>
      <c r="AA131" s="17"/>
    </row>
    <row r="132" spans="1:27">
      <c r="A132" s="7"/>
      <c r="B132" s="7"/>
      <c r="C132" s="7"/>
      <c r="D132" s="7"/>
      <c r="E132" s="7"/>
      <c r="G132" s="17"/>
      <c r="H132" s="17"/>
      <c r="I132" s="17"/>
      <c r="J132" s="17"/>
      <c r="K132" s="17"/>
      <c r="L132" s="17"/>
      <c r="M132" s="17"/>
      <c r="N132" s="17"/>
      <c r="O132" s="17"/>
      <c r="P132" s="17"/>
      <c r="Q132" s="17"/>
      <c r="R132" s="17"/>
      <c r="S132" s="17"/>
      <c r="T132" s="17"/>
      <c r="U132" s="17"/>
      <c r="V132" s="17"/>
      <c r="W132" s="17"/>
      <c r="X132" s="17"/>
      <c r="Y132" s="17"/>
      <c r="Z132" s="17"/>
      <c r="AA132" s="17"/>
    </row>
    <row r="133" spans="1:27">
      <c r="A133" s="7"/>
      <c r="B133" s="7"/>
      <c r="C133" s="7"/>
      <c r="D133" s="7"/>
      <c r="E133" s="7"/>
      <c r="G133" s="17"/>
      <c r="H133" s="17"/>
      <c r="I133" s="17"/>
      <c r="J133" s="17"/>
      <c r="K133" s="17"/>
      <c r="L133" s="17"/>
      <c r="M133" s="17"/>
      <c r="N133" s="17"/>
      <c r="O133" s="17"/>
      <c r="P133" s="17"/>
      <c r="Q133" s="17"/>
      <c r="R133" s="17"/>
      <c r="S133" s="17"/>
      <c r="T133" s="17"/>
      <c r="U133" s="17"/>
      <c r="V133" s="17"/>
      <c r="W133" s="17"/>
      <c r="X133" s="17"/>
      <c r="Y133" s="17"/>
      <c r="Z133" s="17"/>
      <c r="AA133" s="17"/>
    </row>
    <row r="134" spans="1:27">
      <c r="A134" s="7"/>
      <c r="B134" s="7"/>
      <c r="C134" s="7"/>
      <c r="D134" s="7"/>
      <c r="E134" s="7"/>
      <c r="G134" s="17"/>
      <c r="H134" s="17"/>
      <c r="I134" s="17"/>
      <c r="J134" s="17"/>
      <c r="K134" s="17"/>
      <c r="L134" s="17"/>
      <c r="M134" s="17"/>
      <c r="N134" s="17"/>
      <c r="O134" s="17"/>
      <c r="P134" s="17"/>
      <c r="Q134" s="17"/>
      <c r="R134" s="17"/>
      <c r="S134" s="17"/>
      <c r="T134" s="17"/>
      <c r="U134" s="17"/>
      <c r="V134" s="17"/>
      <c r="W134" s="17"/>
      <c r="X134" s="17"/>
      <c r="Y134" s="17"/>
      <c r="Z134" s="17"/>
      <c r="AA134" s="17"/>
    </row>
    <row r="135" spans="1:27">
      <c r="A135" s="7"/>
      <c r="B135" s="7"/>
      <c r="C135" s="7"/>
      <c r="D135" s="7"/>
      <c r="E135" s="7"/>
      <c r="G135" s="17"/>
      <c r="H135" s="17"/>
      <c r="I135" s="17"/>
      <c r="J135" s="17"/>
      <c r="K135" s="17"/>
      <c r="L135" s="17"/>
      <c r="M135" s="17"/>
      <c r="N135" s="17"/>
      <c r="O135" s="17"/>
      <c r="P135" s="17"/>
      <c r="Q135" s="17"/>
      <c r="R135" s="17"/>
      <c r="S135" s="17"/>
      <c r="T135" s="17"/>
      <c r="U135" s="17"/>
      <c r="V135" s="17"/>
      <c r="W135" s="17"/>
      <c r="X135" s="17"/>
      <c r="Y135" s="17"/>
      <c r="Z135" s="17"/>
      <c r="AA135" s="17"/>
    </row>
    <row r="136" spans="1:27">
      <c r="A136" s="7"/>
      <c r="B136" s="7"/>
      <c r="C136" s="7"/>
      <c r="D136" s="7"/>
      <c r="E136" s="7"/>
      <c r="G136" s="17"/>
      <c r="H136" s="17"/>
      <c r="I136" s="17"/>
      <c r="J136" s="17"/>
      <c r="K136" s="17"/>
      <c r="L136" s="17"/>
      <c r="M136" s="17"/>
      <c r="N136" s="17"/>
      <c r="O136" s="17"/>
      <c r="P136" s="17"/>
      <c r="Q136" s="17"/>
      <c r="R136" s="17"/>
      <c r="S136" s="17"/>
      <c r="T136" s="17"/>
      <c r="U136" s="17"/>
      <c r="V136" s="17"/>
      <c r="W136" s="17"/>
      <c r="X136" s="17"/>
      <c r="Y136" s="17"/>
      <c r="Z136" s="17"/>
      <c r="AA136" s="17"/>
    </row>
    <row r="137" spans="1:27">
      <c r="A137" s="7"/>
      <c r="B137" s="7"/>
      <c r="C137" s="7"/>
      <c r="D137" s="7"/>
      <c r="E137" s="7"/>
      <c r="G137" s="17"/>
      <c r="H137" s="17"/>
      <c r="I137" s="17"/>
      <c r="J137" s="17"/>
      <c r="K137" s="17"/>
      <c r="L137" s="17"/>
      <c r="M137" s="17"/>
      <c r="N137" s="17"/>
      <c r="O137" s="17"/>
      <c r="P137" s="17"/>
      <c r="Q137" s="17"/>
      <c r="R137" s="17"/>
      <c r="S137" s="17"/>
      <c r="T137" s="17"/>
      <c r="U137" s="17"/>
      <c r="V137" s="17"/>
      <c r="W137" s="17"/>
      <c r="X137" s="17"/>
      <c r="Y137" s="17"/>
      <c r="Z137" s="17"/>
      <c r="AA137" s="17"/>
    </row>
    <row r="138" spans="1:27">
      <c r="A138" s="7"/>
      <c r="B138" s="7"/>
      <c r="C138" s="7"/>
      <c r="D138" s="7"/>
      <c r="E138" s="7"/>
      <c r="G138" s="17"/>
      <c r="H138" s="17"/>
      <c r="I138" s="17"/>
      <c r="J138" s="17"/>
      <c r="K138" s="17"/>
      <c r="L138" s="17"/>
      <c r="M138" s="17"/>
      <c r="N138" s="17"/>
      <c r="O138" s="17"/>
      <c r="P138" s="17"/>
      <c r="Q138" s="17"/>
      <c r="R138" s="17"/>
      <c r="S138" s="17"/>
      <c r="T138" s="17"/>
      <c r="U138" s="17"/>
      <c r="V138" s="17"/>
      <c r="W138" s="17"/>
      <c r="X138" s="17"/>
      <c r="Y138" s="17"/>
      <c r="Z138" s="17"/>
      <c r="AA138" s="17"/>
    </row>
    <row r="139" spans="1:27">
      <c r="A139" s="7"/>
      <c r="B139" s="7"/>
      <c r="C139" s="7"/>
      <c r="D139" s="7"/>
      <c r="E139" s="7"/>
      <c r="G139" s="17"/>
      <c r="H139" s="17"/>
      <c r="I139" s="17"/>
      <c r="J139" s="17"/>
      <c r="K139" s="17"/>
      <c r="L139" s="17"/>
      <c r="M139" s="17"/>
      <c r="N139" s="17"/>
      <c r="O139" s="17"/>
      <c r="P139" s="17"/>
      <c r="Q139" s="17"/>
      <c r="R139" s="17"/>
      <c r="S139" s="17"/>
      <c r="T139" s="17"/>
      <c r="U139" s="17"/>
      <c r="V139" s="17"/>
      <c r="W139" s="17"/>
      <c r="X139" s="17"/>
      <c r="Y139" s="17"/>
      <c r="Z139" s="17"/>
      <c r="AA139" s="17"/>
    </row>
    <row r="140" spans="1:27">
      <c r="A140" s="7"/>
      <c r="B140" s="7"/>
      <c r="C140" s="7"/>
      <c r="D140" s="7"/>
      <c r="E140" s="7"/>
      <c r="G140" s="17"/>
      <c r="H140" s="17"/>
      <c r="I140" s="17"/>
      <c r="J140" s="17"/>
      <c r="K140" s="17"/>
      <c r="L140" s="17"/>
      <c r="M140" s="17"/>
      <c r="N140" s="17"/>
      <c r="O140" s="17"/>
      <c r="P140" s="17"/>
      <c r="Q140" s="17"/>
      <c r="R140" s="17"/>
      <c r="S140" s="17"/>
      <c r="T140" s="17"/>
      <c r="U140" s="17"/>
      <c r="V140" s="17"/>
      <c r="W140" s="17"/>
      <c r="X140" s="17"/>
      <c r="Y140" s="17"/>
      <c r="Z140" s="17"/>
      <c r="AA140" s="17"/>
    </row>
    <row r="141" spans="1:27">
      <c r="A141" s="7"/>
      <c r="B141" s="7"/>
      <c r="C141" s="7"/>
      <c r="D141" s="7"/>
      <c r="E141" s="7"/>
      <c r="G141" s="17"/>
      <c r="H141" s="17"/>
      <c r="I141" s="17"/>
      <c r="J141" s="17"/>
      <c r="K141" s="17"/>
      <c r="L141" s="17"/>
      <c r="M141" s="17"/>
      <c r="N141" s="17"/>
      <c r="O141" s="17"/>
      <c r="P141" s="17"/>
      <c r="Q141" s="17"/>
      <c r="R141" s="17"/>
      <c r="S141" s="17"/>
      <c r="T141" s="17"/>
      <c r="U141" s="17"/>
      <c r="V141" s="17"/>
      <c r="W141" s="17"/>
      <c r="X141" s="17"/>
      <c r="Y141" s="17"/>
      <c r="Z141" s="17"/>
      <c r="AA141" s="17"/>
    </row>
    <row r="142" spans="1:27">
      <c r="A142" s="7"/>
      <c r="B142" s="7"/>
      <c r="C142" s="7"/>
      <c r="D142" s="7"/>
      <c r="E142" s="7"/>
      <c r="G142" s="17"/>
      <c r="H142" s="17"/>
      <c r="I142" s="17"/>
      <c r="J142" s="17"/>
      <c r="K142" s="17"/>
      <c r="L142" s="17"/>
      <c r="M142" s="17"/>
      <c r="N142" s="17"/>
      <c r="O142" s="17"/>
      <c r="P142" s="17"/>
      <c r="Q142" s="17"/>
      <c r="R142" s="17"/>
      <c r="S142" s="17"/>
      <c r="T142" s="17"/>
      <c r="U142" s="17"/>
      <c r="V142" s="17"/>
      <c r="W142" s="17"/>
      <c r="X142" s="17"/>
      <c r="Y142" s="17"/>
      <c r="Z142" s="17"/>
      <c r="AA142" s="17"/>
    </row>
    <row r="143" spans="1:27">
      <c r="A143" s="7"/>
      <c r="B143" s="7"/>
      <c r="C143" s="7"/>
      <c r="D143" s="7"/>
      <c r="E143" s="7"/>
      <c r="G143" s="17"/>
      <c r="H143" s="17"/>
      <c r="I143" s="17"/>
      <c r="J143" s="17"/>
      <c r="K143" s="17"/>
      <c r="L143" s="17"/>
      <c r="M143" s="17"/>
      <c r="N143" s="17"/>
      <c r="O143" s="17"/>
      <c r="P143" s="17"/>
      <c r="Q143" s="17"/>
      <c r="R143" s="17"/>
      <c r="S143" s="17"/>
      <c r="T143" s="17"/>
      <c r="U143" s="17"/>
      <c r="V143" s="17"/>
      <c r="W143" s="17"/>
      <c r="X143" s="17"/>
      <c r="Y143" s="17"/>
      <c r="Z143" s="17"/>
      <c r="AA143" s="17"/>
    </row>
    <row r="144" spans="1:27">
      <c r="A144" s="7"/>
      <c r="B144" s="7"/>
      <c r="C144" s="7"/>
      <c r="D144" s="7"/>
      <c r="E144" s="7"/>
      <c r="G144" s="17"/>
      <c r="H144" s="17"/>
      <c r="I144" s="17"/>
      <c r="J144" s="17"/>
      <c r="K144" s="17"/>
      <c r="L144" s="17"/>
      <c r="M144" s="17"/>
      <c r="N144" s="17"/>
      <c r="O144" s="17"/>
      <c r="P144" s="17"/>
      <c r="Q144" s="17"/>
      <c r="R144" s="17"/>
      <c r="S144" s="17"/>
      <c r="T144" s="17"/>
      <c r="U144" s="17"/>
      <c r="V144" s="17"/>
      <c r="W144" s="17"/>
      <c r="X144" s="17"/>
      <c r="Y144" s="17"/>
      <c r="Z144" s="17"/>
      <c r="AA144" s="17"/>
    </row>
    <row r="145" spans="1:27">
      <c r="A145" s="7"/>
      <c r="B145" s="7"/>
      <c r="C145" s="7"/>
      <c r="D145" s="7"/>
      <c r="E145" s="7"/>
      <c r="G145" s="17"/>
      <c r="H145" s="17"/>
      <c r="I145" s="17"/>
      <c r="J145" s="17"/>
      <c r="K145" s="17"/>
      <c r="L145" s="17"/>
      <c r="M145" s="17"/>
      <c r="N145" s="17"/>
      <c r="O145" s="17"/>
      <c r="P145" s="17"/>
      <c r="Q145" s="17"/>
      <c r="R145" s="17"/>
      <c r="S145" s="17"/>
      <c r="T145" s="17"/>
      <c r="U145" s="17"/>
      <c r="V145" s="17"/>
      <c r="W145" s="17"/>
      <c r="X145" s="17"/>
      <c r="Y145" s="17"/>
      <c r="Z145" s="17"/>
      <c r="AA145" s="17"/>
    </row>
    <row r="146" spans="1:27">
      <c r="A146" s="7"/>
      <c r="B146" s="7"/>
      <c r="C146" s="7"/>
      <c r="D146" s="7"/>
      <c r="E146" s="7"/>
      <c r="G146" s="17"/>
      <c r="H146" s="17"/>
      <c r="I146" s="17"/>
      <c r="J146" s="17"/>
      <c r="K146" s="17"/>
      <c r="L146" s="17"/>
      <c r="M146" s="17"/>
      <c r="N146" s="17"/>
      <c r="O146" s="17"/>
      <c r="P146" s="17"/>
      <c r="Q146" s="17"/>
      <c r="R146" s="17"/>
      <c r="S146" s="17"/>
      <c r="T146" s="17"/>
      <c r="U146" s="17"/>
      <c r="V146" s="17"/>
      <c r="W146" s="17"/>
      <c r="X146" s="17"/>
      <c r="Y146" s="17"/>
      <c r="Z146" s="17"/>
      <c r="AA146" s="17"/>
    </row>
    <row r="147" spans="1:27">
      <c r="A147" s="7"/>
      <c r="B147" s="7"/>
      <c r="C147" s="7"/>
      <c r="D147" s="7"/>
      <c r="E147" s="7"/>
      <c r="G147" s="17"/>
      <c r="H147" s="17"/>
      <c r="I147" s="17"/>
      <c r="J147" s="17"/>
      <c r="K147" s="17"/>
      <c r="L147" s="17"/>
      <c r="M147" s="17"/>
      <c r="N147" s="17"/>
      <c r="O147" s="17"/>
      <c r="P147" s="17"/>
      <c r="Q147" s="17"/>
      <c r="R147" s="17"/>
      <c r="S147" s="17"/>
      <c r="T147" s="17"/>
      <c r="U147" s="17"/>
      <c r="V147" s="17"/>
      <c r="W147" s="17"/>
      <c r="X147" s="17"/>
      <c r="Y147" s="17"/>
      <c r="Z147" s="17"/>
      <c r="AA147" s="17"/>
    </row>
    <row r="148" spans="1:27">
      <c r="A148" s="7"/>
      <c r="B148" s="7"/>
      <c r="C148" s="7"/>
      <c r="D148" s="7"/>
      <c r="E148" s="7"/>
      <c r="G148" s="17"/>
      <c r="H148" s="17"/>
      <c r="I148" s="17"/>
      <c r="J148" s="17"/>
      <c r="K148" s="17"/>
      <c r="L148" s="17"/>
      <c r="M148" s="17"/>
      <c r="N148" s="17"/>
      <c r="O148" s="17"/>
      <c r="P148" s="17"/>
      <c r="Q148" s="17"/>
      <c r="R148" s="17"/>
      <c r="S148" s="17"/>
      <c r="T148" s="17"/>
      <c r="U148" s="17"/>
      <c r="V148" s="17"/>
      <c r="W148" s="17"/>
      <c r="X148" s="17"/>
      <c r="Y148" s="17"/>
      <c r="Z148" s="17"/>
      <c r="AA148" s="17"/>
    </row>
    <row r="149" spans="1:27">
      <c r="A149" s="7"/>
      <c r="B149" s="7"/>
      <c r="C149" s="7"/>
      <c r="D149" s="7"/>
      <c r="E149" s="7"/>
      <c r="G149" s="17"/>
      <c r="H149" s="17"/>
      <c r="I149" s="17"/>
      <c r="J149" s="17"/>
      <c r="K149" s="17"/>
      <c r="L149" s="17"/>
      <c r="M149" s="17"/>
      <c r="N149" s="17"/>
      <c r="O149" s="17"/>
      <c r="P149" s="17"/>
      <c r="Q149" s="17"/>
      <c r="R149" s="17"/>
      <c r="S149" s="17"/>
      <c r="T149" s="17"/>
      <c r="U149" s="17"/>
      <c r="V149" s="17"/>
      <c r="W149" s="17"/>
      <c r="X149" s="17"/>
      <c r="Y149" s="17"/>
      <c r="Z149" s="17"/>
      <c r="AA149" s="17"/>
    </row>
    <row r="150" spans="1:27">
      <c r="A150" s="7"/>
      <c r="B150" s="7"/>
      <c r="C150" s="7"/>
      <c r="D150" s="7"/>
      <c r="E150" s="7"/>
      <c r="G150" s="17"/>
      <c r="H150" s="17"/>
      <c r="I150" s="17"/>
      <c r="J150" s="17"/>
      <c r="K150" s="17"/>
      <c r="L150" s="17"/>
      <c r="M150" s="17"/>
      <c r="N150" s="17"/>
      <c r="O150" s="17"/>
      <c r="P150" s="17"/>
      <c r="Q150" s="17"/>
      <c r="R150" s="17"/>
      <c r="S150" s="17"/>
      <c r="T150" s="17"/>
      <c r="U150" s="17"/>
      <c r="V150" s="17"/>
      <c r="W150" s="17"/>
      <c r="X150" s="17"/>
      <c r="Y150" s="17"/>
      <c r="Z150" s="17"/>
      <c r="AA150" s="17"/>
    </row>
    <row r="151" spans="1:27">
      <c r="A151" s="7"/>
      <c r="B151" s="7"/>
      <c r="C151" s="7"/>
      <c r="D151" s="7"/>
      <c r="E151" s="7"/>
      <c r="G151" s="17"/>
      <c r="H151" s="17"/>
      <c r="I151" s="17"/>
      <c r="J151" s="17"/>
      <c r="K151" s="17"/>
      <c r="L151" s="17"/>
      <c r="M151" s="17"/>
      <c r="N151" s="17"/>
      <c r="O151" s="17"/>
      <c r="P151" s="17"/>
      <c r="Q151" s="17"/>
      <c r="R151" s="17"/>
      <c r="S151" s="17"/>
      <c r="T151" s="17"/>
      <c r="U151" s="17"/>
      <c r="V151" s="17"/>
      <c r="W151" s="17"/>
      <c r="X151" s="17"/>
      <c r="Y151" s="17"/>
      <c r="Z151" s="17"/>
      <c r="AA151" s="17"/>
    </row>
    <row r="152" spans="1:27">
      <c r="A152" s="7"/>
      <c r="B152" s="7"/>
      <c r="C152" s="7"/>
      <c r="D152" s="7"/>
      <c r="E152" s="7"/>
      <c r="G152" s="17"/>
      <c r="H152" s="17"/>
      <c r="I152" s="17"/>
      <c r="J152" s="17"/>
      <c r="K152" s="17"/>
      <c r="L152" s="17"/>
      <c r="M152" s="17"/>
      <c r="N152" s="17"/>
      <c r="O152" s="17"/>
      <c r="P152" s="17"/>
      <c r="Q152" s="17"/>
      <c r="R152" s="17"/>
      <c r="S152" s="17"/>
      <c r="T152" s="17"/>
      <c r="U152" s="17"/>
      <c r="V152" s="17"/>
      <c r="W152" s="17"/>
      <c r="X152" s="17"/>
      <c r="Y152" s="17"/>
      <c r="Z152" s="17"/>
      <c r="AA152" s="17"/>
    </row>
    <row r="153" spans="1:27">
      <c r="A153" s="7"/>
      <c r="B153" s="7"/>
      <c r="C153" s="7"/>
      <c r="D153" s="7"/>
      <c r="E153" s="7"/>
      <c r="G153" s="17"/>
      <c r="H153" s="17"/>
      <c r="I153" s="17"/>
      <c r="J153" s="17"/>
      <c r="K153" s="17"/>
      <c r="L153" s="17"/>
      <c r="M153" s="17"/>
      <c r="N153" s="17"/>
      <c r="O153" s="17"/>
      <c r="P153" s="17"/>
      <c r="Q153" s="17"/>
      <c r="R153" s="17"/>
      <c r="S153" s="17"/>
      <c r="T153" s="17"/>
      <c r="U153" s="17"/>
      <c r="V153" s="17"/>
      <c r="W153" s="17"/>
      <c r="X153" s="17"/>
      <c r="Y153" s="17"/>
      <c r="Z153" s="17"/>
      <c r="AA153" s="17"/>
    </row>
    <row r="154" spans="1:27">
      <c r="A154" s="7"/>
      <c r="B154" s="7"/>
      <c r="C154" s="7"/>
      <c r="D154" s="7"/>
      <c r="E154" s="7"/>
      <c r="G154" s="17"/>
      <c r="H154" s="17"/>
      <c r="I154" s="17"/>
      <c r="J154" s="17"/>
      <c r="K154" s="17"/>
      <c r="L154" s="17"/>
      <c r="M154" s="17"/>
      <c r="N154" s="17"/>
      <c r="O154" s="17"/>
      <c r="P154" s="17"/>
      <c r="Q154" s="17"/>
      <c r="R154" s="17"/>
      <c r="S154" s="17"/>
      <c r="T154" s="17"/>
      <c r="U154" s="17"/>
      <c r="V154" s="17"/>
      <c r="W154" s="17"/>
      <c r="X154" s="17"/>
      <c r="Y154" s="17"/>
      <c r="Z154" s="17"/>
      <c r="AA154" s="17"/>
    </row>
    <row r="155" spans="1:27">
      <c r="A155" s="7"/>
      <c r="B155" s="7"/>
      <c r="C155" s="7"/>
      <c r="D155" s="7"/>
      <c r="E155" s="7"/>
      <c r="G155" s="17"/>
      <c r="H155" s="17"/>
      <c r="I155" s="17"/>
      <c r="J155" s="17"/>
      <c r="K155" s="17"/>
      <c r="L155" s="17"/>
      <c r="M155" s="17"/>
      <c r="N155" s="17"/>
      <c r="O155" s="17"/>
      <c r="P155" s="17"/>
      <c r="Q155" s="17"/>
      <c r="R155" s="17"/>
      <c r="S155" s="17"/>
      <c r="T155" s="17"/>
      <c r="U155" s="17"/>
      <c r="V155" s="17"/>
      <c r="W155" s="17"/>
      <c r="X155" s="17"/>
      <c r="Y155" s="17"/>
      <c r="Z155" s="17"/>
      <c r="AA155" s="17"/>
    </row>
    <row r="156" spans="1:27">
      <c r="A156" s="7"/>
      <c r="B156" s="7"/>
      <c r="C156" s="7"/>
      <c r="D156" s="7"/>
      <c r="E156" s="7"/>
      <c r="G156" s="17"/>
      <c r="H156" s="17"/>
      <c r="I156" s="17"/>
      <c r="J156" s="17"/>
      <c r="K156" s="17"/>
      <c r="L156" s="17"/>
      <c r="M156" s="17"/>
      <c r="N156" s="17"/>
      <c r="O156" s="17"/>
      <c r="P156" s="17"/>
      <c r="Q156" s="17"/>
      <c r="R156" s="17"/>
      <c r="S156" s="17"/>
      <c r="T156" s="17"/>
      <c r="U156" s="17"/>
      <c r="V156" s="17"/>
      <c r="W156" s="17"/>
      <c r="X156" s="17"/>
      <c r="Y156" s="17"/>
      <c r="Z156" s="17"/>
      <c r="AA156" s="17"/>
    </row>
  </sheetData>
  <sheetProtection selectLockedCells="1" selectUnlockedCells="1"/>
  <mergeCells count="27">
    <mergeCell ref="F4:F6"/>
    <mergeCell ref="A4:A6"/>
    <mergeCell ref="B4:B6"/>
    <mergeCell ref="C4:C6"/>
    <mergeCell ref="D4:D6"/>
    <mergeCell ref="E4:E6"/>
    <mergeCell ref="R4:R6"/>
    <mergeCell ref="G4:G6"/>
    <mergeCell ref="H4:H6"/>
    <mergeCell ref="I4:I6"/>
    <mergeCell ref="J4:J6"/>
    <mergeCell ref="K4:K6"/>
    <mergeCell ref="L4:L6"/>
    <mergeCell ref="M4:M6"/>
    <mergeCell ref="N4:N6"/>
    <mergeCell ref="O4:O6"/>
    <mergeCell ref="P4:P6"/>
    <mergeCell ref="Q4:Q6"/>
    <mergeCell ref="Y4:Y6"/>
    <mergeCell ref="Z4:Z6"/>
    <mergeCell ref="AA4:AA6"/>
    <mergeCell ref="S4:S6"/>
    <mergeCell ref="T4:T6"/>
    <mergeCell ref="U4:U6"/>
    <mergeCell ref="V4:V6"/>
    <mergeCell ref="W4:W6"/>
    <mergeCell ref="X4:X6"/>
  </mergeCells>
  <pageMargins left="0.70833333333333337" right="0.70833333333333337" top="0.74791666666666667" bottom="0.74791666666666667" header="0.51180555555555551" footer="0.51180555555555551"/>
  <pageSetup scale="53" firstPageNumber="0" orientation="landscape"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7"/>
  <dimension ref="A1:AB198"/>
  <sheetViews>
    <sheetView zoomScale="77" zoomScaleNormal="77" workbookViewId="0">
      <pane xSplit="4" ySplit="1" topLeftCell="E2" activePane="bottomRight" state="frozen"/>
      <selection pane="topRight" activeCell="X1" sqref="X1"/>
      <selection pane="bottomLeft" activeCell="A2" sqref="A2"/>
      <selection pane="bottomRight" activeCell="J75" sqref="J75"/>
    </sheetView>
  </sheetViews>
  <sheetFormatPr baseColWidth="10" defaultColWidth="11.42578125" defaultRowHeight="15"/>
  <cols>
    <col min="1" max="1" width="4.85546875" style="26" customWidth="1"/>
    <col min="2" max="2" width="36.28515625" style="26" customWidth="1"/>
    <col min="3" max="3" width="14.28515625" style="26" customWidth="1"/>
    <col min="4" max="4" width="36.140625" style="26" customWidth="1"/>
    <col min="5" max="6" width="11.42578125" style="26" customWidth="1"/>
    <col min="7" max="7" width="15.140625" style="26" customWidth="1"/>
    <col min="8" max="8" width="14.7109375" style="26" customWidth="1"/>
    <col min="9" max="11" width="11.42578125" style="26" customWidth="1"/>
    <col min="12" max="12" width="11.7109375" style="26" customWidth="1"/>
    <col min="13" max="13" width="11.42578125" style="26" customWidth="1"/>
    <col min="14" max="14" width="16.42578125" style="26" customWidth="1"/>
    <col min="15" max="23" width="11.42578125" style="26" customWidth="1"/>
    <col min="24" max="24" width="14.28515625" style="26" customWidth="1"/>
    <col min="25" max="25" width="11.42578125" style="140" customWidth="1"/>
    <col min="26" max="26" width="11.85546875" style="26" customWidth="1"/>
    <col min="27" max="27" width="23" style="26" customWidth="1"/>
    <col min="28" max="28" width="22.28515625" style="26" customWidth="1"/>
    <col min="29" max="16384" width="11.42578125" style="26"/>
  </cols>
  <sheetData>
    <row r="1" spans="1:28" s="95" customFormat="1" ht="30">
      <c r="A1" s="91"/>
      <c r="B1" s="92" t="s">
        <v>322</v>
      </c>
      <c r="C1" s="71" t="s">
        <v>241</v>
      </c>
      <c r="D1" s="71" t="s">
        <v>242</v>
      </c>
      <c r="E1" s="71" t="s">
        <v>243</v>
      </c>
      <c r="F1" s="71" t="s">
        <v>209</v>
      </c>
      <c r="G1" s="71" t="s">
        <v>244</v>
      </c>
      <c r="H1" s="71" t="s">
        <v>245</v>
      </c>
      <c r="I1" s="71" t="s">
        <v>246</v>
      </c>
      <c r="J1" s="71" t="s">
        <v>247</v>
      </c>
      <c r="K1" s="71" t="s">
        <v>248</v>
      </c>
      <c r="L1" s="71" t="s">
        <v>249</v>
      </c>
      <c r="M1" s="71" t="s">
        <v>218</v>
      </c>
      <c r="N1" s="71" t="s">
        <v>250</v>
      </c>
      <c r="O1" s="71" t="s">
        <v>251</v>
      </c>
      <c r="P1" s="71" t="s">
        <v>252</v>
      </c>
      <c r="Q1" s="71" t="s">
        <v>253</v>
      </c>
      <c r="R1" s="71" t="s">
        <v>254</v>
      </c>
      <c r="S1" s="71" t="s">
        <v>35</v>
      </c>
      <c r="T1" s="71" t="s">
        <v>34</v>
      </c>
      <c r="U1" s="71" t="s">
        <v>33</v>
      </c>
      <c r="V1" s="71" t="s">
        <v>255</v>
      </c>
      <c r="W1" s="71" t="s">
        <v>256</v>
      </c>
      <c r="X1" s="93" t="s">
        <v>224</v>
      </c>
      <c r="Y1" s="141" t="s">
        <v>257</v>
      </c>
      <c r="Z1" s="71" t="s">
        <v>258</v>
      </c>
      <c r="AA1" s="71" t="s">
        <v>259</v>
      </c>
      <c r="AB1" s="94" t="s">
        <v>260</v>
      </c>
    </row>
    <row r="2" spans="1:28">
      <c r="A2" s="26">
        <v>1</v>
      </c>
      <c r="B2" s="96">
        <f>+'Nomina Econacional'!B9</f>
        <v>0</v>
      </c>
      <c r="C2" s="97">
        <v>143132884</v>
      </c>
      <c r="D2" s="98" t="s">
        <v>299</v>
      </c>
      <c r="E2" s="27" t="e">
        <f>VLOOKUP($B2,'Nomina Econacional'!$B$4:$AC$153,2,0)</f>
        <v>#N/A</v>
      </c>
      <c r="F2" s="27" t="e">
        <f>VLOOKUP($B2,'Nomina Econacional'!$B$4:$AC$153,4,0)</f>
        <v>#N/A</v>
      </c>
      <c r="G2" s="72" t="e">
        <f>VLOOKUP($B2,'Nomina Econacional'!$B$4:$AC$153,6,0)</f>
        <v>#N/A</v>
      </c>
      <c r="H2" s="72" t="e">
        <f>VLOOKUP($B2,'Nomina Econacional'!$B$4:$AC$153,7,0)</f>
        <v>#N/A</v>
      </c>
      <c r="I2" s="29" t="e">
        <f>VLOOKUP($B2,'Nomina Econacional'!$B$4:$AC$153,9,0)</f>
        <v>#N/A</v>
      </c>
      <c r="J2" s="72" t="e">
        <f>VLOOKUP($B2,'Nomina Econacional'!$B$4:$AC$153,10,0)</f>
        <v>#N/A</v>
      </c>
      <c r="K2" s="27" t="e">
        <f>VLOOKUP($B2,'Nomina Econacional'!$B$4:$AC$153,11,0)</f>
        <v>#N/A</v>
      </c>
      <c r="L2" s="72" t="e">
        <f>VLOOKUP($B2,'Nomina Econacional'!$B$4:$AC$153,12,0)</f>
        <v>#N/A</v>
      </c>
      <c r="M2" s="27" t="e">
        <f>VLOOKUP($B2,'Nomina Econacional'!$B$4:$AC$153,13,0)</f>
        <v>#N/A</v>
      </c>
      <c r="N2" s="72" t="e">
        <f>VLOOKUP($B2,'Nomina Econacional'!$B$4:$AC$153,14,0)</f>
        <v>#N/A</v>
      </c>
      <c r="O2" s="27">
        <f>VLOOKUP($B2,'Nomina Econacional'!$B$4:$AC$153,15,0)</f>
        <v>0</v>
      </c>
      <c r="P2" s="27" t="e">
        <f>VLOOKUP($B2,'Nomina Econacional'!$B$4:$AC$153,16,0)</f>
        <v>#N/A</v>
      </c>
      <c r="Q2" s="27" t="e">
        <f>VLOOKUP($B2,'Nomina Econacional'!$B$4:$AC$153,17,0)</f>
        <v>#N/A</v>
      </c>
      <c r="R2" s="27">
        <f>VLOOKUP($B2,'Nomina Econacional'!$B$4:$AC$153,18,0)</f>
        <v>0</v>
      </c>
      <c r="S2" s="27" t="e">
        <f>VLOOKUP($B2,'Nomina Econacional'!$B$4:$AC$153,19,0)</f>
        <v>#N/A</v>
      </c>
      <c r="T2" s="27" t="e">
        <f>VLOOKUP($B2,'Nomina Econacional'!$B$4:$AC$153,20,0)</f>
        <v>#N/A</v>
      </c>
      <c r="U2" s="27" t="e">
        <f>VLOOKUP($B2,'Nomina Econacional'!$B$4:$AC$153,21,0)</f>
        <v>#N/A</v>
      </c>
      <c r="V2" s="27" t="e">
        <f>VLOOKUP($B2,'Nomina Econacional'!$B$4:$AC$153,22,0)</f>
        <v>#N/A</v>
      </c>
      <c r="W2" s="27" t="e">
        <f>VLOOKUP($B2,'Nomina Econacional'!$B$4:$AC$153,23,0)</f>
        <v>#N/A</v>
      </c>
      <c r="X2" s="28" t="e">
        <f>ROUND((VLOOKUP($B2,'Nomina Econacional'!$B$4:$AC$90,24,0)),2)</f>
        <v>#N/A</v>
      </c>
      <c r="Y2" s="142">
        <f>VLOOKUP($B2,'Nomina Econacional'!$B$4:$AC$153,25,0)</f>
        <v>0</v>
      </c>
      <c r="Z2" s="28">
        <f>VLOOKUP($B2,'Nomina Econacional'!$B$4:$AC$153,26,0)</f>
        <v>0</v>
      </c>
      <c r="AA2" s="99" t="e">
        <f>VLOOKUP($B2,$A$18:$D$652,4,0)</f>
        <v>#N/A</v>
      </c>
      <c r="AB2" s="100" t="e">
        <f>VLOOKUP($B2,'Nomina Econacional'!$B$4:$AC$153,3,0)</f>
        <v>#N/A</v>
      </c>
    </row>
    <row r="3" spans="1:28">
      <c r="A3" s="26">
        <v>2</v>
      </c>
      <c r="B3" s="30" t="s">
        <v>102</v>
      </c>
      <c r="C3" s="31">
        <v>2100134184</v>
      </c>
      <c r="D3" s="30" t="str">
        <f>VLOOKUP($B3,$A$18:$D$652,2,0)</f>
        <v>Federico Wuinebaldo Chavez Sanchez</v>
      </c>
      <c r="E3" s="27" t="e">
        <f>VLOOKUP($B3,'Nomina Econacional'!$B$4:$AC$153,2,0)</f>
        <v>#N/A</v>
      </c>
      <c r="F3" s="27" t="e">
        <f>VLOOKUP($B3,'Nomina Econacional'!$B$4:$AC$153,4,0)</f>
        <v>#N/A</v>
      </c>
      <c r="G3" s="72" t="e">
        <f>VLOOKUP($B3,'Nomina Econacional'!$B$4:$AC$153,6,0)</f>
        <v>#N/A</v>
      </c>
      <c r="H3" s="72" t="e">
        <f>VLOOKUP($B3,'Nomina Econacional'!$B$4:$AC$153,7,0)</f>
        <v>#N/A</v>
      </c>
      <c r="I3" s="29" t="e">
        <f>VLOOKUP($B3,'Nomina Econacional'!$B$4:$AC$153,9,0)</f>
        <v>#N/A</v>
      </c>
      <c r="J3" s="72" t="e">
        <f>VLOOKUP($B3,'Nomina Econacional'!$B$4:$AC$153,10,0)</f>
        <v>#N/A</v>
      </c>
      <c r="K3" s="27" t="e">
        <f>VLOOKUP($B3,'Nomina Econacional'!$B$4:$AC$153,11,0)</f>
        <v>#N/A</v>
      </c>
      <c r="L3" s="72" t="e">
        <f>VLOOKUP($B3,'Nomina Econacional'!$B$4:$AC$153,12,0)</f>
        <v>#N/A</v>
      </c>
      <c r="M3" s="27" t="e">
        <f>VLOOKUP($B3,'Nomina Econacional'!$B$4:$AC$153,13,0)</f>
        <v>#N/A</v>
      </c>
      <c r="N3" s="72" t="e">
        <f>VLOOKUP($B3,'Nomina Econacional'!$B$4:$AC$153,14,0)</f>
        <v>#N/A</v>
      </c>
      <c r="O3" s="27" t="e">
        <f>VLOOKUP($B3,'Nomina Econacional'!$B$4:$AC$153,15,0)</f>
        <v>#N/A</v>
      </c>
      <c r="P3" s="27" t="e">
        <f>VLOOKUP($B3,'Nomina Econacional'!$B$4:$AC$153,16,0)</f>
        <v>#N/A</v>
      </c>
      <c r="Q3" s="27" t="e">
        <f>VLOOKUP($B3,'Nomina Econacional'!$B$4:$AC$153,17,0)</f>
        <v>#N/A</v>
      </c>
      <c r="R3" s="27" t="e">
        <f>VLOOKUP($B3,'Nomina Econacional'!$B$4:$AC$153,18,0)</f>
        <v>#N/A</v>
      </c>
      <c r="S3" s="27" t="e">
        <f>VLOOKUP($B3,'Nomina Econacional'!$B$4:$AC$153,19,0)</f>
        <v>#N/A</v>
      </c>
      <c r="T3" s="27" t="e">
        <f>VLOOKUP($B3,'Nomina Econacional'!$B$4:$AC$153,20,0)</f>
        <v>#N/A</v>
      </c>
      <c r="U3" s="27" t="e">
        <f>VLOOKUP($B3,'Nomina Econacional'!$B$4:$AC$153,21,0)</f>
        <v>#N/A</v>
      </c>
      <c r="V3" s="27" t="e">
        <f>VLOOKUP($B3,'Nomina Econacional'!$B$4:$AC$153,22,0)</f>
        <v>#N/A</v>
      </c>
      <c r="W3" s="27" t="e">
        <f>VLOOKUP($B3,'Nomina Econacional'!$B$4:$AC$153,23,0)</f>
        <v>#N/A</v>
      </c>
      <c r="X3" s="28" t="e">
        <f>ROUND((VLOOKUP($B3,'Nomina Econacional'!$B$4:$AC$90,24,0)),2)</f>
        <v>#N/A</v>
      </c>
      <c r="Y3" s="142" t="e">
        <f>VLOOKUP($B3,'Nomina Econacional'!$B$4:$AC$153,25,0)</f>
        <v>#N/A</v>
      </c>
      <c r="Z3" s="28" t="e">
        <f>VLOOKUP($B3,'Nomina Econacional'!$B$4:$AC$153,26,0)</f>
        <v>#N/A</v>
      </c>
      <c r="AA3" s="73">
        <v>201200078279</v>
      </c>
      <c r="AB3" s="101" t="e">
        <f>VLOOKUP($B3,'Nomina Econacional'!$B$4:$AC$153,3,0)</f>
        <v>#N/A</v>
      </c>
    </row>
    <row r="4" spans="1:28">
      <c r="A4" s="26">
        <v>3</v>
      </c>
      <c r="B4" s="30" t="s">
        <v>99</v>
      </c>
      <c r="C4" s="31">
        <v>142181055</v>
      </c>
      <c r="D4" s="30" t="s">
        <v>333</v>
      </c>
      <c r="E4" s="27" t="e">
        <f>VLOOKUP($B4,'Nomina Econacional'!$B$4:$AC$153,2,0)</f>
        <v>#N/A</v>
      </c>
      <c r="F4" s="27" t="e">
        <f>VLOOKUP($B4,'Nomina Econacional'!$B$4:$AC$153,4,0)</f>
        <v>#N/A</v>
      </c>
      <c r="G4" s="72" t="e">
        <f>VLOOKUP($B4,'Nomina Econacional'!$B$4:$AC$153,6,0)</f>
        <v>#N/A</v>
      </c>
      <c r="H4" s="72" t="e">
        <f>VLOOKUP($B4,'Nomina Econacional'!$B$4:$AC$153,7,0)</f>
        <v>#N/A</v>
      </c>
      <c r="I4" s="29" t="e">
        <f>VLOOKUP($B4,'Nomina Econacional'!$B$4:$AC$153,9,0)</f>
        <v>#N/A</v>
      </c>
      <c r="J4" s="72" t="e">
        <f>VLOOKUP($B4,'Nomina Econacional'!$B$4:$AC$153,10,0)</f>
        <v>#N/A</v>
      </c>
      <c r="K4" s="27" t="e">
        <f>VLOOKUP($B4,'Nomina Econacional'!$B$4:$AC$153,11,0)</f>
        <v>#N/A</v>
      </c>
      <c r="L4" s="72" t="e">
        <f>VLOOKUP($B4,'Nomina Econacional'!$B$4:$AC$153,12,0)</f>
        <v>#N/A</v>
      </c>
      <c r="M4" s="27" t="e">
        <f>VLOOKUP($B4,'Nomina Econacional'!$B$4:$AC$153,13,0)</f>
        <v>#N/A</v>
      </c>
      <c r="N4" s="72" t="e">
        <f>VLOOKUP($B4,'Nomina Econacional'!$B$4:$AC$153,14,0)</f>
        <v>#N/A</v>
      </c>
      <c r="O4" s="27" t="e">
        <f>VLOOKUP($B4,'Nomina Econacional'!$B$4:$AC$153,15,0)</f>
        <v>#N/A</v>
      </c>
      <c r="P4" s="27" t="e">
        <f>VLOOKUP($B4,'Nomina Econacional'!$B$4:$AC$153,16,0)</f>
        <v>#N/A</v>
      </c>
      <c r="Q4" s="27" t="e">
        <f>VLOOKUP($B4,'Nomina Econacional'!$B$4:$AC$153,17,0)</f>
        <v>#N/A</v>
      </c>
      <c r="R4" s="27" t="e">
        <f>VLOOKUP($B4,'Nomina Econacional'!$B$4:$AC$153,18,0)</f>
        <v>#N/A</v>
      </c>
      <c r="S4" s="27" t="e">
        <f>VLOOKUP($B4,'Nomina Econacional'!$B$4:$AC$153,19,0)</f>
        <v>#N/A</v>
      </c>
      <c r="T4" s="27" t="e">
        <f>VLOOKUP($B4,'Nomina Econacional'!$B$4:$AC$153,20,0)</f>
        <v>#N/A</v>
      </c>
      <c r="U4" s="27" t="e">
        <f>VLOOKUP($B4,'Nomina Econacional'!$B$4:$AC$153,21,0)</f>
        <v>#N/A</v>
      </c>
      <c r="V4" s="27" t="e">
        <f>VLOOKUP($B4,'Nomina Econacional'!$B$4:$AC$153,22,0)</f>
        <v>#N/A</v>
      </c>
      <c r="W4" s="27" t="e">
        <f>VLOOKUP($B4,'Nomina Econacional'!$B$4:$AC$153,23,0)</f>
        <v>#N/A</v>
      </c>
      <c r="X4" s="28" t="e">
        <f>ROUND((VLOOKUP($B4,'Nomina Econacional'!$B$4:$AC$90,24,0)),2)</f>
        <v>#N/A</v>
      </c>
      <c r="Y4" s="142" t="e">
        <f>VLOOKUP($B4,'Nomina Econacional'!$B$4:$AC$153,25,0)</f>
        <v>#N/A</v>
      </c>
      <c r="Z4" s="28" t="e">
        <f>VLOOKUP($B4,'Nomina Econacional'!$B$4:$AC$153,26,0)</f>
        <v>#N/A</v>
      </c>
      <c r="AA4" s="73">
        <v>182403485</v>
      </c>
      <c r="AB4" s="101" t="e">
        <f>VLOOKUP($B4,'Nomina Econacional'!$B$4:$AC$153,3,0)</f>
        <v>#N/A</v>
      </c>
    </row>
    <row r="5" spans="1:28">
      <c r="A5" s="26">
        <v>4</v>
      </c>
      <c r="B5" s="30">
        <f>+'Nomina Econacional'!B28</f>
        <v>0</v>
      </c>
      <c r="C5" s="128">
        <v>3790077105</v>
      </c>
      <c r="D5" s="30" t="s">
        <v>410</v>
      </c>
      <c r="E5" s="27" t="e">
        <f>VLOOKUP($B5,'Nomina Econacional'!$B$4:$AC$153,2,0)</f>
        <v>#N/A</v>
      </c>
      <c r="F5" s="27" t="e">
        <f>VLOOKUP($B5,'Nomina Econacional'!$B$4:$AC$153,4,0)</f>
        <v>#N/A</v>
      </c>
      <c r="G5" s="72" t="e">
        <f>VLOOKUP($B5,'Nomina Econacional'!$B$4:$AC$153,6,0)</f>
        <v>#N/A</v>
      </c>
      <c r="H5" s="72" t="e">
        <f>VLOOKUP($B5,'Nomina Econacional'!$B$4:$AC$153,7,0)</f>
        <v>#N/A</v>
      </c>
      <c r="I5" s="29" t="e">
        <f>VLOOKUP($B5,'Nomina Econacional'!$B$4:$AC$153,9,0)</f>
        <v>#N/A</v>
      </c>
      <c r="J5" s="72" t="e">
        <f>VLOOKUP($B5,'Nomina Econacional'!$B$4:$AC$153,10,0)</f>
        <v>#N/A</v>
      </c>
      <c r="K5" s="27" t="e">
        <f>VLOOKUP($B5,'Nomina Econacional'!$B$4:$AC$153,11,0)</f>
        <v>#N/A</v>
      </c>
      <c r="L5" s="72" t="e">
        <f>VLOOKUP($B5,'Nomina Econacional'!$B$4:$AC$153,12,0)</f>
        <v>#N/A</v>
      </c>
      <c r="M5" s="27" t="e">
        <f>VLOOKUP($B5,'Nomina Econacional'!$B$4:$AC$153,13,0)</f>
        <v>#N/A</v>
      </c>
      <c r="N5" s="72" t="e">
        <f>VLOOKUP($B5,'Nomina Econacional'!$B$4:$AC$153,14,0)</f>
        <v>#N/A</v>
      </c>
      <c r="O5" s="27">
        <f>VLOOKUP($B5,'Nomina Econacional'!$B$4:$AC$153,15,0)</f>
        <v>0</v>
      </c>
      <c r="P5" s="27" t="e">
        <f>VLOOKUP($B5,'Nomina Econacional'!$B$4:$AC$153,16,0)</f>
        <v>#N/A</v>
      </c>
      <c r="Q5" s="27" t="e">
        <f>VLOOKUP($B5,'Nomina Econacional'!$B$4:$AC$153,17,0)</f>
        <v>#N/A</v>
      </c>
      <c r="R5" s="27">
        <f>VLOOKUP($B5,'Nomina Econacional'!$B$4:$AC$153,18,0)</f>
        <v>0</v>
      </c>
      <c r="S5" s="27" t="e">
        <f>VLOOKUP($B5,'Nomina Econacional'!$B$4:$AC$153,19,0)</f>
        <v>#N/A</v>
      </c>
      <c r="T5" s="27" t="e">
        <f>VLOOKUP($B5,'Nomina Econacional'!$B$4:$AC$153,20,0)</f>
        <v>#N/A</v>
      </c>
      <c r="U5" s="27" t="e">
        <f>VLOOKUP($B5,'Nomina Econacional'!$B$4:$AC$153,21,0)</f>
        <v>#N/A</v>
      </c>
      <c r="V5" s="27" t="e">
        <f>VLOOKUP($B5,'Nomina Econacional'!$B$4:$AC$153,22,0)</f>
        <v>#N/A</v>
      </c>
      <c r="W5" s="27" t="e">
        <f>VLOOKUP($B5,'Nomina Econacional'!$B$4:$AC$153,23,0)</f>
        <v>#N/A</v>
      </c>
      <c r="X5" s="28" t="e">
        <f>ROUND((VLOOKUP($B5,'Nomina Econacional'!$B$4:$AC$90,24,0)),2)</f>
        <v>#N/A</v>
      </c>
      <c r="Y5" s="142">
        <f>VLOOKUP($B5,'Nomina Econacional'!$B$4:$AC$153,25,0)</f>
        <v>0</v>
      </c>
      <c r="Z5" s="28">
        <f>VLOOKUP($B5,'Nomina Econacional'!$B$4:$AC$153,26,0)</f>
        <v>0</v>
      </c>
      <c r="AA5" s="73">
        <v>182403485</v>
      </c>
      <c r="AB5" s="101" t="e">
        <f>VLOOKUP($B5,'Nomina Econacional'!$B$4:$AC$153,3,0)</f>
        <v>#N/A</v>
      </c>
    </row>
    <row r="6" spans="1:28">
      <c r="A6" s="26">
        <v>5</v>
      </c>
      <c r="B6" s="30">
        <f>+'Nomina Econacional'!B26</f>
        <v>0</v>
      </c>
      <c r="C6" s="128">
        <v>60264579</v>
      </c>
      <c r="D6" s="30" t="s">
        <v>416</v>
      </c>
      <c r="E6" s="27" t="e">
        <f>VLOOKUP($B6,'Nomina Econacional'!$B$4:$AC$153,2,0)</f>
        <v>#N/A</v>
      </c>
      <c r="F6" s="27" t="e">
        <f>VLOOKUP($B6,'Nomina Econacional'!$B$4:$AC$153,4,0)</f>
        <v>#N/A</v>
      </c>
      <c r="G6" s="72" t="e">
        <f>VLOOKUP($B6,'Nomina Econacional'!$B$4:$AC$153,6,0)</f>
        <v>#N/A</v>
      </c>
      <c r="H6" s="72" t="e">
        <f>VLOOKUP($B6,'Nomina Econacional'!$B$4:$AC$153,7,0)</f>
        <v>#N/A</v>
      </c>
      <c r="I6" s="29" t="e">
        <f>VLOOKUP($B6,'Nomina Econacional'!$B$4:$AC$153,9,0)</f>
        <v>#N/A</v>
      </c>
      <c r="J6" s="72" t="e">
        <f>VLOOKUP($B6,'Nomina Econacional'!$B$4:$AC$153,10,0)</f>
        <v>#N/A</v>
      </c>
      <c r="K6" s="27" t="e">
        <f>VLOOKUP($B6,'Nomina Econacional'!$B$4:$AC$153,11,0)</f>
        <v>#N/A</v>
      </c>
      <c r="L6" s="72" t="e">
        <f>VLOOKUP($B6,'Nomina Econacional'!$B$4:$AC$153,12,0)</f>
        <v>#N/A</v>
      </c>
      <c r="M6" s="27" t="e">
        <f>VLOOKUP($B6,'Nomina Econacional'!$B$4:$AC$153,13,0)</f>
        <v>#N/A</v>
      </c>
      <c r="N6" s="72" t="e">
        <f>VLOOKUP($B6,'Nomina Econacional'!$B$4:$AC$153,14,0)</f>
        <v>#N/A</v>
      </c>
      <c r="O6" s="27">
        <f>VLOOKUP($B6,'Nomina Econacional'!$B$4:$AC$153,15,0)</f>
        <v>0</v>
      </c>
      <c r="P6" s="27" t="e">
        <f>VLOOKUP($B6,'Nomina Econacional'!$B$4:$AC$153,16,0)</f>
        <v>#N/A</v>
      </c>
      <c r="Q6" s="27" t="e">
        <f>VLOOKUP($B6,'Nomina Econacional'!$B$4:$AC$153,17,0)</f>
        <v>#N/A</v>
      </c>
      <c r="R6" s="27">
        <f>VLOOKUP($B6,'Nomina Econacional'!$B$4:$AC$153,18,0)</f>
        <v>0</v>
      </c>
      <c r="S6" s="27" t="e">
        <f>VLOOKUP($B6,'Nomina Econacional'!$B$4:$AC$153,19,0)</f>
        <v>#N/A</v>
      </c>
      <c r="T6" s="27" t="e">
        <f>VLOOKUP($B6,'Nomina Econacional'!$B$4:$AC$153,20,0)</f>
        <v>#N/A</v>
      </c>
      <c r="U6" s="27" t="e">
        <f>VLOOKUP($B6,'Nomina Econacional'!$B$4:$AC$153,21,0)</f>
        <v>#N/A</v>
      </c>
      <c r="V6" s="27" t="e">
        <f>VLOOKUP($B6,'Nomina Econacional'!$B$4:$AC$153,22,0)</f>
        <v>#N/A</v>
      </c>
      <c r="W6" s="27" t="e">
        <f>VLOOKUP($B6,'Nomina Econacional'!$B$4:$AC$153,23,0)</f>
        <v>#N/A</v>
      </c>
      <c r="X6" s="28" t="e">
        <f>ROUND((VLOOKUP($B6,'Nomina Econacional'!$B$4:$AC$90,24,0)),2)</f>
        <v>#N/A</v>
      </c>
      <c r="Y6" s="142">
        <f>VLOOKUP($B6,'Nomina Econacional'!$B$4:$AC$153,25,0)</f>
        <v>0</v>
      </c>
      <c r="Z6" s="28">
        <f>VLOOKUP($B6,'Nomina Econacional'!$B$4:$AC$153,26,0)</f>
        <v>0</v>
      </c>
      <c r="AA6" s="73">
        <v>282253319</v>
      </c>
      <c r="AB6" s="101" t="e">
        <f>VLOOKUP($B6,'Nomina Econacional'!$B$4:$AC$153,3,0)</f>
        <v>#N/A</v>
      </c>
    </row>
    <row r="7" spans="1:28">
      <c r="A7" s="26">
        <v>6</v>
      </c>
      <c r="B7" s="30">
        <f>+'Nomina Econacional'!B27</f>
        <v>0</v>
      </c>
      <c r="C7" s="138">
        <v>519389</v>
      </c>
      <c r="D7" s="30" t="s">
        <v>413</v>
      </c>
      <c r="E7" s="27" t="e">
        <f>VLOOKUP($B7,'Nomina Econacional'!$B$4:$AC$153,2,0)</f>
        <v>#N/A</v>
      </c>
      <c r="F7" s="27" t="e">
        <f>VLOOKUP($B7,'Nomina Econacional'!$B$4:$AC$153,4,0)</f>
        <v>#N/A</v>
      </c>
      <c r="G7" s="72" t="e">
        <f>VLOOKUP($B7,'Nomina Econacional'!$B$4:$AC$153,6,0)</f>
        <v>#N/A</v>
      </c>
      <c r="H7" s="72" t="e">
        <f>VLOOKUP($B7,'Nomina Econacional'!$B$4:$AC$153,7,0)</f>
        <v>#N/A</v>
      </c>
      <c r="I7" s="29" t="e">
        <f>VLOOKUP($B7,'Nomina Econacional'!$B$4:$AC$153,9,0)</f>
        <v>#N/A</v>
      </c>
      <c r="J7" s="72" t="e">
        <f>VLOOKUP($B7,'Nomina Econacional'!$B$4:$AC$153,10,0)</f>
        <v>#N/A</v>
      </c>
      <c r="K7" s="27" t="e">
        <f>VLOOKUP($B7,'Nomina Econacional'!$B$4:$AC$153,11,0)</f>
        <v>#N/A</v>
      </c>
      <c r="L7" s="72" t="e">
        <f>VLOOKUP($B7,'Nomina Econacional'!$B$4:$AC$153,12,0)</f>
        <v>#N/A</v>
      </c>
      <c r="M7" s="27" t="e">
        <f>VLOOKUP($B7,'Nomina Econacional'!$B$4:$AC$153,13,0)</f>
        <v>#N/A</v>
      </c>
      <c r="N7" s="72" t="e">
        <f>VLOOKUP($B7,'Nomina Econacional'!$B$4:$AC$153,14,0)</f>
        <v>#N/A</v>
      </c>
      <c r="O7" s="27">
        <f>VLOOKUP($B7,'Nomina Econacional'!$B$4:$AC$153,15,0)</f>
        <v>0</v>
      </c>
      <c r="P7" s="27" t="e">
        <f>VLOOKUP($B7,'Nomina Econacional'!$B$4:$AC$153,16,0)</f>
        <v>#N/A</v>
      </c>
      <c r="Q7" s="27" t="e">
        <f>VLOOKUP($B7,'Nomina Econacional'!$B$4:$AC$153,17,0)</f>
        <v>#N/A</v>
      </c>
      <c r="R7" s="27">
        <f>VLOOKUP($B7,'Nomina Econacional'!$B$4:$AC$153,18,0)</f>
        <v>0</v>
      </c>
      <c r="S7" s="27" t="e">
        <f>VLOOKUP($B7,'Nomina Econacional'!$B$4:$AC$153,19,0)</f>
        <v>#N/A</v>
      </c>
      <c r="T7" s="27" t="e">
        <f>VLOOKUP($B7,'Nomina Econacional'!$B$4:$AC$153,20,0)</f>
        <v>#N/A</v>
      </c>
      <c r="U7" s="27" t="e">
        <f>VLOOKUP($B7,'Nomina Econacional'!$B$4:$AC$153,21,0)</f>
        <v>#N/A</v>
      </c>
      <c r="V7" s="27" t="e">
        <f>VLOOKUP($B7,'Nomina Econacional'!$B$4:$AC$153,22,0)</f>
        <v>#N/A</v>
      </c>
      <c r="W7" s="27" t="e">
        <f>VLOOKUP($B7,'Nomina Econacional'!$B$4:$AC$153,23,0)</f>
        <v>#N/A</v>
      </c>
      <c r="X7" s="28" t="e">
        <f>ROUND((VLOOKUP($B7,'Nomina Econacional'!$B$4:$AC$90,24,0)),2)</f>
        <v>#N/A</v>
      </c>
      <c r="Y7" s="142">
        <f>VLOOKUP($B7,'Nomina Econacional'!$B$4:$AC$153,25,0)</f>
        <v>0</v>
      </c>
      <c r="Z7" s="28">
        <f>VLOOKUP($B7,'Nomina Econacional'!$B$4:$AC$153,26,0)</f>
        <v>0</v>
      </c>
      <c r="AA7" s="73"/>
      <c r="AB7" s="101" t="e">
        <f>VLOOKUP($B7,'Nomina Econacional'!$B$4:$AC$153,3,0)</f>
        <v>#N/A</v>
      </c>
    </row>
    <row r="8" spans="1:28">
      <c r="A8" s="26">
        <v>7</v>
      </c>
      <c r="B8" s="30">
        <f>+'Nomina Econacional'!B33</f>
        <v>0</v>
      </c>
      <c r="C8" s="128">
        <v>620119743</v>
      </c>
      <c r="D8" s="30" t="s">
        <v>417</v>
      </c>
      <c r="E8" s="27" t="e">
        <f>VLOOKUP($B8,'Nomina Econacional'!$B$4:$AC$153,2,0)</f>
        <v>#N/A</v>
      </c>
      <c r="F8" s="27" t="e">
        <f>VLOOKUP($B8,'Nomina Econacional'!$B$4:$AC$153,4,0)</f>
        <v>#N/A</v>
      </c>
      <c r="G8" s="72" t="e">
        <f>VLOOKUP($B8,'Nomina Econacional'!$B$4:$AC$153,6,0)</f>
        <v>#N/A</v>
      </c>
      <c r="H8" s="72" t="e">
        <f>VLOOKUP($B8,'Nomina Econacional'!$B$4:$AC$153,7,0)</f>
        <v>#N/A</v>
      </c>
      <c r="I8" s="29" t="e">
        <f>VLOOKUP($B8,'Nomina Econacional'!$B$4:$AC$153,9,0)</f>
        <v>#N/A</v>
      </c>
      <c r="J8" s="72" t="e">
        <f>VLOOKUP($B8,'Nomina Econacional'!$B$4:$AC$153,10,0)</f>
        <v>#N/A</v>
      </c>
      <c r="K8" s="27" t="e">
        <f>VLOOKUP($B8,'Nomina Econacional'!$B$4:$AC$153,11,0)</f>
        <v>#N/A</v>
      </c>
      <c r="L8" s="72" t="e">
        <f>VLOOKUP($B8,'Nomina Econacional'!$B$4:$AC$153,12,0)</f>
        <v>#N/A</v>
      </c>
      <c r="M8" s="27" t="e">
        <f>VLOOKUP($B8,'Nomina Econacional'!$B$4:$AC$153,13,0)</f>
        <v>#N/A</v>
      </c>
      <c r="N8" s="72" t="e">
        <f>VLOOKUP($B8,'Nomina Econacional'!$B$4:$AC$153,14,0)</f>
        <v>#N/A</v>
      </c>
      <c r="O8" s="27">
        <f>VLOOKUP($B8,'Nomina Econacional'!$B$4:$AC$153,15,0)</f>
        <v>0</v>
      </c>
      <c r="P8" s="27" t="e">
        <f>VLOOKUP($B8,'Nomina Econacional'!$B$4:$AC$153,16,0)</f>
        <v>#N/A</v>
      </c>
      <c r="Q8" s="27" t="e">
        <f>VLOOKUP($B8,'Nomina Econacional'!$B$4:$AC$153,17,0)</f>
        <v>#N/A</v>
      </c>
      <c r="R8" s="27">
        <f>VLOOKUP($B8,'Nomina Econacional'!$B$4:$AC$153,18,0)</f>
        <v>0</v>
      </c>
      <c r="S8" s="27" t="e">
        <f>VLOOKUP($B8,'Nomina Econacional'!$B$4:$AC$153,19,0)</f>
        <v>#N/A</v>
      </c>
      <c r="T8" s="27" t="e">
        <f>VLOOKUP($B8,'Nomina Econacional'!$B$4:$AC$153,20,0)</f>
        <v>#N/A</v>
      </c>
      <c r="U8" s="27" t="e">
        <f>VLOOKUP($B8,'Nomina Econacional'!$B$4:$AC$153,21,0)</f>
        <v>#N/A</v>
      </c>
      <c r="V8" s="27" t="e">
        <f>VLOOKUP($B8,'Nomina Econacional'!$B$4:$AC$153,22,0)</f>
        <v>#N/A</v>
      </c>
      <c r="W8" s="27" t="e">
        <f>VLOOKUP($B8,'Nomina Econacional'!$B$4:$AC$153,23,0)</f>
        <v>#N/A</v>
      </c>
      <c r="X8" s="28" t="e">
        <f>ROUND((VLOOKUP($B8,'Nomina Econacional'!$B$4:$AC$90,24,0)),2)</f>
        <v>#N/A</v>
      </c>
      <c r="Y8" s="142">
        <f>VLOOKUP($B8,'Nomina Econacional'!$B$4:$AC$153,25,0)</f>
        <v>0</v>
      </c>
      <c r="Z8" s="28">
        <f>VLOOKUP($B8,'Nomina Econacional'!$B$4:$AC$153,26,0)</f>
        <v>0</v>
      </c>
      <c r="AA8" s="73"/>
      <c r="AB8" s="101" t="e">
        <f>VLOOKUP($B8,'Nomina Econacional'!$B$4:$AC$153,3,0)</f>
        <v>#N/A</v>
      </c>
    </row>
    <row r="9" spans="1:28">
      <c r="A9" s="26">
        <v>8</v>
      </c>
      <c r="B9" s="30">
        <f>+'Nomina Econacional'!B25</f>
        <v>0</v>
      </c>
      <c r="C9" s="128">
        <v>2360137141</v>
      </c>
      <c r="D9" s="30" t="s">
        <v>424</v>
      </c>
      <c r="E9" s="27" t="e">
        <f>VLOOKUP($B9,'Nomina Econacional'!$B$4:$AC$153,2,0)</f>
        <v>#N/A</v>
      </c>
      <c r="F9" s="27" t="e">
        <f>VLOOKUP($B9,'Nomina Econacional'!$B$4:$AC$153,4,0)</f>
        <v>#N/A</v>
      </c>
      <c r="G9" s="72" t="e">
        <f>VLOOKUP($B9,'Nomina Econacional'!$B$4:$AC$153,6,0)</f>
        <v>#N/A</v>
      </c>
      <c r="H9" s="72" t="e">
        <f>VLOOKUP($B9,'Nomina Econacional'!$B$4:$AC$153,7,0)</f>
        <v>#N/A</v>
      </c>
      <c r="I9" s="29" t="e">
        <f>VLOOKUP($B9,'Nomina Econacional'!$B$4:$AC$153,9,0)</f>
        <v>#N/A</v>
      </c>
      <c r="J9" s="72" t="e">
        <f>VLOOKUP($B9,'Nomina Econacional'!$B$4:$AC$153,10,0)</f>
        <v>#N/A</v>
      </c>
      <c r="K9" s="27" t="e">
        <f>VLOOKUP($B9,'Nomina Econacional'!$B$4:$AC$153,11,0)</f>
        <v>#N/A</v>
      </c>
      <c r="L9" s="72" t="e">
        <f>VLOOKUP($B9,'Nomina Econacional'!$B$4:$AC$153,12,0)</f>
        <v>#N/A</v>
      </c>
      <c r="M9" s="27" t="e">
        <f>VLOOKUP($B9,'Nomina Econacional'!$B$4:$AC$153,13,0)</f>
        <v>#N/A</v>
      </c>
      <c r="N9" s="72" t="e">
        <f>VLOOKUP($B9,'Nomina Econacional'!$B$4:$AC$153,14,0)</f>
        <v>#N/A</v>
      </c>
      <c r="O9" s="27">
        <f>VLOOKUP($B9,'Nomina Econacional'!$B$4:$AC$153,15,0)</f>
        <v>0</v>
      </c>
      <c r="P9" s="27" t="e">
        <f>VLOOKUP($B9,'Nomina Econacional'!$B$4:$AC$153,16,0)</f>
        <v>#N/A</v>
      </c>
      <c r="Q9" s="27" t="e">
        <f>VLOOKUP($B9,'Nomina Econacional'!$B$4:$AC$153,17,0)</f>
        <v>#N/A</v>
      </c>
      <c r="R9" s="27">
        <f>VLOOKUP($B9,'Nomina Econacional'!$B$4:$AC$153,18,0)</f>
        <v>0</v>
      </c>
      <c r="S9" s="27" t="e">
        <f>VLOOKUP($B9,'Nomina Econacional'!$B$4:$AC$153,19,0)</f>
        <v>#N/A</v>
      </c>
      <c r="T9" s="27" t="e">
        <f>VLOOKUP($B9,'Nomina Econacional'!$B$4:$AC$153,20,0)</f>
        <v>#N/A</v>
      </c>
      <c r="U9" s="27" t="e">
        <f>VLOOKUP($B9,'Nomina Econacional'!$B$4:$AC$153,21,0)</f>
        <v>#N/A</v>
      </c>
      <c r="V9" s="27" t="e">
        <f>VLOOKUP($B9,'Nomina Econacional'!$B$4:$AC$153,22,0)</f>
        <v>#N/A</v>
      </c>
      <c r="W9" s="27" t="e">
        <f>VLOOKUP($B9,'Nomina Econacional'!$B$4:$AC$153,23,0)</f>
        <v>#N/A</v>
      </c>
      <c r="X9" s="28" t="e">
        <f>+'Nomina Econacional'!Y25</f>
        <v>#N/A</v>
      </c>
      <c r="Y9" s="142">
        <f>VLOOKUP($B9,'Nomina Econacional'!$B$4:$AC$153,25,0)</f>
        <v>0</v>
      </c>
      <c r="Z9" s="28" t="e">
        <f>+'Nomina Econacional'!AA25</f>
        <v>#N/A</v>
      </c>
      <c r="AA9" s="73">
        <v>201601451499</v>
      </c>
      <c r="AB9" s="101" t="e">
        <f>VLOOKUP($B9,'Nomina Econacional'!$B$4:$AC$153,3,0)</f>
        <v>#N/A</v>
      </c>
    </row>
    <row r="10" spans="1:28">
      <c r="A10" s="26">
        <v>9</v>
      </c>
      <c r="B10" s="30">
        <f>+'Nomina Econacional'!B18</f>
        <v>0</v>
      </c>
      <c r="C10" s="128">
        <v>7870024093</v>
      </c>
      <c r="D10" s="30" t="s">
        <v>425</v>
      </c>
      <c r="E10" s="27" t="e">
        <f>VLOOKUP($B10,'Nomina Econacional'!$B$4:$AC$153,2,0)</f>
        <v>#N/A</v>
      </c>
      <c r="F10" s="27" t="e">
        <f>VLOOKUP($B10,'Nomina Econacional'!$B$4:$AC$153,4,0)</f>
        <v>#N/A</v>
      </c>
      <c r="G10" s="72" t="e">
        <f>VLOOKUP($B10,'Nomina Econacional'!$B$4:$AC$153,6,0)</f>
        <v>#N/A</v>
      </c>
      <c r="H10" s="72" t="e">
        <f>VLOOKUP($B10,'Nomina Econacional'!$B$4:$AC$153,7,0)</f>
        <v>#N/A</v>
      </c>
      <c r="I10" s="29" t="e">
        <f>VLOOKUP($B10,'Nomina Econacional'!$B$4:$AC$153,9,0)</f>
        <v>#N/A</v>
      </c>
      <c r="J10" s="72" t="e">
        <f>VLOOKUP($B10,'Nomina Econacional'!$B$4:$AC$153,10,0)</f>
        <v>#N/A</v>
      </c>
      <c r="K10" s="27" t="e">
        <f>VLOOKUP($B10,'Nomina Econacional'!$B$4:$AC$153,11,0)</f>
        <v>#N/A</v>
      </c>
      <c r="L10" s="72" t="e">
        <f>VLOOKUP($B10,'Nomina Econacional'!$B$4:$AC$153,12,0)</f>
        <v>#N/A</v>
      </c>
      <c r="M10" s="27" t="e">
        <f>VLOOKUP($B10,'Nomina Econacional'!$B$4:$AC$153,13,0)</f>
        <v>#N/A</v>
      </c>
      <c r="N10" s="72" t="e">
        <f>VLOOKUP($B10,'Nomina Econacional'!$B$4:$AC$153,14,0)</f>
        <v>#N/A</v>
      </c>
      <c r="O10" s="27">
        <f>VLOOKUP($B10,'Nomina Econacional'!$B$4:$AC$153,15,0)</f>
        <v>0</v>
      </c>
      <c r="P10" s="27" t="e">
        <f>VLOOKUP($B10,'Nomina Econacional'!$B$4:$AC$153,16,0)</f>
        <v>#N/A</v>
      </c>
      <c r="Q10" s="27" t="e">
        <f>VLOOKUP($B10,'Nomina Econacional'!$B$4:$AC$153,17,0)</f>
        <v>#N/A</v>
      </c>
      <c r="R10" s="27">
        <f>VLOOKUP($B10,'Nomina Econacional'!$B$4:$AC$153,18,0)</f>
        <v>0</v>
      </c>
      <c r="S10" s="27" t="e">
        <f>VLOOKUP($B10,'Nomina Econacional'!$B$4:$AC$153,19,0)</f>
        <v>#N/A</v>
      </c>
      <c r="T10" s="27" t="e">
        <f>VLOOKUP($B10,'Nomina Econacional'!$B$4:$AC$153,20,0)</f>
        <v>#N/A</v>
      </c>
      <c r="U10" s="27" t="e">
        <f>VLOOKUP($B10,'Nomina Econacional'!$B$4:$AC$153,21,0)</f>
        <v>#N/A</v>
      </c>
      <c r="V10" s="27" t="e">
        <f>VLOOKUP($B10,'Nomina Econacional'!$B$4:$AC$153,22,0)</f>
        <v>#N/A</v>
      </c>
      <c r="W10" s="27" t="e">
        <f>VLOOKUP($B10,'Nomina Econacional'!$B$4:$AC$153,23,0)</f>
        <v>#N/A</v>
      </c>
      <c r="X10" s="28" t="e">
        <f>+'Nomina Econacional'!Y18</f>
        <v>#N/A</v>
      </c>
      <c r="Y10" s="142" t="e">
        <f>+'Nomina Econacional'!Z18</f>
        <v>#N/A</v>
      </c>
      <c r="Z10" s="142" t="e">
        <f>+'Nomina Econacional'!AA18</f>
        <v>#N/A</v>
      </c>
      <c r="AA10" s="73">
        <v>187171244</v>
      </c>
      <c r="AB10" s="101" t="e">
        <f>VLOOKUP($B10,'Nomina Econacional'!$B$4:$AC$153,3,0)</f>
        <v>#N/A</v>
      </c>
    </row>
    <row r="11" spans="1:28">
      <c r="A11" s="26">
        <v>10</v>
      </c>
      <c r="B11" s="30">
        <f>+'Nomina Econacional'!B22</f>
        <v>0</v>
      </c>
      <c r="C11" s="128">
        <v>60280286</v>
      </c>
      <c r="D11" s="30" t="s">
        <v>427</v>
      </c>
      <c r="E11" s="27" t="e">
        <f>VLOOKUP($B11,'Nomina Econacional'!$B$4:$AC$153,2,0)</f>
        <v>#N/A</v>
      </c>
      <c r="F11" s="27" t="e">
        <f>VLOOKUP($B11,'Nomina Econacional'!$B$4:$AC$153,4,0)</f>
        <v>#N/A</v>
      </c>
      <c r="G11" s="72" t="e">
        <f>VLOOKUP($B11,'Nomina Econacional'!$B$4:$AC$153,6,0)</f>
        <v>#N/A</v>
      </c>
      <c r="H11" s="72" t="e">
        <f>VLOOKUP($B11,'Nomina Econacional'!$B$4:$AC$153,7,0)</f>
        <v>#N/A</v>
      </c>
      <c r="I11" s="29" t="e">
        <f>VLOOKUP($B11,'Nomina Econacional'!$B$4:$AC$153,9,0)</f>
        <v>#N/A</v>
      </c>
      <c r="J11" s="72" t="e">
        <f>VLOOKUP($B11,'Nomina Econacional'!$B$4:$AC$153,10,0)</f>
        <v>#N/A</v>
      </c>
      <c r="K11" s="27" t="e">
        <f>VLOOKUP($B11,'Nomina Econacional'!$B$4:$AC$153,11,0)</f>
        <v>#N/A</v>
      </c>
      <c r="L11" s="72" t="e">
        <f>VLOOKUP($B11,'Nomina Econacional'!$B$4:$AC$153,12,0)</f>
        <v>#N/A</v>
      </c>
      <c r="M11" s="27" t="e">
        <f>VLOOKUP($B11,'Nomina Econacional'!$B$4:$AC$153,13,0)</f>
        <v>#N/A</v>
      </c>
      <c r="N11" s="72" t="e">
        <f>VLOOKUP($B11,'Nomina Econacional'!$B$4:$AC$153,14,0)</f>
        <v>#N/A</v>
      </c>
      <c r="O11" s="27">
        <f>VLOOKUP($B11,'Nomina Econacional'!$B$4:$AC$153,15,0)</f>
        <v>0</v>
      </c>
      <c r="P11" s="27" t="e">
        <f>VLOOKUP($B11,'Nomina Econacional'!$B$4:$AC$153,16,0)</f>
        <v>#N/A</v>
      </c>
      <c r="Q11" s="27" t="e">
        <f>VLOOKUP($B11,'Nomina Econacional'!$B$4:$AC$153,17,0)</f>
        <v>#N/A</v>
      </c>
      <c r="R11" s="27">
        <f>VLOOKUP($B11,'Nomina Econacional'!$B$4:$AC$153,18,0)</f>
        <v>0</v>
      </c>
      <c r="S11" s="27" t="e">
        <f>VLOOKUP($B11,'Nomina Econacional'!$B$4:$AC$153,19,0)</f>
        <v>#N/A</v>
      </c>
      <c r="T11" s="27" t="e">
        <f>VLOOKUP($B11,'Nomina Econacional'!$B$4:$AC$153,20,0)</f>
        <v>#N/A</v>
      </c>
      <c r="U11" s="27" t="e">
        <f>VLOOKUP($B11,'Nomina Econacional'!$B$4:$AC$153,21,0)</f>
        <v>#N/A</v>
      </c>
      <c r="V11" s="27" t="e">
        <f>VLOOKUP($B11,'Nomina Econacional'!$B$4:$AC$153,22,0)</f>
        <v>#N/A</v>
      </c>
      <c r="W11" s="27" t="e">
        <f>VLOOKUP($B11,'Nomina Econacional'!$B$4:$AC$153,23,0)</f>
        <v>#N/A</v>
      </c>
      <c r="X11" s="28" t="e">
        <f>+'Nomina Econacional'!Y22</f>
        <v>#N/A</v>
      </c>
      <c r="Y11" s="142" t="e">
        <f>+'Nomina Econacional'!Z22</f>
        <v>#N/A</v>
      </c>
      <c r="Z11" s="28" t="e">
        <f>+'Nomina Econacional'!AA22</f>
        <v>#N/A</v>
      </c>
      <c r="AA11" s="73">
        <v>201600808071</v>
      </c>
      <c r="AB11" s="101" t="e">
        <f>VLOOKUP($B11,'Nomina Econacional'!$B$4:$AC$153,3,0)</f>
        <v>#N/A</v>
      </c>
    </row>
    <row r="12" spans="1:28">
      <c r="A12" s="26">
        <v>11</v>
      </c>
      <c r="B12" s="30">
        <f>+'Nomina Econacional'!B24</f>
        <v>0</v>
      </c>
      <c r="C12" s="128">
        <v>60280294</v>
      </c>
      <c r="D12" s="30" t="s">
        <v>428</v>
      </c>
      <c r="E12" s="27" t="e">
        <f>VLOOKUP($B12,'Nomina Econacional'!$B$4:$AC$153,2,0)</f>
        <v>#N/A</v>
      </c>
      <c r="F12" s="27" t="e">
        <f>VLOOKUP($B12,'Nomina Econacional'!$B$4:$AC$153,4,0)</f>
        <v>#N/A</v>
      </c>
      <c r="G12" s="72" t="e">
        <f>VLOOKUP($B12,'Nomina Econacional'!$B$4:$AC$153,6,0)</f>
        <v>#N/A</v>
      </c>
      <c r="H12" s="72" t="e">
        <f>VLOOKUP($B12,'Nomina Econacional'!$B$4:$AC$153,7,0)</f>
        <v>#N/A</v>
      </c>
      <c r="I12" s="29" t="e">
        <f>VLOOKUP($B12,'Nomina Econacional'!$B$4:$AC$153,9,0)</f>
        <v>#N/A</v>
      </c>
      <c r="J12" s="72" t="e">
        <f>VLOOKUP($B12,'Nomina Econacional'!$B$4:$AC$153,10,0)</f>
        <v>#N/A</v>
      </c>
      <c r="K12" s="27" t="e">
        <f>VLOOKUP($B12,'Nomina Econacional'!$B$4:$AC$153,11,0)</f>
        <v>#N/A</v>
      </c>
      <c r="L12" s="72" t="e">
        <f>VLOOKUP($B12,'Nomina Econacional'!$B$4:$AC$153,12,0)</f>
        <v>#N/A</v>
      </c>
      <c r="M12" s="27" t="e">
        <f>VLOOKUP($B12,'Nomina Econacional'!$B$4:$AC$153,13,0)</f>
        <v>#N/A</v>
      </c>
      <c r="N12" s="72" t="e">
        <f>VLOOKUP($B12,'Nomina Econacional'!$B$4:$AC$153,14,0)</f>
        <v>#N/A</v>
      </c>
      <c r="O12" s="27">
        <f>VLOOKUP($B12,'Nomina Econacional'!$B$4:$AC$153,15,0)</f>
        <v>0</v>
      </c>
      <c r="P12" s="27" t="e">
        <f>VLOOKUP($B12,'Nomina Econacional'!$B$4:$AC$153,16,0)</f>
        <v>#N/A</v>
      </c>
      <c r="Q12" s="27" t="e">
        <f>VLOOKUP($B12,'Nomina Econacional'!$B$4:$AC$153,17,0)</f>
        <v>#N/A</v>
      </c>
      <c r="R12" s="27">
        <f>VLOOKUP($B12,'Nomina Econacional'!$B$4:$AC$153,18,0)</f>
        <v>0</v>
      </c>
      <c r="S12" s="27" t="e">
        <f>VLOOKUP($B12,'Nomina Econacional'!$B$4:$AC$153,19,0)</f>
        <v>#N/A</v>
      </c>
      <c r="T12" s="27" t="e">
        <f>VLOOKUP($B12,'Nomina Econacional'!$B$4:$AC$153,20,0)</f>
        <v>#N/A</v>
      </c>
      <c r="U12" s="27" t="e">
        <f>VLOOKUP($B12,'Nomina Econacional'!$B$4:$AC$153,21,0)</f>
        <v>#N/A</v>
      </c>
      <c r="V12" s="27" t="e">
        <f>VLOOKUP($B12,'Nomina Econacional'!$B$4:$AC$153,22,0)</f>
        <v>#N/A</v>
      </c>
      <c r="W12" s="27" t="e">
        <f>VLOOKUP($B12,'Nomina Econacional'!$B$4:$AC$153,23,0)</f>
        <v>#N/A</v>
      </c>
      <c r="X12" s="28" t="e">
        <f>+'Nomina Econacional'!Y24</f>
        <v>#N/A</v>
      </c>
      <c r="Y12" s="142" t="e">
        <f>+'Nomina Econacional'!Z24</f>
        <v>#N/A</v>
      </c>
      <c r="Z12" s="28" t="e">
        <f>+'Nomina Econacional'!AA24</f>
        <v>#N/A</v>
      </c>
      <c r="AA12" s="73">
        <v>179357587</v>
      </c>
      <c r="AB12" s="101" t="e">
        <f>VLOOKUP($B12,'Nomina Econacional'!$B$4:$AC$153,3,0)</f>
        <v>#N/A</v>
      </c>
    </row>
    <row r="13" spans="1:28">
      <c r="A13" s="26">
        <v>12</v>
      </c>
      <c r="B13" s="30">
        <f>+'Nomina Econacional'!B23</f>
        <v>0</v>
      </c>
      <c r="C13" s="128">
        <v>1490177837</v>
      </c>
      <c r="D13" s="30" t="s">
        <v>272</v>
      </c>
      <c r="E13" s="27" t="e">
        <f>VLOOKUP($B13,'Nomina Econacional'!$B$4:$AC$153,2,0)</f>
        <v>#N/A</v>
      </c>
      <c r="F13" s="27" t="e">
        <f>VLOOKUP($B13,'Nomina Econacional'!$B$4:$AC$153,4,0)</f>
        <v>#N/A</v>
      </c>
      <c r="G13" s="72" t="e">
        <f>VLOOKUP($B13,'Nomina Econacional'!$B$4:$AC$153,6,0)</f>
        <v>#N/A</v>
      </c>
      <c r="H13" s="72" t="e">
        <f>VLOOKUP($B13,'Nomina Econacional'!$B$4:$AC$153,7,0)</f>
        <v>#N/A</v>
      </c>
      <c r="I13" s="29" t="e">
        <f>VLOOKUP($B13,'Nomina Econacional'!$B$4:$AC$153,9,0)</f>
        <v>#N/A</v>
      </c>
      <c r="J13" s="72" t="e">
        <f>VLOOKUP($B13,'Nomina Econacional'!$B$4:$AC$153,10,0)</f>
        <v>#N/A</v>
      </c>
      <c r="K13" s="27" t="e">
        <f>VLOOKUP($B13,'Nomina Econacional'!$B$4:$AC$153,11,0)</f>
        <v>#N/A</v>
      </c>
      <c r="L13" s="72" t="e">
        <f>VLOOKUP($B13,'Nomina Econacional'!$B$4:$AC$153,12,0)</f>
        <v>#N/A</v>
      </c>
      <c r="M13" s="27" t="e">
        <f>VLOOKUP($B13,'Nomina Econacional'!$B$4:$AC$153,13,0)</f>
        <v>#N/A</v>
      </c>
      <c r="N13" s="72" t="e">
        <f>VLOOKUP($B13,'Nomina Econacional'!$B$4:$AC$153,14,0)</f>
        <v>#N/A</v>
      </c>
      <c r="O13" s="27">
        <f>VLOOKUP($B13,'Nomina Econacional'!$B$4:$AC$153,15,0)</f>
        <v>0</v>
      </c>
      <c r="P13" s="27" t="e">
        <f>VLOOKUP($B13,'Nomina Econacional'!$B$4:$AC$153,16,0)</f>
        <v>#N/A</v>
      </c>
      <c r="Q13" s="27" t="e">
        <f>VLOOKUP($B13,'Nomina Econacional'!$B$4:$AC$153,17,0)</f>
        <v>#N/A</v>
      </c>
      <c r="R13" s="27">
        <f>VLOOKUP($B13,'Nomina Econacional'!$B$4:$AC$153,18,0)</f>
        <v>0</v>
      </c>
      <c r="S13" s="27" t="e">
        <f>VLOOKUP($B13,'Nomina Econacional'!$B$4:$AC$153,19,0)</f>
        <v>#N/A</v>
      </c>
      <c r="T13" s="27" t="e">
        <f>VLOOKUP($B13,'Nomina Econacional'!$B$4:$AC$153,20,0)</f>
        <v>#N/A</v>
      </c>
      <c r="U13" s="27" t="e">
        <f>VLOOKUP($B13,'Nomina Econacional'!$B$4:$AC$153,21,0)</f>
        <v>#N/A</v>
      </c>
      <c r="V13" s="27" t="e">
        <f>VLOOKUP($B13,'Nomina Econacional'!$B$4:$AC$153,22,0)</f>
        <v>#N/A</v>
      </c>
      <c r="W13" s="27" t="e">
        <f>VLOOKUP($B13,'Nomina Econacional'!$B$4:$AC$153,23,0)</f>
        <v>#N/A</v>
      </c>
      <c r="X13" s="28" t="e">
        <f>+'Nomina Econacional'!Z23</f>
        <v>#N/A</v>
      </c>
      <c r="Y13" s="142" t="e">
        <f>+'Nomina Econacional'!Z23</f>
        <v>#N/A</v>
      </c>
      <c r="Z13" s="142" t="e">
        <f>+'Nomina Econacional'!AA23</f>
        <v>#N/A</v>
      </c>
      <c r="AA13" s="73"/>
      <c r="AB13" s="101" t="e">
        <f>VLOOKUP($B13,'Nomina Econacional'!$B$4:$AC$153,3,0)</f>
        <v>#N/A</v>
      </c>
    </row>
    <row r="14" spans="1:28">
      <c r="X14" s="102"/>
      <c r="Y14" s="140" t="e">
        <f>SUM(Y2:Y13)</f>
        <v>#N/A</v>
      </c>
      <c r="Z14" s="37" t="e">
        <f>SUM(Z2:Z13)</f>
        <v>#N/A</v>
      </c>
    </row>
    <row r="15" spans="1:28">
      <c r="B15" s="3"/>
      <c r="C15" s="3"/>
      <c r="D15" s="3"/>
      <c r="Y15" s="140" t="e">
        <f>+'Nomina Econacional'!Z40</f>
        <v>#N/A</v>
      </c>
      <c r="Z15" s="2" t="e">
        <f>+'Nomina Econacional'!AA40</f>
        <v>#N/A</v>
      </c>
    </row>
    <row r="16" spans="1:28">
      <c r="A16" s="74"/>
      <c r="B16" s="35"/>
      <c r="C16" s="38"/>
      <c r="D16" s="51"/>
      <c r="Z16" s="2"/>
    </row>
    <row r="17" spans="1:26" ht="15.75">
      <c r="A17" s="3"/>
      <c r="B17" s="7"/>
      <c r="C17" s="3"/>
      <c r="D17" s="3"/>
      <c r="G17" s="36"/>
      <c r="Y17" s="143"/>
      <c r="Z17" s="102"/>
    </row>
    <row r="18" spans="1:26" ht="15.75" hidden="1">
      <c r="A18" s="22" t="s">
        <v>263</v>
      </c>
      <c r="B18" s="36" t="s">
        <v>264</v>
      </c>
      <c r="C18" s="36" t="s">
        <v>265</v>
      </c>
      <c r="D18" s="39" t="s">
        <v>251</v>
      </c>
      <c r="E18" s="39"/>
      <c r="F18" s="39"/>
      <c r="G18" s="39"/>
      <c r="H18" s="39"/>
      <c r="I18" s="39"/>
      <c r="J18" s="39"/>
      <c r="K18" s="39"/>
      <c r="L18" s="39"/>
      <c r="M18" s="39"/>
      <c r="N18" s="39"/>
      <c r="O18" s="39"/>
      <c r="P18" s="39"/>
      <c r="Q18" s="39"/>
      <c r="R18" s="39"/>
      <c r="S18" s="39"/>
      <c r="T18" s="39"/>
      <c r="U18" s="39"/>
      <c r="V18" s="39"/>
      <c r="W18" s="39"/>
      <c r="X18" s="39"/>
      <c r="Y18" s="143"/>
      <c r="Z18" s="102"/>
    </row>
    <row r="19" spans="1:26" ht="15.75" hidden="1">
      <c r="A19" s="22" t="s">
        <v>102</v>
      </c>
      <c r="B19" s="36" t="s">
        <v>270</v>
      </c>
      <c r="C19" s="36">
        <v>2100134184</v>
      </c>
      <c r="D19" s="39">
        <v>201200078279</v>
      </c>
      <c r="E19" s="39"/>
      <c r="F19" s="39"/>
      <c r="G19" s="39"/>
      <c r="H19" s="39"/>
      <c r="I19" s="39"/>
      <c r="J19" s="39"/>
      <c r="K19" s="39"/>
      <c r="L19" s="39"/>
      <c r="M19" s="39"/>
      <c r="N19" s="39"/>
      <c r="O19" s="39"/>
      <c r="P19" s="39"/>
      <c r="Q19" s="39"/>
      <c r="R19" s="39"/>
      <c r="S19" s="39"/>
      <c r="T19" s="39"/>
      <c r="U19" s="39"/>
      <c r="V19" s="39"/>
      <c r="W19" s="39"/>
      <c r="X19" s="39"/>
      <c r="Y19" s="143"/>
      <c r="Z19" s="102"/>
    </row>
    <row r="20" spans="1:26" ht="15.75" hidden="1">
      <c r="A20" s="54" t="s">
        <v>334</v>
      </c>
      <c r="B20" s="36" t="s">
        <v>335</v>
      </c>
      <c r="C20" s="36"/>
      <c r="D20" s="39">
        <v>0</v>
      </c>
      <c r="E20" s="39"/>
      <c r="F20" s="39"/>
      <c r="G20" s="39"/>
      <c r="H20" s="39"/>
      <c r="I20" s="39"/>
      <c r="J20" s="39"/>
      <c r="K20" s="39"/>
      <c r="L20" s="39"/>
      <c r="M20" s="39"/>
      <c r="N20" s="39"/>
      <c r="O20" s="39"/>
      <c r="P20" s="39"/>
      <c r="Q20" s="39"/>
      <c r="R20" s="39"/>
      <c r="S20" s="39"/>
      <c r="T20" s="39"/>
      <c r="U20" s="39"/>
      <c r="V20" s="39"/>
      <c r="W20" s="39"/>
      <c r="X20" s="39"/>
      <c r="Y20" s="143"/>
      <c r="Z20" s="102"/>
    </row>
    <row r="21" spans="1:26" ht="15.75" hidden="1">
      <c r="A21" s="22" t="s">
        <v>267</v>
      </c>
      <c r="B21" s="36" t="s">
        <v>268</v>
      </c>
      <c r="C21" s="36">
        <v>1480049822</v>
      </c>
      <c r="D21" s="40">
        <v>201402475635</v>
      </c>
      <c r="E21" s="39"/>
      <c r="F21" s="39"/>
      <c r="G21" s="39"/>
      <c r="H21" s="39"/>
      <c r="I21" s="39"/>
      <c r="J21" s="39"/>
      <c r="K21" s="39"/>
      <c r="L21" s="39"/>
      <c r="M21" s="39"/>
      <c r="N21" s="39"/>
      <c r="O21" s="39"/>
      <c r="P21" s="39"/>
      <c r="Q21" s="39"/>
      <c r="R21" s="39"/>
      <c r="S21" s="39"/>
      <c r="T21" s="39"/>
      <c r="U21" s="39"/>
      <c r="V21" s="39"/>
      <c r="W21" s="39"/>
      <c r="X21" s="39"/>
      <c r="Y21" s="143"/>
      <c r="Z21" s="102"/>
    </row>
    <row r="22" spans="1:26" hidden="1">
      <c r="A22" s="30" t="s">
        <v>283</v>
      </c>
      <c r="B22" s="30" t="s">
        <v>284</v>
      </c>
      <c r="C22" s="103">
        <v>2100111505</v>
      </c>
      <c r="D22" s="7">
        <v>183115013</v>
      </c>
      <c r="E22" s="51"/>
      <c r="F22" s="51"/>
      <c r="G22" s="51"/>
      <c r="H22" s="51"/>
      <c r="I22" s="51"/>
      <c r="J22" s="51"/>
      <c r="K22" s="51"/>
      <c r="L22" s="51"/>
      <c r="M22" s="51"/>
      <c r="N22" s="51"/>
      <c r="O22" s="51"/>
      <c r="P22" s="51"/>
      <c r="Q22" s="51"/>
      <c r="R22" s="51"/>
      <c r="S22" s="51"/>
      <c r="T22" s="51"/>
      <c r="U22" s="51"/>
      <c r="V22" s="51"/>
      <c r="W22" s="51"/>
      <c r="X22" s="51"/>
    </row>
    <row r="23" spans="1:26" hidden="1">
      <c r="A23" s="75" t="s">
        <v>336</v>
      </c>
      <c r="B23" s="104" t="s">
        <v>337</v>
      </c>
      <c r="C23" s="105"/>
      <c r="D23" s="49"/>
      <c r="E23" s="51"/>
      <c r="F23" s="51"/>
      <c r="G23" s="51"/>
      <c r="H23" s="51"/>
      <c r="I23" s="51"/>
      <c r="J23" s="51"/>
      <c r="K23" s="51"/>
      <c r="L23" s="51"/>
      <c r="M23" s="51"/>
      <c r="N23" s="51"/>
      <c r="O23" s="51"/>
      <c r="P23" s="51"/>
      <c r="Q23" s="51"/>
      <c r="R23" s="51"/>
      <c r="S23" s="51"/>
      <c r="T23" s="51"/>
      <c r="U23" s="51"/>
      <c r="V23" s="51"/>
      <c r="W23" s="51"/>
      <c r="X23" s="51"/>
    </row>
    <row r="24" spans="1:26" hidden="1">
      <c r="A24" s="75" t="s">
        <v>101</v>
      </c>
      <c r="B24" s="104" t="s">
        <v>338</v>
      </c>
      <c r="C24" s="44">
        <v>4540034883</v>
      </c>
      <c r="D24" s="44">
        <v>201200793406</v>
      </c>
      <c r="E24" s="51"/>
      <c r="F24" s="51"/>
      <c r="G24" s="51"/>
      <c r="H24" s="51"/>
      <c r="I24" s="51"/>
      <c r="J24" s="51"/>
      <c r="K24" s="51"/>
      <c r="L24" s="51"/>
      <c r="M24" s="51"/>
      <c r="N24" s="51"/>
      <c r="O24" s="51"/>
      <c r="P24" s="51"/>
      <c r="Q24" s="51"/>
      <c r="R24" s="51"/>
      <c r="S24" s="51"/>
      <c r="T24" s="51"/>
      <c r="U24" s="51"/>
      <c r="V24" s="51"/>
      <c r="W24" s="51"/>
      <c r="X24" s="51"/>
    </row>
    <row r="25" spans="1:26" hidden="1">
      <c r="A25" s="75" t="s">
        <v>339</v>
      </c>
      <c r="B25" s="104" t="s">
        <v>340</v>
      </c>
      <c r="C25" s="105"/>
      <c r="D25" s="49"/>
      <c r="E25" s="51"/>
      <c r="F25" s="51"/>
      <c r="G25" s="51"/>
      <c r="H25" s="51"/>
      <c r="I25" s="51"/>
      <c r="J25" s="51"/>
      <c r="K25" s="51"/>
      <c r="L25" s="51"/>
      <c r="M25" s="51"/>
      <c r="N25" s="51"/>
      <c r="O25" s="51"/>
      <c r="P25" s="51"/>
      <c r="Q25" s="51"/>
      <c r="R25" s="51"/>
      <c r="S25" s="51"/>
      <c r="T25" s="51"/>
      <c r="U25" s="51"/>
      <c r="V25" s="51"/>
      <c r="W25" s="51"/>
      <c r="X25" s="51"/>
    </row>
    <row r="26" spans="1:26" hidden="1">
      <c r="A26" s="75" t="s">
        <v>341</v>
      </c>
      <c r="B26" s="104" t="s">
        <v>342</v>
      </c>
      <c r="C26" s="105"/>
      <c r="D26" s="49"/>
      <c r="E26" s="51"/>
      <c r="F26" s="51"/>
      <c r="G26" s="51"/>
      <c r="H26" s="51"/>
      <c r="I26" s="51"/>
      <c r="J26" s="51"/>
      <c r="K26" s="51"/>
      <c r="L26" s="51"/>
      <c r="M26" s="51"/>
      <c r="N26" s="51"/>
      <c r="O26" s="51"/>
      <c r="P26" s="51"/>
      <c r="Q26" s="51"/>
      <c r="R26" s="51"/>
      <c r="S26" s="51"/>
      <c r="T26" s="51"/>
      <c r="U26" s="51"/>
      <c r="V26" s="51"/>
      <c r="W26" s="51"/>
      <c r="X26" s="51"/>
    </row>
    <row r="27" spans="1:26" hidden="1">
      <c r="A27" s="41" t="s">
        <v>102</v>
      </c>
      <c r="B27" s="42" t="s">
        <v>270</v>
      </c>
      <c r="C27" s="43">
        <v>2100134184</v>
      </c>
      <c r="D27" s="48"/>
      <c r="E27" s="51"/>
      <c r="F27" s="51"/>
      <c r="G27" s="51"/>
      <c r="H27" s="51"/>
      <c r="I27" s="51"/>
      <c r="J27" s="51"/>
      <c r="K27" s="51"/>
      <c r="L27" s="51"/>
      <c r="M27" s="51"/>
      <c r="N27" s="51"/>
      <c r="O27" s="51"/>
      <c r="P27" s="51"/>
      <c r="Q27" s="51"/>
      <c r="R27" s="51"/>
      <c r="S27" s="51"/>
      <c r="T27" s="51"/>
      <c r="U27" s="51"/>
      <c r="V27" s="51"/>
      <c r="W27" s="51"/>
      <c r="X27" s="51"/>
    </row>
    <row r="28" spans="1:26" ht="15.75" hidden="1">
      <c r="A28" s="106" t="s">
        <v>100</v>
      </c>
      <c r="B28" s="56" t="s">
        <v>310</v>
      </c>
      <c r="C28" s="107">
        <v>1030057960</v>
      </c>
      <c r="D28" s="34">
        <v>277268009</v>
      </c>
      <c r="E28" s="1"/>
      <c r="F28" s="51"/>
      <c r="G28" s="51"/>
      <c r="H28" s="51"/>
      <c r="I28" s="51"/>
      <c r="J28" s="51"/>
      <c r="K28" s="51"/>
      <c r="L28" s="51"/>
      <c r="M28" s="51"/>
      <c r="N28" s="51"/>
      <c r="O28" s="51"/>
      <c r="P28" s="51"/>
      <c r="Q28" s="51"/>
      <c r="R28" s="51"/>
      <c r="S28" s="51"/>
      <c r="T28" s="51"/>
      <c r="U28" s="51"/>
      <c r="V28" s="51"/>
      <c r="W28" s="51"/>
      <c r="X28" s="51"/>
    </row>
    <row r="29" spans="1:26" hidden="1">
      <c r="A29" s="76" t="s">
        <v>328</v>
      </c>
      <c r="B29" s="76" t="s">
        <v>329</v>
      </c>
      <c r="C29" s="107">
        <v>7060005837</v>
      </c>
      <c r="D29" s="34">
        <v>201400720062</v>
      </c>
    </row>
    <row r="30" spans="1:26" hidden="1">
      <c r="A30" s="55" t="s">
        <v>343</v>
      </c>
      <c r="B30" s="55" t="s">
        <v>344</v>
      </c>
      <c r="C30" s="107">
        <v>60208329</v>
      </c>
      <c r="D30" s="34">
        <v>201400600995</v>
      </c>
      <c r="E30" s="51"/>
      <c r="F30" s="51"/>
      <c r="G30" s="51"/>
      <c r="H30" s="51"/>
      <c r="I30" s="51"/>
      <c r="J30" s="51"/>
      <c r="K30" s="51"/>
      <c r="L30" s="51"/>
      <c r="M30" s="51"/>
      <c r="N30" s="51"/>
      <c r="O30" s="51"/>
      <c r="P30" s="51"/>
      <c r="Q30" s="51"/>
      <c r="R30" s="51"/>
      <c r="S30" s="51"/>
      <c r="T30" s="51"/>
      <c r="U30" s="51"/>
      <c r="V30" s="51"/>
      <c r="W30" s="51"/>
      <c r="X30" s="51"/>
    </row>
    <row r="31" spans="1:26" hidden="1">
      <c r="A31" s="33" t="s">
        <v>103</v>
      </c>
      <c r="B31" s="33" t="s">
        <v>345</v>
      </c>
      <c r="C31" s="103">
        <v>2100127006</v>
      </c>
      <c r="D31" s="7">
        <v>201500187555</v>
      </c>
      <c r="E31" s="51"/>
      <c r="F31" s="51"/>
      <c r="G31" s="51"/>
      <c r="H31" s="51"/>
      <c r="I31" s="51"/>
      <c r="J31" s="51"/>
      <c r="K31" s="51"/>
      <c r="L31" s="51"/>
      <c r="M31" s="51"/>
      <c r="N31" s="51"/>
      <c r="O31" s="51"/>
      <c r="P31" s="51"/>
      <c r="Q31" s="51"/>
      <c r="R31" s="51"/>
      <c r="S31" s="51"/>
      <c r="T31" s="51"/>
      <c r="U31" s="51"/>
      <c r="V31" s="51"/>
      <c r="W31" s="51"/>
      <c r="X31" s="51"/>
    </row>
    <row r="32" spans="1:26" hidden="1">
      <c r="A32" s="54" t="s">
        <v>346</v>
      </c>
      <c r="B32" s="54" t="s">
        <v>347</v>
      </c>
      <c r="C32" s="103">
        <v>3350051235</v>
      </c>
      <c r="D32" s="108">
        <v>182012088</v>
      </c>
      <c r="E32" s="51"/>
      <c r="F32" s="51"/>
      <c r="G32" s="51"/>
      <c r="H32" s="51"/>
      <c r="I32" s="51"/>
      <c r="J32" s="51"/>
      <c r="K32" s="51"/>
      <c r="L32" s="51"/>
      <c r="M32" s="51"/>
      <c r="N32" s="51"/>
      <c r="O32" s="51"/>
      <c r="P32" s="51"/>
      <c r="Q32" s="51"/>
      <c r="R32" s="51"/>
      <c r="S32" s="51"/>
      <c r="T32" s="51"/>
      <c r="U32" s="51"/>
      <c r="V32" s="51"/>
      <c r="W32" s="51"/>
      <c r="X32" s="51"/>
    </row>
    <row r="33" spans="1:25" hidden="1">
      <c r="A33" s="54" t="s">
        <v>348</v>
      </c>
      <c r="B33" s="54" t="s">
        <v>349</v>
      </c>
      <c r="C33" s="103">
        <v>4600011060</v>
      </c>
      <c r="D33" s="7">
        <v>201100419019</v>
      </c>
      <c r="E33" s="51"/>
      <c r="F33" s="51"/>
      <c r="G33" s="51"/>
      <c r="H33" s="51"/>
      <c r="I33" s="51"/>
      <c r="J33" s="51"/>
      <c r="K33" s="51"/>
      <c r="L33" s="51"/>
      <c r="M33" s="51"/>
      <c r="N33" s="51"/>
      <c r="O33" s="51"/>
      <c r="P33" s="51"/>
      <c r="Q33" s="51"/>
      <c r="R33" s="51"/>
      <c r="S33" s="51"/>
      <c r="T33" s="51"/>
      <c r="U33" s="51"/>
      <c r="V33" s="51"/>
      <c r="W33" s="51"/>
      <c r="X33" s="51"/>
    </row>
    <row r="34" spans="1:25" hidden="1">
      <c r="A34" s="53" t="s">
        <v>129</v>
      </c>
      <c r="B34" s="53" t="s">
        <v>277</v>
      </c>
      <c r="C34" s="103">
        <v>620089466</v>
      </c>
      <c r="D34" s="7">
        <v>201500611267</v>
      </c>
      <c r="E34" s="51"/>
      <c r="F34" s="51"/>
      <c r="G34" s="51"/>
      <c r="H34" s="51"/>
      <c r="I34" s="51"/>
      <c r="J34" s="51"/>
      <c r="K34" s="51"/>
      <c r="L34" s="51"/>
      <c r="M34" s="51"/>
      <c r="N34" s="51"/>
      <c r="O34" s="51"/>
      <c r="P34" s="51"/>
      <c r="Q34" s="51"/>
      <c r="R34" s="51"/>
      <c r="S34" s="51"/>
      <c r="T34" s="51"/>
      <c r="U34" s="51"/>
      <c r="V34" s="51"/>
      <c r="W34" s="51"/>
      <c r="X34" s="51"/>
    </row>
    <row r="35" spans="1:25" hidden="1">
      <c r="A35" s="53" t="s">
        <v>350</v>
      </c>
      <c r="B35" s="53" t="s">
        <v>351</v>
      </c>
      <c r="C35" s="103">
        <v>2100129747</v>
      </c>
      <c r="D35" s="109">
        <v>201500683162</v>
      </c>
      <c r="E35" s="51"/>
      <c r="F35" s="51"/>
      <c r="G35" s="51"/>
      <c r="H35" s="51"/>
      <c r="I35" s="51"/>
      <c r="J35" s="51"/>
      <c r="K35" s="51"/>
      <c r="L35" s="51"/>
      <c r="M35" s="51"/>
      <c r="N35" s="51"/>
      <c r="O35" s="51"/>
      <c r="P35" s="51"/>
      <c r="Q35" s="51"/>
      <c r="R35" s="51"/>
      <c r="S35" s="51"/>
      <c r="T35" s="51"/>
      <c r="U35" s="51"/>
      <c r="V35" s="51"/>
      <c r="W35" s="51"/>
      <c r="X35" s="51"/>
    </row>
    <row r="36" spans="1:25" hidden="1">
      <c r="A36" s="53" t="s">
        <v>77</v>
      </c>
      <c r="B36" s="53" t="s">
        <v>261</v>
      </c>
      <c r="C36" s="103">
        <v>3250027839</v>
      </c>
      <c r="D36" s="7">
        <v>285073052</v>
      </c>
      <c r="E36" s="51"/>
      <c r="F36" s="51"/>
      <c r="G36" s="51"/>
      <c r="H36" s="51"/>
      <c r="I36" s="51"/>
      <c r="J36" s="51"/>
      <c r="K36" s="51"/>
      <c r="L36" s="51"/>
      <c r="M36" s="51"/>
      <c r="N36" s="51"/>
      <c r="O36" s="51"/>
      <c r="P36" s="51"/>
      <c r="Q36" s="51"/>
      <c r="R36" s="51"/>
      <c r="S36" s="51"/>
      <c r="T36" s="51"/>
      <c r="U36" s="51"/>
      <c r="V36" s="51"/>
      <c r="W36" s="51"/>
      <c r="X36" s="51"/>
    </row>
    <row r="37" spans="1:25" hidden="1">
      <c r="A37" s="54" t="s">
        <v>109</v>
      </c>
      <c r="B37" s="54" t="s">
        <v>273</v>
      </c>
      <c r="C37" s="103">
        <v>30038129</v>
      </c>
      <c r="D37" s="7">
        <v>201500187145</v>
      </c>
      <c r="E37" s="51"/>
      <c r="F37" s="51"/>
      <c r="G37" s="51"/>
      <c r="H37" s="51"/>
      <c r="I37" s="51"/>
      <c r="J37" s="51"/>
      <c r="K37" s="51"/>
      <c r="L37" s="51"/>
      <c r="M37" s="51"/>
      <c r="N37" s="51"/>
      <c r="O37" s="51"/>
      <c r="P37" s="51"/>
      <c r="Q37" s="51"/>
      <c r="R37" s="51"/>
      <c r="S37" s="51"/>
      <c r="T37" s="51"/>
      <c r="U37" s="51"/>
      <c r="V37" s="51"/>
      <c r="W37" s="51"/>
      <c r="X37" s="51"/>
    </row>
    <row r="38" spans="1:25" hidden="1">
      <c r="A38" s="33" t="s">
        <v>352</v>
      </c>
      <c r="B38" s="33" t="s">
        <v>353</v>
      </c>
      <c r="C38" s="103">
        <v>660126350</v>
      </c>
      <c r="D38" s="7">
        <v>201500187074</v>
      </c>
      <c r="E38" s="51"/>
      <c r="F38" s="51"/>
      <c r="G38" s="51"/>
      <c r="H38" s="51"/>
      <c r="I38" s="51"/>
      <c r="J38" s="51"/>
      <c r="K38" s="51"/>
      <c r="L38" s="51"/>
      <c r="M38" s="51"/>
      <c r="N38" s="51"/>
      <c r="O38" s="51"/>
      <c r="P38" s="51"/>
      <c r="Q38" s="51"/>
      <c r="R38" s="51"/>
      <c r="S38" s="51"/>
      <c r="T38" s="51"/>
      <c r="U38" s="51"/>
      <c r="V38" s="51"/>
      <c r="W38" s="51"/>
      <c r="X38" s="51"/>
    </row>
    <row r="39" spans="1:25" hidden="1">
      <c r="A39" s="22" t="s">
        <v>92</v>
      </c>
      <c r="B39" s="22" t="s">
        <v>278</v>
      </c>
      <c r="C39" s="110">
        <v>2200063028</v>
      </c>
      <c r="D39" s="45">
        <v>201400302399</v>
      </c>
      <c r="E39" s="51"/>
      <c r="F39" s="51"/>
      <c r="G39" s="51"/>
      <c r="H39" s="51"/>
      <c r="I39" s="51"/>
      <c r="J39" s="51"/>
      <c r="K39" s="51"/>
      <c r="L39" s="51"/>
      <c r="M39" s="51"/>
      <c r="N39" s="51"/>
      <c r="O39" s="51"/>
      <c r="P39" s="51"/>
      <c r="Q39" s="51"/>
      <c r="R39" s="51"/>
      <c r="S39" s="51"/>
      <c r="T39" s="51"/>
      <c r="U39" s="51"/>
      <c r="V39" s="51"/>
      <c r="W39" s="51"/>
      <c r="X39" s="2"/>
      <c r="Y39" s="139"/>
    </row>
    <row r="40" spans="1:25" hidden="1">
      <c r="A40" s="111" t="s">
        <v>275</v>
      </c>
      <c r="B40" s="111" t="s">
        <v>276</v>
      </c>
      <c r="C40" s="112">
        <v>2100118682</v>
      </c>
      <c r="D40" s="46">
        <v>201501010609</v>
      </c>
      <c r="E40" s="51"/>
      <c r="F40" s="51"/>
      <c r="G40" s="51"/>
      <c r="H40" s="51"/>
      <c r="I40" s="51"/>
      <c r="J40" s="51"/>
      <c r="K40" s="51"/>
      <c r="L40" s="51"/>
      <c r="M40" s="51"/>
      <c r="N40" s="51"/>
      <c r="O40" s="51"/>
      <c r="P40" s="51"/>
      <c r="Q40" s="51"/>
      <c r="R40" s="51"/>
      <c r="S40" s="51"/>
      <c r="T40" s="51"/>
      <c r="U40" s="51"/>
      <c r="V40" s="51"/>
      <c r="W40" s="51"/>
      <c r="X40" s="2"/>
      <c r="Y40" s="139"/>
    </row>
    <row r="41" spans="1:25" hidden="1">
      <c r="A41" s="111" t="s">
        <v>354</v>
      </c>
      <c r="B41" s="111" t="s">
        <v>355</v>
      </c>
      <c r="C41" s="113">
        <v>2100131065</v>
      </c>
      <c r="D41" s="46">
        <v>201501013795</v>
      </c>
      <c r="E41" s="51"/>
      <c r="F41" s="51"/>
      <c r="G41" s="51"/>
      <c r="H41" s="51"/>
      <c r="I41" s="51"/>
      <c r="J41" s="51"/>
      <c r="K41" s="51"/>
      <c r="L41" s="51"/>
      <c r="M41" s="51"/>
      <c r="N41" s="51"/>
      <c r="O41" s="51"/>
      <c r="P41" s="51"/>
      <c r="Q41" s="51"/>
      <c r="R41" s="51"/>
      <c r="S41" s="51"/>
      <c r="T41" s="51"/>
      <c r="U41" s="51"/>
      <c r="V41" s="51"/>
      <c r="W41" s="51"/>
      <c r="X41" s="2"/>
      <c r="Y41" s="139"/>
    </row>
    <row r="42" spans="1:25" hidden="1">
      <c r="A42" s="22" t="s">
        <v>271</v>
      </c>
      <c r="B42" s="22" t="s">
        <v>272</v>
      </c>
      <c r="C42" s="103">
        <v>590065892</v>
      </c>
      <c r="D42" s="7">
        <v>201500248776</v>
      </c>
      <c r="E42" s="51"/>
      <c r="F42" s="51"/>
      <c r="G42" s="51"/>
      <c r="H42" s="51"/>
      <c r="I42" s="51"/>
      <c r="J42" s="51"/>
      <c r="K42" s="51"/>
      <c r="L42" s="51"/>
      <c r="M42" s="51"/>
      <c r="N42" s="51"/>
      <c r="O42" s="51"/>
      <c r="P42" s="51"/>
      <c r="Q42" s="51"/>
      <c r="R42" s="51"/>
      <c r="S42" s="51"/>
      <c r="T42" s="51"/>
      <c r="U42" s="51"/>
      <c r="V42" s="51"/>
      <c r="W42" s="51"/>
      <c r="X42" s="51"/>
    </row>
    <row r="43" spans="1:25" hidden="1">
      <c r="A43" s="22" t="s">
        <v>356</v>
      </c>
      <c r="B43" s="22" t="s">
        <v>357</v>
      </c>
      <c r="C43" s="103">
        <v>590065900</v>
      </c>
      <c r="D43" s="7">
        <v>201500187163</v>
      </c>
      <c r="E43" s="51"/>
      <c r="F43" s="51"/>
      <c r="G43" s="51"/>
      <c r="H43" s="51"/>
      <c r="I43" s="51"/>
      <c r="J43" s="51"/>
      <c r="K43" s="51"/>
      <c r="L43" s="51"/>
      <c r="M43" s="51"/>
      <c r="N43" s="51"/>
      <c r="O43" s="51"/>
      <c r="P43" s="51"/>
      <c r="Q43" s="51"/>
      <c r="R43" s="51"/>
      <c r="S43" s="51"/>
      <c r="T43" s="51"/>
      <c r="U43" s="51"/>
      <c r="V43" s="51"/>
      <c r="W43" s="51"/>
      <c r="X43" s="51"/>
    </row>
    <row r="44" spans="1:25" hidden="1">
      <c r="A44" s="33" t="s">
        <v>98</v>
      </c>
      <c r="B44" s="33" t="s">
        <v>274</v>
      </c>
      <c r="C44" s="103">
        <v>2830045908</v>
      </c>
      <c r="D44" s="7">
        <v>201500308256</v>
      </c>
      <c r="E44" s="51"/>
      <c r="F44" s="51"/>
      <c r="G44" s="51"/>
      <c r="H44" s="51"/>
      <c r="I44" s="51"/>
      <c r="J44" s="51"/>
      <c r="K44" s="51"/>
      <c r="L44" s="51"/>
      <c r="M44" s="51"/>
      <c r="N44" s="51"/>
      <c r="O44" s="51"/>
      <c r="P44" s="51"/>
      <c r="Q44" s="51"/>
      <c r="R44" s="51"/>
      <c r="S44" s="51"/>
      <c r="T44" s="51"/>
      <c r="U44" s="51"/>
      <c r="V44" s="51"/>
      <c r="W44" s="51"/>
      <c r="X44" s="51"/>
    </row>
    <row r="45" spans="1:25" hidden="1">
      <c r="A45" s="47" t="s">
        <v>279</v>
      </c>
      <c r="B45" s="47" t="s">
        <v>280</v>
      </c>
      <c r="C45" s="110">
        <v>1420047019</v>
      </c>
      <c r="D45" s="7">
        <v>183275122</v>
      </c>
      <c r="E45" s="51"/>
    </row>
    <row r="46" spans="1:25" hidden="1">
      <c r="A46" s="32" t="s">
        <v>358</v>
      </c>
      <c r="B46" s="32" t="s">
        <v>359</v>
      </c>
      <c r="C46" s="45">
        <v>4530051616</v>
      </c>
      <c r="D46" s="7">
        <v>201101225716</v>
      </c>
      <c r="E46" s="51"/>
    </row>
    <row r="47" spans="1:25" hidden="1">
      <c r="A47" s="7" t="s">
        <v>301</v>
      </c>
      <c r="B47" s="30" t="s">
        <v>330</v>
      </c>
      <c r="C47" s="114">
        <v>141711217</v>
      </c>
      <c r="D47" s="45">
        <v>183144534</v>
      </c>
      <c r="F47" s="51"/>
      <c r="G47" s="51"/>
      <c r="H47" s="51"/>
      <c r="I47" s="51"/>
      <c r="J47" s="51"/>
      <c r="K47" s="51"/>
      <c r="L47" s="51"/>
      <c r="M47" s="51"/>
      <c r="N47" s="51"/>
      <c r="O47" s="51"/>
      <c r="P47" s="51"/>
      <c r="Q47" s="51"/>
      <c r="R47" s="51"/>
      <c r="S47" s="51"/>
      <c r="T47" s="51"/>
      <c r="U47" s="51"/>
      <c r="V47" s="51"/>
      <c r="W47" s="51"/>
      <c r="X47" s="51"/>
    </row>
    <row r="48" spans="1:25" hidden="1">
      <c r="A48" s="115" t="s">
        <v>360</v>
      </c>
      <c r="B48" s="115" t="s">
        <v>361</v>
      </c>
      <c r="C48" s="103">
        <v>620086876</v>
      </c>
      <c r="D48" s="7">
        <v>201402738077</v>
      </c>
      <c r="E48" s="51"/>
      <c r="F48" s="51"/>
      <c r="G48" s="51"/>
      <c r="H48" s="51"/>
      <c r="I48" s="51"/>
      <c r="J48" s="51"/>
      <c r="K48" s="51"/>
      <c r="L48" s="51"/>
      <c r="M48" s="51"/>
      <c r="N48" s="51"/>
      <c r="O48" s="51"/>
      <c r="P48" s="51"/>
      <c r="Q48" s="51"/>
      <c r="R48" s="51"/>
      <c r="S48" s="51"/>
      <c r="T48" s="51"/>
      <c r="U48" s="51"/>
      <c r="V48" s="51"/>
      <c r="W48" s="51"/>
      <c r="X48" s="51"/>
    </row>
    <row r="49" spans="1:24" hidden="1">
      <c r="A49" s="33" t="s">
        <v>326</v>
      </c>
      <c r="B49" s="33" t="s">
        <v>327</v>
      </c>
      <c r="C49" s="114">
        <v>620085936</v>
      </c>
      <c r="D49" s="45">
        <v>201402455764</v>
      </c>
      <c r="E49" s="51"/>
      <c r="F49" s="51"/>
      <c r="G49" s="51"/>
      <c r="H49" s="51"/>
      <c r="I49" s="51"/>
      <c r="J49" s="51"/>
      <c r="K49" s="51"/>
      <c r="L49" s="51"/>
      <c r="M49" s="51"/>
      <c r="N49" s="51"/>
      <c r="O49" s="51"/>
      <c r="P49" s="51"/>
      <c r="Q49" s="51"/>
      <c r="R49" s="51"/>
      <c r="S49" s="51"/>
      <c r="T49" s="51"/>
      <c r="U49" s="51"/>
      <c r="V49" s="51"/>
      <c r="W49" s="51"/>
      <c r="X49" s="51"/>
    </row>
    <row r="50" spans="1:24" hidden="1">
      <c r="A50" s="7" t="s">
        <v>136</v>
      </c>
      <c r="B50" s="7" t="s">
        <v>281</v>
      </c>
      <c r="C50" s="103">
        <v>1030061012</v>
      </c>
      <c r="D50" s="7">
        <v>201400236014</v>
      </c>
      <c r="E50" s="51"/>
      <c r="F50" s="51"/>
      <c r="G50" s="51"/>
      <c r="H50" s="51"/>
      <c r="I50" s="51"/>
      <c r="J50" s="51"/>
      <c r="K50" s="51"/>
      <c r="L50" s="51"/>
      <c r="M50" s="51"/>
      <c r="N50" s="51"/>
      <c r="O50" s="51"/>
      <c r="P50" s="51"/>
      <c r="Q50" s="51"/>
      <c r="R50" s="51"/>
      <c r="S50" s="51"/>
      <c r="T50" s="51"/>
      <c r="U50" s="51"/>
      <c r="V50" s="51"/>
      <c r="W50" s="51"/>
      <c r="X50" s="51"/>
    </row>
    <row r="51" spans="1:24" hidden="1">
      <c r="A51" s="47" t="s">
        <v>362</v>
      </c>
      <c r="B51" s="47" t="s">
        <v>363</v>
      </c>
      <c r="C51" s="103">
        <v>590064788</v>
      </c>
      <c r="D51" s="7">
        <v>201402464727</v>
      </c>
      <c r="E51" s="51"/>
      <c r="F51" s="51"/>
      <c r="G51" s="51"/>
      <c r="H51" s="51"/>
      <c r="I51" s="51"/>
      <c r="J51" s="51"/>
      <c r="K51" s="51"/>
      <c r="L51" s="51"/>
      <c r="M51" s="51"/>
      <c r="N51" s="51"/>
      <c r="O51" s="51"/>
      <c r="P51" s="51"/>
      <c r="Q51" s="51"/>
      <c r="R51" s="51"/>
      <c r="S51" s="51"/>
      <c r="T51" s="51"/>
      <c r="U51" s="51"/>
      <c r="V51" s="51"/>
      <c r="W51" s="51"/>
      <c r="X51" s="51"/>
    </row>
    <row r="52" spans="1:24" hidden="1">
      <c r="A52" s="57" t="s">
        <v>364</v>
      </c>
      <c r="B52" s="57" t="s">
        <v>365</v>
      </c>
      <c r="C52" s="108">
        <v>4630027318</v>
      </c>
      <c r="D52" s="7">
        <v>184327179</v>
      </c>
      <c r="E52" s="51"/>
      <c r="F52" s="51"/>
      <c r="G52" s="51"/>
      <c r="H52" s="51"/>
      <c r="I52" s="51"/>
      <c r="J52" s="51"/>
      <c r="K52" s="51"/>
      <c r="L52" s="51"/>
      <c r="M52" s="51"/>
      <c r="N52" s="51"/>
      <c r="O52" s="51"/>
      <c r="P52" s="51"/>
      <c r="Q52" s="51"/>
      <c r="R52" s="51"/>
      <c r="S52" s="51"/>
      <c r="T52" s="51"/>
      <c r="U52" s="51"/>
      <c r="V52" s="51"/>
      <c r="W52" s="51"/>
      <c r="X52" s="51"/>
    </row>
    <row r="53" spans="1:24" hidden="1">
      <c r="A53" s="57" t="s">
        <v>366</v>
      </c>
      <c r="B53" s="57" t="s">
        <v>367</v>
      </c>
      <c r="C53" s="45">
        <v>2100122619</v>
      </c>
      <c r="D53" s="7">
        <v>201402464905</v>
      </c>
      <c r="E53" s="51"/>
      <c r="F53" s="51"/>
      <c r="G53" s="51"/>
      <c r="H53" s="51"/>
      <c r="I53" s="51"/>
      <c r="J53" s="51"/>
      <c r="K53" s="51"/>
      <c r="L53" s="51"/>
      <c r="M53" s="51"/>
      <c r="N53" s="51"/>
      <c r="O53" s="51"/>
      <c r="P53" s="51"/>
      <c r="Q53" s="51"/>
      <c r="R53" s="51"/>
      <c r="S53" s="51"/>
      <c r="T53" s="51"/>
      <c r="U53" s="51"/>
      <c r="V53" s="51"/>
      <c r="W53" s="51"/>
      <c r="X53" s="51"/>
    </row>
    <row r="54" spans="1:24" hidden="1">
      <c r="A54" s="55" t="s">
        <v>331</v>
      </c>
      <c r="B54" s="55" t="s">
        <v>368</v>
      </c>
      <c r="C54" s="103">
        <v>1490110853</v>
      </c>
      <c r="D54" s="7">
        <v>201400241366</v>
      </c>
      <c r="E54" s="51"/>
      <c r="F54" s="51"/>
      <c r="G54" s="51"/>
      <c r="H54" s="51"/>
      <c r="I54" s="51"/>
      <c r="J54" s="51"/>
      <c r="K54" s="51"/>
      <c r="L54" s="51"/>
      <c r="M54" s="51"/>
      <c r="N54" s="51"/>
      <c r="O54" s="51"/>
      <c r="P54" s="51"/>
      <c r="Q54" s="51"/>
      <c r="R54" s="51"/>
      <c r="S54" s="51"/>
      <c r="T54" s="51"/>
      <c r="U54" s="51"/>
      <c r="V54" s="51"/>
      <c r="W54" s="51"/>
      <c r="X54" s="51"/>
    </row>
    <row r="55" spans="1:24" hidden="1">
      <c r="A55" s="32" t="s">
        <v>369</v>
      </c>
      <c r="B55" s="32" t="s">
        <v>370</v>
      </c>
      <c r="C55" s="45">
        <v>170086169</v>
      </c>
      <c r="D55" s="7">
        <v>201201835663</v>
      </c>
      <c r="E55" s="51"/>
      <c r="F55" s="51"/>
      <c r="G55" s="51"/>
      <c r="H55" s="51"/>
      <c r="I55" s="51"/>
      <c r="J55" s="51"/>
      <c r="K55" s="51"/>
      <c r="L55" s="51"/>
      <c r="M55" s="51"/>
      <c r="N55" s="51"/>
      <c r="O55" s="51"/>
      <c r="P55" s="51"/>
      <c r="Q55" s="51"/>
      <c r="R55" s="51"/>
      <c r="S55" s="51"/>
      <c r="T55" s="51"/>
      <c r="U55" s="51"/>
      <c r="V55" s="51"/>
      <c r="W55" s="51"/>
      <c r="X55" s="51"/>
    </row>
    <row r="56" spans="1:24" hidden="1">
      <c r="A56" s="7" t="s">
        <v>60</v>
      </c>
      <c r="B56" s="7" t="s">
        <v>371</v>
      </c>
      <c r="C56" s="103" t="s">
        <v>266</v>
      </c>
      <c r="D56" s="7" t="s">
        <v>372</v>
      </c>
      <c r="E56" s="51"/>
      <c r="F56" s="51"/>
      <c r="G56" s="51"/>
      <c r="H56" s="51"/>
      <c r="I56" s="51"/>
      <c r="J56" s="51"/>
      <c r="K56" s="51"/>
      <c r="L56" s="51"/>
      <c r="M56" s="51"/>
      <c r="N56" s="51"/>
      <c r="O56" s="51"/>
      <c r="P56" s="51"/>
      <c r="Q56" s="51"/>
      <c r="R56" s="51"/>
      <c r="S56" s="51"/>
      <c r="T56" s="51"/>
      <c r="U56" s="51"/>
      <c r="V56" s="51"/>
      <c r="W56" s="51"/>
      <c r="X56" s="51"/>
    </row>
    <row r="57" spans="1:24" hidden="1">
      <c r="A57" s="7" t="s">
        <v>308</v>
      </c>
      <c r="B57" s="7" t="s">
        <v>309</v>
      </c>
      <c r="C57" s="103" t="s">
        <v>266</v>
      </c>
      <c r="D57" s="45">
        <v>201300353549</v>
      </c>
      <c r="E57" s="51"/>
      <c r="F57" s="51"/>
      <c r="G57" s="51"/>
      <c r="H57" s="51"/>
      <c r="I57" s="51"/>
      <c r="J57" s="51"/>
      <c r="K57" s="51"/>
      <c r="L57" s="51"/>
      <c r="M57" s="51"/>
      <c r="N57" s="51"/>
      <c r="O57" s="51"/>
      <c r="P57" s="51"/>
      <c r="Q57" s="51"/>
      <c r="R57" s="51"/>
      <c r="S57" s="51"/>
      <c r="T57" s="51"/>
      <c r="U57" s="51"/>
      <c r="V57" s="51"/>
      <c r="W57" s="51"/>
      <c r="X57" s="51"/>
    </row>
    <row r="58" spans="1:24" hidden="1">
      <c r="A58" s="55" t="s">
        <v>373</v>
      </c>
      <c r="B58" s="55" t="s">
        <v>374</v>
      </c>
      <c r="C58" s="103" t="s">
        <v>266</v>
      </c>
      <c r="D58" s="116">
        <v>201101219304</v>
      </c>
      <c r="E58" s="51"/>
      <c r="F58" s="51"/>
      <c r="G58" s="51"/>
      <c r="H58" s="51"/>
      <c r="I58" s="51"/>
      <c r="J58" s="51"/>
      <c r="K58" s="51"/>
      <c r="L58" s="51"/>
      <c r="M58" s="51"/>
      <c r="N58" s="51"/>
      <c r="O58" s="51"/>
      <c r="P58" s="51"/>
      <c r="Q58" s="51"/>
      <c r="R58" s="51"/>
      <c r="S58" s="51"/>
      <c r="T58" s="51"/>
      <c r="U58" s="51"/>
      <c r="V58" s="51"/>
      <c r="W58" s="51"/>
      <c r="X58" s="51"/>
    </row>
    <row r="59" spans="1:24" hidden="1">
      <c r="A59" s="55" t="s">
        <v>287</v>
      </c>
      <c r="B59" s="55" t="s">
        <v>288</v>
      </c>
      <c r="C59" s="103">
        <v>1030060428</v>
      </c>
      <c r="D59" s="7">
        <v>201303416977</v>
      </c>
      <c r="E59" s="51"/>
      <c r="F59" s="51"/>
      <c r="G59" s="51"/>
      <c r="H59" s="51"/>
      <c r="I59" s="51"/>
      <c r="J59" s="51"/>
      <c r="K59" s="51"/>
      <c r="L59" s="51"/>
      <c r="M59" s="51"/>
      <c r="N59" s="51"/>
      <c r="O59" s="51"/>
      <c r="P59" s="51"/>
      <c r="Q59" s="51"/>
      <c r="R59" s="51"/>
      <c r="S59" s="51"/>
      <c r="T59" s="51"/>
      <c r="U59" s="51"/>
      <c r="V59" s="51"/>
      <c r="W59" s="51"/>
      <c r="X59" s="51"/>
    </row>
    <row r="60" spans="1:24" hidden="1">
      <c r="A60" s="55" t="s">
        <v>289</v>
      </c>
      <c r="B60" s="55" t="s">
        <v>290</v>
      </c>
      <c r="C60" s="103" t="s">
        <v>262</v>
      </c>
      <c r="D60" s="116">
        <v>201303574109</v>
      </c>
      <c r="E60" s="51"/>
      <c r="F60" s="51"/>
      <c r="G60" s="51"/>
      <c r="H60" s="51"/>
      <c r="I60" s="51"/>
      <c r="J60" s="51"/>
      <c r="K60" s="51"/>
      <c r="L60" s="51"/>
      <c r="M60" s="51"/>
      <c r="N60" s="51"/>
      <c r="O60" s="51"/>
      <c r="P60" s="51"/>
      <c r="Q60" s="51"/>
      <c r="R60" s="51"/>
      <c r="S60" s="51"/>
      <c r="T60" s="51"/>
      <c r="U60" s="51"/>
      <c r="V60" s="51"/>
      <c r="W60" s="51"/>
      <c r="X60" s="51"/>
    </row>
    <row r="61" spans="1:24" ht="14.25" hidden="1" customHeight="1">
      <c r="A61" s="7" t="s">
        <v>291</v>
      </c>
      <c r="B61" s="7" t="s">
        <v>292</v>
      </c>
      <c r="C61" s="103">
        <v>2100110333</v>
      </c>
      <c r="D61" s="7">
        <v>201303098197</v>
      </c>
      <c r="E61" s="51"/>
      <c r="F61" s="51"/>
      <c r="G61" s="51"/>
      <c r="H61" s="51"/>
      <c r="I61" s="51"/>
      <c r="J61" s="51"/>
      <c r="K61" s="51"/>
      <c r="L61" s="51"/>
      <c r="M61" s="51"/>
      <c r="N61" s="51"/>
      <c r="O61" s="51"/>
      <c r="P61" s="51"/>
      <c r="Q61" s="51"/>
      <c r="R61" s="51"/>
      <c r="S61" s="51"/>
      <c r="T61" s="51"/>
      <c r="U61" s="51"/>
      <c r="V61" s="51"/>
      <c r="W61" s="51"/>
      <c r="X61" s="51"/>
    </row>
    <row r="62" spans="1:24" hidden="1">
      <c r="A62" s="7" t="s">
        <v>293</v>
      </c>
      <c r="B62" s="7" t="s">
        <v>294</v>
      </c>
      <c r="C62" s="103">
        <v>2100096904</v>
      </c>
      <c r="D62" s="7">
        <v>201303098133</v>
      </c>
      <c r="E62" s="51"/>
      <c r="F62" s="51"/>
      <c r="G62" s="51"/>
      <c r="H62" s="51"/>
      <c r="I62" s="51"/>
      <c r="J62" s="51"/>
      <c r="K62" s="51"/>
      <c r="L62" s="51"/>
      <c r="M62" s="51"/>
      <c r="N62" s="51"/>
      <c r="O62" s="51"/>
      <c r="P62" s="51"/>
      <c r="Q62" s="51"/>
      <c r="R62" s="51"/>
      <c r="S62" s="51"/>
      <c r="T62" s="51"/>
      <c r="U62" s="51"/>
      <c r="V62" s="51"/>
      <c r="W62" s="51"/>
      <c r="X62" s="51"/>
    </row>
    <row r="63" spans="1:24" ht="15.75" hidden="1">
      <c r="A63" s="7" t="s">
        <v>295</v>
      </c>
      <c r="B63" s="36" t="s">
        <v>296</v>
      </c>
      <c r="C63" s="103">
        <v>1980089567</v>
      </c>
      <c r="D63" s="7">
        <v>201200919423</v>
      </c>
      <c r="E63" s="51"/>
      <c r="F63" s="51"/>
      <c r="G63" s="51"/>
      <c r="H63" s="51"/>
      <c r="I63" s="51"/>
      <c r="J63" s="51"/>
      <c r="K63" s="51"/>
      <c r="L63" s="51"/>
      <c r="M63" s="51"/>
      <c r="N63" s="51"/>
      <c r="O63" s="51"/>
      <c r="P63" s="51"/>
      <c r="Q63" s="51"/>
      <c r="R63" s="51"/>
      <c r="S63" s="51"/>
      <c r="T63" s="51"/>
      <c r="U63" s="51"/>
      <c r="V63" s="51"/>
      <c r="W63" s="51"/>
      <c r="X63" s="51"/>
    </row>
    <row r="64" spans="1:24" hidden="1">
      <c r="A64" s="7" t="s">
        <v>297</v>
      </c>
      <c r="B64" s="35" t="s">
        <v>298</v>
      </c>
      <c r="C64" s="103">
        <v>2100109921</v>
      </c>
      <c r="D64" s="7">
        <v>201302619073</v>
      </c>
      <c r="E64" s="51"/>
      <c r="F64" s="51"/>
      <c r="G64" s="51"/>
      <c r="H64" s="51"/>
      <c r="I64" s="51"/>
      <c r="J64" s="51"/>
      <c r="K64" s="51"/>
      <c r="L64" s="51"/>
      <c r="M64" s="51"/>
      <c r="N64" s="51"/>
      <c r="O64" s="51"/>
      <c r="P64" s="51"/>
      <c r="Q64" s="51"/>
      <c r="R64" s="51"/>
      <c r="S64" s="51"/>
      <c r="T64" s="51"/>
      <c r="U64" s="51"/>
      <c r="V64" s="51"/>
      <c r="W64" s="51"/>
      <c r="X64" s="51"/>
    </row>
    <row r="65" spans="1:24" ht="15.75" hidden="1">
      <c r="A65" s="50" t="s">
        <v>302</v>
      </c>
      <c r="B65" s="36" t="s">
        <v>303</v>
      </c>
      <c r="C65" s="108">
        <v>4600009635</v>
      </c>
      <c r="D65" s="7">
        <v>201301686279</v>
      </c>
      <c r="E65" s="51"/>
      <c r="F65" s="51"/>
      <c r="G65" s="51"/>
      <c r="H65" s="51"/>
      <c r="I65" s="51"/>
      <c r="J65" s="51"/>
      <c r="K65" s="51"/>
      <c r="L65" s="51"/>
      <c r="M65" s="51"/>
      <c r="N65" s="51"/>
      <c r="O65" s="51"/>
      <c r="P65" s="51"/>
      <c r="Q65" s="51"/>
      <c r="R65" s="51"/>
      <c r="S65" s="51"/>
      <c r="T65" s="51"/>
      <c r="U65" s="51"/>
      <c r="V65" s="51"/>
      <c r="W65" s="51"/>
      <c r="X65" s="51"/>
    </row>
    <row r="66" spans="1:24" ht="15.75" hidden="1">
      <c r="A66" s="50" t="s">
        <v>304</v>
      </c>
      <c r="B66" s="36" t="s">
        <v>305</v>
      </c>
      <c r="C66" s="103">
        <v>4080025986</v>
      </c>
      <c r="D66" s="7">
        <v>183253863</v>
      </c>
      <c r="E66" s="51"/>
      <c r="F66" s="51"/>
      <c r="G66" s="51"/>
      <c r="H66" s="51"/>
      <c r="I66" s="51"/>
      <c r="J66" s="51"/>
      <c r="K66" s="51"/>
      <c r="L66" s="51"/>
      <c r="M66" s="51"/>
      <c r="N66" s="51"/>
      <c r="O66" s="51"/>
      <c r="P66" s="51"/>
      <c r="Q66" s="51"/>
      <c r="R66" s="51"/>
      <c r="S66" s="51"/>
      <c r="T66" s="51"/>
      <c r="U66" s="51"/>
      <c r="V66" s="51"/>
      <c r="W66" s="51"/>
      <c r="X66" s="51"/>
    </row>
    <row r="67" spans="1:24" ht="15.75" hidden="1">
      <c r="A67" s="7" t="s">
        <v>306</v>
      </c>
      <c r="B67" s="36" t="s">
        <v>307</v>
      </c>
      <c r="C67" s="103">
        <v>1880052798</v>
      </c>
      <c r="D67" s="7">
        <v>201201577095</v>
      </c>
      <c r="E67" s="51"/>
      <c r="F67" s="51"/>
      <c r="G67" s="51"/>
      <c r="H67" s="51"/>
      <c r="I67" s="51"/>
      <c r="J67" s="51"/>
      <c r="K67" s="51"/>
      <c r="L67" s="51"/>
      <c r="M67" s="51"/>
      <c r="N67" s="51"/>
      <c r="O67" s="51"/>
      <c r="P67" s="51"/>
      <c r="Q67" s="51"/>
      <c r="R67" s="51"/>
      <c r="S67" s="51"/>
      <c r="T67" s="51"/>
      <c r="U67" s="51"/>
      <c r="V67" s="51"/>
      <c r="W67" s="51"/>
      <c r="X67" s="51"/>
    </row>
    <row r="68" spans="1:24" ht="15.75" hidden="1">
      <c r="A68" s="50" t="s">
        <v>304</v>
      </c>
      <c r="B68" s="36" t="s">
        <v>305</v>
      </c>
      <c r="C68" s="103">
        <v>4080025986</v>
      </c>
      <c r="D68" s="7">
        <v>183253863</v>
      </c>
      <c r="E68" s="51"/>
      <c r="F68" s="51"/>
      <c r="G68" s="51"/>
      <c r="H68" s="51"/>
      <c r="I68" s="51"/>
      <c r="J68" s="51"/>
      <c r="K68" s="51"/>
      <c r="L68" s="51"/>
      <c r="M68" s="51"/>
      <c r="N68" s="51"/>
      <c r="O68" s="51"/>
      <c r="P68" s="51"/>
      <c r="Q68" s="51"/>
      <c r="R68" s="51"/>
      <c r="S68" s="51"/>
      <c r="T68" s="51"/>
      <c r="U68" s="51"/>
      <c r="V68" s="51"/>
      <c r="W68" s="51"/>
      <c r="X68" s="51"/>
    </row>
    <row r="69" spans="1:24" ht="15.75" hidden="1">
      <c r="A69" s="7" t="s">
        <v>306</v>
      </c>
      <c r="B69" s="36" t="s">
        <v>307</v>
      </c>
      <c r="C69" s="103">
        <v>1880052798</v>
      </c>
      <c r="D69" s="7">
        <v>201201577095</v>
      </c>
      <c r="E69" s="51"/>
      <c r="F69" s="51"/>
      <c r="G69" s="51"/>
      <c r="H69" s="51"/>
      <c r="I69" s="51"/>
      <c r="J69" s="51"/>
      <c r="K69" s="51"/>
      <c r="L69" s="51"/>
      <c r="M69" s="51"/>
      <c r="N69" s="51"/>
      <c r="O69" s="51"/>
      <c r="P69" s="51"/>
      <c r="Q69" s="51"/>
      <c r="R69" s="51"/>
      <c r="S69" s="51"/>
      <c r="T69" s="51"/>
      <c r="U69" s="51"/>
      <c r="V69" s="51"/>
      <c r="W69" s="51"/>
      <c r="X69" s="51"/>
    </row>
    <row r="70" spans="1:24" ht="15.75" hidden="1">
      <c r="A70" s="117" t="s">
        <v>285</v>
      </c>
      <c r="B70" s="36" t="s">
        <v>286</v>
      </c>
      <c r="C70" s="103">
        <v>2100111794</v>
      </c>
      <c r="D70" s="7">
        <v>201303431380</v>
      </c>
      <c r="E70" s="51"/>
      <c r="F70" s="51"/>
      <c r="G70" s="51"/>
      <c r="H70" s="51"/>
      <c r="I70" s="51"/>
      <c r="J70" s="51"/>
      <c r="K70" s="51"/>
      <c r="L70" s="51"/>
      <c r="M70" s="51"/>
      <c r="N70" s="51"/>
      <c r="O70" s="51"/>
      <c r="P70" s="51"/>
      <c r="Q70" s="51"/>
      <c r="R70" s="51"/>
      <c r="S70" s="51"/>
      <c r="T70" s="51"/>
      <c r="U70" s="51"/>
      <c r="V70" s="51"/>
      <c r="W70" s="51"/>
      <c r="X70" s="51"/>
    </row>
    <row r="71" spans="1:24" hidden="1">
      <c r="A71" s="55" t="s">
        <v>95</v>
      </c>
      <c r="B71" s="55" t="s">
        <v>282</v>
      </c>
      <c r="C71" s="108">
        <v>4630028092</v>
      </c>
      <c r="D71" s="52">
        <v>201400447965</v>
      </c>
      <c r="E71" s="51"/>
      <c r="F71" s="51"/>
      <c r="G71" s="51"/>
      <c r="H71" s="51"/>
      <c r="I71" s="51"/>
      <c r="J71" s="51"/>
      <c r="K71" s="51"/>
      <c r="L71" s="51"/>
      <c r="M71" s="51"/>
      <c r="N71" s="51"/>
      <c r="O71" s="51"/>
      <c r="P71" s="51"/>
      <c r="Q71" s="51"/>
      <c r="R71" s="51"/>
      <c r="S71" s="51"/>
      <c r="T71" s="51"/>
      <c r="U71" s="51"/>
      <c r="V71" s="51"/>
      <c r="W71" s="51"/>
      <c r="X71" s="51"/>
    </row>
    <row r="72" spans="1:24">
      <c r="A72" s="7"/>
      <c r="B72" s="7"/>
      <c r="C72" s="38"/>
      <c r="D72" s="51"/>
      <c r="E72" s="51"/>
      <c r="F72" s="51"/>
      <c r="G72" s="51"/>
      <c r="H72" s="51"/>
      <c r="I72" s="51"/>
      <c r="J72" s="51"/>
      <c r="K72" s="51"/>
      <c r="L72" s="51"/>
      <c r="M72" s="51"/>
      <c r="N72" s="51"/>
      <c r="O72" s="51"/>
      <c r="P72" s="51"/>
      <c r="Q72" s="51"/>
      <c r="R72" s="51"/>
      <c r="S72" s="51"/>
      <c r="T72" s="51"/>
      <c r="U72" s="51"/>
      <c r="V72" s="51"/>
      <c r="W72" s="51"/>
      <c r="X72" s="51"/>
    </row>
    <row r="73" spans="1:24">
      <c r="A73" s="7"/>
      <c r="B73" s="7"/>
      <c r="C73" s="38"/>
      <c r="D73" s="51"/>
      <c r="E73" s="51"/>
      <c r="F73" s="51"/>
      <c r="G73" s="51"/>
      <c r="H73" s="51"/>
      <c r="I73" s="51"/>
      <c r="J73" s="51"/>
      <c r="K73" s="51"/>
      <c r="L73" s="51"/>
      <c r="M73" s="51"/>
      <c r="N73" s="51"/>
      <c r="O73" s="51"/>
      <c r="P73" s="51"/>
      <c r="Q73" s="51"/>
      <c r="R73" s="51"/>
      <c r="S73" s="51"/>
      <c r="T73" s="51"/>
      <c r="U73" s="51"/>
      <c r="V73" s="51"/>
      <c r="W73" s="51"/>
      <c r="X73" s="51"/>
    </row>
    <row r="74" spans="1:24">
      <c r="A74" s="7"/>
      <c r="B74" s="7"/>
      <c r="C74" s="38"/>
      <c r="D74" s="51"/>
      <c r="E74" s="51"/>
      <c r="F74" s="51"/>
      <c r="G74" s="51"/>
      <c r="H74" s="51"/>
      <c r="I74" s="51"/>
      <c r="J74" s="51"/>
      <c r="K74" s="51"/>
      <c r="L74" s="51"/>
      <c r="M74" s="51"/>
      <c r="N74" s="51"/>
      <c r="O74" s="51"/>
      <c r="P74" s="51"/>
      <c r="Q74" s="51"/>
      <c r="R74" s="51"/>
      <c r="S74" s="51"/>
      <c r="T74" s="51"/>
      <c r="U74" s="51"/>
      <c r="V74" s="51"/>
      <c r="W74" s="51"/>
      <c r="X74" s="51"/>
    </row>
    <row r="75" spans="1:24">
      <c r="A75" s="7"/>
      <c r="B75" s="7"/>
      <c r="C75" s="38"/>
      <c r="D75" s="51"/>
      <c r="E75" s="51"/>
      <c r="F75" s="51"/>
      <c r="G75" s="51"/>
      <c r="H75" s="51"/>
      <c r="I75" s="51"/>
      <c r="J75" s="51"/>
      <c r="K75" s="51"/>
      <c r="L75" s="51"/>
      <c r="M75" s="51"/>
      <c r="N75" s="51"/>
      <c r="O75" s="51"/>
      <c r="P75" s="51"/>
      <c r="Q75" s="51"/>
      <c r="R75" s="51"/>
      <c r="S75" s="51"/>
      <c r="T75" s="51"/>
      <c r="U75" s="51"/>
      <c r="V75" s="51"/>
      <c r="W75" s="51"/>
      <c r="X75" s="51"/>
    </row>
    <row r="76" spans="1:24">
      <c r="A76" s="7"/>
      <c r="B76" s="7"/>
      <c r="C76" s="38"/>
      <c r="D76" s="51"/>
      <c r="E76" s="51"/>
      <c r="F76" s="51"/>
      <c r="G76" s="51"/>
      <c r="H76" s="51"/>
      <c r="I76" s="51"/>
      <c r="J76" s="51"/>
      <c r="K76" s="51"/>
      <c r="L76" s="51"/>
      <c r="M76" s="51"/>
      <c r="N76" s="51"/>
      <c r="O76" s="51"/>
      <c r="P76" s="51"/>
      <c r="Q76" s="51"/>
      <c r="R76" s="51"/>
      <c r="S76" s="51"/>
      <c r="T76" s="51"/>
      <c r="U76" s="51"/>
      <c r="V76" s="51"/>
      <c r="W76" s="51"/>
      <c r="X76" s="51"/>
    </row>
    <row r="77" spans="1:24" ht="15.75">
      <c r="A77" s="7"/>
      <c r="B77" s="36"/>
      <c r="C77" s="38"/>
      <c r="D77" s="51"/>
      <c r="E77" s="51"/>
      <c r="F77" s="51"/>
      <c r="G77" s="51"/>
      <c r="H77" s="51"/>
      <c r="I77" s="51"/>
      <c r="J77" s="51"/>
      <c r="K77" s="51"/>
      <c r="L77" s="51"/>
      <c r="M77" s="51"/>
      <c r="N77" s="51"/>
      <c r="O77" s="51"/>
      <c r="P77" s="51"/>
      <c r="Q77" s="51"/>
      <c r="R77" s="51"/>
      <c r="S77" s="51"/>
      <c r="T77" s="51"/>
      <c r="U77" s="51"/>
      <c r="V77" s="51"/>
      <c r="W77" s="51"/>
      <c r="X77" s="51"/>
    </row>
    <row r="78" spans="1:24" ht="15.75">
      <c r="A78" s="7"/>
      <c r="B78" s="36"/>
      <c r="C78" s="38"/>
      <c r="D78" s="51"/>
      <c r="E78" s="51"/>
      <c r="F78" s="51"/>
      <c r="G78" s="51"/>
      <c r="H78" s="51"/>
      <c r="I78" s="51"/>
      <c r="J78" s="51"/>
      <c r="K78" s="51"/>
      <c r="L78" s="51"/>
      <c r="M78" s="51"/>
      <c r="N78" s="51"/>
      <c r="O78" s="51"/>
      <c r="P78" s="51"/>
      <c r="Q78" s="51"/>
      <c r="R78" s="51"/>
      <c r="S78" s="51"/>
      <c r="T78" s="51"/>
      <c r="U78" s="51"/>
      <c r="V78" s="51"/>
      <c r="W78" s="51"/>
      <c r="X78" s="51"/>
    </row>
    <row r="79" spans="1:24" ht="15.75">
      <c r="A79" s="7"/>
      <c r="B79" s="36"/>
      <c r="C79" s="38"/>
      <c r="D79" s="51"/>
      <c r="E79" s="51"/>
      <c r="F79" s="51"/>
      <c r="G79" s="51"/>
      <c r="H79" s="51"/>
      <c r="I79" s="51"/>
      <c r="J79" s="51"/>
      <c r="K79" s="51"/>
      <c r="L79" s="51"/>
      <c r="M79" s="51"/>
      <c r="N79" s="51"/>
      <c r="O79" s="51"/>
      <c r="P79" s="51"/>
      <c r="Q79" s="51"/>
      <c r="R79" s="51"/>
      <c r="S79" s="51"/>
      <c r="T79" s="51"/>
      <c r="U79" s="51"/>
      <c r="V79" s="51"/>
      <c r="W79" s="51"/>
      <c r="X79" s="51"/>
    </row>
    <row r="80" spans="1:24" ht="15.75">
      <c r="A80" s="7"/>
      <c r="B80" s="36"/>
      <c r="C80" s="38"/>
      <c r="D80" s="51"/>
      <c r="E80" s="51"/>
      <c r="F80" s="51"/>
      <c r="G80" s="51"/>
      <c r="H80" s="51"/>
      <c r="I80" s="51"/>
      <c r="J80" s="51"/>
      <c r="K80" s="51"/>
      <c r="L80" s="51"/>
      <c r="M80" s="51"/>
      <c r="N80" s="51"/>
      <c r="O80" s="51"/>
      <c r="P80" s="51"/>
      <c r="Q80" s="51"/>
      <c r="R80" s="51"/>
      <c r="S80" s="51"/>
      <c r="T80" s="51"/>
      <c r="U80" s="51"/>
      <c r="V80" s="51"/>
      <c r="W80" s="51"/>
      <c r="X80" s="51"/>
    </row>
    <row r="81" spans="1:24" ht="15.75">
      <c r="A81" s="7"/>
      <c r="B81" s="36"/>
      <c r="C81" s="38"/>
      <c r="D81" s="51"/>
      <c r="E81" s="51"/>
      <c r="F81" s="51"/>
      <c r="G81" s="51"/>
      <c r="H81" s="51"/>
      <c r="I81" s="51"/>
      <c r="J81" s="51"/>
      <c r="K81" s="51"/>
      <c r="L81" s="51"/>
      <c r="M81" s="51"/>
      <c r="N81" s="51"/>
      <c r="O81" s="51"/>
      <c r="P81" s="51"/>
      <c r="Q81" s="51"/>
      <c r="R81" s="51"/>
      <c r="S81" s="51"/>
      <c r="T81" s="51"/>
      <c r="U81" s="51"/>
      <c r="V81" s="51"/>
      <c r="W81" s="51"/>
      <c r="X81" s="51"/>
    </row>
    <row r="82" spans="1:24" ht="15.75">
      <c r="A82" s="7"/>
      <c r="B82" s="36"/>
      <c r="C82" s="38"/>
      <c r="D82" s="51"/>
      <c r="E82" s="51"/>
      <c r="F82" s="51"/>
      <c r="G82" s="51"/>
      <c r="H82" s="51"/>
      <c r="I82" s="51"/>
      <c r="J82" s="51"/>
      <c r="K82" s="51"/>
      <c r="L82" s="51"/>
      <c r="M82" s="51"/>
      <c r="N82" s="51"/>
      <c r="O82" s="51"/>
      <c r="P82" s="51"/>
      <c r="Q82" s="51"/>
      <c r="R82" s="51"/>
      <c r="S82" s="51"/>
      <c r="T82" s="51"/>
      <c r="U82" s="51"/>
      <c r="V82" s="51"/>
      <c r="W82" s="51"/>
      <c r="X82" s="51"/>
    </row>
    <row r="83" spans="1:24" ht="15.75">
      <c r="A83" s="7"/>
      <c r="B83" s="36"/>
      <c r="C83" s="77"/>
      <c r="D83" s="51"/>
      <c r="E83" s="51"/>
      <c r="F83" s="51"/>
      <c r="G83" s="51"/>
      <c r="H83" s="51"/>
      <c r="I83" s="51"/>
      <c r="J83" s="51"/>
      <c r="K83" s="51"/>
      <c r="L83" s="51"/>
      <c r="M83" s="51"/>
      <c r="N83" s="51"/>
      <c r="O83" s="51"/>
      <c r="P83" s="51"/>
      <c r="Q83" s="51"/>
      <c r="R83" s="51"/>
      <c r="S83" s="51"/>
      <c r="T83" s="51"/>
      <c r="U83" s="51"/>
      <c r="V83" s="51"/>
      <c r="W83" s="51"/>
      <c r="X83" s="51"/>
    </row>
    <row r="84" spans="1:24" ht="15.75">
      <c r="A84" s="7"/>
      <c r="B84" s="36"/>
      <c r="C84" s="38"/>
      <c r="D84" s="51"/>
      <c r="E84" s="51"/>
      <c r="F84" s="51"/>
      <c r="G84" s="51"/>
      <c r="H84" s="51"/>
      <c r="I84" s="51"/>
      <c r="J84" s="51"/>
      <c r="K84" s="51"/>
      <c r="L84" s="51"/>
      <c r="M84" s="51"/>
      <c r="N84" s="51"/>
      <c r="O84" s="51"/>
      <c r="P84" s="51"/>
      <c r="Q84" s="51"/>
      <c r="R84" s="51"/>
      <c r="S84" s="51"/>
      <c r="T84" s="51"/>
      <c r="U84" s="51"/>
      <c r="V84" s="51"/>
      <c r="W84" s="51"/>
      <c r="X84" s="51"/>
    </row>
    <row r="85" spans="1:24" ht="15.75">
      <c r="A85" s="7"/>
      <c r="B85" s="36"/>
      <c r="C85" s="38"/>
      <c r="D85" s="51"/>
      <c r="E85" s="51"/>
      <c r="F85" s="51"/>
      <c r="G85" s="51"/>
      <c r="H85" s="51"/>
      <c r="I85" s="51"/>
      <c r="J85" s="51"/>
      <c r="K85" s="51"/>
      <c r="L85" s="51"/>
      <c r="M85" s="51"/>
      <c r="N85" s="51"/>
      <c r="O85" s="51"/>
      <c r="P85" s="51"/>
      <c r="Q85" s="51"/>
      <c r="R85" s="51"/>
      <c r="S85" s="51"/>
      <c r="T85" s="51"/>
      <c r="U85" s="51"/>
      <c r="V85" s="51"/>
      <c r="W85" s="51"/>
      <c r="X85" s="51"/>
    </row>
    <row r="86" spans="1:24" ht="15.75">
      <c r="A86" s="7"/>
      <c r="B86" s="36"/>
      <c r="C86" s="38"/>
      <c r="D86" s="51"/>
      <c r="E86" s="51"/>
      <c r="F86" s="51"/>
      <c r="G86" s="51"/>
      <c r="H86" s="51"/>
      <c r="I86" s="51"/>
      <c r="J86" s="51"/>
      <c r="K86" s="51"/>
      <c r="L86" s="51"/>
      <c r="M86" s="51"/>
      <c r="N86" s="51"/>
      <c r="O86" s="51"/>
      <c r="P86" s="51"/>
      <c r="Q86" s="51"/>
      <c r="R86" s="51"/>
      <c r="S86" s="51"/>
      <c r="T86" s="51"/>
      <c r="U86" s="51"/>
      <c r="V86" s="51"/>
      <c r="W86" s="51"/>
      <c r="X86" s="51"/>
    </row>
    <row r="87" spans="1:24" ht="15.75">
      <c r="A87" s="7"/>
      <c r="B87" s="36"/>
      <c r="C87" s="38"/>
      <c r="D87" s="51"/>
      <c r="E87" s="51"/>
      <c r="F87" s="51"/>
      <c r="G87" s="51"/>
      <c r="H87" s="51"/>
      <c r="I87" s="51"/>
      <c r="J87" s="51"/>
      <c r="K87" s="51"/>
      <c r="L87" s="51"/>
      <c r="M87" s="51"/>
      <c r="N87" s="51"/>
      <c r="O87" s="51"/>
      <c r="P87" s="51"/>
      <c r="Q87" s="51"/>
      <c r="R87" s="51"/>
      <c r="S87" s="51"/>
      <c r="T87" s="51"/>
      <c r="U87" s="51"/>
      <c r="V87" s="51"/>
      <c r="W87" s="51"/>
      <c r="X87" s="51"/>
    </row>
    <row r="88" spans="1:24" ht="15.75">
      <c r="A88" s="7"/>
      <c r="B88" s="36"/>
      <c r="C88" s="38"/>
      <c r="D88" s="51"/>
      <c r="E88" s="51"/>
      <c r="F88" s="51"/>
      <c r="G88" s="51"/>
      <c r="H88" s="51"/>
      <c r="I88" s="51"/>
      <c r="J88" s="51"/>
      <c r="K88" s="51"/>
      <c r="L88" s="51"/>
      <c r="M88" s="51"/>
      <c r="N88" s="51"/>
      <c r="O88" s="51"/>
      <c r="P88" s="51"/>
      <c r="Q88" s="51"/>
      <c r="R88" s="51"/>
      <c r="S88" s="51"/>
      <c r="T88" s="51"/>
      <c r="U88" s="51"/>
      <c r="V88" s="51"/>
      <c r="W88" s="51"/>
      <c r="X88" s="51"/>
    </row>
    <row r="89" spans="1:24" ht="15.75">
      <c r="A89" s="7"/>
      <c r="B89" s="36"/>
      <c r="C89" s="38"/>
      <c r="D89" s="51"/>
      <c r="E89" s="51"/>
      <c r="F89" s="51"/>
      <c r="G89" s="51"/>
      <c r="H89" s="51"/>
      <c r="I89" s="51"/>
      <c r="J89" s="51"/>
      <c r="K89" s="51"/>
      <c r="L89" s="51"/>
      <c r="M89" s="51"/>
      <c r="N89" s="51"/>
      <c r="O89" s="51"/>
      <c r="P89" s="51"/>
      <c r="Q89" s="51"/>
      <c r="R89" s="51"/>
      <c r="S89" s="51"/>
      <c r="T89" s="51"/>
      <c r="U89" s="51"/>
      <c r="V89" s="51"/>
      <c r="W89" s="51"/>
      <c r="X89" s="51"/>
    </row>
    <row r="90" spans="1:24" ht="15.75">
      <c r="A90" s="7"/>
      <c r="B90" s="36"/>
      <c r="C90" s="38"/>
      <c r="D90" s="51"/>
      <c r="E90" s="51"/>
      <c r="F90" s="51"/>
      <c r="G90" s="51"/>
      <c r="H90" s="51"/>
      <c r="I90" s="51"/>
      <c r="J90" s="51"/>
      <c r="K90" s="51"/>
      <c r="L90" s="51"/>
      <c r="M90" s="51"/>
      <c r="N90" s="51"/>
      <c r="O90" s="51"/>
      <c r="P90" s="51"/>
      <c r="Q90" s="51"/>
      <c r="R90" s="51"/>
      <c r="S90" s="51"/>
      <c r="T90" s="51"/>
      <c r="U90" s="51"/>
      <c r="V90" s="51"/>
      <c r="W90" s="51"/>
      <c r="X90" s="51"/>
    </row>
    <row r="91" spans="1:24" ht="15.75">
      <c r="A91" s="7"/>
      <c r="B91" s="36"/>
      <c r="C91" s="38"/>
      <c r="D91" s="51"/>
      <c r="E91" s="51"/>
      <c r="F91" s="51"/>
      <c r="G91" s="51"/>
      <c r="H91" s="51"/>
      <c r="I91" s="51"/>
      <c r="J91" s="51"/>
      <c r="K91" s="51"/>
      <c r="L91" s="51"/>
      <c r="M91" s="51"/>
      <c r="N91" s="51"/>
      <c r="O91" s="51"/>
      <c r="P91" s="51"/>
      <c r="Q91" s="51"/>
      <c r="R91" s="51"/>
      <c r="S91" s="51"/>
      <c r="T91" s="51"/>
      <c r="U91" s="51"/>
      <c r="V91" s="51"/>
      <c r="W91" s="51"/>
      <c r="X91" s="51"/>
    </row>
    <row r="92" spans="1:24" ht="15.75">
      <c r="A92" s="7"/>
      <c r="B92" s="36"/>
      <c r="C92" s="38"/>
      <c r="D92" s="51"/>
      <c r="E92" s="51"/>
      <c r="F92" s="51"/>
      <c r="G92" s="51"/>
      <c r="H92" s="51"/>
      <c r="I92" s="51"/>
      <c r="J92" s="51"/>
      <c r="K92" s="51"/>
      <c r="L92" s="51"/>
      <c r="M92" s="51"/>
      <c r="N92" s="51"/>
      <c r="O92" s="51"/>
      <c r="P92" s="51"/>
      <c r="Q92" s="51"/>
      <c r="R92" s="51"/>
      <c r="S92" s="51"/>
      <c r="T92" s="51"/>
      <c r="U92" s="51"/>
      <c r="V92" s="51"/>
      <c r="W92" s="51"/>
      <c r="X92" s="51"/>
    </row>
    <row r="93" spans="1:24" ht="15.75">
      <c r="A93" s="22"/>
      <c r="B93" s="36"/>
      <c r="C93" s="38"/>
      <c r="D93" s="5"/>
      <c r="E93" s="5"/>
      <c r="F93" s="5"/>
      <c r="G93" s="5"/>
      <c r="H93" s="5"/>
      <c r="I93" s="5"/>
      <c r="J93" s="5"/>
      <c r="K93" s="5"/>
      <c r="L93" s="5"/>
      <c r="M93" s="5"/>
      <c r="N93" s="5"/>
      <c r="O93" s="5"/>
      <c r="P93" s="5"/>
      <c r="Q93" s="5"/>
      <c r="R93" s="5"/>
      <c r="S93" s="5"/>
      <c r="T93" s="5"/>
      <c r="U93" s="5"/>
      <c r="V93" s="5"/>
      <c r="W93" s="5"/>
      <c r="X93" s="5"/>
    </row>
    <row r="94" spans="1:24" ht="15.75">
      <c r="A94" s="7"/>
      <c r="B94" s="36"/>
      <c r="C94" s="38"/>
      <c r="D94" s="51"/>
      <c r="E94" s="51"/>
      <c r="F94" s="51"/>
      <c r="G94" s="51"/>
      <c r="H94" s="51"/>
      <c r="I94" s="51"/>
      <c r="J94" s="51"/>
      <c r="K94" s="51"/>
      <c r="L94" s="51"/>
      <c r="M94" s="51"/>
      <c r="N94" s="51"/>
      <c r="O94" s="51"/>
      <c r="P94" s="51"/>
      <c r="Q94" s="51"/>
      <c r="R94" s="51"/>
      <c r="S94" s="51"/>
      <c r="T94" s="51"/>
      <c r="U94" s="51"/>
      <c r="V94" s="51"/>
      <c r="W94" s="51"/>
      <c r="X94" s="51"/>
    </row>
    <row r="95" spans="1:24" ht="15.75">
      <c r="A95" s="50"/>
      <c r="B95" s="36"/>
      <c r="C95" s="38"/>
      <c r="D95" s="51"/>
      <c r="E95" s="51"/>
      <c r="F95" s="51"/>
      <c r="G95" s="51"/>
      <c r="H95" s="51"/>
      <c r="I95" s="51"/>
      <c r="J95" s="51"/>
      <c r="K95" s="51"/>
      <c r="L95" s="51"/>
      <c r="M95" s="51"/>
      <c r="N95" s="51"/>
      <c r="O95" s="51"/>
      <c r="P95" s="51"/>
      <c r="Q95" s="51"/>
      <c r="R95" s="51"/>
      <c r="S95" s="51"/>
      <c r="T95" s="51"/>
      <c r="U95" s="51"/>
      <c r="V95" s="51"/>
      <c r="W95" s="51"/>
      <c r="X95" s="51"/>
    </row>
    <row r="96" spans="1:24" ht="15.75">
      <c r="A96" s="50"/>
      <c r="B96" s="36"/>
      <c r="C96" s="38"/>
      <c r="D96" s="22"/>
      <c r="E96" s="22"/>
      <c r="F96" s="22"/>
      <c r="G96" s="22"/>
      <c r="H96" s="22"/>
      <c r="I96" s="22"/>
      <c r="J96" s="22"/>
      <c r="K96" s="22"/>
      <c r="L96" s="22"/>
      <c r="M96" s="22"/>
      <c r="N96" s="22"/>
      <c r="O96" s="22"/>
      <c r="P96" s="22"/>
      <c r="Q96" s="22"/>
      <c r="R96" s="22"/>
      <c r="S96" s="22"/>
      <c r="T96" s="22"/>
      <c r="U96" s="22"/>
      <c r="V96" s="22"/>
      <c r="W96" s="22"/>
      <c r="X96" s="22"/>
    </row>
    <row r="97" spans="1:24" ht="15.75">
      <c r="A97" s="50"/>
      <c r="B97" s="36"/>
      <c r="C97" s="38"/>
      <c r="D97" s="22"/>
      <c r="E97" s="22"/>
      <c r="F97" s="22"/>
      <c r="G97" s="22"/>
      <c r="H97" s="22"/>
      <c r="I97" s="22"/>
      <c r="J97" s="22"/>
      <c r="K97" s="22"/>
      <c r="L97" s="22"/>
      <c r="M97" s="22"/>
      <c r="N97" s="22"/>
      <c r="O97" s="22"/>
      <c r="P97" s="22"/>
      <c r="Q97" s="22"/>
      <c r="R97" s="22"/>
      <c r="S97" s="22"/>
      <c r="T97" s="22"/>
      <c r="U97" s="22"/>
      <c r="V97" s="22"/>
      <c r="W97" s="22"/>
      <c r="X97" s="22"/>
    </row>
    <row r="98" spans="1:24" ht="15.75">
      <c r="A98" s="50"/>
      <c r="B98" s="36"/>
      <c r="C98" s="38"/>
      <c r="D98" s="22"/>
      <c r="E98" s="22"/>
      <c r="F98" s="22"/>
      <c r="G98" s="22"/>
      <c r="H98" s="22"/>
      <c r="I98" s="22"/>
      <c r="J98" s="22"/>
      <c r="K98" s="22"/>
      <c r="L98" s="22"/>
      <c r="M98" s="22"/>
      <c r="N98" s="22"/>
      <c r="O98" s="22"/>
      <c r="P98" s="22"/>
      <c r="Q98" s="22"/>
      <c r="R98" s="22"/>
      <c r="S98" s="22"/>
      <c r="T98" s="22"/>
      <c r="U98" s="22"/>
      <c r="V98" s="22"/>
      <c r="W98" s="22"/>
      <c r="X98" s="22"/>
    </row>
    <row r="99" spans="1:24" ht="15.75">
      <c r="A99" s="7"/>
      <c r="B99" s="36"/>
      <c r="C99" s="38"/>
      <c r="D99" s="51"/>
      <c r="E99" s="51"/>
      <c r="F99" s="51"/>
      <c r="G99" s="51"/>
      <c r="H99" s="51"/>
      <c r="I99" s="51"/>
      <c r="J99" s="51"/>
      <c r="K99" s="51"/>
      <c r="L99" s="51"/>
      <c r="M99" s="51"/>
      <c r="N99" s="51"/>
      <c r="O99" s="51"/>
      <c r="P99" s="51"/>
      <c r="Q99" s="51"/>
      <c r="R99" s="51"/>
      <c r="S99" s="51"/>
      <c r="T99" s="51"/>
      <c r="U99" s="51"/>
      <c r="V99" s="51"/>
      <c r="W99" s="51"/>
      <c r="X99" s="51"/>
    </row>
    <row r="100" spans="1:24" ht="15.75">
      <c r="A100" s="50"/>
      <c r="B100" s="36"/>
      <c r="C100" s="38"/>
      <c r="D100" s="51"/>
      <c r="E100" s="51"/>
      <c r="F100" s="51"/>
      <c r="G100" s="51"/>
      <c r="H100" s="51"/>
      <c r="I100" s="51"/>
      <c r="J100" s="51"/>
      <c r="K100" s="51"/>
      <c r="L100" s="51"/>
      <c r="M100" s="51"/>
      <c r="N100" s="51"/>
      <c r="O100" s="51"/>
      <c r="P100" s="51"/>
      <c r="Q100" s="51"/>
      <c r="R100" s="51"/>
      <c r="S100" s="51"/>
      <c r="T100" s="51"/>
      <c r="U100" s="51"/>
      <c r="V100" s="51"/>
      <c r="W100" s="51"/>
      <c r="X100" s="51"/>
    </row>
    <row r="101" spans="1:24" ht="15.75">
      <c r="A101" s="50"/>
      <c r="B101" s="36"/>
      <c r="C101" s="38"/>
      <c r="D101" s="51"/>
      <c r="E101" s="51"/>
      <c r="F101" s="51"/>
      <c r="G101" s="51"/>
      <c r="H101" s="51"/>
      <c r="I101" s="51"/>
      <c r="J101" s="51"/>
      <c r="K101" s="51"/>
      <c r="L101" s="51"/>
      <c r="M101" s="51"/>
      <c r="N101" s="51"/>
      <c r="O101" s="51"/>
      <c r="P101" s="51"/>
      <c r="Q101" s="51"/>
      <c r="R101" s="51"/>
      <c r="S101" s="51"/>
      <c r="T101" s="51"/>
      <c r="U101" s="51"/>
      <c r="V101" s="51"/>
      <c r="W101" s="51"/>
      <c r="X101" s="51"/>
    </row>
    <row r="102" spans="1:24" ht="15.75">
      <c r="A102" s="50"/>
      <c r="B102" s="36"/>
      <c r="C102" s="38"/>
      <c r="D102" s="51"/>
      <c r="E102" s="51"/>
      <c r="F102" s="51"/>
      <c r="G102" s="51"/>
      <c r="H102" s="51"/>
      <c r="I102" s="51"/>
      <c r="J102" s="51"/>
      <c r="K102" s="51"/>
      <c r="L102" s="51"/>
      <c r="M102" s="51"/>
      <c r="N102" s="51"/>
      <c r="O102" s="51"/>
      <c r="P102" s="51"/>
      <c r="Q102" s="51"/>
      <c r="R102" s="51"/>
      <c r="S102" s="51"/>
      <c r="T102" s="51"/>
      <c r="U102" s="51"/>
      <c r="V102" s="51"/>
      <c r="W102" s="51"/>
      <c r="X102" s="51"/>
    </row>
    <row r="103" spans="1:24" ht="15.75">
      <c r="A103" s="50"/>
      <c r="B103" s="36"/>
      <c r="C103" s="38"/>
      <c r="D103" s="51"/>
      <c r="E103" s="51"/>
      <c r="F103" s="51"/>
      <c r="G103" s="51"/>
      <c r="H103" s="51"/>
      <c r="I103" s="51"/>
      <c r="J103" s="51"/>
      <c r="K103" s="51"/>
      <c r="L103" s="51"/>
      <c r="M103" s="51"/>
      <c r="N103" s="51"/>
      <c r="O103" s="51"/>
      <c r="P103" s="51"/>
      <c r="Q103" s="51"/>
      <c r="R103" s="51"/>
      <c r="S103" s="51"/>
      <c r="T103" s="51"/>
      <c r="U103" s="51"/>
      <c r="V103" s="51"/>
      <c r="W103" s="51"/>
      <c r="X103" s="51"/>
    </row>
    <row r="104" spans="1:24" ht="15.75">
      <c r="A104" s="50"/>
      <c r="B104" s="36"/>
      <c r="C104" s="38"/>
      <c r="D104" s="51"/>
      <c r="E104" s="51"/>
      <c r="F104" s="51"/>
      <c r="G104" s="51"/>
      <c r="H104" s="51"/>
      <c r="I104" s="51"/>
      <c r="J104" s="51"/>
      <c r="K104" s="51"/>
      <c r="L104" s="51"/>
      <c r="M104" s="51"/>
      <c r="N104" s="51"/>
      <c r="O104" s="51"/>
      <c r="P104" s="51"/>
      <c r="Q104" s="51"/>
      <c r="R104" s="51"/>
      <c r="S104" s="51"/>
      <c r="T104" s="51"/>
      <c r="U104" s="51"/>
      <c r="V104" s="51"/>
      <c r="W104" s="51"/>
      <c r="X104" s="51"/>
    </row>
    <row r="105" spans="1:24" ht="15.75">
      <c r="A105" s="50"/>
      <c r="B105" s="36"/>
      <c r="C105" s="7"/>
      <c r="D105" s="51"/>
      <c r="E105" s="51"/>
      <c r="F105" s="51"/>
      <c r="G105" s="51"/>
      <c r="H105" s="51"/>
      <c r="I105" s="51"/>
      <c r="J105" s="51"/>
      <c r="K105" s="51"/>
      <c r="L105" s="51"/>
      <c r="M105" s="51"/>
      <c r="N105" s="51"/>
      <c r="O105" s="51"/>
      <c r="P105" s="51"/>
      <c r="Q105" s="51"/>
      <c r="R105" s="51"/>
      <c r="S105" s="51"/>
      <c r="T105" s="51"/>
      <c r="U105" s="51"/>
      <c r="V105" s="51"/>
      <c r="W105" s="51"/>
      <c r="X105" s="51"/>
    </row>
    <row r="106" spans="1:24" ht="15.75">
      <c r="A106" s="50"/>
      <c r="B106" s="36"/>
      <c r="C106" s="38"/>
      <c r="D106" s="51"/>
      <c r="E106" s="51"/>
      <c r="F106" s="51"/>
      <c r="G106" s="51"/>
      <c r="H106" s="51"/>
      <c r="I106" s="51"/>
      <c r="J106" s="51"/>
      <c r="K106" s="51"/>
      <c r="L106" s="51"/>
      <c r="M106" s="51"/>
      <c r="N106" s="51"/>
      <c r="O106" s="51"/>
      <c r="P106" s="51"/>
      <c r="Q106" s="51"/>
      <c r="R106" s="51"/>
      <c r="S106" s="51"/>
      <c r="T106" s="51"/>
      <c r="U106" s="51"/>
      <c r="V106" s="51"/>
      <c r="W106" s="51"/>
      <c r="X106" s="51"/>
    </row>
    <row r="107" spans="1:24" ht="15.75">
      <c r="A107" s="50"/>
      <c r="B107" s="36"/>
      <c r="C107" s="38"/>
      <c r="D107" s="51"/>
      <c r="E107" s="51"/>
      <c r="F107" s="51"/>
      <c r="G107" s="51"/>
      <c r="H107" s="51"/>
      <c r="I107" s="51"/>
      <c r="J107" s="51"/>
      <c r="K107" s="51"/>
      <c r="L107" s="51"/>
      <c r="M107" s="51"/>
      <c r="N107" s="51"/>
      <c r="O107" s="51"/>
      <c r="P107" s="51"/>
      <c r="Q107" s="51"/>
      <c r="R107" s="51"/>
      <c r="S107" s="51"/>
      <c r="T107" s="51"/>
      <c r="U107" s="51"/>
      <c r="V107" s="51"/>
      <c r="W107" s="51"/>
      <c r="X107" s="51"/>
    </row>
    <row r="108" spans="1:24" ht="15.75">
      <c r="A108" s="50"/>
      <c r="B108" s="36"/>
      <c r="C108" s="38"/>
      <c r="D108" s="51"/>
      <c r="E108" s="51"/>
      <c r="F108" s="51"/>
      <c r="G108" s="51"/>
      <c r="H108" s="51"/>
      <c r="I108" s="51"/>
      <c r="J108" s="51"/>
      <c r="K108" s="51"/>
      <c r="L108" s="51"/>
      <c r="M108" s="51"/>
      <c r="N108" s="51"/>
      <c r="O108" s="51"/>
      <c r="P108" s="51"/>
      <c r="Q108" s="51"/>
      <c r="R108" s="51"/>
      <c r="S108" s="51"/>
      <c r="T108" s="51"/>
      <c r="U108" s="51"/>
      <c r="V108" s="51"/>
      <c r="W108" s="51"/>
      <c r="X108" s="51"/>
    </row>
    <row r="109" spans="1:24" ht="15.75">
      <c r="A109" s="50"/>
      <c r="B109" s="36"/>
      <c r="C109" s="38"/>
      <c r="D109" s="51"/>
      <c r="E109" s="51"/>
      <c r="F109" s="51"/>
      <c r="G109" s="51"/>
      <c r="H109" s="51"/>
      <c r="I109" s="51"/>
      <c r="J109" s="51"/>
      <c r="K109" s="51"/>
      <c r="L109" s="51"/>
      <c r="M109" s="51"/>
      <c r="N109" s="51"/>
      <c r="O109" s="51"/>
      <c r="P109" s="51"/>
      <c r="Q109" s="51"/>
      <c r="R109" s="51"/>
      <c r="S109" s="51"/>
      <c r="T109" s="51"/>
      <c r="U109" s="51"/>
      <c r="V109" s="51"/>
      <c r="W109" s="51"/>
      <c r="X109" s="51"/>
    </row>
    <row r="110" spans="1:24" ht="15.75">
      <c r="A110" s="50"/>
      <c r="B110" s="36"/>
      <c r="C110" s="38"/>
      <c r="D110" s="51"/>
      <c r="E110" s="51"/>
      <c r="F110" s="51"/>
      <c r="G110" s="51"/>
      <c r="H110" s="51"/>
      <c r="I110" s="51"/>
      <c r="J110" s="51"/>
      <c r="K110" s="51"/>
      <c r="L110" s="51"/>
      <c r="M110" s="51"/>
      <c r="N110" s="51"/>
      <c r="O110" s="51"/>
      <c r="P110" s="51"/>
      <c r="Q110" s="51"/>
      <c r="R110" s="51"/>
      <c r="S110" s="51"/>
      <c r="T110" s="51"/>
      <c r="U110" s="51"/>
      <c r="V110" s="51"/>
      <c r="W110" s="51"/>
      <c r="X110" s="51"/>
    </row>
    <row r="111" spans="1:24" ht="15.75">
      <c r="A111" s="50"/>
      <c r="B111" s="36"/>
      <c r="C111" s="38"/>
      <c r="D111" s="51"/>
      <c r="E111" s="51"/>
      <c r="F111" s="51"/>
      <c r="G111" s="51"/>
      <c r="H111" s="51"/>
      <c r="I111" s="51"/>
      <c r="J111" s="51"/>
      <c r="K111" s="51"/>
      <c r="L111" s="51"/>
      <c r="M111" s="51"/>
      <c r="N111" s="51"/>
      <c r="O111" s="51"/>
      <c r="P111" s="51"/>
      <c r="Q111" s="51"/>
      <c r="R111" s="51"/>
      <c r="S111" s="51"/>
      <c r="T111" s="51"/>
      <c r="U111" s="51"/>
      <c r="V111" s="51"/>
      <c r="W111" s="51"/>
      <c r="X111" s="51"/>
    </row>
    <row r="112" spans="1:24" ht="15.75">
      <c r="A112" s="50"/>
      <c r="B112" s="36"/>
      <c r="C112" s="38"/>
      <c r="D112" s="51"/>
      <c r="E112" s="51"/>
      <c r="F112" s="51"/>
      <c r="G112" s="51"/>
      <c r="H112" s="51"/>
      <c r="I112" s="51"/>
      <c r="J112" s="51"/>
      <c r="K112" s="51"/>
      <c r="L112" s="51"/>
      <c r="M112" s="51"/>
      <c r="N112" s="51"/>
      <c r="O112" s="51"/>
      <c r="P112" s="51"/>
      <c r="Q112" s="51"/>
      <c r="R112" s="51"/>
      <c r="S112" s="51"/>
      <c r="T112" s="51"/>
      <c r="U112" s="51"/>
      <c r="V112" s="51"/>
      <c r="W112" s="51"/>
      <c r="X112" s="51"/>
    </row>
    <row r="113" spans="1:24" ht="15.75">
      <c r="A113" s="50"/>
      <c r="B113" s="36"/>
      <c r="C113" s="38"/>
      <c r="D113" s="51"/>
      <c r="E113" s="51"/>
      <c r="F113" s="51"/>
      <c r="G113" s="51"/>
      <c r="H113" s="51"/>
      <c r="I113" s="51"/>
      <c r="J113" s="51"/>
      <c r="K113" s="51"/>
      <c r="L113" s="51"/>
      <c r="M113" s="51"/>
      <c r="N113" s="51"/>
      <c r="O113" s="51"/>
      <c r="P113" s="51"/>
      <c r="Q113" s="51"/>
      <c r="R113" s="51"/>
      <c r="S113" s="51"/>
      <c r="T113" s="51"/>
      <c r="U113" s="51"/>
      <c r="V113" s="51"/>
      <c r="W113" s="51"/>
      <c r="X113" s="51"/>
    </row>
    <row r="114" spans="1:24" ht="15.75">
      <c r="A114" s="50"/>
      <c r="B114" s="36"/>
      <c r="C114" s="38"/>
      <c r="D114" s="51"/>
      <c r="E114" s="51"/>
      <c r="F114" s="51"/>
      <c r="G114" s="51"/>
      <c r="H114" s="51"/>
      <c r="I114" s="51"/>
      <c r="J114" s="51"/>
      <c r="K114" s="51"/>
      <c r="L114" s="51"/>
      <c r="M114" s="51"/>
      <c r="N114" s="51"/>
      <c r="O114" s="51"/>
      <c r="P114" s="51"/>
      <c r="Q114" s="51"/>
      <c r="R114" s="51"/>
      <c r="S114" s="51"/>
      <c r="T114" s="51"/>
      <c r="U114" s="51"/>
      <c r="V114" s="51"/>
      <c r="W114" s="51"/>
      <c r="X114" s="51"/>
    </row>
    <row r="115" spans="1:24" ht="15.75">
      <c r="A115" s="50"/>
      <c r="B115" s="36"/>
      <c r="C115" s="38"/>
      <c r="D115" s="51"/>
      <c r="E115" s="51"/>
      <c r="F115" s="51"/>
      <c r="G115" s="51"/>
      <c r="H115" s="51"/>
      <c r="I115" s="51"/>
      <c r="J115" s="51"/>
      <c r="K115" s="51"/>
      <c r="L115" s="51"/>
      <c r="M115" s="51"/>
      <c r="N115" s="51"/>
      <c r="O115" s="51"/>
      <c r="P115" s="51"/>
      <c r="Q115" s="51"/>
      <c r="R115" s="51"/>
      <c r="S115" s="51"/>
      <c r="T115" s="51"/>
      <c r="U115" s="51"/>
      <c r="V115" s="51"/>
      <c r="W115" s="51"/>
      <c r="X115" s="51"/>
    </row>
    <row r="116" spans="1:24" ht="15.75">
      <c r="A116" s="50"/>
      <c r="B116" s="36"/>
      <c r="C116" s="38"/>
      <c r="D116" s="51"/>
      <c r="E116" s="51"/>
      <c r="F116" s="51"/>
      <c r="G116" s="51"/>
      <c r="H116" s="51"/>
      <c r="I116" s="51"/>
      <c r="J116" s="51"/>
      <c r="K116" s="51"/>
      <c r="L116" s="51"/>
      <c r="M116" s="51"/>
      <c r="N116" s="51"/>
      <c r="O116" s="51"/>
      <c r="P116" s="51"/>
      <c r="Q116" s="51"/>
      <c r="R116" s="51"/>
      <c r="S116" s="51"/>
      <c r="T116" s="51"/>
      <c r="U116" s="51"/>
      <c r="V116" s="51"/>
      <c r="W116" s="51"/>
      <c r="X116" s="51"/>
    </row>
    <row r="117" spans="1:24" ht="15.75">
      <c r="A117" s="50"/>
      <c r="B117" s="36"/>
      <c r="C117" s="38"/>
      <c r="D117" s="51"/>
      <c r="E117" s="51"/>
      <c r="F117" s="51"/>
      <c r="G117" s="51"/>
      <c r="H117" s="51"/>
      <c r="I117" s="51"/>
      <c r="J117" s="51"/>
      <c r="K117" s="51"/>
      <c r="L117" s="51"/>
      <c r="M117" s="51"/>
      <c r="N117" s="51"/>
      <c r="O117" s="51"/>
      <c r="P117" s="51"/>
      <c r="Q117" s="51"/>
      <c r="R117" s="51"/>
      <c r="S117" s="51"/>
      <c r="T117" s="51"/>
      <c r="U117" s="51"/>
      <c r="V117" s="51"/>
      <c r="W117" s="51"/>
      <c r="X117" s="51"/>
    </row>
    <row r="118" spans="1:24" ht="15.75">
      <c r="A118" s="50"/>
      <c r="B118" s="36"/>
      <c r="C118" s="38"/>
      <c r="D118" s="51"/>
      <c r="E118" s="51"/>
      <c r="F118" s="51"/>
      <c r="G118" s="51"/>
      <c r="H118" s="51"/>
      <c r="I118" s="51"/>
      <c r="J118" s="51"/>
      <c r="K118" s="51"/>
      <c r="L118" s="51"/>
      <c r="M118" s="51"/>
      <c r="N118" s="51"/>
      <c r="O118" s="51"/>
      <c r="P118" s="51"/>
      <c r="Q118" s="51"/>
      <c r="R118" s="51"/>
      <c r="S118" s="51"/>
      <c r="T118" s="51"/>
      <c r="U118" s="51"/>
      <c r="V118" s="51"/>
      <c r="W118" s="51"/>
      <c r="X118" s="51"/>
    </row>
    <row r="119" spans="1:24" ht="15.75">
      <c r="A119" s="50"/>
      <c r="B119" s="36"/>
      <c r="C119" s="38"/>
      <c r="D119" s="51"/>
      <c r="E119" s="51"/>
      <c r="F119" s="51"/>
      <c r="G119" s="51"/>
      <c r="H119" s="51"/>
      <c r="I119" s="51"/>
      <c r="J119" s="51"/>
      <c r="K119" s="51"/>
      <c r="L119" s="51"/>
      <c r="M119" s="51"/>
      <c r="N119" s="51"/>
      <c r="O119" s="51"/>
      <c r="P119" s="51"/>
      <c r="Q119" s="51"/>
      <c r="R119" s="51"/>
      <c r="S119" s="51"/>
      <c r="T119" s="51"/>
      <c r="U119" s="51"/>
      <c r="V119" s="51"/>
      <c r="W119" s="51"/>
      <c r="X119" s="51"/>
    </row>
    <row r="120" spans="1:24" ht="15.75">
      <c r="A120" s="50"/>
      <c r="B120" s="36"/>
      <c r="C120" s="38"/>
      <c r="D120" s="51"/>
      <c r="E120" s="51"/>
      <c r="F120" s="51"/>
      <c r="G120" s="51"/>
      <c r="H120" s="51"/>
      <c r="I120" s="51"/>
      <c r="J120" s="51"/>
      <c r="K120" s="51"/>
      <c r="L120" s="51"/>
      <c r="M120" s="51"/>
      <c r="N120" s="51"/>
      <c r="O120" s="51"/>
      <c r="P120" s="51"/>
      <c r="Q120" s="51"/>
      <c r="R120" s="51"/>
      <c r="S120" s="51"/>
      <c r="T120" s="51"/>
      <c r="U120" s="51"/>
      <c r="V120" s="51"/>
      <c r="W120" s="51"/>
      <c r="X120" s="51"/>
    </row>
    <row r="121" spans="1:24" ht="15.75">
      <c r="A121" s="50"/>
      <c r="B121" s="36"/>
      <c r="C121" s="38"/>
      <c r="D121" s="51"/>
      <c r="E121" s="51"/>
      <c r="F121" s="51"/>
      <c r="G121" s="51"/>
      <c r="H121" s="51"/>
      <c r="I121" s="51"/>
      <c r="J121" s="51"/>
      <c r="K121" s="51"/>
      <c r="L121" s="51"/>
      <c r="M121" s="51"/>
      <c r="N121" s="51"/>
      <c r="O121" s="51"/>
      <c r="P121" s="51"/>
      <c r="Q121" s="51"/>
      <c r="R121" s="51"/>
      <c r="S121" s="51"/>
      <c r="T121" s="51"/>
      <c r="U121" s="51"/>
      <c r="V121" s="51"/>
      <c r="W121" s="51"/>
      <c r="X121" s="51"/>
    </row>
    <row r="122" spans="1:24" ht="15.75">
      <c r="A122" s="50"/>
      <c r="B122" s="36"/>
      <c r="C122" s="38"/>
      <c r="D122" s="51"/>
      <c r="E122" s="51"/>
      <c r="F122" s="51"/>
      <c r="G122" s="51"/>
      <c r="H122" s="51"/>
      <c r="I122" s="51"/>
      <c r="J122" s="51"/>
      <c r="K122" s="51"/>
      <c r="L122" s="51"/>
      <c r="M122" s="51"/>
      <c r="N122" s="51"/>
      <c r="O122" s="51"/>
      <c r="P122" s="51"/>
      <c r="Q122" s="51"/>
      <c r="R122" s="51"/>
      <c r="S122" s="51"/>
      <c r="T122" s="51"/>
      <c r="U122" s="51"/>
      <c r="V122" s="51"/>
      <c r="W122" s="51"/>
      <c r="X122" s="51"/>
    </row>
    <row r="123" spans="1:24" ht="15.75">
      <c r="A123" s="50"/>
      <c r="B123" s="36"/>
      <c r="C123" s="38"/>
      <c r="D123" s="51"/>
      <c r="E123" s="51"/>
      <c r="F123" s="51"/>
      <c r="G123" s="51"/>
      <c r="H123" s="51"/>
      <c r="I123" s="51"/>
      <c r="J123" s="51"/>
      <c r="K123" s="51"/>
      <c r="L123" s="51"/>
      <c r="M123" s="51"/>
      <c r="N123" s="51"/>
      <c r="O123" s="51"/>
      <c r="P123" s="51"/>
      <c r="Q123" s="51"/>
      <c r="R123" s="51"/>
      <c r="S123" s="51"/>
      <c r="T123" s="51"/>
      <c r="U123" s="51"/>
      <c r="V123" s="51"/>
      <c r="W123" s="51"/>
      <c r="X123" s="51"/>
    </row>
    <row r="124" spans="1:24" ht="15.75">
      <c r="A124" s="50"/>
      <c r="B124" s="36"/>
      <c r="C124" s="38"/>
      <c r="D124" s="51"/>
      <c r="E124" s="51"/>
      <c r="F124" s="51"/>
      <c r="G124" s="51"/>
      <c r="H124" s="51"/>
      <c r="I124" s="51"/>
      <c r="J124" s="51"/>
      <c r="K124" s="51"/>
      <c r="L124" s="51"/>
      <c r="M124" s="51"/>
      <c r="N124" s="51"/>
      <c r="O124" s="51"/>
      <c r="P124" s="51"/>
      <c r="Q124" s="51"/>
      <c r="R124" s="51"/>
      <c r="S124" s="51"/>
      <c r="T124" s="51"/>
      <c r="U124" s="51"/>
      <c r="V124" s="51"/>
      <c r="W124" s="51"/>
      <c r="X124" s="51"/>
    </row>
    <row r="125" spans="1:24" ht="15.75">
      <c r="A125" s="50"/>
      <c r="B125" s="36"/>
      <c r="C125" s="38"/>
      <c r="D125" s="51"/>
      <c r="E125" s="51"/>
      <c r="F125" s="51"/>
      <c r="G125" s="51"/>
      <c r="H125" s="51"/>
      <c r="I125" s="51"/>
      <c r="J125" s="51"/>
      <c r="K125" s="51"/>
      <c r="L125" s="51"/>
      <c r="M125" s="51"/>
      <c r="N125" s="51"/>
      <c r="O125" s="51"/>
      <c r="P125" s="51"/>
      <c r="Q125" s="51"/>
      <c r="R125" s="51"/>
      <c r="S125" s="51"/>
      <c r="T125" s="51"/>
      <c r="U125" s="51"/>
      <c r="V125" s="51"/>
      <c r="W125" s="51"/>
      <c r="X125" s="51"/>
    </row>
    <row r="126" spans="1:24" ht="15.75">
      <c r="A126" s="50"/>
      <c r="B126" s="36"/>
      <c r="C126" s="38"/>
      <c r="D126" s="51"/>
      <c r="E126" s="51"/>
      <c r="F126" s="51"/>
      <c r="G126" s="51"/>
      <c r="H126" s="51"/>
      <c r="I126" s="51"/>
      <c r="J126" s="51"/>
      <c r="K126" s="51"/>
      <c r="L126" s="51"/>
      <c r="M126" s="51"/>
      <c r="N126" s="51"/>
      <c r="O126" s="51"/>
      <c r="P126" s="51"/>
      <c r="Q126" s="51"/>
      <c r="R126" s="51"/>
      <c r="S126" s="51"/>
      <c r="T126" s="51"/>
      <c r="U126" s="51"/>
      <c r="V126" s="51"/>
      <c r="W126" s="51"/>
      <c r="X126" s="51"/>
    </row>
    <row r="127" spans="1:24" ht="15.75">
      <c r="A127" s="50"/>
      <c r="B127" s="36"/>
      <c r="C127" s="38"/>
      <c r="D127" s="51"/>
      <c r="E127" s="51"/>
      <c r="F127" s="51"/>
      <c r="G127" s="51"/>
      <c r="H127" s="51"/>
      <c r="I127" s="51"/>
      <c r="J127" s="51"/>
      <c r="K127" s="51"/>
      <c r="L127" s="51"/>
      <c r="M127" s="51"/>
      <c r="N127" s="51"/>
      <c r="O127" s="51"/>
      <c r="P127" s="51"/>
      <c r="Q127" s="51"/>
      <c r="R127" s="51"/>
      <c r="S127" s="51"/>
      <c r="T127" s="51"/>
      <c r="U127" s="51"/>
      <c r="V127" s="51"/>
      <c r="W127" s="51"/>
      <c r="X127" s="51"/>
    </row>
    <row r="128" spans="1:24" ht="15.75">
      <c r="A128" s="50"/>
      <c r="B128" s="36"/>
      <c r="C128" s="38"/>
      <c r="D128" s="51"/>
      <c r="E128" s="51"/>
      <c r="F128" s="51"/>
      <c r="G128" s="51"/>
      <c r="H128" s="51"/>
      <c r="I128" s="51"/>
      <c r="J128" s="51"/>
      <c r="K128" s="51"/>
      <c r="L128" s="51"/>
      <c r="M128" s="51"/>
      <c r="N128" s="51"/>
      <c r="O128" s="51"/>
      <c r="P128" s="51"/>
      <c r="Q128" s="51"/>
      <c r="R128" s="51"/>
      <c r="S128" s="51"/>
      <c r="T128" s="51"/>
      <c r="U128" s="51"/>
      <c r="V128" s="51"/>
      <c r="W128" s="51"/>
      <c r="X128" s="51"/>
    </row>
    <row r="129" spans="1:24" ht="15.75">
      <c r="A129" s="50"/>
      <c r="B129" s="36"/>
      <c r="C129" s="38"/>
      <c r="D129" s="51"/>
      <c r="E129" s="51"/>
      <c r="F129" s="51"/>
      <c r="G129" s="51"/>
      <c r="H129" s="51"/>
      <c r="I129" s="51"/>
      <c r="J129" s="51"/>
      <c r="K129" s="51"/>
      <c r="L129" s="51"/>
      <c r="M129" s="51"/>
      <c r="N129" s="51"/>
      <c r="O129" s="51"/>
      <c r="P129" s="51"/>
      <c r="Q129" s="51"/>
      <c r="R129" s="51"/>
      <c r="S129" s="51"/>
      <c r="T129" s="51"/>
      <c r="U129" s="51"/>
      <c r="V129" s="51"/>
      <c r="W129" s="51"/>
      <c r="X129" s="51"/>
    </row>
    <row r="130" spans="1:24" ht="15.75">
      <c r="A130" s="50"/>
      <c r="B130" s="36"/>
      <c r="C130" s="38"/>
      <c r="D130" s="51"/>
      <c r="E130" s="51"/>
      <c r="F130" s="51"/>
      <c r="G130" s="51"/>
      <c r="H130" s="51"/>
      <c r="I130" s="51"/>
      <c r="J130" s="51"/>
      <c r="K130" s="51"/>
      <c r="L130" s="51"/>
      <c r="M130" s="51"/>
      <c r="N130" s="51"/>
      <c r="O130" s="51"/>
      <c r="P130" s="51"/>
      <c r="Q130" s="51"/>
      <c r="R130" s="51"/>
      <c r="S130" s="51"/>
      <c r="T130" s="51"/>
      <c r="U130" s="51"/>
      <c r="V130" s="51"/>
      <c r="W130" s="51"/>
      <c r="X130" s="51"/>
    </row>
    <row r="131" spans="1:24" ht="15.75">
      <c r="A131" s="50"/>
      <c r="B131" s="36"/>
      <c r="C131" s="38"/>
      <c r="D131" s="51"/>
      <c r="E131" s="51"/>
      <c r="F131" s="51"/>
      <c r="G131" s="51"/>
      <c r="H131" s="51"/>
      <c r="I131" s="51"/>
      <c r="J131" s="51"/>
      <c r="K131" s="51"/>
      <c r="L131" s="51"/>
      <c r="M131" s="51"/>
      <c r="N131" s="51"/>
      <c r="O131" s="51"/>
      <c r="P131" s="51"/>
      <c r="Q131" s="51"/>
      <c r="R131" s="51"/>
      <c r="S131" s="51"/>
      <c r="T131" s="51"/>
      <c r="U131" s="51"/>
      <c r="V131" s="51"/>
      <c r="W131" s="51"/>
      <c r="X131" s="51"/>
    </row>
    <row r="132" spans="1:24" ht="15.75">
      <c r="A132" s="7"/>
      <c r="B132" s="36"/>
      <c r="C132" s="38"/>
      <c r="D132" s="51"/>
      <c r="E132" s="51"/>
      <c r="F132" s="51"/>
      <c r="G132" s="51"/>
      <c r="H132" s="51"/>
      <c r="I132" s="51"/>
      <c r="J132" s="51"/>
      <c r="K132" s="51"/>
      <c r="L132" s="51"/>
      <c r="M132" s="51"/>
      <c r="N132" s="51"/>
      <c r="O132" s="51"/>
      <c r="P132" s="51"/>
      <c r="Q132" s="51"/>
      <c r="R132" s="51"/>
      <c r="S132" s="51"/>
      <c r="T132" s="51"/>
      <c r="U132" s="51"/>
      <c r="V132" s="51"/>
      <c r="W132" s="51"/>
      <c r="X132" s="51"/>
    </row>
    <row r="133" spans="1:24" ht="15.75">
      <c r="A133" s="50"/>
      <c r="B133" s="36"/>
      <c r="C133" s="38"/>
      <c r="D133" s="51"/>
      <c r="E133" s="51"/>
      <c r="F133" s="51"/>
      <c r="G133" s="51"/>
      <c r="H133" s="51"/>
      <c r="I133" s="51"/>
      <c r="J133" s="51"/>
      <c r="K133" s="51"/>
      <c r="L133" s="51"/>
      <c r="M133" s="51"/>
      <c r="N133" s="51"/>
      <c r="O133" s="51"/>
      <c r="P133" s="51"/>
      <c r="Q133" s="51"/>
      <c r="R133" s="51"/>
      <c r="S133" s="51"/>
      <c r="T133" s="51"/>
      <c r="U133" s="51"/>
      <c r="V133" s="51"/>
      <c r="W133" s="51"/>
      <c r="X133" s="51"/>
    </row>
    <row r="134" spans="1:24" ht="15.75">
      <c r="A134" s="50"/>
      <c r="B134" s="36"/>
      <c r="C134" s="38"/>
      <c r="D134" s="51"/>
      <c r="E134" s="51"/>
      <c r="F134" s="51"/>
      <c r="G134" s="51"/>
      <c r="H134" s="51"/>
      <c r="I134" s="51"/>
      <c r="J134" s="51"/>
      <c r="K134" s="51"/>
      <c r="L134" s="51"/>
      <c r="M134" s="51"/>
      <c r="N134" s="51"/>
      <c r="O134" s="51"/>
      <c r="P134" s="51"/>
      <c r="Q134" s="51"/>
      <c r="R134" s="51"/>
      <c r="S134" s="51"/>
      <c r="T134" s="51"/>
      <c r="U134" s="51"/>
      <c r="V134" s="51"/>
      <c r="W134" s="51"/>
      <c r="X134" s="51"/>
    </row>
    <row r="135" spans="1:24" ht="15.75">
      <c r="A135" s="7"/>
      <c r="B135" s="36"/>
      <c r="C135" s="38"/>
      <c r="D135" s="51"/>
      <c r="E135" s="51"/>
      <c r="F135" s="51"/>
      <c r="G135" s="51"/>
      <c r="H135" s="51"/>
      <c r="I135" s="51"/>
      <c r="J135" s="51"/>
      <c r="K135" s="51"/>
      <c r="L135" s="51"/>
      <c r="M135" s="51"/>
      <c r="N135" s="51"/>
      <c r="O135" s="51"/>
      <c r="P135" s="51"/>
      <c r="Q135" s="51"/>
      <c r="R135" s="51"/>
      <c r="S135" s="51"/>
      <c r="T135" s="51"/>
      <c r="U135" s="51"/>
      <c r="V135" s="51"/>
      <c r="W135" s="51"/>
      <c r="X135" s="51"/>
    </row>
    <row r="136" spans="1:24" ht="15.75">
      <c r="A136" s="50"/>
      <c r="B136" s="36"/>
      <c r="C136" s="38"/>
      <c r="D136" s="51"/>
      <c r="E136" s="51"/>
      <c r="F136" s="51"/>
      <c r="G136" s="51"/>
      <c r="H136" s="51"/>
      <c r="I136" s="51"/>
      <c r="J136" s="51"/>
      <c r="K136" s="51"/>
      <c r="L136" s="51"/>
      <c r="M136" s="51"/>
      <c r="N136" s="51"/>
      <c r="O136" s="51"/>
      <c r="P136" s="51"/>
      <c r="Q136" s="51"/>
      <c r="R136" s="51"/>
      <c r="S136" s="51"/>
      <c r="T136" s="51"/>
      <c r="U136" s="51"/>
      <c r="V136" s="51"/>
      <c r="W136" s="51"/>
      <c r="X136" s="51"/>
    </row>
    <row r="137" spans="1:24" ht="15.75">
      <c r="A137" s="50"/>
      <c r="B137" s="36"/>
      <c r="C137" s="38"/>
      <c r="D137" s="51"/>
      <c r="E137" s="51"/>
      <c r="F137" s="51"/>
      <c r="G137" s="51"/>
      <c r="H137" s="51"/>
      <c r="I137" s="51"/>
      <c r="J137" s="51"/>
      <c r="K137" s="51"/>
      <c r="L137" s="51"/>
      <c r="M137" s="51"/>
      <c r="N137" s="51"/>
      <c r="O137" s="51"/>
      <c r="P137" s="51"/>
      <c r="Q137" s="51"/>
      <c r="R137" s="51"/>
      <c r="S137" s="51"/>
      <c r="T137" s="51"/>
      <c r="U137" s="51"/>
      <c r="V137" s="51"/>
      <c r="W137" s="51"/>
      <c r="X137" s="51"/>
    </row>
    <row r="138" spans="1:24" ht="15.75">
      <c r="A138" s="50"/>
      <c r="B138" s="36"/>
      <c r="C138" s="38"/>
      <c r="D138" s="51"/>
      <c r="E138" s="51"/>
      <c r="F138" s="51"/>
      <c r="G138" s="51"/>
      <c r="H138" s="51"/>
      <c r="I138" s="51"/>
      <c r="J138" s="51"/>
      <c r="K138" s="51"/>
      <c r="L138" s="51"/>
      <c r="M138" s="51"/>
      <c r="N138" s="51"/>
      <c r="O138" s="51"/>
      <c r="P138" s="51"/>
      <c r="Q138" s="51"/>
      <c r="R138" s="51"/>
      <c r="S138" s="51"/>
      <c r="T138" s="51"/>
      <c r="U138" s="51"/>
      <c r="V138" s="51"/>
      <c r="W138" s="51"/>
      <c r="X138" s="51"/>
    </row>
    <row r="139" spans="1:24" ht="15.75">
      <c r="A139" s="50"/>
      <c r="B139" s="36"/>
      <c r="C139" s="38"/>
      <c r="D139" s="51"/>
      <c r="E139" s="51"/>
      <c r="F139" s="51"/>
      <c r="G139" s="51"/>
      <c r="H139" s="51"/>
      <c r="I139" s="51"/>
      <c r="J139" s="51"/>
      <c r="K139" s="51"/>
      <c r="L139" s="51"/>
      <c r="M139" s="51"/>
      <c r="N139" s="51"/>
      <c r="O139" s="51"/>
      <c r="P139" s="51"/>
      <c r="Q139" s="51"/>
      <c r="R139" s="51"/>
      <c r="S139" s="51"/>
      <c r="T139" s="51"/>
      <c r="U139" s="51"/>
      <c r="V139" s="51"/>
      <c r="W139" s="51"/>
      <c r="X139" s="51"/>
    </row>
    <row r="140" spans="1:24" ht="15.75">
      <c r="A140" s="50"/>
      <c r="B140" s="36"/>
      <c r="C140" s="38"/>
      <c r="D140" s="51"/>
      <c r="E140" s="51"/>
      <c r="F140" s="51"/>
      <c r="G140" s="51"/>
      <c r="H140" s="51"/>
      <c r="I140" s="51"/>
      <c r="J140" s="51"/>
      <c r="K140" s="51"/>
      <c r="L140" s="51"/>
      <c r="M140" s="51"/>
      <c r="N140" s="51"/>
      <c r="O140" s="51"/>
      <c r="P140" s="51"/>
      <c r="Q140" s="51"/>
      <c r="R140" s="51"/>
      <c r="S140" s="51"/>
      <c r="T140" s="51"/>
      <c r="U140" s="51"/>
      <c r="V140" s="51"/>
      <c r="W140" s="51"/>
      <c r="X140" s="51"/>
    </row>
    <row r="141" spans="1:24" ht="15.75">
      <c r="A141" s="50"/>
      <c r="B141" s="36"/>
      <c r="C141" s="38"/>
      <c r="D141" s="51"/>
      <c r="E141" s="51"/>
      <c r="F141" s="51"/>
      <c r="G141" s="51"/>
      <c r="H141" s="51"/>
      <c r="I141" s="51"/>
      <c r="J141" s="51"/>
      <c r="K141" s="51"/>
      <c r="L141" s="51"/>
      <c r="M141" s="51"/>
      <c r="N141" s="51"/>
      <c r="O141" s="51"/>
      <c r="P141" s="51"/>
      <c r="Q141" s="51"/>
      <c r="R141" s="51"/>
      <c r="S141" s="51"/>
      <c r="T141" s="51"/>
      <c r="U141" s="51"/>
      <c r="V141" s="51"/>
      <c r="W141" s="51"/>
      <c r="X141" s="51"/>
    </row>
    <row r="142" spans="1:24" ht="15.75">
      <c r="A142" s="50"/>
      <c r="B142" s="36"/>
      <c r="C142" s="7"/>
      <c r="D142" s="51"/>
      <c r="E142" s="51"/>
      <c r="F142" s="51"/>
      <c r="G142" s="51"/>
      <c r="H142" s="51"/>
      <c r="I142" s="51"/>
      <c r="J142" s="51"/>
      <c r="K142" s="51"/>
      <c r="L142" s="51"/>
      <c r="M142" s="51"/>
      <c r="N142" s="51"/>
      <c r="O142" s="51"/>
      <c r="P142" s="51"/>
      <c r="Q142" s="51"/>
      <c r="R142" s="51"/>
      <c r="S142" s="51"/>
      <c r="T142" s="51"/>
      <c r="U142" s="51"/>
      <c r="V142" s="51"/>
      <c r="W142" s="51"/>
      <c r="X142" s="51"/>
    </row>
    <row r="143" spans="1:24" ht="15.75">
      <c r="A143" s="50"/>
      <c r="B143" s="36"/>
      <c r="C143" s="38"/>
      <c r="D143" s="51"/>
      <c r="E143" s="51"/>
      <c r="F143" s="51"/>
      <c r="G143" s="51"/>
      <c r="H143" s="51"/>
      <c r="I143" s="51"/>
      <c r="J143" s="51"/>
      <c r="K143" s="51"/>
      <c r="L143" s="51"/>
      <c r="M143" s="51"/>
      <c r="N143" s="51"/>
      <c r="O143" s="51"/>
      <c r="P143" s="51"/>
      <c r="Q143" s="51"/>
      <c r="R143" s="51"/>
      <c r="S143" s="51"/>
      <c r="T143" s="51"/>
      <c r="U143" s="51"/>
      <c r="V143" s="51"/>
      <c r="W143" s="51"/>
      <c r="X143" s="51"/>
    </row>
    <row r="144" spans="1:24" ht="15.75">
      <c r="A144" s="50"/>
      <c r="B144" s="36"/>
      <c r="C144" s="38"/>
      <c r="D144" s="51"/>
      <c r="E144" s="51"/>
      <c r="F144" s="51"/>
      <c r="G144" s="51"/>
      <c r="H144" s="51"/>
      <c r="I144" s="51"/>
      <c r="J144" s="51"/>
      <c r="K144" s="51"/>
      <c r="L144" s="51"/>
      <c r="M144" s="51"/>
      <c r="N144" s="51"/>
      <c r="O144" s="51"/>
      <c r="P144" s="51"/>
      <c r="Q144" s="51"/>
      <c r="R144" s="51"/>
      <c r="S144" s="51"/>
      <c r="T144" s="51"/>
      <c r="U144" s="51"/>
      <c r="V144" s="51"/>
      <c r="W144" s="51"/>
      <c r="X144" s="51"/>
    </row>
    <row r="145" spans="1:24" ht="15.75">
      <c r="A145" s="50"/>
      <c r="B145" s="36"/>
      <c r="C145" s="38"/>
      <c r="D145" s="51"/>
      <c r="E145" s="51"/>
      <c r="F145" s="51"/>
      <c r="G145" s="51"/>
      <c r="H145" s="51"/>
      <c r="I145" s="51"/>
      <c r="J145" s="51"/>
      <c r="K145" s="51"/>
      <c r="L145" s="51"/>
      <c r="M145" s="51"/>
      <c r="N145" s="51"/>
      <c r="O145" s="51"/>
      <c r="P145" s="51"/>
      <c r="Q145" s="51"/>
      <c r="R145" s="51"/>
      <c r="S145" s="51"/>
      <c r="T145" s="51"/>
      <c r="U145" s="51"/>
      <c r="V145" s="51"/>
      <c r="W145" s="51"/>
      <c r="X145" s="51"/>
    </row>
    <row r="146" spans="1:24" ht="15.75">
      <c r="A146" s="50"/>
      <c r="B146" s="36"/>
      <c r="C146" s="38"/>
      <c r="D146" s="51"/>
      <c r="E146" s="51"/>
      <c r="F146" s="51"/>
      <c r="G146" s="51"/>
      <c r="H146" s="51"/>
      <c r="I146" s="51"/>
      <c r="J146" s="51"/>
      <c r="K146" s="51"/>
      <c r="L146" s="51"/>
      <c r="M146" s="51"/>
      <c r="N146" s="51"/>
      <c r="O146" s="51"/>
      <c r="P146" s="51"/>
      <c r="Q146" s="51"/>
      <c r="R146" s="51"/>
      <c r="S146" s="51"/>
      <c r="T146" s="51"/>
      <c r="U146" s="51"/>
      <c r="V146" s="51"/>
      <c r="W146" s="51"/>
      <c r="X146" s="51"/>
    </row>
    <row r="147" spans="1:24" ht="15.75">
      <c r="A147" s="50"/>
      <c r="B147" s="36"/>
      <c r="C147" s="38"/>
      <c r="D147" s="51"/>
      <c r="E147" s="51"/>
      <c r="F147" s="51"/>
      <c r="G147" s="51"/>
      <c r="H147" s="51"/>
      <c r="I147" s="51"/>
      <c r="J147" s="51"/>
      <c r="K147" s="51"/>
      <c r="L147" s="51"/>
      <c r="M147" s="51"/>
      <c r="N147" s="51"/>
      <c r="O147" s="51"/>
      <c r="P147" s="51"/>
      <c r="Q147" s="51"/>
      <c r="R147" s="51"/>
      <c r="S147" s="51"/>
      <c r="T147" s="51"/>
      <c r="U147" s="51"/>
      <c r="V147" s="51"/>
      <c r="W147" s="51"/>
      <c r="X147" s="51"/>
    </row>
    <row r="148" spans="1:24" ht="15.75">
      <c r="A148" s="50"/>
      <c r="B148" s="36"/>
      <c r="C148" s="38"/>
      <c r="D148" s="51"/>
      <c r="E148" s="51"/>
      <c r="F148" s="51"/>
      <c r="G148" s="51"/>
      <c r="H148" s="51"/>
      <c r="I148" s="51"/>
      <c r="J148" s="51"/>
      <c r="K148" s="51"/>
      <c r="L148" s="51"/>
      <c r="M148" s="51"/>
      <c r="N148" s="51"/>
      <c r="O148" s="51"/>
      <c r="P148" s="51"/>
      <c r="Q148" s="51"/>
      <c r="R148" s="51"/>
      <c r="S148" s="51"/>
      <c r="T148" s="51"/>
      <c r="U148" s="51"/>
      <c r="V148" s="51"/>
      <c r="W148" s="51"/>
      <c r="X148" s="51"/>
    </row>
    <row r="149" spans="1:24" ht="15.75">
      <c r="A149" s="50"/>
      <c r="B149" s="36"/>
      <c r="C149" s="38"/>
      <c r="D149" s="51"/>
      <c r="E149" s="51"/>
      <c r="F149" s="51"/>
      <c r="G149" s="51"/>
      <c r="H149" s="51"/>
      <c r="I149" s="51"/>
      <c r="J149" s="51"/>
      <c r="K149" s="51"/>
      <c r="L149" s="51"/>
      <c r="M149" s="51"/>
      <c r="N149" s="51"/>
      <c r="O149" s="51"/>
      <c r="P149" s="51"/>
      <c r="Q149" s="51"/>
      <c r="R149" s="51"/>
      <c r="S149" s="51"/>
      <c r="T149" s="51"/>
      <c r="U149" s="51"/>
      <c r="V149" s="51"/>
      <c r="W149" s="51"/>
      <c r="X149" s="51"/>
    </row>
    <row r="150" spans="1:24" ht="15.75">
      <c r="A150" s="50"/>
      <c r="B150" s="36"/>
      <c r="C150" s="38"/>
      <c r="D150" s="51"/>
      <c r="E150" s="51"/>
      <c r="F150" s="51"/>
      <c r="G150" s="51"/>
      <c r="H150" s="51"/>
      <c r="I150" s="51"/>
      <c r="J150" s="51"/>
      <c r="K150" s="51"/>
      <c r="L150" s="51"/>
      <c r="M150" s="51"/>
      <c r="N150" s="51"/>
      <c r="O150" s="51"/>
      <c r="P150" s="51"/>
      <c r="Q150" s="51"/>
      <c r="R150" s="51"/>
      <c r="S150" s="51"/>
      <c r="T150" s="51"/>
      <c r="U150" s="51"/>
      <c r="V150" s="51"/>
      <c r="W150" s="51"/>
      <c r="X150" s="51"/>
    </row>
    <row r="151" spans="1:24" ht="15.75">
      <c r="A151" s="50"/>
      <c r="B151" s="36"/>
      <c r="C151" s="38"/>
      <c r="D151" s="51"/>
      <c r="E151" s="51"/>
      <c r="F151" s="51"/>
      <c r="G151" s="51"/>
      <c r="H151" s="51"/>
      <c r="I151" s="51"/>
      <c r="J151" s="51"/>
      <c r="K151" s="51"/>
      <c r="L151" s="51"/>
      <c r="M151" s="51"/>
      <c r="N151" s="51"/>
      <c r="O151" s="51"/>
      <c r="P151" s="51"/>
      <c r="Q151" s="51"/>
      <c r="R151" s="51"/>
      <c r="S151" s="51"/>
      <c r="T151" s="51"/>
      <c r="U151" s="51"/>
      <c r="V151" s="51"/>
      <c r="W151" s="51"/>
      <c r="X151" s="51"/>
    </row>
    <row r="152" spans="1:24" ht="15.75">
      <c r="A152" s="50"/>
      <c r="B152" s="36"/>
      <c r="C152" s="38"/>
      <c r="D152" s="51"/>
      <c r="E152" s="51"/>
      <c r="F152" s="51"/>
      <c r="G152" s="51"/>
      <c r="H152" s="51"/>
      <c r="I152" s="51"/>
      <c r="J152" s="51"/>
      <c r="K152" s="51"/>
      <c r="L152" s="51"/>
      <c r="M152" s="51"/>
      <c r="N152" s="51"/>
      <c r="O152" s="51"/>
      <c r="P152" s="51"/>
      <c r="Q152" s="51"/>
      <c r="R152" s="51"/>
      <c r="S152" s="51"/>
      <c r="T152" s="51"/>
      <c r="U152" s="51"/>
      <c r="V152" s="51"/>
      <c r="W152" s="51"/>
      <c r="X152" s="51"/>
    </row>
    <row r="153" spans="1:24" ht="15.75">
      <c r="A153" s="50"/>
      <c r="B153" s="36"/>
      <c r="C153" s="38"/>
      <c r="D153" s="51"/>
      <c r="E153" s="51"/>
      <c r="F153" s="51"/>
      <c r="G153" s="51"/>
      <c r="H153" s="51"/>
      <c r="I153" s="51"/>
      <c r="J153" s="51"/>
      <c r="K153" s="51"/>
      <c r="L153" s="51"/>
      <c r="M153" s="51"/>
      <c r="N153" s="51"/>
      <c r="O153" s="51"/>
      <c r="P153" s="51"/>
      <c r="Q153" s="51"/>
      <c r="R153" s="51"/>
      <c r="S153" s="51"/>
      <c r="T153" s="51"/>
      <c r="U153" s="51"/>
      <c r="V153" s="51"/>
      <c r="W153" s="51"/>
      <c r="X153" s="51"/>
    </row>
    <row r="154" spans="1:24" ht="15.75">
      <c r="A154" s="50"/>
      <c r="B154" s="36"/>
      <c r="C154" s="38"/>
      <c r="D154" s="51"/>
      <c r="E154" s="51"/>
      <c r="F154" s="51"/>
      <c r="G154" s="51"/>
      <c r="H154" s="51"/>
      <c r="I154" s="51"/>
      <c r="J154" s="51"/>
      <c r="K154" s="51"/>
      <c r="L154" s="51"/>
      <c r="M154" s="51"/>
      <c r="N154" s="51"/>
      <c r="O154" s="51"/>
      <c r="P154" s="51"/>
      <c r="Q154" s="51"/>
      <c r="R154" s="51"/>
      <c r="S154" s="51"/>
      <c r="T154" s="51"/>
      <c r="U154" s="51"/>
      <c r="V154" s="51"/>
      <c r="W154" s="51"/>
      <c r="X154" s="51"/>
    </row>
    <row r="155" spans="1:24" ht="15.75">
      <c r="A155" s="50"/>
      <c r="B155" s="36"/>
      <c r="C155" s="38"/>
      <c r="D155" s="51"/>
      <c r="E155" s="51"/>
      <c r="F155" s="51"/>
      <c r="G155" s="51"/>
      <c r="H155" s="51"/>
      <c r="I155" s="51"/>
      <c r="J155" s="51"/>
      <c r="K155" s="51"/>
      <c r="L155" s="51"/>
      <c r="M155" s="51"/>
      <c r="N155" s="51"/>
      <c r="O155" s="51"/>
      <c r="P155" s="51"/>
      <c r="Q155" s="51"/>
      <c r="R155" s="51"/>
      <c r="S155" s="51"/>
      <c r="T155" s="51"/>
      <c r="U155" s="51"/>
      <c r="V155" s="51"/>
      <c r="W155" s="51"/>
      <c r="X155" s="51"/>
    </row>
    <row r="156" spans="1:24" ht="15.75">
      <c r="A156" s="50"/>
      <c r="B156" s="36"/>
      <c r="C156" s="38"/>
      <c r="D156" s="51"/>
      <c r="E156" s="51"/>
      <c r="F156" s="51"/>
      <c r="G156" s="51"/>
      <c r="H156" s="51"/>
      <c r="I156" s="51"/>
      <c r="J156" s="51"/>
      <c r="K156" s="51"/>
      <c r="L156" s="51"/>
      <c r="M156" s="51"/>
      <c r="N156" s="51"/>
      <c r="O156" s="51"/>
      <c r="P156" s="51"/>
      <c r="Q156" s="51"/>
      <c r="R156" s="51"/>
      <c r="S156" s="51"/>
      <c r="T156" s="51"/>
      <c r="U156" s="51"/>
      <c r="V156" s="51"/>
      <c r="W156" s="51"/>
      <c r="X156" s="51"/>
    </row>
    <row r="157" spans="1:24" ht="15.75">
      <c r="A157" s="50"/>
      <c r="B157" s="36"/>
      <c r="C157" s="38"/>
      <c r="D157" s="51"/>
      <c r="E157" s="51"/>
      <c r="F157" s="51"/>
      <c r="G157" s="51"/>
      <c r="H157" s="51"/>
      <c r="I157" s="51"/>
      <c r="J157" s="51"/>
      <c r="K157" s="51"/>
      <c r="L157" s="51"/>
      <c r="M157" s="51"/>
      <c r="N157" s="51"/>
      <c r="O157" s="51"/>
      <c r="P157" s="51"/>
      <c r="Q157" s="51"/>
      <c r="R157" s="51"/>
      <c r="S157" s="51"/>
      <c r="T157" s="51"/>
      <c r="U157" s="51"/>
      <c r="V157" s="51"/>
      <c r="W157" s="51"/>
      <c r="X157" s="51"/>
    </row>
    <row r="158" spans="1:24" ht="15.75">
      <c r="A158" s="50"/>
      <c r="B158" s="36"/>
      <c r="C158" s="38"/>
      <c r="D158" s="51"/>
      <c r="E158" s="51"/>
      <c r="F158" s="51"/>
      <c r="G158" s="51"/>
      <c r="H158" s="51"/>
      <c r="I158" s="51"/>
      <c r="J158" s="51"/>
      <c r="K158" s="51"/>
      <c r="L158" s="51"/>
      <c r="M158" s="51"/>
      <c r="N158" s="51"/>
      <c r="O158" s="51"/>
      <c r="P158" s="51"/>
      <c r="Q158" s="51"/>
      <c r="R158" s="51"/>
      <c r="S158" s="51"/>
      <c r="T158" s="51"/>
      <c r="U158" s="51"/>
      <c r="V158" s="51"/>
      <c r="W158" s="51"/>
      <c r="X158" s="51"/>
    </row>
    <row r="159" spans="1:24" ht="15.75">
      <c r="A159" s="50"/>
      <c r="B159" s="36"/>
      <c r="C159" s="38"/>
      <c r="D159" s="51"/>
      <c r="E159" s="51"/>
      <c r="F159" s="51"/>
      <c r="G159" s="51"/>
      <c r="H159" s="51"/>
      <c r="I159" s="51"/>
      <c r="J159" s="51"/>
      <c r="K159" s="51"/>
      <c r="L159" s="51"/>
      <c r="M159" s="51"/>
      <c r="N159" s="51"/>
      <c r="O159" s="51"/>
      <c r="P159" s="51"/>
      <c r="Q159" s="51"/>
      <c r="R159" s="51"/>
      <c r="S159" s="51"/>
      <c r="T159" s="51"/>
      <c r="U159" s="51"/>
      <c r="V159" s="51"/>
      <c r="W159" s="51"/>
      <c r="X159" s="51"/>
    </row>
    <row r="160" spans="1:24" ht="15.75">
      <c r="A160" s="50"/>
      <c r="B160" s="36"/>
      <c r="C160" s="38"/>
      <c r="D160" s="51"/>
      <c r="E160" s="51"/>
      <c r="F160" s="51"/>
      <c r="G160" s="51"/>
      <c r="H160" s="51"/>
      <c r="I160" s="51"/>
      <c r="J160" s="51"/>
      <c r="K160" s="51"/>
      <c r="L160" s="51"/>
      <c r="M160" s="51"/>
      <c r="N160" s="51"/>
      <c r="O160" s="51"/>
      <c r="P160" s="51"/>
      <c r="Q160" s="51"/>
      <c r="R160" s="51"/>
      <c r="S160" s="51"/>
      <c r="T160" s="51"/>
      <c r="U160" s="51"/>
      <c r="V160" s="51"/>
      <c r="W160" s="51"/>
      <c r="X160" s="51"/>
    </row>
    <row r="161" spans="1:24" ht="15.75">
      <c r="A161" s="50"/>
      <c r="B161" s="36"/>
      <c r="C161" s="38"/>
      <c r="D161" s="51"/>
      <c r="E161" s="51"/>
      <c r="F161" s="51"/>
      <c r="G161" s="51"/>
      <c r="H161" s="51"/>
      <c r="I161" s="51"/>
      <c r="J161" s="51"/>
      <c r="K161" s="51"/>
      <c r="L161" s="51"/>
      <c r="M161" s="51"/>
      <c r="N161" s="51"/>
      <c r="O161" s="51"/>
      <c r="P161" s="51"/>
      <c r="Q161" s="51"/>
      <c r="R161" s="51"/>
      <c r="S161" s="51"/>
      <c r="T161" s="51"/>
      <c r="U161" s="51"/>
      <c r="V161" s="51"/>
      <c r="W161" s="51"/>
      <c r="X161" s="51"/>
    </row>
    <row r="162" spans="1:24" ht="15.75">
      <c r="A162" s="50"/>
      <c r="B162" s="36"/>
      <c r="C162" s="38"/>
      <c r="D162" s="51"/>
      <c r="E162" s="51"/>
      <c r="F162" s="51"/>
      <c r="G162" s="51"/>
      <c r="H162" s="51"/>
      <c r="I162" s="51"/>
      <c r="J162" s="51"/>
      <c r="K162" s="51"/>
      <c r="L162" s="51"/>
      <c r="M162" s="51"/>
      <c r="N162" s="51"/>
      <c r="O162" s="51"/>
      <c r="P162" s="51"/>
      <c r="Q162" s="51"/>
      <c r="R162" s="51"/>
      <c r="S162" s="51"/>
      <c r="T162" s="51"/>
      <c r="U162" s="51"/>
      <c r="V162" s="51"/>
      <c r="W162" s="51"/>
      <c r="X162" s="51"/>
    </row>
    <row r="163" spans="1:24" ht="15.75">
      <c r="A163" s="50"/>
      <c r="B163" s="36"/>
      <c r="C163" s="38"/>
      <c r="D163" s="51"/>
      <c r="E163" s="51"/>
      <c r="F163" s="51"/>
      <c r="G163" s="51"/>
      <c r="H163" s="51"/>
      <c r="I163" s="51"/>
      <c r="J163" s="51"/>
      <c r="K163" s="51"/>
      <c r="L163" s="51"/>
      <c r="M163" s="51"/>
      <c r="N163" s="51"/>
      <c r="O163" s="51"/>
      <c r="P163" s="51"/>
      <c r="Q163" s="51"/>
      <c r="R163" s="51"/>
      <c r="S163" s="51"/>
      <c r="T163" s="51"/>
      <c r="U163" s="51"/>
      <c r="V163" s="51"/>
      <c r="W163" s="51"/>
      <c r="X163" s="51"/>
    </row>
    <row r="164" spans="1:24" ht="15.75">
      <c r="A164" s="50"/>
      <c r="B164" s="36"/>
      <c r="C164" s="38"/>
      <c r="D164" s="51"/>
      <c r="E164" s="51"/>
      <c r="F164" s="51"/>
      <c r="G164" s="51"/>
      <c r="H164" s="51"/>
      <c r="I164" s="51"/>
      <c r="J164" s="51"/>
      <c r="K164" s="51"/>
      <c r="L164" s="51"/>
      <c r="M164" s="51"/>
      <c r="N164" s="51"/>
      <c r="O164" s="51"/>
      <c r="P164" s="51"/>
      <c r="Q164" s="51"/>
      <c r="R164" s="51"/>
      <c r="S164" s="51"/>
      <c r="T164" s="51"/>
      <c r="U164" s="51"/>
      <c r="V164" s="51"/>
      <c r="W164" s="51"/>
      <c r="X164" s="51"/>
    </row>
    <row r="165" spans="1:24" ht="15.75">
      <c r="A165" s="50"/>
      <c r="B165" s="36"/>
      <c r="C165" s="38"/>
      <c r="D165" s="51"/>
      <c r="E165" s="51"/>
      <c r="F165" s="51"/>
      <c r="G165" s="51"/>
      <c r="H165" s="51"/>
      <c r="I165" s="51"/>
      <c r="J165" s="51"/>
      <c r="K165" s="51"/>
      <c r="L165" s="51"/>
      <c r="M165" s="51"/>
      <c r="N165" s="51"/>
      <c r="O165" s="51"/>
      <c r="P165" s="51"/>
      <c r="Q165" s="51"/>
      <c r="R165" s="51"/>
      <c r="S165" s="51"/>
      <c r="T165" s="51"/>
      <c r="U165" s="51"/>
      <c r="V165" s="51"/>
      <c r="W165" s="51"/>
      <c r="X165" s="51"/>
    </row>
    <row r="166" spans="1:24" ht="15.75">
      <c r="A166" s="50"/>
      <c r="B166" s="36"/>
      <c r="C166" s="38"/>
      <c r="D166" s="51"/>
      <c r="E166" s="51"/>
      <c r="F166" s="51"/>
      <c r="G166" s="51"/>
      <c r="H166" s="51"/>
      <c r="I166" s="51"/>
      <c r="J166" s="51"/>
      <c r="K166" s="51"/>
      <c r="L166" s="51"/>
      <c r="M166" s="51"/>
      <c r="N166" s="51"/>
      <c r="O166" s="51"/>
      <c r="P166" s="51"/>
      <c r="Q166" s="51"/>
      <c r="R166" s="51"/>
      <c r="S166" s="51"/>
      <c r="T166" s="51"/>
      <c r="U166" s="51"/>
      <c r="V166" s="51"/>
      <c r="W166" s="51"/>
      <c r="X166" s="51"/>
    </row>
    <row r="167" spans="1:24" ht="15.75">
      <c r="A167" s="50"/>
      <c r="B167" s="36"/>
      <c r="C167" s="38"/>
      <c r="D167" s="51"/>
      <c r="E167" s="51"/>
      <c r="F167" s="51"/>
      <c r="G167" s="51"/>
      <c r="H167" s="51"/>
      <c r="I167" s="51"/>
      <c r="J167" s="51"/>
      <c r="K167" s="51"/>
      <c r="L167" s="51"/>
      <c r="M167" s="51"/>
      <c r="N167" s="51"/>
      <c r="O167" s="51"/>
      <c r="P167" s="51"/>
      <c r="Q167" s="51"/>
      <c r="R167" s="51"/>
      <c r="S167" s="51"/>
      <c r="T167" s="51"/>
      <c r="U167" s="51"/>
      <c r="V167" s="51"/>
      <c r="W167" s="51"/>
      <c r="X167" s="51"/>
    </row>
    <row r="168" spans="1:24" ht="15.75">
      <c r="A168" s="50"/>
      <c r="B168" s="36"/>
      <c r="C168" s="38"/>
      <c r="D168" s="51"/>
      <c r="E168" s="51"/>
      <c r="F168" s="51"/>
      <c r="G168" s="51"/>
      <c r="H168" s="51"/>
      <c r="I168" s="51"/>
      <c r="J168" s="51"/>
      <c r="K168" s="51"/>
      <c r="L168" s="51"/>
      <c r="M168" s="51"/>
      <c r="N168" s="51"/>
      <c r="O168" s="51"/>
      <c r="P168" s="51"/>
      <c r="Q168" s="51"/>
      <c r="R168" s="51"/>
      <c r="S168" s="51"/>
      <c r="T168" s="51"/>
      <c r="U168" s="51"/>
      <c r="V168" s="51"/>
      <c r="W168" s="51"/>
      <c r="X168" s="51"/>
    </row>
    <row r="169" spans="1:24" ht="15.75">
      <c r="A169" s="50"/>
      <c r="B169" s="36"/>
      <c r="C169" s="38"/>
      <c r="D169" s="51"/>
      <c r="E169" s="51"/>
      <c r="F169" s="51"/>
      <c r="G169" s="51"/>
      <c r="H169" s="51"/>
      <c r="I169" s="51"/>
      <c r="J169" s="51"/>
      <c r="K169" s="51"/>
      <c r="L169" s="51"/>
      <c r="M169" s="51"/>
      <c r="N169" s="51"/>
      <c r="O169" s="51"/>
      <c r="P169" s="51"/>
      <c r="Q169" s="51"/>
      <c r="R169" s="51"/>
      <c r="S169" s="51"/>
      <c r="T169" s="51"/>
      <c r="U169" s="51"/>
      <c r="V169" s="51"/>
      <c r="W169" s="51"/>
      <c r="X169" s="51"/>
    </row>
    <row r="170" spans="1:24">
      <c r="A170" s="22"/>
      <c r="B170" s="22"/>
      <c r="C170" s="38"/>
      <c r="D170" s="51"/>
      <c r="E170" s="51"/>
      <c r="F170" s="51"/>
      <c r="G170" s="51"/>
      <c r="H170" s="51"/>
      <c r="I170" s="51"/>
      <c r="J170" s="51"/>
      <c r="K170" s="51"/>
      <c r="L170" s="51"/>
      <c r="M170" s="51"/>
      <c r="N170" s="51"/>
      <c r="O170" s="51"/>
      <c r="P170" s="51"/>
      <c r="Q170" s="51"/>
      <c r="R170" s="51"/>
      <c r="S170" s="51"/>
      <c r="T170" s="51"/>
      <c r="U170" s="51"/>
      <c r="V170" s="51"/>
      <c r="W170" s="51"/>
      <c r="X170" s="51"/>
    </row>
    <row r="171" spans="1:24" ht="15.75">
      <c r="A171" s="50"/>
      <c r="B171" s="36"/>
      <c r="C171" s="38"/>
      <c r="D171" s="51"/>
      <c r="E171" s="51"/>
      <c r="F171" s="51"/>
      <c r="G171" s="51"/>
      <c r="H171" s="51"/>
      <c r="I171" s="51"/>
      <c r="J171" s="51"/>
      <c r="K171" s="51"/>
      <c r="L171" s="51"/>
      <c r="M171" s="51"/>
      <c r="N171" s="51"/>
      <c r="O171" s="51"/>
      <c r="P171" s="51"/>
      <c r="Q171" s="51"/>
      <c r="R171" s="51"/>
      <c r="S171" s="51"/>
      <c r="T171" s="51"/>
      <c r="U171" s="51"/>
      <c r="V171" s="51"/>
      <c r="W171" s="51"/>
      <c r="X171" s="51"/>
    </row>
    <row r="172" spans="1:24" ht="15.75">
      <c r="A172" s="50"/>
      <c r="B172" s="36"/>
      <c r="C172" s="38"/>
      <c r="D172" s="51"/>
      <c r="E172" s="51"/>
      <c r="F172" s="51"/>
      <c r="G172" s="51"/>
      <c r="H172" s="51"/>
      <c r="I172" s="51"/>
      <c r="J172" s="51"/>
      <c r="K172" s="51"/>
      <c r="L172" s="51"/>
      <c r="M172" s="51"/>
      <c r="N172" s="51"/>
      <c r="O172" s="51"/>
      <c r="P172" s="51"/>
      <c r="Q172" s="51"/>
      <c r="R172" s="51"/>
      <c r="S172" s="51"/>
      <c r="T172" s="51"/>
      <c r="U172" s="51"/>
      <c r="V172" s="51"/>
      <c r="W172" s="51"/>
      <c r="X172" s="51"/>
    </row>
    <row r="173" spans="1:24" ht="15.75">
      <c r="A173" s="50"/>
      <c r="B173" s="36"/>
      <c r="C173" s="38"/>
      <c r="D173" s="51"/>
      <c r="E173" s="51"/>
      <c r="F173" s="51"/>
      <c r="G173" s="51"/>
      <c r="H173" s="51"/>
      <c r="I173" s="51"/>
      <c r="J173" s="51"/>
      <c r="K173" s="51"/>
      <c r="L173" s="51"/>
      <c r="M173" s="51"/>
      <c r="N173" s="51"/>
      <c r="O173" s="51"/>
      <c r="P173" s="51"/>
      <c r="Q173" s="51"/>
      <c r="R173" s="51"/>
      <c r="S173" s="51"/>
      <c r="T173" s="51"/>
      <c r="U173" s="51"/>
      <c r="V173" s="51"/>
      <c r="W173" s="51"/>
      <c r="X173" s="51"/>
    </row>
    <row r="174" spans="1:24" ht="15.75">
      <c r="A174" s="50"/>
      <c r="B174" s="36"/>
      <c r="C174" s="38"/>
      <c r="D174" s="51"/>
      <c r="E174" s="51"/>
      <c r="F174" s="51"/>
      <c r="G174" s="51"/>
      <c r="H174" s="51"/>
      <c r="I174" s="51"/>
      <c r="J174" s="51"/>
      <c r="K174" s="51"/>
      <c r="L174" s="51"/>
      <c r="M174" s="51"/>
      <c r="N174" s="51"/>
      <c r="O174" s="51"/>
      <c r="P174" s="51"/>
      <c r="Q174" s="51"/>
      <c r="R174" s="51"/>
      <c r="S174" s="51"/>
      <c r="T174" s="51"/>
      <c r="U174" s="51"/>
      <c r="V174" s="51"/>
      <c r="W174" s="51"/>
      <c r="X174" s="51"/>
    </row>
    <row r="175" spans="1:24" ht="15.75">
      <c r="A175" s="50"/>
      <c r="B175" s="36"/>
      <c r="C175" s="38"/>
      <c r="D175" s="51"/>
      <c r="E175" s="51"/>
      <c r="F175" s="51"/>
      <c r="G175" s="51"/>
      <c r="H175" s="51"/>
      <c r="I175" s="51"/>
      <c r="J175" s="51"/>
      <c r="K175" s="51"/>
      <c r="L175" s="51"/>
      <c r="M175" s="51"/>
      <c r="N175" s="51"/>
      <c r="O175" s="51"/>
      <c r="P175" s="51"/>
      <c r="Q175" s="51"/>
      <c r="R175" s="51"/>
      <c r="S175" s="51"/>
      <c r="T175" s="51"/>
      <c r="U175" s="51"/>
      <c r="V175" s="51"/>
      <c r="W175" s="51"/>
      <c r="X175" s="51"/>
    </row>
    <row r="176" spans="1:24" ht="15.75">
      <c r="A176" s="50"/>
      <c r="B176" s="36"/>
      <c r="C176" s="38"/>
      <c r="D176" s="51"/>
      <c r="E176" s="51"/>
      <c r="F176" s="51"/>
      <c r="G176" s="51"/>
      <c r="H176" s="51"/>
      <c r="I176" s="51"/>
      <c r="J176" s="51"/>
      <c r="K176" s="51"/>
      <c r="L176" s="51"/>
      <c r="M176" s="51"/>
      <c r="N176" s="51"/>
      <c r="O176" s="51"/>
      <c r="P176" s="51"/>
      <c r="Q176" s="51"/>
      <c r="R176" s="51"/>
      <c r="S176" s="51"/>
      <c r="T176" s="51"/>
      <c r="U176" s="51"/>
      <c r="V176" s="51"/>
      <c r="W176" s="51"/>
      <c r="X176" s="51"/>
    </row>
    <row r="177" spans="1:24" ht="15.75">
      <c r="A177" s="50"/>
      <c r="B177" s="36"/>
      <c r="C177" s="38"/>
      <c r="D177" s="51"/>
      <c r="E177" s="51"/>
      <c r="F177" s="51"/>
      <c r="G177" s="51"/>
      <c r="H177" s="51"/>
      <c r="I177" s="51"/>
      <c r="J177" s="51"/>
      <c r="K177" s="51"/>
      <c r="L177" s="51"/>
      <c r="M177" s="51"/>
      <c r="N177" s="51"/>
      <c r="O177" s="51"/>
      <c r="P177" s="51"/>
      <c r="Q177" s="51"/>
      <c r="R177" s="51"/>
      <c r="S177" s="51"/>
      <c r="T177" s="51"/>
      <c r="U177" s="51"/>
      <c r="V177" s="51"/>
      <c r="W177" s="51"/>
      <c r="X177" s="51"/>
    </row>
    <row r="178" spans="1:24" ht="15.75">
      <c r="A178" s="50"/>
      <c r="B178" s="36"/>
      <c r="C178" s="38"/>
      <c r="D178" s="51"/>
      <c r="E178" s="51"/>
      <c r="F178" s="51"/>
      <c r="G178" s="51"/>
      <c r="H178" s="51"/>
      <c r="I178" s="51"/>
      <c r="J178" s="51"/>
      <c r="K178" s="51"/>
      <c r="L178" s="51"/>
      <c r="M178" s="51"/>
      <c r="N178" s="51"/>
      <c r="O178" s="51"/>
      <c r="P178" s="51"/>
      <c r="Q178" s="51"/>
      <c r="R178" s="51"/>
      <c r="S178" s="51"/>
      <c r="T178" s="51"/>
      <c r="U178" s="51"/>
      <c r="V178" s="51"/>
      <c r="W178" s="51"/>
      <c r="X178" s="51"/>
    </row>
    <row r="179" spans="1:24" ht="15.75">
      <c r="A179" s="50"/>
      <c r="B179" s="36"/>
      <c r="C179" s="38"/>
      <c r="D179" s="51"/>
      <c r="E179" s="51"/>
      <c r="F179" s="51"/>
      <c r="G179" s="51"/>
      <c r="H179" s="51"/>
      <c r="I179" s="51"/>
      <c r="J179" s="51"/>
      <c r="K179" s="51"/>
      <c r="L179" s="51"/>
      <c r="M179" s="51"/>
      <c r="N179" s="51"/>
      <c r="O179" s="51"/>
      <c r="P179" s="51"/>
      <c r="Q179" s="51"/>
      <c r="R179" s="51"/>
      <c r="S179" s="51"/>
      <c r="T179" s="51"/>
      <c r="U179" s="51"/>
      <c r="V179" s="51"/>
      <c r="W179" s="51"/>
      <c r="X179" s="51"/>
    </row>
    <row r="180" spans="1:24" ht="15.75">
      <c r="A180" s="50"/>
      <c r="B180" s="36"/>
      <c r="C180" s="38"/>
      <c r="D180" s="51"/>
      <c r="E180" s="51"/>
      <c r="F180" s="51"/>
      <c r="G180" s="51"/>
      <c r="H180" s="51"/>
      <c r="I180" s="51"/>
      <c r="J180" s="51"/>
      <c r="K180" s="51"/>
      <c r="L180" s="51"/>
      <c r="M180" s="51"/>
      <c r="N180" s="51"/>
      <c r="O180" s="51"/>
      <c r="P180" s="51"/>
      <c r="Q180" s="51"/>
      <c r="R180" s="51"/>
      <c r="S180" s="51"/>
      <c r="T180" s="51"/>
      <c r="U180" s="51"/>
      <c r="V180" s="51"/>
      <c r="W180" s="51"/>
      <c r="X180" s="51"/>
    </row>
    <row r="181" spans="1:24" ht="15.75">
      <c r="A181" s="50"/>
      <c r="B181" s="36"/>
      <c r="C181" s="38"/>
      <c r="D181" s="51"/>
      <c r="E181" s="51"/>
      <c r="F181" s="51"/>
      <c r="G181" s="51"/>
      <c r="H181" s="51"/>
      <c r="I181" s="51"/>
      <c r="J181" s="51"/>
      <c r="K181" s="51"/>
      <c r="L181" s="51"/>
      <c r="M181" s="51"/>
      <c r="N181" s="51"/>
      <c r="O181" s="51"/>
      <c r="P181" s="51"/>
      <c r="Q181" s="51"/>
      <c r="R181" s="51"/>
      <c r="S181" s="51"/>
      <c r="T181" s="51"/>
      <c r="U181" s="51"/>
      <c r="V181" s="51"/>
      <c r="W181" s="51"/>
      <c r="X181" s="51"/>
    </row>
    <row r="182" spans="1:24" ht="15.75">
      <c r="A182" s="50"/>
      <c r="B182" s="36"/>
      <c r="C182" s="38"/>
      <c r="D182" s="51"/>
      <c r="E182" s="51"/>
      <c r="F182" s="51"/>
      <c r="G182" s="51"/>
      <c r="H182" s="51"/>
      <c r="I182" s="51"/>
      <c r="J182" s="51"/>
      <c r="K182" s="51"/>
      <c r="L182" s="51"/>
      <c r="M182" s="51"/>
      <c r="N182" s="51"/>
      <c r="O182" s="51"/>
      <c r="P182" s="51"/>
      <c r="Q182" s="51"/>
      <c r="R182" s="51"/>
      <c r="S182" s="51"/>
      <c r="T182" s="51"/>
      <c r="U182" s="51"/>
      <c r="V182" s="51"/>
      <c r="W182" s="51"/>
      <c r="X182" s="51"/>
    </row>
    <row r="183" spans="1:24" ht="15.75">
      <c r="A183" s="50"/>
      <c r="B183" s="36"/>
      <c r="C183" s="38"/>
      <c r="D183" s="51"/>
      <c r="E183" s="51"/>
      <c r="F183" s="51"/>
      <c r="G183" s="51"/>
      <c r="H183" s="51"/>
      <c r="I183" s="51"/>
      <c r="J183" s="51"/>
      <c r="K183" s="51"/>
      <c r="L183" s="51"/>
      <c r="M183" s="51"/>
      <c r="N183" s="51"/>
      <c r="O183" s="51"/>
      <c r="P183" s="51"/>
      <c r="Q183" s="51"/>
      <c r="R183" s="51"/>
      <c r="S183" s="51"/>
      <c r="T183" s="51"/>
      <c r="U183" s="51"/>
      <c r="V183" s="51"/>
      <c r="W183" s="51"/>
      <c r="X183" s="51"/>
    </row>
    <row r="184" spans="1:24" ht="15.75">
      <c r="A184" s="50"/>
      <c r="B184" s="36"/>
      <c r="C184" s="38"/>
      <c r="D184" s="51"/>
      <c r="E184" s="51"/>
      <c r="F184" s="51"/>
      <c r="G184" s="51"/>
      <c r="H184" s="51"/>
      <c r="I184" s="51"/>
      <c r="J184" s="51"/>
      <c r="K184" s="51"/>
      <c r="L184" s="51"/>
      <c r="M184" s="51"/>
      <c r="N184" s="51"/>
      <c r="O184" s="51"/>
      <c r="P184" s="51"/>
      <c r="Q184" s="51"/>
      <c r="R184" s="51"/>
      <c r="S184" s="51"/>
      <c r="T184" s="51"/>
      <c r="U184" s="51"/>
      <c r="V184" s="51"/>
      <c r="W184" s="51"/>
      <c r="X184" s="51"/>
    </row>
    <row r="185" spans="1:24" ht="15.75">
      <c r="A185" s="50"/>
      <c r="B185" s="36"/>
      <c r="C185" s="38"/>
      <c r="D185" s="51"/>
      <c r="E185" s="51"/>
      <c r="F185" s="51"/>
      <c r="G185" s="51"/>
      <c r="H185" s="51"/>
      <c r="I185" s="51"/>
      <c r="J185" s="51"/>
      <c r="K185" s="51"/>
      <c r="L185" s="51"/>
      <c r="M185" s="51"/>
      <c r="N185" s="51"/>
      <c r="O185" s="51"/>
      <c r="P185" s="51"/>
      <c r="Q185" s="51"/>
      <c r="R185" s="51"/>
      <c r="S185" s="51"/>
      <c r="T185" s="51"/>
      <c r="U185" s="51"/>
      <c r="V185" s="51"/>
      <c r="W185" s="51"/>
      <c r="X185" s="51"/>
    </row>
    <row r="186" spans="1:24" ht="15.75">
      <c r="A186" s="50"/>
      <c r="B186" s="36"/>
      <c r="C186" s="38"/>
      <c r="D186" s="51"/>
      <c r="E186" s="51"/>
      <c r="F186" s="51"/>
      <c r="G186" s="51"/>
      <c r="H186" s="51"/>
      <c r="I186" s="51"/>
      <c r="J186" s="51"/>
      <c r="K186" s="51"/>
      <c r="L186" s="51"/>
      <c r="M186" s="51"/>
      <c r="N186" s="51"/>
      <c r="O186" s="51"/>
      <c r="P186" s="51"/>
      <c r="Q186" s="51"/>
      <c r="R186" s="51"/>
      <c r="S186" s="51"/>
      <c r="T186" s="51"/>
      <c r="U186" s="51"/>
      <c r="V186" s="51"/>
      <c r="W186" s="51"/>
      <c r="X186" s="51"/>
    </row>
    <row r="187" spans="1:24" ht="15.75">
      <c r="A187" s="50"/>
      <c r="B187" s="36"/>
      <c r="C187" s="38"/>
      <c r="D187" s="51"/>
      <c r="E187" s="51"/>
      <c r="F187" s="51"/>
      <c r="G187" s="51"/>
      <c r="H187" s="51"/>
      <c r="I187" s="51"/>
      <c r="J187" s="51"/>
      <c r="K187" s="51"/>
      <c r="L187" s="51"/>
      <c r="M187" s="51"/>
      <c r="N187" s="51"/>
      <c r="O187" s="51"/>
      <c r="P187" s="51"/>
      <c r="Q187" s="51"/>
      <c r="R187" s="51"/>
      <c r="S187" s="51"/>
      <c r="T187" s="51"/>
      <c r="U187" s="51"/>
      <c r="V187" s="51"/>
      <c r="W187" s="51"/>
      <c r="X187" s="51"/>
    </row>
    <row r="188" spans="1:24" ht="15.75">
      <c r="A188" s="50"/>
      <c r="B188" s="36"/>
      <c r="C188" s="38"/>
      <c r="D188" s="51"/>
      <c r="E188" s="51"/>
      <c r="F188" s="51"/>
      <c r="G188" s="51"/>
      <c r="H188" s="51"/>
      <c r="I188" s="51"/>
      <c r="J188" s="51"/>
      <c r="K188" s="51"/>
      <c r="L188" s="51"/>
      <c r="M188" s="51"/>
      <c r="N188" s="51"/>
      <c r="O188" s="51"/>
      <c r="P188" s="51"/>
      <c r="Q188" s="51"/>
      <c r="R188" s="51"/>
      <c r="S188" s="51"/>
      <c r="T188" s="51"/>
      <c r="U188" s="51"/>
      <c r="V188" s="51"/>
      <c r="W188" s="51"/>
      <c r="X188" s="51"/>
    </row>
    <row r="189" spans="1:24" ht="15.75">
      <c r="A189" s="50"/>
      <c r="B189" s="36"/>
      <c r="C189" s="38"/>
      <c r="D189" s="51"/>
      <c r="E189" s="51"/>
      <c r="F189" s="51"/>
      <c r="G189" s="51"/>
      <c r="H189" s="51"/>
      <c r="I189" s="51"/>
      <c r="J189" s="51"/>
      <c r="K189" s="51"/>
      <c r="L189" s="51"/>
      <c r="M189" s="51"/>
      <c r="N189" s="51"/>
      <c r="O189" s="51"/>
      <c r="P189" s="51"/>
      <c r="Q189" s="51"/>
      <c r="R189" s="51"/>
      <c r="S189" s="51"/>
      <c r="T189" s="51"/>
      <c r="U189" s="51"/>
      <c r="V189" s="51"/>
      <c r="W189" s="51"/>
      <c r="X189" s="51"/>
    </row>
    <row r="190" spans="1:24">
      <c r="A190" s="7"/>
      <c r="B190" s="7"/>
      <c r="C190" s="38"/>
      <c r="D190" s="51"/>
      <c r="E190" s="51"/>
      <c r="F190" s="51"/>
      <c r="G190" s="51"/>
      <c r="H190" s="51"/>
      <c r="I190" s="51"/>
      <c r="J190" s="51"/>
      <c r="K190" s="51"/>
      <c r="L190" s="51"/>
      <c r="M190" s="51"/>
      <c r="N190" s="51"/>
      <c r="O190" s="51"/>
      <c r="P190" s="51"/>
      <c r="Q190" s="51"/>
      <c r="R190" s="51"/>
      <c r="S190" s="51"/>
      <c r="T190" s="51"/>
      <c r="U190" s="51"/>
      <c r="V190" s="51"/>
      <c r="W190" s="51"/>
      <c r="X190" s="51"/>
    </row>
    <row r="191" spans="1:24" ht="15.75">
      <c r="A191" s="50"/>
      <c r="B191" s="36"/>
      <c r="C191" s="38"/>
      <c r="D191" s="51"/>
      <c r="E191" s="51"/>
      <c r="F191" s="51"/>
      <c r="G191" s="51"/>
      <c r="H191" s="51"/>
      <c r="I191" s="51"/>
      <c r="J191" s="51"/>
      <c r="K191" s="51"/>
      <c r="L191" s="51"/>
      <c r="M191" s="51"/>
      <c r="N191" s="51"/>
      <c r="O191" s="51"/>
      <c r="P191" s="51"/>
      <c r="Q191" s="51"/>
      <c r="R191" s="51"/>
      <c r="S191" s="51"/>
      <c r="T191" s="51"/>
      <c r="U191" s="51"/>
      <c r="V191" s="51"/>
      <c r="W191" s="51"/>
      <c r="X191" s="51"/>
    </row>
    <row r="192" spans="1:24" ht="15.75">
      <c r="A192" s="50"/>
      <c r="B192" s="36"/>
      <c r="C192" s="38"/>
      <c r="D192" s="51"/>
      <c r="E192" s="51"/>
      <c r="F192" s="51"/>
      <c r="G192" s="51"/>
      <c r="H192" s="51"/>
      <c r="I192" s="51"/>
      <c r="J192" s="51"/>
      <c r="K192" s="51"/>
      <c r="L192" s="51"/>
      <c r="M192" s="51"/>
      <c r="N192" s="51"/>
      <c r="O192" s="51"/>
      <c r="P192" s="51"/>
      <c r="Q192" s="51"/>
      <c r="R192" s="51"/>
      <c r="S192" s="51"/>
      <c r="T192" s="51"/>
      <c r="U192" s="51"/>
      <c r="V192" s="51"/>
      <c r="W192" s="51"/>
      <c r="X192" s="51"/>
    </row>
    <row r="193" spans="1:24" ht="15.75">
      <c r="A193" s="50"/>
      <c r="B193" s="36"/>
      <c r="C193" s="38"/>
      <c r="D193" s="51"/>
      <c r="E193" s="51"/>
      <c r="F193" s="51"/>
      <c r="G193" s="51"/>
      <c r="H193" s="51"/>
      <c r="I193" s="51"/>
      <c r="J193" s="51"/>
      <c r="K193" s="51"/>
      <c r="L193" s="51"/>
      <c r="M193" s="51"/>
      <c r="N193" s="51"/>
      <c r="O193" s="51"/>
      <c r="P193" s="51"/>
      <c r="Q193" s="51"/>
      <c r="R193" s="51"/>
      <c r="S193" s="51"/>
      <c r="T193" s="51"/>
      <c r="U193" s="51"/>
      <c r="V193" s="51"/>
      <c r="W193" s="51"/>
      <c r="X193" s="51"/>
    </row>
    <row r="194" spans="1:24" ht="15.75">
      <c r="A194" s="50"/>
      <c r="B194" s="36"/>
      <c r="C194" s="38"/>
      <c r="D194" s="51"/>
      <c r="E194" s="51"/>
      <c r="F194" s="51"/>
      <c r="G194" s="51"/>
      <c r="H194" s="51"/>
      <c r="I194" s="51"/>
      <c r="J194" s="51"/>
      <c r="K194" s="51"/>
      <c r="L194" s="51"/>
      <c r="M194" s="51"/>
      <c r="N194" s="51"/>
      <c r="O194" s="51"/>
      <c r="P194" s="51"/>
      <c r="Q194" s="51"/>
      <c r="R194" s="51"/>
      <c r="S194" s="51"/>
      <c r="T194" s="51"/>
      <c r="U194" s="51"/>
      <c r="V194" s="51"/>
      <c r="W194" s="51"/>
      <c r="X194" s="51"/>
    </row>
    <row r="195" spans="1:24" ht="15.75">
      <c r="A195" s="50"/>
      <c r="B195" s="36"/>
      <c r="C195" s="38"/>
      <c r="D195" s="51"/>
      <c r="E195" s="51"/>
      <c r="F195" s="51"/>
      <c r="G195" s="51"/>
      <c r="H195" s="51"/>
      <c r="I195" s="51"/>
      <c r="J195" s="51"/>
      <c r="K195" s="51"/>
      <c r="L195" s="51"/>
      <c r="M195" s="51"/>
      <c r="N195" s="51"/>
      <c r="O195" s="51"/>
      <c r="P195" s="51"/>
      <c r="Q195" s="51"/>
      <c r="R195" s="51"/>
      <c r="S195" s="51"/>
      <c r="T195" s="51"/>
      <c r="U195" s="51"/>
      <c r="V195" s="51"/>
      <c r="W195" s="51"/>
      <c r="X195" s="51"/>
    </row>
    <row r="196" spans="1:24" ht="15.75">
      <c r="A196" s="50"/>
      <c r="B196" s="36"/>
      <c r="C196" s="38"/>
      <c r="D196" s="51"/>
      <c r="E196" s="51"/>
      <c r="F196" s="51"/>
      <c r="G196" s="51"/>
      <c r="H196" s="51"/>
      <c r="I196" s="51"/>
      <c r="J196" s="51"/>
      <c r="K196" s="51"/>
      <c r="L196" s="51"/>
      <c r="M196" s="51"/>
      <c r="N196" s="51"/>
      <c r="O196" s="51"/>
      <c r="P196" s="51"/>
      <c r="Q196" s="51"/>
      <c r="R196" s="51"/>
      <c r="S196" s="51"/>
      <c r="T196" s="51"/>
      <c r="U196" s="51"/>
      <c r="V196" s="51"/>
      <c r="W196" s="51"/>
      <c r="X196" s="51"/>
    </row>
    <row r="197" spans="1:24" ht="15.75">
      <c r="A197" s="50"/>
      <c r="B197" s="36"/>
      <c r="C197" s="38"/>
      <c r="D197" s="51"/>
      <c r="E197" s="51"/>
      <c r="F197" s="51"/>
      <c r="G197" s="51"/>
      <c r="H197" s="51"/>
      <c r="I197" s="51"/>
      <c r="J197" s="51"/>
      <c r="K197" s="51"/>
      <c r="L197" s="51"/>
      <c r="M197" s="51"/>
      <c r="N197" s="51"/>
      <c r="O197" s="51"/>
      <c r="P197" s="51"/>
      <c r="Q197" s="51"/>
      <c r="R197" s="51"/>
      <c r="S197" s="51"/>
      <c r="T197" s="51"/>
      <c r="U197" s="51"/>
      <c r="V197" s="51"/>
      <c r="W197" s="51"/>
      <c r="X197" s="51"/>
    </row>
    <row r="198" spans="1:24" ht="15.75">
      <c r="A198" s="50"/>
      <c r="B198" s="36"/>
      <c r="C198" s="38"/>
      <c r="D198" s="51"/>
      <c r="E198" s="51"/>
      <c r="F198" s="51"/>
      <c r="G198" s="51"/>
      <c r="H198" s="51"/>
      <c r="I198" s="51"/>
      <c r="J198" s="51"/>
      <c r="K198" s="51"/>
      <c r="L198" s="51"/>
      <c r="M198" s="51"/>
      <c r="N198" s="51"/>
      <c r="O198" s="51"/>
      <c r="P198" s="51"/>
      <c r="Q198" s="51"/>
      <c r="R198" s="51"/>
      <c r="S198" s="51"/>
      <c r="T198" s="51"/>
      <c r="U198" s="51"/>
      <c r="V198" s="51"/>
      <c r="W198" s="51"/>
      <c r="X198" s="51"/>
    </row>
  </sheetData>
  <sheetProtection selectLockedCells="1" selectUnlockedCells="1"/>
  <pageMargins left="0.7" right="0.7" top="0.75" bottom="0.75" header="0.51180555555555551" footer="0.51180555555555551"/>
  <pageSetup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8"/>
  <dimension ref="A1:E7"/>
  <sheetViews>
    <sheetView workbookViewId="0">
      <selection activeCell="B2" sqref="B2"/>
    </sheetView>
  </sheetViews>
  <sheetFormatPr baseColWidth="10" defaultRowHeight="15"/>
  <cols>
    <col min="1" max="1" width="9.140625" customWidth="1"/>
    <col min="2" max="2" width="37.85546875" customWidth="1"/>
    <col min="3" max="3" width="23" customWidth="1"/>
    <col min="4" max="4" width="17" customWidth="1"/>
    <col min="5" max="5" width="29.28515625" customWidth="1"/>
  </cols>
  <sheetData>
    <row r="1" spans="1:5">
      <c r="B1" s="58" t="s">
        <v>332</v>
      </c>
      <c r="C1" s="1"/>
      <c r="D1" s="1"/>
      <c r="E1" s="1"/>
    </row>
    <row r="2" spans="1:5">
      <c r="B2" s="58">
        <v>10077584</v>
      </c>
      <c r="C2" s="1"/>
      <c r="D2" s="1"/>
      <c r="E2" s="1"/>
    </row>
    <row r="3" spans="1:5">
      <c r="B3" s="1"/>
      <c r="C3" s="1"/>
      <c r="D3" s="1"/>
      <c r="E3" s="1"/>
    </row>
    <row r="4" spans="1:5">
      <c r="B4" s="59" t="s">
        <v>311</v>
      </c>
      <c r="C4" s="59" t="s">
        <v>312</v>
      </c>
      <c r="D4" s="60" t="s">
        <v>313</v>
      </c>
      <c r="E4" s="59" t="s">
        <v>314</v>
      </c>
    </row>
    <row r="5" spans="1:5" s="137" customFormat="1">
      <c r="A5" s="134"/>
      <c r="B5" s="135"/>
      <c r="C5" s="119"/>
      <c r="D5" s="136"/>
      <c r="E5" s="119"/>
    </row>
    <row r="6" spans="1:5" s="137" customFormat="1">
      <c r="A6" s="134"/>
      <c r="B6" s="135"/>
      <c r="C6" s="119"/>
      <c r="D6" s="136"/>
      <c r="E6" s="119"/>
    </row>
    <row r="7" spans="1:5">
      <c r="D7" s="118">
        <f>SUM(D5:D6)</f>
        <v>0</v>
      </c>
    </row>
  </sheetData>
  <sheetProtection selectLockedCells="1" selectUnlockedCells="1"/>
  <pageMargins left="0.15763888888888888" right="3.9583333333333331E-2" top="0.74791666666666667" bottom="0.74791666666666667" header="0.51180555555555551" footer="0.51180555555555551"/>
  <pageSetup scale="80" firstPageNumber="0"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pageSetUpPr fitToPage="1"/>
  </sheetPr>
  <dimension ref="A1:I28"/>
  <sheetViews>
    <sheetView showGridLines="0" view="pageBreakPreview" zoomScale="95" zoomScaleNormal="100" zoomScaleSheetLayoutView="95" workbookViewId="0">
      <selection activeCell="B9" sqref="B9"/>
    </sheetView>
  </sheetViews>
  <sheetFormatPr baseColWidth="10" defaultColWidth="9.140625" defaultRowHeight="15"/>
  <cols>
    <col min="1" max="1" width="47" style="271" customWidth="1"/>
    <col min="2" max="2" width="14.85546875" style="151" customWidth="1"/>
    <col min="3" max="3" width="10.28515625" style="151" customWidth="1"/>
    <col min="4" max="4" width="9.140625" style="151"/>
    <col min="5" max="5" width="15.28515625" style="151" customWidth="1"/>
    <col min="6" max="6" width="16.5703125" style="151" customWidth="1"/>
    <col min="7" max="7" width="17.28515625" style="152" customWidth="1"/>
    <col min="8" max="8" width="21.7109375" style="151" customWidth="1"/>
    <col min="9" max="16384" width="9.140625" style="151"/>
  </cols>
  <sheetData>
    <row r="1" spans="1:8" ht="15.75">
      <c r="A1" s="150" t="s">
        <v>455</v>
      </c>
    </row>
    <row r="2" spans="1:8">
      <c r="A2" s="271" t="s">
        <v>456</v>
      </c>
    </row>
    <row r="3" spans="1:8">
      <c r="A3" s="271" t="s">
        <v>457</v>
      </c>
      <c r="B3" s="351">
        <v>44954</v>
      </c>
    </row>
    <row r="5" spans="1:8">
      <c r="A5" s="272" t="s">
        <v>458</v>
      </c>
      <c r="B5" s="153" t="s">
        <v>50</v>
      </c>
      <c r="C5" s="154" t="s">
        <v>459</v>
      </c>
      <c r="D5" s="153" t="s">
        <v>460</v>
      </c>
      <c r="E5" s="154" t="s">
        <v>264</v>
      </c>
      <c r="F5" s="153" t="s">
        <v>461</v>
      </c>
      <c r="G5" s="155" t="s">
        <v>462</v>
      </c>
      <c r="H5" s="153" t="s">
        <v>462</v>
      </c>
    </row>
    <row r="6" spans="1:8">
      <c r="A6" s="273" t="s">
        <v>463</v>
      </c>
      <c r="B6" s="156"/>
      <c r="C6" s="157" t="s">
        <v>464</v>
      </c>
      <c r="D6" s="156"/>
      <c r="E6" s="157" t="s">
        <v>465</v>
      </c>
      <c r="F6" s="156" t="s">
        <v>466</v>
      </c>
      <c r="G6" s="158"/>
      <c r="H6" s="156" t="s">
        <v>146</v>
      </c>
    </row>
    <row r="7" spans="1:8" ht="9.75" customHeight="1"/>
    <row r="8" spans="1:8" ht="15.75">
      <c r="A8" s="150" t="s">
        <v>467</v>
      </c>
      <c r="G8" s="159"/>
    </row>
    <row r="9" spans="1:8">
      <c r="A9" s="420" t="s">
        <v>866</v>
      </c>
      <c r="B9" s="242" t="s">
        <v>10</v>
      </c>
      <c r="C9" s="243" t="s">
        <v>468</v>
      </c>
      <c r="D9" s="243" t="s">
        <v>266</v>
      </c>
      <c r="E9" s="242" t="s">
        <v>496</v>
      </c>
      <c r="F9" s="243" t="s">
        <v>266</v>
      </c>
      <c r="G9" s="353">
        <v>2021.64</v>
      </c>
    </row>
    <row r="10" spans="1:8">
      <c r="A10" s="420" t="s">
        <v>870</v>
      </c>
      <c r="B10" s="242" t="s">
        <v>10</v>
      </c>
      <c r="C10" s="243" t="s">
        <v>468</v>
      </c>
      <c r="D10" s="243" t="s">
        <v>266</v>
      </c>
      <c r="E10" s="242" t="s">
        <v>496</v>
      </c>
      <c r="F10" s="243" t="s">
        <v>266</v>
      </c>
      <c r="G10" s="353">
        <v>4083.82</v>
      </c>
    </row>
    <row r="11" spans="1:8">
      <c r="A11" s="271" t="s">
        <v>751</v>
      </c>
      <c r="B11" s="242" t="s">
        <v>10</v>
      </c>
      <c r="C11" s="243" t="s">
        <v>468</v>
      </c>
      <c r="D11" s="243" t="s">
        <v>266</v>
      </c>
      <c r="E11" s="242" t="s">
        <v>496</v>
      </c>
      <c r="F11" s="243" t="s">
        <v>266</v>
      </c>
      <c r="G11" s="353">
        <v>30306.48</v>
      </c>
    </row>
    <row r="12" spans="1:8">
      <c r="A12" s="271" t="s">
        <v>673</v>
      </c>
      <c r="B12" s="242" t="s">
        <v>10</v>
      </c>
      <c r="C12" s="243" t="s">
        <v>468</v>
      </c>
      <c r="D12" s="243" t="s">
        <v>266</v>
      </c>
      <c r="E12" s="242" t="s">
        <v>496</v>
      </c>
      <c r="F12" s="243" t="s">
        <v>266</v>
      </c>
      <c r="G12" s="353">
        <v>80891.48</v>
      </c>
      <c r="H12" s="1119"/>
    </row>
    <row r="13" spans="1:8" ht="15.75">
      <c r="A13" s="150" t="s">
        <v>469</v>
      </c>
      <c r="B13" s="242"/>
      <c r="C13" s="242"/>
      <c r="D13" s="242"/>
      <c r="E13" s="242"/>
      <c r="F13" s="242"/>
      <c r="G13" s="242"/>
      <c r="H13" s="428">
        <f>+G9+G10+G11+G12</f>
        <v>117303.42</v>
      </c>
    </row>
    <row r="14" spans="1:8" ht="22.5" customHeight="1">
      <c r="A14" s="1921"/>
      <c r="B14" s="2006"/>
      <c r="C14" s="243"/>
      <c r="D14" s="243"/>
      <c r="E14" s="242"/>
      <c r="F14" s="243"/>
    </row>
    <row r="15" spans="1:8" ht="48" customHeight="1">
      <c r="A15" s="424"/>
      <c r="E15" s="160"/>
      <c r="F15" s="160"/>
      <c r="G15" s="161"/>
      <c r="H15" s="161"/>
    </row>
    <row r="16" spans="1:8" ht="24" customHeight="1">
      <c r="A16" s="448" t="s">
        <v>672</v>
      </c>
      <c r="H16" s="152">
        <f>+G14</f>
        <v>0</v>
      </c>
    </row>
    <row r="17" spans="1:9" ht="24" customHeight="1">
      <c r="A17" s="448"/>
    </row>
    <row r="18" spans="1:9" ht="24" customHeight="1">
      <c r="A18" s="448"/>
    </row>
    <row r="19" spans="1:9" ht="12.75" customHeight="1" thickBot="1">
      <c r="G19" s="381" t="s">
        <v>140</v>
      </c>
      <c r="H19" s="1322">
        <f>+H13+H16</f>
        <v>117303.42</v>
      </c>
    </row>
    <row r="20" spans="1:9" ht="12.75" customHeight="1" thickTop="1">
      <c r="G20" s="381"/>
      <c r="H20" s="2007"/>
    </row>
    <row r="21" spans="1:9">
      <c r="A21" s="151"/>
      <c r="E21" s="160"/>
      <c r="F21" s="160"/>
      <c r="G21" s="161"/>
      <c r="H21" s="162"/>
      <c r="I21" s="160"/>
    </row>
    <row r="22" spans="1:9">
      <c r="A22" s="151"/>
      <c r="E22" s="160"/>
      <c r="F22" s="160"/>
      <c r="G22" s="161"/>
      <c r="H22" s="162"/>
      <c r="I22" s="160"/>
    </row>
    <row r="23" spans="1:9">
      <c r="A23" s="151"/>
      <c r="F23" s="163"/>
      <c r="G23" s="163"/>
      <c r="H23" s="163"/>
      <c r="I23" s="163"/>
    </row>
    <row r="24" spans="1:9">
      <c r="A24" s="271" t="s">
        <v>470</v>
      </c>
      <c r="E24" s="160"/>
      <c r="F24" s="193" t="s">
        <v>567</v>
      </c>
      <c r="G24" s="162"/>
    </row>
    <row r="25" spans="1:9">
      <c r="A25" s="274"/>
      <c r="B25" s="160"/>
      <c r="C25" s="160"/>
      <c r="D25" s="160"/>
      <c r="E25" s="160"/>
      <c r="F25" s="160"/>
      <c r="G25" s="161"/>
      <c r="H25" s="160"/>
      <c r="I25" s="160"/>
    </row>
    <row r="26" spans="1:9">
      <c r="A26" s="274"/>
      <c r="B26" s="160"/>
      <c r="C26" s="161"/>
      <c r="D26" s="160"/>
      <c r="E26" s="160"/>
      <c r="F26" s="160"/>
      <c r="G26" s="161"/>
      <c r="H26" s="160"/>
      <c r="I26" s="160"/>
    </row>
    <row r="27" spans="1:9">
      <c r="A27" s="274"/>
      <c r="B27" s="160"/>
      <c r="C27" s="160"/>
      <c r="D27" s="160"/>
      <c r="E27" s="160"/>
      <c r="F27" s="160"/>
      <c r="G27" s="161"/>
      <c r="H27" s="160"/>
      <c r="I27" s="160"/>
    </row>
    <row r="28" spans="1:9">
      <c r="A28" s="274"/>
      <c r="B28" s="183"/>
      <c r="C28" s="183"/>
      <c r="D28" s="183"/>
      <c r="E28" s="183"/>
      <c r="F28" s="183"/>
      <c r="G28" s="184"/>
      <c r="H28" s="183"/>
      <c r="I28" s="160"/>
    </row>
  </sheetData>
  <conditionalFormatting sqref="A24:A1048576 A1:A8 A13:A15">
    <cfRule type="duplicateValues" dxfId="8" priority="833"/>
  </conditionalFormatting>
  <conditionalFormatting sqref="A10">
    <cfRule type="duplicateValues" dxfId="7" priority="16"/>
    <cfRule type="duplicateValues" dxfId="6" priority="17"/>
  </conditionalFormatting>
  <conditionalFormatting sqref="A10">
    <cfRule type="duplicateValues" dxfId="5" priority="15"/>
  </conditionalFormatting>
  <conditionalFormatting sqref="A10">
    <cfRule type="duplicateValues" dxfId="4" priority="14"/>
  </conditionalFormatting>
  <conditionalFormatting sqref="A9">
    <cfRule type="duplicateValues" dxfId="3" priority="7"/>
    <cfRule type="duplicateValues" dxfId="2" priority="8"/>
  </conditionalFormatting>
  <conditionalFormatting sqref="A9">
    <cfRule type="duplicateValues" dxfId="1" priority="6"/>
  </conditionalFormatting>
  <conditionalFormatting sqref="A9">
    <cfRule type="duplicateValues" dxfId="0" priority="5"/>
  </conditionalFormatting>
  <pageMargins left="0.59055118110236227" right="0.19685039370078741" top="0.19685039370078741" bottom="0.19685039370078741" header="0.31496062992125984" footer="0.31496062992125984"/>
  <pageSetup scale="80" fitToHeight="0" orientation="landscape" blackAndWhite="1" horizont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2">
    <tabColor rgb="FFFF0000"/>
  </sheetPr>
  <dimension ref="A1:K37"/>
  <sheetViews>
    <sheetView showGridLines="0" view="pageBreakPreview" zoomScale="80" zoomScaleNormal="80" zoomScaleSheetLayoutView="80" workbookViewId="0">
      <selection activeCell="F37" sqref="F37"/>
    </sheetView>
  </sheetViews>
  <sheetFormatPr baseColWidth="10" defaultColWidth="9.140625" defaultRowHeight="18.75"/>
  <cols>
    <col min="1" max="1" width="46.85546875" style="165" customWidth="1"/>
    <col min="2" max="2" width="17.85546875" style="198" customWidth="1"/>
    <col min="3" max="3" width="11.28515625" style="198" customWidth="1"/>
    <col min="4" max="4" width="13.5703125" style="208" customWidth="1"/>
    <col min="5" max="5" width="15.85546875" style="195" customWidth="1"/>
    <col min="6" max="6" width="9.140625" style="198"/>
    <col min="7" max="7" width="14" style="198" customWidth="1"/>
    <col min="8" max="8" width="16.42578125" style="198" bestFit="1" customWidth="1"/>
    <col min="9" max="9" width="20.140625" style="210" bestFit="1" customWidth="1"/>
    <col min="10" max="10" width="25.42578125" style="198" customWidth="1"/>
    <col min="11" max="11" width="15.42578125" style="226" customWidth="1"/>
    <col min="12" max="16384" width="9.140625" style="165"/>
  </cols>
  <sheetData>
    <row r="1" spans="1:11">
      <c r="A1" s="164" t="s">
        <v>455</v>
      </c>
    </row>
    <row r="2" spans="1:11">
      <c r="A2" s="165" t="s">
        <v>456</v>
      </c>
    </row>
    <row r="3" spans="1:11">
      <c r="A3" s="165" t="s">
        <v>457</v>
      </c>
      <c r="B3" s="352">
        <v>44954</v>
      </c>
    </row>
    <row r="4" spans="1:11" ht="19.5" customHeight="1">
      <c r="A4" s="167" t="s">
        <v>458</v>
      </c>
      <c r="B4" s="259" t="s">
        <v>50</v>
      </c>
      <c r="C4" s="335" t="s">
        <v>459</v>
      </c>
      <c r="D4" s="2298" t="s">
        <v>581</v>
      </c>
      <c r="E4" s="2299" t="s">
        <v>471</v>
      </c>
      <c r="F4" s="259" t="s">
        <v>460</v>
      </c>
      <c r="G4" s="336" t="s">
        <v>264</v>
      </c>
      <c r="H4" s="259" t="s">
        <v>461</v>
      </c>
      <c r="I4" s="337" t="s">
        <v>462</v>
      </c>
      <c r="J4" s="259" t="s">
        <v>462</v>
      </c>
    </row>
    <row r="5" spans="1:11" ht="14.25" customHeight="1">
      <c r="A5" s="168" t="s">
        <v>463</v>
      </c>
      <c r="B5" s="260" t="s">
        <v>54</v>
      </c>
      <c r="C5" s="338" t="s">
        <v>464</v>
      </c>
      <c r="D5" s="2298"/>
      <c r="E5" s="2300"/>
      <c r="F5" s="260"/>
      <c r="G5" s="339" t="s">
        <v>465</v>
      </c>
      <c r="H5" s="260" t="s">
        <v>466</v>
      </c>
      <c r="I5" s="340"/>
      <c r="J5" s="260" t="s">
        <v>146</v>
      </c>
    </row>
    <row r="6" spans="1:11">
      <c r="A6" s="164" t="s">
        <v>467</v>
      </c>
      <c r="I6" s="341"/>
    </row>
    <row r="7" spans="1:11" ht="19.5" thickBot="1">
      <c r="A7" s="402" t="s">
        <v>472</v>
      </c>
      <c r="B7" s="295"/>
      <c r="C7" s="296"/>
      <c r="D7" s="342"/>
      <c r="E7" s="423">
        <v>496145</v>
      </c>
      <c r="F7" s="296" t="s">
        <v>263</v>
      </c>
      <c r="G7" s="403" t="s">
        <v>496</v>
      </c>
      <c r="H7" s="343" t="s">
        <v>475</v>
      </c>
      <c r="I7" s="348">
        <v>171000.59999999998</v>
      </c>
      <c r="J7" s="298"/>
      <c r="K7" s="227" t="e">
        <f>'RECIBO E IGSS PROQUIMA'!#REF!</f>
        <v>#REF!</v>
      </c>
    </row>
    <row r="8" spans="1:11" ht="19.5" thickTop="1">
      <c r="A8" s="198" t="s">
        <v>866</v>
      </c>
      <c r="B8" s="195" t="s">
        <v>10</v>
      </c>
      <c r="C8" s="374" t="s">
        <v>473</v>
      </c>
      <c r="D8" s="344"/>
      <c r="E8" s="345"/>
      <c r="F8" s="374" t="s">
        <v>300</v>
      </c>
      <c r="G8" s="374"/>
      <c r="H8" s="374" t="s">
        <v>300</v>
      </c>
      <c r="I8" s="210">
        <v>2021.64</v>
      </c>
      <c r="J8" s="261"/>
      <c r="K8" s="227"/>
    </row>
    <row r="9" spans="1:11">
      <c r="A9" s="198" t="s">
        <v>870</v>
      </c>
      <c r="B9" s="195" t="s">
        <v>10</v>
      </c>
      <c r="C9" s="374" t="s">
        <v>473</v>
      </c>
      <c r="D9" s="344"/>
      <c r="E9" s="345"/>
      <c r="F9" s="374" t="s">
        <v>300</v>
      </c>
      <c r="G9" s="374"/>
      <c r="H9" s="374" t="s">
        <v>300</v>
      </c>
      <c r="I9" s="210">
        <v>4083.82</v>
      </c>
    </row>
    <row r="10" spans="1:11">
      <c r="A10" s="198" t="s">
        <v>751</v>
      </c>
      <c r="B10" s="195" t="s">
        <v>10</v>
      </c>
      <c r="C10" s="374" t="s">
        <v>473</v>
      </c>
      <c r="D10" s="344"/>
      <c r="E10" s="345"/>
      <c r="F10" s="374" t="s">
        <v>300</v>
      </c>
      <c r="G10" s="374"/>
      <c r="H10" s="374" t="s">
        <v>300</v>
      </c>
      <c r="I10" s="210">
        <v>30306.48</v>
      </c>
      <c r="J10" s="210"/>
    </row>
    <row r="11" spans="1:11">
      <c r="A11" s="198" t="s">
        <v>673</v>
      </c>
      <c r="B11" s="195" t="s">
        <v>10</v>
      </c>
      <c r="C11" s="374" t="s">
        <v>473</v>
      </c>
      <c r="D11" s="344"/>
      <c r="E11" s="345"/>
      <c r="F11" s="374" t="s">
        <v>300</v>
      </c>
      <c r="G11" s="374"/>
      <c r="H11" s="374" t="s">
        <v>300</v>
      </c>
      <c r="I11" s="210">
        <v>80891.48</v>
      </c>
      <c r="J11" s="210">
        <f>+I8+I9+I10+I11</f>
        <v>117303.42</v>
      </c>
    </row>
    <row r="12" spans="1:11">
      <c r="A12" s="198"/>
      <c r="B12" s="195"/>
      <c r="C12" s="374"/>
      <c r="D12" s="344"/>
      <c r="E12" s="345"/>
      <c r="F12" s="374"/>
      <c r="G12" s="374"/>
      <c r="H12" s="374"/>
      <c r="J12" s="210"/>
    </row>
    <row r="13" spans="1:11">
      <c r="A13" s="198"/>
      <c r="B13" s="195"/>
      <c r="C13" s="196"/>
      <c r="F13" s="196"/>
      <c r="G13" s="196"/>
      <c r="I13" s="346"/>
      <c r="J13" s="262">
        <f>+I7+J11</f>
        <v>288304.01999999996</v>
      </c>
    </row>
    <row r="14" spans="1:11">
      <c r="A14" s="199" t="s">
        <v>469</v>
      </c>
      <c r="B14" s="195"/>
      <c r="C14" s="196"/>
      <c r="F14" s="196"/>
      <c r="G14" s="196"/>
      <c r="J14" s="263"/>
    </row>
    <row r="15" spans="1:11" ht="19.5" thickBot="1">
      <c r="A15" s="402" t="s">
        <v>472</v>
      </c>
      <c r="B15" s="295"/>
      <c r="C15" s="296"/>
      <c r="D15" s="347"/>
      <c r="E15" s="423">
        <v>69</v>
      </c>
      <c r="F15" s="296" t="s">
        <v>263</v>
      </c>
      <c r="G15" s="403" t="s">
        <v>474</v>
      </c>
      <c r="H15" s="343" t="s">
        <v>475</v>
      </c>
      <c r="I15" s="348">
        <v>146039.97000000003</v>
      </c>
      <c r="J15" s="297"/>
      <c r="K15" s="228" t="e">
        <f>'RECIBO E IGSS UNHESA'!#REF!</f>
        <v>#REF!</v>
      </c>
    </row>
    <row r="16" spans="1:11" ht="19.5" thickTop="1">
      <c r="A16" s="197"/>
      <c r="B16" s="195"/>
      <c r="C16" s="374"/>
      <c r="F16" s="374"/>
      <c r="H16" s="209"/>
      <c r="J16" s="264"/>
      <c r="K16" s="227"/>
    </row>
    <row r="17" spans="1:11">
      <c r="A17" s="198"/>
      <c r="B17" s="195"/>
      <c r="C17" s="374"/>
      <c r="F17" s="374"/>
      <c r="H17" s="209"/>
      <c r="J17" s="264">
        <f>+I16</f>
        <v>0</v>
      </c>
      <c r="K17" s="227"/>
    </row>
    <row r="18" spans="1:11" ht="19.5" thickBot="1">
      <c r="A18" s="198"/>
      <c r="I18" s="198"/>
      <c r="J18" s="265">
        <f>+I15+J17</f>
        <v>146039.97000000003</v>
      </c>
      <c r="K18" s="227" t="e">
        <f>#REF!-#REF!</f>
        <v>#REF!</v>
      </c>
    </row>
    <row r="19" spans="1:11" ht="12" customHeight="1" thickTop="1">
      <c r="A19" s="198"/>
      <c r="J19" s="263"/>
    </row>
    <row r="20" spans="1:11" ht="15.75" customHeight="1" thickBot="1">
      <c r="A20" s="198"/>
      <c r="I20" s="210" t="s">
        <v>140</v>
      </c>
      <c r="J20" s="266">
        <f>+J13+J18</f>
        <v>434343.99</v>
      </c>
    </row>
    <row r="21" spans="1:11" ht="19.5" thickTop="1">
      <c r="A21" s="198"/>
      <c r="J21" s="267"/>
    </row>
    <row r="22" spans="1:11" ht="15.95" customHeight="1"/>
    <row r="23" spans="1:11" ht="15.95" customHeight="1"/>
    <row r="24" spans="1:11" ht="15.95" customHeight="1"/>
    <row r="25" spans="1:11" ht="15.95" customHeight="1">
      <c r="A25" s="198"/>
      <c r="J25" s="267"/>
    </row>
    <row r="26" spans="1:11" ht="15.95" customHeight="1" thickBot="1">
      <c r="A26" s="200"/>
      <c r="B26" s="200"/>
      <c r="G26" s="201"/>
      <c r="H26" s="200"/>
      <c r="I26" s="349"/>
      <c r="J26" s="268"/>
    </row>
    <row r="27" spans="1:11" ht="15.95" customHeight="1">
      <c r="A27" s="201" t="s">
        <v>660</v>
      </c>
      <c r="B27" s="201"/>
      <c r="H27" s="201" t="s">
        <v>649</v>
      </c>
      <c r="I27" s="201"/>
      <c r="J27" s="210"/>
    </row>
    <row r="28" spans="1:11" ht="15.95" customHeight="1">
      <c r="H28" s="201"/>
      <c r="J28" s="269"/>
    </row>
    <row r="29" spans="1:11" ht="15.95" customHeight="1"/>
    <row r="30" spans="1:11" ht="15.95" customHeight="1"/>
    <row r="31" spans="1:11" ht="15.95" customHeight="1"/>
    <row r="32" spans="1:11" ht="15.95" customHeight="1">
      <c r="A32" s="166"/>
      <c r="B32" s="201"/>
      <c r="C32" s="346"/>
      <c r="D32" s="269"/>
      <c r="G32" s="201"/>
      <c r="H32" s="201"/>
      <c r="I32" s="346"/>
    </row>
    <row r="33" spans="1:10" ht="15.95" customHeight="1" thickBot="1">
      <c r="A33" s="194"/>
      <c r="B33" s="200"/>
      <c r="C33" s="201"/>
      <c r="D33" s="269"/>
      <c r="G33" s="201"/>
      <c r="H33" s="200"/>
      <c r="I33" s="200"/>
      <c r="J33" s="200"/>
    </row>
    <row r="34" spans="1:10">
      <c r="A34" s="166" t="s">
        <v>476</v>
      </c>
      <c r="B34" s="201"/>
      <c r="C34" s="346"/>
      <c r="D34" s="198"/>
      <c r="G34" s="201"/>
      <c r="H34" s="201" t="s">
        <v>477</v>
      </c>
      <c r="I34" s="201"/>
    </row>
    <row r="35" spans="1:10">
      <c r="A35" s="166"/>
      <c r="B35" s="201"/>
      <c r="G35" s="201"/>
      <c r="H35" s="201"/>
      <c r="I35" s="346"/>
    </row>
    <row r="36" spans="1:10">
      <c r="B36" s="2301" t="s">
        <v>627</v>
      </c>
      <c r="C36" s="2301"/>
      <c r="D36" s="2301"/>
      <c r="E36" s="396">
        <f>B3</f>
        <v>44954</v>
      </c>
      <c r="F36" s="394" t="s">
        <v>879</v>
      </c>
      <c r="G36" s="397"/>
      <c r="H36" s="394"/>
      <c r="I36" s="281"/>
      <c r="J36" s="270"/>
    </row>
    <row r="37" spans="1:10">
      <c r="A37" s="395"/>
      <c r="B37" s="395"/>
      <c r="C37" s="395"/>
      <c r="D37" s="395"/>
      <c r="E37" s="395"/>
      <c r="F37" s="395"/>
      <c r="G37" s="395"/>
      <c r="I37" s="350"/>
    </row>
  </sheetData>
  <mergeCells count="3">
    <mergeCell ref="D4:D5"/>
    <mergeCell ref="E4:E5"/>
    <mergeCell ref="B36:D36"/>
  </mergeCells>
  <pageMargins left="0.59055118110236227" right="0.19685039370078741" top="0.19685039370078741" bottom="0.19685039370078741" header="0.31496062992125984" footer="0.31496062992125984"/>
  <pageSetup scale="59" fitToHeight="2" orientation="landscape" horizont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AAC1-A43A-4D66-986D-49BB93E197AD}">
  <dimension ref="C4:O52"/>
  <sheetViews>
    <sheetView view="pageBreakPreview" topLeftCell="B1" zoomScale="60" zoomScaleNormal="100" workbookViewId="0">
      <selection activeCell="J17" sqref="J17"/>
    </sheetView>
  </sheetViews>
  <sheetFormatPr baseColWidth="10" defaultRowHeight="15"/>
  <cols>
    <col min="2" max="2" width="16.85546875" customWidth="1"/>
    <col min="3" max="3" width="34" bestFit="1" customWidth="1"/>
    <col min="4" max="5" width="25.7109375" customWidth="1"/>
    <col min="6" max="6" width="34" customWidth="1"/>
    <col min="7" max="7" width="31.5703125" customWidth="1"/>
    <col min="8" max="8" width="25.7109375" customWidth="1"/>
    <col min="9" max="9" width="25.42578125" customWidth="1"/>
    <col min="10" max="10" width="26.85546875" bestFit="1" customWidth="1"/>
    <col min="11" max="11" width="20.42578125" bestFit="1" customWidth="1"/>
    <col min="12" max="12" width="23.7109375" bestFit="1" customWidth="1"/>
    <col min="13" max="13" width="17.7109375" bestFit="1" customWidth="1"/>
    <col min="14" max="14" width="20.5703125" bestFit="1" customWidth="1"/>
  </cols>
  <sheetData>
    <row r="4" spans="3:15">
      <c r="C4" s="2302" t="s">
        <v>764</v>
      </c>
      <c r="D4" s="2302"/>
      <c r="E4" s="2302"/>
      <c r="F4" s="2302"/>
      <c r="G4" s="2302"/>
      <c r="H4" s="2302"/>
      <c r="I4" s="2302"/>
      <c r="J4" s="2302"/>
      <c r="K4" s="2302"/>
      <c r="L4" s="2302"/>
      <c r="M4" s="2302"/>
      <c r="N4" s="2302"/>
    </row>
    <row r="5" spans="3:15">
      <c r="C5" s="2302"/>
      <c r="D5" s="2302"/>
      <c r="E5" s="2302"/>
      <c r="F5" s="2302"/>
      <c r="G5" s="2302"/>
      <c r="H5" s="2302"/>
      <c r="I5" s="2302"/>
      <c r="J5" s="2302"/>
      <c r="K5" s="2302"/>
      <c r="L5" s="2302"/>
      <c r="M5" s="2302"/>
      <c r="N5" s="2302"/>
    </row>
    <row r="6" spans="3:15">
      <c r="C6" s="2302"/>
      <c r="D6" s="2302"/>
      <c r="E6" s="2302"/>
      <c r="F6" s="2302"/>
      <c r="G6" s="2302"/>
      <c r="H6" s="2302"/>
      <c r="I6" s="2302"/>
      <c r="J6" s="2302"/>
      <c r="K6" s="2302"/>
      <c r="L6" s="2302"/>
      <c r="M6" s="2302"/>
      <c r="N6" s="2302"/>
    </row>
    <row r="8" spans="3:15" ht="26.25">
      <c r="C8" s="1927" t="s">
        <v>311</v>
      </c>
      <c r="D8" s="1927" t="s">
        <v>779</v>
      </c>
      <c r="E8" s="1927" t="s">
        <v>780</v>
      </c>
      <c r="F8" s="1927" t="s">
        <v>788</v>
      </c>
      <c r="G8" s="1927" t="s">
        <v>781</v>
      </c>
      <c r="H8" s="1927" t="s">
        <v>782</v>
      </c>
      <c r="I8" s="1927" t="s">
        <v>783</v>
      </c>
      <c r="J8" s="1927" t="s">
        <v>785</v>
      </c>
      <c r="K8" s="1927" t="s">
        <v>786</v>
      </c>
      <c r="L8" s="1927" t="s">
        <v>787</v>
      </c>
      <c r="M8" s="1927" t="s">
        <v>204</v>
      </c>
      <c r="N8" s="1927" t="s">
        <v>784</v>
      </c>
    </row>
    <row r="9" spans="3:15" ht="23.25">
      <c r="C9" s="1924" t="s">
        <v>765</v>
      </c>
      <c r="D9" s="1924" t="s">
        <v>11</v>
      </c>
      <c r="E9" s="1925">
        <v>1400</v>
      </c>
      <c r="F9" s="1924">
        <v>3</v>
      </c>
      <c r="G9" s="1926">
        <f>+E9/5</f>
        <v>280</v>
      </c>
      <c r="H9" s="1926">
        <v>560</v>
      </c>
      <c r="I9" s="1926">
        <v>560</v>
      </c>
      <c r="J9" s="1926"/>
      <c r="K9" s="1926"/>
      <c r="L9" s="1926"/>
      <c r="M9" s="1930">
        <f>+G9+H9+I9+J9</f>
        <v>1400</v>
      </c>
      <c r="N9" s="1924">
        <f t="shared" ref="N9:N22" si="0">+E9-M9</f>
        <v>0</v>
      </c>
    </row>
    <row r="10" spans="3:15" ht="23.25">
      <c r="C10" s="1924" t="s">
        <v>766</v>
      </c>
      <c r="D10" s="1924" t="s">
        <v>11</v>
      </c>
      <c r="E10" s="1925">
        <v>1500</v>
      </c>
      <c r="F10" s="1924">
        <v>6</v>
      </c>
      <c r="G10" s="1926">
        <f t="shared" ref="G10" si="1">+E10/3/2</f>
        <v>250</v>
      </c>
      <c r="H10" s="1926">
        <v>250</v>
      </c>
      <c r="I10" s="1926">
        <v>250</v>
      </c>
      <c r="J10" s="1926">
        <v>250</v>
      </c>
      <c r="K10" s="1926">
        <v>250</v>
      </c>
      <c r="L10" s="1926">
        <v>250</v>
      </c>
      <c r="M10" s="1930">
        <f>+G10+H10+I10+J10+K10+L10</f>
        <v>1500</v>
      </c>
      <c r="N10" s="1924">
        <f t="shared" si="0"/>
        <v>0</v>
      </c>
    </row>
    <row r="11" spans="3:15" ht="23.25">
      <c r="C11" s="1924" t="s">
        <v>767</v>
      </c>
      <c r="D11" s="1924" t="s">
        <v>10</v>
      </c>
      <c r="E11" s="1925">
        <v>895</v>
      </c>
      <c r="F11" s="1924">
        <v>3</v>
      </c>
      <c r="G11" s="1926">
        <v>179</v>
      </c>
      <c r="H11" s="2009">
        <v>358</v>
      </c>
      <c r="I11" s="2010">
        <v>324.11</v>
      </c>
      <c r="J11" s="1926"/>
      <c r="K11" s="1926"/>
      <c r="L11" s="1926"/>
      <c r="M11" s="1930">
        <f>+G11+H11+I11+J11+K11+L11</f>
        <v>861.11</v>
      </c>
      <c r="N11" s="1924">
        <f t="shared" si="0"/>
        <v>33.889999999999986</v>
      </c>
    </row>
    <row r="12" spans="3:15" ht="23.25">
      <c r="C12" s="1924" t="s">
        <v>768</v>
      </c>
      <c r="D12" s="1924" t="s">
        <v>11</v>
      </c>
      <c r="E12" s="1925">
        <v>1700</v>
      </c>
      <c r="F12" s="1924">
        <v>1</v>
      </c>
      <c r="G12" s="1926">
        <f>+E12</f>
        <v>1700</v>
      </c>
      <c r="H12" s="1926"/>
      <c r="I12" s="1926"/>
      <c r="J12" s="1926"/>
      <c r="K12" s="1926"/>
      <c r="L12" s="1926"/>
      <c r="M12" s="1930">
        <f t="shared" ref="M12:M22" si="2">+G12+H12+I12+J12+K12+L12</f>
        <v>1700</v>
      </c>
      <c r="N12" s="1924">
        <f t="shared" si="0"/>
        <v>0</v>
      </c>
    </row>
    <row r="13" spans="3:15" ht="23.25">
      <c r="C13" s="1924" t="s">
        <v>769</v>
      </c>
      <c r="D13" s="1924" t="s">
        <v>11</v>
      </c>
      <c r="E13" s="1925">
        <v>1135</v>
      </c>
      <c r="F13" s="1924">
        <v>3</v>
      </c>
      <c r="G13" s="1926">
        <v>227</v>
      </c>
      <c r="H13" s="1926">
        <v>454</v>
      </c>
      <c r="I13" s="1926">
        <v>454</v>
      </c>
      <c r="J13" s="1926"/>
      <c r="K13" s="1926"/>
      <c r="L13" s="1926"/>
      <c r="M13" s="1930">
        <f t="shared" si="2"/>
        <v>1135</v>
      </c>
      <c r="N13" s="1924">
        <f t="shared" si="0"/>
        <v>0</v>
      </c>
    </row>
    <row r="14" spans="3:15" ht="23.25">
      <c r="C14" s="1924" t="s">
        <v>770</v>
      </c>
      <c r="D14" s="1924" t="s">
        <v>10</v>
      </c>
      <c r="E14" s="1925">
        <v>1550</v>
      </c>
      <c r="F14" s="1924">
        <v>3</v>
      </c>
      <c r="G14" s="1926">
        <f>+E14/5</f>
        <v>310</v>
      </c>
      <c r="H14" s="2009">
        <f>+G14*2</f>
        <v>620</v>
      </c>
      <c r="I14" s="2010"/>
      <c r="J14" s="1926"/>
      <c r="K14" s="1926"/>
      <c r="L14" s="1926"/>
      <c r="M14" s="1930">
        <f t="shared" si="2"/>
        <v>930</v>
      </c>
      <c r="N14" s="1924">
        <f t="shared" si="0"/>
        <v>620</v>
      </c>
      <c r="O14" t="s">
        <v>826</v>
      </c>
    </row>
    <row r="15" spans="3:15" ht="23.25">
      <c r="C15" s="1924" t="s">
        <v>771</v>
      </c>
      <c r="D15" s="1924" t="s">
        <v>10</v>
      </c>
      <c r="E15" s="1925">
        <v>1300</v>
      </c>
      <c r="F15" s="1924">
        <v>3</v>
      </c>
      <c r="G15" s="1926">
        <f t="shared" ref="G15:G22" si="3">+E15/5</f>
        <v>260</v>
      </c>
      <c r="H15" s="2009">
        <f t="shared" ref="H15:H22" si="4">+G15*2</f>
        <v>520</v>
      </c>
      <c r="I15" s="2010">
        <f t="shared" ref="I15:I22" si="5">+G15*2</f>
        <v>520</v>
      </c>
      <c r="J15" s="1926"/>
      <c r="K15" s="1926"/>
      <c r="L15" s="1926"/>
      <c r="M15" s="1930">
        <f t="shared" si="2"/>
        <v>1300</v>
      </c>
      <c r="N15" s="1924">
        <f t="shared" si="0"/>
        <v>0</v>
      </c>
    </row>
    <row r="16" spans="3:15" ht="23.25">
      <c r="C16" s="1924" t="s">
        <v>772</v>
      </c>
      <c r="D16" s="1924" t="s">
        <v>11</v>
      </c>
      <c r="E16" s="1925">
        <v>1350</v>
      </c>
      <c r="F16" s="1924">
        <v>3</v>
      </c>
      <c r="G16" s="1926">
        <f t="shared" si="3"/>
        <v>270</v>
      </c>
      <c r="H16" s="1926">
        <f t="shared" si="4"/>
        <v>540</v>
      </c>
      <c r="I16" s="1926">
        <f t="shared" si="5"/>
        <v>540</v>
      </c>
      <c r="J16" s="1926"/>
      <c r="K16" s="1926"/>
      <c r="L16" s="1926"/>
      <c r="M16" s="1930">
        <f t="shared" si="2"/>
        <v>1350</v>
      </c>
      <c r="N16" s="1924">
        <f t="shared" si="0"/>
        <v>0</v>
      </c>
    </row>
    <row r="17" spans="3:14" ht="23.25">
      <c r="C17" s="1924" t="s">
        <v>773</v>
      </c>
      <c r="D17" s="1924" t="s">
        <v>10</v>
      </c>
      <c r="E17" s="1925">
        <v>1100</v>
      </c>
      <c r="F17" s="1924">
        <v>4</v>
      </c>
      <c r="G17" s="1926">
        <v>183.34</v>
      </c>
      <c r="H17" s="2009">
        <v>366.66</v>
      </c>
      <c r="I17" s="2010">
        <v>366.66</v>
      </c>
      <c r="J17" s="1926">
        <v>183.34</v>
      </c>
      <c r="K17" s="1926"/>
      <c r="L17" s="1926"/>
      <c r="M17" s="1930">
        <f t="shared" si="2"/>
        <v>1100</v>
      </c>
      <c r="N17" s="1924">
        <f t="shared" si="0"/>
        <v>0</v>
      </c>
    </row>
    <row r="18" spans="3:14" ht="23.25">
      <c r="C18" s="1924" t="s">
        <v>774</v>
      </c>
      <c r="D18" s="1924" t="s">
        <v>10</v>
      </c>
      <c r="E18" s="1925">
        <v>1300</v>
      </c>
      <c r="F18" s="1924">
        <v>3</v>
      </c>
      <c r="G18" s="1926">
        <f t="shared" si="3"/>
        <v>260</v>
      </c>
      <c r="H18" s="2009">
        <f t="shared" si="4"/>
        <v>520</v>
      </c>
      <c r="I18" s="2010">
        <f t="shared" si="5"/>
        <v>520</v>
      </c>
      <c r="J18" s="1926"/>
      <c r="K18" s="1926"/>
      <c r="L18" s="1926"/>
      <c r="M18" s="1930">
        <f t="shared" si="2"/>
        <v>1300</v>
      </c>
      <c r="N18" s="1924">
        <f t="shared" si="0"/>
        <v>0</v>
      </c>
    </row>
    <row r="19" spans="3:14" ht="23.25">
      <c r="C19" s="1924" t="s">
        <v>775</v>
      </c>
      <c r="D19" s="1924" t="s">
        <v>11</v>
      </c>
      <c r="E19" s="1925">
        <v>1100</v>
      </c>
      <c r="F19" s="1924">
        <v>3</v>
      </c>
      <c r="G19" s="1926">
        <f t="shared" si="3"/>
        <v>220</v>
      </c>
      <c r="H19" s="1926">
        <f t="shared" si="4"/>
        <v>440</v>
      </c>
      <c r="I19" s="1926">
        <f t="shared" si="5"/>
        <v>440</v>
      </c>
      <c r="J19" s="1926"/>
      <c r="K19" s="1926"/>
      <c r="L19" s="1926"/>
      <c r="M19" s="1930">
        <f t="shared" si="2"/>
        <v>1100</v>
      </c>
      <c r="N19" s="1924">
        <f t="shared" si="0"/>
        <v>0</v>
      </c>
    </row>
    <row r="20" spans="3:14" s="1935" customFormat="1" ht="23.25">
      <c r="C20" s="1931" t="s">
        <v>776</v>
      </c>
      <c r="D20" s="1931" t="s">
        <v>11</v>
      </c>
      <c r="E20" s="1932">
        <v>1300</v>
      </c>
      <c r="F20" s="1931" t="s">
        <v>792</v>
      </c>
      <c r="G20" s="1933"/>
      <c r="H20" s="1933">
        <v>520</v>
      </c>
      <c r="I20" s="1933">
        <v>520</v>
      </c>
      <c r="J20" s="1933">
        <v>260</v>
      </c>
      <c r="K20" s="1933"/>
      <c r="L20" s="1933"/>
      <c r="M20" s="1934">
        <f t="shared" si="2"/>
        <v>1300</v>
      </c>
      <c r="N20" s="1931">
        <f t="shared" si="0"/>
        <v>0</v>
      </c>
    </row>
    <row r="21" spans="3:14" ht="23.25">
      <c r="C21" s="1924" t="s">
        <v>777</v>
      </c>
      <c r="D21" s="1924" t="s">
        <v>10</v>
      </c>
      <c r="E21" s="1925">
        <v>750</v>
      </c>
      <c r="F21" s="1924">
        <v>6</v>
      </c>
      <c r="G21" s="1926">
        <v>125</v>
      </c>
      <c r="H21" s="2009">
        <v>125</v>
      </c>
      <c r="I21" s="2010">
        <v>125</v>
      </c>
      <c r="J21" s="1926">
        <v>125</v>
      </c>
      <c r="K21" s="1926">
        <v>125</v>
      </c>
      <c r="L21" s="1926">
        <v>125</v>
      </c>
      <c r="M21" s="1930">
        <f t="shared" si="2"/>
        <v>750</v>
      </c>
      <c r="N21" s="1924">
        <f t="shared" si="0"/>
        <v>0</v>
      </c>
    </row>
    <row r="22" spans="3:14" ht="23.25">
      <c r="C22" s="1924" t="s">
        <v>778</v>
      </c>
      <c r="D22" s="1924" t="s">
        <v>10</v>
      </c>
      <c r="E22" s="1925">
        <v>1250</v>
      </c>
      <c r="F22" s="1924">
        <v>3</v>
      </c>
      <c r="G22" s="1926">
        <f t="shared" si="3"/>
        <v>250</v>
      </c>
      <c r="H22" s="2009">
        <f t="shared" si="4"/>
        <v>500</v>
      </c>
      <c r="I22" s="2010">
        <f t="shared" si="5"/>
        <v>500</v>
      </c>
      <c r="J22" s="1926"/>
      <c r="K22" s="1926"/>
      <c r="L22" s="1926"/>
      <c r="M22" s="1930">
        <f t="shared" si="2"/>
        <v>1250</v>
      </c>
      <c r="N22" s="1924">
        <f t="shared" si="0"/>
        <v>0</v>
      </c>
    </row>
    <row r="23" spans="3:14" ht="23.25">
      <c r="C23" s="1924"/>
      <c r="D23" s="1924"/>
      <c r="E23" s="1924"/>
      <c r="F23" s="1924"/>
      <c r="G23" s="1924"/>
      <c r="H23" s="1924"/>
      <c r="I23" s="1924"/>
      <c r="J23" s="1924"/>
      <c r="K23" s="1924"/>
      <c r="L23" s="1924"/>
      <c r="M23" s="1924"/>
      <c r="N23" s="1924"/>
    </row>
    <row r="24" spans="3:14" ht="23.25">
      <c r="C24" s="1924"/>
      <c r="D24" s="1924"/>
      <c r="E24" s="1924"/>
      <c r="F24" s="1928" t="s">
        <v>789</v>
      </c>
      <c r="G24" s="1929">
        <f t="shared" ref="G24:L24" si="6">SUM(G9:G23)</f>
        <v>4514.34</v>
      </c>
      <c r="H24" s="1929">
        <f>SUM(H9:H23)</f>
        <v>5773.66</v>
      </c>
      <c r="I24" s="1929">
        <f t="shared" si="6"/>
        <v>5119.7700000000004</v>
      </c>
      <c r="J24" s="1929">
        <f>SUM(J9:J23)</f>
        <v>818.34</v>
      </c>
      <c r="K24" s="1929">
        <f t="shared" si="6"/>
        <v>375</v>
      </c>
      <c r="L24" s="1929">
        <f t="shared" si="6"/>
        <v>375</v>
      </c>
      <c r="M24" s="1924"/>
      <c r="N24" s="1924"/>
    </row>
    <row r="25" spans="3:14" ht="23.25">
      <c r="C25" s="1924"/>
      <c r="D25" s="1924"/>
      <c r="E25" s="1924"/>
      <c r="F25" s="1939"/>
      <c r="G25" s="1940"/>
      <c r="H25" s="1940"/>
      <c r="I25" s="1940"/>
      <c r="J25" s="1940"/>
      <c r="K25" s="1940"/>
      <c r="L25" s="1940"/>
      <c r="M25" s="1924"/>
      <c r="N25" s="1924"/>
    </row>
    <row r="26" spans="3:14" ht="23.25">
      <c r="C26" s="1924"/>
      <c r="D26" s="1924"/>
      <c r="E26" s="1924"/>
      <c r="F26" s="1939"/>
      <c r="G26" s="1940"/>
      <c r="H26" s="1940"/>
      <c r="I26" s="1940"/>
      <c r="J26" s="1940"/>
      <c r="K26" s="1940"/>
      <c r="L26" s="1940"/>
      <c r="M26" s="1924"/>
      <c r="N26" s="1924"/>
    </row>
    <row r="27" spans="3:14" ht="23.25">
      <c r="C27" s="1924"/>
      <c r="D27" s="1924"/>
      <c r="E27" s="1924"/>
      <c r="F27" s="1939"/>
      <c r="G27" s="1940"/>
      <c r="H27" s="1940"/>
      <c r="I27" s="1940"/>
      <c r="J27" s="1940"/>
      <c r="K27" s="1940"/>
      <c r="L27" s="1940"/>
      <c r="M27" s="1924"/>
      <c r="N27" s="1924"/>
    </row>
    <row r="28" spans="3:14" ht="23.25">
      <c r="C28" s="1924"/>
      <c r="D28" s="1924"/>
      <c r="E28" s="1924"/>
      <c r="F28" s="1939"/>
      <c r="G28" s="1940"/>
      <c r="H28" s="1940"/>
      <c r="I28" s="1940"/>
      <c r="J28" s="1940"/>
      <c r="K28" s="1940"/>
      <c r="L28" s="1940"/>
      <c r="M28" s="1924"/>
      <c r="N28" s="1924"/>
    </row>
    <row r="29" spans="3:14" ht="23.25">
      <c r="C29" s="1924"/>
      <c r="D29" s="1924"/>
      <c r="E29" s="1924"/>
      <c r="F29" s="1939"/>
      <c r="G29" s="1940"/>
      <c r="H29" s="1940"/>
      <c r="I29" s="1940"/>
      <c r="J29" s="1940"/>
      <c r="K29" s="1940"/>
      <c r="L29" s="1940"/>
      <c r="M29" s="1924"/>
      <c r="N29" s="1924"/>
    </row>
    <row r="34" spans="3:6">
      <c r="C34" s="2303" t="s">
        <v>793</v>
      </c>
      <c r="D34" s="2303"/>
      <c r="E34" s="2303"/>
    </row>
    <row r="35" spans="3:6">
      <c r="C35" s="2303"/>
      <c r="D35" s="2303"/>
      <c r="E35" s="2303"/>
      <c r="F35" t="s">
        <v>22</v>
      </c>
    </row>
    <row r="37" spans="3:6">
      <c r="C37" t="s">
        <v>758</v>
      </c>
      <c r="D37" s="353">
        <v>57.17</v>
      </c>
      <c r="F37" t="s">
        <v>794</v>
      </c>
    </row>
    <row r="39" spans="3:6">
      <c r="C39" s="2303" t="s">
        <v>796</v>
      </c>
      <c r="D39" s="2303"/>
    </row>
    <row r="40" spans="3:6">
      <c r="C40" s="1936"/>
      <c r="D40" s="1936"/>
    </row>
    <row r="41" spans="3:6">
      <c r="C41" t="s">
        <v>795</v>
      </c>
      <c r="D41" s="353">
        <v>531.11</v>
      </c>
      <c r="F41" t="s">
        <v>797</v>
      </c>
    </row>
    <row r="42" spans="3:6">
      <c r="F42" t="s">
        <v>798</v>
      </c>
    </row>
    <row r="43" spans="3:6">
      <c r="C43" t="s">
        <v>799</v>
      </c>
      <c r="D43">
        <v>2124.64</v>
      </c>
    </row>
    <row r="44" spans="3:6">
      <c r="C44" t="s">
        <v>800</v>
      </c>
      <c r="D44">
        <v>1062.32</v>
      </c>
    </row>
    <row r="45" spans="3:6">
      <c r="C45" t="s">
        <v>801</v>
      </c>
      <c r="D45">
        <f>+D43-D44</f>
        <v>1062.32</v>
      </c>
    </row>
    <row r="47" spans="3:6">
      <c r="C47" t="s">
        <v>802</v>
      </c>
      <c r="D47">
        <v>531.11</v>
      </c>
    </row>
    <row r="48" spans="3:6">
      <c r="C48" t="s">
        <v>803</v>
      </c>
      <c r="D48">
        <v>531.11</v>
      </c>
    </row>
    <row r="49" spans="3:6">
      <c r="C49" t="s">
        <v>804</v>
      </c>
      <c r="D49">
        <f>+D47+D48</f>
        <v>1062.22</v>
      </c>
    </row>
    <row r="51" spans="3:6">
      <c r="C51" t="s">
        <v>805</v>
      </c>
      <c r="D51" s="1937">
        <f>+D45-D49</f>
        <v>9.9999999999909051E-2</v>
      </c>
      <c r="F51" t="s">
        <v>806</v>
      </c>
    </row>
    <row r="52" spans="3:6">
      <c r="F52" t="s">
        <v>807</v>
      </c>
    </row>
  </sheetData>
  <autoFilter ref="C8:N22" xr:uid="{5F2EAAC1-A43A-4D66-986D-49BB93E197AD}"/>
  <mergeCells count="3">
    <mergeCell ref="C4:N6"/>
    <mergeCell ref="C34:E35"/>
    <mergeCell ref="C39:D39"/>
  </mergeCells>
  <pageMargins left="0.7" right="0.7" top="0.75" bottom="0.75" header="0.3" footer="0.3"/>
  <pageSetup scale="34" orientation="landscape" horizontalDpi="4294967293"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F2FE-5771-436B-87CA-4DFA30475DD4}">
  <sheetPr filterMode="1"/>
  <dimension ref="C4:N52"/>
  <sheetViews>
    <sheetView view="pageBreakPreview" topLeftCell="E4" zoomScale="73" zoomScaleNormal="100" zoomScaleSheetLayoutView="73" workbookViewId="0">
      <selection activeCell="J13" sqref="C4:N52"/>
    </sheetView>
  </sheetViews>
  <sheetFormatPr baseColWidth="10" defaultRowHeight="15"/>
  <cols>
    <col min="2" max="2" width="16.85546875" customWidth="1"/>
    <col min="3" max="3" width="34" bestFit="1" customWidth="1"/>
    <col min="4" max="5" width="25.7109375" customWidth="1"/>
    <col min="6" max="6" width="34" customWidth="1"/>
    <col min="7" max="7" width="31.5703125" customWidth="1"/>
    <col min="8" max="8" width="25.7109375" customWidth="1"/>
    <col min="9" max="9" width="25.42578125" customWidth="1"/>
    <col min="10" max="10" width="26.85546875" bestFit="1" customWidth="1"/>
    <col min="11" max="11" width="20.42578125" bestFit="1" customWidth="1"/>
    <col min="12" max="12" width="23.7109375" bestFit="1" customWidth="1"/>
    <col min="13" max="13" width="17.7109375" bestFit="1" customWidth="1"/>
    <col min="14" max="14" width="20.5703125" bestFit="1" customWidth="1"/>
  </cols>
  <sheetData>
    <row r="4" spans="3:14">
      <c r="C4" s="2302" t="s">
        <v>764</v>
      </c>
      <c r="D4" s="2302"/>
      <c r="E4" s="2302"/>
      <c r="F4" s="2302"/>
      <c r="G4" s="2302"/>
      <c r="H4" s="2302"/>
      <c r="I4" s="2302"/>
      <c r="J4" s="2302"/>
      <c r="K4" s="2302"/>
      <c r="L4" s="2302"/>
      <c r="M4" s="2302"/>
      <c r="N4" s="2302"/>
    </row>
    <row r="5" spans="3:14">
      <c r="C5" s="2302"/>
      <c r="D5" s="2302"/>
      <c r="E5" s="2302"/>
      <c r="F5" s="2302"/>
      <c r="G5" s="2302"/>
      <c r="H5" s="2302"/>
      <c r="I5" s="2302"/>
      <c r="J5" s="2302"/>
      <c r="K5" s="2302"/>
      <c r="L5" s="2302"/>
      <c r="M5" s="2302"/>
      <c r="N5" s="2302"/>
    </row>
    <row r="6" spans="3:14">
      <c r="C6" s="2302"/>
      <c r="D6" s="2302"/>
      <c r="E6" s="2302"/>
      <c r="F6" s="2302"/>
      <c r="G6" s="2302"/>
      <c r="H6" s="2302"/>
      <c r="I6" s="2302"/>
      <c r="J6" s="2302"/>
      <c r="K6" s="2302"/>
      <c r="L6" s="2302"/>
      <c r="M6" s="2302"/>
      <c r="N6" s="2302"/>
    </row>
    <row r="8" spans="3:14" ht="26.25">
      <c r="C8" s="1927" t="s">
        <v>311</v>
      </c>
      <c r="D8" s="1927" t="s">
        <v>779</v>
      </c>
      <c r="E8" s="1927" t="s">
        <v>780</v>
      </c>
      <c r="F8" s="1927" t="s">
        <v>788</v>
      </c>
      <c r="G8" s="1927" t="s">
        <v>781</v>
      </c>
      <c r="H8" s="1927" t="s">
        <v>782</v>
      </c>
      <c r="I8" s="1927" t="s">
        <v>783</v>
      </c>
      <c r="J8" s="1927" t="s">
        <v>785</v>
      </c>
      <c r="K8" s="1927" t="s">
        <v>786</v>
      </c>
      <c r="L8" s="1927" t="s">
        <v>787</v>
      </c>
      <c r="M8" s="1927" t="s">
        <v>204</v>
      </c>
      <c r="N8" s="1927" t="s">
        <v>784</v>
      </c>
    </row>
    <row r="9" spans="3:14" ht="23.25">
      <c r="C9" s="1924" t="s">
        <v>765</v>
      </c>
      <c r="D9" s="1924" t="s">
        <v>11</v>
      </c>
      <c r="E9" s="1925">
        <v>1400</v>
      </c>
      <c r="F9" s="1924">
        <v>3</v>
      </c>
      <c r="G9" s="1926">
        <f>+E9/5</f>
        <v>280</v>
      </c>
      <c r="H9" s="2009">
        <v>560</v>
      </c>
      <c r="I9" s="2009">
        <v>560</v>
      </c>
      <c r="J9" s="2020"/>
      <c r="K9" s="1926"/>
      <c r="L9" s="1926"/>
      <c r="M9" s="1930">
        <f>+G9+H9+I9+J9</f>
        <v>1400</v>
      </c>
      <c r="N9" s="1924">
        <f t="shared" ref="N9:N22" si="0">+E9-M9</f>
        <v>0</v>
      </c>
    </row>
    <row r="10" spans="3:14" ht="23.25">
      <c r="C10" s="1924" t="s">
        <v>766</v>
      </c>
      <c r="D10" s="1924" t="s">
        <v>11</v>
      </c>
      <c r="E10" s="1925">
        <v>1500</v>
      </c>
      <c r="F10" s="1924">
        <v>6</v>
      </c>
      <c r="G10" s="1926">
        <f t="shared" ref="G10" si="1">+E10/3/2</f>
        <v>250</v>
      </c>
      <c r="H10" s="2009">
        <v>250</v>
      </c>
      <c r="I10" s="2009">
        <v>250</v>
      </c>
      <c r="J10" s="2020">
        <v>250</v>
      </c>
      <c r="K10" s="1926">
        <v>250</v>
      </c>
      <c r="L10" s="1926">
        <v>250</v>
      </c>
      <c r="M10" s="1930">
        <f>+G10+H10+I10+J10+K10+L10</f>
        <v>1500</v>
      </c>
      <c r="N10" s="1924">
        <f t="shared" si="0"/>
        <v>0</v>
      </c>
    </row>
    <row r="11" spans="3:14" ht="23.25" hidden="1">
      <c r="C11" s="1924" t="s">
        <v>767</v>
      </c>
      <c r="D11" s="1924" t="s">
        <v>10</v>
      </c>
      <c r="E11" s="1925">
        <v>895</v>
      </c>
      <c r="F11" s="1924">
        <v>3</v>
      </c>
      <c r="G11" s="1926">
        <v>179</v>
      </c>
      <c r="H11" s="2009">
        <v>358</v>
      </c>
      <c r="I11" s="2009">
        <v>358</v>
      </c>
      <c r="J11" s="2020"/>
      <c r="K11" s="1926"/>
      <c r="L11" s="1926"/>
      <c r="M11" s="1930">
        <f>+G11+H11+I11+J11+K11+L11</f>
        <v>895</v>
      </c>
      <c r="N11" s="1924">
        <f t="shared" si="0"/>
        <v>0</v>
      </c>
    </row>
    <row r="12" spans="3:14" ht="23.25">
      <c r="C12" s="1924" t="s">
        <v>768</v>
      </c>
      <c r="D12" s="1924" t="s">
        <v>11</v>
      </c>
      <c r="E12" s="1925">
        <v>1700</v>
      </c>
      <c r="F12" s="1924">
        <v>1</v>
      </c>
      <c r="G12" s="1926">
        <f>+E12</f>
        <v>1700</v>
      </c>
      <c r="H12" s="2009"/>
      <c r="I12" s="2009"/>
      <c r="J12" s="2020"/>
      <c r="K12" s="1926"/>
      <c r="L12" s="1926"/>
      <c r="M12" s="1930">
        <f t="shared" ref="M12:M22" si="2">+G12+H12+I12+J12+K12+L12</f>
        <v>1700</v>
      </c>
      <c r="N12" s="1924">
        <f t="shared" si="0"/>
        <v>0</v>
      </c>
    </row>
    <row r="13" spans="3:14" ht="23.25">
      <c r="C13" s="1924" t="s">
        <v>769</v>
      </c>
      <c r="D13" s="1924" t="s">
        <v>11</v>
      </c>
      <c r="E13" s="1925">
        <v>1135</v>
      </c>
      <c r="F13" s="1924">
        <v>3</v>
      </c>
      <c r="G13" s="1926">
        <v>227</v>
      </c>
      <c r="H13" s="2009">
        <v>454</v>
      </c>
      <c r="I13" s="2009">
        <v>454</v>
      </c>
      <c r="J13" s="2020"/>
      <c r="K13" s="1926"/>
      <c r="L13" s="1926"/>
      <c r="M13" s="1930">
        <f t="shared" si="2"/>
        <v>1135</v>
      </c>
      <c r="N13" s="1924">
        <f t="shared" si="0"/>
        <v>0</v>
      </c>
    </row>
    <row r="14" spans="3:14" ht="23.25" hidden="1">
      <c r="C14" s="1924" t="s">
        <v>770</v>
      </c>
      <c r="D14" s="1924" t="s">
        <v>10</v>
      </c>
      <c r="E14" s="1925">
        <v>1550</v>
      </c>
      <c r="F14" s="1924">
        <v>3</v>
      </c>
      <c r="G14" s="1926">
        <f>+E14/5</f>
        <v>310</v>
      </c>
      <c r="H14" s="2009">
        <f>+G14*2</f>
        <v>620</v>
      </c>
      <c r="I14" s="2009">
        <f>+G14*2</f>
        <v>620</v>
      </c>
      <c r="J14" s="2020"/>
      <c r="K14" s="1926"/>
      <c r="L14" s="1926"/>
      <c r="M14" s="1930">
        <f t="shared" si="2"/>
        <v>1550</v>
      </c>
      <c r="N14" s="1924">
        <f t="shared" si="0"/>
        <v>0</v>
      </c>
    </row>
    <row r="15" spans="3:14" ht="23.25" hidden="1">
      <c r="C15" s="1924" t="s">
        <v>771</v>
      </c>
      <c r="D15" s="1924" t="s">
        <v>10</v>
      </c>
      <c r="E15" s="1925">
        <v>1300</v>
      </c>
      <c r="F15" s="1924">
        <v>3</v>
      </c>
      <c r="G15" s="1926">
        <f t="shared" ref="G15:G22" si="3">+E15/5</f>
        <v>260</v>
      </c>
      <c r="H15" s="2009">
        <f t="shared" ref="H15:H22" si="4">+G15*2</f>
        <v>520</v>
      </c>
      <c r="I15" s="2009">
        <f t="shared" ref="I15:I22" si="5">+G15*2</f>
        <v>520</v>
      </c>
      <c r="J15" s="2020"/>
      <c r="K15" s="1926"/>
      <c r="L15" s="1926"/>
      <c r="M15" s="1930">
        <f t="shared" si="2"/>
        <v>1300</v>
      </c>
      <c r="N15" s="1924">
        <f t="shared" si="0"/>
        <v>0</v>
      </c>
    </row>
    <row r="16" spans="3:14" ht="23.25">
      <c r="C16" s="1924" t="s">
        <v>772</v>
      </c>
      <c r="D16" s="1924" t="s">
        <v>11</v>
      </c>
      <c r="E16" s="1925">
        <v>1350</v>
      </c>
      <c r="F16" s="1924">
        <v>3</v>
      </c>
      <c r="G16" s="1926">
        <f t="shared" si="3"/>
        <v>270</v>
      </c>
      <c r="H16" s="2009">
        <f t="shared" si="4"/>
        <v>540</v>
      </c>
      <c r="I16" s="2009">
        <f t="shared" si="5"/>
        <v>540</v>
      </c>
      <c r="J16" s="2020"/>
      <c r="K16" s="1926"/>
      <c r="L16" s="1926"/>
      <c r="M16" s="1930">
        <f t="shared" si="2"/>
        <v>1350</v>
      </c>
      <c r="N16" s="1924">
        <f t="shared" si="0"/>
        <v>0</v>
      </c>
    </row>
    <row r="17" spans="3:14" ht="23.25" hidden="1">
      <c r="C17" s="1924" t="s">
        <v>773</v>
      </c>
      <c r="D17" s="1924" t="s">
        <v>10</v>
      </c>
      <c r="E17" s="1925">
        <v>1100</v>
      </c>
      <c r="F17" s="1924">
        <v>4</v>
      </c>
      <c r="G17" s="1926">
        <v>183.34</v>
      </c>
      <c r="H17" s="2009">
        <v>366.66</v>
      </c>
      <c r="I17" s="2009">
        <v>366.66</v>
      </c>
      <c r="J17" s="2020">
        <v>183.34</v>
      </c>
      <c r="K17" s="1926"/>
      <c r="L17" s="1926"/>
      <c r="M17" s="1930">
        <f t="shared" si="2"/>
        <v>1100</v>
      </c>
      <c r="N17" s="1924">
        <f t="shared" si="0"/>
        <v>0</v>
      </c>
    </row>
    <row r="18" spans="3:14" ht="23.25" hidden="1">
      <c r="C18" s="1924" t="s">
        <v>774</v>
      </c>
      <c r="D18" s="1924" t="s">
        <v>10</v>
      </c>
      <c r="E18" s="1925">
        <v>1300</v>
      </c>
      <c r="F18" s="1924">
        <v>3</v>
      </c>
      <c r="G18" s="1926">
        <f t="shared" si="3"/>
        <v>260</v>
      </c>
      <c r="H18" s="2009">
        <f t="shared" si="4"/>
        <v>520</v>
      </c>
      <c r="I18" s="2009">
        <f t="shared" si="5"/>
        <v>520</v>
      </c>
      <c r="J18" s="2020"/>
      <c r="K18" s="1926"/>
      <c r="L18" s="1926"/>
      <c r="M18" s="1930">
        <f t="shared" si="2"/>
        <v>1300</v>
      </c>
      <c r="N18" s="1924">
        <f t="shared" si="0"/>
        <v>0</v>
      </c>
    </row>
    <row r="19" spans="3:14" ht="23.25">
      <c r="C19" s="1924" t="s">
        <v>775</v>
      </c>
      <c r="D19" s="1924" t="s">
        <v>11</v>
      </c>
      <c r="E19" s="1925">
        <v>1100</v>
      </c>
      <c r="F19" s="1924">
        <v>3</v>
      </c>
      <c r="G19" s="1926">
        <f t="shared" si="3"/>
        <v>220</v>
      </c>
      <c r="H19" s="2009">
        <f t="shared" si="4"/>
        <v>440</v>
      </c>
      <c r="I19" s="2009">
        <f t="shared" si="5"/>
        <v>440</v>
      </c>
      <c r="J19" s="2020"/>
      <c r="K19" s="1926"/>
      <c r="L19" s="1926"/>
      <c r="M19" s="1930">
        <f t="shared" si="2"/>
        <v>1100</v>
      </c>
      <c r="N19" s="1924">
        <f t="shared" si="0"/>
        <v>0</v>
      </c>
    </row>
    <row r="20" spans="3:14" s="1935" customFormat="1" ht="23.25">
      <c r="C20" s="1931" t="s">
        <v>776</v>
      </c>
      <c r="D20" s="1931" t="s">
        <v>11</v>
      </c>
      <c r="E20" s="1932">
        <v>1300</v>
      </c>
      <c r="F20" s="1931" t="s">
        <v>792</v>
      </c>
      <c r="G20" s="1933">
        <v>0</v>
      </c>
      <c r="H20" s="2009">
        <v>520</v>
      </c>
      <c r="I20" s="2009">
        <v>520</v>
      </c>
      <c r="J20" s="2020">
        <v>260</v>
      </c>
      <c r="K20" s="1933"/>
      <c r="L20" s="1933"/>
      <c r="M20" s="1934">
        <f t="shared" si="2"/>
        <v>1300</v>
      </c>
      <c r="N20" s="1931">
        <f t="shared" si="0"/>
        <v>0</v>
      </c>
    </row>
    <row r="21" spans="3:14" ht="23.25" hidden="1">
      <c r="C21" s="1924" t="s">
        <v>777</v>
      </c>
      <c r="D21" s="1924" t="s">
        <v>10</v>
      </c>
      <c r="E21" s="1925">
        <v>750</v>
      </c>
      <c r="F21" s="1924">
        <v>6</v>
      </c>
      <c r="G21" s="1926">
        <v>125</v>
      </c>
      <c r="H21" s="2009">
        <v>125</v>
      </c>
      <c r="I21" s="2009">
        <v>125</v>
      </c>
      <c r="J21" s="2020">
        <v>125</v>
      </c>
      <c r="K21" s="1926">
        <v>125</v>
      </c>
      <c r="L21" s="1926">
        <v>125</v>
      </c>
      <c r="M21" s="1930">
        <f t="shared" si="2"/>
        <v>750</v>
      </c>
      <c r="N21" s="1924">
        <f t="shared" si="0"/>
        <v>0</v>
      </c>
    </row>
    <row r="22" spans="3:14" ht="23.25" hidden="1">
      <c r="C22" s="1924" t="s">
        <v>778</v>
      </c>
      <c r="D22" s="1924" t="s">
        <v>10</v>
      </c>
      <c r="E22" s="1925">
        <v>1250</v>
      </c>
      <c r="F22" s="1924">
        <v>3</v>
      </c>
      <c r="G22" s="1926">
        <f t="shared" si="3"/>
        <v>250</v>
      </c>
      <c r="H22" s="2009">
        <f t="shared" si="4"/>
        <v>500</v>
      </c>
      <c r="I22" s="2009">
        <f t="shared" si="5"/>
        <v>500</v>
      </c>
      <c r="J22" s="2020"/>
      <c r="K22" s="1926"/>
      <c r="L22" s="1926"/>
      <c r="M22" s="1930">
        <f t="shared" si="2"/>
        <v>1250</v>
      </c>
      <c r="N22" s="1924">
        <f t="shared" si="0"/>
        <v>0</v>
      </c>
    </row>
    <row r="23" spans="3:14" ht="23.25">
      <c r="C23" s="1924"/>
      <c r="D23" s="1924"/>
      <c r="E23" s="1924"/>
      <c r="F23" s="1924"/>
      <c r="G23" s="1924"/>
      <c r="H23" s="1924"/>
      <c r="I23" s="1924"/>
      <c r="J23" s="1924"/>
      <c r="K23" s="1924"/>
      <c r="L23" s="1924"/>
      <c r="M23" s="1924"/>
      <c r="N23" s="1924"/>
    </row>
    <row r="24" spans="3:14" ht="23.25">
      <c r="C24" s="1924"/>
      <c r="D24" s="1924"/>
      <c r="E24" s="1924"/>
      <c r="F24" s="1928" t="s">
        <v>789</v>
      </c>
      <c r="G24" s="1929">
        <f>SUBTOTAL(9,G9:G23)</f>
        <v>2947</v>
      </c>
      <c r="H24" s="1929">
        <f>SUBTOTAL(9,H9:H23)</f>
        <v>2764</v>
      </c>
      <c r="I24" s="1929">
        <f>SUBTOTAL(9,I11:I23)</f>
        <v>1954</v>
      </c>
      <c r="J24" s="1929">
        <f>SUBTOTAL(9,J9:J23)</f>
        <v>510</v>
      </c>
      <c r="K24" s="1929">
        <f>SUBTOTAL(9,K11:K23)</f>
        <v>0</v>
      </c>
      <c r="L24" s="1929">
        <f>SUBTOTAL(9,L11:L23)</f>
        <v>0</v>
      </c>
      <c r="M24" s="1924"/>
      <c r="N24" s="1924"/>
    </row>
    <row r="25" spans="3:14" ht="23.25">
      <c r="C25" s="1924"/>
      <c r="D25" s="1924"/>
      <c r="E25" s="1924"/>
      <c r="F25" s="1924"/>
      <c r="G25" s="1924"/>
      <c r="H25" s="1924"/>
      <c r="I25" s="1924"/>
      <c r="J25" s="1924"/>
      <c r="K25" s="1924"/>
      <c r="L25" s="1924"/>
      <c r="M25" s="1924"/>
      <c r="N25" s="1924"/>
    </row>
    <row r="26" spans="3:14" ht="23.25">
      <c r="C26" s="1924"/>
      <c r="D26" s="1924"/>
      <c r="E26" s="1924"/>
      <c r="F26" s="1939"/>
      <c r="G26" s="1940"/>
      <c r="H26" s="1940"/>
      <c r="I26" s="1940"/>
      <c r="J26" s="1940"/>
      <c r="K26" s="1940"/>
      <c r="L26" s="1940"/>
      <c r="M26" s="1924"/>
      <c r="N26" s="1924"/>
    </row>
    <row r="27" spans="3:14" ht="23.25">
      <c r="C27" s="1924"/>
      <c r="D27" s="1924"/>
      <c r="E27" s="1924"/>
      <c r="F27" s="1939"/>
      <c r="G27" s="1940"/>
      <c r="H27" s="1940"/>
      <c r="I27" s="1940"/>
      <c r="J27" s="1940"/>
      <c r="K27" s="1940"/>
      <c r="L27" s="1940"/>
      <c r="M27" s="1924"/>
      <c r="N27" s="1924"/>
    </row>
    <row r="28" spans="3:14" ht="23.25">
      <c r="C28" s="1924"/>
      <c r="D28" s="1924"/>
      <c r="E28" s="1924"/>
      <c r="F28" s="1939"/>
      <c r="G28" s="1940"/>
      <c r="H28" s="1940"/>
      <c r="I28" s="1940"/>
      <c r="J28" s="1940"/>
      <c r="K28" s="1940"/>
      <c r="L28" s="1940"/>
      <c r="M28" s="1924"/>
      <c r="N28" s="1924"/>
    </row>
    <row r="29" spans="3:14" ht="23.25">
      <c r="C29" s="1924"/>
      <c r="D29" s="1924"/>
      <c r="E29" s="1924"/>
      <c r="F29" s="1939"/>
      <c r="G29" s="1940"/>
      <c r="H29" s="1940"/>
      <c r="I29" s="1940"/>
      <c r="J29" s="1940"/>
      <c r="K29" s="1940"/>
      <c r="L29" s="1940"/>
      <c r="M29" s="1924"/>
      <c r="N29" s="1924"/>
    </row>
    <row r="34" spans="3:6">
      <c r="C34" s="2303" t="s">
        <v>793</v>
      </c>
      <c r="D34" s="2303"/>
      <c r="E34" s="2303"/>
    </row>
    <row r="35" spans="3:6">
      <c r="C35" s="2303"/>
      <c r="D35" s="2303"/>
      <c r="E35" s="2303"/>
      <c r="F35" t="s">
        <v>22</v>
      </c>
    </row>
    <row r="37" spans="3:6">
      <c r="C37" t="s">
        <v>758</v>
      </c>
      <c r="D37" s="353">
        <v>57.17</v>
      </c>
      <c r="F37" t="s">
        <v>794</v>
      </c>
    </row>
    <row r="39" spans="3:6">
      <c r="C39" s="2303" t="s">
        <v>796</v>
      </c>
      <c r="D39" s="2303"/>
    </row>
    <row r="40" spans="3:6">
      <c r="C40" s="1938"/>
      <c r="D40" s="1938"/>
    </row>
    <row r="41" spans="3:6">
      <c r="C41" t="s">
        <v>795</v>
      </c>
      <c r="D41" s="353">
        <v>531.11</v>
      </c>
      <c r="F41" t="s">
        <v>797</v>
      </c>
    </row>
    <row r="42" spans="3:6">
      <c r="F42" t="s">
        <v>798</v>
      </c>
    </row>
    <row r="43" spans="3:6">
      <c r="C43" t="s">
        <v>799</v>
      </c>
      <c r="D43">
        <v>2124.64</v>
      </c>
    </row>
    <row r="44" spans="3:6">
      <c r="C44" t="s">
        <v>800</v>
      </c>
      <c r="D44">
        <v>1062.32</v>
      </c>
    </row>
    <row r="45" spans="3:6">
      <c r="C45" t="s">
        <v>801</v>
      </c>
      <c r="D45">
        <f>+D43-D44</f>
        <v>1062.32</v>
      </c>
    </row>
    <row r="47" spans="3:6">
      <c r="C47" t="s">
        <v>802</v>
      </c>
      <c r="D47">
        <v>531.11</v>
      </c>
    </row>
    <row r="48" spans="3:6">
      <c r="C48" t="s">
        <v>803</v>
      </c>
      <c r="D48">
        <v>531.11</v>
      </c>
    </row>
    <row r="49" spans="3:6">
      <c r="C49" t="s">
        <v>804</v>
      </c>
      <c r="D49">
        <f>+D47+D48</f>
        <v>1062.22</v>
      </c>
    </row>
    <row r="51" spans="3:6">
      <c r="C51" t="s">
        <v>805</v>
      </c>
      <c r="D51" s="1937">
        <f>+D45-D49</f>
        <v>9.9999999999909051E-2</v>
      </c>
      <c r="F51" t="s">
        <v>806</v>
      </c>
    </row>
    <row r="52" spans="3:6">
      <c r="F52" t="s">
        <v>807</v>
      </c>
    </row>
  </sheetData>
  <autoFilter ref="C8:N22" xr:uid="{5F2EAAC1-A43A-4D66-986D-49BB93E197AD}">
    <filterColumn colId="1">
      <filters>
        <filter val="UNHESA"/>
      </filters>
    </filterColumn>
  </autoFilter>
  <mergeCells count="3">
    <mergeCell ref="C4:N6"/>
    <mergeCell ref="C34:E35"/>
    <mergeCell ref="C39:D39"/>
  </mergeCells>
  <pageMargins left="0.7" right="0.7" top="0.75" bottom="0.75" header="0.3" footer="0.3"/>
  <pageSetup scale="34" orientation="landscape"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16</vt:i4>
      </vt:variant>
    </vt:vector>
  </HeadingPairs>
  <TitlesOfParts>
    <vt:vector size="33" baseType="lpstr">
      <vt:lpstr>distribucion</vt:lpstr>
      <vt:lpstr>boleto de ornato</vt:lpstr>
      <vt:lpstr>INCREMENTO SALARIO MINIMO </vt:lpstr>
      <vt:lpstr>Hoja2</vt:lpstr>
      <vt:lpstr>Hoja3</vt:lpstr>
      <vt:lpstr>Hoja4</vt:lpstr>
      <vt:lpstr>Nomina Proquima</vt:lpstr>
      <vt:lpstr>RECIBO E IGSS PROQUIMA</vt:lpstr>
      <vt:lpstr>Nomina Unhesa</vt:lpstr>
      <vt:lpstr>RECIBO E IGSS UNHESA</vt:lpstr>
      <vt:lpstr>Nomina Econacional</vt:lpstr>
      <vt:lpstr>RECIBO E IGSS ECONACIONAL</vt:lpstr>
      <vt:lpstr>CHEQUES ECONACIONAL</vt:lpstr>
      <vt:lpstr>Sol.Cheques</vt:lpstr>
      <vt:lpstr>Verificador de pago</vt:lpstr>
      <vt:lpstr>Hoja1</vt:lpstr>
      <vt:lpstr>Hoja1 (2)</vt:lpstr>
      <vt:lpstr>'boleto de ornato'!Área_de_impresión</vt:lpstr>
      <vt:lpstr>Hoja1!Área_de_impresión</vt:lpstr>
      <vt:lpstr>'Hoja1 (2)'!Área_de_impresión</vt:lpstr>
      <vt:lpstr>Hoja3!Área_de_impresión</vt:lpstr>
      <vt:lpstr>'INCREMENTO SALARIO MINIMO '!Área_de_impresión</vt:lpstr>
      <vt:lpstr>'Nomina Econacional'!Área_de_impresión</vt:lpstr>
      <vt:lpstr>'Nomina Proquima'!Área_de_impresión</vt:lpstr>
      <vt:lpstr>'Nomina Unhesa'!Área_de_impresión</vt:lpstr>
      <vt:lpstr>Sol.Cheques!Área_de_impresión</vt:lpstr>
      <vt:lpstr>'Verificador de pago'!Área_de_impresión</vt:lpstr>
      <vt:lpstr>ECONACIONAL</vt:lpstr>
      <vt:lpstr>distribucion!Excel_BuiltIn__FilterDatabase</vt:lpstr>
      <vt:lpstr>'RECIBO E IGSS ECONACIONAL'!Excel_BuiltIn__FilterDatabase</vt:lpstr>
      <vt:lpstr>'RECIBO E IGSS PROQUIMA'!Excel_BuiltIn__FilterDatabase</vt:lpstr>
      <vt:lpstr>'RECIBO E IGSS UNHESA'!Excel_BuiltIn__FilterDatabase</vt:lpstr>
      <vt:lpstr>'Nomina Proquima'!Títulos_a_imprimir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Auditoria Contabilidad</dc:creator>
  <cp:lastModifiedBy>Mayra Alejandra Pérez</cp:lastModifiedBy>
  <cp:lastPrinted>2023-01-27T18:30:24Z</cp:lastPrinted>
  <dcterms:created xsi:type="dcterms:W3CDTF">2017-01-10T21:50:41Z</dcterms:created>
  <dcterms:modified xsi:type="dcterms:W3CDTF">2023-02-03T20:36:15Z</dcterms:modified>
</cp:coreProperties>
</file>